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nternal_projects\active\Meltome\Meltome_analyzed_data\OmicScouts\K562_cell_PBS_R2\"/>
    </mc:Choice>
  </mc:AlternateContent>
  <bookViews>
    <workbookView xWindow="0" yWindow="0" windowWidth="25200" windowHeight="119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6399" i="1" l="1"/>
  <c r="AB6398" i="1"/>
  <c r="AB6397" i="1"/>
  <c r="AB6396" i="1"/>
  <c r="AB6395" i="1"/>
  <c r="AB6394" i="1"/>
  <c r="AB6393" i="1"/>
  <c r="AB6392" i="1"/>
  <c r="AB6391" i="1"/>
  <c r="AB6390" i="1"/>
  <c r="AB6389" i="1"/>
  <c r="AB6388" i="1"/>
  <c r="AB6387" i="1"/>
  <c r="AB6386" i="1"/>
  <c r="AB6385" i="1"/>
  <c r="AB6384" i="1"/>
  <c r="AB6383" i="1"/>
  <c r="AB6382" i="1"/>
  <c r="AB6381" i="1"/>
  <c r="AB6380" i="1"/>
  <c r="AB6379" i="1"/>
  <c r="AB6378" i="1"/>
  <c r="AB6377" i="1"/>
  <c r="AB6376" i="1"/>
  <c r="AB6375" i="1"/>
  <c r="AB6374" i="1"/>
  <c r="AB6373" i="1"/>
  <c r="AB6372" i="1"/>
  <c r="AB6371" i="1"/>
  <c r="AB6370" i="1"/>
  <c r="AB6369" i="1"/>
  <c r="AB6368" i="1"/>
  <c r="AB6367" i="1"/>
  <c r="AB6366" i="1"/>
  <c r="AB6365" i="1"/>
  <c r="AB6364" i="1"/>
  <c r="AB6363" i="1"/>
  <c r="AB6362" i="1"/>
  <c r="AB6361" i="1"/>
  <c r="AB6360" i="1"/>
  <c r="AB6359" i="1"/>
  <c r="AB6358" i="1"/>
  <c r="AB6357" i="1"/>
  <c r="AB6356" i="1"/>
  <c r="AB6355" i="1"/>
  <c r="AB6354" i="1"/>
  <c r="AB6353" i="1"/>
  <c r="AB6352" i="1"/>
  <c r="AB6351" i="1"/>
  <c r="AB6350" i="1"/>
  <c r="AB6349" i="1"/>
  <c r="AB6348" i="1"/>
  <c r="AB6347" i="1"/>
  <c r="AB6346" i="1"/>
  <c r="AB6345" i="1"/>
  <c r="AB6344" i="1"/>
  <c r="AB6343" i="1"/>
  <c r="AB6342" i="1"/>
  <c r="AB6341" i="1"/>
  <c r="AB6340" i="1"/>
  <c r="AB6339" i="1"/>
  <c r="AB6338" i="1"/>
  <c r="AB6337" i="1"/>
  <c r="AB6336" i="1"/>
  <c r="AB6335" i="1"/>
  <c r="AB6334" i="1"/>
  <c r="AB6333" i="1"/>
  <c r="AB6332" i="1"/>
  <c r="AB6331" i="1"/>
  <c r="AB6330" i="1"/>
  <c r="AB6329" i="1"/>
  <c r="AB6328" i="1"/>
  <c r="AB6327" i="1"/>
  <c r="AB6326" i="1"/>
  <c r="AB6325" i="1"/>
  <c r="AB6324" i="1"/>
  <c r="AB6323" i="1"/>
  <c r="AB6322" i="1"/>
  <c r="AB6321" i="1"/>
  <c r="AB6320" i="1"/>
  <c r="AB6319" i="1"/>
  <c r="AB6318" i="1"/>
  <c r="AB6317" i="1"/>
  <c r="AB6316" i="1"/>
  <c r="AB6315" i="1"/>
  <c r="AB6314" i="1"/>
  <c r="AB6313" i="1"/>
  <c r="AB6312" i="1"/>
  <c r="AB6311" i="1"/>
  <c r="AB6310" i="1"/>
  <c r="AB6309" i="1"/>
  <c r="AB6308" i="1"/>
  <c r="AB6307" i="1"/>
  <c r="AB6306" i="1"/>
  <c r="AB6305" i="1"/>
  <c r="AB6304" i="1"/>
  <c r="AB6303" i="1"/>
  <c r="AB6302" i="1"/>
  <c r="AB6301" i="1"/>
  <c r="AB6300" i="1"/>
  <c r="AB6299" i="1"/>
  <c r="AB6298" i="1"/>
  <c r="AB6297" i="1"/>
  <c r="AB6296" i="1"/>
  <c r="AB6295" i="1"/>
  <c r="AB6294" i="1"/>
  <c r="AB6293" i="1"/>
  <c r="AB6292" i="1"/>
  <c r="AB6291" i="1"/>
  <c r="AB6290" i="1"/>
  <c r="AB6289" i="1"/>
  <c r="AB6288" i="1"/>
  <c r="AB6287" i="1"/>
  <c r="AB6286" i="1"/>
  <c r="AB6285" i="1"/>
  <c r="AB6284" i="1"/>
  <c r="AB6283" i="1"/>
  <c r="AB6282" i="1"/>
  <c r="AB6281" i="1"/>
  <c r="AB6280" i="1"/>
  <c r="AB6279" i="1"/>
  <c r="AB6278" i="1"/>
  <c r="AB6277" i="1"/>
  <c r="AB6276" i="1"/>
  <c r="AB6275" i="1"/>
  <c r="AB6274" i="1"/>
  <c r="AB6273" i="1"/>
  <c r="AB6272" i="1"/>
  <c r="AB6271" i="1"/>
  <c r="AB6270" i="1"/>
  <c r="AB6269" i="1"/>
  <c r="AB6268" i="1"/>
  <c r="AB6267" i="1"/>
  <c r="AB6266" i="1"/>
  <c r="AB6265" i="1"/>
  <c r="AB6264" i="1"/>
  <c r="AB6263" i="1"/>
  <c r="AB6262" i="1"/>
  <c r="AB6261" i="1"/>
  <c r="AB6260" i="1"/>
  <c r="AB6259" i="1"/>
  <c r="AB6258" i="1"/>
  <c r="AB6257" i="1"/>
  <c r="AB6256" i="1"/>
  <c r="AB6255" i="1"/>
  <c r="AB6254" i="1"/>
  <c r="AB6253" i="1"/>
  <c r="AB6252" i="1"/>
  <c r="AB6251" i="1"/>
  <c r="AB6250" i="1"/>
  <c r="AB6249" i="1"/>
  <c r="AB6248" i="1"/>
  <c r="AB6247" i="1"/>
  <c r="AB6246" i="1"/>
  <c r="AB6245" i="1"/>
  <c r="AB6244" i="1"/>
  <c r="AB6243" i="1"/>
  <c r="AB6242" i="1"/>
  <c r="AB6241" i="1"/>
  <c r="AB6240" i="1"/>
  <c r="AB6239" i="1"/>
  <c r="AB6238" i="1"/>
  <c r="AB6237" i="1"/>
  <c r="AB6236" i="1"/>
  <c r="AB6235" i="1"/>
  <c r="AB6234" i="1"/>
  <c r="AB6233" i="1"/>
  <c r="AB6232" i="1"/>
  <c r="AB6231" i="1"/>
  <c r="AB6230" i="1"/>
  <c r="AB6229" i="1"/>
  <c r="AB6228" i="1"/>
  <c r="AB6227" i="1"/>
  <c r="AB6226" i="1"/>
  <c r="AB6225" i="1"/>
  <c r="AB6224" i="1"/>
  <c r="AB6223" i="1"/>
  <c r="AB6222" i="1"/>
  <c r="AB6221" i="1"/>
  <c r="AB6220" i="1"/>
  <c r="AB6219" i="1"/>
  <c r="AB6218" i="1"/>
  <c r="AB6217" i="1"/>
  <c r="AB6216" i="1"/>
  <c r="AB6215" i="1"/>
  <c r="AB6214" i="1"/>
  <c r="AB6213" i="1"/>
  <c r="AB6212" i="1"/>
  <c r="AB6211" i="1"/>
  <c r="AB6210" i="1"/>
  <c r="AB6209" i="1"/>
  <c r="AB6208" i="1"/>
  <c r="AB6207" i="1"/>
  <c r="AB6206" i="1"/>
  <c r="AB6205" i="1"/>
  <c r="AB6204" i="1"/>
  <c r="AB6203" i="1"/>
  <c r="AB6202" i="1"/>
  <c r="AB6201" i="1"/>
  <c r="AB6200" i="1"/>
  <c r="AB6199" i="1"/>
  <c r="AB6198" i="1"/>
  <c r="AB6197" i="1"/>
  <c r="AB6196" i="1"/>
  <c r="AB6195" i="1"/>
  <c r="AB6194" i="1"/>
  <c r="AB6193" i="1"/>
  <c r="AB6192" i="1"/>
  <c r="AB6191" i="1"/>
  <c r="AB6190" i="1"/>
  <c r="AB6189" i="1"/>
  <c r="AB6188" i="1"/>
  <c r="AB6187" i="1"/>
  <c r="AB6186" i="1"/>
  <c r="AB6185" i="1"/>
  <c r="AB6184" i="1"/>
  <c r="AB6183" i="1"/>
  <c r="AB6182" i="1"/>
  <c r="AB6181" i="1"/>
  <c r="AB6180" i="1"/>
  <c r="AB6179" i="1"/>
  <c r="AB6178" i="1"/>
  <c r="AB6177" i="1"/>
  <c r="AB6176" i="1"/>
  <c r="AB6175" i="1"/>
  <c r="AB6174" i="1"/>
  <c r="AB6173" i="1"/>
  <c r="AB6172" i="1"/>
  <c r="AB6171" i="1"/>
  <c r="AB6170" i="1"/>
  <c r="AB6169" i="1"/>
  <c r="AB6168" i="1"/>
  <c r="AB6167" i="1"/>
  <c r="AB6166" i="1"/>
  <c r="AB6165" i="1"/>
  <c r="AB6164" i="1"/>
  <c r="AB6163" i="1"/>
  <c r="AB6162" i="1"/>
  <c r="AB6161" i="1"/>
  <c r="AB6160" i="1"/>
  <c r="AB6159" i="1"/>
  <c r="AB6158" i="1"/>
  <c r="AB6157" i="1"/>
  <c r="AB6156" i="1"/>
  <c r="AB6155" i="1"/>
  <c r="AB6154" i="1"/>
  <c r="AB6153" i="1"/>
  <c r="AB6152" i="1"/>
  <c r="AB6151" i="1"/>
  <c r="AB6150" i="1"/>
  <c r="AB6149" i="1"/>
  <c r="AB6148" i="1"/>
  <c r="AB6147" i="1"/>
  <c r="AB6146" i="1"/>
  <c r="AB6145" i="1"/>
  <c r="AB6144" i="1"/>
  <c r="AB6143" i="1"/>
  <c r="AB6142" i="1"/>
  <c r="AB6141" i="1"/>
  <c r="AB6140" i="1"/>
  <c r="AB6139" i="1"/>
  <c r="AB6138" i="1"/>
  <c r="AB6137" i="1"/>
  <c r="AB6136" i="1"/>
  <c r="AB6135" i="1"/>
  <c r="AB6134" i="1"/>
  <c r="AB6133" i="1"/>
  <c r="AB6132" i="1"/>
  <c r="AB6131" i="1"/>
  <c r="AB6130" i="1"/>
  <c r="AB6129" i="1"/>
  <c r="AB6128" i="1"/>
  <c r="AB6127" i="1"/>
  <c r="AB6126" i="1"/>
  <c r="AB6125" i="1"/>
  <c r="AB6124" i="1"/>
  <c r="AB6123" i="1"/>
  <c r="AB6122" i="1"/>
  <c r="AB6121" i="1"/>
  <c r="AB6120" i="1"/>
  <c r="AB6119" i="1"/>
  <c r="AB6118" i="1"/>
  <c r="AB6117" i="1"/>
  <c r="AB6116" i="1"/>
  <c r="AB6115" i="1"/>
  <c r="AB6114" i="1"/>
  <c r="AB6113" i="1"/>
  <c r="AB6112" i="1"/>
  <c r="AB6111" i="1"/>
  <c r="AB6110" i="1"/>
  <c r="AB6109" i="1"/>
  <c r="AB6108" i="1"/>
  <c r="AB6107" i="1"/>
  <c r="AB6106" i="1"/>
  <c r="AB6105" i="1"/>
  <c r="AB6104" i="1"/>
  <c r="AB6103" i="1"/>
  <c r="AB6102" i="1"/>
  <c r="AB6101" i="1"/>
  <c r="AB6100" i="1"/>
  <c r="AB6099" i="1"/>
  <c r="AB6098" i="1"/>
  <c r="AB6097" i="1"/>
  <c r="AB6096" i="1"/>
  <c r="AB6095" i="1"/>
  <c r="AB6094" i="1"/>
  <c r="AB6093" i="1"/>
  <c r="AB6092" i="1"/>
  <c r="AB6091" i="1"/>
  <c r="AB6090" i="1"/>
  <c r="AB6089" i="1"/>
  <c r="AB6088" i="1"/>
  <c r="AB6087" i="1"/>
  <c r="AB6086" i="1"/>
  <c r="AB6085" i="1"/>
  <c r="AB6084" i="1"/>
  <c r="AB6083" i="1"/>
  <c r="AB6082" i="1"/>
  <c r="AB6081" i="1"/>
  <c r="AB6080" i="1"/>
  <c r="AB6079" i="1"/>
  <c r="AB6078" i="1"/>
  <c r="AB6077" i="1"/>
  <c r="AB6076" i="1"/>
  <c r="AB6075" i="1"/>
  <c r="AB6074" i="1"/>
  <c r="AB6073" i="1"/>
  <c r="AB6072" i="1"/>
  <c r="AB6071" i="1"/>
  <c r="AB6070" i="1"/>
  <c r="AB6069" i="1"/>
  <c r="AB6068" i="1"/>
  <c r="AB6067" i="1"/>
  <c r="AB6066" i="1"/>
  <c r="AB6065" i="1"/>
  <c r="AB6064" i="1"/>
  <c r="AB6063" i="1"/>
  <c r="AB6062" i="1"/>
  <c r="AB6061" i="1"/>
  <c r="AB6060" i="1"/>
  <c r="AB6059" i="1"/>
  <c r="AB6058" i="1"/>
  <c r="AB6057" i="1"/>
  <c r="AB6056" i="1"/>
  <c r="AB6055" i="1"/>
  <c r="AB6054" i="1"/>
  <c r="AB6053" i="1"/>
  <c r="AB6052" i="1"/>
  <c r="AB6051" i="1"/>
  <c r="AB6050" i="1"/>
  <c r="AB6049" i="1"/>
  <c r="AB6048" i="1"/>
  <c r="AB6047" i="1"/>
  <c r="AB6046" i="1"/>
  <c r="AB6045" i="1"/>
  <c r="AB6044" i="1"/>
  <c r="AB6043" i="1"/>
  <c r="AB6042" i="1"/>
  <c r="AB6041" i="1"/>
  <c r="AB6040" i="1"/>
  <c r="AB6039" i="1"/>
  <c r="AB6038" i="1"/>
  <c r="AB6037" i="1"/>
  <c r="AB6036" i="1"/>
  <c r="AB6035" i="1"/>
  <c r="AB6034" i="1"/>
  <c r="AB6033" i="1"/>
  <c r="AB6032" i="1"/>
  <c r="AB6031" i="1"/>
  <c r="AB6030" i="1"/>
  <c r="AB6029" i="1"/>
  <c r="AB6028" i="1"/>
  <c r="AB6027" i="1"/>
  <c r="AB6026" i="1"/>
  <c r="AB6025" i="1"/>
  <c r="AB6024" i="1"/>
  <c r="AB6023" i="1"/>
  <c r="AB6022" i="1"/>
  <c r="AB6021" i="1"/>
  <c r="AB6020" i="1"/>
  <c r="AB6019" i="1"/>
  <c r="AB6018" i="1"/>
  <c r="AB6017" i="1"/>
  <c r="AB6016" i="1"/>
  <c r="AB6015" i="1"/>
  <c r="AB6014" i="1"/>
  <c r="AB6013" i="1"/>
  <c r="AB6012" i="1"/>
  <c r="AB6011" i="1"/>
  <c r="AB6010" i="1"/>
  <c r="AB6009" i="1"/>
  <c r="AB6008" i="1"/>
  <c r="AB6007" i="1"/>
  <c r="AB6006" i="1"/>
  <c r="AB6005" i="1"/>
  <c r="AB6004" i="1"/>
  <c r="AB6003" i="1"/>
  <c r="AB6002" i="1"/>
  <c r="AB6001" i="1"/>
  <c r="AB6000" i="1"/>
  <c r="AB5999" i="1"/>
  <c r="AB5998" i="1"/>
  <c r="AB5997" i="1"/>
  <c r="AB5996" i="1"/>
  <c r="AB5995" i="1"/>
  <c r="AB5994" i="1"/>
  <c r="AB5993" i="1"/>
  <c r="AB5992" i="1"/>
  <c r="AB5991" i="1"/>
  <c r="AB5990" i="1"/>
  <c r="AB5989" i="1"/>
  <c r="AB5988" i="1"/>
  <c r="AB5987" i="1"/>
  <c r="AB5986" i="1"/>
  <c r="AB5985" i="1"/>
  <c r="AB5984" i="1"/>
  <c r="AB5983" i="1"/>
  <c r="AB5982" i="1"/>
  <c r="AB5981" i="1"/>
  <c r="AB5980" i="1"/>
  <c r="AB5979" i="1"/>
  <c r="AB5978" i="1"/>
  <c r="AB5977" i="1"/>
  <c r="AB5976" i="1"/>
  <c r="AB5975" i="1"/>
  <c r="AB5974" i="1"/>
  <c r="AB5973" i="1"/>
  <c r="AB5972" i="1"/>
  <c r="AB5971" i="1"/>
  <c r="AB5970" i="1"/>
  <c r="AB5969" i="1"/>
  <c r="AB5968" i="1"/>
  <c r="AB5967" i="1"/>
  <c r="AB5966" i="1"/>
  <c r="AB5965" i="1"/>
  <c r="AB5964" i="1"/>
  <c r="AB5963" i="1"/>
  <c r="AB5962" i="1"/>
  <c r="AB5961" i="1"/>
  <c r="AB5960" i="1"/>
  <c r="AB5959" i="1"/>
  <c r="AB5958" i="1"/>
  <c r="AB5957" i="1"/>
  <c r="AB5956" i="1"/>
  <c r="AB5955" i="1"/>
  <c r="AB5954" i="1"/>
  <c r="AB5953" i="1"/>
  <c r="AB5952" i="1"/>
  <c r="AB5951" i="1"/>
  <c r="AB5950" i="1"/>
  <c r="AB5949" i="1"/>
  <c r="AB5948" i="1"/>
  <c r="AB5947" i="1"/>
  <c r="AB5946" i="1"/>
  <c r="AB5945" i="1"/>
  <c r="AB5944" i="1"/>
  <c r="AB5943" i="1"/>
  <c r="AB5942" i="1"/>
  <c r="AB5941" i="1"/>
  <c r="AB5940" i="1"/>
  <c r="AB5939" i="1"/>
  <c r="AB5938" i="1"/>
  <c r="AB5937" i="1"/>
  <c r="AB5936" i="1"/>
  <c r="AB5935" i="1"/>
  <c r="AB5934" i="1"/>
  <c r="AB5933" i="1"/>
  <c r="AB5932" i="1"/>
  <c r="AB5931" i="1"/>
  <c r="AB5930" i="1"/>
  <c r="AB5929" i="1"/>
  <c r="AB5928" i="1"/>
  <c r="AB5927" i="1"/>
  <c r="AB5926" i="1"/>
  <c r="AB5925" i="1"/>
  <c r="AB5924" i="1"/>
  <c r="AB5923" i="1"/>
  <c r="AB5922" i="1"/>
  <c r="AB5921" i="1"/>
  <c r="AB5920" i="1"/>
  <c r="AB5919" i="1"/>
  <c r="AB5918" i="1"/>
  <c r="AB5917" i="1"/>
  <c r="AB5916" i="1"/>
  <c r="AB5915" i="1"/>
  <c r="AB5914" i="1"/>
  <c r="AB5913" i="1"/>
  <c r="AB5912" i="1"/>
  <c r="AB5911" i="1"/>
  <c r="AB5910" i="1"/>
  <c r="AB5909" i="1"/>
  <c r="AB5908" i="1"/>
  <c r="AB5907" i="1"/>
  <c r="AB5906" i="1"/>
  <c r="AB5905" i="1"/>
  <c r="AB5904" i="1"/>
  <c r="AB5903" i="1"/>
  <c r="AB5902" i="1"/>
  <c r="AB5901" i="1"/>
  <c r="AB5900" i="1"/>
  <c r="AB5899" i="1"/>
  <c r="AB5898" i="1"/>
  <c r="AB5897" i="1"/>
  <c r="AB5896" i="1"/>
  <c r="AB5895" i="1"/>
  <c r="AB5894" i="1"/>
  <c r="AB5893" i="1"/>
  <c r="AB5892" i="1"/>
  <c r="AB5891" i="1"/>
  <c r="AB5890" i="1"/>
  <c r="AB5889" i="1"/>
  <c r="AB5888" i="1"/>
  <c r="AB5887" i="1"/>
  <c r="AB5886" i="1"/>
  <c r="AB5885" i="1"/>
  <c r="AB5884" i="1"/>
  <c r="AB5883" i="1"/>
  <c r="AB5882" i="1"/>
  <c r="AB5881" i="1"/>
  <c r="AB5880" i="1"/>
  <c r="AB5879" i="1"/>
  <c r="AB5878" i="1"/>
  <c r="AB5877" i="1"/>
  <c r="AB5876" i="1"/>
  <c r="AB5875" i="1"/>
  <c r="AB5874" i="1"/>
  <c r="AB5873" i="1"/>
  <c r="AB5872" i="1"/>
  <c r="AB5871" i="1"/>
  <c r="AB5870" i="1"/>
  <c r="AB5869" i="1"/>
  <c r="AB5868" i="1"/>
  <c r="AB5867" i="1"/>
  <c r="AB5866" i="1"/>
  <c r="AB5865" i="1"/>
  <c r="AB5864" i="1"/>
  <c r="AB5863" i="1"/>
  <c r="AB5862" i="1"/>
  <c r="AB5861" i="1"/>
  <c r="AB5860" i="1"/>
  <c r="AB5859" i="1"/>
  <c r="AB5858" i="1"/>
  <c r="AB5857" i="1"/>
  <c r="AB5856" i="1"/>
  <c r="AB5855" i="1"/>
  <c r="AB5854" i="1"/>
  <c r="AB5853" i="1"/>
  <c r="AB5852" i="1"/>
  <c r="AB5851" i="1"/>
  <c r="AB5850" i="1"/>
  <c r="AB5849" i="1"/>
  <c r="AB5848" i="1"/>
  <c r="AB5847" i="1"/>
  <c r="AB5846" i="1"/>
  <c r="AB5845" i="1"/>
  <c r="AB5844" i="1"/>
  <c r="AB5843" i="1"/>
  <c r="AB5842" i="1"/>
  <c r="AB5841" i="1"/>
  <c r="AB5840" i="1"/>
  <c r="AB5839" i="1"/>
  <c r="AB5838" i="1"/>
  <c r="AB5837" i="1"/>
  <c r="AB5836" i="1"/>
  <c r="AB5835" i="1"/>
  <c r="AB5834" i="1"/>
  <c r="AB5833" i="1"/>
  <c r="AB5832" i="1"/>
  <c r="AB5831" i="1"/>
  <c r="AB5830" i="1"/>
  <c r="AB5829" i="1"/>
  <c r="AB5828" i="1"/>
  <c r="AB5827" i="1"/>
  <c r="AB5826" i="1"/>
  <c r="AB5825" i="1"/>
  <c r="AB5824" i="1"/>
  <c r="AB5823" i="1"/>
  <c r="AB5822" i="1"/>
  <c r="AB5821" i="1"/>
  <c r="AB5820" i="1"/>
  <c r="AB5819" i="1"/>
  <c r="AB5818" i="1"/>
  <c r="AB5817" i="1"/>
  <c r="AB5816" i="1"/>
  <c r="AB5815" i="1"/>
  <c r="AB5814" i="1"/>
  <c r="AB5813" i="1"/>
  <c r="AB5812" i="1"/>
  <c r="AB5811" i="1"/>
  <c r="AB5810" i="1"/>
  <c r="AB5809" i="1"/>
  <c r="AB5808" i="1"/>
  <c r="AB5807" i="1"/>
  <c r="AB5806" i="1"/>
  <c r="AB5805" i="1"/>
  <c r="AB5804" i="1"/>
  <c r="AB5803" i="1"/>
  <c r="AB5802" i="1"/>
  <c r="AB5801" i="1"/>
  <c r="AB5800" i="1"/>
  <c r="AB5799" i="1"/>
  <c r="AB5798" i="1"/>
  <c r="AB5797" i="1"/>
  <c r="AB5796" i="1"/>
  <c r="AB5795" i="1"/>
  <c r="AB5794" i="1"/>
  <c r="AB5793" i="1"/>
  <c r="AB5792" i="1"/>
  <c r="AB5791" i="1"/>
  <c r="AB5790" i="1"/>
  <c r="AB5789" i="1"/>
  <c r="AB5788" i="1"/>
  <c r="AB5787" i="1"/>
  <c r="AB5786" i="1"/>
  <c r="AB5785" i="1"/>
  <c r="AB5784" i="1"/>
  <c r="AB5783" i="1"/>
  <c r="AB5782" i="1"/>
  <c r="AB5781" i="1"/>
  <c r="AB5780" i="1"/>
  <c r="AB5779" i="1"/>
  <c r="AB5778" i="1"/>
  <c r="AB5777" i="1"/>
  <c r="AB5776" i="1"/>
  <c r="AB5775" i="1"/>
  <c r="AB5774" i="1"/>
  <c r="AB5773" i="1"/>
  <c r="AB5772" i="1"/>
  <c r="AB5771" i="1"/>
  <c r="AB5770" i="1"/>
  <c r="AB5769" i="1"/>
  <c r="AB5768" i="1"/>
  <c r="AB5767" i="1"/>
  <c r="AB5766" i="1"/>
  <c r="AB5765" i="1"/>
  <c r="AB5764" i="1"/>
  <c r="AB5763" i="1"/>
  <c r="AB5762" i="1"/>
  <c r="AB5761" i="1"/>
  <c r="AB5760" i="1"/>
  <c r="AB5759" i="1"/>
  <c r="AB5758" i="1"/>
  <c r="AB5757" i="1"/>
  <c r="AB5756" i="1"/>
  <c r="AB5755" i="1"/>
  <c r="AB5754" i="1"/>
  <c r="AB5753" i="1"/>
  <c r="AB5752" i="1"/>
  <c r="AB5751" i="1"/>
  <c r="AB5750" i="1"/>
  <c r="AB5749" i="1"/>
  <c r="AB5748" i="1"/>
  <c r="AB5747" i="1"/>
  <c r="AB5746" i="1"/>
  <c r="AB5745" i="1"/>
  <c r="AB5744" i="1"/>
  <c r="AB5743" i="1"/>
  <c r="AB5742" i="1"/>
  <c r="AB5741" i="1"/>
  <c r="AB5740" i="1"/>
  <c r="AB5739" i="1"/>
  <c r="AB5738" i="1"/>
  <c r="AB5737" i="1"/>
  <c r="AB5736" i="1"/>
  <c r="AB5735" i="1"/>
  <c r="AB5734" i="1"/>
  <c r="AB5733" i="1"/>
  <c r="AB5732" i="1"/>
  <c r="AB5731" i="1"/>
  <c r="AB5730" i="1"/>
  <c r="AB5729" i="1"/>
  <c r="AB5728" i="1"/>
  <c r="AB5727" i="1"/>
  <c r="AB5726" i="1"/>
  <c r="AB5725" i="1"/>
  <c r="AB5724" i="1"/>
  <c r="AB5723" i="1"/>
  <c r="AB5722" i="1"/>
  <c r="AB5721" i="1"/>
  <c r="AB5720" i="1"/>
  <c r="AB5719" i="1"/>
  <c r="AB5718" i="1"/>
  <c r="AB5717" i="1"/>
  <c r="AB5716" i="1"/>
  <c r="AB5715" i="1"/>
  <c r="AB5714" i="1"/>
  <c r="AB5713" i="1"/>
  <c r="AB5712" i="1"/>
  <c r="AB5711" i="1"/>
  <c r="AB5710" i="1"/>
  <c r="AB5709" i="1"/>
  <c r="AB5708" i="1"/>
  <c r="AB5707" i="1"/>
  <c r="AB5706" i="1"/>
  <c r="AB5705" i="1"/>
  <c r="AB5704" i="1"/>
  <c r="AB5703" i="1"/>
  <c r="AB5702" i="1"/>
  <c r="AB5701" i="1"/>
  <c r="AB5700" i="1"/>
  <c r="AB5699" i="1"/>
  <c r="AB5698" i="1"/>
  <c r="AB5697" i="1"/>
  <c r="AB5696" i="1"/>
  <c r="AB5695" i="1"/>
  <c r="AB5694" i="1"/>
  <c r="AB5693" i="1"/>
  <c r="AB5692" i="1"/>
  <c r="AB5691" i="1"/>
  <c r="AB5690" i="1"/>
  <c r="AB5689" i="1"/>
  <c r="AB5688" i="1"/>
  <c r="AB5687" i="1"/>
  <c r="AB5686" i="1"/>
  <c r="AB5685" i="1"/>
  <c r="AB5684" i="1"/>
  <c r="AB5683" i="1"/>
  <c r="AB5682" i="1"/>
  <c r="AB5681" i="1"/>
  <c r="AB5680" i="1"/>
  <c r="AB5679" i="1"/>
  <c r="AB5678" i="1"/>
  <c r="AB5677" i="1"/>
  <c r="AB5676" i="1"/>
  <c r="AB5675" i="1"/>
  <c r="AB5674" i="1"/>
  <c r="AB5673" i="1"/>
  <c r="AB5672" i="1"/>
  <c r="AB5671" i="1"/>
  <c r="AB5670" i="1"/>
  <c r="AB5669" i="1"/>
  <c r="AB5668" i="1"/>
  <c r="AB5667" i="1"/>
  <c r="AB5666" i="1"/>
  <c r="AB5665" i="1"/>
  <c r="AB5664" i="1"/>
  <c r="AB5663" i="1"/>
  <c r="AB5662" i="1"/>
  <c r="AB5661" i="1"/>
  <c r="AB5660" i="1"/>
  <c r="AB5659" i="1"/>
  <c r="AB5658" i="1"/>
  <c r="AB5657" i="1"/>
  <c r="AB5656" i="1"/>
  <c r="AB5655" i="1"/>
  <c r="AB5654" i="1"/>
  <c r="AB5653" i="1"/>
  <c r="AB5652" i="1"/>
  <c r="AB5651" i="1"/>
  <c r="AB5650" i="1"/>
  <c r="AB5649" i="1"/>
  <c r="AB5648" i="1"/>
  <c r="AB5647" i="1"/>
  <c r="AB5646" i="1"/>
  <c r="AB5645" i="1"/>
  <c r="AB5644" i="1"/>
  <c r="AB5643" i="1"/>
  <c r="AB5642" i="1"/>
  <c r="AB5641" i="1"/>
  <c r="AB5640" i="1"/>
  <c r="AB5639" i="1"/>
  <c r="AB5638" i="1"/>
  <c r="AB5637" i="1"/>
  <c r="AB5636" i="1"/>
  <c r="AB5635" i="1"/>
  <c r="AB5634" i="1"/>
  <c r="AB5633" i="1"/>
  <c r="AB5632" i="1"/>
  <c r="AB5631" i="1"/>
  <c r="AB5630" i="1"/>
  <c r="AB5629" i="1"/>
  <c r="AB5628" i="1"/>
  <c r="AB5627" i="1"/>
  <c r="AB5626" i="1"/>
  <c r="AB5625" i="1"/>
  <c r="AB5624" i="1"/>
  <c r="AB5623" i="1"/>
  <c r="AB5622" i="1"/>
  <c r="AB5621" i="1"/>
  <c r="AB5620" i="1"/>
  <c r="AB5619" i="1"/>
  <c r="AB5618" i="1"/>
  <c r="AB5617" i="1"/>
  <c r="AB5616" i="1"/>
  <c r="AB5615" i="1"/>
  <c r="AB5614" i="1"/>
  <c r="AB5613" i="1"/>
  <c r="AB5612" i="1"/>
  <c r="AB5611" i="1"/>
  <c r="AB5610" i="1"/>
  <c r="AB5609" i="1"/>
  <c r="AB5608" i="1"/>
  <c r="AB5607" i="1"/>
  <c r="AB5606" i="1"/>
  <c r="AB5605" i="1"/>
  <c r="AB5604" i="1"/>
  <c r="AB5603" i="1"/>
  <c r="AB5602" i="1"/>
  <c r="AB5601" i="1"/>
  <c r="AB5600" i="1"/>
  <c r="AB5599" i="1"/>
  <c r="AB5598" i="1"/>
  <c r="AB5597" i="1"/>
  <c r="AB5596" i="1"/>
  <c r="AB5595" i="1"/>
  <c r="AB5594" i="1"/>
  <c r="AB5593" i="1"/>
  <c r="AB5592" i="1"/>
  <c r="AB5591" i="1"/>
  <c r="AB5590" i="1"/>
  <c r="AB5589" i="1"/>
  <c r="AB5588" i="1"/>
  <c r="AB5587" i="1"/>
  <c r="AB5586" i="1"/>
  <c r="AB5585" i="1"/>
  <c r="AB5584" i="1"/>
  <c r="AB5583" i="1"/>
  <c r="AB5582" i="1"/>
  <c r="AB5581" i="1"/>
  <c r="AB5580" i="1"/>
  <c r="AB5579" i="1"/>
  <c r="AB5578" i="1"/>
  <c r="AB5577" i="1"/>
  <c r="AB5576" i="1"/>
  <c r="AB5575" i="1"/>
  <c r="AB5574" i="1"/>
  <c r="AB5573" i="1"/>
  <c r="AB5572" i="1"/>
  <c r="AB5571" i="1"/>
  <c r="AB5570" i="1"/>
  <c r="AB5569" i="1"/>
  <c r="AB5568" i="1"/>
  <c r="AB5567" i="1"/>
  <c r="AB5566" i="1"/>
  <c r="AB5565" i="1"/>
  <c r="AB5564" i="1"/>
  <c r="AB5563" i="1"/>
  <c r="AB5562" i="1"/>
  <c r="AB5561" i="1"/>
  <c r="AB5560" i="1"/>
  <c r="AB5559" i="1"/>
  <c r="AB5558" i="1"/>
  <c r="AB5557" i="1"/>
  <c r="AB5556" i="1"/>
  <c r="AB5555" i="1"/>
  <c r="AB5554" i="1"/>
  <c r="AB5553" i="1"/>
  <c r="AB5552" i="1"/>
  <c r="AB5551" i="1"/>
  <c r="AB5550" i="1"/>
  <c r="AB5549" i="1"/>
  <c r="AB5548" i="1"/>
  <c r="AB5547" i="1"/>
  <c r="AB5546" i="1"/>
  <c r="AB5545" i="1"/>
  <c r="AB5544" i="1"/>
  <c r="AB5543" i="1"/>
  <c r="AB5542" i="1"/>
  <c r="AB5541" i="1"/>
  <c r="AB5540" i="1"/>
  <c r="AB5539" i="1"/>
  <c r="AB5538" i="1"/>
  <c r="AB5537" i="1"/>
  <c r="AB5536" i="1"/>
  <c r="AB5535" i="1"/>
  <c r="AB5534" i="1"/>
  <c r="AB5533" i="1"/>
  <c r="AB5532" i="1"/>
  <c r="AB5531" i="1"/>
  <c r="AB5530" i="1"/>
  <c r="AB5529" i="1"/>
  <c r="AB5528" i="1"/>
  <c r="AB5527" i="1"/>
  <c r="AB5526" i="1"/>
  <c r="AB5525" i="1"/>
  <c r="AB5524" i="1"/>
  <c r="AB5523" i="1"/>
  <c r="AB5522" i="1"/>
  <c r="AB5521" i="1"/>
  <c r="AB5520" i="1"/>
  <c r="AB5519" i="1"/>
  <c r="AB5518" i="1"/>
  <c r="AB5517" i="1"/>
  <c r="AB5516" i="1"/>
  <c r="AB5515" i="1"/>
  <c r="AB5514" i="1"/>
  <c r="AB5513" i="1"/>
  <c r="AB5512" i="1"/>
  <c r="AB5511" i="1"/>
  <c r="AB5510" i="1"/>
  <c r="AB5509" i="1"/>
  <c r="AB5508" i="1"/>
  <c r="AB5507" i="1"/>
  <c r="AB5506" i="1"/>
  <c r="AB5505" i="1"/>
  <c r="AB5504" i="1"/>
  <c r="AB5503" i="1"/>
  <c r="AB5502" i="1"/>
  <c r="AB5501" i="1"/>
  <c r="AB5500" i="1"/>
  <c r="AB5499" i="1"/>
  <c r="AB5498" i="1"/>
  <c r="AB5497" i="1"/>
  <c r="AB5496" i="1"/>
  <c r="AB5495" i="1"/>
  <c r="AB5494" i="1"/>
  <c r="AB5493" i="1"/>
  <c r="AB5492" i="1"/>
  <c r="AB5491" i="1"/>
  <c r="AB5490" i="1"/>
  <c r="AB5489" i="1"/>
  <c r="AB5488" i="1"/>
  <c r="AB5487" i="1"/>
  <c r="AB5486" i="1"/>
  <c r="AB5485" i="1"/>
  <c r="AB5484" i="1"/>
  <c r="AB5483" i="1"/>
  <c r="AB5482" i="1"/>
  <c r="AB5481" i="1"/>
  <c r="AB5480" i="1"/>
  <c r="AB5479" i="1"/>
  <c r="AB5478" i="1"/>
  <c r="AB5477" i="1"/>
  <c r="AB5476" i="1"/>
  <c r="AB5475" i="1"/>
  <c r="AB5474" i="1"/>
  <c r="AB5473" i="1"/>
  <c r="AB5472" i="1"/>
  <c r="AB5471" i="1"/>
  <c r="AB5470" i="1"/>
  <c r="AB5469" i="1"/>
  <c r="AB5468" i="1"/>
  <c r="AB5467" i="1"/>
  <c r="AB5466" i="1"/>
  <c r="AB5465" i="1"/>
  <c r="AB5464" i="1"/>
  <c r="AB5463" i="1"/>
  <c r="AB5462" i="1"/>
  <c r="AB5461" i="1"/>
  <c r="AB5460" i="1"/>
  <c r="AB5459" i="1"/>
  <c r="AB5458" i="1"/>
  <c r="AB5457" i="1"/>
  <c r="AB5456" i="1"/>
  <c r="AB5455" i="1"/>
  <c r="AB5454" i="1"/>
  <c r="AB5453" i="1"/>
  <c r="AB5452" i="1"/>
  <c r="AB5451" i="1"/>
  <c r="AB5450" i="1"/>
  <c r="AB5449" i="1"/>
  <c r="AB5448" i="1"/>
  <c r="AB5447" i="1"/>
  <c r="AB5446" i="1"/>
  <c r="AB5445" i="1"/>
  <c r="AB5444" i="1"/>
  <c r="AB5443" i="1"/>
  <c r="AB5442" i="1"/>
  <c r="AB5441" i="1"/>
  <c r="AB5440" i="1"/>
  <c r="AB5439" i="1"/>
  <c r="AB5438" i="1"/>
  <c r="AB5437" i="1"/>
  <c r="AB5436" i="1"/>
  <c r="AB5435" i="1"/>
  <c r="AB5434" i="1"/>
  <c r="AB5433" i="1"/>
  <c r="AB5432" i="1"/>
  <c r="AB5431" i="1"/>
  <c r="AB5430" i="1"/>
  <c r="AB5429" i="1"/>
  <c r="AB5428" i="1"/>
  <c r="AB5427" i="1"/>
  <c r="AB5426" i="1"/>
  <c r="AB5425" i="1"/>
  <c r="AB5424" i="1"/>
  <c r="AB5423" i="1"/>
  <c r="AB5422" i="1"/>
  <c r="AB5421" i="1"/>
  <c r="AB5420" i="1"/>
  <c r="AB5419" i="1"/>
  <c r="AB5418" i="1"/>
  <c r="AB5417" i="1"/>
  <c r="AB5416" i="1"/>
  <c r="AB5415" i="1"/>
  <c r="AB5414" i="1"/>
  <c r="AB5413" i="1"/>
  <c r="AB5412" i="1"/>
  <c r="AB5411" i="1"/>
  <c r="AB5410" i="1"/>
  <c r="AB5409" i="1"/>
  <c r="AB5408" i="1"/>
  <c r="AB5407" i="1"/>
  <c r="AB5406" i="1"/>
  <c r="AB5405" i="1"/>
  <c r="AB5404" i="1"/>
  <c r="AB5403" i="1"/>
  <c r="AB5402" i="1"/>
  <c r="AB5401" i="1"/>
  <c r="AB5400" i="1"/>
  <c r="AB5399" i="1"/>
  <c r="AB5398" i="1"/>
  <c r="AB5397" i="1"/>
  <c r="AB5396" i="1"/>
  <c r="AB5395" i="1"/>
  <c r="AB5394" i="1"/>
  <c r="AB5393" i="1"/>
  <c r="AB5392" i="1"/>
  <c r="AB5391" i="1"/>
  <c r="AB5390" i="1"/>
  <c r="AB5389" i="1"/>
  <c r="AB5388" i="1"/>
  <c r="AB5387" i="1"/>
  <c r="AB5386" i="1"/>
  <c r="AB5385" i="1"/>
  <c r="AB5384" i="1"/>
  <c r="AB5383" i="1"/>
  <c r="AB5382" i="1"/>
  <c r="AB5381" i="1"/>
  <c r="AB5380" i="1"/>
  <c r="AB5379" i="1"/>
  <c r="AB5378" i="1"/>
  <c r="AB5377" i="1"/>
  <c r="AB5376" i="1"/>
  <c r="AB5375" i="1"/>
  <c r="AB5374" i="1"/>
  <c r="AB5373" i="1"/>
  <c r="AB5372" i="1"/>
  <c r="AB5371" i="1"/>
  <c r="AB5370" i="1"/>
  <c r="AB5369" i="1"/>
  <c r="AB5368" i="1"/>
  <c r="AB5367" i="1"/>
  <c r="AB5366" i="1"/>
  <c r="AB5365" i="1"/>
  <c r="AB5364" i="1"/>
  <c r="AB5363" i="1"/>
  <c r="AB5362" i="1"/>
  <c r="AB5361" i="1"/>
  <c r="AB5360" i="1"/>
  <c r="AB5359" i="1"/>
  <c r="AB5358" i="1"/>
  <c r="AB5357" i="1"/>
  <c r="AB5356" i="1"/>
  <c r="AB5355" i="1"/>
  <c r="AB5354" i="1"/>
  <c r="AB5353" i="1"/>
  <c r="AB5352" i="1"/>
  <c r="AB5351" i="1"/>
  <c r="AB5350" i="1"/>
  <c r="AB5349" i="1"/>
  <c r="AB5348" i="1"/>
  <c r="AB5347" i="1"/>
  <c r="AB5346" i="1"/>
  <c r="AB5345" i="1"/>
  <c r="AB5344" i="1"/>
  <c r="AB5343" i="1"/>
  <c r="AB5342" i="1"/>
  <c r="AB5341" i="1"/>
  <c r="AB5340" i="1"/>
  <c r="AB5339" i="1"/>
  <c r="AB5338" i="1"/>
  <c r="AB5337" i="1"/>
  <c r="AB5336" i="1"/>
  <c r="AB5335" i="1"/>
  <c r="AB5334" i="1"/>
  <c r="AB5333" i="1"/>
  <c r="AB5332" i="1"/>
  <c r="AB5331" i="1"/>
  <c r="AB5330" i="1"/>
  <c r="AB5329" i="1"/>
  <c r="AB5328" i="1"/>
  <c r="AB5327" i="1"/>
  <c r="AB5326" i="1"/>
  <c r="AB5325" i="1"/>
  <c r="AB5324" i="1"/>
  <c r="AB5323" i="1"/>
  <c r="AB5322" i="1"/>
  <c r="AB5321" i="1"/>
  <c r="AB5320" i="1"/>
  <c r="AB5319" i="1"/>
  <c r="AB5318" i="1"/>
  <c r="AB5317" i="1"/>
  <c r="AB5316" i="1"/>
  <c r="AB5315" i="1"/>
  <c r="AB5314" i="1"/>
  <c r="AB5313" i="1"/>
  <c r="AB5312" i="1"/>
  <c r="AB5311" i="1"/>
  <c r="AB5310" i="1"/>
  <c r="AB5309" i="1"/>
  <c r="AB5308" i="1"/>
  <c r="AB5307" i="1"/>
  <c r="AB5306" i="1"/>
  <c r="AB5305" i="1"/>
  <c r="AB5304" i="1"/>
  <c r="AB5303" i="1"/>
  <c r="AB5302" i="1"/>
  <c r="AB5301" i="1"/>
  <c r="AB5300" i="1"/>
  <c r="AB5299" i="1"/>
  <c r="AB5298" i="1"/>
  <c r="AB5297" i="1"/>
  <c r="AB5296" i="1"/>
  <c r="AB5295" i="1"/>
  <c r="AB5294" i="1"/>
  <c r="AB5293" i="1"/>
  <c r="AB5292" i="1"/>
  <c r="AB5291" i="1"/>
  <c r="AB5290" i="1"/>
  <c r="AB5289" i="1"/>
  <c r="AB5288" i="1"/>
  <c r="AB5287" i="1"/>
  <c r="AB5286" i="1"/>
  <c r="AB5285" i="1"/>
  <c r="AB5284" i="1"/>
  <c r="AB5283" i="1"/>
  <c r="AB5282" i="1"/>
  <c r="AB5281" i="1"/>
  <c r="AB5280" i="1"/>
  <c r="AB5279" i="1"/>
  <c r="AB5278" i="1"/>
  <c r="AB5277" i="1"/>
  <c r="AB5276" i="1"/>
  <c r="AB5275" i="1"/>
  <c r="AB5274" i="1"/>
  <c r="AB5273" i="1"/>
  <c r="AB5272" i="1"/>
  <c r="AB5271" i="1"/>
  <c r="AB5270" i="1"/>
  <c r="AB5269" i="1"/>
  <c r="AB5268" i="1"/>
  <c r="AB5267" i="1"/>
  <c r="AB5266" i="1"/>
  <c r="AB5265" i="1"/>
  <c r="AB5264" i="1"/>
  <c r="AB5263" i="1"/>
  <c r="AB5262" i="1"/>
  <c r="AB5261" i="1"/>
  <c r="AB5260" i="1"/>
  <c r="AB5259" i="1"/>
  <c r="AB5258" i="1"/>
  <c r="AB5257" i="1"/>
  <c r="AB5256" i="1"/>
  <c r="AB5255" i="1"/>
  <c r="AB5254" i="1"/>
  <c r="AB5253" i="1"/>
  <c r="AB5252" i="1"/>
  <c r="AB5251" i="1"/>
  <c r="AB5250" i="1"/>
  <c r="AB5249" i="1"/>
  <c r="AB5248" i="1"/>
  <c r="AB5247" i="1"/>
  <c r="AB5246" i="1"/>
  <c r="AB5245" i="1"/>
  <c r="AB5244" i="1"/>
  <c r="AB5243" i="1"/>
  <c r="AB5242" i="1"/>
  <c r="AB5241" i="1"/>
  <c r="AB5240" i="1"/>
  <c r="AB5239" i="1"/>
  <c r="AB5238" i="1"/>
  <c r="AB5237" i="1"/>
  <c r="AB5236" i="1"/>
  <c r="AB5235" i="1"/>
  <c r="AB5234" i="1"/>
  <c r="AB5233" i="1"/>
  <c r="AB5232" i="1"/>
  <c r="AB5231" i="1"/>
  <c r="AB5230" i="1"/>
  <c r="AB5229" i="1"/>
  <c r="AB5228" i="1"/>
  <c r="AB5227" i="1"/>
  <c r="AB5226" i="1"/>
  <c r="AB5225" i="1"/>
  <c r="AB5224" i="1"/>
  <c r="AB5223" i="1"/>
  <c r="AB5222" i="1"/>
  <c r="AB5221" i="1"/>
  <c r="AB5220" i="1"/>
  <c r="AB5219" i="1"/>
  <c r="AB5218" i="1"/>
  <c r="AB5217" i="1"/>
  <c r="AB5216" i="1"/>
  <c r="AB5215" i="1"/>
  <c r="AB5214" i="1"/>
  <c r="AB5213" i="1"/>
  <c r="AB5212" i="1"/>
  <c r="AB5211" i="1"/>
  <c r="AB5210" i="1"/>
  <c r="AB5209" i="1"/>
  <c r="AB5208" i="1"/>
  <c r="AB5207" i="1"/>
  <c r="AB5206" i="1"/>
  <c r="AB5205" i="1"/>
  <c r="AB5204" i="1"/>
  <c r="AB5203" i="1"/>
  <c r="AB5202" i="1"/>
  <c r="AB5201" i="1"/>
  <c r="AB5200" i="1"/>
  <c r="AB5199" i="1"/>
  <c r="AB5198" i="1"/>
  <c r="AB5197" i="1"/>
  <c r="AB5196" i="1"/>
  <c r="AB5195" i="1"/>
  <c r="AB5194" i="1"/>
  <c r="AB5193" i="1"/>
  <c r="AB5192" i="1"/>
  <c r="AB5191" i="1"/>
  <c r="AB5190" i="1"/>
  <c r="AB5189" i="1"/>
  <c r="AB5188" i="1"/>
  <c r="AB5187" i="1"/>
  <c r="AB5186" i="1"/>
  <c r="AB5185" i="1"/>
  <c r="AB5184" i="1"/>
  <c r="AB5183" i="1"/>
  <c r="AB5182" i="1"/>
  <c r="AB5181" i="1"/>
  <c r="AB5180" i="1"/>
  <c r="AB5179" i="1"/>
  <c r="AB5178" i="1"/>
  <c r="AB5177" i="1"/>
  <c r="AB5176" i="1"/>
  <c r="AB5175" i="1"/>
  <c r="AB5174" i="1"/>
  <c r="AB5173" i="1"/>
  <c r="AB5172" i="1"/>
  <c r="AB5171" i="1"/>
  <c r="AB5170" i="1"/>
  <c r="AB5169" i="1"/>
  <c r="AB5168" i="1"/>
  <c r="AB5167" i="1"/>
  <c r="AB5166" i="1"/>
  <c r="AB5165" i="1"/>
  <c r="AB5164" i="1"/>
  <c r="AB5163" i="1"/>
  <c r="AB5162" i="1"/>
  <c r="AB5161" i="1"/>
  <c r="AB5160" i="1"/>
  <c r="AB5159" i="1"/>
  <c r="AB5158" i="1"/>
  <c r="AB5157" i="1"/>
  <c r="AB5156" i="1"/>
  <c r="AB5155" i="1"/>
  <c r="AB5154" i="1"/>
  <c r="AB5153" i="1"/>
  <c r="AB5152" i="1"/>
  <c r="AB5151" i="1"/>
  <c r="AB5150" i="1"/>
  <c r="AB5149" i="1"/>
  <c r="AB5148" i="1"/>
  <c r="AB5147" i="1"/>
  <c r="AB5146" i="1"/>
  <c r="AB5145" i="1"/>
  <c r="AB5144" i="1"/>
  <c r="AB5143" i="1"/>
  <c r="AB5142" i="1"/>
  <c r="AB5141" i="1"/>
  <c r="AB5140" i="1"/>
  <c r="AB5139" i="1"/>
  <c r="AB5138" i="1"/>
  <c r="AB5137" i="1"/>
  <c r="AB5136" i="1"/>
  <c r="AB5135" i="1"/>
  <c r="AB5134" i="1"/>
  <c r="AB5133" i="1"/>
  <c r="AB5132" i="1"/>
  <c r="AB5131" i="1"/>
  <c r="AB5130" i="1"/>
  <c r="AB5129" i="1"/>
  <c r="AB5128" i="1"/>
  <c r="AB5127" i="1"/>
  <c r="AB5126" i="1"/>
  <c r="AB5125" i="1"/>
  <c r="AB5124" i="1"/>
  <c r="AB5123" i="1"/>
  <c r="AB5122" i="1"/>
  <c r="AB5121" i="1"/>
  <c r="AB5120" i="1"/>
  <c r="AB5119" i="1"/>
  <c r="AB5118" i="1"/>
  <c r="AB5117" i="1"/>
  <c r="AB5116" i="1"/>
  <c r="AB5115" i="1"/>
  <c r="AB5114" i="1"/>
  <c r="AB5113" i="1"/>
  <c r="AB5112" i="1"/>
  <c r="AB5111" i="1"/>
  <c r="AB5110" i="1"/>
  <c r="AB5109" i="1"/>
  <c r="AB5108" i="1"/>
  <c r="AB5107" i="1"/>
  <c r="AB5106" i="1"/>
  <c r="AB5105" i="1"/>
  <c r="AB5104" i="1"/>
  <c r="AB5103" i="1"/>
  <c r="AB5102" i="1"/>
  <c r="AB5101" i="1"/>
  <c r="AB5100" i="1"/>
  <c r="AB5099" i="1"/>
  <c r="AB5098" i="1"/>
  <c r="AB5097" i="1"/>
  <c r="AB5096" i="1"/>
  <c r="AB5095" i="1"/>
  <c r="AB5094" i="1"/>
  <c r="AB5093" i="1"/>
  <c r="AB5092" i="1"/>
  <c r="AB5091" i="1"/>
  <c r="AB5090" i="1"/>
  <c r="AB5089" i="1"/>
  <c r="AB5088" i="1"/>
  <c r="AB5087" i="1"/>
  <c r="AB5086" i="1"/>
  <c r="AB5085" i="1"/>
  <c r="AB5084" i="1"/>
  <c r="AB5083" i="1"/>
  <c r="AB5082" i="1"/>
  <c r="AB5081" i="1"/>
  <c r="AB5080" i="1"/>
  <c r="AB5079" i="1"/>
  <c r="AB5078" i="1"/>
  <c r="AB5077" i="1"/>
  <c r="AB5076" i="1"/>
  <c r="AB5075" i="1"/>
  <c r="AB5074" i="1"/>
  <c r="AB5073" i="1"/>
  <c r="AB5072" i="1"/>
  <c r="AB5071" i="1"/>
  <c r="AB5070" i="1"/>
  <c r="AB5069" i="1"/>
  <c r="AB5068" i="1"/>
  <c r="AB5067" i="1"/>
  <c r="AB5066" i="1"/>
  <c r="AB5065" i="1"/>
  <c r="AB5064" i="1"/>
  <c r="AB5063" i="1"/>
  <c r="AB5062" i="1"/>
  <c r="AB5061" i="1"/>
  <c r="AB5060" i="1"/>
  <c r="AB5059" i="1"/>
  <c r="AB5058" i="1"/>
  <c r="AB5057" i="1"/>
  <c r="AB5056" i="1"/>
  <c r="AB5055" i="1"/>
  <c r="AB5054" i="1"/>
  <c r="AB5053" i="1"/>
  <c r="AB5052" i="1"/>
  <c r="AB5051" i="1"/>
  <c r="AB5050" i="1"/>
  <c r="AB5049" i="1"/>
  <c r="AB5048" i="1"/>
  <c r="AB5047" i="1"/>
  <c r="AB5046" i="1"/>
  <c r="AB5045" i="1"/>
  <c r="AB5044" i="1"/>
  <c r="AB5043" i="1"/>
  <c r="AB5042" i="1"/>
  <c r="AB5041" i="1"/>
  <c r="AB5040" i="1"/>
  <c r="AB5039" i="1"/>
  <c r="AB5038" i="1"/>
  <c r="AB5037" i="1"/>
  <c r="AB5036" i="1"/>
  <c r="AB5035" i="1"/>
  <c r="AB5034" i="1"/>
  <c r="AB5033" i="1"/>
  <c r="AB5032" i="1"/>
  <c r="AB5031" i="1"/>
  <c r="AB5030" i="1"/>
  <c r="AB5029" i="1"/>
  <c r="AB5028" i="1"/>
  <c r="AB5027" i="1"/>
  <c r="AB5026" i="1"/>
  <c r="AB5025" i="1"/>
  <c r="AB5024" i="1"/>
  <c r="AB5023" i="1"/>
  <c r="AB5022" i="1"/>
  <c r="AB5021" i="1"/>
  <c r="AB5020" i="1"/>
  <c r="AB5019" i="1"/>
  <c r="AB5018" i="1"/>
  <c r="AB5017" i="1"/>
  <c r="AB5016" i="1"/>
  <c r="AB5015" i="1"/>
  <c r="AB5014" i="1"/>
  <c r="AB5013" i="1"/>
  <c r="AB5012" i="1"/>
  <c r="AB5011" i="1"/>
  <c r="AB5010" i="1"/>
  <c r="AB5009" i="1"/>
  <c r="AB5008" i="1"/>
  <c r="AB5007" i="1"/>
  <c r="AB5006" i="1"/>
  <c r="AB5005" i="1"/>
  <c r="AB5004" i="1"/>
  <c r="AB5003" i="1"/>
  <c r="AB5002" i="1"/>
  <c r="AB5001" i="1"/>
  <c r="AB5000" i="1"/>
  <c r="AB4999" i="1"/>
  <c r="AB4998" i="1"/>
  <c r="AB4997" i="1"/>
  <c r="AB4996" i="1"/>
  <c r="AB4995" i="1"/>
  <c r="AB4994" i="1"/>
  <c r="AB4993" i="1"/>
  <c r="AB4992" i="1"/>
  <c r="AB4991" i="1"/>
  <c r="AB4990" i="1"/>
  <c r="AB4989" i="1"/>
  <c r="AB4988" i="1"/>
  <c r="AB4987" i="1"/>
  <c r="AB4986" i="1"/>
  <c r="AB4985" i="1"/>
  <c r="AB4984" i="1"/>
  <c r="AB4983" i="1"/>
  <c r="AB4982" i="1"/>
  <c r="AB4981" i="1"/>
  <c r="AB4980" i="1"/>
  <c r="AB4979" i="1"/>
  <c r="AB4978" i="1"/>
  <c r="AB4977" i="1"/>
  <c r="AB4976" i="1"/>
  <c r="AB4975" i="1"/>
  <c r="AB4974" i="1"/>
  <c r="AB4973" i="1"/>
  <c r="AB4972" i="1"/>
  <c r="AB4971" i="1"/>
  <c r="AB4970" i="1"/>
  <c r="AB4969" i="1"/>
  <c r="AB4968" i="1"/>
  <c r="AB4967" i="1"/>
  <c r="AB4966" i="1"/>
  <c r="AB4965" i="1"/>
  <c r="AB4964" i="1"/>
  <c r="AB4963" i="1"/>
  <c r="AB4962" i="1"/>
  <c r="AB4961" i="1"/>
  <c r="AB4960" i="1"/>
  <c r="AB4959" i="1"/>
  <c r="AB4958" i="1"/>
  <c r="AB4957" i="1"/>
  <c r="AB4956" i="1"/>
  <c r="AB4955" i="1"/>
  <c r="AB4954" i="1"/>
  <c r="AB4953" i="1"/>
  <c r="AB4952" i="1"/>
  <c r="AB4951" i="1"/>
  <c r="AB4950" i="1"/>
  <c r="AB4949" i="1"/>
  <c r="AB4948" i="1"/>
  <c r="AB4947" i="1"/>
  <c r="AB4946" i="1"/>
  <c r="AB4945" i="1"/>
  <c r="AB4944" i="1"/>
  <c r="AB4943" i="1"/>
  <c r="AB4942" i="1"/>
  <c r="AB4941" i="1"/>
  <c r="AB4940" i="1"/>
  <c r="AB4939" i="1"/>
  <c r="AB4938" i="1"/>
  <c r="AB4937" i="1"/>
  <c r="AB4936" i="1"/>
  <c r="AB4935" i="1"/>
  <c r="AB4934" i="1"/>
  <c r="AB4933" i="1"/>
  <c r="AB4932" i="1"/>
  <c r="AB4931" i="1"/>
  <c r="AB4930" i="1"/>
  <c r="AB4929" i="1"/>
  <c r="AB4928" i="1"/>
  <c r="AB4927" i="1"/>
  <c r="AB4926" i="1"/>
  <c r="AB4925" i="1"/>
  <c r="AB4924" i="1"/>
  <c r="AB4923" i="1"/>
  <c r="AB4922" i="1"/>
  <c r="AB4921" i="1"/>
  <c r="AB4920" i="1"/>
  <c r="AB4919" i="1"/>
  <c r="AB4918" i="1"/>
  <c r="AB4917" i="1"/>
  <c r="AB4916" i="1"/>
  <c r="AB4915" i="1"/>
  <c r="AB4914" i="1"/>
  <c r="AB4913" i="1"/>
  <c r="AB4912" i="1"/>
  <c r="AB4911" i="1"/>
  <c r="AB4910" i="1"/>
  <c r="AB4909" i="1"/>
  <c r="AB4908" i="1"/>
  <c r="AB4907" i="1"/>
  <c r="AB4906" i="1"/>
  <c r="AB4905" i="1"/>
  <c r="AB4904" i="1"/>
  <c r="AB4903" i="1"/>
  <c r="AB4902" i="1"/>
  <c r="AB4901" i="1"/>
  <c r="AB4900" i="1"/>
  <c r="AB4899" i="1"/>
  <c r="AB4898" i="1"/>
  <c r="AB4897" i="1"/>
  <c r="AB4896" i="1"/>
  <c r="AB4895" i="1"/>
  <c r="AB4894" i="1"/>
  <c r="AB4893" i="1"/>
  <c r="AB4892" i="1"/>
  <c r="AB4891" i="1"/>
  <c r="AB4890" i="1"/>
  <c r="AB4889" i="1"/>
  <c r="AB4888" i="1"/>
  <c r="AB4887" i="1"/>
  <c r="AB4886" i="1"/>
  <c r="AB4885" i="1"/>
  <c r="AB4884" i="1"/>
  <c r="AB4883" i="1"/>
  <c r="AB4882" i="1"/>
  <c r="AB4881" i="1"/>
  <c r="AB4880" i="1"/>
  <c r="AB4879" i="1"/>
  <c r="AB4878" i="1"/>
  <c r="AB4877" i="1"/>
  <c r="AB4876" i="1"/>
  <c r="AB4875" i="1"/>
  <c r="AB4874" i="1"/>
  <c r="AB4873" i="1"/>
  <c r="AB4872" i="1"/>
  <c r="AB4871" i="1"/>
  <c r="AB4870" i="1"/>
  <c r="AB4869" i="1"/>
  <c r="AB4868" i="1"/>
  <c r="AB4867" i="1"/>
  <c r="AB4866" i="1"/>
  <c r="AB4865" i="1"/>
  <c r="AB4864" i="1"/>
  <c r="AB4863" i="1"/>
  <c r="AB4862" i="1"/>
  <c r="AB4861" i="1"/>
  <c r="AB4860" i="1"/>
  <c r="AB4859" i="1"/>
  <c r="AB4858" i="1"/>
  <c r="AB4857" i="1"/>
  <c r="AB4856" i="1"/>
  <c r="AB4855" i="1"/>
  <c r="AB4854" i="1"/>
  <c r="AB4853" i="1"/>
  <c r="AB4852" i="1"/>
  <c r="AB4851" i="1"/>
  <c r="AB4850" i="1"/>
  <c r="AB4849" i="1"/>
  <c r="AB4848" i="1"/>
  <c r="AB4847" i="1"/>
  <c r="AB4846" i="1"/>
  <c r="AB4845" i="1"/>
  <c r="AB4844" i="1"/>
  <c r="AB4843" i="1"/>
  <c r="AB4842" i="1"/>
  <c r="AB4841" i="1"/>
  <c r="AB4840" i="1"/>
  <c r="AB4839" i="1"/>
  <c r="AB4838" i="1"/>
  <c r="AB4837" i="1"/>
  <c r="AB4836" i="1"/>
  <c r="AB4835" i="1"/>
  <c r="AB4834" i="1"/>
  <c r="AB4833" i="1"/>
  <c r="AB4832" i="1"/>
  <c r="AB4831" i="1"/>
  <c r="AB4830" i="1"/>
  <c r="AB4829" i="1"/>
  <c r="AB4828" i="1"/>
  <c r="AB4827" i="1"/>
  <c r="AB4826" i="1"/>
  <c r="AB4825" i="1"/>
  <c r="AB4824" i="1"/>
  <c r="AB4823" i="1"/>
  <c r="AB4822" i="1"/>
  <c r="AB4821" i="1"/>
  <c r="AB4820" i="1"/>
  <c r="AB4819" i="1"/>
  <c r="AB4818" i="1"/>
  <c r="AB4817" i="1"/>
  <c r="AB4816" i="1"/>
  <c r="AB4815" i="1"/>
  <c r="AB4814" i="1"/>
  <c r="AB4813" i="1"/>
  <c r="AB4812" i="1"/>
  <c r="AB4811" i="1"/>
  <c r="AB4810" i="1"/>
  <c r="AB4809" i="1"/>
  <c r="AB4808" i="1"/>
  <c r="AB4807" i="1"/>
  <c r="AB4806" i="1"/>
  <c r="AB4805" i="1"/>
  <c r="AB4804" i="1"/>
  <c r="AB4803" i="1"/>
  <c r="AB4802" i="1"/>
  <c r="AB4801" i="1"/>
  <c r="AB4800" i="1"/>
  <c r="AB4799" i="1"/>
  <c r="AB4798" i="1"/>
  <c r="AB4797" i="1"/>
  <c r="AB4796" i="1"/>
  <c r="AB4795" i="1"/>
  <c r="AB4794" i="1"/>
  <c r="AB4793" i="1"/>
  <c r="AB4792" i="1"/>
  <c r="AB4791" i="1"/>
  <c r="AB4790" i="1"/>
  <c r="AB4789" i="1"/>
  <c r="AB4788" i="1"/>
  <c r="AB4787" i="1"/>
  <c r="AB4786" i="1"/>
  <c r="AB4785" i="1"/>
  <c r="AB4784" i="1"/>
  <c r="AB4783" i="1"/>
  <c r="AB4782" i="1"/>
  <c r="AB4781" i="1"/>
  <c r="AB4780" i="1"/>
  <c r="AB4779" i="1"/>
  <c r="AB4778" i="1"/>
  <c r="AB4777" i="1"/>
  <c r="AB4776" i="1"/>
  <c r="AB4775" i="1"/>
  <c r="AB4774" i="1"/>
  <c r="AB4773" i="1"/>
  <c r="AB4772" i="1"/>
  <c r="AB4771" i="1"/>
  <c r="AB4770" i="1"/>
  <c r="AB4769" i="1"/>
  <c r="AB4768" i="1"/>
  <c r="AB4767" i="1"/>
  <c r="AB4766" i="1"/>
  <c r="AB4765" i="1"/>
  <c r="AB4764" i="1"/>
  <c r="AB4763" i="1"/>
  <c r="AB4762" i="1"/>
  <c r="AB4761" i="1"/>
  <c r="AB4760" i="1"/>
  <c r="AB4759" i="1"/>
  <c r="AB4758" i="1"/>
  <c r="AB4757" i="1"/>
  <c r="AB4756" i="1"/>
  <c r="AB4755" i="1"/>
  <c r="AB4754" i="1"/>
  <c r="AB4753" i="1"/>
  <c r="AB4752" i="1"/>
  <c r="AB4751" i="1"/>
  <c r="AB4750" i="1"/>
  <c r="AB4749" i="1"/>
  <c r="AB4748" i="1"/>
  <c r="AB4747" i="1"/>
  <c r="AB4746" i="1"/>
  <c r="AB4745" i="1"/>
  <c r="AB4744" i="1"/>
  <c r="AB4743" i="1"/>
  <c r="AB4742" i="1"/>
  <c r="AB4741" i="1"/>
  <c r="AB4740" i="1"/>
  <c r="AB4739" i="1"/>
  <c r="AB4738" i="1"/>
  <c r="AB4737" i="1"/>
  <c r="AB4736" i="1"/>
  <c r="AB4735" i="1"/>
  <c r="AB4734" i="1"/>
  <c r="AB4733" i="1"/>
  <c r="AB4732" i="1"/>
  <c r="AB4731" i="1"/>
  <c r="AB4730" i="1"/>
  <c r="AB4729" i="1"/>
  <c r="AB4728" i="1"/>
  <c r="AB4727" i="1"/>
  <c r="AB4726" i="1"/>
  <c r="AB4725" i="1"/>
  <c r="AB4724" i="1"/>
  <c r="AB4723" i="1"/>
  <c r="AB4722" i="1"/>
  <c r="AB4721" i="1"/>
  <c r="AB4720" i="1"/>
  <c r="AB4719" i="1"/>
  <c r="AB4718" i="1"/>
  <c r="AB4717" i="1"/>
  <c r="AB4716" i="1"/>
  <c r="AB4715" i="1"/>
  <c r="AB4714" i="1"/>
  <c r="AB4713" i="1"/>
  <c r="AB4712" i="1"/>
  <c r="AB4711" i="1"/>
  <c r="AB4710" i="1"/>
  <c r="AB4709" i="1"/>
  <c r="AB4708" i="1"/>
  <c r="AB4707" i="1"/>
  <c r="AB4706" i="1"/>
  <c r="AB4705" i="1"/>
  <c r="AB4704" i="1"/>
  <c r="AB4703" i="1"/>
  <c r="AB4702" i="1"/>
  <c r="AB4701" i="1"/>
  <c r="AB4700" i="1"/>
  <c r="AB4699" i="1"/>
  <c r="AB4698" i="1"/>
  <c r="AB4697" i="1"/>
  <c r="AB4696" i="1"/>
  <c r="AB4695" i="1"/>
  <c r="AB4694" i="1"/>
  <c r="AB4693" i="1"/>
  <c r="AB4692" i="1"/>
  <c r="AB4691" i="1"/>
  <c r="AB4690" i="1"/>
  <c r="AB4689" i="1"/>
  <c r="AB4688" i="1"/>
  <c r="AB4687" i="1"/>
  <c r="AB4686" i="1"/>
  <c r="AB4685" i="1"/>
  <c r="AB4684" i="1"/>
  <c r="AB4683" i="1"/>
  <c r="AB4682" i="1"/>
  <c r="AB4681" i="1"/>
  <c r="AB4680" i="1"/>
  <c r="AB4679" i="1"/>
  <c r="AB4678" i="1"/>
  <c r="AB4677" i="1"/>
  <c r="AB4676" i="1"/>
  <c r="AB4675" i="1"/>
  <c r="AB4674" i="1"/>
  <c r="AB4673" i="1"/>
  <c r="AB4672" i="1"/>
  <c r="AB4671" i="1"/>
  <c r="AB4670" i="1"/>
  <c r="AB4669" i="1"/>
  <c r="AB4668" i="1"/>
  <c r="AB4667" i="1"/>
  <c r="AB4666" i="1"/>
  <c r="AB4665" i="1"/>
  <c r="AB4664" i="1"/>
  <c r="AB4663" i="1"/>
  <c r="AB4662" i="1"/>
  <c r="AB4661" i="1"/>
  <c r="AB4660" i="1"/>
  <c r="AB4659" i="1"/>
  <c r="AB4658" i="1"/>
  <c r="AB4657" i="1"/>
  <c r="AB4656" i="1"/>
  <c r="AB4655" i="1"/>
  <c r="AB4654" i="1"/>
  <c r="AB4653" i="1"/>
  <c r="AB4652" i="1"/>
  <c r="AB4651" i="1"/>
  <c r="AB4650" i="1"/>
  <c r="AB4649" i="1"/>
  <c r="AB4648" i="1"/>
  <c r="AB4647" i="1"/>
  <c r="AB4646" i="1"/>
  <c r="AB4645" i="1"/>
  <c r="AB4644" i="1"/>
  <c r="AB4643" i="1"/>
  <c r="AB4642" i="1"/>
  <c r="AB4641" i="1"/>
  <c r="AB4640" i="1"/>
  <c r="AB4639" i="1"/>
  <c r="AB4638" i="1"/>
  <c r="AB4637" i="1"/>
  <c r="AB4636" i="1"/>
  <c r="AB4635" i="1"/>
  <c r="AB4634" i="1"/>
  <c r="AB4633" i="1"/>
  <c r="AB4632" i="1"/>
  <c r="AB4631" i="1"/>
  <c r="AB4630" i="1"/>
  <c r="AB4629" i="1"/>
  <c r="AB4628" i="1"/>
  <c r="AB4627" i="1"/>
  <c r="AB4626" i="1"/>
  <c r="AB4625" i="1"/>
  <c r="AB4624" i="1"/>
  <c r="AB4623" i="1"/>
  <c r="AB4622" i="1"/>
  <c r="AB4621" i="1"/>
  <c r="AB4620" i="1"/>
  <c r="AB4619" i="1"/>
  <c r="AB4618" i="1"/>
  <c r="AB4617" i="1"/>
  <c r="AB4616" i="1"/>
  <c r="AB4615" i="1"/>
  <c r="AB4614" i="1"/>
  <c r="AB4613" i="1"/>
  <c r="AB4612" i="1"/>
  <c r="AB4611" i="1"/>
  <c r="AB4610" i="1"/>
  <c r="AB4609" i="1"/>
  <c r="AB4608" i="1"/>
  <c r="AB4607" i="1"/>
  <c r="AB4606" i="1"/>
  <c r="AB4605" i="1"/>
  <c r="AB4604" i="1"/>
  <c r="AB4603" i="1"/>
  <c r="AB4602" i="1"/>
  <c r="AB4601" i="1"/>
  <c r="AB4600" i="1"/>
  <c r="AB4599" i="1"/>
  <c r="AB4598" i="1"/>
  <c r="AB4597" i="1"/>
  <c r="AB4596" i="1"/>
  <c r="AB4595" i="1"/>
  <c r="AB4594" i="1"/>
  <c r="AB4593" i="1"/>
  <c r="AB4592" i="1"/>
  <c r="AB4591" i="1"/>
  <c r="AB4590" i="1"/>
  <c r="AB4589" i="1"/>
  <c r="AB4588" i="1"/>
  <c r="AB4587" i="1"/>
  <c r="AB4586" i="1"/>
  <c r="AB4585" i="1"/>
  <c r="AB4584" i="1"/>
  <c r="AB4583" i="1"/>
  <c r="AB4582" i="1"/>
  <c r="AB4581" i="1"/>
  <c r="AB4580" i="1"/>
  <c r="AB4579" i="1"/>
  <c r="AB4578" i="1"/>
  <c r="AB4577" i="1"/>
  <c r="AB4576" i="1"/>
  <c r="AB4575" i="1"/>
  <c r="AB4574" i="1"/>
  <c r="AB4573" i="1"/>
  <c r="AB4572" i="1"/>
  <c r="AB4571" i="1"/>
  <c r="AB4570" i="1"/>
  <c r="AB4569" i="1"/>
  <c r="AB4568" i="1"/>
  <c r="AB4567" i="1"/>
  <c r="AB4566" i="1"/>
  <c r="AB4565" i="1"/>
  <c r="AB4564" i="1"/>
  <c r="AB4563" i="1"/>
  <c r="AB4562" i="1"/>
  <c r="AB4561" i="1"/>
  <c r="AB4560" i="1"/>
  <c r="AB4559" i="1"/>
  <c r="AB4558" i="1"/>
  <c r="AB4557" i="1"/>
  <c r="AB4556" i="1"/>
  <c r="AB4555" i="1"/>
  <c r="AB4554" i="1"/>
  <c r="AB4553" i="1"/>
  <c r="AB4552" i="1"/>
  <c r="AB4551" i="1"/>
  <c r="AB4550" i="1"/>
  <c r="AB4549" i="1"/>
  <c r="AB4548" i="1"/>
  <c r="AB4547" i="1"/>
  <c r="AB4546" i="1"/>
  <c r="AB4545" i="1"/>
  <c r="AB4544" i="1"/>
  <c r="AB4543" i="1"/>
  <c r="AB4542" i="1"/>
  <c r="AB4541" i="1"/>
  <c r="AB4540" i="1"/>
  <c r="AB4539" i="1"/>
  <c r="AB4538" i="1"/>
  <c r="AB4537" i="1"/>
  <c r="AB4536" i="1"/>
  <c r="AB4535" i="1"/>
  <c r="AB4534" i="1"/>
  <c r="AB4533" i="1"/>
  <c r="AB4532" i="1"/>
  <c r="AB4531" i="1"/>
  <c r="AB4530" i="1"/>
  <c r="AB4529" i="1"/>
  <c r="AB4528" i="1"/>
  <c r="AB4527" i="1"/>
  <c r="AB4526" i="1"/>
  <c r="AB4525" i="1"/>
  <c r="AB4524" i="1"/>
  <c r="AB4523" i="1"/>
  <c r="AB4522" i="1"/>
  <c r="AB4521" i="1"/>
  <c r="AB4520" i="1"/>
  <c r="AB4519" i="1"/>
  <c r="AB4518" i="1"/>
  <c r="AB4517" i="1"/>
  <c r="AB4516" i="1"/>
  <c r="AB4515" i="1"/>
  <c r="AB4514" i="1"/>
  <c r="AB4513" i="1"/>
  <c r="AB4512" i="1"/>
  <c r="AB4511" i="1"/>
  <c r="AB4510" i="1"/>
  <c r="AB4509" i="1"/>
  <c r="AB4508" i="1"/>
  <c r="AB4507" i="1"/>
  <c r="AB4506" i="1"/>
  <c r="AB4505" i="1"/>
  <c r="AB4504" i="1"/>
  <c r="AB4503" i="1"/>
  <c r="AB4502" i="1"/>
  <c r="AB4501" i="1"/>
  <c r="AB4500" i="1"/>
  <c r="AB4499" i="1"/>
  <c r="AB4498" i="1"/>
  <c r="AB4497" i="1"/>
  <c r="AB4496" i="1"/>
  <c r="AB4495" i="1"/>
  <c r="AB4494" i="1"/>
  <c r="AB4493" i="1"/>
  <c r="AB4492" i="1"/>
  <c r="AB4491" i="1"/>
  <c r="AB4490" i="1"/>
  <c r="AB4489" i="1"/>
  <c r="AB4488" i="1"/>
  <c r="AB4487" i="1"/>
  <c r="AB4486" i="1"/>
  <c r="AB4485" i="1"/>
  <c r="AB4484" i="1"/>
  <c r="AB4483" i="1"/>
  <c r="AB4482" i="1"/>
  <c r="AB4481" i="1"/>
  <c r="AB4480" i="1"/>
  <c r="AB4479" i="1"/>
  <c r="AB4478" i="1"/>
  <c r="AB4477" i="1"/>
  <c r="AB4476" i="1"/>
  <c r="AB4475" i="1"/>
  <c r="AB4474" i="1"/>
  <c r="AB4473" i="1"/>
  <c r="AB4472" i="1"/>
  <c r="AB4471" i="1"/>
  <c r="AB4470" i="1"/>
  <c r="AB4469" i="1"/>
  <c r="AB4468" i="1"/>
  <c r="AB4467" i="1"/>
  <c r="AB4466" i="1"/>
  <c r="AB4465" i="1"/>
  <c r="AB4464" i="1"/>
  <c r="AB4463" i="1"/>
  <c r="AB4462" i="1"/>
  <c r="AB4461" i="1"/>
  <c r="AB4460" i="1"/>
  <c r="AB4459" i="1"/>
  <c r="AB4458" i="1"/>
  <c r="AB4457" i="1"/>
  <c r="AB4456" i="1"/>
  <c r="AB4455" i="1"/>
  <c r="AB4454" i="1"/>
  <c r="AB4453" i="1"/>
  <c r="AB4452" i="1"/>
  <c r="AB4451" i="1"/>
  <c r="AB4450" i="1"/>
  <c r="AB4449" i="1"/>
  <c r="AB4448" i="1"/>
  <c r="AB4447" i="1"/>
  <c r="AB4446" i="1"/>
  <c r="AB4445" i="1"/>
  <c r="AB4444" i="1"/>
  <c r="AB4443" i="1"/>
  <c r="AB4442" i="1"/>
  <c r="AB4441" i="1"/>
  <c r="AB4440" i="1"/>
  <c r="AB4439" i="1"/>
  <c r="AB4438" i="1"/>
  <c r="AB4437" i="1"/>
  <c r="AB4436" i="1"/>
  <c r="AB4435" i="1"/>
  <c r="AB4434" i="1"/>
  <c r="AB4433" i="1"/>
  <c r="AB4432" i="1"/>
  <c r="AB4431" i="1"/>
  <c r="AB4430" i="1"/>
  <c r="AB4429" i="1"/>
  <c r="AB4428" i="1"/>
  <c r="AB4427" i="1"/>
  <c r="AB4426" i="1"/>
  <c r="AB4425" i="1"/>
  <c r="AB4424" i="1"/>
  <c r="AB4423" i="1"/>
  <c r="AB4422" i="1"/>
  <c r="AB4421" i="1"/>
  <c r="AB4420" i="1"/>
  <c r="AB4419" i="1"/>
  <c r="AB4418" i="1"/>
  <c r="AB4417" i="1"/>
  <c r="AB4416" i="1"/>
  <c r="AB4415" i="1"/>
  <c r="AB4414" i="1"/>
  <c r="AB4413" i="1"/>
  <c r="AB4412" i="1"/>
  <c r="AB4411" i="1"/>
  <c r="AB4410" i="1"/>
  <c r="AB4409" i="1"/>
  <c r="AB4408" i="1"/>
  <c r="AB4407" i="1"/>
  <c r="AB4406" i="1"/>
  <c r="AB4405" i="1"/>
  <c r="AB4404" i="1"/>
  <c r="AB4403" i="1"/>
  <c r="AB4402" i="1"/>
  <c r="AB4401" i="1"/>
  <c r="AB4400" i="1"/>
  <c r="AB4399" i="1"/>
  <c r="AB4398" i="1"/>
  <c r="AB4397" i="1"/>
  <c r="AB4396" i="1"/>
  <c r="AB4395" i="1"/>
  <c r="AB4394" i="1"/>
  <c r="AB4393" i="1"/>
  <c r="AB4392" i="1"/>
  <c r="AB4391" i="1"/>
  <c r="AB4390" i="1"/>
  <c r="AB4389" i="1"/>
  <c r="AB4388" i="1"/>
  <c r="AB4387" i="1"/>
  <c r="AB4386" i="1"/>
  <c r="AB4385" i="1"/>
  <c r="AB4384" i="1"/>
  <c r="AB4383" i="1"/>
  <c r="AB4382" i="1"/>
  <c r="AB4381" i="1"/>
  <c r="AB4380" i="1"/>
  <c r="AB4379" i="1"/>
  <c r="AB4378" i="1"/>
  <c r="AB4377" i="1"/>
  <c r="AB4376" i="1"/>
  <c r="AB4375" i="1"/>
  <c r="AB4374" i="1"/>
  <c r="AB4373" i="1"/>
  <c r="AB4372" i="1"/>
  <c r="AB4371" i="1"/>
  <c r="AB4370" i="1"/>
  <c r="AB4369" i="1"/>
  <c r="AB4368" i="1"/>
  <c r="AB4367" i="1"/>
  <c r="AB4366" i="1"/>
  <c r="AB4365" i="1"/>
  <c r="AB4364" i="1"/>
  <c r="AB4363" i="1"/>
  <c r="AB4362" i="1"/>
  <c r="AB4361" i="1"/>
  <c r="AB4360" i="1"/>
  <c r="AB4359" i="1"/>
  <c r="AB4358" i="1"/>
  <c r="AB4357" i="1"/>
  <c r="AB4356" i="1"/>
  <c r="AB4355" i="1"/>
  <c r="AB4354" i="1"/>
  <c r="AB4353" i="1"/>
  <c r="AB4352" i="1"/>
  <c r="AB4351" i="1"/>
  <c r="AB4350" i="1"/>
  <c r="AB4349" i="1"/>
  <c r="AB4348" i="1"/>
  <c r="AB4347" i="1"/>
  <c r="AB4346" i="1"/>
  <c r="AB4345" i="1"/>
  <c r="AB4344" i="1"/>
  <c r="AB4343" i="1"/>
  <c r="AB4342" i="1"/>
  <c r="AB4341" i="1"/>
  <c r="AB4340" i="1"/>
  <c r="AB4339" i="1"/>
  <c r="AB4338" i="1"/>
  <c r="AB4337" i="1"/>
  <c r="AB4336" i="1"/>
  <c r="AB4335" i="1"/>
  <c r="AB4334" i="1"/>
  <c r="AB4333" i="1"/>
  <c r="AB4332" i="1"/>
  <c r="AB4331" i="1"/>
  <c r="AB4330" i="1"/>
  <c r="AB4329" i="1"/>
  <c r="AB4328" i="1"/>
  <c r="AB4327" i="1"/>
  <c r="AB4326" i="1"/>
  <c r="AB4325" i="1"/>
  <c r="AB4324" i="1"/>
  <c r="AB4323" i="1"/>
  <c r="AB4322" i="1"/>
  <c r="AB4321" i="1"/>
  <c r="AB4320" i="1"/>
  <c r="AB4319" i="1"/>
  <c r="AB4318" i="1"/>
  <c r="AB4317" i="1"/>
  <c r="AB4316" i="1"/>
  <c r="AB4315" i="1"/>
  <c r="AB4314" i="1"/>
  <c r="AB4313" i="1"/>
  <c r="AB4312" i="1"/>
  <c r="AB4311" i="1"/>
  <c r="AB4310" i="1"/>
  <c r="AB4309" i="1"/>
  <c r="AB4308" i="1"/>
  <c r="AB4307" i="1"/>
  <c r="AB4306" i="1"/>
  <c r="AB4305" i="1"/>
  <c r="AB4304" i="1"/>
  <c r="AB4303" i="1"/>
  <c r="AB4302" i="1"/>
  <c r="AB4301" i="1"/>
  <c r="AB4300" i="1"/>
  <c r="AB4299" i="1"/>
  <c r="AB4298" i="1"/>
  <c r="AB4297" i="1"/>
  <c r="AB4296" i="1"/>
  <c r="AB4295" i="1"/>
  <c r="AB4294" i="1"/>
  <c r="AB4293" i="1"/>
  <c r="AB4292" i="1"/>
  <c r="AB4291" i="1"/>
  <c r="AB4290" i="1"/>
  <c r="AB4289" i="1"/>
  <c r="AB4288" i="1"/>
  <c r="AB4287" i="1"/>
  <c r="AB4286" i="1"/>
  <c r="AB4285" i="1"/>
  <c r="AB4284" i="1"/>
  <c r="AB4283" i="1"/>
  <c r="AB4282" i="1"/>
  <c r="AB4281" i="1"/>
  <c r="AB4280" i="1"/>
  <c r="AB4279" i="1"/>
  <c r="AB4278" i="1"/>
  <c r="AB4277" i="1"/>
  <c r="AB4276" i="1"/>
  <c r="AB4275" i="1"/>
  <c r="AB4274" i="1"/>
  <c r="AB4273" i="1"/>
  <c r="AB4272" i="1"/>
  <c r="AB4271" i="1"/>
  <c r="AB4270" i="1"/>
  <c r="AB4269" i="1"/>
  <c r="AB4268" i="1"/>
  <c r="AB4267" i="1"/>
  <c r="AB4266" i="1"/>
  <c r="AB4265" i="1"/>
  <c r="AB4264" i="1"/>
  <c r="AB4263" i="1"/>
  <c r="AB4262" i="1"/>
  <c r="AB4261" i="1"/>
  <c r="AB4260" i="1"/>
  <c r="AB4259" i="1"/>
  <c r="AB4258" i="1"/>
  <c r="AB4257" i="1"/>
  <c r="AB4256" i="1"/>
  <c r="AB4255" i="1"/>
  <c r="AB4254" i="1"/>
  <c r="AB4253" i="1"/>
  <c r="AB4252" i="1"/>
  <c r="AB4251" i="1"/>
  <c r="AB4250" i="1"/>
  <c r="AB4249" i="1"/>
  <c r="AB4248" i="1"/>
  <c r="AB4247" i="1"/>
  <c r="AB4246" i="1"/>
  <c r="AB4245" i="1"/>
  <c r="AB4244" i="1"/>
  <c r="AB4243" i="1"/>
  <c r="AB4242" i="1"/>
  <c r="AB4241" i="1"/>
  <c r="AB4240" i="1"/>
  <c r="AB4239" i="1"/>
  <c r="AB4238" i="1"/>
  <c r="AB4237" i="1"/>
  <c r="AB4236" i="1"/>
  <c r="AB4235" i="1"/>
  <c r="AB4234" i="1"/>
  <c r="AB4233" i="1"/>
  <c r="AB4232" i="1"/>
  <c r="AB4231" i="1"/>
  <c r="AB4230" i="1"/>
  <c r="AB4229" i="1"/>
  <c r="AB4228" i="1"/>
  <c r="AB4227" i="1"/>
  <c r="AB4226" i="1"/>
  <c r="AB4225" i="1"/>
  <c r="AB4224" i="1"/>
  <c r="AB4223" i="1"/>
  <c r="AB4222" i="1"/>
  <c r="AB4221" i="1"/>
  <c r="AB4220" i="1"/>
  <c r="AB4219" i="1"/>
  <c r="AB4218" i="1"/>
  <c r="AB4217" i="1"/>
  <c r="AB4216" i="1"/>
  <c r="AB4215" i="1"/>
  <c r="AB4214" i="1"/>
  <c r="AB4213" i="1"/>
  <c r="AB4212" i="1"/>
  <c r="AB4211" i="1"/>
  <c r="AB4210" i="1"/>
  <c r="AB4209" i="1"/>
  <c r="AB4208" i="1"/>
  <c r="AB4207" i="1"/>
  <c r="AB4206" i="1"/>
  <c r="AB4205" i="1"/>
  <c r="AB4204" i="1"/>
  <c r="AB4203" i="1"/>
  <c r="AB4202" i="1"/>
  <c r="AB4201" i="1"/>
  <c r="AB4200" i="1"/>
  <c r="AB4199" i="1"/>
  <c r="AB4198" i="1"/>
  <c r="AB4197" i="1"/>
  <c r="AB4196" i="1"/>
  <c r="AB4195" i="1"/>
  <c r="AB4194" i="1"/>
  <c r="AB4193" i="1"/>
  <c r="AB4192" i="1"/>
  <c r="AB4191" i="1"/>
  <c r="AB4190" i="1"/>
  <c r="AB4189" i="1"/>
  <c r="AB4188" i="1"/>
  <c r="AB4187" i="1"/>
  <c r="AB4186" i="1"/>
  <c r="AB4185" i="1"/>
  <c r="AB4184" i="1"/>
  <c r="AB4183" i="1"/>
  <c r="AB4182" i="1"/>
  <c r="AB4181" i="1"/>
  <c r="AB4180" i="1"/>
  <c r="AB4179" i="1"/>
  <c r="AB4178" i="1"/>
  <c r="AB4177" i="1"/>
  <c r="AB4176" i="1"/>
  <c r="AB4175" i="1"/>
  <c r="AB4174" i="1"/>
  <c r="AB4173" i="1"/>
  <c r="AB4172" i="1"/>
  <c r="AB4171" i="1"/>
  <c r="AB4170" i="1"/>
  <c r="AB4169" i="1"/>
  <c r="AB4168" i="1"/>
  <c r="AB4167" i="1"/>
  <c r="AB4166" i="1"/>
  <c r="AB4165" i="1"/>
  <c r="AB4164" i="1"/>
  <c r="AB4163" i="1"/>
  <c r="AB4162" i="1"/>
  <c r="AB4161" i="1"/>
  <c r="AB4160" i="1"/>
  <c r="AB4159" i="1"/>
  <c r="AB4158" i="1"/>
  <c r="AB4157" i="1"/>
  <c r="AB4156" i="1"/>
  <c r="AB4155" i="1"/>
  <c r="AB4154" i="1"/>
  <c r="AB4153" i="1"/>
  <c r="AB4152" i="1"/>
  <c r="AB4151" i="1"/>
  <c r="AB4150" i="1"/>
  <c r="AB4149" i="1"/>
  <c r="AB4148" i="1"/>
  <c r="AB4147" i="1"/>
  <c r="AB4146" i="1"/>
  <c r="AB4145" i="1"/>
  <c r="AB4144" i="1"/>
  <c r="AB4143" i="1"/>
  <c r="AB4142" i="1"/>
  <c r="AB4141" i="1"/>
  <c r="AB4140" i="1"/>
  <c r="AB4139" i="1"/>
  <c r="AB4138" i="1"/>
  <c r="AB4137" i="1"/>
  <c r="AB4136" i="1"/>
  <c r="AB4135" i="1"/>
  <c r="AB4134" i="1"/>
  <c r="AB4133" i="1"/>
  <c r="AB4132" i="1"/>
  <c r="AB4131" i="1"/>
  <c r="AB4130" i="1"/>
  <c r="AB4129" i="1"/>
  <c r="AB4128" i="1"/>
  <c r="AB4127" i="1"/>
  <c r="AB4126" i="1"/>
  <c r="AB4125" i="1"/>
  <c r="AB4124" i="1"/>
  <c r="AB4123" i="1"/>
  <c r="AB4122" i="1"/>
  <c r="AB4121" i="1"/>
  <c r="AB4120" i="1"/>
  <c r="AB4119" i="1"/>
  <c r="AB4118" i="1"/>
  <c r="AB4117" i="1"/>
  <c r="AB4116" i="1"/>
  <c r="AB4115" i="1"/>
  <c r="AB4114" i="1"/>
  <c r="AB4113" i="1"/>
  <c r="AB4112" i="1"/>
  <c r="AB4111" i="1"/>
  <c r="AB4110" i="1"/>
  <c r="AB4109" i="1"/>
  <c r="AB4108" i="1"/>
  <c r="AB4107" i="1"/>
  <c r="AB4106" i="1"/>
  <c r="AB4105" i="1"/>
  <c r="AB4104" i="1"/>
  <c r="AB4103" i="1"/>
  <c r="AB4102" i="1"/>
  <c r="AB4101" i="1"/>
  <c r="AB4100" i="1"/>
  <c r="AB4099" i="1"/>
  <c r="AB4098" i="1"/>
  <c r="AB4097" i="1"/>
  <c r="AB4096" i="1"/>
  <c r="AB4095" i="1"/>
  <c r="AB4094" i="1"/>
  <c r="AB4093" i="1"/>
  <c r="AB4092" i="1"/>
  <c r="AB4091" i="1"/>
  <c r="AB4090" i="1"/>
  <c r="AB4089" i="1"/>
  <c r="AB4088" i="1"/>
  <c r="AB4087" i="1"/>
  <c r="AB4086" i="1"/>
  <c r="AB4085" i="1"/>
  <c r="AB4084" i="1"/>
  <c r="AB4083" i="1"/>
  <c r="AB4082" i="1"/>
  <c r="AB4081" i="1"/>
  <c r="AB4080" i="1"/>
  <c r="AB4079" i="1"/>
  <c r="AB4078" i="1"/>
  <c r="AB4077" i="1"/>
  <c r="AB4076" i="1"/>
  <c r="AB4075" i="1"/>
  <c r="AB4074" i="1"/>
  <c r="AB4073" i="1"/>
  <c r="AB4072" i="1"/>
  <c r="AB4071" i="1"/>
  <c r="AB4070" i="1"/>
  <c r="AB4069" i="1"/>
  <c r="AB4068" i="1"/>
  <c r="AB4067" i="1"/>
  <c r="AB4066" i="1"/>
  <c r="AB4065" i="1"/>
  <c r="AB4064" i="1"/>
  <c r="AB4063" i="1"/>
  <c r="AB4062" i="1"/>
  <c r="AB4061" i="1"/>
  <c r="AB4060" i="1"/>
  <c r="AB4059" i="1"/>
  <c r="AB4058" i="1"/>
  <c r="AB4057" i="1"/>
  <c r="AB4056" i="1"/>
  <c r="AB4055" i="1"/>
  <c r="AB4054" i="1"/>
  <c r="AB4053" i="1"/>
  <c r="AB4052" i="1"/>
  <c r="AB4051" i="1"/>
  <c r="AB4050" i="1"/>
  <c r="AB4049" i="1"/>
  <c r="AB4048" i="1"/>
  <c r="AB4047" i="1"/>
  <c r="AB4046" i="1"/>
  <c r="AB4045" i="1"/>
  <c r="AB4044" i="1"/>
  <c r="AB4043" i="1"/>
  <c r="AB4042" i="1"/>
  <c r="AB4041" i="1"/>
  <c r="AB4040" i="1"/>
  <c r="AB4039" i="1"/>
  <c r="AB4038" i="1"/>
  <c r="AB4037" i="1"/>
  <c r="AB4036" i="1"/>
  <c r="AB4035" i="1"/>
  <c r="AB4034" i="1"/>
  <c r="AB4033" i="1"/>
  <c r="AB4032" i="1"/>
  <c r="AB4031" i="1"/>
  <c r="AB4030" i="1"/>
  <c r="AB4029" i="1"/>
  <c r="AB4028" i="1"/>
  <c r="AB4027" i="1"/>
  <c r="AB4026" i="1"/>
  <c r="AB4025" i="1"/>
  <c r="AB4024" i="1"/>
  <c r="AB4023" i="1"/>
  <c r="AB4022" i="1"/>
  <c r="AB4021" i="1"/>
  <c r="AB4020" i="1"/>
  <c r="AB4019" i="1"/>
  <c r="AB4018" i="1"/>
  <c r="AB4017" i="1"/>
  <c r="AB4016" i="1"/>
  <c r="AB4015" i="1"/>
  <c r="AB4014" i="1"/>
  <c r="AB4013" i="1"/>
  <c r="AB4012" i="1"/>
  <c r="AB4011" i="1"/>
  <c r="AB4010" i="1"/>
  <c r="AB4009" i="1"/>
  <c r="AB4008" i="1"/>
  <c r="AB4007" i="1"/>
  <c r="AB4006" i="1"/>
  <c r="AB4005" i="1"/>
  <c r="AB4004" i="1"/>
  <c r="AB4003" i="1"/>
  <c r="AB4002" i="1"/>
  <c r="AB4001" i="1"/>
  <c r="AB4000" i="1"/>
  <c r="AB3999" i="1"/>
  <c r="AB3998" i="1"/>
  <c r="AB3997" i="1"/>
  <c r="AB3996" i="1"/>
  <c r="AB3995" i="1"/>
  <c r="AB3994" i="1"/>
  <c r="AB3993" i="1"/>
  <c r="AB3992" i="1"/>
  <c r="AB3991" i="1"/>
  <c r="AB3990" i="1"/>
  <c r="AB3989" i="1"/>
  <c r="AB3988" i="1"/>
  <c r="AB3987" i="1"/>
  <c r="AB3986" i="1"/>
  <c r="AB3985" i="1"/>
  <c r="AB3984" i="1"/>
  <c r="AB3983" i="1"/>
  <c r="AB3982" i="1"/>
  <c r="AB3981" i="1"/>
  <c r="AB3980" i="1"/>
  <c r="AB3979" i="1"/>
  <c r="AB3978" i="1"/>
  <c r="AB3977" i="1"/>
  <c r="AB3976" i="1"/>
  <c r="AB3975" i="1"/>
  <c r="AB3974" i="1"/>
  <c r="AB3973" i="1"/>
  <c r="AB3972" i="1"/>
  <c r="AB3971" i="1"/>
  <c r="AB3970" i="1"/>
  <c r="AB3969" i="1"/>
  <c r="AB3968" i="1"/>
  <c r="AB3967" i="1"/>
  <c r="AB3966" i="1"/>
  <c r="AB3965" i="1"/>
  <c r="AB3964" i="1"/>
  <c r="AB3963" i="1"/>
  <c r="AB3962" i="1"/>
  <c r="AB3961" i="1"/>
  <c r="AB3960" i="1"/>
  <c r="AB3959" i="1"/>
  <c r="AB3958" i="1"/>
  <c r="AB3957" i="1"/>
  <c r="AB3956" i="1"/>
  <c r="AB3955" i="1"/>
  <c r="AB3954" i="1"/>
  <c r="AB3953" i="1"/>
  <c r="AB3952" i="1"/>
  <c r="AB3951" i="1"/>
  <c r="AB3950" i="1"/>
  <c r="AB3949" i="1"/>
  <c r="AB3948" i="1"/>
  <c r="AB3947" i="1"/>
  <c r="AB3946" i="1"/>
  <c r="AB3945" i="1"/>
  <c r="AB3944" i="1"/>
  <c r="AB3943" i="1"/>
  <c r="AB3942" i="1"/>
  <c r="AB3941" i="1"/>
  <c r="AB3940" i="1"/>
  <c r="AB3939" i="1"/>
  <c r="AB3938" i="1"/>
  <c r="AB3937" i="1"/>
  <c r="AB3936" i="1"/>
  <c r="AB3935" i="1"/>
  <c r="AB3934" i="1"/>
  <c r="AB3933" i="1"/>
  <c r="AB3932" i="1"/>
  <c r="AB3931" i="1"/>
  <c r="AB3930" i="1"/>
  <c r="AB3929" i="1"/>
  <c r="AB3928" i="1"/>
  <c r="AB3927" i="1"/>
  <c r="AB3926" i="1"/>
  <c r="AB3925" i="1"/>
  <c r="AB3924" i="1"/>
  <c r="AB3923" i="1"/>
  <c r="AB3922" i="1"/>
  <c r="AB3921" i="1"/>
  <c r="AB3920" i="1"/>
  <c r="AB3919" i="1"/>
  <c r="AB3918" i="1"/>
  <c r="AB3917" i="1"/>
  <c r="AB3916" i="1"/>
  <c r="AB3915" i="1"/>
  <c r="AB3914" i="1"/>
  <c r="AB3913" i="1"/>
  <c r="AB3912" i="1"/>
  <c r="AB3911" i="1"/>
  <c r="AB3910" i="1"/>
  <c r="AB3909" i="1"/>
  <c r="AB3908" i="1"/>
  <c r="AB3907" i="1"/>
  <c r="AB3906" i="1"/>
  <c r="AB3905" i="1"/>
  <c r="AB3904" i="1"/>
  <c r="AB3903" i="1"/>
  <c r="AB3902" i="1"/>
  <c r="AB3901" i="1"/>
  <c r="AB3900" i="1"/>
  <c r="AB3899" i="1"/>
  <c r="AB3898" i="1"/>
  <c r="AB3897" i="1"/>
  <c r="AB3896" i="1"/>
  <c r="AB3895" i="1"/>
  <c r="AB3894" i="1"/>
  <c r="AB3893" i="1"/>
  <c r="AB3892" i="1"/>
  <c r="AB3891" i="1"/>
  <c r="AB3890" i="1"/>
  <c r="AB3889" i="1"/>
  <c r="AB3888" i="1"/>
  <c r="AB3887" i="1"/>
  <c r="AB3886" i="1"/>
  <c r="AB3885" i="1"/>
  <c r="AB3884" i="1"/>
  <c r="AB3883" i="1"/>
  <c r="AB3882" i="1"/>
  <c r="AB3881" i="1"/>
  <c r="AB3880" i="1"/>
  <c r="AB3879" i="1"/>
  <c r="AB3878" i="1"/>
  <c r="AB3877" i="1"/>
  <c r="AB3876" i="1"/>
  <c r="AB3875" i="1"/>
  <c r="AB3874" i="1"/>
  <c r="AB3873" i="1"/>
  <c r="AB3872" i="1"/>
  <c r="AB3871" i="1"/>
  <c r="AB3870" i="1"/>
  <c r="AB3869" i="1"/>
  <c r="AB3868" i="1"/>
  <c r="AB3867" i="1"/>
  <c r="AB3866" i="1"/>
  <c r="AB3865" i="1"/>
  <c r="AB3864" i="1"/>
  <c r="AB3863" i="1"/>
  <c r="AB3862" i="1"/>
  <c r="AB3861" i="1"/>
  <c r="AB3860" i="1"/>
  <c r="AB3859" i="1"/>
  <c r="AB3858" i="1"/>
  <c r="AB3857" i="1"/>
  <c r="AB3856" i="1"/>
  <c r="AB3855" i="1"/>
  <c r="AB3854" i="1"/>
  <c r="AB3853" i="1"/>
  <c r="AB3852" i="1"/>
  <c r="AB3851" i="1"/>
  <c r="AB3850" i="1"/>
  <c r="AB3849" i="1"/>
  <c r="AB3848" i="1"/>
  <c r="AB3847" i="1"/>
  <c r="AB3846" i="1"/>
  <c r="AB3845" i="1"/>
  <c r="AB3844" i="1"/>
  <c r="AB3843" i="1"/>
  <c r="AB3842" i="1"/>
  <c r="AB3841" i="1"/>
  <c r="AB3840" i="1"/>
  <c r="AB3839" i="1"/>
  <c r="AB3838" i="1"/>
  <c r="AB3837" i="1"/>
  <c r="AB3836" i="1"/>
  <c r="AB3835" i="1"/>
  <c r="AB3834" i="1"/>
  <c r="AB3833" i="1"/>
  <c r="AB3832" i="1"/>
  <c r="AB3831" i="1"/>
  <c r="AB3830" i="1"/>
  <c r="AB3829" i="1"/>
  <c r="AB3828" i="1"/>
  <c r="AB3827" i="1"/>
  <c r="AB3826" i="1"/>
  <c r="AB3825" i="1"/>
  <c r="AB3824" i="1"/>
  <c r="AB3823" i="1"/>
  <c r="AB3822" i="1"/>
  <c r="AB3821" i="1"/>
  <c r="AB3820" i="1"/>
  <c r="AB3819" i="1"/>
  <c r="AB3818" i="1"/>
  <c r="AB3817" i="1"/>
  <c r="AB3816" i="1"/>
  <c r="AB3815" i="1"/>
  <c r="AB3814" i="1"/>
  <c r="AB3813" i="1"/>
  <c r="AB3812" i="1"/>
  <c r="AB3811" i="1"/>
  <c r="AB3810" i="1"/>
  <c r="AB3809" i="1"/>
  <c r="AB3808" i="1"/>
  <c r="AB3807" i="1"/>
  <c r="AB3806" i="1"/>
  <c r="AB3805" i="1"/>
  <c r="AB3804" i="1"/>
  <c r="AB3803" i="1"/>
  <c r="AB3802" i="1"/>
  <c r="AB3801" i="1"/>
  <c r="AB3800" i="1"/>
  <c r="AB3799" i="1"/>
  <c r="AB3798" i="1"/>
  <c r="AB3797" i="1"/>
  <c r="AB3796" i="1"/>
  <c r="AB3795" i="1"/>
  <c r="AB3794" i="1"/>
  <c r="AB3793" i="1"/>
  <c r="AB3792" i="1"/>
  <c r="AB3791" i="1"/>
  <c r="AB3790" i="1"/>
  <c r="AB3789" i="1"/>
  <c r="AB3788" i="1"/>
  <c r="AB3787" i="1"/>
  <c r="AB3786" i="1"/>
  <c r="AB3785" i="1"/>
  <c r="AB3784" i="1"/>
  <c r="AB3783" i="1"/>
  <c r="AB3782" i="1"/>
  <c r="AB3781" i="1"/>
  <c r="AB3780" i="1"/>
  <c r="AB3779" i="1"/>
  <c r="AB3778" i="1"/>
  <c r="AB3777" i="1"/>
  <c r="AB3776" i="1"/>
  <c r="AB3775" i="1"/>
  <c r="AB3774" i="1"/>
  <c r="AB3773" i="1"/>
  <c r="AB3772" i="1"/>
  <c r="AB3771" i="1"/>
  <c r="AB3770" i="1"/>
  <c r="AB3769" i="1"/>
  <c r="AB3768" i="1"/>
  <c r="AB3767" i="1"/>
  <c r="AB3766" i="1"/>
  <c r="AB3765" i="1"/>
  <c r="AB3764" i="1"/>
  <c r="AB3763" i="1"/>
  <c r="AB3762" i="1"/>
  <c r="AB3761" i="1"/>
  <c r="AB3760" i="1"/>
  <c r="AB3759" i="1"/>
  <c r="AB3758" i="1"/>
  <c r="AB3757" i="1"/>
  <c r="AB3756" i="1"/>
  <c r="AB3755" i="1"/>
  <c r="AB3754" i="1"/>
  <c r="AB3753" i="1"/>
  <c r="AB3752" i="1"/>
  <c r="AB3751" i="1"/>
  <c r="AB3750" i="1"/>
  <c r="AB3749" i="1"/>
  <c r="AB3748" i="1"/>
  <c r="AB3747" i="1"/>
  <c r="AB3746" i="1"/>
  <c r="AB3745" i="1"/>
  <c r="AB3744" i="1"/>
  <c r="AB3743" i="1"/>
  <c r="AB3742" i="1"/>
  <c r="AB3741" i="1"/>
  <c r="AB3740" i="1"/>
  <c r="AB3739" i="1"/>
  <c r="AB3738" i="1"/>
  <c r="AB3737" i="1"/>
  <c r="AB3736" i="1"/>
  <c r="AB3735" i="1"/>
  <c r="AB3734" i="1"/>
  <c r="AB3733" i="1"/>
  <c r="AB3732" i="1"/>
  <c r="AB3731" i="1"/>
  <c r="AB3730" i="1"/>
  <c r="AB3729" i="1"/>
  <c r="AB3728" i="1"/>
  <c r="AB3727" i="1"/>
  <c r="AB3726" i="1"/>
  <c r="AB3725" i="1"/>
  <c r="AB3724" i="1"/>
  <c r="AB3723" i="1"/>
  <c r="AB3722" i="1"/>
  <c r="AB3721" i="1"/>
  <c r="AB3720" i="1"/>
  <c r="AB3719" i="1"/>
  <c r="AB3718" i="1"/>
  <c r="AB3717" i="1"/>
  <c r="AB3716" i="1"/>
  <c r="AB3715" i="1"/>
  <c r="AB3714" i="1"/>
  <c r="AB3713" i="1"/>
  <c r="AB3712" i="1"/>
  <c r="AB3711" i="1"/>
  <c r="AB3710" i="1"/>
  <c r="AB3709" i="1"/>
  <c r="AB3708" i="1"/>
  <c r="AB3707" i="1"/>
  <c r="AB3706" i="1"/>
  <c r="AB3705" i="1"/>
  <c r="AB3704" i="1"/>
  <c r="AB3703" i="1"/>
  <c r="AB3702" i="1"/>
  <c r="AB3701" i="1"/>
  <c r="AB3700" i="1"/>
  <c r="AB3699" i="1"/>
  <c r="AB3698" i="1"/>
  <c r="AB3697" i="1"/>
  <c r="AB3696" i="1"/>
  <c r="AB3695" i="1"/>
  <c r="AB3694" i="1"/>
  <c r="AB3693" i="1"/>
  <c r="AB3692" i="1"/>
  <c r="AB3691" i="1"/>
  <c r="AB3690" i="1"/>
  <c r="AB3689" i="1"/>
  <c r="AB3688" i="1"/>
  <c r="AB3687" i="1"/>
  <c r="AB3686" i="1"/>
  <c r="AB3685" i="1"/>
  <c r="AB3684" i="1"/>
  <c r="AB3683" i="1"/>
  <c r="AB3682" i="1"/>
  <c r="AB3681" i="1"/>
  <c r="AB3680" i="1"/>
  <c r="AB3679" i="1"/>
  <c r="AB3678" i="1"/>
  <c r="AB3677" i="1"/>
  <c r="AB3676" i="1"/>
  <c r="AB3675" i="1"/>
  <c r="AB3674" i="1"/>
  <c r="AB3673" i="1"/>
  <c r="AB3672" i="1"/>
  <c r="AB3671" i="1"/>
  <c r="AB3670" i="1"/>
  <c r="AB3669" i="1"/>
  <c r="AB3668" i="1"/>
  <c r="AB3667" i="1"/>
  <c r="AB3666" i="1"/>
  <c r="AB3665" i="1"/>
  <c r="AB3664" i="1"/>
  <c r="AB3663" i="1"/>
  <c r="AB3662" i="1"/>
  <c r="AB3661" i="1"/>
  <c r="AB3660" i="1"/>
  <c r="AB3659" i="1"/>
  <c r="AB3658" i="1"/>
  <c r="AB3657" i="1"/>
  <c r="AB3656" i="1"/>
  <c r="AB3655" i="1"/>
  <c r="AB3654" i="1"/>
  <c r="AB3653" i="1"/>
  <c r="AB3652" i="1"/>
  <c r="AB3651" i="1"/>
  <c r="AB3650" i="1"/>
  <c r="AB3649" i="1"/>
  <c r="AB3648" i="1"/>
  <c r="AB3647" i="1"/>
  <c r="AB3646" i="1"/>
  <c r="AB3645" i="1"/>
  <c r="AB3644" i="1"/>
  <c r="AB3643" i="1"/>
  <c r="AB3642" i="1"/>
  <c r="AB3641" i="1"/>
  <c r="AB3640" i="1"/>
  <c r="AB3639" i="1"/>
  <c r="AB3638" i="1"/>
  <c r="AB3637" i="1"/>
  <c r="AB3636" i="1"/>
  <c r="AB3635" i="1"/>
  <c r="AB3634" i="1"/>
  <c r="AB3633" i="1"/>
  <c r="AB3632" i="1"/>
  <c r="AB3631" i="1"/>
  <c r="AB3630" i="1"/>
  <c r="AB3629" i="1"/>
  <c r="AB3628" i="1"/>
  <c r="AB3627" i="1"/>
  <c r="AB3626" i="1"/>
  <c r="AB3625" i="1"/>
  <c r="AB3624" i="1"/>
  <c r="AB3623" i="1"/>
  <c r="AB3622" i="1"/>
  <c r="AB3621" i="1"/>
  <c r="AB3620" i="1"/>
  <c r="AB3619" i="1"/>
  <c r="AB3618" i="1"/>
  <c r="AB3617" i="1"/>
  <c r="AB3616" i="1"/>
  <c r="AB3615" i="1"/>
  <c r="AB3614" i="1"/>
  <c r="AB3613" i="1"/>
  <c r="AB3612" i="1"/>
  <c r="AB3611" i="1"/>
  <c r="AB3610" i="1"/>
  <c r="AB3609" i="1"/>
  <c r="AB3608" i="1"/>
  <c r="AB3607" i="1"/>
  <c r="AB3606" i="1"/>
  <c r="AB3605" i="1"/>
  <c r="AB3604" i="1"/>
  <c r="AB3603" i="1"/>
  <c r="AB3602" i="1"/>
  <c r="AB3601" i="1"/>
  <c r="AB3600" i="1"/>
  <c r="AB3599" i="1"/>
  <c r="AB3598" i="1"/>
  <c r="AB3597" i="1"/>
  <c r="AB3596" i="1"/>
  <c r="AB3595" i="1"/>
  <c r="AB3594" i="1"/>
  <c r="AB3593" i="1"/>
  <c r="AB3592" i="1"/>
  <c r="AB3591" i="1"/>
  <c r="AB3590" i="1"/>
  <c r="AB3589" i="1"/>
  <c r="AB3588" i="1"/>
  <c r="AB3587" i="1"/>
  <c r="AB3586" i="1"/>
  <c r="AB3585" i="1"/>
  <c r="AB3584" i="1"/>
  <c r="AB3583" i="1"/>
  <c r="AB3582" i="1"/>
  <c r="AB3581" i="1"/>
  <c r="AB3580" i="1"/>
  <c r="AB3579" i="1"/>
  <c r="AB3578" i="1"/>
  <c r="AB3577" i="1"/>
  <c r="AB3576" i="1"/>
  <c r="AB3575" i="1"/>
  <c r="AB3574" i="1"/>
  <c r="AB3573" i="1"/>
  <c r="AB3572" i="1"/>
  <c r="AB3571" i="1"/>
  <c r="AB3570" i="1"/>
  <c r="AB3569" i="1"/>
  <c r="AB3568" i="1"/>
  <c r="AB3567" i="1"/>
  <c r="AB3566" i="1"/>
  <c r="AB3565" i="1"/>
  <c r="AB3564" i="1"/>
  <c r="AB3563" i="1"/>
  <c r="AB3562" i="1"/>
  <c r="AB3561" i="1"/>
  <c r="AB3560" i="1"/>
  <c r="AB3559" i="1"/>
  <c r="AB3558" i="1"/>
  <c r="AB3557" i="1"/>
  <c r="AB3556" i="1"/>
  <c r="AB3555" i="1"/>
  <c r="AB3554" i="1"/>
  <c r="AB3553" i="1"/>
  <c r="AB3552" i="1"/>
  <c r="AB3551" i="1"/>
  <c r="AB3550" i="1"/>
  <c r="AB3549" i="1"/>
  <c r="AB3548" i="1"/>
  <c r="AB3547" i="1"/>
  <c r="AB3546" i="1"/>
  <c r="AB3545" i="1"/>
  <c r="AB3544" i="1"/>
  <c r="AB3543" i="1"/>
  <c r="AB3542" i="1"/>
  <c r="AB3541" i="1"/>
  <c r="AB3540" i="1"/>
  <c r="AB3539" i="1"/>
  <c r="AB3538" i="1"/>
  <c r="AB3537" i="1"/>
  <c r="AB3536" i="1"/>
  <c r="AB3535" i="1"/>
  <c r="AB3534" i="1"/>
  <c r="AB3533" i="1"/>
  <c r="AB3532" i="1"/>
  <c r="AB3531" i="1"/>
  <c r="AB3530" i="1"/>
  <c r="AB3529" i="1"/>
  <c r="AB3528" i="1"/>
  <c r="AB3527" i="1"/>
  <c r="AB3526" i="1"/>
  <c r="AB3525" i="1"/>
  <c r="AB3524" i="1"/>
  <c r="AB3523" i="1"/>
  <c r="AB3522" i="1"/>
  <c r="AB3521" i="1"/>
  <c r="AB3520" i="1"/>
  <c r="AB3519" i="1"/>
  <c r="AB3518" i="1"/>
  <c r="AB3517" i="1"/>
  <c r="AB3516" i="1"/>
  <c r="AB3515" i="1"/>
  <c r="AB3514" i="1"/>
  <c r="AB3513" i="1"/>
  <c r="AB3512" i="1"/>
  <c r="AB3511" i="1"/>
  <c r="AB3510" i="1"/>
  <c r="AB3509" i="1"/>
  <c r="AB3508" i="1"/>
  <c r="AB3507" i="1"/>
  <c r="AB3506" i="1"/>
  <c r="AB3505" i="1"/>
  <c r="AB3504" i="1"/>
  <c r="AB3503" i="1"/>
  <c r="AB3502" i="1"/>
  <c r="AB3501" i="1"/>
  <c r="AB3500" i="1"/>
  <c r="AB3499" i="1"/>
  <c r="AB3498" i="1"/>
  <c r="AB3497" i="1"/>
  <c r="AB3496" i="1"/>
  <c r="AB3495" i="1"/>
  <c r="AB3494" i="1"/>
  <c r="AB3493" i="1"/>
  <c r="AB3492" i="1"/>
  <c r="AB3491" i="1"/>
  <c r="AB3490" i="1"/>
  <c r="AB3489" i="1"/>
  <c r="AB3488" i="1"/>
  <c r="AB3487" i="1"/>
  <c r="AB3486" i="1"/>
  <c r="AB3485" i="1"/>
  <c r="AB3484" i="1"/>
  <c r="AB3483" i="1"/>
  <c r="AB3482" i="1"/>
  <c r="AB3481" i="1"/>
  <c r="AB3480" i="1"/>
  <c r="AB3479" i="1"/>
  <c r="AB3478" i="1"/>
  <c r="AB3477" i="1"/>
  <c r="AB3476" i="1"/>
  <c r="AB3475" i="1"/>
  <c r="AB3474" i="1"/>
  <c r="AB3473" i="1"/>
  <c r="AB3472" i="1"/>
  <c r="AB3471" i="1"/>
  <c r="AB3470" i="1"/>
  <c r="AB3469" i="1"/>
  <c r="AB3468" i="1"/>
  <c r="AB3467" i="1"/>
  <c r="AB3466" i="1"/>
  <c r="AB3465" i="1"/>
  <c r="AB3464" i="1"/>
  <c r="AB3463" i="1"/>
  <c r="AB3462" i="1"/>
  <c r="AB3461" i="1"/>
  <c r="AB3460" i="1"/>
  <c r="AB3459" i="1"/>
  <c r="AB3458" i="1"/>
  <c r="AB3457" i="1"/>
  <c r="AB3456" i="1"/>
  <c r="AB3455" i="1"/>
  <c r="AB3454" i="1"/>
  <c r="AB3453" i="1"/>
  <c r="AB3452" i="1"/>
  <c r="AB3451" i="1"/>
  <c r="AB3450" i="1"/>
  <c r="AB3449" i="1"/>
  <c r="AB3448" i="1"/>
  <c r="AB3447" i="1"/>
  <c r="AB3446" i="1"/>
  <c r="AB3445" i="1"/>
  <c r="AB3444" i="1"/>
  <c r="AB3443" i="1"/>
  <c r="AB3442" i="1"/>
  <c r="AB3441" i="1"/>
  <c r="AB3440" i="1"/>
  <c r="AB3439" i="1"/>
  <c r="AB3438" i="1"/>
  <c r="AB3437" i="1"/>
  <c r="AB3436" i="1"/>
  <c r="AB3435" i="1"/>
  <c r="AB3434" i="1"/>
  <c r="AB3433" i="1"/>
  <c r="AB3432" i="1"/>
  <c r="AB3431" i="1"/>
  <c r="AB3430" i="1"/>
  <c r="AB3429" i="1"/>
  <c r="AB3428" i="1"/>
  <c r="AB3427" i="1"/>
  <c r="AB3426" i="1"/>
  <c r="AB3425" i="1"/>
  <c r="AB3424" i="1"/>
  <c r="AB3423" i="1"/>
  <c r="AB3422" i="1"/>
  <c r="AB3421" i="1"/>
  <c r="AB3420" i="1"/>
  <c r="AB3419" i="1"/>
  <c r="AB3418" i="1"/>
  <c r="AB3417" i="1"/>
  <c r="AB3416" i="1"/>
  <c r="AB3415" i="1"/>
  <c r="AB3414" i="1"/>
  <c r="AB3413" i="1"/>
  <c r="AB3412" i="1"/>
  <c r="AB3411" i="1"/>
  <c r="AB3410" i="1"/>
  <c r="AB3409" i="1"/>
  <c r="AB3408" i="1"/>
  <c r="AB3407" i="1"/>
  <c r="AB3406" i="1"/>
  <c r="AB3405" i="1"/>
  <c r="AB3404" i="1"/>
  <c r="AB3403" i="1"/>
  <c r="AB3402" i="1"/>
  <c r="AB3401" i="1"/>
  <c r="AB3400" i="1"/>
  <c r="AB3399" i="1"/>
  <c r="AB3398" i="1"/>
  <c r="AB3397" i="1"/>
  <c r="AB3396" i="1"/>
  <c r="AB3395" i="1"/>
  <c r="AB3394" i="1"/>
  <c r="AB3393" i="1"/>
  <c r="AB3392" i="1"/>
  <c r="AB3391" i="1"/>
  <c r="AB3390" i="1"/>
  <c r="AB3389" i="1"/>
  <c r="AB3388" i="1"/>
  <c r="AB3387" i="1"/>
  <c r="AB3386" i="1"/>
  <c r="AB3385" i="1"/>
  <c r="AB3384" i="1"/>
  <c r="AB3383" i="1"/>
  <c r="AB3382" i="1"/>
  <c r="AB3381" i="1"/>
  <c r="AB3380" i="1"/>
  <c r="AB3379" i="1"/>
  <c r="AB3378" i="1"/>
  <c r="AB3377" i="1"/>
  <c r="AB3376" i="1"/>
  <c r="AB3375" i="1"/>
  <c r="AB3374" i="1"/>
  <c r="AB3373" i="1"/>
  <c r="AB3372" i="1"/>
  <c r="AB3371" i="1"/>
  <c r="AB3370" i="1"/>
  <c r="AB3369" i="1"/>
  <c r="AB3368" i="1"/>
  <c r="AB3367" i="1"/>
  <c r="AB3366" i="1"/>
  <c r="AB3365" i="1"/>
  <c r="AB3364" i="1"/>
  <c r="AB3363" i="1"/>
  <c r="AB3362" i="1"/>
  <c r="AB3361" i="1"/>
  <c r="AB3360" i="1"/>
  <c r="AB3359" i="1"/>
  <c r="AB3358" i="1"/>
  <c r="AB3357" i="1"/>
  <c r="AB3356" i="1"/>
  <c r="AB3355" i="1"/>
  <c r="AB3354" i="1"/>
  <c r="AB3353" i="1"/>
  <c r="AB3352" i="1"/>
  <c r="AB3351" i="1"/>
  <c r="AB3350" i="1"/>
  <c r="AB3349" i="1"/>
  <c r="AB3348" i="1"/>
  <c r="AB3347" i="1"/>
  <c r="AB3346" i="1"/>
  <c r="AB3345" i="1"/>
  <c r="AB3344" i="1"/>
  <c r="AB3343" i="1"/>
  <c r="AB3342" i="1"/>
  <c r="AB3341" i="1"/>
  <c r="AB3340" i="1"/>
  <c r="AB3339" i="1"/>
  <c r="AB3338" i="1"/>
  <c r="AB3337" i="1"/>
  <c r="AB3336" i="1"/>
  <c r="AB3335" i="1"/>
  <c r="AB3334" i="1"/>
  <c r="AB3333" i="1"/>
  <c r="AB3332" i="1"/>
  <c r="AB3331" i="1"/>
  <c r="AB3330" i="1"/>
  <c r="AB3329" i="1"/>
  <c r="AB3328" i="1"/>
  <c r="AB3327" i="1"/>
  <c r="AB3326" i="1"/>
  <c r="AB3325" i="1"/>
  <c r="AB3324" i="1"/>
  <c r="AB3323" i="1"/>
  <c r="AB3322" i="1"/>
  <c r="AB3321" i="1"/>
  <c r="AB3320" i="1"/>
  <c r="AB3319" i="1"/>
  <c r="AB3318" i="1"/>
  <c r="AB3317" i="1"/>
  <c r="AB3316" i="1"/>
  <c r="AB3315" i="1"/>
  <c r="AB3314" i="1"/>
  <c r="AB3313" i="1"/>
  <c r="AB3312" i="1"/>
  <c r="AB3311" i="1"/>
  <c r="AB3310" i="1"/>
  <c r="AB3309" i="1"/>
  <c r="AB3308" i="1"/>
  <c r="AB3307" i="1"/>
  <c r="AB3306" i="1"/>
  <c r="AB3305" i="1"/>
  <c r="AB3304" i="1"/>
  <c r="AB3303" i="1"/>
  <c r="AB3302" i="1"/>
  <c r="AB3301" i="1"/>
  <c r="AB3300" i="1"/>
  <c r="AB3299" i="1"/>
  <c r="AB3298" i="1"/>
  <c r="AB3297" i="1"/>
  <c r="AB3296" i="1"/>
  <c r="AB3295" i="1"/>
  <c r="AB3294" i="1"/>
  <c r="AB3293" i="1"/>
  <c r="AB3292" i="1"/>
  <c r="AB3291" i="1"/>
  <c r="AB3290" i="1"/>
  <c r="AB3289" i="1"/>
  <c r="AB3288" i="1"/>
  <c r="AB3287" i="1"/>
  <c r="AB3286" i="1"/>
  <c r="AB3285" i="1"/>
  <c r="AB3284" i="1"/>
  <c r="AB3283" i="1"/>
  <c r="AB3282" i="1"/>
  <c r="AB3281" i="1"/>
  <c r="AB3280" i="1"/>
  <c r="AB3279" i="1"/>
  <c r="AB3278" i="1"/>
  <c r="AB3277" i="1"/>
  <c r="AB3276" i="1"/>
  <c r="AB3275" i="1"/>
  <c r="AB3274" i="1"/>
  <c r="AB3273" i="1"/>
  <c r="AB3272" i="1"/>
  <c r="AB3271" i="1"/>
  <c r="AB3270" i="1"/>
  <c r="AB3269" i="1"/>
  <c r="AB3268" i="1"/>
  <c r="AB3267" i="1"/>
  <c r="AB3266" i="1"/>
  <c r="AB3265" i="1"/>
  <c r="AB3264" i="1"/>
  <c r="AB3263" i="1"/>
  <c r="AB3262" i="1"/>
  <c r="AB3261" i="1"/>
  <c r="AB3260" i="1"/>
  <c r="AB3259" i="1"/>
  <c r="AB3258" i="1"/>
  <c r="AB3257" i="1"/>
  <c r="AB3256" i="1"/>
  <c r="AB3255" i="1"/>
  <c r="AB3254" i="1"/>
  <c r="AB3253" i="1"/>
  <c r="AB3252" i="1"/>
  <c r="AB3251" i="1"/>
  <c r="AB3250" i="1"/>
  <c r="AB3249" i="1"/>
  <c r="AB3248" i="1"/>
  <c r="AB3247" i="1"/>
  <c r="AB3246" i="1"/>
  <c r="AB3245" i="1"/>
  <c r="AB3244" i="1"/>
  <c r="AB3243" i="1"/>
  <c r="AB3242" i="1"/>
  <c r="AB3241" i="1"/>
  <c r="AB3240" i="1"/>
  <c r="AB3239" i="1"/>
  <c r="AB3238" i="1"/>
  <c r="AB3237" i="1"/>
  <c r="AB3236" i="1"/>
  <c r="AB3235" i="1"/>
  <c r="AB3234" i="1"/>
  <c r="AB3233" i="1"/>
  <c r="AB3232" i="1"/>
  <c r="AB3231" i="1"/>
  <c r="AB3230" i="1"/>
  <c r="AB3229" i="1"/>
  <c r="AB3228" i="1"/>
  <c r="AB3227" i="1"/>
  <c r="AB3226" i="1"/>
  <c r="AB3225" i="1"/>
  <c r="AB3224" i="1"/>
  <c r="AB3223" i="1"/>
  <c r="AB3222" i="1"/>
  <c r="AB3221" i="1"/>
  <c r="AB3220" i="1"/>
  <c r="AB3219" i="1"/>
  <c r="AB3218" i="1"/>
  <c r="AB3217" i="1"/>
  <c r="AB3216" i="1"/>
  <c r="AB3215" i="1"/>
  <c r="AB3214" i="1"/>
  <c r="AB3213" i="1"/>
  <c r="AB3212" i="1"/>
  <c r="AB3211" i="1"/>
  <c r="AB3210" i="1"/>
  <c r="AB3209" i="1"/>
  <c r="AB3208" i="1"/>
  <c r="AB3207" i="1"/>
  <c r="AB3206" i="1"/>
  <c r="AB3205" i="1"/>
  <c r="AB3204" i="1"/>
  <c r="AB3203" i="1"/>
  <c r="AB3202" i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<sst xmlns="http://schemas.openxmlformats.org/spreadsheetml/2006/main" count="51194" uniqueCount="31740">
  <si>
    <t>Protein_ID</t>
  </si>
  <si>
    <t>plot</t>
  </si>
  <si>
    <t>gene_name</t>
  </si>
  <si>
    <t>uniprot_ac</t>
  </si>
  <si>
    <t>auc</t>
  </si>
  <si>
    <t>plot_link</t>
  </si>
  <si>
    <t>A0AVT1_UBA6</t>
  </si>
  <si>
    <t>A0FGR8-2_ESYT2</t>
  </si>
  <si>
    <t>A0JNW5_UHRF1BP1L</t>
  </si>
  <si>
    <t>A0MZ66_KIAA1598</t>
  </si>
  <si>
    <t>A0PJW6_TMEM223</t>
  </si>
  <si>
    <t>A1A5A9_KIAA0999</t>
  </si>
  <si>
    <t>A1L0T0_ILVBL</t>
  </si>
  <si>
    <t>A2A274_ACO2</t>
  </si>
  <si>
    <t>A2A2F0_RALGAPB</t>
  </si>
  <si>
    <t>A2A2Q9_AAR2</t>
  </si>
  <si>
    <t>A2A2V1_PRNP</t>
  </si>
  <si>
    <t>A2A3N6_PIPSL</t>
  </si>
  <si>
    <t>A2RRP1_NBAS</t>
  </si>
  <si>
    <t>A2RUC4-2_TYW5</t>
  </si>
  <si>
    <t>A2VDF0-2_FUOM</t>
  </si>
  <si>
    <t>A3KN83-3_SBNO1</t>
  </si>
  <si>
    <t>A4D126_ISPD</t>
  </si>
  <si>
    <t>A4D1E9_GTPBP10</t>
  </si>
  <si>
    <t>A4D212_DKFZP586J0619</t>
  </si>
  <si>
    <t>A4D2B0_MBLAC1</t>
  </si>
  <si>
    <t>A4UGR9-2_XIRP2</t>
  </si>
  <si>
    <t>A5YKK6_CNOT1</t>
  </si>
  <si>
    <t>A6NCS9_SDCCAG8</t>
  </si>
  <si>
    <t>A6ND22_MRPS16</t>
  </si>
  <si>
    <t>A6ND36-2_FAM83G</t>
  </si>
  <si>
    <t>A6NDB9_PALM3</t>
  </si>
  <si>
    <t>A6NDG6_PGP</t>
  </si>
  <si>
    <t>A6NDJ8_</t>
  </si>
  <si>
    <t>A6NDU8_C5orf51</t>
  </si>
  <si>
    <t>A6NED2_RCCD1</t>
  </si>
  <si>
    <t>A6NEM2_HCFC1</t>
  </si>
  <si>
    <t>A6NEM5_PIGK</t>
  </si>
  <si>
    <t>A6NF31_OFD1</t>
  </si>
  <si>
    <t>A6NFI3_ZNF316</t>
  </si>
  <si>
    <t>A6NFQ2-3_FAM115C</t>
  </si>
  <si>
    <t>A6NFX8_NUDT5</t>
  </si>
  <si>
    <t>A6NG32_CHMP1A</t>
  </si>
  <si>
    <t>A6NG51_SPTAN1</t>
  </si>
  <si>
    <t>A6NG79_PRCC</t>
  </si>
  <si>
    <t>A6NGB9_WIPF3</t>
  </si>
  <si>
    <t>A6NGH7_CCDC160</t>
  </si>
  <si>
    <t>A6NGP5_HN1L</t>
  </si>
  <si>
    <t>A6NGU5_GGT3P</t>
  </si>
  <si>
    <t>A6NHL2-2_TUBAL3</t>
  </si>
  <si>
    <t>A6NHN7_ZMYM3</t>
  </si>
  <si>
    <t>A6NHR9_SMCHD1</t>
  </si>
  <si>
    <t>A6NIH7_UNC119B</t>
  </si>
  <si>
    <t>A6NIW2_DOCK11</t>
  </si>
  <si>
    <t>A6NIZ0_NDEL1</t>
  </si>
  <si>
    <t>A6NJ78_METTL15</t>
  </si>
  <si>
    <t>A6NJX6_CHCHD1</t>
  </si>
  <si>
    <t>A6NK88_CDKN1C</t>
  </si>
  <si>
    <t>A6NKD9_CCDC85C</t>
  </si>
  <si>
    <t>A6NKF9_GPR89C</t>
  </si>
  <si>
    <t>A6NKZ2_RENBP</t>
  </si>
  <si>
    <t>A6NLH6_CNIH4</t>
  </si>
  <si>
    <t>A6NMH6_SEPT8</t>
  </si>
  <si>
    <t>A6NMQ1_POLA1</t>
  </si>
  <si>
    <t>A6NN40_SHROOM1</t>
  </si>
  <si>
    <t>A6PVN5_PPP2R4</t>
  </si>
  <si>
    <t>A6PW58_PIP5K1A</t>
  </si>
  <si>
    <t>A8K0B5_ZBTB8OS</t>
  </si>
  <si>
    <t>A8K0M9_SELK</t>
  </si>
  <si>
    <t>A8MPP1_DDX11L8</t>
  </si>
  <si>
    <t>A8MPS7_YDJC</t>
  </si>
  <si>
    <t>A8MRB1_S100B</t>
  </si>
  <si>
    <t>A8MT02_SNRPB</t>
  </si>
  <si>
    <t>A8MT40_PDPR</t>
  </si>
  <si>
    <t>A8MT87_PNMT</t>
  </si>
  <si>
    <t>A8MTK3_POT1</t>
  </si>
  <si>
    <t>A8MTP9_DDX52</t>
  </si>
  <si>
    <t>A8MTY9_DSCR3</t>
  </si>
  <si>
    <t>A8MTZ6_S100PBP</t>
  </si>
  <si>
    <t>A8MUA9_SUMO3</t>
  </si>
  <si>
    <t>A8MUB1_TUBA4A</t>
  </si>
  <si>
    <t>A8MUF7_HBE1</t>
  </si>
  <si>
    <t>A8MUM1_TSSC1</t>
  </si>
  <si>
    <t>A8MVF6_NPRL3</t>
  </si>
  <si>
    <t>A8MVN1_DGKZ</t>
  </si>
  <si>
    <t>A8MVZ6_BICD1</t>
  </si>
  <si>
    <t>A8MW61_PLRG1</t>
  </si>
  <si>
    <t>A8MWY0_KIAA1324L</t>
  </si>
  <si>
    <t>A8MXB9_SUMF2</t>
  </si>
  <si>
    <t>A8MXE8_RAI1</t>
  </si>
  <si>
    <t>A8MXP9_MATR3</t>
  </si>
  <si>
    <t>A8MXQ1_PTTG1IP</t>
  </si>
  <si>
    <t>A8MXV4_NUDT19</t>
  </si>
  <si>
    <t>A9UHW6_MIF4GD</t>
  </si>
  <si>
    <t>A9Z1X7_SRRM1</t>
  </si>
  <si>
    <t>B0FLL2_PFKFB2</t>
  </si>
  <si>
    <t>B0QXZ5_DNAL4</t>
  </si>
  <si>
    <t>B0QY89_EIF3L</t>
  </si>
  <si>
    <t>B0QY95_SMCR7L</t>
  </si>
  <si>
    <t>B0QYI3_TBC1D22A</t>
  </si>
  <si>
    <t>B0QYK0_EWSR1</t>
  </si>
  <si>
    <t>B0UX83_BAG6</t>
  </si>
  <si>
    <t>B0UXB6_ABHD16A</t>
  </si>
  <si>
    <t>B0UZY3_EHMT2</t>
  </si>
  <si>
    <t>B0YIW2_APOC3</t>
  </si>
  <si>
    <t>B1AH87_TSPO</t>
  </si>
  <si>
    <t>B1AHD1_NHP2L1</t>
  </si>
  <si>
    <t>B1AJY7_PSMD10</t>
  </si>
  <si>
    <t>B1AK13_HMGCL</t>
  </si>
  <si>
    <t>B1AK44_MAD2L2</t>
  </si>
  <si>
    <t>B1AKD8_CROCC</t>
  </si>
  <si>
    <t>B1AKJ5_NRD1</t>
  </si>
  <si>
    <t>B1AKJ6_OSBPL9</t>
  </si>
  <si>
    <t>B1AKL4_EIF4ENIF1</t>
  </si>
  <si>
    <t>B1AL69_CDC37L1</t>
  </si>
  <si>
    <t>B1ALM5_TMEM9</t>
  </si>
  <si>
    <t>B1AMF0_UBE2J2</t>
  </si>
  <si>
    <t>B1AMS2_SEPT6</t>
  </si>
  <si>
    <t>B1AMU7_EXOSC1</t>
  </si>
  <si>
    <t>B1AMW1_CD58</t>
  </si>
  <si>
    <t>B1AN99_PRSS3</t>
  </si>
  <si>
    <t>B1ANH0_GUK1</t>
  </si>
  <si>
    <t>B1APM4_SOAT1</t>
  </si>
  <si>
    <t>B1AQP1_USF1</t>
  </si>
  <si>
    <t>B1AVQ5_MUC1</t>
  </si>
  <si>
    <t>B1B1H9_FGF13</t>
  </si>
  <si>
    <t>B2WTI3_JMJD6</t>
  </si>
  <si>
    <t>B3KPJ4_PHC2</t>
  </si>
  <si>
    <t>B3KQ25_PSME3</t>
  </si>
  <si>
    <t>B3KQC5_MAN1B1</t>
  </si>
  <si>
    <t>B3KS98_EIF3S3</t>
  </si>
  <si>
    <t>B3KSH1_EIF3F</t>
  </si>
  <si>
    <t>B3KSI9_LZTFL1</t>
  </si>
  <si>
    <t>B3KSP0_WHSC2</t>
  </si>
  <si>
    <t>B3KTR6_MXRA8</t>
  </si>
  <si>
    <t>B3KUK2_SOD2</t>
  </si>
  <si>
    <t>B3KVH8_PHF23</t>
  </si>
  <si>
    <t>B3KWN8_PYROXD1</t>
  </si>
  <si>
    <t>B3KXX3_SLC12A6</t>
  </si>
  <si>
    <t>B3KY83_RXRA</t>
  </si>
  <si>
    <t>B3V0L1_ARL6IP4</t>
  </si>
  <si>
    <t>B4DDF4_CNN2</t>
  </si>
  <si>
    <t>B4DDM6_BUB3</t>
  </si>
  <si>
    <t>B4DDY8_HARS2</t>
  </si>
  <si>
    <t>B4DE11_SLC35A2</t>
  </si>
  <si>
    <t>B4DE16_CTNNBL1</t>
  </si>
  <si>
    <t>B4DE92_TBC1D25</t>
  </si>
  <si>
    <t>B4DEQ4_MKNK2</t>
  </si>
  <si>
    <t>B4DEX5_PRNPIP</t>
  </si>
  <si>
    <t>B4DEZ3_NDUFA13</t>
  </si>
  <si>
    <t>B4DF64_HAUS3</t>
  </si>
  <si>
    <t>B4DFF2_SLC17A5</t>
  </si>
  <si>
    <t>B4DFI9_HUS1</t>
  </si>
  <si>
    <t>B4DFQ4_COMMD1</t>
  </si>
  <si>
    <t>B4DFR2_DYNLRB1</t>
  </si>
  <si>
    <t>B4DGM3_SMARCE1</t>
  </si>
  <si>
    <t>B4DGX2_PIP4K2A</t>
  </si>
  <si>
    <t>B4DH53_MAP1S</t>
  </si>
  <si>
    <t>B4DH70_FBXW11</t>
  </si>
  <si>
    <t>B4DHW1_TMEM165</t>
  </si>
  <si>
    <t>B4DIG7_PIP5K1B</t>
  </si>
  <si>
    <t>B4DJA5_RAB5A</t>
  </si>
  <si>
    <t>B4DJP7_SNRPD3</t>
  </si>
  <si>
    <t>B4DJV2_CS</t>
  </si>
  <si>
    <t>B4DK44_NAPB</t>
  </si>
  <si>
    <t>B4DKF9_ZNF286A</t>
  </si>
  <si>
    <t>B4DKL4_LSR</t>
  </si>
  <si>
    <t>B4DL54_CHURC1-FNTB</t>
  </si>
  <si>
    <t>B4DL79_KIF20A</t>
  </si>
  <si>
    <t>B4DLH2_C2orf18</t>
  </si>
  <si>
    <t>B4DLN1_SLC25A10</t>
  </si>
  <si>
    <t>B4DLR8_NQO1</t>
  </si>
  <si>
    <t>B4DLT4_RPS6KB1</t>
  </si>
  <si>
    <t>B4DLZ9_RNF220</t>
  </si>
  <si>
    <t>B4DMX0_KDSR</t>
  </si>
  <si>
    <t>B4DN34_MRPL48</t>
  </si>
  <si>
    <t>B4DN73_DNAJB6</t>
  </si>
  <si>
    <t>B4DNX9_ZNF460</t>
  </si>
  <si>
    <t>B4DP21_PTGES3</t>
  </si>
  <si>
    <t>B4DPY5_SNX11</t>
  </si>
  <si>
    <t>B4DPY8_TOX4</t>
  </si>
  <si>
    <t>B4DQI6_TRA2A</t>
  </si>
  <si>
    <t>B4DQJ8_PGD</t>
  </si>
  <si>
    <t>B4DR52_HIST2H2BF</t>
  </si>
  <si>
    <t>B4DR61_SEC61A1</t>
  </si>
  <si>
    <t>B4DR80_STK24</t>
  </si>
  <si>
    <t>B4DRL9_CHM</t>
  </si>
  <si>
    <t>B4DRS7_SH2D3A</t>
  </si>
  <si>
    <t>B4DSD4_C9orf41</t>
  </si>
  <si>
    <t>B4DSF9_AGPAT4</t>
  </si>
  <si>
    <t>B4DSS5_KIAA0513</t>
  </si>
  <si>
    <t>B4DSS8_PTBP2</t>
  </si>
  <si>
    <t>B4DT55_WDR41</t>
  </si>
  <si>
    <t>B4DT77_ANXA7</t>
  </si>
  <si>
    <t>B4DTA3_SLC25A46</t>
  </si>
  <si>
    <t>B4DTU4_LIG1</t>
  </si>
  <si>
    <t>B4DUE9_SERINC3</t>
  </si>
  <si>
    <t>B4DUS9_BPNT1</t>
  </si>
  <si>
    <t>B4DVE7_ANXA11</t>
  </si>
  <si>
    <t>B4DVT3_VWA9</t>
  </si>
  <si>
    <t>B4DVY1_EIF3D</t>
  </si>
  <si>
    <t>B4DVZ6_FOXO3</t>
  </si>
  <si>
    <t>B4DWI1_HACL1</t>
  </si>
  <si>
    <t>B4DXZ6_FXR1</t>
  </si>
  <si>
    <t>B4DY13_GTPBP4</t>
  </si>
  <si>
    <t>B4DY26_TGFBR1</t>
  </si>
  <si>
    <t>B4DYB4_NUP35</t>
  </si>
  <si>
    <t>B4DYI6_AUH</t>
  </si>
  <si>
    <t>B4DZ85_NCOA4</t>
  </si>
  <si>
    <t>B4DZG7_ARL1</t>
  </si>
  <si>
    <t>B4DZH6_HDAC6</t>
  </si>
  <si>
    <t>B4E0T2_PEX5</t>
  </si>
  <si>
    <t>B4E0T7_LRCH3</t>
  </si>
  <si>
    <t>B4E0V0_PNPO</t>
  </si>
  <si>
    <t>B4E107_ATE1</t>
  </si>
  <si>
    <t>B4E1J0_PBXIP1</t>
  </si>
  <si>
    <t>B4E1Q4_RIOK3</t>
  </si>
  <si>
    <t>B4E241_SFRS3</t>
  </si>
  <si>
    <t>B4E2B6_PUM2</t>
  </si>
  <si>
    <t>B4E2V5_STOM</t>
  </si>
  <si>
    <t>B4E2W0_HADHB</t>
  </si>
  <si>
    <t>B4E2X3_METTL13</t>
  </si>
  <si>
    <t>B4E3E5_DVL3</t>
  </si>
  <si>
    <t>B5MBW9_CHCHD10</t>
  </si>
  <si>
    <t>B5MBX0_CDCA5</t>
  </si>
  <si>
    <t>B5MBX5_LBH</t>
  </si>
  <si>
    <t>B5MCA4_EPCAM</t>
  </si>
  <si>
    <t>B5MCF9_PES1</t>
  </si>
  <si>
    <t>B5MD58_SREBF1</t>
  </si>
  <si>
    <t>B5MDE0_RFT1</t>
  </si>
  <si>
    <t>B5MDF5_RAN</t>
  </si>
  <si>
    <t>B5MDU6_C2orf43</t>
  </si>
  <si>
    <t>B5ME25_METTL8</t>
  </si>
  <si>
    <t>B7WNQ9_GATA1</t>
  </si>
  <si>
    <t>B7WP27_CWC22</t>
  </si>
  <si>
    <t>B7WPE2_EML3</t>
  </si>
  <si>
    <t>B7WPG3_HNRPLL</t>
  </si>
  <si>
    <t>B7WPL0_RIC8B</t>
  </si>
  <si>
    <t>B7Z254_PDIA6</t>
  </si>
  <si>
    <t>B7Z2B2_MFSD8</t>
  </si>
  <si>
    <t>B7Z2Y5_RPS6KA5</t>
  </si>
  <si>
    <t>B7Z3I9_ALAD</t>
  </si>
  <si>
    <t>B7Z3P1_TBCE</t>
  </si>
  <si>
    <t>B7Z3R2_TPCN1</t>
  </si>
  <si>
    <t>B7Z463_NPEPPS</t>
  </si>
  <si>
    <t>B7Z4K6_DNASE2</t>
  </si>
  <si>
    <t>B7Z4R0_ERF</t>
  </si>
  <si>
    <t>B7Z4W5_CCBL1</t>
  </si>
  <si>
    <t>B7Z589_SLC6A9</t>
  </si>
  <si>
    <t>B7Z5G4_STMN3</t>
  </si>
  <si>
    <t>B7Z5W1_F11R</t>
  </si>
  <si>
    <t>B7Z637_ARMC8</t>
  </si>
  <si>
    <t>B7Z6B8_DECR1</t>
  </si>
  <si>
    <t>B7Z6L5_TES</t>
  </si>
  <si>
    <t>B7Z6M4_TNFAIP1</t>
  </si>
  <si>
    <t>B7Z7F3_RANBP3</t>
  </si>
  <si>
    <t>B7Z815_USP7</t>
  </si>
  <si>
    <t>B7Z817_DHCR24</t>
  </si>
  <si>
    <t>B7Z8H2_TRDMT1</t>
  </si>
  <si>
    <t>B7Z9C6_SH3PXD2A</t>
  </si>
  <si>
    <t>B7Z9I3_ATP6AP2</t>
  </si>
  <si>
    <t>B7Z9S8_ATP1B1</t>
  </si>
  <si>
    <t>B7Z9U0_CNOT8</t>
  </si>
  <si>
    <t>B7ZC38_SH3GLB2</t>
  </si>
  <si>
    <t>B7ZKK9_PPP2R5E</t>
  </si>
  <si>
    <t>B7ZKQ9_SCARB1</t>
  </si>
  <si>
    <t>B7ZKW8_RCSD1</t>
  </si>
  <si>
    <t>B7ZL88_COX18</t>
  </si>
  <si>
    <t>B7ZLP8_TARSL2</t>
  </si>
  <si>
    <t>B7ZLZ2_EDEM3</t>
  </si>
  <si>
    <t>B8X2Z3_RLTPR</t>
  </si>
  <si>
    <t>B8ZZD4_TAX1BP1</t>
  </si>
  <si>
    <t>B8ZZN6_SUMO1</t>
  </si>
  <si>
    <t>B8ZZQ6_PTMA</t>
  </si>
  <si>
    <t>B8ZZT9_SNX13</t>
  </si>
  <si>
    <t>B8ZZU6_ATF2</t>
  </si>
  <si>
    <t>B8ZZY2_AGFG1</t>
  </si>
  <si>
    <t>B9A018_USP39</t>
  </si>
  <si>
    <t>B9A054_RHBDD1</t>
  </si>
  <si>
    <t>B9ZVM7_ICA1</t>
  </si>
  <si>
    <t>C0H5Y7_BAK1</t>
  </si>
  <si>
    <t>C1IDX9_ATG12</t>
  </si>
  <si>
    <t>C6GKU9_MED30S</t>
  </si>
  <si>
    <t>C9IYZ1_ASNSD1</t>
  </si>
  <si>
    <t>C9IZP5_MKRN1</t>
  </si>
  <si>
    <t>C9J0A7_CHMP2B</t>
  </si>
  <si>
    <t>C9J0I9_ZC3HC1</t>
  </si>
  <si>
    <t>C9J0K6_SRI</t>
  </si>
  <si>
    <t>C9J0V9_ZNF655</t>
  </si>
  <si>
    <t>C9J1X0_WDR91</t>
  </si>
  <si>
    <t>C9J1X3_TNK2</t>
  </si>
  <si>
    <t>C9J212_UBE2F</t>
  </si>
  <si>
    <t>C9J2P0_UBE2E1</t>
  </si>
  <si>
    <t>C9J2P9_CBLL1</t>
  </si>
  <si>
    <t>C9J2U4_TAMM41</t>
  </si>
  <si>
    <t>C9J2V2_IKBKG</t>
  </si>
  <si>
    <t>C9J2Y9_POLR2B</t>
  </si>
  <si>
    <t>C9J3M4_MOSPD3</t>
  </si>
  <si>
    <t>C9J406_IMMT</t>
  </si>
  <si>
    <t>C9J4Z0_SLC22A23</t>
  </si>
  <si>
    <t>C9J4Z3_RPL37A</t>
  </si>
  <si>
    <t>C9J5C3_PDCD10</t>
  </si>
  <si>
    <t>C9J5J4_LIN9</t>
  </si>
  <si>
    <t>C9J5N1_PTGES3L-AARSD1</t>
  </si>
  <si>
    <t>C9J5X1_IGF1R</t>
  </si>
  <si>
    <t>C9J6W2_KIF20B</t>
  </si>
  <si>
    <t>C9J719_EBP</t>
  </si>
  <si>
    <t>C9J7E8_MKLN1</t>
  </si>
  <si>
    <t>C9J7H8_LDHB</t>
  </si>
  <si>
    <t>C9J7K9_PLSCR1</t>
  </si>
  <si>
    <t>C9J7Z4_TSEN2</t>
  </si>
  <si>
    <t>C9J815_APOBR</t>
  </si>
  <si>
    <t>C9J8Q5_ALDH5A1</t>
  </si>
  <si>
    <t>C9J9K3_RPSA</t>
  </si>
  <si>
    <t>C9JA08_NMD3</t>
  </si>
  <si>
    <t>C9JA28_SSR3</t>
  </si>
  <si>
    <t>C9JAB2_SRSF7</t>
  </si>
  <si>
    <t>C9JAX1_FXN</t>
  </si>
  <si>
    <t>C9JB13_BSDC1</t>
  </si>
  <si>
    <t>C9JBB3_TFPI</t>
  </si>
  <si>
    <t>C9JBL1_SPCS1</t>
  </si>
  <si>
    <t>C9JBT1_C7orf41</t>
  </si>
  <si>
    <t>C9JC99_TANGO2</t>
  </si>
  <si>
    <t>C9JCC6_DRAP1</t>
  </si>
  <si>
    <t>C9JDG0_DIAPH3</t>
  </si>
  <si>
    <t>C9JE12_TMUB1</t>
  </si>
  <si>
    <t>C9JE98_NCOR2</t>
  </si>
  <si>
    <t>C9JEL3_EIF4E2</t>
  </si>
  <si>
    <t>C9JFB2_YIPF1</t>
  </si>
  <si>
    <t>C9JFE4_GPS1</t>
  </si>
  <si>
    <t>C9JFR7_CYCS</t>
  </si>
  <si>
    <t>C9JG41_ITM2C</t>
  </si>
  <si>
    <t>C9JG63_SPRED2</t>
  </si>
  <si>
    <t>C9JG97_AAMP</t>
  </si>
  <si>
    <t>C9JGD4_GALNT10</t>
  </si>
  <si>
    <t>C9JIE4_SYNM</t>
  </si>
  <si>
    <t>C9JIF9_APEH</t>
  </si>
  <si>
    <t>C9JIZ6_PSAP</t>
  </si>
  <si>
    <t>C9JJN9_VPS8</t>
  </si>
  <si>
    <t>C9JJV6_MYADM</t>
  </si>
  <si>
    <t>C9JK45_SLC35E1</t>
  </si>
  <si>
    <t>C9JKC7_C7orf49</t>
  </si>
  <si>
    <t>C9JKQ2_NDUFB3</t>
  </si>
  <si>
    <t>C9JKQ7_GART</t>
  </si>
  <si>
    <t>C9JLU1_POLR2H</t>
  </si>
  <si>
    <t>C9JLV4_APAF1</t>
  </si>
  <si>
    <t>C9JMZ9_C7orf43</t>
  </si>
  <si>
    <t>C9JNE2_OARD1</t>
  </si>
  <si>
    <t>C9JP00_MBNL1</t>
  </si>
  <si>
    <t>C9JP16_CRTAP</t>
  </si>
  <si>
    <t>C9JPP2_NKIRAS2</t>
  </si>
  <si>
    <t>C9JQ41_CCDC58</t>
  </si>
  <si>
    <t>C9JQB1_NME6</t>
  </si>
  <si>
    <t>C9JQV3_STK11IP</t>
  </si>
  <si>
    <t>C9JR56_SATB2</t>
  </si>
  <si>
    <t>C9JRY4_SEC22A</t>
  </si>
  <si>
    <t>C9JRZ6_CHCHD3</t>
  </si>
  <si>
    <t>C9JSG1_DPP8</t>
  </si>
  <si>
    <t>C9JT44_SLC25A38</t>
  </si>
  <si>
    <t>C9JTX5_ACTB</t>
  </si>
  <si>
    <t>C9JUP7_VCP</t>
  </si>
  <si>
    <t>C9JV08_IFNAR1</t>
  </si>
  <si>
    <t>C9JV54_TTC32</t>
  </si>
  <si>
    <t>C9JVP0_FOXJ3</t>
  </si>
  <si>
    <t>C9JVW0_PRR24</t>
  </si>
  <si>
    <t>C9JXB8_RPL24</t>
  </si>
  <si>
    <t>C9JY06_NUDT22</t>
  </si>
  <si>
    <t>C9JYK5_BAG1</t>
  </si>
  <si>
    <t>C9JYN0_SYPL1</t>
  </si>
  <si>
    <t>C9JZB0_INPP5K</t>
  </si>
  <si>
    <t>C9JZG2_GART</t>
  </si>
  <si>
    <t>C9JZR4_ARFGAP3</t>
  </si>
  <si>
    <t>C9JZY6_UBE2H</t>
  </si>
  <si>
    <t>C9K0I0_TSKS</t>
  </si>
  <si>
    <t>C9K0X5_SNUPN</t>
  </si>
  <si>
    <t>D3DTZ5_SUPT4H1</t>
  </si>
  <si>
    <t>D3DWC4_TMEM23</t>
  </si>
  <si>
    <t>D3YTB1_RPL32</t>
  </si>
  <si>
    <t>D3YTB5_IRAK1</t>
  </si>
  <si>
    <t>D3YTG6_NDOR1</t>
  </si>
  <si>
    <t>D3YTI9_TAPBP</t>
  </si>
  <si>
    <t>D6R941_MRPS36</t>
  </si>
  <si>
    <t>D6R968_N4BP2L2</t>
  </si>
  <si>
    <t>D6R9P3_HNRNPAB</t>
  </si>
  <si>
    <t>D6R9U7_POLR3G</t>
  </si>
  <si>
    <t>D6R9Z7_COX7C</t>
  </si>
  <si>
    <t>D6RAG3_CPLX1</t>
  </si>
  <si>
    <t>D6RAM3_DOK3</t>
  </si>
  <si>
    <t>D6RAR3_TMEM161B</t>
  </si>
  <si>
    <t>D6RBS5_ELMOD2</t>
  </si>
  <si>
    <t>D6RBW1_EIF4E</t>
  </si>
  <si>
    <t>D6RCD0_HSD17B11</t>
  </si>
  <si>
    <t>D6RCM8_TNFAIP8</t>
  </si>
  <si>
    <t>D6RCN9_CXXC5</t>
  </si>
  <si>
    <t>D6RCQ0_EEF1E1</t>
  </si>
  <si>
    <t>D6RCQ8_PGM3</t>
  </si>
  <si>
    <t>D6RD25_PRELID1</t>
  </si>
  <si>
    <t>D6RDK6_OCIAD1</t>
  </si>
  <si>
    <t>D6RDX3_ATG10</t>
  </si>
  <si>
    <t>D6REA0_PET112</t>
  </si>
  <si>
    <t>D6REL0_CDC42SE2</t>
  </si>
  <si>
    <t>D6REM4_CSNK1A1</t>
  </si>
  <si>
    <t>D6RER8_SLC38A9</t>
  </si>
  <si>
    <t>D6REX3_SEC31A</t>
  </si>
  <si>
    <t>D6REX9_CEP120</t>
  </si>
  <si>
    <t>D6RF48_STX18</t>
  </si>
  <si>
    <t>D6RF62_PAICS</t>
  </si>
  <si>
    <t>D6RFG8_DCK</t>
  </si>
  <si>
    <t>D6RFH4_CYB5B</t>
  </si>
  <si>
    <t>D6RGI3_SEPT11</t>
  </si>
  <si>
    <t>D6RGK9_CNOT6L</t>
  </si>
  <si>
    <t>D6RHD3_CENPK</t>
  </si>
  <si>
    <t>D6RHI7_CCNH</t>
  </si>
  <si>
    <t>D6RHI9_RNASET2</t>
  </si>
  <si>
    <t>D6RIE3_COX7A2</t>
  </si>
  <si>
    <t>D6RIU2_CLDND1</t>
  </si>
  <si>
    <t>D6RIZ4_MFSD10</t>
  </si>
  <si>
    <t>D6RJ07_ZNF346</t>
  </si>
  <si>
    <t>D6RJ90_COMMD10</t>
  </si>
  <si>
    <t>E2QRD0_VWA8</t>
  </si>
  <si>
    <t>E2QRD4_MMS22L</t>
  </si>
  <si>
    <t>E2QRF9_GMNN</t>
  </si>
  <si>
    <t>E5RFJ1_NSMCE2</t>
  </si>
  <si>
    <t>E5RG13_IMPA1</t>
  </si>
  <si>
    <t>E5RG17_TATDN1</t>
  </si>
  <si>
    <t>E5RGQ3_RWDD1</t>
  </si>
  <si>
    <t>E5RGT6_FCHSD1</t>
  </si>
  <si>
    <t>E5RGX5_STMN2</t>
  </si>
  <si>
    <t>E5RGY0_DERL1</t>
  </si>
  <si>
    <t>E5RH36_IDO1</t>
  </si>
  <si>
    <t>E5RHA7_RELL2</t>
  </si>
  <si>
    <t>E5RHC1_PPP2CB</t>
  </si>
  <si>
    <t>E5RHG8_TCEB1</t>
  </si>
  <si>
    <t>E5RHG9_UQCRB</t>
  </si>
  <si>
    <t>E5RHT1_PSEN2</t>
  </si>
  <si>
    <t>E5RHV2_ANKRD46</t>
  </si>
  <si>
    <t>E5RI99_RPL30</t>
  </si>
  <si>
    <t>E5RIA0_SORBS3</t>
  </si>
  <si>
    <t>E5RIH5_TTI2</t>
  </si>
  <si>
    <t>E5RIJ0_POLB</t>
  </si>
  <si>
    <t>E5RIP7_IMPA1</t>
  </si>
  <si>
    <t>E5RIY0_TMEM55A</t>
  </si>
  <si>
    <t>E5RJ08_CHCHD7</t>
  </si>
  <si>
    <t>E5RJ86_ARMC1</t>
  </si>
  <si>
    <t>E5RJ97_TRPS1</t>
  </si>
  <si>
    <t>E5RJ99_ZFAND1</t>
  </si>
  <si>
    <t>E5RJD2_DECR1</t>
  </si>
  <si>
    <t>E5RJI7_MRPL13</t>
  </si>
  <si>
    <t>E5RJR5_SKP1</t>
  </si>
  <si>
    <t>E5RK62_SPARC</t>
  </si>
  <si>
    <t>E5RK82_CETN3</t>
  </si>
  <si>
    <t>E7EM50_PIGG</t>
  </si>
  <si>
    <t>E7EM64_COPS6</t>
  </si>
  <si>
    <t>E7EM95_RNF5</t>
  </si>
  <si>
    <t>E7EMB6_DNPEP</t>
  </si>
  <si>
    <t>E7EMM4_ASAH1</t>
  </si>
  <si>
    <t>E7EMX7_RAI14</t>
  </si>
  <si>
    <t>E7EN32_MEN1</t>
  </si>
  <si>
    <t>E7EN73_KIAA0319L</t>
  </si>
  <si>
    <t>E7EN86_ZNF143</t>
  </si>
  <si>
    <t>E7ENA9_NCSTN</t>
  </si>
  <si>
    <t>E7ENK0_CALCOCO2</t>
  </si>
  <si>
    <t>E7ENN3_SYNE1</t>
  </si>
  <si>
    <t>E7ENU4_ADAR</t>
  </si>
  <si>
    <t>E7ENX6_LRFN4</t>
  </si>
  <si>
    <t>E7EP72_C19orf25</t>
  </si>
  <si>
    <t>E7EPB3_RPL14</t>
  </si>
  <si>
    <t>E7EPD0_TOM1</t>
  </si>
  <si>
    <t>E7EPL4_PDXDC1</t>
  </si>
  <si>
    <t>E7EPN9_PRRC2C</t>
  </si>
  <si>
    <t>E7EPP7_STXBP4</t>
  </si>
  <si>
    <t>E7EPT4_NDUFV2</t>
  </si>
  <si>
    <t>E7EPV7_SNCA</t>
  </si>
  <si>
    <t>E7EPW5_ST7</t>
  </si>
  <si>
    <t>E7EPY1_TNIP1</t>
  </si>
  <si>
    <t>E7EQ12_CAST</t>
  </si>
  <si>
    <t>E7EQ29_GLB1</t>
  </si>
  <si>
    <t>E7EQ69_NAA50</t>
  </si>
  <si>
    <t>E7EQE7_CORIN</t>
  </si>
  <si>
    <t>E7EQI7_KIAA0196</t>
  </si>
  <si>
    <t>E7EQJ0_HNRNPH1</t>
  </si>
  <si>
    <t>E7EQN6_SENP6</t>
  </si>
  <si>
    <t>E7EQR8_YIPF3</t>
  </si>
  <si>
    <t>E7EQS5_DMD</t>
  </si>
  <si>
    <t>E7EQS8_TET2</t>
  </si>
  <si>
    <t>E7EQT4_ACIN1</t>
  </si>
  <si>
    <t>E7EQV9_RPL15</t>
  </si>
  <si>
    <t>E7ER68_FAM91A1</t>
  </si>
  <si>
    <t>E7ER77_ERMP1</t>
  </si>
  <si>
    <t>E7ERB7_GMIP</t>
  </si>
  <si>
    <t>E7ERC6_ATP2C1</t>
  </si>
  <si>
    <t>E7ERL6_MAST2</t>
  </si>
  <si>
    <t>E7ERS3_ZC3H18</t>
  </si>
  <si>
    <t>E7ERW0_VGLL4</t>
  </si>
  <si>
    <t>E7ES43_HSPA4L</t>
  </si>
  <si>
    <t>E7ES96_PSEN1</t>
  </si>
  <si>
    <t>E7ESC6_XPO7</t>
  </si>
  <si>
    <t>E7ESD2_FAM21A</t>
  </si>
  <si>
    <t>E7ESU4_NAT10</t>
  </si>
  <si>
    <t>E7ESU7_CTBP1</t>
  </si>
  <si>
    <t>E7ESZ7_NDUFA10</t>
  </si>
  <si>
    <t>E7ET15_U2SURP</t>
  </si>
  <si>
    <t>E7ET25_NUP205</t>
  </si>
  <si>
    <t>E7ET49_DAGLB</t>
  </si>
  <si>
    <t>E7ET89_DTX2</t>
  </si>
  <si>
    <t>E7ETI8_C1orf112</t>
  </si>
  <si>
    <t>E7ETK0_RPS24</t>
  </si>
  <si>
    <t>E7ETM6_SYS1</t>
  </si>
  <si>
    <t>E7ETY4_MARK2</t>
  </si>
  <si>
    <t>E7ETZ4_BZW2</t>
  </si>
  <si>
    <t>E7EU19_RAD54L2</t>
  </si>
  <si>
    <t>E7EU23_GDI2</t>
  </si>
  <si>
    <t>E7EU24_CBFA2T3</t>
  </si>
  <si>
    <t>E7EU96_CSNK2A1</t>
  </si>
  <si>
    <t>E7EUC7_UGP2</t>
  </si>
  <si>
    <t>E7EUH9_NCAPG2</t>
  </si>
  <si>
    <t>E7EUL7_SSFA2</t>
  </si>
  <si>
    <t>E7EUM5_NUP54</t>
  </si>
  <si>
    <t>E7EUN2_AGAP1</t>
  </si>
  <si>
    <t>E7EUU1_LTBP4</t>
  </si>
  <si>
    <t>E7EUY3_PCCB</t>
  </si>
  <si>
    <t>E7EV43_RWDD4</t>
  </si>
  <si>
    <t>E7EV46_PGBD3</t>
  </si>
  <si>
    <t>E7EV56_PCM1</t>
  </si>
  <si>
    <t>E7EV99_ADD1</t>
  </si>
  <si>
    <t>E7EVA0_MAP4</t>
  </si>
  <si>
    <t>E7EVC7_ATG16L1</t>
  </si>
  <si>
    <t>E7EVH7_KLC1</t>
  </si>
  <si>
    <t>E7EVH9_HDHD1</t>
  </si>
  <si>
    <t>E7EVK2_MTG1</t>
  </si>
  <si>
    <t>E7EVM2_TAL1</t>
  </si>
  <si>
    <t>E7EVZ2_YWHAZ</t>
  </si>
  <si>
    <t>E7EW05_SDAD1</t>
  </si>
  <si>
    <t>E7EW20_MYO6</t>
  </si>
  <si>
    <t>E7EW32_MON1B</t>
  </si>
  <si>
    <t>E7EWP0_NDUFB5</t>
  </si>
  <si>
    <t>E7EWQ5_MAST4</t>
  </si>
  <si>
    <t>E7EX17_EIF4B</t>
  </si>
  <si>
    <t>E7EX73_EIF4G1</t>
  </si>
  <si>
    <t>E7EX90_DCTN1</t>
  </si>
  <si>
    <t>E9PAK5_DENND4B</t>
  </si>
  <si>
    <t>E9PAL9_NT5DC2</t>
  </si>
  <si>
    <t>E9PAU2_RAVER1</t>
  </si>
  <si>
    <t>E9PB14_PDHX</t>
  </si>
  <si>
    <t>E9PB61_ALYREF</t>
  </si>
  <si>
    <t>E9PC15_AGK</t>
  </si>
  <si>
    <t>E9PC26_BUB1</t>
  </si>
  <si>
    <t>E9PC28_PTPRC</t>
  </si>
  <si>
    <t>E9PC74_EIF2B5</t>
  </si>
  <si>
    <t>E9PCH4_FNIP1</t>
  </si>
  <si>
    <t>E9PCV0_GUSB</t>
  </si>
  <si>
    <t>E9PCW1_GOSR1</t>
  </si>
  <si>
    <t>E9PCY7_HNRNPH1</t>
  </si>
  <si>
    <t>E9PD10_GYPA</t>
  </si>
  <si>
    <t>E9PD50_SMG7</t>
  </si>
  <si>
    <t>E9PD56_PXK</t>
  </si>
  <si>
    <t>E9PD90_CKAP2</t>
  </si>
  <si>
    <t>E9PDE4_CAST</t>
  </si>
  <si>
    <t>E9PDJ7_NMU</t>
  </si>
  <si>
    <t>E9PDQ5_ARHGEF7</t>
  </si>
  <si>
    <t>E9PEE8_ITGB6</t>
  </si>
  <si>
    <t>E9PEN8_XPO7</t>
  </si>
  <si>
    <t>E9PER6_PDPK1</t>
  </si>
  <si>
    <t>E9PEZ3_DIAPH1</t>
  </si>
  <si>
    <t>E9PF10_NUP155</t>
  </si>
  <si>
    <t>E9PF18_HADH</t>
  </si>
  <si>
    <t>E9PF19_TBL2</t>
  </si>
  <si>
    <t>E9PF74_SLC25A19</t>
  </si>
  <si>
    <t>E9PFK9_RABGEF1</t>
  </si>
  <si>
    <t>E9PFR3_PPP2R5D</t>
  </si>
  <si>
    <t>E9PFZ1_C3orf38</t>
  </si>
  <si>
    <t>E9PG22_CEP97</t>
  </si>
  <si>
    <t>E9PGQ0_SLC25A44</t>
  </si>
  <si>
    <t>E9PGT1_TSN</t>
  </si>
  <si>
    <t>E9PGT3_RPS6KA1</t>
  </si>
  <si>
    <t>E9PGT6_COPS8</t>
  </si>
  <si>
    <t>E9PGW7_MED22</t>
  </si>
  <si>
    <t>E9PH29_PRDX3</t>
  </si>
  <si>
    <t>E9PH64_NDUFB9</t>
  </si>
  <si>
    <t>E9PH99_ZNF451</t>
  </si>
  <si>
    <t>E9PHF7_MCCC1</t>
  </si>
  <si>
    <t>E9PHG5_CYP20A1</t>
  </si>
  <si>
    <t>E9PHM2_LARS2</t>
  </si>
  <si>
    <t>E9PI60_BRPF3</t>
  </si>
  <si>
    <t>E9PIB9_GLI1</t>
  </si>
  <si>
    <t>E9PIE4_MTCH2</t>
  </si>
  <si>
    <t>E9PIR7_TXNRD1</t>
  </si>
  <si>
    <t>E9PJ64_PDE4DIP</t>
  </si>
  <si>
    <t>E9PJ81_UBXN1</t>
  </si>
  <si>
    <t>E9PJB8_VIMP</t>
  </si>
  <si>
    <t>E9PJD7_CYHR1</t>
  </si>
  <si>
    <t>E9PJF5_BRMS1</t>
  </si>
  <si>
    <t>E9PJK1_CD81</t>
  </si>
  <si>
    <t>E9PJM3_FBXO3</t>
  </si>
  <si>
    <t>E9PK91_BCLAF1</t>
  </si>
  <si>
    <t>E9PKA7_RCE1</t>
  </si>
  <si>
    <t>E9PKG1_PRMT1</t>
  </si>
  <si>
    <t>E9PKP7_UBTF</t>
  </si>
  <si>
    <t>E9PKT4_TMEM123</t>
  </si>
  <si>
    <t>E9PKV2_MRPL17</t>
  </si>
  <si>
    <t>E9PKV8_TTC9C</t>
  </si>
  <si>
    <t>E9PKZ0_RPL8</t>
  </si>
  <si>
    <t>E9PL01_SPCS2</t>
  </si>
  <si>
    <t>E9PL17_CLP1</t>
  </si>
  <si>
    <t>E9PL22_HYOU1</t>
  </si>
  <si>
    <t>E9PL33_EI24</t>
  </si>
  <si>
    <t>E9PL57_NEDD8-MDP1</t>
  </si>
  <si>
    <t>E9PL69_RRM1</t>
  </si>
  <si>
    <t>E9PLD3_</t>
  </si>
  <si>
    <t>E9PLJ2_CHIA</t>
  </si>
  <si>
    <t>E9PLK3_NPEPPS</t>
  </si>
  <si>
    <t>E9PLL6_RPL27A</t>
  </si>
  <si>
    <t>E9PLX2_RNF141</t>
  </si>
  <si>
    <t>E9PLY5_MACF1</t>
  </si>
  <si>
    <t>E9PM19_TYK2</t>
  </si>
  <si>
    <t>E9PM46_USP47</t>
  </si>
  <si>
    <t>E9PM92_C11orf58</t>
  </si>
  <si>
    <t>E9PMJ2_FAM118B</t>
  </si>
  <si>
    <t>E9PMQ6_HSF1</t>
  </si>
  <si>
    <t>E9PMR4_CD151</t>
  </si>
  <si>
    <t>E9PMS3_PEX16</t>
  </si>
  <si>
    <t>E9PMS6_LMO7</t>
  </si>
  <si>
    <t>E9PN89_HSPA8</t>
  </si>
  <si>
    <t>E9PND3_EBAG9</t>
  </si>
  <si>
    <t>E9PNK6_TPD52L1</t>
  </si>
  <si>
    <t>E9PNN3_PTS</t>
  </si>
  <si>
    <t>E9PNP3_AAMDC</t>
  </si>
  <si>
    <t>E9PNT2_ARHGAP27</t>
  </si>
  <si>
    <t>E9PNW4_CD59</t>
  </si>
  <si>
    <t>E9PPM8_DERA</t>
  </si>
  <si>
    <t>E9PPZ9_GPAA1</t>
  </si>
  <si>
    <t>E9PQ59_NFRKB</t>
  </si>
  <si>
    <t>E9PQY3_ACP2</t>
  </si>
  <si>
    <t>E9PR30_FAU</t>
  </si>
  <si>
    <t>E9PR76_MAF1</t>
  </si>
  <si>
    <t>E9PRA1_TATDN3</t>
  </si>
  <si>
    <t>E9PRR8_EIF1AD</t>
  </si>
  <si>
    <t>E9PRY8_EEF1D</t>
  </si>
  <si>
    <t>E9PS00_FADS3</t>
  </si>
  <si>
    <t>E9PS17_SCYL1</t>
  </si>
  <si>
    <t>E9PS38_NEDD8-MDP1</t>
  </si>
  <si>
    <t>E9PSI1_TM9SF1</t>
  </si>
  <si>
    <t>F2Z2I2_PFKFB3</t>
  </si>
  <si>
    <t>F2Z2Q4_TRMT11</t>
  </si>
  <si>
    <t>F2Z2U8_MYH14</t>
  </si>
  <si>
    <t>F2Z2V0_CPNE1</t>
  </si>
  <si>
    <t>F2Z2W7_TRMT2A</t>
  </si>
  <si>
    <t>F2Z2X4_XPO4</t>
  </si>
  <si>
    <t>F2Z3A9_RABL2B</t>
  </si>
  <si>
    <t>F5GWD3_GTF2H3</t>
  </si>
  <si>
    <t>F5GWH5_TMEM258</t>
  </si>
  <si>
    <t>F5GWI4_ADA</t>
  </si>
  <si>
    <t>F5GWI9_CCDC53</t>
  </si>
  <si>
    <t>F5GWK5_STARD10</t>
  </si>
  <si>
    <t>F5GWT4_WNK1</t>
  </si>
  <si>
    <t>F5GWT8_SERPINB11</t>
  </si>
  <si>
    <t>F5GWU7_SMAD5</t>
  </si>
  <si>
    <t>F5GWX5_CHD4</t>
  </si>
  <si>
    <t>F5GX09_FAM76B</t>
  </si>
  <si>
    <t>F5GX68_DNMT1</t>
  </si>
  <si>
    <t>F5GX82_FRYL</t>
  </si>
  <si>
    <t>F5GXC8_SUCLA2</t>
  </si>
  <si>
    <t>F5GXF9_AFF1</t>
  </si>
  <si>
    <t>F5GXK8_DNAJB11</t>
  </si>
  <si>
    <t>F5GXX5_DAD1</t>
  </si>
  <si>
    <t>F5GXY5_SASS6</t>
  </si>
  <si>
    <t>F5GY92_GPBP1</t>
  </si>
  <si>
    <t>F5GY99_GALNT1</t>
  </si>
  <si>
    <t>F5GYC1_ABCD3</t>
  </si>
  <si>
    <t>F5GYC2_MAP7D2</t>
  </si>
  <si>
    <t>F5GYJ5_</t>
  </si>
  <si>
    <t>F5GYN4_OTUB1</t>
  </si>
  <si>
    <t>F5GYQ1_ATP6V0D1</t>
  </si>
  <si>
    <t>F5GYS8_MEIS1</t>
  </si>
  <si>
    <t>F5GZ90_DTL</t>
  </si>
  <si>
    <t>F5GZG1_RAP1B</t>
  </si>
  <si>
    <t>F5GZS0_DHX36</t>
  </si>
  <si>
    <t>F5GZS6_SLC3A2</t>
  </si>
  <si>
    <t>F5GZW3_ARHGAP4</t>
  </si>
  <si>
    <t>F5GZX9_FAM120B</t>
  </si>
  <si>
    <t>F5GZZ0_ALKBH2</t>
  </si>
  <si>
    <t>F5H012_TRIM21</t>
  </si>
  <si>
    <t>F5H070_KDM3A</t>
  </si>
  <si>
    <t>F5H0F9_ANAPC5</t>
  </si>
  <si>
    <t>F5H0I3_SOX5</t>
  </si>
  <si>
    <t>F5H0K8_KSR1</t>
  </si>
  <si>
    <t>F5H0L8_SEC23IP</t>
  </si>
  <si>
    <t>F5H0Q6_CLASRP</t>
  </si>
  <si>
    <t>F5H0R1_TUT1</t>
  </si>
  <si>
    <t>F5H0U5_GLTP</t>
  </si>
  <si>
    <t>F5H149_CCDC180</t>
  </si>
  <si>
    <t>F5H1B4_ZNF562</t>
  </si>
  <si>
    <t>F5H1G9_ABI1</t>
  </si>
  <si>
    <t>F5H1L4_TXNRD2</t>
  </si>
  <si>
    <t>F5H1X8_LRBA</t>
  </si>
  <si>
    <t>F5H1Y0_RAD51AP1</t>
  </si>
  <si>
    <t>F5H254_TMEM135</t>
  </si>
  <si>
    <t>F5H2B0_PIK3C2A</t>
  </si>
  <si>
    <t>F5H2H5_ANKLE2</t>
  </si>
  <si>
    <t>F5H2J3_VMP1</t>
  </si>
  <si>
    <t>F5H2Q7_KIAA1715</t>
  </si>
  <si>
    <t>F5H2S7_DCTN2</t>
  </si>
  <si>
    <t>F5H2U2_PRPF4B</t>
  </si>
  <si>
    <t>F5H2X7_CIZ1</t>
  </si>
  <si>
    <t>F5H315_XAB2</t>
  </si>
  <si>
    <t>F5H365_SEC23A</t>
  </si>
  <si>
    <t>F5H3J3_CHST10</t>
  </si>
  <si>
    <t>F5H442_TSG101</t>
  </si>
  <si>
    <t>F5H450_FZD10</t>
  </si>
  <si>
    <t>F5H492_RAD9A</t>
  </si>
  <si>
    <t>F5H4B1_PRAME</t>
  </si>
  <si>
    <t>F5H4G7_KPNA6</t>
  </si>
  <si>
    <t>F5H4Q5_VPS37C</t>
  </si>
  <si>
    <t>F5H4R0_EVI5</t>
  </si>
  <si>
    <t>F5H4S8_NFATC1</t>
  </si>
  <si>
    <t>F5H4V9_PDCD2</t>
  </si>
  <si>
    <t>F5H4Z3_PSMF1</t>
  </si>
  <si>
    <t>F5H539_TDG</t>
  </si>
  <si>
    <t>F5H564_EIF4G3</t>
  </si>
  <si>
    <t>F5H569_ATP6V0A1</t>
  </si>
  <si>
    <t>F5H577_BRK1</t>
  </si>
  <si>
    <t>F5H5C2_NUP133</t>
  </si>
  <si>
    <t>F5H5D3_TUBA1C</t>
  </si>
  <si>
    <t>F5H5D7_CLSTN3</t>
  </si>
  <si>
    <t>F5H5I6_GRSF1</t>
  </si>
  <si>
    <t>F5H5M7_IFNGR1</t>
  </si>
  <si>
    <t>F5H5N0_CDC42BPA</t>
  </si>
  <si>
    <t>F5H5N1_NDUFS7</t>
  </si>
  <si>
    <t>F5H5P2_BCKDHA</t>
  </si>
  <si>
    <t>F5H5R8_NAT1</t>
  </si>
  <si>
    <t>F5H5U2_DDX55</t>
  </si>
  <si>
    <t>F5H5V6_KDM6A</t>
  </si>
  <si>
    <t>F5H604_CLASP2</t>
  </si>
  <si>
    <t>F5H620_OXNAD1</t>
  </si>
  <si>
    <t>F5H631_CLEC2B</t>
  </si>
  <si>
    <t>F5H640_YY1AP1</t>
  </si>
  <si>
    <t>F5H648_TAP1</t>
  </si>
  <si>
    <t>F5H698_LARS</t>
  </si>
  <si>
    <t>F5H6V0_KCTD10</t>
  </si>
  <si>
    <t>F5H6Z0_CDK17</t>
  </si>
  <si>
    <t>F5H715_AIDA</t>
  </si>
  <si>
    <t>F5H721_WBP11</t>
  </si>
  <si>
    <t>F5H777_CCDC82</t>
  </si>
  <si>
    <t>F5H7F6_MGST1</t>
  </si>
  <si>
    <t>F5H7I4_GABPB1</t>
  </si>
  <si>
    <t>F5H7J5_RPTOR</t>
  </si>
  <si>
    <t>F5H7K2_MGA</t>
  </si>
  <si>
    <t>F5H7K3_EFCAB14</t>
  </si>
  <si>
    <t>F5H7N9_MFGE8</t>
  </si>
  <si>
    <t>F5H7P6_GBA2</t>
  </si>
  <si>
    <t>F5H801_OGDH</t>
  </si>
  <si>
    <t>F5H827_POMGNT1</t>
  </si>
  <si>
    <t>F5H860_INPP4A</t>
  </si>
  <si>
    <t>F5H872_MED21</t>
  </si>
  <si>
    <t>F5H897_TRAP1</t>
  </si>
  <si>
    <t>F5H8D7_XRCC1</t>
  </si>
  <si>
    <t>F5H8H2_MVK</t>
  </si>
  <si>
    <t>F5H8J3_CLPTM1</t>
  </si>
  <si>
    <t>F5H8L0_RABGAP1L</t>
  </si>
  <si>
    <t>F6PQP6_EPN2</t>
  </si>
  <si>
    <t>F6RU81_ELMSAN1</t>
  </si>
  <si>
    <t>F6T1Q0_PDE12</t>
  </si>
  <si>
    <t>F6U1F2_BAG6</t>
  </si>
  <si>
    <t>F6U1T9_PPP3R1</t>
  </si>
  <si>
    <t>F6XY72_NME2</t>
  </si>
  <si>
    <t>F8VP89_EIF4B</t>
  </si>
  <si>
    <t>F8VPD4_CAD</t>
  </si>
  <si>
    <t>F8VQ10_DDX39B</t>
  </si>
  <si>
    <t>F8VQE1_LIMA1</t>
  </si>
  <si>
    <t>F8VQR7_CSRP2</t>
  </si>
  <si>
    <t>F8VQX6_METTL7A</t>
  </si>
  <si>
    <t>F8VQZ7_METAP2</t>
  </si>
  <si>
    <t>F8VRH0_PCBP2</t>
  </si>
  <si>
    <t>F8VSL3_NFYB</t>
  </si>
  <si>
    <t>F8VSZ4_PLXNA1</t>
  </si>
  <si>
    <t>F8VUJ3_POC1B-GALNT4</t>
  </si>
  <si>
    <t>F8VUY8_SLC38A2</t>
  </si>
  <si>
    <t>F8VV52_CNOT2</t>
  </si>
  <si>
    <t>F8VV59_NAP1L1</t>
  </si>
  <si>
    <t>F8VVA7_COPZ1</t>
  </si>
  <si>
    <t>F8VVN7_TMEM106C</t>
  </si>
  <si>
    <t>F8VVX6_COQ5</t>
  </si>
  <si>
    <t>F8VW54_TSPAN31</t>
  </si>
  <si>
    <t>F8VWA6_MON2</t>
  </si>
  <si>
    <t>F8VWA9_ALG10B</t>
  </si>
  <si>
    <t>F8VXG7_SCAF11</t>
  </si>
  <si>
    <t>F8VXI9_GIT2</t>
  </si>
  <si>
    <t>F8VXU5_VPS29</t>
  </si>
  <si>
    <t>F8VY35_NAP1L1</t>
  </si>
  <si>
    <t>F8VYE8_PPP1CC</t>
  </si>
  <si>
    <t>F8VZ44_AAAS</t>
  </si>
  <si>
    <t>F8VZH8_UNC13A</t>
  </si>
  <si>
    <t>F8VZJ2_NACA</t>
  </si>
  <si>
    <t>F8W0Q9_PPHLN1</t>
  </si>
  <si>
    <t>F8W108_ARID2</t>
  </si>
  <si>
    <t>F8W1N9_NFE2</t>
  </si>
  <si>
    <t>F8W689_RFX5</t>
  </si>
  <si>
    <t>F8W6I7_HNRNPA1</t>
  </si>
  <si>
    <t>F8W6M3_ZDHHC3</t>
  </si>
  <si>
    <t>F8W6N3_BAP1</t>
  </si>
  <si>
    <t>F8W6N8_TRIM5</t>
  </si>
  <si>
    <t>F8W782_ADIPOR1</t>
  </si>
  <si>
    <t>F8W7A7_CCDC178</t>
  </si>
  <si>
    <t>F8W7D6_GPHN</t>
  </si>
  <si>
    <t>F8W7G7_FN1</t>
  </si>
  <si>
    <t>F8W7Q4_FAM162A</t>
  </si>
  <si>
    <t>F8W894_KANSL3</t>
  </si>
  <si>
    <t>F8W8C2_VEZT</t>
  </si>
  <si>
    <t>F8W8D3_SLBP</t>
  </si>
  <si>
    <t>F8W8H5_RAB24</t>
  </si>
  <si>
    <t>F8W8I6_TIA1</t>
  </si>
  <si>
    <t>F8W930_IGF2BP2</t>
  </si>
  <si>
    <t>F8W9A8_PPIP5K1</t>
  </si>
  <si>
    <t>F8W9B9_SYTL4</t>
  </si>
  <si>
    <t>F8W9I4_MLLT4</t>
  </si>
  <si>
    <t>F8W9Q9_LENG8</t>
  </si>
  <si>
    <t>F8W9X7_CCDC93</t>
  </si>
  <si>
    <t>F8WA39_MTMR1</t>
  </si>
  <si>
    <t>F8WAC3_UCKL1</t>
  </si>
  <si>
    <t>F8WAK8_STAG2</t>
  </si>
  <si>
    <t>F8WBK5_MRPL40</t>
  </si>
  <si>
    <t>F8WBT5_PINX1</t>
  </si>
  <si>
    <t>F8WBY6_GTPBP8</t>
  </si>
  <si>
    <t>F8WC68_DOM3Z</t>
  </si>
  <si>
    <t>F8WC89_SAC3D1</t>
  </si>
  <si>
    <t>F8WCD0_RNF149</t>
  </si>
  <si>
    <t>F8WCP6_KIF21A</t>
  </si>
  <si>
    <t>F8WDT8_DDX56</t>
  </si>
  <si>
    <t>F8WDV1_POLR3H</t>
  </si>
  <si>
    <t>F8WE28_EXOG</t>
  </si>
  <si>
    <t>F8WE91_DNMT3A</t>
  </si>
  <si>
    <t>F8WEC0_MMADHC</t>
  </si>
  <si>
    <t>F8WEE4_ZFAND2B</t>
  </si>
  <si>
    <t>F8WEG4_CBWD2</t>
  </si>
  <si>
    <t>F8WEG8_PRKRA</t>
  </si>
  <si>
    <t>F8WF48_SEC62</t>
  </si>
  <si>
    <t>F8WF93_ALG3</t>
  </si>
  <si>
    <t>G3V0I5_NDUFV1</t>
  </si>
  <si>
    <t>G3V0I6_OTUD4</t>
  </si>
  <si>
    <t>G3V167_PARP2</t>
  </si>
  <si>
    <t>G3V1C3_API5</t>
  </si>
  <si>
    <t>G3V1D3_DPP3</t>
  </si>
  <si>
    <t>G3V1K3_PON2</t>
  </si>
  <si>
    <t>G3V1L9_TJP1</t>
  </si>
  <si>
    <t>G3V1N2_HBA2</t>
  </si>
  <si>
    <t>G3V1N5_USP28</t>
  </si>
  <si>
    <t>G3V1P3_LOH12CR1</t>
  </si>
  <si>
    <t>G3V1P9_LEPREL2</t>
  </si>
  <si>
    <t>G3V1Q4_SEPT7</t>
  </si>
  <si>
    <t>G3V1Q7_PMFBP1</t>
  </si>
  <si>
    <t>G3V1S9_ACSL6</t>
  </si>
  <si>
    <t>G3V1U5_GOLT1B</t>
  </si>
  <si>
    <t>G3V1V4_GTSF1</t>
  </si>
  <si>
    <t>G3V1X5_YAF2</t>
  </si>
  <si>
    <t>G3V203_RPL18</t>
  </si>
  <si>
    <t>G3V238_METTL10</t>
  </si>
  <si>
    <t>G3V2B8_MTHFD1</t>
  </si>
  <si>
    <t>G3V2F7_TMEM189</t>
  </si>
  <si>
    <t>G3V2U7_ACYP1</t>
  </si>
  <si>
    <t>G3V325_ATP5J2-PTCD1</t>
  </si>
  <si>
    <t>G3V379_FERMT2</t>
  </si>
  <si>
    <t>G3V3G9_DCAF8</t>
  </si>
  <si>
    <t>G3V3H7_AKAP6</t>
  </si>
  <si>
    <t>G3V3I4_NFKBIA</t>
  </si>
  <si>
    <t>G3V3Q2_XRCC3</t>
  </si>
  <si>
    <t>G3V3R7_ATXN3</t>
  </si>
  <si>
    <t>G3V4A5_MED6</t>
  </si>
  <si>
    <t>G3V4I0_ENTPD5</t>
  </si>
  <si>
    <t>G3V4P7_AP4S1</t>
  </si>
  <si>
    <t>G3V4W0_HNRNPC</t>
  </si>
  <si>
    <t>G3V583_FAM177A1</t>
  </si>
  <si>
    <t>G3V597_ACYP1</t>
  </si>
  <si>
    <t>G3V599_CTAGE5</t>
  </si>
  <si>
    <t>G3V5N8_ZFYVE1</t>
  </si>
  <si>
    <t>G3V5T0_GSTZ1</t>
  </si>
  <si>
    <t>G3V5T9_CDK2</t>
  </si>
  <si>
    <t>G3V5W1_WARS</t>
  </si>
  <si>
    <t>G3V5Z7_PSMA6</t>
  </si>
  <si>
    <t>G3XA81_TMEM48</t>
  </si>
  <si>
    <t>G3XAA0_ARID1B</t>
  </si>
  <si>
    <t>G3XAB3_TTC17</t>
  </si>
  <si>
    <t>G3XAC1_SLC26A6</t>
  </si>
  <si>
    <t>G3XAH0_SEPT5</t>
  </si>
  <si>
    <t>G3XAI2_LAMB1</t>
  </si>
  <si>
    <t>G3XAI9_FAM133B</t>
  </si>
  <si>
    <t>G3XAN4_TRAM1</t>
  </si>
  <si>
    <t>G3XAN8_TIMM8B</t>
  </si>
  <si>
    <t>G3XAP3_ABCB8</t>
  </si>
  <si>
    <t>G5E933_SBF1</t>
  </si>
  <si>
    <t>G5E948_MAP4K4</t>
  </si>
  <si>
    <t>G5E953_MTMR3</t>
  </si>
  <si>
    <t>G5E975_SMARCB1</t>
  </si>
  <si>
    <t>G5E994_GPR107</t>
  </si>
  <si>
    <t>G5E9A6_USP11</t>
  </si>
  <si>
    <t>G5E9C8_SOS1</t>
  </si>
  <si>
    <t>G5E9L8_ECT2</t>
  </si>
  <si>
    <t>G5E9N0_ENTPD3</t>
  </si>
  <si>
    <t>G5E9P1_ITPR1</t>
  </si>
  <si>
    <t>G5E9T8_GOSR1</t>
  </si>
  <si>
    <t>G5E9W7_MRPS22</t>
  </si>
  <si>
    <t>G5EA09_SDCBP</t>
  </si>
  <si>
    <t>G5EA30_CELF1</t>
  </si>
  <si>
    <t>G5EA52_PDIA3</t>
  </si>
  <si>
    <t>G8JLA2_MYL6</t>
  </si>
  <si>
    <t>G8JLB3_PUS1</t>
  </si>
  <si>
    <t>G8JLD3_ERC1</t>
  </si>
  <si>
    <t>G8JLE5_TIPIN</t>
  </si>
  <si>
    <t>G8JLI5_WDR45</t>
  </si>
  <si>
    <t>G8JLK4_TACC1</t>
  </si>
  <si>
    <t>G8JLK7_NOL6</t>
  </si>
  <si>
    <t>G8JLL2_PPT2</t>
  </si>
  <si>
    <t>G8JLM6_TAF6</t>
  </si>
  <si>
    <t>G8JLP4_KIAA0430</t>
  </si>
  <si>
    <t>H0UI80_TH1L</t>
  </si>
  <si>
    <t>H0Y2U5_</t>
  </si>
  <si>
    <t>H0Y360_AMPD2</t>
  </si>
  <si>
    <t>H0Y362_SLC30A7</t>
  </si>
  <si>
    <t>H0Y384_ODF2</t>
  </si>
  <si>
    <t>H0Y3A3_DAB2IP</t>
  </si>
  <si>
    <t>H0Y3P2_EIF4G2</t>
  </si>
  <si>
    <t>H0Y4G9_MYD88</t>
  </si>
  <si>
    <t>H0Y4R1_IMPDH2</t>
  </si>
  <si>
    <t>H0Y4R5_TMEM201</t>
  </si>
  <si>
    <t>H0Y4W2_TRRAP</t>
  </si>
  <si>
    <t>H0Y547_ATP11A</t>
  </si>
  <si>
    <t>H0Y5Y0_PREP</t>
  </si>
  <si>
    <t>H0Y614_UFM1</t>
  </si>
  <si>
    <t>H0Y6B2_SUSD1</t>
  </si>
  <si>
    <t>H0Y6F5_ZHX3</t>
  </si>
  <si>
    <t>H0Y6K2_BRD2</t>
  </si>
  <si>
    <t>H0Y6K5_SP3</t>
  </si>
  <si>
    <t>H0Y6N5_SUN1</t>
  </si>
  <si>
    <t>H0Y6R6_TTC5</t>
  </si>
  <si>
    <t>H0Y6Y8_MRPL43</t>
  </si>
  <si>
    <t>H0Y702_STIL</t>
  </si>
  <si>
    <t>H0Y720_TNRC6B</t>
  </si>
  <si>
    <t>H0Y759_BAG6</t>
  </si>
  <si>
    <t>H0Y7A7_CALM2</t>
  </si>
  <si>
    <t>H0Y7L9_ABCD1</t>
  </si>
  <si>
    <t>H0Y7P7_PISD</t>
  </si>
  <si>
    <t>H0Y8D0_TMEM222</t>
  </si>
  <si>
    <t>H0Y8F2_TACC3</t>
  </si>
  <si>
    <t>H0Y8H1_CHIC2</t>
  </si>
  <si>
    <t>H0Y8P4_UTP15</t>
  </si>
  <si>
    <t>H0Y8X4_DNPH1</t>
  </si>
  <si>
    <t>H0Y9B8_</t>
  </si>
  <si>
    <t>H0Y9G6_MRPL3</t>
  </si>
  <si>
    <t>H0Y9L4_WHSC1</t>
  </si>
  <si>
    <t>H0Y9S9_PPIP5K2</t>
  </si>
  <si>
    <t>H0Y9T5_DCP2</t>
  </si>
  <si>
    <t>H0Y9X1_TMA16</t>
  </si>
  <si>
    <t>H0YA52_PCBD2</t>
  </si>
  <si>
    <t>H0YA61_RBM24</t>
  </si>
  <si>
    <t>H0YA80_UBE2B</t>
  </si>
  <si>
    <t>H0YAA8_MED28</t>
  </si>
  <si>
    <t>H0YAR2_PABPC1</t>
  </si>
  <si>
    <t>H0YB94_STAR</t>
  </si>
  <si>
    <t>H0YBP1_PTK2</t>
  </si>
  <si>
    <t>H0YBS1_INTS8</t>
  </si>
  <si>
    <t>H0YBZ4_MTFR1</t>
  </si>
  <si>
    <t>H0YC02_HMBOX1</t>
  </si>
  <si>
    <t>H0YCB3_ASCC1</t>
  </si>
  <si>
    <t>H0YD13_CD44</t>
  </si>
  <si>
    <t>H0YDD4_DLAT</t>
  </si>
  <si>
    <t>H0YDM5_SLC27A3</t>
  </si>
  <si>
    <t>H0YDQ1_ALG8</t>
  </si>
  <si>
    <t>H0YDR5_SIGIRR</t>
  </si>
  <si>
    <t>H0YDU8_PPP5C</t>
  </si>
  <si>
    <t>H0YEB6_SSSCA1</t>
  </si>
  <si>
    <t>H0YEF3_RNASEH2C</t>
  </si>
  <si>
    <t>H0YER1_RSF1</t>
  </si>
  <si>
    <t>H0YF29_C8orf82</t>
  </si>
  <si>
    <t>H0YGR4_REXO2</t>
  </si>
  <si>
    <t>H0YH69_ETNK1</t>
  </si>
  <si>
    <t>H0YHC3_NAP1L1</t>
  </si>
  <si>
    <t>H0YHG0_</t>
  </si>
  <si>
    <t>H0YIE9_FBXO21</t>
  </si>
  <si>
    <t>H0YIQ8_KANSL2</t>
  </si>
  <si>
    <t>H0YIV9_</t>
  </si>
  <si>
    <t>H0YJG9_DHRS2</t>
  </si>
  <si>
    <t>H0YK48_TPM1</t>
  </si>
  <si>
    <t>H0YK61_EMC4</t>
  </si>
  <si>
    <t>H0YKG9_EID1</t>
  </si>
  <si>
    <t>H0YKJ9_TSPAN3</t>
  </si>
  <si>
    <t>H0YL33_ANXA2</t>
  </si>
  <si>
    <t>H0YL70_TLE3</t>
  </si>
  <si>
    <t>H0YLB5_POU2F1</t>
  </si>
  <si>
    <t>H0YLB9_MAN2A2</t>
  </si>
  <si>
    <t>H0YLF3_B2M</t>
  </si>
  <si>
    <t>H0YLI7_AP3S2</t>
  </si>
  <si>
    <t>H0YLN8_TRPM7</t>
  </si>
  <si>
    <t>H0YLR1_FAM63B</t>
  </si>
  <si>
    <t>H0YLX2_RFX7</t>
  </si>
  <si>
    <t>H0YLY9_PIGH</t>
  </si>
  <si>
    <t>H0YMB3_GMPR2</t>
  </si>
  <si>
    <t>H0YMF4_RPL28</t>
  </si>
  <si>
    <t>H0YMJ0_MORF4L1</t>
  </si>
  <si>
    <t>H0YN78_C15orf57</t>
  </si>
  <si>
    <t>H0YNE3_PSME1</t>
  </si>
  <si>
    <t>H0YNG3_SEC11A</t>
  </si>
  <si>
    <t>H0YNJ3_PPP2R5C</t>
  </si>
  <si>
    <t>H0YNU5_BLM</t>
  </si>
  <si>
    <t>H3BLT4_BIRC5</t>
  </si>
  <si>
    <t>H3BLU7_AKR7A2</t>
  </si>
  <si>
    <t>H3BLV0_CD55</t>
  </si>
  <si>
    <t>H3BLV9_SRPK1</t>
  </si>
  <si>
    <t>H3BLW6_TMEM63B</t>
  </si>
  <si>
    <t>H3BLZ2_DBNDD1</t>
  </si>
  <si>
    <t>H3BLZ8_DDX17</t>
  </si>
  <si>
    <t>H3BM14_NUB1</t>
  </si>
  <si>
    <t>H3BM67_NOL3</t>
  </si>
  <si>
    <t>H3BM86_FAM219B</t>
  </si>
  <si>
    <t>H3BM91_COMMD4</t>
  </si>
  <si>
    <t>H3BMD8_ARPP19</t>
  </si>
  <si>
    <t>H3BMF4_SPNS1</t>
  </si>
  <si>
    <t>H3BN98_</t>
  </si>
  <si>
    <t>H3BND3_NUDT21</t>
  </si>
  <si>
    <t>H3BNU9_CARHSP1</t>
  </si>
  <si>
    <t>H3BP20_HEXA</t>
  </si>
  <si>
    <t>H3BP28_COQ7</t>
  </si>
  <si>
    <t>H3BPB8_MPI</t>
  </si>
  <si>
    <t>H3BPC4_UBE2I</t>
  </si>
  <si>
    <t>H3BPD5_NTHL1</t>
  </si>
  <si>
    <t>H3BPE1_MACF1</t>
  </si>
  <si>
    <t>H3BPJ7_TCF4</t>
  </si>
  <si>
    <t>H3BPK3_HAGH</t>
  </si>
  <si>
    <t>H3BPL0_CLN3</t>
  </si>
  <si>
    <t>H3BPS8_ALDOA</t>
  </si>
  <si>
    <t>H3BQA0_SNAPC5</t>
  </si>
  <si>
    <t>H3BR29_C16orf58</t>
  </si>
  <si>
    <t>H3BR94_DCTN5</t>
  </si>
  <si>
    <t>H3BRA4_BLOC1S6</t>
  </si>
  <si>
    <t>H3BRB6_ZNRF1</t>
  </si>
  <si>
    <t>H3BRF9_ZFYVE19</t>
  </si>
  <si>
    <t>H3BRL3_UBFD1</t>
  </si>
  <si>
    <t>H3BRN7_</t>
  </si>
  <si>
    <t>H3BRQ0_PPCDC</t>
  </si>
  <si>
    <t>H3BRQ8_NUDT7</t>
  </si>
  <si>
    <t>H3BRS1_NFATC3</t>
  </si>
  <si>
    <t>H3BRU1_FAM219B</t>
  </si>
  <si>
    <t>H3BRV0_EIF3C</t>
  </si>
  <si>
    <t>H3BS01_C15orf41</t>
  </si>
  <si>
    <t>H3BS66_SMIM1</t>
  </si>
  <si>
    <t>H3BSB3_MPHOSPH6</t>
  </si>
  <si>
    <t>H3BSH7_CIRH1A</t>
  </si>
  <si>
    <t>H3BSW6_CTU2</t>
  </si>
  <si>
    <t>H3BSZ4_MLST8</t>
  </si>
  <si>
    <t>H3BTL1_MAP1LC3B</t>
  </si>
  <si>
    <t>H3BTN5_PKM</t>
  </si>
  <si>
    <t>H3BTX0_</t>
  </si>
  <si>
    <t>H3BTX7_RNF166</t>
  </si>
  <si>
    <t>H3BU49_ARL2BP</t>
  </si>
  <si>
    <t>H3BUF6_ATXN2L</t>
  </si>
  <si>
    <t>H3BUQ2_OGFOD1</t>
  </si>
  <si>
    <t>H3BV68_C16orf62</t>
  </si>
  <si>
    <t>H3BV80_RNPS1</t>
  </si>
  <si>
    <t>H3BVB1_FBXL19</t>
  </si>
  <si>
    <t>H3BVD9_SPINT1</t>
  </si>
  <si>
    <t>H7BXF4_SMPD4</t>
  </si>
  <si>
    <t>H7BXF5_SAP130</t>
  </si>
  <si>
    <t>H7BXH2_PPP6R3</t>
  </si>
  <si>
    <t>H7BXH9_METTL21A</t>
  </si>
  <si>
    <t>H7BXI1_ESYT2</t>
  </si>
  <si>
    <t>H7BXI5_ERGIC3</t>
  </si>
  <si>
    <t>H7BXL1_TMEM41A</t>
  </si>
  <si>
    <t>H7BXT7_BET1L</t>
  </si>
  <si>
    <t>H7BXW7_MPC1</t>
  </si>
  <si>
    <t>H7BXY3_DHX30</t>
  </si>
  <si>
    <t>H7BY58_PCMT1</t>
  </si>
  <si>
    <t>H7BYE5_WRB</t>
  </si>
  <si>
    <t>H7BYQ6_INTS9</t>
  </si>
  <si>
    <t>H7BYV1_IFITM2</t>
  </si>
  <si>
    <t>H7BYY1_TPM1</t>
  </si>
  <si>
    <t>H7BZ11_</t>
  </si>
  <si>
    <t>H7BZ14_PPIL3</t>
  </si>
  <si>
    <t>H7BZ94_P4HB</t>
  </si>
  <si>
    <t>H7BZJ3_PDIA3</t>
  </si>
  <si>
    <t>H7BZK6_USP46</t>
  </si>
  <si>
    <t>H7BZT4_</t>
  </si>
  <si>
    <t>H7C0G7_NHEJ1</t>
  </si>
  <si>
    <t>H7C0N4_SF1</t>
  </si>
  <si>
    <t>H7C0V4_RTN4R</t>
  </si>
  <si>
    <t>H7C107_IQSEC1</t>
  </si>
  <si>
    <t>H7C124_THEMIS2</t>
  </si>
  <si>
    <t>H7C137_RANBP1</t>
  </si>
  <si>
    <t>H7C155_RAF1</t>
  </si>
  <si>
    <t>H7C173_MZT2B</t>
  </si>
  <si>
    <t>H7C1M5_DNTTIP1</t>
  </si>
  <si>
    <t>H7C1N3_BET1</t>
  </si>
  <si>
    <t>H7C1U3_CC2D1B</t>
  </si>
  <si>
    <t>H7C1U8_APOO</t>
  </si>
  <si>
    <t>H7C1W4_TATDN2</t>
  </si>
  <si>
    <t>H7C284_MFSD6</t>
  </si>
  <si>
    <t>H7C2B1_NOL7</t>
  </si>
  <si>
    <t>H7C2Q8_EBNA1BP2</t>
  </si>
  <si>
    <t>H7C331_SDCCAG3</t>
  </si>
  <si>
    <t>H7C347_PPM1N</t>
  </si>
  <si>
    <t>H7C3D5_FAM134A</t>
  </si>
  <si>
    <t>H7C3G9_NAGK</t>
  </si>
  <si>
    <t>H7C3P4_GNS</t>
  </si>
  <si>
    <t>H7C3T2_ATG2A</t>
  </si>
  <si>
    <t>H7C484_ARV1</t>
  </si>
  <si>
    <t>H7C4K1_STK19</t>
  </si>
  <si>
    <t>H7C4P1_ARHGAP25</t>
  </si>
  <si>
    <t>H7C5F7_NDFIP2</t>
  </si>
  <si>
    <t>H7C5H5_MFN1</t>
  </si>
  <si>
    <t>H7C5W6_HEATR5A</t>
  </si>
  <si>
    <t>H9KV44_EFR3A</t>
  </si>
  <si>
    <t>H9KV46_KIF18B</t>
  </si>
  <si>
    <t>H9KVB8_MICU1</t>
  </si>
  <si>
    <t>I3L097_</t>
  </si>
  <si>
    <t>I3L0A4_WASH6P</t>
  </si>
  <si>
    <t>I3L0C1_SMG1</t>
  </si>
  <si>
    <t>I3L0I1_SOGA1</t>
  </si>
  <si>
    <t>I3L0K1_GOSR2</t>
  </si>
  <si>
    <t>I3L0L6_RNF167</t>
  </si>
  <si>
    <t>I3L0N3_NSF</t>
  </si>
  <si>
    <t>I3L0U5_CCDC137</t>
  </si>
  <si>
    <t>I3L170_MAPT</t>
  </si>
  <si>
    <t>I3L1H5_DPH1</t>
  </si>
  <si>
    <t>I3L1L3_MYBBP1A</t>
  </si>
  <si>
    <t>I3L1P8_SLC25A11</t>
  </si>
  <si>
    <t>I3L1Q2_BCL7C</t>
  </si>
  <si>
    <t>I3L1Q3_ELP5</t>
  </si>
  <si>
    <t>I3L2B0_CLUH</t>
  </si>
  <si>
    <t>I3L2L5_FAM195B</t>
  </si>
  <si>
    <t>I3L2M9_PCTP</t>
  </si>
  <si>
    <t>I3L2W9_DVL2</t>
  </si>
  <si>
    <t>I3L367_TOM1L1</t>
  </si>
  <si>
    <t>I3L3A8_PELP1</t>
  </si>
  <si>
    <t>I3L3B4_</t>
  </si>
  <si>
    <t>I3L3P7_RPS15A</t>
  </si>
  <si>
    <t>I3L413_CCNE1</t>
  </si>
  <si>
    <t>I3L448_ATPAF1</t>
  </si>
  <si>
    <t>I3L4N7_SERPINF1</t>
  </si>
  <si>
    <t>I3L4X2_ABCC1</t>
  </si>
  <si>
    <t>I3NI29_PLSCR3</t>
  </si>
  <si>
    <t>J3KMW7_UBR5</t>
  </si>
  <si>
    <t>J3KMW8_CACTIN</t>
  </si>
  <si>
    <t>J3KMX2_SMARCD2</t>
  </si>
  <si>
    <t>J3KMY5_NPC2</t>
  </si>
  <si>
    <t>J3KMZ7_INTS2</t>
  </si>
  <si>
    <t>J3KMZ8_DPF2</t>
  </si>
  <si>
    <t>J3KMZ9_LDLR</t>
  </si>
  <si>
    <t>J3KN01_MLLT4</t>
  </si>
  <si>
    <t>J3KN10_PI4KA</t>
  </si>
  <si>
    <t>J3KN16_KIAA0368</t>
  </si>
  <si>
    <t>J3KN27_FBRSL1</t>
  </si>
  <si>
    <t>J3KN29_PSMD9</t>
  </si>
  <si>
    <t>J3KN59_BNIP2</t>
  </si>
  <si>
    <t>J3KN66_TOR1AIP1</t>
  </si>
  <si>
    <t>J3KN67_TPM3</t>
  </si>
  <si>
    <t>J3KN69_NCEH1</t>
  </si>
  <si>
    <t>J3KN82_APIP</t>
  </si>
  <si>
    <t>J3KNA0_OXA1L</t>
  </si>
  <si>
    <t>J3KNB8_MAP3K4</t>
  </si>
  <si>
    <t>J3KND1_SAAL1</t>
  </si>
  <si>
    <t>J3KNE0_RGPD3</t>
  </si>
  <si>
    <t>J3KNF4_CCS</t>
  </si>
  <si>
    <t>J3KNG8_FNIP1</t>
  </si>
  <si>
    <t>J3KNI1_COG4</t>
  </si>
  <si>
    <t>J3KNL3_CHID1</t>
  </si>
  <si>
    <t>J3KNL6_SEC16A</t>
  </si>
  <si>
    <t>J3KNN3_PHKG2</t>
  </si>
  <si>
    <t>J3KNN5_DDX41</t>
  </si>
  <si>
    <t>J3KNN7_BRAP</t>
  </si>
  <si>
    <t>J3KNP4_SEMA4B</t>
  </si>
  <si>
    <t>J3KNR0_MARK3</t>
  </si>
  <si>
    <t>J3KNR6_PTDSS1</t>
  </si>
  <si>
    <t>J3KNS3_ZNF385A</t>
  </si>
  <si>
    <t>J3KNU8_ALDH6A1</t>
  </si>
  <si>
    <t>J3KNW0_FCHO2</t>
  </si>
  <si>
    <t>J3KNW4_FHL2</t>
  </si>
  <si>
    <t>J3KNX9_MYO18A</t>
  </si>
  <si>
    <t>J3KNZ9_FBRS</t>
  </si>
  <si>
    <t>J3KP15_SRSF2</t>
  </si>
  <si>
    <t>J3KP20_NTRK1</t>
  </si>
  <si>
    <t>J3KP22_PTPRA</t>
  </si>
  <si>
    <t>J3KP27_TRAPPC4</t>
  </si>
  <si>
    <t>J3KP36_FAM21C</t>
  </si>
  <si>
    <t>J3KP75_PHACTR2</t>
  </si>
  <si>
    <t>J3KPC5_RAP1GAP</t>
  </si>
  <si>
    <t>J3KPD3_RBM7</t>
  </si>
  <si>
    <t>J3KPF0_HECTD4</t>
  </si>
  <si>
    <t>J3KPF9_KIF3A</t>
  </si>
  <si>
    <t>J3KPJ3_CAMKK1</t>
  </si>
  <si>
    <t>J3KPK1_SYNJ1</t>
  </si>
  <si>
    <t>J3KPL2_KDM1B</t>
  </si>
  <si>
    <t>J3KPN1_TESC</t>
  </si>
  <si>
    <t>J3KPP7_ARRB1</t>
  </si>
  <si>
    <t>J3KPS0_DNAJB12</t>
  </si>
  <si>
    <t>J3KPT4_TRABD</t>
  </si>
  <si>
    <t>J3KPV7_MPST</t>
  </si>
  <si>
    <t>J3KPW7_HDAC2</t>
  </si>
  <si>
    <t>J3KPX7_PHB2</t>
  </si>
  <si>
    <t>J3KPX8_MAP1A</t>
  </si>
  <si>
    <t>J3KPY9_ANTXR2</t>
  </si>
  <si>
    <t>J3KPZ8_RFXANK</t>
  </si>
  <si>
    <t>J3KQ32_OLA1</t>
  </si>
  <si>
    <t>J3KQ34_COPS7B</t>
  </si>
  <si>
    <t>J3KQ45_TGOLN2</t>
  </si>
  <si>
    <t>J3KQ48_PTRH2</t>
  </si>
  <si>
    <t>J3KQ72_FBXO6</t>
  </si>
  <si>
    <t>J3KQ88_C6orf203</t>
  </si>
  <si>
    <t>J3KQB0_THUMPD1</t>
  </si>
  <si>
    <t>J3KQG4_GBA</t>
  </si>
  <si>
    <t>J3KQJ9_VWDE</t>
  </si>
  <si>
    <t>J3KQL8_APOL2</t>
  </si>
  <si>
    <t>J3KQS2_CDC7</t>
  </si>
  <si>
    <t>J3KQS6_BABAM1</t>
  </si>
  <si>
    <t>J3KQU5_EPHB6</t>
  </si>
  <si>
    <t>J3KQU9_AP1G1</t>
  </si>
  <si>
    <t>J3KR35_CCDC12</t>
  </si>
  <si>
    <t>J3KR55_PTPN7</t>
  </si>
  <si>
    <t>J3KR58_SEPHS2</t>
  </si>
  <si>
    <t>J3KR97_TBCD</t>
  </si>
  <si>
    <t>J3KRC8_C16orf55</t>
  </si>
  <si>
    <t>J3KRN4_MAP3K3</t>
  </si>
  <si>
    <t>J3KRP6_SS18</t>
  </si>
  <si>
    <t>J3KRR5_PIGL</t>
  </si>
  <si>
    <t>J3KRW7_TMEM199</t>
  </si>
  <si>
    <t>J3KRZ1_DDX5</t>
  </si>
  <si>
    <t>J3KS05_CBX1</t>
  </si>
  <si>
    <t>J3KS15_ICT1</t>
  </si>
  <si>
    <t>J3KSH1_AMZ2</t>
  </si>
  <si>
    <t>J3KSJ4_RARA</t>
  </si>
  <si>
    <t>J3KSS7_GGA3</t>
  </si>
  <si>
    <t>J3KSW8_MPRIP</t>
  </si>
  <si>
    <t>J3KSY6_NT5C</t>
  </si>
  <si>
    <t>J3KT51_HN1</t>
  </si>
  <si>
    <t>J3KTA1_FBXL20</t>
  </si>
  <si>
    <t>J3KTK5_MED9</t>
  </si>
  <si>
    <t>J3KTL2_SRSF1</t>
  </si>
  <si>
    <t>J3QK89_CHERP</t>
  </si>
  <si>
    <t>J3QKR3_PSMB3</t>
  </si>
  <si>
    <t>J3QKR4_ICAM2</t>
  </si>
  <si>
    <t>J3QL56_SCO1</t>
  </si>
  <si>
    <t>J3QL71_SCRN2</t>
  </si>
  <si>
    <t>J3QLB2_SLC39A11</t>
  </si>
  <si>
    <t>J3QLD9_FLOT2</t>
  </si>
  <si>
    <t>J3QLM1_STARD3</t>
  </si>
  <si>
    <t>J3QLP7_UBBP4</t>
  </si>
  <si>
    <t>J3QLS3_MRPS7</t>
  </si>
  <si>
    <t>J3QQJ0_SAP30BP</t>
  </si>
  <si>
    <t>J3QQJ5_TRAPPC8</t>
  </si>
  <si>
    <t>J3QQT2_RPL17</t>
  </si>
  <si>
    <t>J3QQW9_SUZ12</t>
  </si>
  <si>
    <t>J3QQX3_FDXR</t>
  </si>
  <si>
    <t>J3QQY0_MSL1</t>
  </si>
  <si>
    <t>J3QR07_YTHDC1</t>
  </si>
  <si>
    <t>J3QR09_RPL19</t>
  </si>
  <si>
    <t>J3QRM9_ORMDL3</t>
  </si>
  <si>
    <t>J3QRS3_MYL12A</t>
  </si>
  <si>
    <t>J3QRS9_ZNF207</t>
  </si>
  <si>
    <t>J3QRU1_YES1</t>
  </si>
  <si>
    <t>J3QRU4_VAMP2</t>
  </si>
  <si>
    <t>J3QRU8_GIT1</t>
  </si>
  <si>
    <t>J3QRX6_COPRS</t>
  </si>
  <si>
    <t>J3QS27_ZNF207</t>
  </si>
  <si>
    <t>J3QS41_HELZ</t>
  </si>
  <si>
    <t>J3QSV6_RSL1D1</t>
  </si>
  <si>
    <t>J3QT56_HYPK</t>
  </si>
  <si>
    <t>J3QT87_CRBN</t>
  </si>
  <si>
    <t>J9JIC5_C17orf75</t>
  </si>
  <si>
    <t>J9JID7_LMNB2</t>
  </si>
  <si>
    <t>J9JIE6_TMCO1</t>
  </si>
  <si>
    <t>K4DI92_RWDD4</t>
  </si>
  <si>
    <t>K7EIG1_CLUH</t>
  </si>
  <si>
    <t>K7EIL6_</t>
  </si>
  <si>
    <t>K7EIN1_WBP2</t>
  </si>
  <si>
    <t>K7EIP7_YIPF2</t>
  </si>
  <si>
    <t>K7EIU8_SMAD4</t>
  </si>
  <si>
    <t>K7EIY1_FAM32A</t>
  </si>
  <si>
    <t>K7EJ08_SEC14L1</t>
  </si>
  <si>
    <t>K7EJ78_RPS15</t>
  </si>
  <si>
    <t>K7EJB9_CALR</t>
  </si>
  <si>
    <t>K7EJH0_SPC24</t>
  </si>
  <si>
    <t>K7EJL1_AP1M1</t>
  </si>
  <si>
    <t>K7EJQ7_SEC11C</t>
  </si>
  <si>
    <t>K7EK00_FAM210A</t>
  </si>
  <si>
    <t>K7EK07_H3F3B</t>
  </si>
  <si>
    <t>K7EK35_STAT5A</t>
  </si>
  <si>
    <t>K7EK99_LIN37</t>
  </si>
  <si>
    <t>K7EKE6_LONP1</t>
  </si>
  <si>
    <t>K7EKG9_ATXN7L3</t>
  </si>
  <si>
    <t>K7EKS3_POLRMT</t>
  </si>
  <si>
    <t>K7EKW3_TMUB2</t>
  </si>
  <si>
    <t>K7EL68_CDC37</t>
  </si>
  <si>
    <t>K7EL81_PPP1R12C</t>
  </si>
  <si>
    <t>K7ELE3_AES</t>
  </si>
  <si>
    <t>K7ELK7_R3HDM4</t>
  </si>
  <si>
    <t>K7ELL7_PRKCSH</t>
  </si>
  <si>
    <t>K7ELN3_DNAH17</t>
  </si>
  <si>
    <t>K7ELW5_PTBP1</t>
  </si>
  <si>
    <t>K7ELY2_STX10</t>
  </si>
  <si>
    <t>K7EM02_KATNAL2</t>
  </si>
  <si>
    <t>K7EM09_TMEM205</t>
  </si>
  <si>
    <t>K7EM87_EPG5</t>
  </si>
  <si>
    <t>K7EN05_ELOF1</t>
  </si>
  <si>
    <t>K7EN88_hCG_2039718</t>
  </si>
  <si>
    <t>K7ENF0_NARS</t>
  </si>
  <si>
    <t>K7ENH2_PSME3</t>
  </si>
  <si>
    <t>K7ENL9_C18orf8</t>
  </si>
  <si>
    <t>K7EP31_ATP5SL</t>
  </si>
  <si>
    <t>K7EP32_UBXN6</t>
  </si>
  <si>
    <t>K7EPJ5_MGRN1</t>
  </si>
  <si>
    <t>K7EQ34_TMEM161A</t>
  </si>
  <si>
    <t>K7EQ37_UNC13D</t>
  </si>
  <si>
    <t>K7EQ77_NDUFA11</t>
  </si>
  <si>
    <t>K7EQL1_FAM98C</t>
  </si>
  <si>
    <t>K7EQV2_POP4</t>
  </si>
  <si>
    <t>K7EQW8_TPM4</t>
  </si>
  <si>
    <t>K7EQX8_MXRA7</t>
  </si>
  <si>
    <t>K7ER00_FARSA</t>
  </si>
  <si>
    <t>K7ER89_ERCC1</t>
  </si>
  <si>
    <t>K7ER93_C19orf55</t>
  </si>
  <si>
    <t>K7ERF1_EIF3K</t>
  </si>
  <si>
    <t>K7ERQ0_YIF1B</t>
  </si>
  <si>
    <t>K7ERU9_</t>
  </si>
  <si>
    <t>K7ERV3_TK1</t>
  </si>
  <si>
    <t>K7ES02_BLMH</t>
  </si>
  <si>
    <t>K7ES11_UBE2O</t>
  </si>
  <si>
    <t>K7ES84_FAM86A</t>
  </si>
  <si>
    <t>K7ESB7_DOCK6</t>
  </si>
  <si>
    <t>K7ESE3_RAD23A</t>
  </si>
  <si>
    <t>K7ESE6_G6PC3</t>
  </si>
  <si>
    <t>K7ESP4_DCAKD</t>
  </si>
  <si>
    <t>M0QWZ7_SARS2</t>
  </si>
  <si>
    <t>M0QX35_PAF1</t>
  </si>
  <si>
    <t>M0QXA7_WIZ</t>
  </si>
  <si>
    <t>M0QXB4_COPE</t>
  </si>
  <si>
    <t>M0QXL5_FBL</t>
  </si>
  <si>
    <t>M0QXT0_USF2</t>
  </si>
  <si>
    <t>M0QXZ5_ZNF428</t>
  </si>
  <si>
    <t>M0QY01_EPS15L1</t>
  </si>
  <si>
    <t>M0QY97_ZC3H4</t>
  </si>
  <si>
    <t>M0QYM7_TUBB4A</t>
  </si>
  <si>
    <t>M0QYS1_RPL13A</t>
  </si>
  <si>
    <t>M0QZ09_SIRT6</t>
  </si>
  <si>
    <t>M0QZ12_GRAMD1A</t>
  </si>
  <si>
    <t>M0QZ43_HRC</t>
  </si>
  <si>
    <t>M0QZI3_FCHO1</t>
  </si>
  <si>
    <t>M0QZR4_ARHGEF1</t>
  </si>
  <si>
    <t>M0QZW1_PRKD2</t>
  </si>
  <si>
    <t>M0R042_TUBB4A</t>
  </si>
  <si>
    <t>M0R0B4_KXD1</t>
  </si>
  <si>
    <t>M0R0F0_RPS5</t>
  </si>
  <si>
    <t>M0R0N4_AP2S1</t>
  </si>
  <si>
    <t>M0R0R3_SMIM7</t>
  </si>
  <si>
    <t>M0R0V1_PLEKHA4</t>
  </si>
  <si>
    <t>M0R150_</t>
  </si>
  <si>
    <t>M0R226_MRPL34</t>
  </si>
  <si>
    <t>M0R2A0_EMC10</t>
  </si>
  <si>
    <t>M0R2B7_POLD1</t>
  </si>
  <si>
    <t>M0R2C4_LSR</t>
  </si>
  <si>
    <t>M0R300_MYO9B</t>
  </si>
  <si>
    <t>M0R3D4_RABAC1</t>
  </si>
  <si>
    <t>O00116_AGPS</t>
  </si>
  <si>
    <t>O00124-3_UBXN8</t>
  </si>
  <si>
    <t>O00139-1_KIF2A</t>
  </si>
  <si>
    <t>O00139-2_KIF2A</t>
  </si>
  <si>
    <t>O00148_DDX39A</t>
  </si>
  <si>
    <t>O00151_PDLIM1</t>
  </si>
  <si>
    <t>O00154-4_ACOT7</t>
  </si>
  <si>
    <t>O00159_MYO1C</t>
  </si>
  <si>
    <t>O00161_SNAP23</t>
  </si>
  <si>
    <t>O00165-5_HAX1</t>
  </si>
  <si>
    <t>O00170_AIP</t>
  </si>
  <si>
    <t>O00178_GTPBP1</t>
  </si>
  <si>
    <t>O00180_KCNK1</t>
  </si>
  <si>
    <t>O00186_STXBP3</t>
  </si>
  <si>
    <t>O00203_AP3B1</t>
  </si>
  <si>
    <t>O00214-2_LGALS8</t>
  </si>
  <si>
    <t>O00217_NDUFS8</t>
  </si>
  <si>
    <t>O00220_TNFRSF10A</t>
  </si>
  <si>
    <t>O00221_NFKBIE</t>
  </si>
  <si>
    <t>O00231_PSMD11</t>
  </si>
  <si>
    <t>O00232_PSMD12</t>
  </si>
  <si>
    <t>O00244_ATOX1</t>
  </si>
  <si>
    <t>O00264_PGRMC1</t>
  </si>
  <si>
    <t>O00267-2_SUPT5H</t>
  </si>
  <si>
    <t>O00273_DFFA</t>
  </si>
  <si>
    <t>O00273-2_DFFA</t>
  </si>
  <si>
    <t>O00287_RFXAP</t>
  </si>
  <si>
    <t>O00291_HIP1</t>
  </si>
  <si>
    <t>O00299_CLIC1</t>
  </si>
  <si>
    <t>O00308_WWP2</t>
  </si>
  <si>
    <t>O00325_PTGER3</t>
  </si>
  <si>
    <t>O00399_DCTN6</t>
  </si>
  <si>
    <t>O00400_SLC33A1</t>
  </si>
  <si>
    <t>O00401_WASL</t>
  </si>
  <si>
    <t>O00410_IPO5</t>
  </si>
  <si>
    <t>O00418_EEF2K</t>
  </si>
  <si>
    <t>O00422_SAP18</t>
  </si>
  <si>
    <t>O00425_IGF2BP3</t>
  </si>
  <si>
    <t>O00429-3_DNM1L</t>
  </si>
  <si>
    <t>O00429-4_DNM1L</t>
  </si>
  <si>
    <t>O00442_RTCA</t>
  </si>
  <si>
    <t>O00459_PIK3R2</t>
  </si>
  <si>
    <t>O00461_GOLIM4</t>
  </si>
  <si>
    <t>O00462_MANBA</t>
  </si>
  <si>
    <t>O00468-2_AGRN</t>
  </si>
  <si>
    <t>O00471_EXOC5</t>
  </si>
  <si>
    <t>O00479_HMGN4</t>
  </si>
  <si>
    <t>O00483_NDUFA4</t>
  </si>
  <si>
    <t>O00487_PSMD14</t>
  </si>
  <si>
    <t>O00488_ZNF593</t>
  </si>
  <si>
    <t>O00505_KPNA3</t>
  </si>
  <si>
    <t>O00506_STK25</t>
  </si>
  <si>
    <t>O00512_BCL9</t>
  </si>
  <si>
    <t>O00522_KRIT1</t>
  </si>
  <si>
    <t>O00560_SDCBP</t>
  </si>
  <si>
    <t>O00562-2_PITPNM1</t>
  </si>
  <si>
    <t>O00566_MPHOSPH10</t>
  </si>
  <si>
    <t>O00567_NOP56</t>
  </si>
  <si>
    <t>O00571_DDX3X</t>
  </si>
  <si>
    <t>O00625_PIR</t>
  </si>
  <si>
    <t>O00629_KPNA4</t>
  </si>
  <si>
    <t>O00635_TRIM38</t>
  </si>
  <si>
    <t>O00743_PPP6C</t>
  </si>
  <si>
    <t>O00748_CES2</t>
  </si>
  <si>
    <t>O00754-2_MAN2B1</t>
  </si>
  <si>
    <t>O00764_PDXK</t>
  </si>
  <si>
    <t>O00764-3_PDXK</t>
  </si>
  <si>
    <t>O00767_SCD</t>
  </si>
  <si>
    <t>O14497_ARID1A</t>
  </si>
  <si>
    <t>O14508_SOCS2</t>
  </si>
  <si>
    <t>O14519-2_CDK2AP1</t>
  </si>
  <si>
    <t>O14523_C2CD2L</t>
  </si>
  <si>
    <t>O14524-2_TMEM194A</t>
  </si>
  <si>
    <t>O14545_TRAFD1</t>
  </si>
  <si>
    <t>O14548_COX7A2L</t>
  </si>
  <si>
    <t>O14561_NDUFAB1</t>
  </si>
  <si>
    <t>O14578_CIT</t>
  </si>
  <si>
    <t>O14617_AP3D1</t>
  </si>
  <si>
    <t>O14646-2_CHD1</t>
  </si>
  <si>
    <t>O14656_TOR1A</t>
  </si>
  <si>
    <t>O14657_TOR1B</t>
  </si>
  <si>
    <t>O14662-2_STX16</t>
  </si>
  <si>
    <t>O14672_ADAM10</t>
  </si>
  <si>
    <t>O14686_MLL2</t>
  </si>
  <si>
    <t>O14733-3_MAP2K7</t>
  </si>
  <si>
    <t>O14734_ACOT8</t>
  </si>
  <si>
    <t>O14737_PDCD5</t>
  </si>
  <si>
    <t>O14744_PRMT5</t>
  </si>
  <si>
    <t>O14745_SLC9A3R1</t>
  </si>
  <si>
    <t>O14757_CHEK1</t>
  </si>
  <si>
    <t>O14763-2_TNFRSF10B</t>
  </si>
  <si>
    <t>O14772-2_FPGT</t>
  </si>
  <si>
    <t>O14773_TPP1</t>
  </si>
  <si>
    <t>O14776-2_TCERG1</t>
  </si>
  <si>
    <t>O14777_NDC80</t>
  </si>
  <si>
    <t>O14787-2_TNPO2</t>
  </si>
  <si>
    <t>O14802_POLR3A</t>
  </si>
  <si>
    <t>O14818_PSMA7</t>
  </si>
  <si>
    <t>O14828_SCAMP3</t>
  </si>
  <si>
    <t>O14841_OPLAH</t>
  </si>
  <si>
    <t>O14867_BACH1</t>
  </si>
  <si>
    <t>O14874_BCKDK</t>
  </si>
  <si>
    <t>O14893-2_GEMIN2</t>
  </si>
  <si>
    <t>O14908_GIPC1</t>
  </si>
  <si>
    <t>O14920_IKBKB</t>
  </si>
  <si>
    <t>O14925_TIMM23</t>
  </si>
  <si>
    <t>O14929_HAT1</t>
  </si>
  <si>
    <t>O14944_EREG</t>
  </si>
  <si>
    <t>O14949_UQCRQ</t>
  </si>
  <si>
    <t>O14964_HGS</t>
  </si>
  <si>
    <t>O14965_AURKA</t>
  </si>
  <si>
    <t>O14974-4_PPP1R12A</t>
  </si>
  <si>
    <t>O14975-2_SLC27A2</t>
  </si>
  <si>
    <t>O14976_GAK</t>
  </si>
  <si>
    <t>O14979-3_HNRPDL</t>
  </si>
  <si>
    <t>O14980_XPO1</t>
  </si>
  <si>
    <t>O14981_BTAF1</t>
  </si>
  <si>
    <t>O15014_ZNF609</t>
  </si>
  <si>
    <t>O15020-2_SPTBN2</t>
  </si>
  <si>
    <t>O15031_PLXNB2</t>
  </si>
  <si>
    <t>O15047_SETD1A</t>
  </si>
  <si>
    <t>O15056_SYNJ2</t>
  </si>
  <si>
    <t>O15066_KIF3B</t>
  </si>
  <si>
    <t>O15067_PFAS</t>
  </si>
  <si>
    <t>O15084_ANKRD28</t>
  </si>
  <si>
    <t>O15085_ARHGEF11</t>
  </si>
  <si>
    <t>O15091-4_KIAA0391</t>
  </si>
  <si>
    <t>O15111_CHUK</t>
  </si>
  <si>
    <t>O15116_LSM1</t>
  </si>
  <si>
    <t>O15117_FYB</t>
  </si>
  <si>
    <t>O15118_NPC1</t>
  </si>
  <si>
    <t>O15120_AGPAT2</t>
  </si>
  <si>
    <t>O15121_DEGS1</t>
  </si>
  <si>
    <t>O15126_SCAMP1</t>
  </si>
  <si>
    <t>O15127_SCAMP2</t>
  </si>
  <si>
    <t>O15143_ARPC1B</t>
  </si>
  <si>
    <t>O15144_ARPC2</t>
  </si>
  <si>
    <t>O15145_ARPC3</t>
  </si>
  <si>
    <t>O15156_ZBTB7B</t>
  </si>
  <si>
    <t>O15160_POLR1C</t>
  </si>
  <si>
    <t>O15164-2_TRIM24</t>
  </si>
  <si>
    <t>O15169-2_AXIN1</t>
  </si>
  <si>
    <t>O15173_PGRMC2</t>
  </si>
  <si>
    <t>O15212_PFDN6</t>
  </si>
  <si>
    <t>O15228_GNPAT</t>
  </si>
  <si>
    <t>O15234_CASC3</t>
  </si>
  <si>
    <t>O15235_MRPS12</t>
  </si>
  <si>
    <t>O15240_VGF</t>
  </si>
  <si>
    <t>O15247_CLIC2</t>
  </si>
  <si>
    <t>O15258_RER1</t>
  </si>
  <si>
    <t>O15269_SPTLC1</t>
  </si>
  <si>
    <t>O15270_SPTLC2</t>
  </si>
  <si>
    <t>O15294-3_OGT</t>
  </si>
  <si>
    <t>O15305_PMM2</t>
  </si>
  <si>
    <t>O15347_HMGB3</t>
  </si>
  <si>
    <t>O15355_PPM1G</t>
  </si>
  <si>
    <t>O15357_INPPL1</t>
  </si>
  <si>
    <t>O15379_HDAC3</t>
  </si>
  <si>
    <t>O15382_BCAT2</t>
  </si>
  <si>
    <t>O15391_YY2</t>
  </si>
  <si>
    <t>O15397_IPO8</t>
  </si>
  <si>
    <t>O15400-2_STX7</t>
  </si>
  <si>
    <t>O15431_SLC31A1</t>
  </si>
  <si>
    <t>O15439-2_ABCC4</t>
  </si>
  <si>
    <t>O15446_CD3EAP</t>
  </si>
  <si>
    <t>O15453_NBR2</t>
  </si>
  <si>
    <t>O15460-2_P4HA2</t>
  </si>
  <si>
    <t>O15479_MAGEB2</t>
  </si>
  <si>
    <t>O15498_YKT6</t>
  </si>
  <si>
    <t>O15503_INSIG1</t>
  </si>
  <si>
    <t>O15511_ARPC5</t>
  </si>
  <si>
    <t>O15514_POLR2D</t>
  </si>
  <si>
    <t>O15541_RNF113A</t>
  </si>
  <si>
    <t>O43143_DHX15</t>
  </si>
  <si>
    <t>O43148_RNMT</t>
  </si>
  <si>
    <t>O43156_TTI1</t>
  </si>
  <si>
    <t>O43157-2_PLXNB1</t>
  </si>
  <si>
    <t>O43164-2_PJA2</t>
  </si>
  <si>
    <t>O43172-2_PRPF4</t>
  </si>
  <si>
    <t>O43175_PHGDH</t>
  </si>
  <si>
    <t>O43181_NDUFS4</t>
  </si>
  <si>
    <t>O43182-4_ARHGAP6</t>
  </si>
  <si>
    <t>O43237_DYNC1LI2</t>
  </si>
  <si>
    <t>O43242_PSMD3</t>
  </si>
  <si>
    <t>O43252_PAPSS1</t>
  </si>
  <si>
    <t>O43257_ZNHIT1</t>
  </si>
  <si>
    <t>O43264_ZW10</t>
  </si>
  <si>
    <t>O43290_SART1</t>
  </si>
  <si>
    <t>O43293_DAPK3</t>
  </si>
  <si>
    <t>O43299_AP5Z1</t>
  </si>
  <si>
    <t>O43301_HSPA12A</t>
  </si>
  <si>
    <t>O43310_CTIF</t>
  </si>
  <si>
    <t>O43314-2_PPIP5K2</t>
  </si>
  <si>
    <t>O43318_MAP3K7</t>
  </si>
  <si>
    <t>O43353_RIPK2</t>
  </si>
  <si>
    <t>O43379_WDR62</t>
  </si>
  <si>
    <t>O43390_HNRNPR</t>
  </si>
  <si>
    <t>O43395_PRPF3</t>
  </si>
  <si>
    <t>O43396_TXNL1</t>
  </si>
  <si>
    <t>O43399_TPD52L2</t>
  </si>
  <si>
    <t>O43402_EMC8</t>
  </si>
  <si>
    <t>O43427-2_FIBP</t>
  </si>
  <si>
    <t>O43435-3_TBX1</t>
  </si>
  <si>
    <t>O43447_PPIH</t>
  </si>
  <si>
    <t>O43464-3_HTRA2</t>
  </si>
  <si>
    <t>O43482_OIP5</t>
  </si>
  <si>
    <t>O43491_EPB41L2</t>
  </si>
  <si>
    <t>O43502_RAD51C</t>
  </si>
  <si>
    <t>O43504_LAMTOR5</t>
  </si>
  <si>
    <t>O43505_B3GNT1</t>
  </si>
  <si>
    <t>O43513_MED7</t>
  </si>
  <si>
    <t>O43516_WIPF1</t>
  </si>
  <si>
    <t>O43543_XRCC2</t>
  </si>
  <si>
    <t>O43583_DENR</t>
  </si>
  <si>
    <t>O43592_XPOT</t>
  </si>
  <si>
    <t>O43598_DNPH1</t>
  </si>
  <si>
    <t>O43615_TIMM44</t>
  </si>
  <si>
    <t>O43617_TRAPPC3</t>
  </si>
  <si>
    <t>O43633_CHMP2A</t>
  </si>
  <si>
    <t>O43639_NCK2</t>
  </si>
  <si>
    <t>O43663_PRC1</t>
  </si>
  <si>
    <t>O43665-2_RGS10</t>
  </si>
  <si>
    <t>O43678_NDUFA2</t>
  </si>
  <si>
    <t>O43681_ASNA1</t>
  </si>
  <si>
    <t>O43684_BUB3</t>
  </si>
  <si>
    <t>O43707_ACTN4</t>
  </si>
  <si>
    <t>O43709_WBSCR22</t>
  </si>
  <si>
    <t>O43715_TRIAP1</t>
  </si>
  <si>
    <t>O43719_HTATSF1</t>
  </si>
  <si>
    <t>O43734-5_TRAF3IP2</t>
  </si>
  <si>
    <t>O43736-2_ITM2A</t>
  </si>
  <si>
    <t>O43752_STX6</t>
  </si>
  <si>
    <t>O43760_SYNGR2</t>
  </si>
  <si>
    <t>O43765_SGTA</t>
  </si>
  <si>
    <t>O43766-2_LIAS</t>
  </si>
  <si>
    <t>O43768-2_ENSA</t>
  </si>
  <si>
    <t>O43772_SLC25A20</t>
  </si>
  <si>
    <t>O43776_NARS</t>
  </si>
  <si>
    <t>O43805_SSNA1</t>
  </si>
  <si>
    <t>O43809_NUDT21</t>
  </si>
  <si>
    <t>O43813_LANCL1</t>
  </si>
  <si>
    <t>O43815_STRN</t>
  </si>
  <si>
    <t>O43818_RRP9</t>
  </si>
  <si>
    <t>O43819_SCO2</t>
  </si>
  <si>
    <t>O43820-4_HYAL3</t>
  </si>
  <si>
    <t>O43823_AKAP8</t>
  </si>
  <si>
    <t>O43824_GTPBP6</t>
  </si>
  <si>
    <t>O43826_SLC37A4</t>
  </si>
  <si>
    <t>O43829_ZBTB14</t>
  </si>
  <si>
    <t>O43837_IDH3B</t>
  </si>
  <si>
    <t>O43852_CALU</t>
  </si>
  <si>
    <t>O43865_AHCYL1</t>
  </si>
  <si>
    <t>O43896_KIF1C</t>
  </si>
  <si>
    <t>O43913_ORC5</t>
  </si>
  <si>
    <t>O43920_NDUFS5</t>
  </si>
  <si>
    <t>O43924_PDE6D</t>
  </si>
  <si>
    <t>O43930_PRKY</t>
  </si>
  <si>
    <t>O43933_PEX1</t>
  </si>
  <si>
    <t>O60216_RAD21</t>
  </si>
  <si>
    <t>O60220_TIMM8A</t>
  </si>
  <si>
    <t>O60231_DHX16</t>
  </si>
  <si>
    <t>O60234_GMFG</t>
  </si>
  <si>
    <t>O60256_PRPSAP2</t>
  </si>
  <si>
    <t>O60264_SMARCA5</t>
  </si>
  <si>
    <t>O60271-4_SPAG9</t>
  </si>
  <si>
    <t>O60293-2_ZFC3H1</t>
  </si>
  <si>
    <t>O60294_LCMT2</t>
  </si>
  <si>
    <t>O60306_AQR</t>
  </si>
  <si>
    <t>O60307_MAST3</t>
  </si>
  <si>
    <t>O60308-3_CEP104</t>
  </si>
  <si>
    <t>O60313-2_OPA1</t>
  </si>
  <si>
    <t>O60315-2_ZEB2</t>
  </si>
  <si>
    <t>O60333-2_KIF1B</t>
  </si>
  <si>
    <t>O60337-5_MARCH6</t>
  </si>
  <si>
    <t>O60341_KDM1A</t>
  </si>
  <si>
    <t>O60343-2_TBC1D4</t>
  </si>
  <si>
    <t>O60344-4_ECE2</t>
  </si>
  <si>
    <t>O60427_FADS1</t>
  </si>
  <si>
    <t>O60476_MAN1A2</t>
  </si>
  <si>
    <t>O60488-2_ACSL4</t>
  </si>
  <si>
    <t>O60493_SNX3</t>
  </si>
  <si>
    <t>O60502_MGEA5</t>
  </si>
  <si>
    <t>O60506-3_SYNCRIP</t>
  </si>
  <si>
    <t>O60512_B4GALT3</t>
  </si>
  <si>
    <t>O60518_RANBP6</t>
  </si>
  <si>
    <t>O60524-4_NEMF</t>
  </si>
  <si>
    <t>O60547-2_GMDS</t>
  </si>
  <si>
    <t>O60563_CCNT1</t>
  </si>
  <si>
    <t>O60566_BUB1B</t>
  </si>
  <si>
    <t>O60568_PLOD3</t>
  </si>
  <si>
    <t>O60613_SEP15</t>
  </si>
  <si>
    <t>O60645-3_EXOC3</t>
  </si>
  <si>
    <t>O60664_PLIN3</t>
  </si>
  <si>
    <t>O60671_RAD1</t>
  </si>
  <si>
    <t>O60678_PRMT3</t>
  </si>
  <si>
    <t>O60701_UGDH</t>
  </si>
  <si>
    <t>O60704_TPST2</t>
  </si>
  <si>
    <t>O60716-5_CTNND1</t>
  </si>
  <si>
    <t>O60725_ICMT</t>
  </si>
  <si>
    <t>O60732_MAGEC1</t>
  </si>
  <si>
    <t>O60739_EIF1B</t>
  </si>
  <si>
    <t>O60749_SNX2</t>
  </si>
  <si>
    <t>O60763_USO1</t>
  </si>
  <si>
    <t>O60826_CCDC22</t>
  </si>
  <si>
    <t>O60828_PQBP1</t>
  </si>
  <si>
    <t>O60829_PAGE4</t>
  </si>
  <si>
    <t>O60830_TIMM17B</t>
  </si>
  <si>
    <t>O60832_DKC1</t>
  </si>
  <si>
    <t>O60841_EIF5B</t>
  </si>
  <si>
    <t>O60869_EDF1</t>
  </si>
  <si>
    <t>O60870_KIN</t>
  </si>
  <si>
    <t>O60884_DNAJA2</t>
  </si>
  <si>
    <t>O60885_BRD4</t>
  </si>
  <si>
    <t>O60888-3_CUTA</t>
  </si>
  <si>
    <t>O60911_CTSL2</t>
  </si>
  <si>
    <t>O60925_PFDN1</t>
  </si>
  <si>
    <t>O60927_PPP1R11</t>
  </si>
  <si>
    <t>O60930_RNASEH1</t>
  </si>
  <si>
    <t>O60934_NBN</t>
  </si>
  <si>
    <t>O60942_RNGTT</t>
  </si>
  <si>
    <t>O75027_ABCB7</t>
  </si>
  <si>
    <t>O75044_SRGAP2</t>
  </si>
  <si>
    <t>O75054_IGSF3</t>
  </si>
  <si>
    <t>O75061-4_DNAJC6</t>
  </si>
  <si>
    <t>O75063_FAM20B</t>
  </si>
  <si>
    <t>O75083_WDR1</t>
  </si>
  <si>
    <t>O75113_N4BP1</t>
  </si>
  <si>
    <t>O75116_ROCK2</t>
  </si>
  <si>
    <t>O75131_CPNE3</t>
  </si>
  <si>
    <t>O75143-3_ATG13</t>
  </si>
  <si>
    <t>O75146_HIP1R</t>
  </si>
  <si>
    <t>O75150_RNF40</t>
  </si>
  <si>
    <t>O75152_ZC3H11A</t>
  </si>
  <si>
    <t>O75153_CLUH</t>
  </si>
  <si>
    <t>O75155_CAND2</t>
  </si>
  <si>
    <t>O75157-2_TSC22D2</t>
  </si>
  <si>
    <t>O75164_KDM4A</t>
  </si>
  <si>
    <t>O75165_DNAJC13</t>
  </si>
  <si>
    <t>O75170-2_PPP6R2</t>
  </si>
  <si>
    <t>O75175_CNOT3</t>
  </si>
  <si>
    <t>O75179-2_ANKRD17</t>
  </si>
  <si>
    <t>O75191_XYLB</t>
  </si>
  <si>
    <t>O75208_COQ9</t>
  </si>
  <si>
    <t>O75223_GGCT</t>
  </si>
  <si>
    <t>O75306_NDUFS2</t>
  </si>
  <si>
    <t>O75312_ZNF259</t>
  </si>
  <si>
    <t>O75323_GBAS</t>
  </si>
  <si>
    <t>O75330-2_HMMR</t>
  </si>
  <si>
    <t>O75340_PDCD6</t>
  </si>
  <si>
    <t>O75347_TBCA</t>
  </si>
  <si>
    <t>O75348_ATP6V1G1</t>
  </si>
  <si>
    <t>O75351_VPS4B</t>
  </si>
  <si>
    <t>O75362_ZNF217</t>
  </si>
  <si>
    <t>O75368_SH3BGRL</t>
  </si>
  <si>
    <t>O75369-8_FLNB</t>
  </si>
  <si>
    <t>O75376_NCOR1</t>
  </si>
  <si>
    <t>O75379_VAMP4</t>
  </si>
  <si>
    <t>O75380_NDUFS6</t>
  </si>
  <si>
    <t>O75381-2_PEX14</t>
  </si>
  <si>
    <t>O75387_SLC43A1</t>
  </si>
  <si>
    <t>O75391_SPAG7</t>
  </si>
  <si>
    <t>O75396_SEC22B</t>
  </si>
  <si>
    <t>O75400_PRPF40A</t>
  </si>
  <si>
    <t>O75419-2_CDC45</t>
  </si>
  <si>
    <t>O75420_GIGYF1</t>
  </si>
  <si>
    <t>O75427_LRCH4</t>
  </si>
  <si>
    <t>O75436_VPS26A</t>
  </si>
  <si>
    <t>O75438_NDUFB1</t>
  </si>
  <si>
    <t>O75439_PMPCB</t>
  </si>
  <si>
    <t>O75446_SAP30</t>
  </si>
  <si>
    <t>O75449_KATNA1</t>
  </si>
  <si>
    <t>O75452_RDH16</t>
  </si>
  <si>
    <t>O75459_PAGE1</t>
  </si>
  <si>
    <t>O75475_PSIP1</t>
  </si>
  <si>
    <t>O75475-3_PSIP1</t>
  </si>
  <si>
    <t>O75477_ERLIN1</t>
  </si>
  <si>
    <t>O75489_NDUFS3</t>
  </si>
  <si>
    <t>O75503_CLN5</t>
  </si>
  <si>
    <t>O75506_HSBP1</t>
  </si>
  <si>
    <t>O75521-2_ECI2</t>
  </si>
  <si>
    <t>O75528_TADA3</t>
  </si>
  <si>
    <t>O75530-3_EED</t>
  </si>
  <si>
    <t>O75531_BANF1</t>
  </si>
  <si>
    <t>O75533_SF3B1</t>
  </si>
  <si>
    <t>O75534_CSDE1</t>
  </si>
  <si>
    <t>O75554_WBP4</t>
  </si>
  <si>
    <t>O75570_MTRF1</t>
  </si>
  <si>
    <t>O75600_GCAT</t>
  </si>
  <si>
    <t>O75607_NPM3</t>
  </si>
  <si>
    <t>O75608-2_LYPLA1</t>
  </si>
  <si>
    <t>O75616_ERAL1</t>
  </si>
  <si>
    <t>O75629_CREG1</t>
  </si>
  <si>
    <t>O75635-2_SERPINB7</t>
  </si>
  <si>
    <t>O75643_SNRNP200</t>
  </si>
  <si>
    <t>O75648_TRMU</t>
  </si>
  <si>
    <t>O75663_TIPRL</t>
  </si>
  <si>
    <t>O75688_PPM1B</t>
  </si>
  <si>
    <t>O75691_UTP20</t>
  </si>
  <si>
    <t>O75695_RP2</t>
  </si>
  <si>
    <t>O75717_WDHD1</t>
  </si>
  <si>
    <t>O75746_SLC25A12</t>
  </si>
  <si>
    <t>O75781_PALM</t>
  </si>
  <si>
    <t>O75791_GRAP2</t>
  </si>
  <si>
    <t>O75792_RNASEH2A</t>
  </si>
  <si>
    <t>O75794_CDC123</t>
  </si>
  <si>
    <t>O75808_SOLH</t>
  </si>
  <si>
    <t>O75818-2_RPP40</t>
  </si>
  <si>
    <t>O75821_EIF3G</t>
  </si>
  <si>
    <t>O75822_EIF3J</t>
  </si>
  <si>
    <t>O75828_CBR3</t>
  </si>
  <si>
    <t>O75844_ZMPSTE24</t>
  </si>
  <si>
    <t>O75874_IDH1</t>
  </si>
  <si>
    <t>O75882-3_ATRN</t>
  </si>
  <si>
    <t>O75886_STAM2</t>
  </si>
  <si>
    <t>O75896_TUSC2</t>
  </si>
  <si>
    <t>O75909_CCNK</t>
  </si>
  <si>
    <t>O75911_DHRS3</t>
  </si>
  <si>
    <t>O75915_ARL6IP5</t>
  </si>
  <si>
    <t>O75928-2_PIAS2</t>
  </si>
  <si>
    <t>O75934_BCAS2</t>
  </si>
  <si>
    <t>O75935-3_DCTN3</t>
  </si>
  <si>
    <t>O75937_DNAJC8</t>
  </si>
  <si>
    <t>O75940_SMNDC1</t>
  </si>
  <si>
    <t>O75943-4_RAD17</t>
  </si>
  <si>
    <t>O75947_ATP5H</t>
  </si>
  <si>
    <t>O75955_FLOT1</t>
  </si>
  <si>
    <t>O75964_ATP5L</t>
  </si>
  <si>
    <t>O75976_CPD</t>
  </si>
  <si>
    <t>O76003_GLRX3</t>
  </si>
  <si>
    <t>O76031_CLPX</t>
  </si>
  <si>
    <t>O76041-2_NEBL</t>
  </si>
  <si>
    <t>O76070_SNCG</t>
  </si>
  <si>
    <t>O76071_CIAO1</t>
  </si>
  <si>
    <t>O76075-2_DFFB</t>
  </si>
  <si>
    <t>O76080_ZFAND5</t>
  </si>
  <si>
    <t>O76094_SRP72</t>
  </si>
  <si>
    <t>O76095-2_JTB</t>
  </si>
  <si>
    <t>O94762_RECQL5</t>
  </si>
  <si>
    <t>O94763_URI1</t>
  </si>
  <si>
    <t>O94766_B3GAT3</t>
  </si>
  <si>
    <t>O94776_MTA2</t>
  </si>
  <si>
    <t>O94782_USP1</t>
  </si>
  <si>
    <t>O94788_ALDH1A2</t>
  </si>
  <si>
    <t>O94804_STK10</t>
  </si>
  <si>
    <t>O94822_LTN1</t>
  </si>
  <si>
    <t>O94826_TOMM70A</t>
  </si>
  <si>
    <t>O94829_IPO13</t>
  </si>
  <si>
    <t>O94830_DDHD2</t>
  </si>
  <si>
    <t>O94832_MYO1D</t>
  </si>
  <si>
    <t>O94851-5_MICAL2</t>
  </si>
  <si>
    <t>O94854-2_KIAA0754</t>
  </si>
  <si>
    <t>O94855_SEC24D</t>
  </si>
  <si>
    <t>O94864-2_SUPT7L</t>
  </si>
  <si>
    <t>O94874_UFL1</t>
  </si>
  <si>
    <t>O94880_PHF14</t>
  </si>
  <si>
    <t>O94885_SASH1</t>
  </si>
  <si>
    <t>O94886_TMEM63A</t>
  </si>
  <si>
    <t>O94888_UBXN7</t>
  </si>
  <si>
    <t>O94889_KLHL18</t>
  </si>
  <si>
    <t>O94898_LRIG2</t>
  </si>
  <si>
    <t>O94903_PROSC</t>
  </si>
  <si>
    <t>O94905_ERLIN2</t>
  </si>
  <si>
    <t>O94906-2_PRPF6</t>
  </si>
  <si>
    <t>O94913_PCF11</t>
  </si>
  <si>
    <t>O94916_NFAT5</t>
  </si>
  <si>
    <t>O94919_ENDOD1</t>
  </si>
  <si>
    <t>O94925-3_GLS</t>
  </si>
  <si>
    <t>O94927_HAUS5</t>
  </si>
  <si>
    <t>O94966-7_USP19</t>
  </si>
  <si>
    <t>O94967-2_WDR47</t>
  </si>
  <si>
    <t>O94973_AP2A2</t>
  </si>
  <si>
    <t>O94973-2_AP2A2</t>
  </si>
  <si>
    <t>O94992_HEXIM1</t>
  </si>
  <si>
    <t>O95067_CCNB2</t>
  </si>
  <si>
    <t>O95081_AGFG2</t>
  </si>
  <si>
    <t>O95104-3_SCAF4</t>
  </si>
  <si>
    <t>O95139_NDUFB6</t>
  </si>
  <si>
    <t>O95140_MFN2</t>
  </si>
  <si>
    <t>O95155-2_UBE4B</t>
  </si>
  <si>
    <t>O95159_ZFPL1</t>
  </si>
  <si>
    <t>O95163_IKBKAP</t>
  </si>
  <si>
    <t>O95167_NDUFA3</t>
  </si>
  <si>
    <t>O95168_NDUFB4</t>
  </si>
  <si>
    <t>O95182_NDUFA7</t>
  </si>
  <si>
    <t>O95197-2_RTN3</t>
  </si>
  <si>
    <t>O95202_LETM1</t>
  </si>
  <si>
    <t>O95218-2_ZRANB2</t>
  </si>
  <si>
    <t>O95229_ZWINT</t>
  </si>
  <si>
    <t>O95231_VENTX</t>
  </si>
  <si>
    <t>O95232_LUC7L3</t>
  </si>
  <si>
    <t>O95239_KIF4A</t>
  </si>
  <si>
    <t>O95251-2_KAT7</t>
  </si>
  <si>
    <t>O95273_CCNDBP1</t>
  </si>
  <si>
    <t>O95292_VAPB</t>
  </si>
  <si>
    <t>O95295_SNAPIN</t>
  </si>
  <si>
    <t>O95297-2_MPZL1</t>
  </si>
  <si>
    <t>O95298-2_NDUFC2</t>
  </si>
  <si>
    <t>O95302_FKBP9</t>
  </si>
  <si>
    <t>O95336_PGLS</t>
  </si>
  <si>
    <t>O95347_SMC2</t>
  </si>
  <si>
    <t>O95352_ATG7</t>
  </si>
  <si>
    <t>O95363_FARS2</t>
  </si>
  <si>
    <t>O95365_ZBTB7A</t>
  </si>
  <si>
    <t>O95372_LYPLA2</t>
  </si>
  <si>
    <t>O95373_IPO7</t>
  </si>
  <si>
    <t>O95376_ARIH2</t>
  </si>
  <si>
    <t>O95391_SLU7</t>
  </si>
  <si>
    <t>O95394_PGM3</t>
  </si>
  <si>
    <t>O95396_MOCS3</t>
  </si>
  <si>
    <t>O95400_CD2BP2</t>
  </si>
  <si>
    <t>O95402_MED26</t>
  </si>
  <si>
    <t>O95405-2_ZFYVE9</t>
  </si>
  <si>
    <t>O95429-2_BAG4</t>
  </si>
  <si>
    <t>O95433_AHSA1</t>
  </si>
  <si>
    <t>O95453-2_PARN</t>
  </si>
  <si>
    <t>O95455_TGDS</t>
  </si>
  <si>
    <t>O95456-2_PSMG1</t>
  </si>
  <si>
    <t>O95466-2_FMNL1</t>
  </si>
  <si>
    <t>O95470_SGPL1</t>
  </si>
  <si>
    <t>O95486_SEC24A</t>
  </si>
  <si>
    <t>O95487-2_SEC24B</t>
  </si>
  <si>
    <t>O95544_NADK</t>
  </si>
  <si>
    <t>O95551_TDP2</t>
  </si>
  <si>
    <t>O95571_ETHE1</t>
  </si>
  <si>
    <t>O95573_ACSL3</t>
  </si>
  <si>
    <t>O95602_POLR1A</t>
  </si>
  <si>
    <t>O95613-2_PCNT</t>
  </si>
  <si>
    <t>O95619_YEATS4</t>
  </si>
  <si>
    <t>O95620_DUS4L</t>
  </si>
  <si>
    <t>O95628-3_CNOT4</t>
  </si>
  <si>
    <t>O95630_STAMBP</t>
  </si>
  <si>
    <t>O95671-2_ASMTL</t>
  </si>
  <si>
    <t>O95684_FGFR1OP</t>
  </si>
  <si>
    <t>O95721_SNAP29</t>
  </si>
  <si>
    <t>O95747_OXSR1</t>
  </si>
  <si>
    <t>O95749_GGPS1</t>
  </si>
  <si>
    <t>O95758-1_PTBP3</t>
  </si>
  <si>
    <t>O95777_NAA38</t>
  </si>
  <si>
    <t>O95782-2_AP2A1</t>
  </si>
  <si>
    <t>O95801_TTC4</t>
  </si>
  <si>
    <t>O95807_TMEM50A</t>
  </si>
  <si>
    <t>O95810_SDPR</t>
  </si>
  <si>
    <t>O95816_BAG2</t>
  </si>
  <si>
    <t>O95817_BAG3</t>
  </si>
  <si>
    <t>O95825_CRYZL1</t>
  </si>
  <si>
    <t>O95831-3_AIFM1</t>
  </si>
  <si>
    <t>O95834_EML2</t>
  </si>
  <si>
    <t>O95835_LATS1</t>
  </si>
  <si>
    <t>O95857_TSPAN13</t>
  </si>
  <si>
    <t>O95865_DDAH2</t>
  </si>
  <si>
    <t>O95873_C6orf47</t>
  </si>
  <si>
    <t>O95881_TXNDC12</t>
  </si>
  <si>
    <t>O95905_ECD</t>
  </si>
  <si>
    <t>O95926_SYF2</t>
  </si>
  <si>
    <t>O95983-2_MBD3</t>
  </si>
  <si>
    <t>O95985_TOP3B</t>
  </si>
  <si>
    <t>O95989_NUDT3</t>
  </si>
  <si>
    <t>O95997_PTTG1</t>
  </si>
  <si>
    <t>O95999_BCL10</t>
  </si>
  <si>
    <t>O96000_NDUFB10</t>
  </si>
  <si>
    <t>O96007_MOCS2</t>
  </si>
  <si>
    <t>O96008_TOMM40</t>
  </si>
  <si>
    <t>O96011-2_PEX11B</t>
  </si>
  <si>
    <t>O96013_PAK4</t>
  </si>
  <si>
    <t>O96017_CHEK2</t>
  </si>
  <si>
    <t>O96019_ACTL6A</t>
  </si>
  <si>
    <t>O96033_MOCS2</t>
  </si>
  <si>
    <t>P00338_LDHA</t>
  </si>
  <si>
    <t>P00352_ALDH1A1</t>
  </si>
  <si>
    <t>P00367_GLUD1</t>
  </si>
  <si>
    <t>P00374_DHFR</t>
  </si>
  <si>
    <t>P00387-2_CYB5R3</t>
  </si>
  <si>
    <t>P00390-5_GSR</t>
  </si>
  <si>
    <t>P00403_MT-CO2</t>
  </si>
  <si>
    <t>P00441_SOD1</t>
  </si>
  <si>
    <t>P00491_PNP</t>
  </si>
  <si>
    <t>P00492_HPRT1</t>
  </si>
  <si>
    <t>P00505_GOT2</t>
  </si>
  <si>
    <t>P00519_ABL1</t>
  </si>
  <si>
    <t>P00558_PGK1</t>
  </si>
  <si>
    <t>P01034_CST3</t>
  </si>
  <si>
    <t>P01111_NRAS</t>
  </si>
  <si>
    <t>P01112_HRAS</t>
  </si>
  <si>
    <t>P01116_KRAS</t>
  </si>
  <si>
    <t>P01116-2_KRAS</t>
  </si>
  <si>
    <t>P01137_TGFB1</t>
  </si>
  <si>
    <t>P02008_HBZ</t>
  </si>
  <si>
    <t>P02042_HBD</t>
  </si>
  <si>
    <t>P02100_HBE1</t>
  </si>
  <si>
    <t>P02545_LMNA</t>
  </si>
  <si>
    <t>P02545-2_LMNA</t>
  </si>
  <si>
    <t>P02549_SPTA1</t>
  </si>
  <si>
    <t>P02649_APOE</t>
  </si>
  <si>
    <t>P02730_SLC4A1</t>
  </si>
  <si>
    <t>P02786_TFRC</t>
  </si>
  <si>
    <t>P02792_FTL</t>
  </si>
  <si>
    <t>P02794_FTH1</t>
  </si>
  <si>
    <t>P03928_MT-ATP8</t>
  </si>
  <si>
    <t>P04035_HMGCR</t>
  </si>
  <si>
    <t>P04040_CAT</t>
  </si>
  <si>
    <t>P04066_FUCA1</t>
  </si>
  <si>
    <t>P04075_ALDOA</t>
  </si>
  <si>
    <t>P04080_CSTB</t>
  </si>
  <si>
    <t>P04083_ANXA1</t>
  </si>
  <si>
    <t>P04114_APOB</t>
  </si>
  <si>
    <t>P04150-7_NR3C1</t>
  </si>
  <si>
    <t>P04181_OAT</t>
  </si>
  <si>
    <t>P04183_TK1</t>
  </si>
  <si>
    <t>P04406_GAPDH</t>
  </si>
  <si>
    <t>P04406-2_GAPDH</t>
  </si>
  <si>
    <t>P04424-2_ASL</t>
  </si>
  <si>
    <t>P04632_CAPNS1</t>
  </si>
  <si>
    <t>P04792_HSPB1</t>
  </si>
  <si>
    <t>P04818_TYMS</t>
  </si>
  <si>
    <t>P04843_RPN1</t>
  </si>
  <si>
    <t>P04844-2_RPN2</t>
  </si>
  <si>
    <t>P04899_GNAI2</t>
  </si>
  <si>
    <t>P04920-2_SLC4A2</t>
  </si>
  <si>
    <t>P04921-2_GYPC</t>
  </si>
  <si>
    <t>P05023-4_ATP1A1</t>
  </si>
  <si>
    <t>P05091_ALDH2</t>
  </si>
  <si>
    <t>P05114_HMGN1</t>
  </si>
  <si>
    <t>P05141_SLC25A5</t>
  </si>
  <si>
    <t>P05161_ISG15</t>
  </si>
  <si>
    <t>P05165-3_PCCA</t>
  </si>
  <si>
    <t>P05198_EIF2S1</t>
  </si>
  <si>
    <t>P05204_HMGN2</t>
  </si>
  <si>
    <t>P05362_ICAM1</t>
  </si>
  <si>
    <t>P05386_RPLP1</t>
  </si>
  <si>
    <t>P05387_RPLP2</t>
  </si>
  <si>
    <t>P05388_RPLP0</t>
  </si>
  <si>
    <t>P05412_JUN</t>
  </si>
  <si>
    <t>P05423_POLR3D</t>
  </si>
  <si>
    <t>P05455_SSB</t>
  </si>
  <si>
    <t>P05556_ITGB1</t>
  </si>
  <si>
    <t>P05771-2_PRKCB</t>
  </si>
  <si>
    <t>P05783_KRT18</t>
  </si>
  <si>
    <t>P05937_CALB1</t>
  </si>
  <si>
    <t>P06132_UROD</t>
  </si>
  <si>
    <t>P06280_GLA</t>
  </si>
  <si>
    <t>P06400_RB1</t>
  </si>
  <si>
    <t>P06493_CDK1</t>
  </si>
  <si>
    <t>P06576_ATP5B</t>
  </si>
  <si>
    <t>P06733_ENO1</t>
  </si>
  <si>
    <t>P06733-2_ENO1</t>
  </si>
  <si>
    <t>P06744_GPI</t>
  </si>
  <si>
    <t>P06748_NPM1</t>
  </si>
  <si>
    <t>P06748-3_NPM1</t>
  </si>
  <si>
    <t>P06753-2_TPM3</t>
  </si>
  <si>
    <t>P06753-3_TPM3</t>
  </si>
  <si>
    <t>P06756-3_ITGAV</t>
  </si>
  <si>
    <t>P07099_EPHX1</t>
  </si>
  <si>
    <t>P07108_DBI</t>
  </si>
  <si>
    <t>P07195_LDHB</t>
  </si>
  <si>
    <t>P07205_PGK2</t>
  </si>
  <si>
    <t>P07225_PROS1</t>
  </si>
  <si>
    <t>P07237_P4HB</t>
  </si>
  <si>
    <t>P07339_CTSD</t>
  </si>
  <si>
    <t>P07355_ANXA2</t>
  </si>
  <si>
    <t>P07384_CAPN1</t>
  </si>
  <si>
    <t>P07686_HEXB</t>
  </si>
  <si>
    <t>P07711_CTSL1</t>
  </si>
  <si>
    <t>P07737_PFN1</t>
  </si>
  <si>
    <t>P07738_BPGM</t>
  </si>
  <si>
    <t>P07741_APRT</t>
  </si>
  <si>
    <t>P07814_EPRS</t>
  </si>
  <si>
    <t>P07858_CTSB</t>
  </si>
  <si>
    <t>P07900_HSP90AA1</t>
  </si>
  <si>
    <t>P07902_GALT</t>
  </si>
  <si>
    <t>P07919_UQCRH</t>
  </si>
  <si>
    <t>P07948-2_LYN</t>
  </si>
  <si>
    <t>P07954-2_FH</t>
  </si>
  <si>
    <t>P08047_SP1</t>
  </si>
  <si>
    <t>P08107_HSPA1A</t>
  </si>
  <si>
    <t>P08123_COL1A2</t>
  </si>
  <si>
    <t>P08133-2_ANXA6</t>
  </si>
  <si>
    <t>P08237_PFKM</t>
  </si>
  <si>
    <t>P08238_HSP90AB1</t>
  </si>
  <si>
    <t>P08240_SRPR</t>
  </si>
  <si>
    <t>P08243-2_ASNS</t>
  </si>
  <si>
    <t>P08397-2_HMBS</t>
  </si>
  <si>
    <t>P08559-3_PDHA1</t>
  </si>
  <si>
    <t>P08574_CYC1</t>
  </si>
  <si>
    <t>P08579_SNRPB2</t>
  </si>
  <si>
    <t>P08590_MYL3</t>
  </si>
  <si>
    <t>P08603_CFH</t>
  </si>
  <si>
    <t>P08621_SNRNP70</t>
  </si>
  <si>
    <t>P08648_ITGA5</t>
  </si>
  <si>
    <t>P08651-4_NFIC</t>
  </si>
  <si>
    <t>P08670_VIM</t>
  </si>
  <si>
    <t>P08754_GNAI3</t>
  </si>
  <si>
    <t>P08758_ANXA5</t>
  </si>
  <si>
    <t>P09012_SNRPA</t>
  </si>
  <si>
    <t>P09038-2_FGF2</t>
  </si>
  <si>
    <t>P09104_ENO2</t>
  </si>
  <si>
    <t>P09105_HBQ1</t>
  </si>
  <si>
    <t>P09110_ACAA1</t>
  </si>
  <si>
    <t>P09132_SRP19</t>
  </si>
  <si>
    <t>P09211_GSTP1</t>
  </si>
  <si>
    <t>P09234_SNRPC</t>
  </si>
  <si>
    <t>P09382_LGALS1</t>
  </si>
  <si>
    <t>P09417_QDPR</t>
  </si>
  <si>
    <t>P09429_HMGB1</t>
  </si>
  <si>
    <t>P09493-8_TPM1</t>
  </si>
  <si>
    <t>P09496-2_CLTA</t>
  </si>
  <si>
    <t>P09497-2_CLTB</t>
  </si>
  <si>
    <t>P09525_ANXA4</t>
  </si>
  <si>
    <t>P09543-2_CNP</t>
  </si>
  <si>
    <t>P09622_DLD</t>
  </si>
  <si>
    <t>P09661_SNRPA1</t>
  </si>
  <si>
    <t>P09668_CTSH</t>
  </si>
  <si>
    <t>P09669_COX6C</t>
  </si>
  <si>
    <t>P09874_PARP1</t>
  </si>
  <si>
    <t>P09958_FURIN</t>
  </si>
  <si>
    <t>P09960_LTA4H</t>
  </si>
  <si>
    <t>P09972_ALDOC</t>
  </si>
  <si>
    <t>P0C2W1_FBXO45</t>
  </si>
  <si>
    <t>P0C7P0_CISD3</t>
  </si>
  <si>
    <t>P0C7P4_UQCRFS1P1</t>
  </si>
  <si>
    <t>P0C7T5_ATXN1L</t>
  </si>
  <si>
    <t>P0C869-8_PLA2G4B</t>
  </si>
  <si>
    <t>P0CG12_CHTF8</t>
  </si>
  <si>
    <t>P0CW22_RPS17L</t>
  </si>
  <si>
    <t>P0DJ93_SMIM13</t>
  </si>
  <si>
    <t>P10109_FDX1</t>
  </si>
  <si>
    <t>P10124_SRGN</t>
  </si>
  <si>
    <t>P10155_TROVE2</t>
  </si>
  <si>
    <t>P10244_MYBL2</t>
  </si>
  <si>
    <t>P10301_RRAS</t>
  </si>
  <si>
    <t>P10398_ARAF</t>
  </si>
  <si>
    <t>P10412_HIST1H1E</t>
  </si>
  <si>
    <t>P10586-2_PTPRF</t>
  </si>
  <si>
    <t>P10588_NR2F6</t>
  </si>
  <si>
    <t>P10599_TXN</t>
  </si>
  <si>
    <t>P10606_COX5B</t>
  </si>
  <si>
    <t>P10619_CTSA</t>
  </si>
  <si>
    <t>P10644_PRKAR1A</t>
  </si>
  <si>
    <t>P10746_UROS</t>
  </si>
  <si>
    <t>P10768_ESD</t>
  </si>
  <si>
    <t>P10809_HSPD1</t>
  </si>
  <si>
    <t>P11021_HSPA5</t>
  </si>
  <si>
    <t>P11142_HSPA8</t>
  </si>
  <si>
    <t>P11166_SLC2A1</t>
  </si>
  <si>
    <t>P11169_SLC2A3</t>
  </si>
  <si>
    <t>P11171_EPB41</t>
  </si>
  <si>
    <t>P11172_UMPS</t>
  </si>
  <si>
    <t>P11177-3_PDHB</t>
  </si>
  <si>
    <t>P11182_DBT</t>
  </si>
  <si>
    <t>P11216_PYGB</t>
  </si>
  <si>
    <t>P11233_RALA</t>
  </si>
  <si>
    <t>P11234_RALB</t>
  </si>
  <si>
    <t>P11274-2_BCR</t>
  </si>
  <si>
    <t>P11277-3_SPTB</t>
  </si>
  <si>
    <t>P11279_LAMP1</t>
  </si>
  <si>
    <t>P11387_TOP1</t>
  </si>
  <si>
    <t>P11388_TOP2A</t>
  </si>
  <si>
    <t>P11413_G6PD</t>
  </si>
  <si>
    <t>P11441_UBL4A</t>
  </si>
  <si>
    <t>P11474-2_ESRRA</t>
  </si>
  <si>
    <t>P11498_PC</t>
  </si>
  <si>
    <t>P11717_IGF2R</t>
  </si>
  <si>
    <t>P11766_ADH5</t>
  </si>
  <si>
    <t>P11802_CDK4</t>
  </si>
  <si>
    <t>P11908_PRPS2</t>
  </si>
  <si>
    <t>P11940_PABPC1</t>
  </si>
  <si>
    <t>P12004_PCNA</t>
  </si>
  <si>
    <t>P12036-2_NEFH</t>
  </si>
  <si>
    <t>P12081_HARS</t>
  </si>
  <si>
    <t>P12235_SLC25A4</t>
  </si>
  <si>
    <t>P12236_SLC25A6</t>
  </si>
  <si>
    <t>P12270_TPR</t>
  </si>
  <si>
    <t>P12277_CKB</t>
  </si>
  <si>
    <t>P12318-2_FCGR2A</t>
  </si>
  <si>
    <t>P12429_ANXA3</t>
  </si>
  <si>
    <t>P12532_CKMT1A</t>
  </si>
  <si>
    <t>P12755_SKI</t>
  </si>
  <si>
    <t>P12814-2_ACTN1</t>
  </si>
  <si>
    <t>P12829_MYL4</t>
  </si>
  <si>
    <t>P12882_MYH1</t>
  </si>
  <si>
    <t>P12931_SRC</t>
  </si>
  <si>
    <t>P12956_XRCC6</t>
  </si>
  <si>
    <t>P13010_XRCC5</t>
  </si>
  <si>
    <t>P13056_NR2C1</t>
  </si>
  <si>
    <t>P13073_COX4I1</t>
  </si>
  <si>
    <t>P13196_ALAS1</t>
  </si>
  <si>
    <t>P13224_GP1BB</t>
  </si>
  <si>
    <t>P13284_IFI30</t>
  </si>
  <si>
    <t>P13473-2_LAMP2</t>
  </si>
  <si>
    <t>P13489_RNH1</t>
  </si>
  <si>
    <t>P13498_CYBA</t>
  </si>
  <si>
    <t>P13533_MYH6</t>
  </si>
  <si>
    <t>P13639_EEF2</t>
  </si>
  <si>
    <t>P13667_PDIA4</t>
  </si>
  <si>
    <t>P13674-2_P4HA1</t>
  </si>
  <si>
    <t>P13693_TPT1</t>
  </si>
  <si>
    <t>P13796_LCP1</t>
  </si>
  <si>
    <t>P13804_ETFA</t>
  </si>
  <si>
    <t>P13861_PRKAR2A</t>
  </si>
  <si>
    <t>P13929-2_ENO3</t>
  </si>
  <si>
    <t>P13984_GTF2F2</t>
  </si>
  <si>
    <t>P14174_MIF</t>
  </si>
  <si>
    <t>P14209-3_CD99</t>
  </si>
  <si>
    <t>P14316-2_IRF2</t>
  </si>
  <si>
    <t>P14317_HCLS1</t>
  </si>
  <si>
    <t>P14324-2_FDPS</t>
  </si>
  <si>
    <t>P14415_ATP1B2</t>
  </si>
  <si>
    <t>P14550_AKR1A1</t>
  </si>
  <si>
    <t>P14618_PKM</t>
  </si>
  <si>
    <t>P14618-2_PKM</t>
  </si>
  <si>
    <t>P14625_HSP90B1</t>
  </si>
  <si>
    <t>P14635_CCNB1</t>
  </si>
  <si>
    <t>P14649_MYL6B</t>
  </si>
  <si>
    <t>P14678-2_SNRPB</t>
  </si>
  <si>
    <t>P14735_IDE</t>
  </si>
  <si>
    <t>P14854_COX6B1</t>
  </si>
  <si>
    <t>P14866_HNRNPL</t>
  </si>
  <si>
    <t>P14868_DARS</t>
  </si>
  <si>
    <t>P14923_JUP</t>
  </si>
  <si>
    <t>P14927_UQCRB</t>
  </si>
  <si>
    <t>P15056_BRAF</t>
  </si>
  <si>
    <t>P15104_GLUL</t>
  </si>
  <si>
    <t>P15121_AKR1B1</t>
  </si>
  <si>
    <t>P15151-3_PVR</t>
  </si>
  <si>
    <t>P15153_RAC2</t>
  </si>
  <si>
    <t>P15170-2_GSPT1</t>
  </si>
  <si>
    <t>P15289-2_ARSA</t>
  </si>
  <si>
    <t>P15291-2_B4GALT1</t>
  </si>
  <si>
    <t>P15311_EZR</t>
  </si>
  <si>
    <t>P15374_UCHL3</t>
  </si>
  <si>
    <t>P15407_FOSL1</t>
  </si>
  <si>
    <t>P15529-16_CD46</t>
  </si>
  <si>
    <t>P15531_NME1</t>
  </si>
  <si>
    <t>P15848_ARSB</t>
  </si>
  <si>
    <t>P15880_RPS2</t>
  </si>
  <si>
    <t>P15907_ST6GAL1</t>
  </si>
  <si>
    <t>P15923_TCF3</t>
  </si>
  <si>
    <t>P15923-2_TCF3</t>
  </si>
  <si>
    <t>P15927_RPA2</t>
  </si>
  <si>
    <t>P16150_SPN</t>
  </si>
  <si>
    <t>P16152_CBR1</t>
  </si>
  <si>
    <t>P16157-10_ANK1</t>
  </si>
  <si>
    <t>P16219_ACADS</t>
  </si>
  <si>
    <t>P16220-2_CREB1</t>
  </si>
  <si>
    <t>P16284-3_PECAM1</t>
  </si>
  <si>
    <t>P16298_PPP3CB</t>
  </si>
  <si>
    <t>P16333_NCK1</t>
  </si>
  <si>
    <t>P16383_GCFC2</t>
  </si>
  <si>
    <t>P16401_HIST1H1B</t>
  </si>
  <si>
    <t>P16435_POR</t>
  </si>
  <si>
    <t>P16591-3_FER</t>
  </si>
  <si>
    <t>P16615_ATP2A2</t>
  </si>
  <si>
    <t>P16930_FAH</t>
  </si>
  <si>
    <t>P16949_STMN1</t>
  </si>
  <si>
    <t>P16989_YBX3</t>
  </si>
  <si>
    <t>P17017_ZNF14</t>
  </si>
  <si>
    <t>P17028_ZNF24</t>
  </si>
  <si>
    <t>P17050_NAGA</t>
  </si>
  <si>
    <t>P17066_HSPA6</t>
  </si>
  <si>
    <t>P17096-2_HMGA1</t>
  </si>
  <si>
    <t>P17152_TMEM11</t>
  </si>
  <si>
    <t>P17174_GOT1</t>
  </si>
  <si>
    <t>P17252_PRKCA</t>
  </si>
  <si>
    <t>P17275_JUNB</t>
  </si>
  <si>
    <t>P17482_HOXB9</t>
  </si>
  <si>
    <t>P17483_HOXB4</t>
  </si>
  <si>
    <t>P17535_JUND</t>
  </si>
  <si>
    <t>P17544-4_ATF7</t>
  </si>
  <si>
    <t>P17568_NDUFB7</t>
  </si>
  <si>
    <t>P17612_PRKACA</t>
  </si>
  <si>
    <t>P17655_CAPN2</t>
  </si>
  <si>
    <t>P17676_CEBPB</t>
  </si>
  <si>
    <t>P17706-2_PTPN2</t>
  </si>
  <si>
    <t>P17812_CTPS1</t>
  </si>
  <si>
    <t>P17844_DDX5</t>
  </si>
  <si>
    <t>P17858_PFKL</t>
  </si>
  <si>
    <t>P17987_TCP1</t>
  </si>
  <si>
    <t>P18031_PTPN1</t>
  </si>
  <si>
    <t>P18074_ERCC2</t>
  </si>
  <si>
    <t>P18084_ITGB5</t>
  </si>
  <si>
    <t>P18085_ARF4</t>
  </si>
  <si>
    <t>P18124_RPL7</t>
  </si>
  <si>
    <t>P18146_EGR1</t>
  </si>
  <si>
    <t>P18206-2_VCL</t>
  </si>
  <si>
    <t>P18583-6_SON</t>
  </si>
  <si>
    <t>P18615_NELFE</t>
  </si>
  <si>
    <t>P18669_PGAM1</t>
  </si>
  <si>
    <t>P18754-2_RCC1</t>
  </si>
  <si>
    <t>P18846_ATF1</t>
  </si>
  <si>
    <t>P18850_ATF6</t>
  </si>
  <si>
    <t>P18859_ATP5J</t>
  </si>
  <si>
    <t>P19174-2_PLCG1</t>
  </si>
  <si>
    <t>P19338_NCL</t>
  </si>
  <si>
    <t>P19367-2_HK1</t>
  </si>
  <si>
    <t>P19387_POLR2C</t>
  </si>
  <si>
    <t>P19388_POLR2E</t>
  </si>
  <si>
    <t>P19419_ELK1</t>
  </si>
  <si>
    <t>P19447_ERCC3</t>
  </si>
  <si>
    <t>P19525-2_EIF2AK2</t>
  </si>
  <si>
    <t>P19532_TFE3</t>
  </si>
  <si>
    <t>P19623_SRM</t>
  </si>
  <si>
    <t>P19784_CSNK2A2</t>
  </si>
  <si>
    <t>P19838_NFKB1</t>
  </si>
  <si>
    <t>P20020-6_ATP2B1</t>
  </si>
  <si>
    <t>P20042_EIF2S2</t>
  </si>
  <si>
    <t>P20138-2_CD33</t>
  </si>
  <si>
    <t>P20248_CCNA2</t>
  </si>
  <si>
    <t>P20290_BTF3</t>
  </si>
  <si>
    <t>P20290-2_BTF3</t>
  </si>
  <si>
    <t>P20333_TNFRSF1B</t>
  </si>
  <si>
    <t>P20336_RAB3A</t>
  </si>
  <si>
    <t>P20338_RAB4A</t>
  </si>
  <si>
    <t>P20340_RAB6A</t>
  </si>
  <si>
    <t>P20340-2_RAB6A</t>
  </si>
  <si>
    <t>P20585_MSH3</t>
  </si>
  <si>
    <t>P20618_PSMB1</t>
  </si>
  <si>
    <t>P20645_M6PR</t>
  </si>
  <si>
    <t>P20674_COX5A</t>
  </si>
  <si>
    <t>P20700_LMNB1</t>
  </si>
  <si>
    <t>P20933_AGA</t>
  </si>
  <si>
    <t>P20962_PTMS</t>
  </si>
  <si>
    <t>P21127-8_CDK11B</t>
  </si>
  <si>
    <t>P21281_ATP6V1B2</t>
  </si>
  <si>
    <t>P21283_ATP6V1C1</t>
  </si>
  <si>
    <t>P21291_CSRP1</t>
  </si>
  <si>
    <t>P21333-2_FLNA</t>
  </si>
  <si>
    <t>P21399_ACO1</t>
  </si>
  <si>
    <t>P21580_TNFAIP3</t>
  </si>
  <si>
    <t>P21695-2_GPD1</t>
  </si>
  <si>
    <t>P21731_TBXA2R</t>
  </si>
  <si>
    <t>P21796_VDAC1</t>
  </si>
  <si>
    <t>P21912_SDHB</t>
  </si>
  <si>
    <t>P21964-2_COMT</t>
  </si>
  <si>
    <t>P21980_TGM2</t>
  </si>
  <si>
    <t>P22033_MUT</t>
  </si>
  <si>
    <t>P22059_OSBP</t>
  </si>
  <si>
    <t>P22102_GART</t>
  </si>
  <si>
    <t>P22234_PAICS</t>
  </si>
  <si>
    <t>P22307_SCP2</t>
  </si>
  <si>
    <t>P22307-2_SCP2</t>
  </si>
  <si>
    <t>P22314_UBA1</t>
  </si>
  <si>
    <t>P22466_GAL</t>
  </si>
  <si>
    <t>P22532_SPRR2D</t>
  </si>
  <si>
    <t>P22570_FDXR</t>
  </si>
  <si>
    <t>P22626-2_HNRNPA2B1</t>
  </si>
  <si>
    <t>P22670_RFX1</t>
  </si>
  <si>
    <t>P22681_CBL</t>
  </si>
  <si>
    <t>P22692_IGFBP4</t>
  </si>
  <si>
    <t>P22695_UQCRC2</t>
  </si>
  <si>
    <t>P22830_FECH</t>
  </si>
  <si>
    <t>P23025_XPA</t>
  </si>
  <si>
    <t>P23193_TCEA1</t>
  </si>
  <si>
    <t>P23246_SFPQ</t>
  </si>
  <si>
    <t>P23258_TUBG1</t>
  </si>
  <si>
    <t>P23284_PPIB</t>
  </si>
  <si>
    <t>P23368_ME2</t>
  </si>
  <si>
    <t>P23381_WARS</t>
  </si>
  <si>
    <t>P23396_RPS3</t>
  </si>
  <si>
    <t>P23434_GCSH</t>
  </si>
  <si>
    <t>P23497_SP100</t>
  </si>
  <si>
    <t>P23511-2_NFYA</t>
  </si>
  <si>
    <t>P23526_AHCY</t>
  </si>
  <si>
    <t>P23528_CFL1</t>
  </si>
  <si>
    <t>P23634-7_ATP2B4</t>
  </si>
  <si>
    <t>P23677_ITPKA</t>
  </si>
  <si>
    <t>P23743_DGKA</t>
  </si>
  <si>
    <t>P23786_CPT2</t>
  </si>
  <si>
    <t>P23919_DTYMK</t>
  </si>
  <si>
    <t>P23921_RRM1</t>
  </si>
  <si>
    <t>P24468_NR2F2</t>
  </si>
  <si>
    <t>P24534_EEF1B2</t>
  </si>
  <si>
    <t>P24666_ACP1</t>
  </si>
  <si>
    <t>P24666-2_ACP1</t>
  </si>
  <si>
    <t>P24752_ACAT1</t>
  </si>
  <si>
    <t>P24928_POLR2A</t>
  </si>
  <si>
    <t>P25098_ADRBK1</t>
  </si>
  <si>
    <t>P25116_F2R</t>
  </si>
  <si>
    <t>P25205_MCM3</t>
  </si>
  <si>
    <t>P25398_RPS12</t>
  </si>
  <si>
    <t>P25490_YY1</t>
  </si>
  <si>
    <t>P25685_DNAJB1</t>
  </si>
  <si>
    <t>P25705_ATP5A1</t>
  </si>
  <si>
    <t>P25774-2_CTSS</t>
  </si>
  <si>
    <t>P25786_PSMA1</t>
  </si>
  <si>
    <t>P25787_PSMA2</t>
  </si>
  <si>
    <t>P25788-2_PSMA3</t>
  </si>
  <si>
    <t>P25789_PSMA4</t>
  </si>
  <si>
    <t>P25791_LMO2</t>
  </si>
  <si>
    <t>P25815_S100P</t>
  </si>
  <si>
    <t>P26038_MSN</t>
  </si>
  <si>
    <t>P26196_DDX6</t>
  </si>
  <si>
    <t>P26358_DNMT1</t>
  </si>
  <si>
    <t>P26358-2_DNMT1</t>
  </si>
  <si>
    <t>P26368-2_U2AF2</t>
  </si>
  <si>
    <t>P26373_RPL13</t>
  </si>
  <si>
    <t>P26374_CHML</t>
  </si>
  <si>
    <t>P26447_S100A4</t>
  </si>
  <si>
    <t>P26572_MGAT1</t>
  </si>
  <si>
    <t>P26583_HMGB2</t>
  </si>
  <si>
    <t>P26599_PTBP1</t>
  </si>
  <si>
    <t>P26639_TARS</t>
  </si>
  <si>
    <t>P26640_VARS</t>
  </si>
  <si>
    <t>P26641_EEF1G</t>
  </si>
  <si>
    <t>P26885_FKBP2</t>
  </si>
  <si>
    <t>P27144_AK4</t>
  </si>
  <si>
    <t>P27348_YWHAQ</t>
  </si>
  <si>
    <t>P27361_MAPK3</t>
  </si>
  <si>
    <t>P27540-2_ARNT</t>
  </si>
  <si>
    <t>P27635_RPL10</t>
  </si>
  <si>
    <t>P27694_RPA1</t>
  </si>
  <si>
    <t>P27695_APEX1</t>
  </si>
  <si>
    <t>P27797_CALR</t>
  </si>
  <si>
    <t>P27815-6_PDE4A</t>
  </si>
  <si>
    <t>P27816-5_MAP4</t>
  </si>
  <si>
    <t>P27824_CANX</t>
  </si>
  <si>
    <t>P27986_PIK3R1</t>
  </si>
  <si>
    <t>P28065_PSMB9</t>
  </si>
  <si>
    <t>P28066_PSMA5</t>
  </si>
  <si>
    <t>P28070_PSMB4</t>
  </si>
  <si>
    <t>P28072_PSMB6</t>
  </si>
  <si>
    <t>P28074_PSMB5</t>
  </si>
  <si>
    <t>P28289_TMOD1</t>
  </si>
  <si>
    <t>P28331_NDUFS1</t>
  </si>
  <si>
    <t>P28482_MAPK1</t>
  </si>
  <si>
    <t>P28702_RXRB</t>
  </si>
  <si>
    <t>P28715_ERCC5</t>
  </si>
  <si>
    <t>P28799_GRN</t>
  </si>
  <si>
    <t>P28838-2_LAP3</t>
  </si>
  <si>
    <t>P28908_TNFRSF8</t>
  </si>
  <si>
    <t>P29083_GTF2E1</t>
  </si>
  <si>
    <t>P29084_GTF2E2</t>
  </si>
  <si>
    <t>P29218_IMPA1</t>
  </si>
  <si>
    <t>P29350_PTPN6</t>
  </si>
  <si>
    <t>P29353-7_SHC1</t>
  </si>
  <si>
    <t>P29372-5_MPG</t>
  </si>
  <si>
    <t>P29373_CRABP2</t>
  </si>
  <si>
    <t>P29401_TKT</t>
  </si>
  <si>
    <t>P29590-2_PML</t>
  </si>
  <si>
    <t>P29692-3_EEF1D</t>
  </si>
  <si>
    <t>P29966_MARCKS</t>
  </si>
  <si>
    <t>P29992_GNA11</t>
  </si>
  <si>
    <t>P30038_ALDH4A1</t>
  </si>
  <si>
    <t>P30040_ERP29</t>
  </si>
  <si>
    <t>P30041_PRDX6</t>
  </si>
  <si>
    <t>P30042_C21orf33</t>
  </si>
  <si>
    <t>P30043_BLVRB</t>
  </si>
  <si>
    <t>P30044-2_PRDX5</t>
  </si>
  <si>
    <t>P30046_DDT</t>
  </si>
  <si>
    <t>P30049_ATP5D</t>
  </si>
  <si>
    <t>P30050_RPL12</t>
  </si>
  <si>
    <t>P30084_ECHS1</t>
  </si>
  <si>
    <t>P30085_CMPK1</t>
  </si>
  <si>
    <t>P30086_PEBP1</t>
  </si>
  <si>
    <t>P30153_PPP2R1A</t>
  </si>
  <si>
    <t>P30154_PPP2R1B</t>
  </si>
  <si>
    <t>P30260_CDC27</t>
  </si>
  <si>
    <t>P30291_WEE1</t>
  </si>
  <si>
    <t>P30307_CDC25C</t>
  </si>
  <si>
    <t>P30405_PPIF</t>
  </si>
  <si>
    <t>P30419_NMT1</t>
  </si>
  <si>
    <t>P30519_HMOX2</t>
  </si>
  <si>
    <t>P30520_ADSS</t>
  </si>
  <si>
    <t>P30533_LRPAP1</t>
  </si>
  <si>
    <t>P30566_ADSL</t>
  </si>
  <si>
    <t>P30613_PKLR</t>
  </si>
  <si>
    <t>P30622-1_CLIP1</t>
  </si>
  <si>
    <t>P30711_GSTT1</t>
  </si>
  <si>
    <t>P30740_SERPINB1</t>
  </si>
  <si>
    <t>P30825_SLC7A1</t>
  </si>
  <si>
    <t>P30837_ALDH1B1</t>
  </si>
  <si>
    <t>P31040_SDHA</t>
  </si>
  <si>
    <t>P31146_CORO1A</t>
  </si>
  <si>
    <t>P31150_GDI1</t>
  </si>
  <si>
    <t>P31153_MAT2A</t>
  </si>
  <si>
    <t>P31321_PRKAR1B</t>
  </si>
  <si>
    <t>P31323_PRKAR2B</t>
  </si>
  <si>
    <t>P31350_RRM2</t>
  </si>
  <si>
    <t>P31689_DNAJA1</t>
  </si>
  <si>
    <t>P31749_AKT1</t>
  </si>
  <si>
    <t>P31751_AKT2</t>
  </si>
  <si>
    <t>P31930_UQCRC1</t>
  </si>
  <si>
    <t>P31937_HIBADH</t>
  </si>
  <si>
    <t>P31939_ATIC</t>
  </si>
  <si>
    <t>P31942-2_HNRNPH3</t>
  </si>
  <si>
    <t>P31946_YWHAB</t>
  </si>
  <si>
    <t>P31947-2_SFN</t>
  </si>
  <si>
    <t>P31948_STIP1</t>
  </si>
  <si>
    <t>P31949_S100A11</t>
  </si>
  <si>
    <t>P32019-2_INPP5B</t>
  </si>
  <si>
    <t>P32119_PRDX2</t>
  </si>
  <si>
    <t>P32121-5_ARRB2</t>
  </si>
  <si>
    <t>P32189-1_GK</t>
  </si>
  <si>
    <t>P32321_DCTD</t>
  </si>
  <si>
    <t>P32322_PYCR1</t>
  </si>
  <si>
    <t>P32519-2_ELF1</t>
  </si>
  <si>
    <t>P32780_GTF2H1</t>
  </si>
  <si>
    <t>P32856-3_STX2</t>
  </si>
  <si>
    <t>P32929_CTH</t>
  </si>
  <si>
    <t>P32969_RPL9</t>
  </si>
  <si>
    <t>P33121-2_ACSL1</t>
  </si>
  <si>
    <t>P33176_KIF5B</t>
  </si>
  <si>
    <t>P33240-2_CSTF2</t>
  </si>
  <si>
    <t>P33316_DUT</t>
  </si>
  <si>
    <t>P33316-2_DUT</t>
  </si>
  <si>
    <t>P33552_CKS2</t>
  </si>
  <si>
    <t>P33908_MAN1A1</t>
  </si>
  <si>
    <t>P33981-2_TTK</t>
  </si>
  <si>
    <t>P33991_MCM4</t>
  </si>
  <si>
    <t>P33992_MCM5</t>
  </si>
  <si>
    <t>P33993_MCM7</t>
  </si>
  <si>
    <t>P34059_GALNS</t>
  </si>
  <si>
    <t>P34896-2_SHMT1</t>
  </si>
  <si>
    <t>P34897-3_SHMT2</t>
  </si>
  <si>
    <t>P34913_EPHX2</t>
  </si>
  <si>
    <t>P34931_HSPA1L</t>
  </si>
  <si>
    <t>P34932_HSPA4</t>
  </si>
  <si>
    <t>P35219_CA8</t>
  </si>
  <si>
    <t>P35221_CTNNA1</t>
  </si>
  <si>
    <t>P35232_PHB</t>
  </si>
  <si>
    <t>P35237_SERPINB6</t>
  </si>
  <si>
    <t>P35240-4_NF2</t>
  </si>
  <si>
    <t>P35241_RDX</t>
  </si>
  <si>
    <t>P35244_RPA3</t>
  </si>
  <si>
    <t>P35249_RFC4</t>
  </si>
  <si>
    <t>P35250_RFC2</t>
  </si>
  <si>
    <t>P35251-2_RFC1</t>
  </si>
  <si>
    <t>P35268_RPL22</t>
  </si>
  <si>
    <t>P35269_GTF2F1</t>
  </si>
  <si>
    <t>P35270_SPR</t>
  </si>
  <si>
    <t>P35520_CBS</t>
  </si>
  <si>
    <t>P35573_AGL</t>
  </si>
  <si>
    <t>P35579_MYH9</t>
  </si>
  <si>
    <t>P35580_MYH10</t>
  </si>
  <si>
    <t>P35606_COPB2</t>
  </si>
  <si>
    <t>P35612_ADD2</t>
  </si>
  <si>
    <t>P35613-2_BSG</t>
  </si>
  <si>
    <t>P35637-2_FUS</t>
  </si>
  <si>
    <t>P35658-2_NUP214</t>
  </si>
  <si>
    <t>P35659_DEK</t>
  </si>
  <si>
    <t>P35749-4_MYH11</t>
  </si>
  <si>
    <t>P35754_GLRX</t>
  </si>
  <si>
    <t>P35790-2_CHKA</t>
  </si>
  <si>
    <t>P35813_PPM1A</t>
  </si>
  <si>
    <t>P35998_PSMC2</t>
  </si>
  <si>
    <t>P36404_ARL2</t>
  </si>
  <si>
    <t>P36405_ARL3</t>
  </si>
  <si>
    <t>P36406-3_TRIM23</t>
  </si>
  <si>
    <t>P36507_MAP2K2</t>
  </si>
  <si>
    <t>P36542_ATP5C1</t>
  </si>
  <si>
    <t>P36543_ATP6V1E1</t>
  </si>
  <si>
    <t>P36551_CPOX</t>
  </si>
  <si>
    <t>P36578_RPL4</t>
  </si>
  <si>
    <t>P36639-4_NUDT1</t>
  </si>
  <si>
    <t>P36915_GNL1</t>
  </si>
  <si>
    <t>P36954_POLR2I</t>
  </si>
  <si>
    <t>P36957_DLST</t>
  </si>
  <si>
    <t>P36959_GMPR</t>
  </si>
  <si>
    <t>P36969-2_GPX4</t>
  </si>
  <si>
    <t>P37108_SRP14</t>
  </si>
  <si>
    <t>P37198_NUP62</t>
  </si>
  <si>
    <t>P37235_HPCAL1</t>
  </si>
  <si>
    <t>P37268_FDFT1</t>
  </si>
  <si>
    <t>P37287-3_PIGA</t>
  </si>
  <si>
    <t>P37802_TAGLN2</t>
  </si>
  <si>
    <t>P37837_TALDO1</t>
  </si>
  <si>
    <t>P38117_ETFB</t>
  </si>
  <si>
    <t>P38159_RBMX</t>
  </si>
  <si>
    <t>P38432_COIL</t>
  </si>
  <si>
    <t>P38435_GGCX</t>
  </si>
  <si>
    <t>P38606_ATP6V1A</t>
  </si>
  <si>
    <t>P38646_HSPA9</t>
  </si>
  <si>
    <t>P38919_EIF4A3</t>
  </si>
  <si>
    <t>P38935_IGHMBP2</t>
  </si>
  <si>
    <t>P39019_RPS19</t>
  </si>
  <si>
    <t>P39023_RPL3</t>
  </si>
  <si>
    <t>P39060-2_COL18A1</t>
  </si>
  <si>
    <t>P39656_DDOST</t>
  </si>
  <si>
    <t>P39687_ANP32A</t>
  </si>
  <si>
    <t>P39748_FEN1</t>
  </si>
  <si>
    <t>P39880-2_CUX1</t>
  </si>
  <si>
    <t>P40121_CAPG</t>
  </si>
  <si>
    <t>P40222_TXLNA</t>
  </si>
  <si>
    <t>P40227_CCT6A</t>
  </si>
  <si>
    <t>P40261_NNMT</t>
  </si>
  <si>
    <t>P40337-3_VHL</t>
  </si>
  <si>
    <t>P40425_PBX2</t>
  </si>
  <si>
    <t>P40692_MLH1</t>
  </si>
  <si>
    <t>P40763_STAT3</t>
  </si>
  <si>
    <t>P40763-2_STAT3</t>
  </si>
  <si>
    <t>P40818_USP8</t>
  </si>
  <si>
    <t>P40925_MDH1</t>
  </si>
  <si>
    <t>P40926_MDH2</t>
  </si>
  <si>
    <t>P40937_RFC5</t>
  </si>
  <si>
    <t>P40938_RFC3</t>
  </si>
  <si>
    <t>P40939_HADHA</t>
  </si>
  <si>
    <t>P41091_EIF2S3</t>
  </si>
  <si>
    <t>P41134-2_ID1</t>
  </si>
  <si>
    <t>P41208_CETN2</t>
  </si>
  <si>
    <t>P41214_EIF2D</t>
  </si>
  <si>
    <t>P41223_BUD31</t>
  </si>
  <si>
    <t>P41227_NAA10</t>
  </si>
  <si>
    <t>P41229-2_KDM5C</t>
  </si>
  <si>
    <t>P41236_PPP1R2</t>
  </si>
  <si>
    <t>P41240_CSK</t>
  </si>
  <si>
    <t>P41247_PNPLA4</t>
  </si>
  <si>
    <t>P41250_GARS</t>
  </si>
  <si>
    <t>P41252_IARS</t>
  </si>
  <si>
    <t>P41440_SLC19A1</t>
  </si>
  <si>
    <t>P41567_EIF1</t>
  </si>
  <si>
    <t>P41743_PRKCI</t>
  </si>
  <si>
    <t>P42025_ACTR1B</t>
  </si>
  <si>
    <t>P42126-2_ECI1</t>
  </si>
  <si>
    <t>P42166_TMPO</t>
  </si>
  <si>
    <t>P42167_TMPO</t>
  </si>
  <si>
    <t>P42224_STAT1</t>
  </si>
  <si>
    <t>P42226-3_STAT6</t>
  </si>
  <si>
    <t>P42285_SKIV2L2</t>
  </si>
  <si>
    <t>P42330_AKR1C3</t>
  </si>
  <si>
    <t>P42336_PIK3CA</t>
  </si>
  <si>
    <t>P42338_PIK3CB</t>
  </si>
  <si>
    <t>P42345_MTOR</t>
  </si>
  <si>
    <t>P42566_EPS15</t>
  </si>
  <si>
    <t>P42574_CASP3</t>
  </si>
  <si>
    <t>P42575_CASP2</t>
  </si>
  <si>
    <t>P42677_RPS27</t>
  </si>
  <si>
    <t>P42680_TEC</t>
  </si>
  <si>
    <t>P42684-6_ABL2</t>
  </si>
  <si>
    <t>P42695_NCAPD3</t>
  </si>
  <si>
    <t>P42704_LRPPRC</t>
  </si>
  <si>
    <t>P42765_ACAA2</t>
  </si>
  <si>
    <t>P42766_RPL35</t>
  </si>
  <si>
    <t>P42773_CDKN2C</t>
  </si>
  <si>
    <t>P42785_PRCP</t>
  </si>
  <si>
    <t>P43007_SLC1A4</t>
  </si>
  <si>
    <t>P43034_PAFAH1B1</t>
  </si>
  <si>
    <t>P43121_MCAM</t>
  </si>
  <si>
    <t>P43246_MSH2</t>
  </si>
  <si>
    <t>P43250-2_GRK6</t>
  </si>
  <si>
    <t>P43304_GPD2</t>
  </si>
  <si>
    <t>P43307_SSR1</t>
  </si>
  <si>
    <t>P43355_MAGEA1</t>
  </si>
  <si>
    <t>P43357_MAGEA3</t>
  </si>
  <si>
    <t>P43366_MAGEB1</t>
  </si>
  <si>
    <t>P43378_PTPN9</t>
  </si>
  <si>
    <t>P43405-2_SYK</t>
  </si>
  <si>
    <t>P43487_RANBP1</t>
  </si>
  <si>
    <t>P43490_NAMPT</t>
  </si>
  <si>
    <t>P43686_PSMC4</t>
  </si>
  <si>
    <t>P43897_TSFM</t>
  </si>
  <si>
    <t>P45880_VDAC2</t>
  </si>
  <si>
    <t>P45954_ACADSB</t>
  </si>
  <si>
    <t>P45973_CBX5</t>
  </si>
  <si>
    <t>P45974-2_USP5</t>
  </si>
  <si>
    <t>P45983-3_MAPK8</t>
  </si>
  <si>
    <t>P45984-3_MAPK9</t>
  </si>
  <si>
    <t>P45985_MAP2K4</t>
  </si>
  <si>
    <t>P46013_MKI67</t>
  </si>
  <si>
    <t>P46019_PHKA2</t>
  </si>
  <si>
    <t>P46060_RANGAP1</t>
  </si>
  <si>
    <t>P46063_RECQL</t>
  </si>
  <si>
    <t>P46087-2_NOP2</t>
  </si>
  <si>
    <t>P46100-6_ATRX</t>
  </si>
  <si>
    <t>P46108_CRK</t>
  </si>
  <si>
    <t>P46109_CRKL</t>
  </si>
  <si>
    <t>P46199_MTIF2</t>
  </si>
  <si>
    <t>P46527_CDKN1B</t>
  </si>
  <si>
    <t>P46531_NOTCH1</t>
  </si>
  <si>
    <t>P46734_MAP2K3</t>
  </si>
  <si>
    <t>P46736-2_BRCC3</t>
  </si>
  <si>
    <t>P46777_RPL5</t>
  </si>
  <si>
    <t>P46778_RPL21</t>
  </si>
  <si>
    <t>P46781_RPS9</t>
  </si>
  <si>
    <t>P46783_RPS10</t>
  </si>
  <si>
    <t>P46821_MAP1B</t>
  </si>
  <si>
    <t>P46926_GNPDA1</t>
  </si>
  <si>
    <t>P46934-4_NEDD4</t>
  </si>
  <si>
    <t>P46940_IQGAP1</t>
  </si>
  <si>
    <t>P46976-2_GYG1</t>
  </si>
  <si>
    <t>P46977_STT3A</t>
  </si>
  <si>
    <t>P47224_RABIF</t>
  </si>
  <si>
    <t>P47755_CAPZA2</t>
  </si>
  <si>
    <t>P47756-2_CAPZB</t>
  </si>
  <si>
    <t>P47813_EIF1AX</t>
  </si>
  <si>
    <t>P47897_QARS</t>
  </si>
  <si>
    <t>P47914_RPL29</t>
  </si>
  <si>
    <t>P47974_ZFP36L2</t>
  </si>
  <si>
    <t>P47985_UQCRFS1</t>
  </si>
  <si>
    <t>P48029_SLC6A8</t>
  </si>
  <si>
    <t>P48047_ATP5O</t>
  </si>
  <si>
    <t>P48059-3_LIMS1</t>
  </si>
  <si>
    <t>P48147_PREP</t>
  </si>
  <si>
    <t>P48163_ME1</t>
  </si>
  <si>
    <t>P48200_IREB2</t>
  </si>
  <si>
    <t>P48357-2_LEPR</t>
  </si>
  <si>
    <t>P48444_ARCN1</t>
  </si>
  <si>
    <t>P48449_LSS</t>
  </si>
  <si>
    <t>P48454_PPP3CC</t>
  </si>
  <si>
    <t>P48506_GCLC</t>
  </si>
  <si>
    <t>P48507_GCLM</t>
  </si>
  <si>
    <t>P48634_PRRC2A</t>
  </si>
  <si>
    <t>P48637_GSS</t>
  </si>
  <si>
    <t>P48643_CCT5</t>
  </si>
  <si>
    <t>P48681_NES</t>
  </si>
  <si>
    <t>P48723_HSPA13</t>
  </si>
  <si>
    <t>P48729_CSNK1A1</t>
  </si>
  <si>
    <t>P48730_CSNK1D</t>
  </si>
  <si>
    <t>P48735_IDH2</t>
  </si>
  <si>
    <t>P48736_PIK3CG</t>
  </si>
  <si>
    <t>P48739_PITPNB</t>
  </si>
  <si>
    <t>P48960-2_CD97</t>
  </si>
  <si>
    <t>P49005_POLD2</t>
  </si>
  <si>
    <t>P49006_MARCKSL1</t>
  </si>
  <si>
    <t>P49023-2_PXN</t>
  </si>
  <si>
    <t>P49069_CAMLG</t>
  </si>
  <si>
    <t>P49116_NR2C2</t>
  </si>
  <si>
    <t>P49137_MAPKAPK2</t>
  </si>
  <si>
    <t>P49189_ALDH9A1</t>
  </si>
  <si>
    <t>P49207_RPL34</t>
  </si>
  <si>
    <t>P49247_RPIA</t>
  </si>
  <si>
    <t>P49257_LMAN1</t>
  </si>
  <si>
    <t>P49281-5_SLC11A2</t>
  </si>
  <si>
    <t>P49321_NASP</t>
  </si>
  <si>
    <t>P49327_FASN</t>
  </si>
  <si>
    <t>P49354_FNTA</t>
  </si>
  <si>
    <t>P49366_DHPS</t>
  </si>
  <si>
    <t>P49368_CCT3</t>
  </si>
  <si>
    <t>P49406_MRPL19</t>
  </si>
  <si>
    <t>P49411_TUFM</t>
  </si>
  <si>
    <t>P49427_CDC34</t>
  </si>
  <si>
    <t>P49441_INPP1</t>
  </si>
  <si>
    <t>P49448_GLUD2</t>
  </si>
  <si>
    <t>P49454_CENPF</t>
  </si>
  <si>
    <t>P49458_SRP9</t>
  </si>
  <si>
    <t>P49459_UBE2A</t>
  </si>
  <si>
    <t>P49585_PCYT1A</t>
  </si>
  <si>
    <t>P49588_AARS</t>
  </si>
  <si>
    <t>P49589-3_CARS</t>
  </si>
  <si>
    <t>P49593_PPM1F</t>
  </si>
  <si>
    <t>P49642_PRIM1</t>
  </si>
  <si>
    <t>P49643_PRIM2</t>
  </si>
  <si>
    <t>P49674_CSNK1E</t>
  </si>
  <si>
    <t>P49711_CTCF</t>
  </si>
  <si>
    <t>P49721_PSMB2</t>
  </si>
  <si>
    <t>P49736_MCM2</t>
  </si>
  <si>
    <t>P49748-2_ACADVL</t>
  </si>
  <si>
    <t>P49750_YLPM1</t>
  </si>
  <si>
    <t>P49755_TMED10</t>
  </si>
  <si>
    <t>P49756_RBM25</t>
  </si>
  <si>
    <t>P49757-4_NUMB</t>
  </si>
  <si>
    <t>P49770_EIF2B2</t>
  </si>
  <si>
    <t>P49773_HINT1</t>
  </si>
  <si>
    <t>P49790_NUP153</t>
  </si>
  <si>
    <t>P49792_RANBP2</t>
  </si>
  <si>
    <t>P49840_GSK3A</t>
  </si>
  <si>
    <t>P49841_GSK3B</t>
  </si>
  <si>
    <t>P49902_NT5C2</t>
  </si>
  <si>
    <t>P49903_SEPHS1</t>
  </si>
  <si>
    <t>P49903-3_SEPHS1</t>
  </si>
  <si>
    <t>P49914_MTHFS</t>
  </si>
  <si>
    <t>P49915_GMPS</t>
  </si>
  <si>
    <t>P49916_LIG3</t>
  </si>
  <si>
    <t>P49917_LIG4</t>
  </si>
  <si>
    <t>P49959_MRE11A</t>
  </si>
  <si>
    <t>P50053_KHK</t>
  </si>
  <si>
    <t>P50135_HNMT</t>
  </si>
  <si>
    <t>P50148_GNAQ</t>
  </si>
  <si>
    <t>P50213_IDH3A</t>
  </si>
  <si>
    <t>P50224_SULT1A3</t>
  </si>
  <si>
    <t>P50225_SULT1A1</t>
  </si>
  <si>
    <t>P50336_PPOX</t>
  </si>
  <si>
    <t>P50402_EMD</t>
  </si>
  <si>
    <t>P50416_CPT1A</t>
  </si>
  <si>
    <t>P50443_SLC26A2</t>
  </si>
  <si>
    <t>P50453_SERPINB9</t>
  </si>
  <si>
    <t>P50454_SERPINH1</t>
  </si>
  <si>
    <t>P50479_PDLIM4</t>
  </si>
  <si>
    <t>P50502_ST13</t>
  </si>
  <si>
    <t>P50552_VASP</t>
  </si>
  <si>
    <t>P50570_DNM2</t>
  </si>
  <si>
    <t>P50579_METAP2</t>
  </si>
  <si>
    <t>P50583_NUDT2</t>
  </si>
  <si>
    <t>P50613_CDK7</t>
  </si>
  <si>
    <t>P50747_HLCS</t>
  </si>
  <si>
    <t>P50748_KNTC1</t>
  </si>
  <si>
    <t>P50750_CDK9</t>
  </si>
  <si>
    <t>P50897_PPT1</t>
  </si>
  <si>
    <t>P50990_CCT8</t>
  </si>
  <si>
    <t>P50991_CCT4</t>
  </si>
  <si>
    <t>P51003_PAPOLA</t>
  </si>
  <si>
    <t>P51116_FXR2</t>
  </si>
  <si>
    <t>P51148_RAB5C</t>
  </si>
  <si>
    <t>P51149_RAB7A</t>
  </si>
  <si>
    <t>P51151_RAB9A</t>
  </si>
  <si>
    <t>P51153_RAB13</t>
  </si>
  <si>
    <t>P51157_RAB28</t>
  </si>
  <si>
    <t>P51159_RAB27A</t>
  </si>
  <si>
    <t>P51178_PLCD1</t>
  </si>
  <si>
    <t>P51397_DAP</t>
  </si>
  <si>
    <t>P51398-2_DAP3</t>
  </si>
  <si>
    <t>P51452_DUSP3</t>
  </si>
  <si>
    <t>P51531-2_SMARCA2</t>
  </si>
  <si>
    <t>P51553_IDH3G</t>
  </si>
  <si>
    <t>P51570_GALK1</t>
  </si>
  <si>
    <t>P51571_SSR4</t>
  </si>
  <si>
    <t>P51572_BCAP31</t>
  </si>
  <si>
    <t>P51580_TPMT</t>
  </si>
  <si>
    <t>P51608_MECP2</t>
  </si>
  <si>
    <t>P51610-2_HCFC1</t>
  </si>
  <si>
    <t>P51659_HSD17B4</t>
  </si>
  <si>
    <t>P51665_PSMD7</t>
  </si>
  <si>
    <t>P51687_SUOX</t>
  </si>
  <si>
    <t>P51692_STAT5B</t>
  </si>
  <si>
    <t>P51790-4_CLCN3</t>
  </si>
  <si>
    <t>P51795_CLCN5</t>
  </si>
  <si>
    <t>P51798-2_CLCN7</t>
  </si>
  <si>
    <t>P51809_VAMP7</t>
  </si>
  <si>
    <t>P51811_XK</t>
  </si>
  <si>
    <t>P51812_RPS6KA3</t>
  </si>
  <si>
    <t>P51857-2_AKR1D1</t>
  </si>
  <si>
    <t>P51858_HDGF</t>
  </si>
  <si>
    <t>P51948_MNAT1</t>
  </si>
  <si>
    <t>P51970_NDUFA8</t>
  </si>
  <si>
    <t>P51991_HNRNPA3</t>
  </si>
  <si>
    <t>P52272-2_HNRNPM</t>
  </si>
  <si>
    <t>P52292_KPNA2</t>
  </si>
  <si>
    <t>P52294_KPNA1</t>
  </si>
  <si>
    <t>P52298_NCBP2</t>
  </si>
  <si>
    <t>P52306_RAP1GDS1</t>
  </si>
  <si>
    <t>P52565_ARHGDIA</t>
  </si>
  <si>
    <t>P52566_ARHGDIB</t>
  </si>
  <si>
    <t>P52597_HNRNPF</t>
  </si>
  <si>
    <t>P52630-4_STAT2</t>
  </si>
  <si>
    <t>P52655_GTF2A1</t>
  </si>
  <si>
    <t>P52657_GTF2A2</t>
  </si>
  <si>
    <t>P52701_MSH6</t>
  </si>
  <si>
    <t>P52732_KIF11</t>
  </si>
  <si>
    <t>P52739-2_ZNF131</t>
  </si>
  <si>
    <t>P52758_HRSP12</t>
  </si>
  <si>
    <t>P52788_SMS</t>
  </si>
  <si>
    <t>P52789_HK2</t>
  </si>
  <si>
    <t>P52815_MRPL12</t>
  </si>
  <si>
    <t>P52888_THOP1</t>
  </si>
  <si>
    <t>P52907_CAPZA1</t>
  </si>
  <si>
    <t>P52943_CRIP2</t>
  </si>
  <si>
    <t>P52948-6_NUP98</t>
  </si>
  <si>
    <t>P53004_BLVRA</t>
  </si>
  <si>
    <t>P53007_SLC25A1</t>
  </si>
  <si>
    <t>P53350_PLK1</t>
  </si>
  <si>
    <t>P53365_ARFIP2</t>
  </si>
  <si>
    <t>P53367_ARFIP1</t>
  </si>
  <si>
    <t>P53367-2_ARFIP1</t>
  </si>
  <si>
    <t>P53384-2_NUBP1</t>
  </si>
  <si>
    <t>P53396_ACLY</t>
  </si>
  <si>
    <t>P53582_METAP1</t>
  </si>
  <si>
    <t>P53597_SUCLG1</t>
  </si>
  <si>
    <t>P53602_MVD</t>
  </si>
  <si>
    <t>P53609_PGGT1B</t>
  </si>
  <si>
    <t>P53618_COPB1</t>
  </si>
  <si>
    <t>P53621_COPA</t>
  </si>
  <si>
    <t>P53634_CTSC</t>
  </si>
  <si>
    <t>P53701_HCCS</t>
  </si>
  <si>
    <t>P53778_MAPK12</t>
  </si>
  <si>
    <t>P53794_SLC5A3</t>
  </si>
  <si>
    <t>P53803_POLR2K</t>
  </si>
  <si>
    <t>P53814-5_SMTN</t>
  </si>
  <si>
    <t>P53985_SLC16A1</t>
  </si>
  <si>
    <t>P53990-2_IST1</t>
  </si>
  <si>
    <t>P53992_SEC24C</t>
  </si>
  <si>
    <t>P53999_SUB1</t>
  </si>
  <si>
    <t>P54098_POLG</t>
  </si>
  <si>
    <t>P54105_CLNS1A</t>
  </si>
  <si>
    <t>P54136_RARS</t>
  </si>
  <si>
    <t>P54136-2_RARS</t>
  </si>
  <si>
    <t>P54259_ATN1</t>
  </si>
  <si>
    <t>P54278_PMS2</t>
  </si>
  <si>
    <t>P54577_YARS</t>
  </si>
  <si>
    <t>P54578-2_USP14</t>
  </si>
  <si>
    <t>P54619-2_PRKAG1</t>
  </si>
  <si>
    <t>P54687_BCAT1</t>
  </si>
  <si>
    <t>P54709_ATP1B3</t>
  </si>
  <si>
    <t>P54727_RAD23B</t>
  </si>
  <si>
    <t>P54760_EPHB4</t>
  </si>
  <si>
    <t>P54802_NAGLU</t>
  </si>
  <si>
    <t>P54819_AK2</t>
  </si>
  <si>
    <t>P54886-2_ALDH18A1</t>
  </si>
  <si>
    <t>P54920_NAPA</t>
  </si>
  <si>
    <t>P55010_EIF5</t>
  </si>
  <si>
    <t>P55011-3_SLC12A2</t>
  </si>
  <si>
    <t>P55036_PSMD4</t>
  </si>
  <si>
    <t>P55039_DRG2</t>
  </si>
  <si>
    <t>P55060-3_CSE1L</t>
  </si>
  <si>
    <t>P55072_VCP</t>
  </si>
  <si>
    <t>P55081_MFAP1</t>
  </si>
  <si>
    <t>P55145_MANF</t>
  </si>
  <si>
    <t>P55196-3_MLLT4</t>
  </si>
  <si>
    <t>P55199_ELL</t>
  </si>
  <si>
    <t>P55211-2_CASP9</t>
  </si>
  <si>
    <t>P55212_CASP6</t>
  </si>
  <si>
    <t>P55263_ADK</t>
  </si>
  <si>
    <t>P55273_CDKN2D</t>
  </si>
  <si>
    <t>P55735_SEC13</t>
  </si>
  <si>
    <t>P55789_GFER</t>
  </si>
  <si>
    <t>P55795_HNRNPH2</t>
  </si>
  <si>
    <t>P55809_OXCT1</t>
  </si>
  <si>
    <t>P55884_EIF3B</t>
  </si>
  <si>
    <t>P55957_BID</t>
  </si>
  <si>
    <t>P56181-2_NDUFV3</t>
  </si>
  <si>
    <t>P56182_RRP1</t>
  </si>
  <si>
    <t>P56192_MARS</t>
  </si>
  <si>
    <t>P56270-2_MAZ</t>
  </si>
  <si>
    <t>P56277_CMC4</t>
  </si>
  <si>
    <t>P56377_AP1S2</t>
  </si>
  <si>
    <t>P56381_ATP5E</t>
  </si>
  <si>
    <t>P56385_ATP5I</t>
  </si>
  <si>
    <t>P56524_HDAC4</t>
  </si>
  <si>
    <t>P56537_EIF6</t>
  </si>
  <si>
    <t>P56556_NDUFA6</t>
  </si>
  <si>
    <t>P56589_PEX3</t>
  </si>
  <si>
    <t>P56645_PER3</t>
  </si>
  <si>
    <t>P56937-3_HSD17B7</t>
  </si>
  <si>
    <t>P56945-4_BCAR1</t>
  </si>
  <si>
    <t>P56962_STX17</t>
  </si>
  <si>
    <t>P57060_RWDD2B</t>
  </si>
  <si>
    <t>P57076_C21orf59</t>
  </si>
  <si>
    <t>P57081-2_WDR4</t>
  </si>
  <si>
    <t>P57088_TMEM33</t>
  </si>
  <si>
    <t>P57105_SYNJ2BP</t>
  </si>
  <si>
    <t>P57682_KLF3</t>
  </si>
  <si>
    <t>P57737-3_CORO7</t>
  </si>
  <si>
    <t>P57740_NUP107</t>
  </si>
  <si>
    <t>P57772_EEFSEC</t>
  </si>
  <si>
    <t>P58004_SESN2</t>
  </si>
  <si>
    <t>P58107_EPPK1</t>
  </si>
  <si>
    <t>P58546_MTPN</t>
  </si>
  <si>
    <t>P58557-4_YBEY</t>
  </si>
  <si>
    <t>P59998_ARPC4</t>
  </si>
  <si>
    <t>P60059_SEC61G</t>
  </si>
  <si>
    <t>P60174-1_TPI1</t>
  </si>
  <si>
    <t>P60228_EIF3E</t>
  </si>
  <si>
    <t>P60468_SEC61B</t>
  </si>
  <si>
    <t>P60510_PPP4C</t>
  </si>
  <si>
    <t>P60520_GABARAPL2</t>
  </si>
  <si>
    <t>P60602_ROMO1</t>
  </si>
  <si>
    <t>P60604-2_UBE2G2</t>
  </si>
  <si>
    <t>P60709_ACTB</t>
  </si>
  <si>
    <t>P60763_RAC3</t>
  </si>
  <si>
    <t>P60842_EIF4A1</t>
  </si>
  <si>
    <t>P60866_RPS20</t>
  </si>
  <si>
    <t>P60891_PRPS1</t>
  </si>
  <si>
    <t>P60896_SHFM1</t>
  </si>
  <si>
    <t>P60953_CDC42</t>
  </si>
  <si>
    <t>P60981_DSTN</t>
  </si>
  <si>
    <t>P60983_GMFB</t>
  </si>
  <si>
    <t>P61006_RAB8A</t>
  </si>
  <si>
    <t>P61009_SPCS3</t>
  </si>
  <si>
    <t>P61011_SRP54</t>
  </si>
  <si>
    <t>P61019_RAB2A</t>
  </si>
  <si>
    <t>P61020_RAB5B</t>
  </si>
  <si>
    <t>P61026_RAB10</t>
  </si>
  <si>
    <t>P61077_UBE2D3</t>
  </si>
  <si>
    <t>P61081_UBE2M</t>
  </si>
  <si>
    <t>P61086_UBE2K</t>
  </si>
  <si>
    <t>P61088_UBE2N</t>
  </si>
  <si>
    <t>P61106_RAB14</t>
  </si>
  <si>
    <t>P61129_ZC3H6</t>
  </si>
  <si>
    <t>P61158_ACTR3</t>
  </si>
  <si>
    <t>P61160_ACTR2</t>
  </si>
  <si>
    <t>P61163_ACTR1A</t>
  </si>
  <si>
    <t>P61201_COPS2</t>
  </si>
  <si>
    <t>P61218_POLR2F</t>
  </si>
  <si>
    <t>P61221_ABCE1</t>
  </si>
  <si>
    <t>P61224_RAP1B</t>
  </si>
  <si>
    <t>P61225_RAP2B</t>
  </si>
  <si>
    <t>P61244-2_MAX</t>
  </si>
  <si>
    <t>P61247_RPS3A</t>
  </si>
  <si>
    <t>P61254_RPL26</t>
  </si>
  <si>
    <t>P61289_PSME3</t>
  </si>
  <si>
    <t>P61326_MAGOH</t>
  </si>
  <si>
    <t>P61353_RPL27</t>
  </si>
  <si>
    <t>P61457_PCBD1</t>
  </si>
  <si>
    <t>P61586_RHOA</t>
  </si>
  <si>
    <t>P61599_NAA20</t>
  </si>
  <si>
    <t>P61601_NCALD</t>
  </si>
  <si>
    <t>P61604_HSPE1</t>
  </si>
  <si>
    <t>P61758_VBP1</t>
  </si>
  <si>
    <t>P61764_STXBP1</t>
  </si>
  <si>
    <t>P61962_DCAF7</t>
  </si>
  <si>
    <t>P61964_WDR5</t>
  </si>
  <si>
    <t>P61966_AP1S1</t>
  </si>
  <si>
    <t>P61970_NUTF2</t>
  </si>
  <si>
    <t>P61978-2_HNRNPK</t>
  </si>
  <si>
    <t>P61978-3_HNRNPK</t>
  </si>
  <si>
    <t>P61981_YWHAG</t>
  </si>
  <si>
    <t>P62070_RRAS2</t>
  </si>
  <si>
    <t>P62072_TIMM10</t>
  </si>
  <si>
    <t>P62081_RPS7</t>
  </si>
  <si>
    <t>P62136_PPP1CA</t>
  </si>
  <si>
    <t>P62140_PPP1CB</t>
  </si>
  <si>
    <t>P62166_NCS1</t>
  </si>
  <si>
    <t>P62191_PSMC1</t>
  </si>
  <si>
    <t>P62195-2_PSMC5</t>
  </si>
  <si>
    <t>P62241_RPS8</t>
  </si>
  <si>
    <t>P62249_RPS16</t>
  </si>
  <si>
    <t>P62253_UBE2G1</t>
  </si>
  <si>
    <t>P62258_YWHAE</t>
  </si>
  <si>
    <t>P62263_RPS14</t>
  </si>
  <si>
    <t>P62266_RPS23</t>
  </si>
  <si>
    <t>P62269_RPS18</t>
  </si>
  <si>
    <t>P62273_RPS29</t>
  </si>
  <si>
    <t>P62277_RPS13</t>
  </si>
  <si>
    <t>P62280_RPS11</t>
  </si>
  <si>
    <t>P62304_SNRPE</t>
  </si>
  <si>
    <t>P62306_SNRPF</t>
  </si>
  <si>
    <t>P62308_SNRPG</t>
  </si>
  <si>
    <t>P62310_LSM3</t>
  </si>
  <si>
    <t>P62312_LSM6</t>
  </si>
  <si>
    <t>P62314_SNRPD1</t>
  </si>
  <si>
    <t>P62316_SNRPD2</t>
  </si>
  <si>
    <t>P62328_TMSB4X</t>
  </si>
  <si>
    <t>P62330_ARF6</t>
  </si>
  <si>
    <t>P62333_PSMC6</t>
  </si>
  <si>
    <t>P62424_RPL7A</t>
  </si>
  <si>
    <t>P62487_POLR2G</t>
  </si>
  <si>
    <t>P62495_ETF1</t>
  </si>
  <si>
    <t>P62633-2_CNBP</t>
  </si>
  <si>
    <t>P62633-4_CNBP</t>
  </si>
  <si>
    <t>P62699_YPEL5</t>
  </si>
  <si>
    <t>P62701_RPS4X</t>
  </si>
  <si>
    <t>P62714_PPP2CB</t>
  </si>
  <si>
    <t>P62750_RPL23A</t>
  </si>
  <si>
    <t>P62753_RPS6</t>
  </si>
  <si>
    <t>P62805_HIST1H4A</t>
  </si>
  <si>
    <t>P62820_RAB1A</t>
  </si>
  <si>
    <t>P62829_RPL23</t>
  </si>
  <si>
    <t>P62834_RAP1A</t>
  </si>
  <si>
    <t>P62837_UBE2D2</t>
  </si>
  <si>
    <t>P62851_RPS25</t>
  </si>
  <si>
    <t>P62854_RPS26</t>
  </si>
  <si>
    <t>P62857_RPS28</t>
  </si>
  <si>
    <t>P62873_GNB1</t>
  </si>
  <si>
    <t>P62875_POLR2L</t>
  </si>
  <si>
    <t>P62877_RBX1</t>
  </si>
  <si>
    <t>P62879_GNB2</t>
  </si>
  <si>
    <t>P62899_RPL31</t>
  </si>
  <si>
    <t>P62906_RPL10A</t>
  </si>
  <si>
    <t>P62913-2_RPL11</t>
  </si>
  <si>
    <t>P62937_PPIA</t>
  </si>
  <si>
    <t>P62942_FKBP1A</t>
  </si>
  <si>
    <t>P62979_RPS27A</t>
  </si>
  <si>
    <t>P62993_GRB2</t>
  </si>
  <si>
    <t>P62995-3_TRA2B</t>
  </si>
  <si>
    <t>P63000_RAC1</t>
  </si>
  <si>
    <t>P63010_AP2B1</t>
  </si>
  <si>
    <t>P63092_GNAS</t>
  </si>
  <si>
    <t>P63104_YWHAZ</t>
  </si>
  <si>
    <t>P63151_PPP2R2A</t>
  </si>
  <si>
    <t>P63167_DYNLL1</t>
  </si>
  <si>
    <t>P63173_RPL38</t>
  </si>
  <si>
    <t>P63218_GNG5</t>
  </si>
  <si>
    <t>P63241_EIF5A</t>
  </si>
  <si>
    <t>P63244_GNB2L1</t>
  </si>
  <si>
    <t>P67775_PPP2CA</t>
  </si>
  <si>
    <t>P67809_YBX1</t>
  </si>
  <si>
    <t>P67936_TPM4</t>
  </si>
  <si>
    <t>P68036_UBE2L3</t>
  </si>
  <si>
    <t>P68104_EEF1A1</t>
  </si>
  <si>
    <t>P68133_ACTA1</t>
  </si>
  <si>
    <t>P68363_TUBA1B</t>
  </si>
  <si>
    <t>P68371_TUBB4B</t>
  </si>
  <si>
    <t>P68402_PAFAH1B2</t>
  </si>
  <si>
    <t>P68871_HBB</t>
  </si>
  <si>
    <t>P69891_HBG1</t>
  </si>
  <si>
    <t>P69892_HBG2</t>
  </si>
  <si>
    <t>P69905_HBA1</t>
  </si>
  <si>
    <t>P78316_NOP14</t>
  </si>
  <si>
    <t>P78318_IGBP1</t>
  </si>
  <si>
    <t>P78330_PSPH</t>
  </si>
  <si>
    <t>P78332_RBM6</t>
  </si>
  <si>
    <t>P78345_RPP38</t>
  </si>
  <si>
    <t>P78346_RPP30</t>
  </si>
  <si>
    <t>P78347-2_GTF2I</t>
  </si>
  <si>
    <t>P78356_PIP4K2B</t>
  </si>
  <si>
    <t>P78362_SRPK2</t>
  </si>
  <si>
    <t>P78368_CSNK1G2</t>
  </si>
  <si>
    <t>P78371_CCT2</t>
  </si>
  <si>
    <t>P78406_RAE1</t>
  </si>
  <si>
    <t>P78417_GSTO1</t>
  </si>
  <si>
    <t>P78527_PRKDC</t>
  </si>
  <si>
    <t>P78536_ADAM17</t>
  </si>
  <si>
    <t>P78537_BLOC1S1</t>
  </si>
  <si>
    <t>P78540_ARG2</t>
  </si>
  <si>
    <t>P78560_CRADD</t>
  </si>
  <si>
    <t>P80217_IFI35</t>
  </si>
  <si>
    <t>P80303_NUCB2</t>
  </si>
  <si>
    <t>P81877-4_SSBP2</t>
  </si>
  <si>
    <t>P82094_TMF1</t>
  </si>
  <si>
    <t>P82673_MRPS35</t>
  </si>
  <si>
    <t>P82675_MRPS5</t>
  </si>
  <si>
    <t>P82909_MRPS36</t>
  </si>
  <si>
    <t>P82912-2_MRPS11</t>
  </si>
  <si>
    <t>P82930_MRPS34</t>
  </si>
  <si>
    <t>P82932_MRPS6</t>
  </si>
  <si>
    <t>P82933_MRPS9</t>
  </si>
  <si>
    <t>P82979_SARNP</t>
  </si>
  <si>
    <t>P82980_RBP5</t>
  </si>
  <si>
    <t>P83111_LACTB</t>
  </si>
  <si>
    <t>P83436_COG7</t>
  </si>
  <si>
    <t>P84022_SMAD3</t>
  </si>
  <si>
    <t>P84077_ARF1</t>
  </si>
  <si>
    <t>P84085_ARF5</t>
  </si>
  <si>
    <t>P84090_ERH</t>
  </si>
  <si>
    <t>P84095_RHOG</t>
  </si>
  <si>
    <t>P84101-4_SERF2</t>
  </si>
  <si>
    <t>P85037_FOXK1</t>
  </si>
  <si>
    <t>P86397_RPP14</t>
  </si>
  <si>
    <t>P86791_CCZ1</t>
  </si>
  <si>
    <t>P98153-2_DGCR2</t>
  </si>
  <si>
    <t>P98160_HSPG2</t>
  </si>
  <si>
    <t>P98170_XIAP</t>
  </si>
  <si>
    <t>P98172_EFNB1</t>
  </si>
  <si>
    <t>P98173-3_FAM3A</t>
  </si>
  <si>
    <t>P98175-2_RBM10</t>
  </si>
  <si>
    <t>P98179_RBM3</t>
  </si>
  <si>
    <t>Q00013_MPP1</t>
  </si>
  <si>
    <t>Q00059_TFAM</t>
  </si>
  <si>
    <t>Q00169_PITPNA</t>
  </si>
  <si>
    <t>Q00325-2_SLC25A3</t>
  </si>
  <si>
    <t>Q00341_HDLBP</t>
  </si>
  <si>
    <t>Q00403_GTF2B</t>
  </si>
  <si>
    <t>Q00534_CDK6</t>
  </si>
  <si>
    <t>Q00535_CDK5</t>
  </si>
  <si>
    <t>Q00536_CDK16</t>
  </si>
  <si>
    <t>Q00610-2_CLTC</t>
  </si>
  <si>
    <t>Q00653-4_NFKB2</t>
  </si>
  <si>
    <t>Q00688_FKBP3</t>
  </si>
  <si>
    <t>Q00765_REEP5</t>
  </si>
  <si>
    <t>Q00796_SORD</t>
  </si>
  <si>
    <t>Q00839-2_HNRNPU</t>
  </si>
  <si>
    <t>Q00973_B4GALNT1</t>
  </si>
  <si>
    <t>Q01081_U2AF1</t>
  </si>
  <si>
    <t>Q01082_SPTBN1</t>
  </si>
  <si>
    <t>Q01082-3_SPTBN1</t>
  </si>
  <si>
    <t>Q01085-2_TIAL1</t>
  </si>
  <si>
    <t>Q01105-2_SET</t>
  </si>
  <si>
    <t>Q01167-2_FOXK2</t>
  </si>
  <si>
    <t>Q01196_RUNX1</t>
  </si>
  <si>
    <t>Q01415_GALK2</t>
  </si>
  <si>
    <t>Q01432_AMPD3</t>
  </si>
  <si>
    <t>Q01469_FABP5</t>
  </si>
  <si>
    <t>Q01518-2_CAP1</t>
  </si>
  <si>
    <t>Q01581_HMGCS1</t>
  </si>
  <si>
    <t>Q01650_SLC7A5</t>
  </si>
  <si>
    <t>Q01658_DR1</t>
  </si>
  <si>
    <t>Q01780-2_EXOSC10</t>
  </si>
  <si>
    <t>Q01813_PFKP</t>
  </si>
  <si>
    <t>Q01968_OCRL</t>
  </si>
  <si>
    <t>Q01970_PLCB3</t>
  </si>
  <si>
    <t>Q01974_ROR2</t>
  </si>
  <si>
    <t>Q02040_AKAP17A</t>
  </si>
  <si>
    <t>Q02086-2_SP2</t>
  </si>
  <si>
    <t>Q02127_DHODH</t>
  </si>
  <si>
    <t>Q02224-3_CENPE</t>
  </si>
  <si>
    <t>Q02241_KIF23</t>
  </si>
  <si>
    <t>Q02446_SP4</t>
  </si>
  <si>
    <t>Q02543_RPL18A</t>
  </si>
  <si>
    <t>Q02750_MAP2K1</t>
  </si>
  <si>
    <t>Q02763-2_TEK</t>
  </si>
  <si>
    <t>Q02790_FKBP4</t>
  </si>
  <si>
    <t>Q02809_PLOD1</t>
  </si>
  <si>
    <t>Q02818_NUCB1</t>
  </si>
  <si>
    <t>Q02833-3_RASSF7</t>
  </si>
  <si>
    <t>Q02878_RPL6</t>
  </si>
  <si>
    <t>Q02880-2_TOP2B</t>
  </si>
  <si>
    <t>Q02952-3_AKAP12</t>
  </si>
  <si>
    <t>Q03013-2_GSTM4</t>
  </si>
  <si>
    <t>Q03014_HHEX</t>
  </si>
  <si>
    <t>Q03060-9_CREM</t>
  </si>
  <si>
    <t>Q03111_MLLT1</t>
  </si>
  <si>
    <t>Q03154_ACY1</t>
  </si>
  <si>
    <t>Q03167-2_TGFBR3</t>
  </si>
  <si>
    <t>Q03169_TNFAIP2</t>
  </si>
  <si>
    <t>Q04446_GBE1</t>
  </si>
  <si>
    <t>Q04656-5_ATP7A</t>
  </si>
  <si>
    <t>Q04759_PRKCQ</t>
  </si>
  <si>
    <t>Q04760_GLO1</t>
  </si>
  <si>
    <t>Q04771_ACVR1</t>
  </si>
  <si>
    <t>Q04828_AKR1C1</t>
  </si>
  <si>
    <t>Q04837_SSBP1</t>
  </si>
  <si>
    <t>Q04917_YWHAH</t>
  </si>
  <si>
    <t>Q04941_PLP2</t>
  </si>
  <si>
    <t>Q05048_CSTF1</t>
  </si>
  <si>
    <t>Q05086-3_UBE3A</t>
  </si>
  <si>
    <t>Q05193-5_DNM1</t>
  </si>
  <si>
    <t>Q05209_PTPN12</t>
  </si>
  <si>
    <t>Q05519-2_SRSF11</t>
  </si>
  <si>
    <t>Q05639_EEF1A2</t>
  </si>
  <si>
    <t>Q05655_PRKCD</t>
  </si>
  <si>
    <t>Q05823_RNASEL</t>
  </si>
  <si>
    <t>Q05932-3_FPGS</t>
  </si>
  <si>
    <t>Q05D32-2_CTDSPL2</t>
  </si>
  <si>
    <t>Q06124_PTPN11</t>
  </si>
  <si>
    <t>Q06187_BTK</t>
  </si>
  <si>
    <t>Q06203_PPAT</t>
  </si>
  <si>
    <t>Q06210-2_GFPT1</t>
  </si>
  <si>
    <t>Q06265_EXOSC9</t>
  </si>
  <si>
    <t>Q06330-5_RBPJ</t>
  </si>
  <si>
    <t>Q06413-5_MEF2C</t>
  </si>
  <si>
    <t>Q06481_APLP2</t>
  </si>
  <si>
    <t>Q06546_GABPA</t>
  </si>
  <si>
    <t>Q06587_RING1</t>
  </si>
  <si>
    <t>Q06609-3_RAD51</t>
  </si>
  <si>
    <t>Q06830_PRDX1</t>
  </si>
  <si>
    <t>Q07021_C1QBP</t>
  </si>
  <si>
    <t>Q07108_CD69</t>
  </si>
  <si>
    <t>Q07283_TCHH</t>
  </si>
  <si>
    <t>Q07666_KHDRBS1</t>
  </si>
  <si>
    <t>Q07812-5_BAX</t>
  </si>
  <si>
    <t>Q07820_MCL1</t>
  </si>
  <si>
    <t>Q07864_POLE</t>
  </si>
  <si>
    <t>Q07866-6_KLC1</t>
  </si>
  <si>
    <t>Q07960_ARHGAP1</t>
  </si>
  <si>
    <t>Q08209-2_PPP3CA</t>
  </si>
  <si>
    <t>Q08211_DHX9</t>
  </si>
  <si>
    <t>Q08257_CRYZ</t>
  </si>
  <si>
    <t>Q08357_SLC20A2</t>
  </si>
  <si>
    <t>Q08378_GOLGA3</t>
  </si>
  <si>
    <t>Q08379_GOLGA2</t>
  </si>
  <si>
    <t>Q08426_EHHADH</t>
  </si>
  <si>
    <t>Q08495_EPB49</t>
  </si>
  <si>
    <t>Q08722_CD47</t>
  </si>
  <si>
    <t>Q08752_PPID</t>
  </si>
  <si>
    <t>Q08945_SSRP1</t>
  </si>
  <si>
    <t>Q08AE8-2_SPIRE1</t>
  </si>
  <si>
    <t>Q08AG7_MZT1</t>
  </si>
  <si>
    <t>Q08AM6_VAC14</t>
  </si>
  <si>
    <t>Q08E86_KIAA0100</t>
  </si>
  <si>
    <t>Q08ER3_ZNF365</t>
  </si>
  <si>
    <t>Q08J23_NSUN2</t>
  </si>
  <si>
    <t>Q09028-3_RBBP4</t>
  </si>
  <si>
    <t>Q09161_NCBP1</t>
  </si>
  <si>
    <t>Q09328_MGAT5</t>
  </si>
  <si>
    <t>Q09472_EP300</t>
  </si>
  <si>
    <t>Q09666_AHNAK</t>
  </si>
  <si>
    <t>Q0PNE2_ELP6</t>
  </si>
  <si>
    <t>Q0VDF9_HSPA14</t>
  </si>
  <si>
    <t>Q0VDG4_SCRN3</t>
  </si>
  <si>
    <t>Q0VG06-3_FAAP100</t>
  </si>
  <si>
    <t>Q10469_MGAT2</t>
  </si>
  <si>
    <t>Q10471_GALNT2</t>
  </si>
  <si>
    <t>Q10567-2_AP1B1</t>
  </si>
  <si>
    <t>Q10567-3_AP1B1</t>
  </si>
  <si>
    <t>Q10570_CPSF1</t>
  </si>
  <si>
    <t>Q10589_BST2</t>
  </si>
  <si>
    <t>Q10713_PMPCA</t>
  </si>
  <si>
    <t>Q12769_NUP160</t>
  </si>
  <si>
    <t>Q12770_SCAP</t>
  </si>
  <si>
    <t>Q12788_TBL3</t>
  </si>
  <si>
    <t>Q12792_TWF1</t>
  </si>
  <si>
    <t>Q12797-10_ASPH</t>
  </si>
  <si>
    <t>Q12800-2_TFCP2</t>
  </si>
  <si>
    <t>Q12830-4_BPTF</t>
  </si>
  <si>
    <t>Q12834_CDC20</t>
  </si>
  <si>
    <t>Q12840_KIF5A</t>
  </si>
  <si>
    <t>Q12846_STX4</t>
  </si>
  <si>
    <t>Q12872_SFSWAP</t>
  </si>
  <si>
    <t>Q12874_SF3A3</t>
  </si>
  <si>
    <t>Q12888_TP53BP1</t>
  </si>
  <si>
    <t>Q12893_TMEM115</t>
  </si>
  <si>
    <t>Q12894_IFRD2</t>
  </si>
  <si>
    <t>Q12904_AIMP1</t>
  </si>
  <si>
    <t>Q12905_ILF2</t>
  </si>
  <si>
    <t>Q12906_ILF3</t>
  </si>
  <si>
    <t>Q12907_LMAN2</t>
  </si>
  <si>
    <t>Q12933-3_TRAF2</t>
  </si>
  <si>
    <t>Q12955_ANK3</t>
  </si>
  <si>
    <t>Q12959-5_DLG1</t>
  </si>
  <si>
    <t>Q12962_TAF10</t>
  </si>
  <si>
    <t>Q12972_PPP1R8</t>
  </si>
  <si>
    <t>Q12974_PTP4A2</t>
  </si>
  <si>
    <t>Q12981_BNIP1</t>
  </si>
  <si>
    <t>Q12986_NFX1</t>
  </si>
  <si>
    <t>Q12996_CSTF3</t>
  </si>
  <si>
    <t>Q13011_ECH1</t>
  </si>
  <si>
    <t>Q13015_MLLT11</t>
  </si>
  <si>
    <t>Q13017-2_ARHGAP5</t>
  </si>
  <si>
    <t>Q13033-2_STRN3</t>
  </si>
  <si>
    <t>Q13042-3_CDC16</t>
  </si>
  <si>
    <t>Q13043_STK4</t>
  </si>
  <si>
    <t>Q13045_FLII</t>
  </si>
  <si>
    <t>Q13045-2_FLII</t>
  </si>
  <si>
    <t>Q13057_COASY</t>
  </si>
  <si>
    <t>Q13068_GAGE4</t>
  </si>
  <si>
    <t>Q13070_GAGE6</t>
  </si>
  <si>
    <t>Q13085-3_ACACA</t>
  </si>
  <si>
    <t>Q13094_LCP2</t>
  </si>
  <si>
    <t>Q13107-2_USP4</t>
  </si>
  <si>
    <t>Q13111_CHAF1A</t>
  </si>
  <si>
    <t>Q13112_CHAF1B</t>
  </si>
  <si>
    <t>Q13123_IK</t>
  </si>
  <si>
    <t>Q13131_PRKAA1</t>
  </si>
  <si>
    <t>Q13136_PPFIA1</t>
  </si>
  <si>
    <t>Q13148_TARDBP</t>
  </si>
  <si>
    <t>Q13151_HNRNPA0</t>
  </si>
  <si>
    <t>Q13155_AIMP2</t>
  </si>
  <si>
    <t>Q13158_FADD</t>
  </si>
  <si>
    <t>Q13162_PRDX4</t>
  </si>
  <si>
    <t>Q13164_MAPK7</t>
  </si>
  <si>
    <t>Q13177_PAK2</t>
  </si>
  <si>
    <t>Q13185_CBX3</t>
  </si>
  <si>
    <t>Q13188_STK3</t>
  </si>
  <si>
    <t>Q13190-3_STX5</t>
  </si>
  <si>
    <t>Q13200_PSMD2</t>
  </si>
  <si>
    <t>Q13206_DDX10</t>
  </si>
  <si>
    <t>Q13217_DNAJC3</t>
  </si>
  <si>
    <t>Q13228_SELENBP1</t>
  </si>
  <si>
    <t>Q13232_NME3</t>
  </si>
  <si>
    <t>Q13233_MAP3K1</t>
  </si>
  <si>
    <t>Q13242_SRSF9</t>
  </si>
  <si>
    <t>Q13243_SRSF5</t>
  </si>
  <si>
    <t>Q13247-3_SRSF6</t>
  </si>
  <si>
    <t>Q13257_MAD2L1</t>
  </si>
  <si>
    <t>Q13263_TRIM28</t>
  </si>
  <si>
    <t>Q13277-2_STX3</t>
  </si>
  <si>
    <t>Q13283_G3BP1</t>
  </si>
  <si>
    <t>Q13287_NMI</t>
  </si>
  <si>
    <t>Q13308-3_PTK7</t>
  </si>
  <si>
    <t>Q13309_SKP2</t>
  </si>
  <si>
    <t>Q13310-3_PABPC4</t>
  </si>
  <si>
    <t>Q13315_ATM</t>
  </si>
  <si>
    <t>Q13322-2_GRB10</t>
  </si>
  <si>
    <t>Q13330-3_MTA1</t>
  </si>
  <si>
    <t>Q13347_EIF3I</t>
  </si>
  <si>
    <t>Q13356_PPIL2</t>
  </si>
  <si>
    <t>Q13362-4_PPP2R5C</t>
  </si>
  <si>
    <t>Q13363-2_CTBP1</t>
  </si>
  <si>
    <t>Q13371_PDCL</t>
  </si>
  <si>
    <t>Q13393-2_PLD1</t>
  </si>
  <si>
    <t>Q13395_TARBP1</t>
  </si>
  <si>
    <t>Q13409-6_DYNC1I2</t>
  </si>
  <si>
    <t>Q13416_ORC2</t>
  </si>
  <si>
    <t>Q13418_ILK</t>
  </si>
  <si>
    <t>Q13422-7_IKZF1</t>
  </si>
  <si>
    <t>Q13423_NNT</t>
  </si>
  <si>
    <t>Q13424_SNTA1</t>
  </si>
  <si>
    <t>Q13425_SNTB2</t>
  </si>
  <si>
    <t>Q13426-3_XRCC4</t>
  </si>
  <si>
    <t>Q13427_PPIG</t>
  </si>
  <si>
    <t>Q13428-3_TCOF1</t>
  </si>
  <si>
    <t>Q13429_IGF-I</t>
  </si>
  <si>
    <t>Q13432-2_UNC119</t>
  </si>
  <si>
    <t>Q13435_SF3B2</t>
  </si>
  <si>
    <t>Q13438-4_OS9</t>
  </si>
  <si>
    <t>Q13439-3_GOLGA4</t>
  </si>
  <si>
    <t>Q13442_PDAP1</t>
  </si>
  <si>
    <t>Q13443_ADAM9</t>
  </si>
  <si>
    <t>Q13444-8_ADAM15</t>
  </si>
  <si>
    <t>Q13445_TMED1</t>
  </si>
  <si>
    <t>Q13451_FKBP5</t>
  </si>
  <si>
    <t>Q13464_ROCK1</t>
  </si>
  <si>
    <t>Q13467_FZD5</t>
  </si>
  <si>
    <t>Q13469-3_NFATC2</t>
  </si>
  <si>
    <t>Q13480-2_GAB1</t>
  </si>
  <si>
    <t>Q13488_TCIRG1</t>
  </si>
  <si>
    <t>Q13492-3_PICALM</t>
  </si>
  <si>
    <t>Q13496_MTM1</t>
  </si>
  <si>
    <t>Q13501_SQSTM1</t>
  </si>
  <si>
    <t>Q13505-3_MTX1</t>
  </si>
  <si>
    <t>Q13506_NAB1</t>
  </si>
  <si>
    <t>Q13509_TUBB3</t>
  </si>
  <si>
    <t>Q13526_PIN1</t>
  </si>
  <si>
    <t>Q13535_ATR</t>
  </si>
  <si>
    <t>Q13541_EIF4EBP1</t>
  </si>
  <si>
    <t>Q13542_EIF4EBP2</t>
  </si>
  <si>
    <t>Q13546_RIPK1</t>
  </si>
  <si>
    <t>Q13547_HDAC1</t>
  </si>
  <si>
    <t>Q13564-2_NAE1</t>
  </si>
  <si>
    <t>Q13572_ITPK1</t>
  </si>
  <si>
    <t>Q13573_SNW1</t>
  </si>
  <si>
    <t>Q13576_IQGAP2</t>
  </si>
  <si>
    <t>Q13586_STIM1</t>
  </si>
  <si>
    <t>Q13596_SNX1</t>
  </si>
  <si>
    <t>Q13608_PEX6</t>
  </si>
  <si>
    <t>Q13614_MTMR2</t>
  </si>
  <si>
    <t>Q13616_CUL1</t>
  </si>
  <si>
    <t>Q13617_CUL2</t>
  </si>
  <si>
    <t>Q13618_CUL3</t>
  </si>
  <si>
    <t>Q13619_CUL4A</t>
  </si>
  <si>
    <t>Q13620-1_CUL4B</t>
  </si>
  <si>
    <t>Q13625-2_TP53BP2</t>
  </si>
  <si>
    <t>Q13627-2_DYRK1A</t>
  </si>
  <si>
    <t>Q13630_TSTA3</t>
  </si>
  <si>
    <t>Q13636_RAB31</t>
  </si>
  <si>
    <t>Q13637_RAB32</t>
  </si>
  <si>
    <t>Q13643_FHL3</t>
  </si>
  <si>
    <t>Q13686_ALKBH1</t>
  </si>
  <si>
    <t>Q13724_MOGS</t>
  </si>
  <si>
    <t>Q13769_THOC5</t>
  </si>
  <si>
    <t>Q13795_ARFRP1</t>
  </si>
  <si>
    <t>Q13868_EXOSC2</t>
  </si>
  <si>
    <t>Q13885_TUBB2A</t>
  </si>
  <si>
    <t>Q13895_BYSL</t>
  </si>
  <si>
    <t>Q13907_IDI1</t>
  </si>
  <si>
    <t>Q13951_CBFB</t>
  </si>
  <si>
    <t>Q13951-2_CBFB</t>
  </si>
  <si>
    <t>Q13952-3_NFYC</t>
  </si>
  <si>
    <t>Q14008-2_CKAP5</t>
  </si>
  <si>
    <t>Q14011_CIRBP</t>
  </si>
  <si>
    <t>Q14019_COTL1</t>
  </si>
  <si>
    <t>Q14061_COX17</t>
  </si>
  <si>
    <t>Q14103-3_HNRNPD</t>
  </si>
  <si>
    <t>Q14108_SCARB2</t>
  </si>
  <si>
    <t>Q14114-4_LRP8</t>
  </si>
  <si>
    <t>Q14116-2_IL18</t>
  </si>
  <si>
    <t>Q14118_DAG1</t>
  </si>
  <si>
    <t>Q14126_DSG2</t>
  </si>
  <si>
    <t>Q14137_BOP1</t>
  </si>
  <si>
    <t>Q14139_UBE4A</t>
  </si>
  <si>
    <t>Q14145_KEAP1</t>
  </si>
  <si>
    <t>Q14147_DHX34</t>
  </si>
  <si>
    <t>Q14149_MORC3</t>
  </si>
  <si>
    <t>Q14151_SAFB2</t>
  </si>
  <si>
    <t>Q14152_EIF3A</t>
  </si>
  <si>
    <t>Q14153-2_FAM53B</t>
  </si>
  <si>
    <t>Q14157_UBAP2L</t>
  </si>
  <si>
    <t>Q14157-1_UBAP2L</t>
  </si>
  <si>
    <t>Q14160_SCRIB</t>
  </si>
  <si>
    <t>Q14165_MLEC</t>
  </si>
  <si>
    <t>Q14166_TTLL12</t>
  </si>
  <si>
    <t>Q14181_POLA2</t>
  </si>
  <si>
    <t>Q14191_WRN</t>
  </si>
  <si>
    <t>Q14204_DYNC1H1</t>
  </si>
  <si>
    <t>Q14232_EIF2B1</t>
  </si>
  <si>
    <t>Q14240_EIF4A2</t>
  </si>
  <si>
    <t>Q14241_TCEB3</t>
  </si>
  <si>
    <t>Q14244_MAP7</t>
  </si>
  <si>
    <t>Q14247_CTTN</t>
  </si>
  <si>
    <t>Q14247-3_CTTN</t>
  </si>
  <si>
    <t>Q14249_ENDOG</t>
  </si>
  <si>
    <t>Q14257_RCN2</t>
  </si>
  <si>
    <t>Q14258_TRIM25</t>
  </si>
  <si>
    <t>Q14289-2_PTK2B</t>
  </si>
  <si>
    <t>Q14315_FLNC</t>
  </si>
  <si>
    <t>Q14318-2_FKBP8</t>
  </si>
  <si>
    <t>Q14320_FAM50A</t>
  </si>
  <si>
    <t>Q14331_FRG1</t>
  </si>
  <si>
    <t>Q14344_GNA13</t>
  </si>
  <si>
    <t>Q14353_GAMT</t>
  </si>
  <si>
    <t>Q14376_GALE</t>
  </si>
  <si>
    <t>Q14444-2_CAPRIN1</t>
  </si>
  <si>
    <t>Q14457_BECN1</t>
  </si>
  <si>
    <t>Q14469_HES1</t>
  </si>
  <si>
    <t>Q14493-2_SLBP</t>
  </si>
  <si>
    <t>Q14498-2_RBM39</t>
  </si>
  <si>
    <t>Q14517_FAT1</t>
  </si>
  <si>
    <t>Q14520-2_HABP2</t>
  </si>
  <si>
    <t>Q14527_HLTF</t>
  </si>
  <si>
    <t>Q14534_SQLE</t>
  </si>
  <si>
    <t>Q14542-3_SLC29A2</t>
  </si>
  <si>
    <t>Q14554_PDIA5</t>
  </si>
  <si>
    <t>Q14558_PRPSAP1</t>
  </si>
  <si>
    <t>Q14562_DHX8</t>
  </si>
  <si>
    <t>Q14566_MCM6</t>
  </si>
  <si>
    <t>Q14573_ITPR3</t>
  </si>
  <si>
    <t>Q14644_RASA3</t>
  </si>
  <si>
    <t>Q14651_PLS1</t>
  </si>
  <si>
    <t>Q14653_IRF3</t>
  </si>
  <si>
    <t>Q14657_LAGE3</t>
  </si>
  <si>
    <t>Q14669-3_TRIP12</t>
  </si>
  <si>
    <t>Q14671_PUM1</t>
  </si>
  <si>
    <t>Q14674_ESPL1</t>
  </si>
  <si>
    <t>Q14676_MDC1</t>
  </si>
  <si>
    <t>Q14677_CLINT1</t>
  </si>
  <si>
    <t>Q14680-3_MELK</t>
  </si>
  <si>
    <t>Q14681_KCTD2</t>
  </si>
  <si>
    <t>Q14683_SMC1A</t>
  </si>
  <si>
    <t>Q14684-2_RRP1B</t>
  </si>
  <si>
    <t>Q14686_NCOA6</t>
  </si>
  <si>
    <t>Q14687-2_GSE1</t>
  </si>
  <si>
    <t>Q14690_PDCD11</t>
  </si>
  <si>
    <t>Q14691_GINS1</t>
  </si>
  <si>
    <t>Q14692_BMS1</t>
  </si>
  <si>
    <t>Q14694_USP10</t>
  </si>
  <si>
    <t>Q14696_MESDC2</t>
  </si>
  <si>
    <t>Q14697_GANAB</t>
  </si>
  <si>
    <t>Q14697-2_GANAB</t>
  </si>
  <si>
    <t>Q14703_MBTPS1</t>
  </si>
  <si>
    <t>Q14739_LBR</t>
  </si>
  <si>
    <t>Q14746-2_COG2</t>
  </si>
  <si>
    <t>Q14781_CBX2</t>
  </si>
  <si>
    <t>Q14789-2_GOLGB1</t>
  </si>
  <si>
    <t>Q14790_CASP8</t>
  </si>
  <si>
    <t>Q147X3_NAA30</t>
  </si>
  <si>
    <t>Q14807_KIF22</t>
  </si>
  <si>
    <t>Q14847_LASP1</t>
  </si>
  <si>
    <t>Q14964_RAB39A</t>
  </si>
  <si>
    <t>Q14966-3_ZNF638</t>
  </si>
  <si>
    <t>Q14974_KPNB1</t>
  </si>
  <si>
    <t>Q14978-2_NOLC1</t>
  </si>
  <si>
    <t>Q14980_NUMA1</t>
  </si>
  <si>
    <t>Q14997_PSME4</t>
  </si>
  <si>
    <t>Q14BN4_SLMAP</t>
  </si>
  <si>
    <t>Q14C86-6_GAPVD1</t>
  </si>
  <si>
    <t>Q14CX7_NAA25</t>
  </si>
  <si>
    <t>Q14CZ7_FASTKD3</t>
  </si>
  <si>
    <t>Q15003_NCAPH</t>
  </si>
  <si>
    <t>Q15004_KIAA0101</t>
  </si>
  <si>
    <t>Q15006_EMC2</t>
  </si>
  <si>
    <t>Q15007_WTAP</t>
  </si>
  <si>
    <t>Q15008_PSMD6</t>
  </si>
  <si>
    <t>Q15011-3_HERPUD1</t>
  </si>
  <si>
    <t>Q15012_LAPTM4A</t>
  </si>
  <si>
    <t>Q15013_MAD2L1BP</t>
  </si>
  <si>
    <t>Q15018_FAM175B</t>
  </si>
  <si>
    <t>Q15019_SEPT2</t>
  </si>
  <si>
    <t>Q15020_SART3</t>
  </si>
  <si>
    <t>Q15021_NCAPD2</t>
  </si>
  <si>
    <t>Q15024_EXOSC7</t>
  </si>
  <si>
    <t>Q15029-2_EFTUD2</t>
  </si>
  <si>
    <t>Q15032-2_R3HDM1</t>
  </si>
  <si>
    <t>Q15036-2_SNX17</t>
  </si>
  <si>
    <t>Q15042_RAB3GAP1</t>
  </si>
  <si>
    <t>Q15043-2_SLC39A14</t>
  </si>
  <si>
    <t>Q15046_KARS</t>
  </si>
  <si>
    <t>Q15047-3_SETDB1</t>
  </si>
  <si>
    <t>Q15048_LRRC14</t>
  </si>
  <si>
    <t>Q15056_EIF4H</t>
  </si>
  <si>
    <t>Q15056-2_EIF4H</t>
  </si>
  <si>
    <t>Q15057_ACAP2</t>
  </si>
  <si>
    <t>Q15058_KIF14</t>
  </si>
  <si>
    <t>Q15059_BRD3</t>
  </si>
  <si>
    <t>Q15061_WDR43</t>
  </si>
  <si>
    <t>Q15067-2_ACOX1</t>
  </si>
  <si>
    <t>Q15075_EEA1</t>
  </si>
  <si>
    <t>Q15102_PAFAH1B3</t>
  </si>
  <si>
    <t>Q15111_PLCL1</t>
  </si>
  <si>
    <t>Q15118_PDK1</t>
  </si>
  <si>
    <t>Q15121_PEA15</t>
  </si>
  <si>
    <t>Q15126_PMVK</t>
  </si>
  <si>
    <t>Q15131_CDK10</t>
  </si>
  <si>
    <t>Q15149-4_PLEC</t>
  </si>
  <si>
    <t>Q15155_NOMO1</t>
  </si>
  <si>
    <t>Q15170_TCEAL1</t>
  </si>
  <si>
    <t>Q15172_PPP2R5A</t>
  </si>
  <si>
    <t>Q15173-2_PPP2R5B</t>
  </si>
  <si>
    <t>Q15181_PPA1</t>
  </si>
  <si>
    <t>Q15208_STK38</t>
  </si>
  <si>
    <t>Q15233_NONO</t>
  </si>
  <si>
    <t>Q15257_PPP2R4</t>
  </si>
  <si>
    <t>Q15269_PWP2</t>
  </si>
  <si>
    <t>Q15274_QPRT</t>
  </si>
  <si>
    <t>Q15276_RABEP1</t>
  </si>
  <si>
    <t>Q15283-2_RASA2</t>
  </si>
  <si>
    <t>Q15286_RAB35</t>
  </si>
  <si>
    <t>Q15291_RBBP5</t>
  </si>
  <si>
    <t>Q15293_RCN1</t>
  </si>
  <si>
    <t>Q15311_RALBP1</t>
  </si>
  <si>
    <t>Q15334_LLGL1</t>
  </si>
  <si>
    <t>Q15345-3_LRRC41</t>
  </si>
  <si>
    <t>Q15363_TMED2</t>
  </si>
  <si>
    <t>Q15365_PCBP1</t>
  </si>
  <si>
    <t>Q15366-3_PCBP2</t>
  </si>
  <si>
    <t>Q15366-6_PCBP2</t>
  </si>
  <si>
    <t>Q15370_TCEB2</t>
  </si>
  <si>
    <t>Q15382_RHEB</t>
  </si>
  <si>
    <t>Q15386_UBE3C</t>
  </si>
  <si>
    <t>Q15393_SF3B3</t>
  </si>
  <si>
    <t>Q15398-3_DLGAP5</t>
  </si>
  <si>
    <t>Q15404_RSU1</t>
  </si>
  <si>
    <t>Q15424-2_SAFB</t>
  </si>
  <si>
    <t>Q15428_SF3A2</t>
  </si>
  <si>
    <t>Q15435_PPP1R7</t>
  </si>
  <si>
    <t>Q15437_SEC23B</t>
  </si>
  <si>
    <t>Q15459_SF3A1</t>
  </si>
  <si>
    <t>Q15464-2_SHB</t>
  </si>
  <si>
    <t>Q15506_SPA17</t>
  </si>
  <si>
    <t>Q15526-2_SURF1</t>
  </si>
  <si>
    <t>Q15527_SURF2</t>
  </si>
  <si>
    <t>Q15542-2_TAF5</t>
  </si>
  <si>
    <t>Q15543_TAF13</t>
  </si>
  <si>
    <t>Q15545_TAF7</t>
  </si>
  <si>
    <t>Q15554-3_TERF2</t>
  </si>
  <si>
    <t>Q15555_MAPRE2</t>
  </si>
  <si>
    <t>Q15599-2_SLC9A3R2</t>
  </si>
  <si>
    <t>Q15628_TRADD</t>
  </si>
  <si>
    <t>Q15637-5_SF1</t>
  </si>
  <si>
    <t>Q15642-2_TRIP10</t>
  </si>
  <si>
    <t>Q15643_TRIP11</t>
  </si>
  <si>
    <t>Q15645_TRIP13</t>
  </si>
  <si>
    <t>Q15648_MED1</t>
  </si>
  <si>
    <t>Q15649_ZNHIT3</t>
  </si>
  <si>
    <t>Q15650_TRIP4</t>
  </si>
  <si>
    <t>Q15651_HMGN3</t>
  </si>
  <si>
    <t>Q15652-3_JMJD1C</t>
  </si>
  <si>
    <t>Q15653_NFKBIB</t>
  </si>
  <si>
    <t>Q15654_TRIP6</t>
  </si>
  <si>
    <t>Q15691_MAPRE1</t>
  </si>
  <si>
    <t>Q15714-2_TSC22D1</t>
  </si>
  <si>
    <t>Q15717_ELAVL1</t>
  </si>
  <si>
    <t>Q15738_NSDHL</t>
  </si>
  <si>
    <t>Q15742-3_NAB2</t>
  </si>
  <si>
    <t>Q15743_GPR68</t>
  </si>
  <si>
    <t>Q15746-4_MYLK</t>
  </si>
  <si>
    <t>Q15750_TAB1</t>
  </si>
  <si>
    <t>Q15751_HERC1</t>
  </si>
  <si>
    <t>Q15758_SLC1A5</t>
  </si>
  <si>
    <t>Q15759_MAPK11</t>
  </si>
  <si>
    <t>Q15773_MLF2</t>
  </si>
  <si>
    <t>Q15785_TOMM34</t>
  </si>
  <si>
    <t>Q15796-2_SMAD2</t>
  </si>
  <si>
    <t>Q15800-2_MSMO1</t>
  </si>
  <si>
    <t>Q15814_TBCC</t>
  </si>
  <si>
    <t>Q15819_UBE2V2</t>
  </si>
  <si>
    <t>Q15831_STK11</t>
  </si>
  <si>
    <t>Q15833_STXBP2</t>
  </si>
  <si>
    <t>Q15836_VAMP3</t>
  </si>
  <si>
    <t>Q15904_ATP6AP1</t>
  </si>
  <si>
    <t>Q15906_VPS72</t>
  </si>
  <si>
    <t>Q15907_RAB11B</t>
  </si>
  <si>
    <t>Q15910-3_EZH2</t>
  </si>
  <si>
    <t>Q15942_ZYX</t>
  </si>
  <si>
    <t>Q16134_ETFDH</t>
  </si>
  <si>
    <t>Q16181_SEPT7</t>
  </si>
  <si>
    <t>Q16186_ADRM1</t>
  </si>
  <si>
    <t>Q16204_CCDC6</t>
  </si>
  <si>
    <t>Q16222-2_UAP1</t>
  </si>
  <si>
    <t>Q16254_E2F4</t>
  </si>
  <si>
    <t>Q16363-2_LAMA4</t>
  </si>
  <si>
    <t>Q16384_SSX1</t>
  </si>
  <si>
    <t>Q16401-2_PSMD5</t>
  </si>
  <si>
    <t>Q16512_PKN1</t>
  </si>
  <si>
    <t>Q16513-2_PKN2</t>
  </si>
  <si>
    <t>Q16514-2_TAF12</t>
  </si>
  <si>
    <t>Q16526_CRY1</t>
  </si>
  <si>
    <t>Q16531_DDB1</t>
  </si>
  <si>
    <t>Q16539_MAPK14</t>
  </si>
  <si>
    <t>Q16539-2_MAPK14</t>
  </si>
  <si>
    <t>Q16543_CDC37</t>
  </si>
  <si>
    <t>Q16555-2_DPYSL2</t>
  </si>
  <si>
    <t>Q16576_RBBP7</t>
  </si>
  <si>
    <t>Q16587-5_ZNF74</t>
  </si>
  <si>
    <t>Q16594_TAF9</t>
  </si>
  <si>
    <t>Q16600_ZNF239</t>
  </si>
  <si>
    <t>Q16610_ECM1</t>
  </si>
  <si>
    <t>Q16626_MEA1</t>
  </si>
  <si>
    <t>Q16630_CPSF6</t>
  </si>
  <si>
    <t>Q16643-2_DBN1</t>
  </si>
  <si>
    <t>Q16644_MAPKAPK3</t>
  </si>
  <si>
    <t>Q16656-2_NRF1</t>
  </si>
  <si>
    <t>Q16658_FSCN1</t>
  </si>
  <si>
    <t>Q16670-2_ZSCAN26</t>
  </si>
  <si>
    <t>Q16706_MAN2A1</t>
  </si>
  <si>
    <t>Q16718_NDUFA5</t>
  </si>
  <si>
    <t>Q16720-8_ATP2B3</t>
  </si>
  <si>
    <t>Q16739_UGCG</t>
  </si>
  <si>
    <t>Q16740_CLPP</t>
  </si>
  <si>
    <t>Q16762_TST</t>
  </si>
  <si>
    <t>Q16763_UBE2S</t>
  </si>
  <si>
    <t>Q16778_HIST2H2BE</t>
  </si>
  <si>
    <t>Q16795_NDUFA9</t>
  </si>
  <si>
    <t>Q16822_PCK2</t>
  </si>
  <si>
    <t>Q16842_ST3GAL2</t>
  </si>
  <si>
    <t>Q16850_CYP51A1</t>
  </si>
  <si>
    <t>Q16854_DGUOK</t>
  </si>
  <si>
    <t>Q16864_ATP6V1F</t>
  </si>
  <si>
    <t>Q16880_UGT8</t>
  </si>
  <si>
    <t>Q16891-2_IMMT</t>
  </si>
  <si>
    <t>Q17RU2_REL</t>
  </si>
  <si>
    <t>Q1ED39_KNOP1</t>
  </si>
  <si>
    <t>Q1KMD3_HNRNPUL2</t>
  </si>
  <si>
    <t>Q1L5Z9_LONRF2</t>
  </si>
  <si>
    <t>Q1MSJ5-1_CSPP1</t>
  </si>
  <si>
    <t>Q27J81-2_INF2</t>
  </si>
  <si>
    <t>Q29980_MICB</t>
  </si>
  <si>
    <t>Q29RF7_PDS5A</t>
  </si>
  <si>
    <t>Q2KHR3-2_QSER1</t>
  </si>
  <si>
    <t>Q2KHT3_CLEC16A</t>
  </si>
  <si>
    <t>Q2M2I8-2_AAK1</t>
  </si>
  <si>
    <t>Q2M389_KIAA1033</t>
  </si>
  <si>
    <t>Q2M3D2_EXOC3L2</t>
  </si>
  <si>
    <t>Q2NKX8_ERCC6L</t>
  </si>
  <si>
    <t>Q2NKX9-3_C2orf68</t>
  </si>
  <si>
    <t>Q2NL82_TSR1</t>
  </si>
  <si>
    <t>Q2PZI1_DPY19L1</t>
  </si>
  <si>
    <t>Q2TAA5_ALG11</t>
  </si>
  <si>
    <t>Q2TAL8_QRICH1</t>
  </si>
  <si>
    <t>Q2TAM5_RELA</t>
  </si>
  <si>
    <t>Q2TAY7_SMU1</t>
  </si>
  <si>
    <t>Q2TB90_HKDC1</t>
  </si>
  <si>
    <t>Q2TBE0_CWF19L2</t>
  </si>
  <si>
    <t>Q32MZ4-3_LRRFIP1</t>
  </si>
  <si>
    <t>Q32N00_POLD3</t>
  </si>
  <si>
    <t>Q32NB8_PGS1</t>
  </si>
  <si>
    <t>Q32P28_LEPRE1</t>
  </si>
  <si>
    <t>Q32P41_TRMT5</t>
  </si>
  <si>
    <t>Q32Q12_NME1-NME2</t>
  </si>
  <si>
    <t>Q3B726_TWISTNB</t>
  </si>
  <si>
    <t>Q3BDU3_PMS1</t>
  </si>
  <si>
    <t>Q3KQU3-2_MAP7D1</t>
  </si>
  <si>
    <t>Q3KQV9_UAP1L1</t>
  </si>
  <si>
    <t>Q3KRA9_ALKBH6</t>
  </si>
  <si>
    <t>Q3LXA3_DAK</t>
  </si>
  <si>
    <t>Q3MHD2_LSM12</t>
  </si>
  <si>
    <t>Q3MIT2_PUS10</t>
  </si>
  <si>
    <t>Q3SXM5_HSDL1</t>
  </si>
  <si>
    <t>Q3SY56_SP6</t>
  </si>
  <si>
    <t>Q3T906_GNPTAB</t>
  </si>
  <si>
    <t>Q3V6T2-2_CCDC88A</t>
  </si>
  <si>
    <t>Q3YEC7_RABL6</t>
  </si>
  <si>
    <t>Q3ZAQ7_VMA21</t>
  </si>
  <si>
    <t>Q3ZCM7_TUBB8</t>
  </si>
  <si>
    <t>Q3ZCQ8_TIMM50</t>
  </si>
  <si>
    <t>Q3ZCV1_USP38</t>
  </si>
  <si>
    <t>Q495W5-2_FUT11</t>
  </si>
  <si>
    <t>Q49AM1_MTERFD3</t>
  </si>
  <si>
    <t>Q49AN0_CRY2</t>
  </si>
  <si>
    <t>Q49AR2_C5orf22</t>
  </si>
  <si>
    <t>Q49B96_COX19</t>
  </si>
  <si>
    <t>Q4G0F5_VPS26B</t>
  </si>
  <si>
    <t>Q4G0I0_CCSMST1</t>
  </si>
  <si>
    <t>Q4G0J3_LARP7</t>
  </si>
  <si>
    <t>Q4G0N4_NADKD1</t>
  </si>
  <si>
    <t>Q4G148-2_GXYLT1</t>
  </si>
  <si>
    <t>Q4G176_ACSF3</t>
  </si>
  <si>
    <t>Q4J6C6-4_PREPL</t>
  </si>
  <si>
    <t>Q4KMP7_TBC1D10B</t>
  </si>
  <si>
    <t>Q4KMQ2-3_ANO6</t>
  </si>
  <si>
    <t>Q4KWH8-3_PLCH1</t>
  </si>
  <si>
    <t>Q4LDG9_DNAL1</t>
  </si>
  <si>
    <t>Q4LE39-2_ARID4B</t>
  </si>
  <si>
    <t>Q4V328_GRIPAP1</t>
  </si>
  <si>
    <t>Q4VC05-2_BCL7A</t>
  </si>
  <si>
    <t>Q4VXZ8_DECR2</t>
  </si>
  <si>
    <t>Q4ZIN3-2_TMEM259</t>
  </si>
  <si>
    <t>Q504U0_C4orf46</t>
  </si>
  <si>
    <t>Q52LJ0-2_FAM98B</t>
  </si>
  <si>
    <t>Q53EL6-2_PDCD4</t>
  </si>
  <si>
    <t>Q53EU6_AGPAT9</t>
  </si>
  <si>
    <t>Q53EZ4-2_CEP55</t>
  </si>
  <si>
    <t>Q53FA7_TP53I3</t>
  </si>
  <si>
    <t>Q53FT3_C11orf73</t>
  </si>
  <si>
    <t>Q53FZ2_ACSM3</t>
  </si>
  <si>
    <t>Q53GQ0_HSD17B12</t>
  </si>
  <si>
    <t>Q53H47_SETMAR</t>
  </si>
  <si>
    <t>Q53H54_TRMT12</t>
  </si>
  <si>
    <t>Q53H82_LACTB2</t>
  </si>
  <si>
    <t>Q53H96_PYCRL</t>
  </si>
  <si>
    <t>Q53HV7_SMUG1</t>
  </si>
  <si>
    <t>Q53QZ3_ARHGAP15</t>
  </si>
  <si>
    <t>Q53R41_FASTKD1</t>
  </si>
  <si>
    <t>Q53S33_BOLA3</t>
  </si>
  <si>
    <t>Q53S58_TMEM177</t>
  </si>
  <si>
    <t>Q53T59_HS1BP3</t>
  </si>
  <si>
    <t>Q53TN4-3_CYBRD1</t>
  </si>
  <si>
    <t>Q567V2-2_MPV17L2</t>
  </si>
  <si>
    <t>Q587I9_SFT2D3</t>
  </si>
  <si>
    <t>Q58A45_PAN3</t>
  </si>
  <si>
    <t>Q58FF7_HSP90AB3P</t>
  </si>
  <si>
    <t>Q58FF8_HSP90AB2P</t>
  </si>
  <si>
    <t>Q58FG1_HSP90AA4P</t>
  </si>
  <si>
    <t>Q58WW2_DCAF6</t>
  </si>
  <si>
    <t>Q5BKU9_OXLD1</t>
  </si>
  <si>
    <t>Q5BKX5-3_C19orf54</t>
  </si>
  <si>
    <t>Q5C9Z4_NOM1</t>
  </si>
  <si>
    <t>Q5D1E8_ZC3H12A</t>
  </si>
  <si>
    <t>Q5DTB0_CD80</t>
  </si>
  <si>
    <t>Q5EBL4_RILPL1</t>
  </si>
  <si>
    <t>Q5EBL8_PDZD11</t>
  </si>
  <si>
    <t>Q5EBM0_CMPK2</t>
  </si>
  <si>
    <t>Q5F1R6_DNAJC21</t>
  </si>
  <si>
    <t>Q5GLZ8-3_HERC4</t>
  </si>
  <si>
    <t>Q5H8X8_UTS2</t>
  </si>
  <si>
    <t>Q5H937_PKIG</t>
  </si>
  <si>
    <t>Q5H9A7_TIMP1</t>
  </si>
  <si>
    <t>Q5HYI8_RABL3</t>
  </si>
  <si>
    <t>Q5HYZ1_WDR46</t>
  </si>
  <si>
    <t>Q5J1K9_ART3</t>
  </si>
  <si>
    <t>Q5JP53_TUBB</t>
  </si>
  <si>
    <t>Q5JPE7-2_NOMO2</t>
  </si>
  <si>
    <t>Q5JPH6_EARS2</t>
  </si>
  <si>
    <t>Q5JR01_EEF1A1</t>
  </si>
  <si>
    <t>Q5JR08_RHOC</t>
  </si>
  <si>
    <t>Q5JRA6_MIA3</t>
  </si>
  <si>
    <t>Q5JRG1_NUPL1</t>
  </si>
  <si>
    <t>Q5JRI1_SRSF10</t>
  </si>
  <si>
    <t>Q5JRL0_PAGE2B</t>
  </si>
  <si>
    <t>Q5JRX3_PITRM1</t>
  </si>
  <si>
    <t>Q5JS54_PSMG4</t>
  </si>
  <si>
    <t>Q5JSH3-2_WDR44</t>
  </si>
  <si>
    <t>Q5JSK7_HMGN5</t>
  </si>
  <si>
    <t>Q5JSZ5_PRRC2B</t>
  </si>
  <si>
    <t>Q5JTD0-2_TJAP1</t>
  </si>
  <si>
    <t>Q5JTH9-2_RRP12</t>
  </si>
  <si>
    <t>Q5JTJ3-3_COA6</t>
  </si>
  <si>
    <t>Q5JTV1_GMEB2</t>
  </si>
  <si>
    <t>Q5JTV8_TOR1AIP1</t>
  </si>
  <si>
    <t>Q5JTZ9_AARS2</t>
  </si>
  <si>
    <t>Q5JU85-3_IQSEC2</t>
  </si>
  <si>
    <t>Q5JUE6_RAPGEF1</t>
  </si>
  <si>
    <t>Q5JUQ0_FAM78A</t>
  </si>
  <si>
    <t>Q5JUR7_TEX30</t>
  </si>
  <si>
    <t>Q5JUW8_DLG3</t>
  </si>
  <si>
    <t>Q5JVF3-3_PCID2</t>
  </si>
  <si>
    <t>Q5JVZ5_ELMO2</t>
  </si>
  <si>
    <t>Q5JW30_STAU1</t>
  </si>
  <si>
    <t>Q5JWB9_TMEM230</t>
  </si>
  <si>
    <t>Q5JWT2_MED23</t>
  </si>
  <si>
    <t>Q5JXC2_MIIP</t>
  </si>
  <si>
    <t>Q5JXX2_MORF4L2</t>
  </si>
  <si>
    <t>Q5JY65_CRNKL1</t>
  </si>
  <si>
    <t>Q5JYC0_C20orf112</t>
  </si>
  <si>
    <t>Q5LJA5_UCHL5</t>
  </si>
  <si>
    <t>Q5M775_SPECC1</t>
  </si>
  <si>
    <t>Q5MIZ7-3_SMEK2</t>
  </si>
  <si>
    <t>Q5MNZ6_WDR45B</t>
  </si>
  <si>
    <t>Q5NDL2_EOGT</t>
  </si>
  <si>
    <t>Q5QJE6_DNTTIP2</t>
  </si>
  <si>
    <t>Q5QNY5_PEX19</t>
  </si>
  <si>
    <t>Q5QNZ2_ATP5F1</t>
  </si>
  <si>
    <t>Q5QP56_BCL2L1</t>
  </si>
  <si>
    <t>Q5QP82-2_DCAF10</t>
  </si>
  <si>
    <t>Q5QPA5_MRPS18A</t>
  </si>
  <si>
    <t>Q5QPC2_TTPAL</t>
  </si>
  <si>
    <t>Q5QPK2_DPM1</t>
  </si>
  <si>
    <t>Q5R372-4_RABGAP1L</t>
  </si>
  <si>
    <t>Q5R3B4_MPC2</t>
  </si>
  <si>
    <t>Q5R3I4_TTC38</t>
  </si>
  <si>
    <t>Q5RI15_COX20</t>
  </si>
  <si>
    <t>Q5RKV6_EXOSC6</t>
  </si>
  <si>
    <t>Q5SNW6_MTHFR</t>
  </si>
  <si>
    <t>Q5SR50_PIK3CD</t>
  </si>
  <si>
    <t>Q5SR56_HIATL1</t>
  </si>
  <si>
    <t>Q5SRE5_NUP188</t>
  </si>
  <si>
    <t>Q5SRN1_CDC40</t>
  </si>
  <si>
    <t>Q5SRQ6_CSNK2B</t>
  </si>
  <si>
    <t>Q5SSJ5_HP1BP3</t>
  </si>
  <si>
    <t>Q5ST30_VARS2</t>
  </si>
  <si>
    <t>Q5SVK8_DNMBP</t>
  </si>
  <si>
    <t>Q5SW79_CEP170</t>
  </si>
  <si>
    <t>Q5SW96_LDLRAP1</t>
  </si>
  <si>
    <t>Q5SWX8-2_ODR4</t>
  </si>
  <si>
    <t>Q5SX86_GDI2</t>
  </si>
  <si>
    <t>Q5SXM8_DNLZ</t>
  </si>
  <si>
    <t>Q5SY16_NOL9</t>
  </si>
  <si>
    <t>Q5SZE3_CERS2</t>
  </si>
  <si>
    <t>Q5SZR4_TDRKH</t>
  </si>
  <si>
    <t>Q5T097_UTRN</t>
  </si>
  <si>
    <t>Q5T0Z6_PKIB</t>
  </si>
  <si>
    <t>Q5T114_C9orf156</t>
  </si>
  <si>
    <t>Q5T123_SH3BGRL3</t>
  </si>
  <si>
    <t>Q5T160_RARS2</t>
  </si>
  <si>
    <t>Q5T171_PYGO2</t>
  </si>
  <si>
    <t>Q5T179_CKS1B</t>
  </si>
  <si>
    <t>Q5T1C6_THEM4</t>
  </si>
  <si>
    <t>Q5T1M5_FKBP15</t>
  </si>
  <si>
    <t>Q5T1V6_DDX59</t>
  </si>
  <si>
    <t>Q5T1Z0_LHPP</t>
  </si>
  <si>
    <t>Q5T1Z4_PUM1</t>
  </si>
  <si>
    <t>Q5T200_ZC3H13</t>
  </si>
  <si>
    <t>Q5T280_C9orf114</t>
  </si>
  <si>
    <t>Q5T2D3_OTUD3</t>
  </si>
  <si>
    <t>Q5T2J3_BCKDHB</t>
  </si>
  <si>
    <t>Q5T2R2-3_PDSS1</t>
  </si>
  <si>
    <t>Q5T3J3-2_LRIF1</t>
  </si>
  <si>
    <t>Q5T3Q7_HEATR1</t>
  </si>
  <si>
    <t>Q5T3U5-2_ABCC10</t>
  </si>
  <si>
    <t>Q5T440_IBA57</t>
  </si>
  <si>
    <t>Q5T447_HECTD3</t>
  </si>
  <si>
    <t>Q5T4B9_COQ4</t>
  </si>
  <si>
    <t>Q5T4F4-7_ZFYVE27</t>
  </si>
  <si>
    <t>Q5T4S7-3_UBR4</t>
  </si>
  <si>
    <t>Q5T4U5_ACADM</t>
  </si>
  <si>
    <t>Q5T4U8_RABGGTB</t>
  </si>
  <si>
    <t>Q5T5C0-3_STXBP5</t>
  </si>
  <si>
    <t>Q5T5C7_SARS</t>
  </si>
  <si>
    <t>Q5T5U3_ARHGAP21</t>
  </si>
  <si>
    <t>Q5T5X7_BEND3</t>
  </si>
  <si>
    <t>Q5T5Y3_CAMSAP1</t>
  </si>
  <si>
    <t>Q5T6F2_UBAP2</t>
  </si>
  <si>
    <t>Q5T6S3_PHF19</t>
  </si>
  <si>
    <t>Q5T6V5_C9orf64</t>
  </si>
  <si>
    <t>Q5T6Z8_TMEM59</t>
  </si>
  <si>
    <t>Q5T7A4_ADCK3</t>
  </si>
  <si>
    <t>Q5T7V8_GORAB</t>
  </si>
  <si>
    <t>Q5T8D3-4_ACBD5</t>
  </si>
  <si>
    <t>Q5T8I0_COX6A1P2</t>
  </si>
  <si>
    <t>Q5T8I3-2_FAM102B</t>
  </si>
  <si>
    <t>Q5T8P6-2_RBM26</t>
  </si>
  <si>
    <t>Q5T8U5_SURF4</t>
  </si>
  <si>
    <t>Q5T9A4_ATAD3B</t>
  </si>
  <si>
    <t>Q5T9B7_AK1</t>
  </si>
  <si>
    <t>Q5T9W8_HSP90AB1</t>
  </si>
  <si>
    <t>Q5TA02_GSTO1</t>
  </si>
  <si>
    <t>Q5TA31_RNF187</t>
  </si>
  <si>
    <t>Q5TA45-2_CPSF3L</t>
  </si>
  <si>
    <t>Q5TA50_GLTPD1</t>
  </si>
  <si>
    <t>Q5TA58_AGO1</t>
  </si>
  <si>
    <t>Q5TAA8_HPS1</t>
  </si>
  <si>
    <t>Q5TAW7_CAB39L</t>
  </si>
  <si>
    <t>Q5TAX3_ZCCHC11</t>
  </si>
  <si>
    <t>Q5TBB1_RNASEH2B</t>
  </si>
  <si>
    <t>Q5TBP5_TAF4</t>
  </si>
  <si>
    <t>Q5TBP9_LSM14B</t>
  </si>
  <si>
    <t>Q5TC82-2_RC3H1</t>
  </si>
  <si>
    <t>Q5TCQ9-3_MAGI3</t>
  </si>
  <si>
    <t>Q5TD07_NQO2</t>
  </si>
  <si>
    <t>Q5TDG9_DNAJC16</t>
  </si>
  <si>
    <t>Q5TDH0_DDI2</t>
  </si>
  <si>
    <t>Q5TEU4_NDUFAF5</t>
  </si>
  <si>
    <t>Q5TFE4_NT5DC1</t>
  </si>
  <si>
    <t>Q5TGE1_TMEM189</t>
  </si>
  <si>
    <t>Q5TH30_NDRG3</t>
  </si>
  <si>
    <t>Q5THJ4-2_VPS13D</t>
  </si>
  <si>
    <t>Q5THK1-3_PRR14L</t>
  </si>
  <si>
    <t>Q5TI78_METTL18</t>
  </si>
  <si>
    <t>Q5TIE1_SLC19A2</t>
  </si>
  <si>
    <t>Q5TIH2_SFT2D2</t>
  </si>
  <si>
    <t>Q5U5X0_LYRM7</t>
  </si>
  <si>
    <t>Q5UIP0_RIF1</t>
  </si>
  <si>
    <t>Q5VIR6-4_VPS53</t>
  </si>
  <si>
    <t>Q5VSL9_STRIP1</t>
  </si>
  <si>
    <t>Q5VT52_RPRD2</t>
  </si>
  <si>
    <t>Q5VT94_GHITM</t>
  </si>
  <si>
    <t>Q5VTD9-2_GFI1B</t>
  </si>
  <si>
    <t>Q5VTL8_PRPF38B</t>
  </si>
  <si>
    <t>Q5VTR2_RNF20</t>
  </si>
  <si>
    <t>Q5VTU3_DYNLT1</t>
  </si>
  <si>
    <t>Q5VU58_TPM3</t>
  </si>
  <si>
    <t>Q5VUC6_NMT2</t>
  </si>
  <si>
    <t>Q5VV42_CDKAL1</t>
  </si>
  <si>
    <t>Q5VV50_ZNF691</t>
  </si>
  <si>
    <t>Q5VVD7_PLEKHM2</t>
  </si>
  <si>
    <t>Q5VVJ2-2_MYSM1</t>
  </si>
  <si>
    <t>Q5VVQ6_YOD1</t>
  </si>
  <si>
    <t>Q5VW32_BROX</t>
  </si>
  <si>
    <t>Q5VW52_GPAM</t>
  </si>
  <si>
    <t>Q5VWC4_PSMD4</t>
  </si>
  <si>
    <t>Q5VWJ9_SNX30</t>
  </si>
  <si>
    <t>Q5VWP2_FAM46C</t>
  </si>
  <si>
    <t>Q5VWQ0_RSBN1</t>
  </si>
  <si>
    <t>Q5VWV2_PARD3</t>
  </si>
  <si>
    <t>Q5VWZ2_LYPLAL1</t>
  </si>
  <si>
    <t>Q5VY93_ARHGEF2</t>
  </si>
  <si>
    <t>Q5VZE5_NAA35</t>
  </si>
  <si>
    <t>Q5VZI3-2_C9orf91</t>
  </si>
  <si>
    <t>Q5VZL5-4_ZMYM4</t>
  </si>
  <si>
    <t>Q5VZR0_GLIPR2</t>
  </si>
  <si>
    <t>Q5VZU9_TPP2</t>
  </si>
  <si>
    <t>Q5VZZ6_CELF2</t>
  </si>
  <si>
    <t>Q5W0A2_ITM2B</t>
  </si>
  <si>
    <t>Q5W0V3_FAM160B1</t>
  </si>
  <si>
    <t>Q5W111-2_SPRYD7</t>
  </si>
  <si>
    <t>Q5W145_NDUFB8</t>
  </si>
  <si>
    <t>Q5XKP0_QIL1</t>
  </si>
  <si>
    <t>Q5XPI4_RNF123</t>
  </si>
  <si>
    <t>Q5XUX1-3_FBXW9</t>
  </si>
  <si>
    <t>Q63HN8_RNF213</t>
  </si>
  <si>
    <t>Q643R3_LPCAT4</t>
  </si>
  <si>
    <t>Q658P3-3_STEAP3</t>
  </si>
  <si>
    <t>Q66GS9_CEP135</t>
  </si>
  <si>
    <t>Q66K14-2_TBC1D9B</t>
  </si>
  <si>
    <t>Q66K64_DCAF15</t>
  </si>
  <si>
    <t>Q66LE6_PPP2R2D</t>
  </si>
  <si>
    <t>Q66PJ3_ARL6IP4</t>
  </si>
  <si>
    <t>Q66S35_PFKFB4</t>
  </si>
  <si>
    <t>Q674X7-3_KAZN</t>
  </si>
  <si>
    <t>Q68CQ4_DIEXF</t>
  </si>
  <si>
    <t>Q68D10-2_SPTY2D1</t>
  </si>
  <si>
    <t>Q68D85_NCR3LG1</t>
  </si>
  <si>
    <t>Q68D91_MBLAC2</t>
  </si>
  <si>
    <t>Q68DH5_LMBRD2</t>
  </si>
  <si>
    <t>Q68DM5_DKFZp781L1143</t>
  </si>
  <si>
    <t>Q68E01-2_INTS3</t>
  </si>
  <si>
    <t>Q68EM7-6_ARHGAP17</t>
  </si>
  <si>
    <t>Q69YH5_CDCA2</t>
  </si>
  <si>
    <t>Q69YL0_</t>
  </si>
  <si>
    <t>Q69YM1_DKFZp762C0813</t>
  </si>
  <si>
    <t>Q69YN2_CWF19L1</t>
  </si>
  <si>
    <t>Q69YN4-3_KIAA1429</t>
  </si>
  <si>
    <t>Q69YQ0-2_SPECC1L</t>
  </si>
  <si>
    <t>Q69YU5_C12orf73</t>
  </si>
  <si>
    <t>Q6AI08_HEATR6</t>
  </si>
  <si>
    <t>Q6AI12_ANKRD40</t>
  </si>
  <si>
    <t>Q6BCY4-2_CYB5R2</t>
  </si>
  <si>
    <t>Q6BDS2_UHRF1BP1</t>
  </si>
  <si>
    <t>Q6DD87_ZNF787</t>
  </si>
  <si>
    <t>Q6DD88_ATL3</t>
  </si>
  <si>
    <t>Q6DHV7_ADAL</t>
  </si>
  <si>
    <t>Q6DKK2_TTC19</t>
  </si>
  <si>
    <t>Q6DT37_CDC42BPG</t>
  </si>
  <si>
    <t>Q6EEV4-2_POLR2M</t>
  </si>
  <si>
    <t>Q6EMK4_VASN</t>
  </si>
  <si>
    <t>Q6FI81_CIAPIN1</t>
  </si>
  <si>
    <t>Q6FIF0-2_ZFAND6</t>
  </si>
  <si>
    <t>Q6GMV2_SMYD5</t>
  </si>
  <si>
    <t>Q6GMV3_PTRHD1</t>
  </si>
  <si>
    <t>Q6GQQ9_OTUD7B</t>
  </si>
  <si>
    <t>Q6I9Y2_THOC7</t>
  </si>
  <si>
    <t>Q6IA69_NADSYN1</t>
  </si>
  <si>
    <t>Q6IA86-3_ELP2</t>
  </si>
  <si>
    <t>Q6IAA8_LAMTOR1</t>
  </si>
  <si>
    <t>Q6IAN0_DHRS7B</t>
  </si>
  <si>
    <t>Q6IBS0_TWF2</t>
  </si>
  <si>
    <t>Q6IBW4-2_NCAPH2</t>
  </si>
  <si>
    <t>Q6IC98_GRAMD4</t>
  </si>
  <si>
    <t>Q6ICB0_DESI1</t>
  </si>
  <si>
    <t>Q6IN84_MRM1</t>
  </si>
  <si>
    <t>Q6IN85_SMEK1</t>
  </si>
  <si>
    <t>Q6IPR3_TYW3</t>
  </si>
  <si>
    <t>Q6IQ22_RAB12</t>
  </si>
  <si>
    <t>Q6IQ49-2_SDE2</t>
  </si>
  <si>
    <t>Q6J164_GRM5</t>
  </si>
  <si>
    <t>Q6JHV3_USP3</t>
  </si>
  <si>
    <t>Q6KC79-2_NIPBL</t>
  </si>
  <si>
    <t>Q6KCM7_SLC25A25</t>
  </si>
  <si>
    <t>Q6N063_OGFOD2</t>
  </si>
  <si>
    <t>Q6N069_NAA16</t>
  </si>
  <si>
    <t>Q6NSH3_CT45A5</t>
  </si>
  <si>
    <t>Q6NT16_SLC18B1</t>
  </si>
  <si>
    <t>Q6NTE8_C5orf45</t>
  </si>
  <si>
    <t>Q6NUK1_SLC25A24</t>
  </si>
  <si>
    <t>Q6NUK4-2_REEP3</t>
  </si>
  <si>
    <t>Q6NUM9_RETSAT</t>
  </si>
  <si>
    <t>Q6NUQ1_RINT1</t>
  </si>
  <si>
    <t>Q6NUQ4-2_TMEM214</t>
  </si>
  <si>
    <t>Q6NVH7_SWSAP1</t>
  </si>
  <si>
    <t>Q6NVY1_HIBCH</t>
  </si>
  <si>
    <t>Q6NXE6-2_ARMC6</t>
  </si>
  <si>
    <t>Q6NXT1_ANKRD54</t>
  </si>
  <si>
    <t>Q6NXT6_TAPT1</t>
  </si>
  <si>
    <t>Q6NYC8_PPP1R18</t>
  </si>
  <si>
    <t>Q6NZI2_PTRF</t>
  </si>
  <si>
    <t>Q6NZY4_ZCCHC8</t>
  </si>
  <si>
    <t>Q6P087-2_RPUSD3</t>
  </si>
  <si>
    <t>Q6P161_MRPL54</t>
  </si>
  <si>
    <t>Q6P1J9_CDC73</t>
  </si>
  <si>
    <t>Q6P1K2-4_PMF1</t>
  </si>
  <si>
    <t>Q6P1K8_GTF2H2C</t>
  </si>
  <si>
    <t>Q6P1L8_MRPL14</t>
  </si>
  <si>
    <t>Q6P1M0_SLC27A4</t>
  </si>
  <si>
    <t>Q6P1N0-2_CC2D1A</t>
  </si>
  <si>
    <t>Q6P1Q9_METTL2B</t>
  </si>
  <si>
    <t>Q6P1R4_DUS1L</t>
  </si>
  <si>
    <t>Q6P2C8-2_MED27</t>
  </si>
  <si>
    <t>Q6P2E9_EDC4</t>
  </si>
  <si>
    <t>Q6P2H3-2_CEP85</t>
  </si>
  <si>
    <t>Q6P2P2_PRMT10</t>
  </si>
  <si>
    <t>Q6P2Q9_PRPF8</t>
  </si>
  <si>
    <t>Q6P3S1-5_DENND1B</t>
  </si>
  <si>
    <t>Q6P3S6_FBXO42</t>
  </si>
  <si>
    <t>Q6P3W7_SCYL2</t>
  </si>
  <si>
    <t>Q6P3X3_TTC27</t>
  </si>
  <si>
    <t>Q6P444_MTFR2</t>
  </si>
  <si>
    <t>Q6P4A7_SFXN4</t>
  </si>
  <si>
    <t>Q6P4A8_PLBD1</t>
  </si>
  <si>
    <t>Q6P4E1_CASC4</t>
  </si>
  <si>
    <t>Q6P4F2_FDX1L</t>
  </si>
  <si>
    <t>Q6P4I2_WDR73</t>
  </si>
  <si>
    <t>Q6P582_MZT2A</t>
  </si>
  <si>
    <t>Q6P587_FAHD1</t>
  </si>
  <si>
    <t>Q6P5X5_C22orf39</t>
  </si>
  <si>
    <t>Q6P5Z2_PKN3</t>
  </si>
  <si>
    <t>Q6P6B7-2_ANKRD16</t>
  </si>
  <si>
    <t>Q6P6C2-3_ALKBH5</t>
  </si>
  <si>
    <t>Q6P9B6_KIAA1609</t>
  </si>
  <si>
    <t>Q6P9B9_INTS5</t>
  </si>
  <si>
    <t>Q6P9F7_LRRC8B</t>
  </si>
  <si>
    <t>Q6PCB5_RSBN1L</t>
  </si>
  <si>
    <t>Q6PCE3_PGM2L1</t>
  </si>
  <si>
    <t>Q6PD62_CTR9</t>
  </si>
  <si>
    <t>Q6PD74_AAGAB</t>
  </si>
  <si>
    <t>Q6PGN9-2_PSRC1</t>
  </si>
  <si>
    <t>Q6PHR2-3_ULK3</t>
  </si>
  <si>
    <t>Q6PI48_DARS2</t>
  </si>
  <si>
    <t>Q6PII3_CCDC174</t>
  </si>
  <si>
    <t>Q6PII5-2_HAGHL</t>
  </si>
  <si>
    <t>Q6PIJ6-2_FBXO38</t>
  </si>
  <si>
    <t>Q6PIW4-2_FIGNL1</t>
  </si>
  <si>
    <t>Q6PJ61_FBXO46</t>
  </si>
  <si>
    <t>Q6PJ69_TRIM65</t>
  </si>
  <si>
    <t>Q6PJG6_BRAT1</t>
  </si>
  <si>
    <t>Q6PJT7-5_ZC3H14</t>
  </si>
  <si>
    <t>Q6PJW8_CNST</t>
  </si>
  <si>
    <t>Q6PK18_OGFOD3</t>
  </si>
  <si>
    <t>Q6PKC3-2_TXNDC11</t>
  </si>
  <si>
    <t>Q6PKG0_LARP1</t>
  </si>
  <si>
    <t>Q6PL24_TMED8</t>
  </si>
  <si>
    <t>Q6PML9_SLC30A9</t>
  </si>
  <si>
    <t>Q6QNY0_BLOC1S3</t>
  </si>
  <si>
    <t>Q6QNY1_BLOC1S2</t>
  </si>
  <si>
    <t>Q6R327_RICTOR</t>
  </si>
  <si>
    <t>Q6RFH5-2_WDR74</t>
  </si>
  <si>
    <t>Q6RW13_AGTRAP</t>
  </si>
  <si>
    <t>Q6SPF0_SAMD1</t>
  </si>
  <si>
    <t>Q6UB28_METAP1D</t>
  </si>
  <si>
    <t>Q6UB35_MTHFD1L</t>
  </si>
  <si>
    <t>Q6ULP2-5_AFTPH</t>
  </si>
  <si>
    <t>Q6UN15-5_FIP1L1</t>
  </si>
  <si>
    <t>Q6UW56_ATRAID</t>
  </si>
  <si>
    <t>Q6UW63_KDELC1</t>
  </si>
  <si>
    <t>Q6UW78_C11orf83</t>
  </si>
  <si>
    <t>Q6UWB1_IL27RA</t>
  </si>
  <si>
    <t>Q6UWE0_LRSAM1</t>
  </si>
  <si>
    <t>Q6UWP2_DHRS11</t>
  </si>
  <si>
    <t>Q6UWP7-3_LCLAT1</t>
  </si>
  <si>
    <t>Q6UWS5_PET117</t>
  </si>
  <si>
    <t>Q6UWU4_C6orf89</t>
  </si>
  <si>
    <t>Q6UX04_CWC27</t>
  </si>
  <si>
    <t>Q6UX07_DHRS13</t>
  </si>
  <si>
    <t>Q6UXH1-4_CRELD2</t>
  </si>
  <si>
    <t>Q6UXN9_WDR82</t>
  </si>
  <si>
    <t>Q6UXV4_APOOL</t>
  </si>
  <si>
    <t>Q6UY14-2_ADAMTSL4</t>
  </si>
  <si>
    <t>Q6VMQ6-2_ATF7IP</t>
  </si>
  <si>
    <t>Q6VY07_PACS1</t>
  </si>
  <si>
    <t>Q6W2J9-4_BCOR</t>
  </si>
  <si>
    <t>Q6WKZ4_RAB11FIP1</t>
  </si>
  <si>
    <t>Q6XQN6_NAPRT1</t>
  </si>
  <si>
    <t>Q6XR72_SLC30A10</t>
  </si>
  <si>
    <t>Q6Y7W6-4_GIGYF2</t>
  </si>
  <si>
    <t>Q6YHU6-3_THADA</t>
  </si>
  <si>
    <t>Q6YN16_HSDL2</t>
  </si>
  <si>
    <t>Q6YP21-3_CCBL2</t>
  </si>
  <si>
    <t>Q6ZN04_MEX3B</t>
  </si>
  <si>
    <t>Q6ZN17_LIN28B</t>
  </si>
  <si>
    <t>Q6ZN18-2_AEBP2</t>
  </si>
  <si>
    <t>Q6ZNA5_FRRS1</t>
  </si>
  <si>
    <t>Q6ZNB6_NFXL1</t>
  </si>
  <si>
    <t>Q6ZNJ1-2_NBEAL2</t>
  </si>
  <si>
    <t>Q6ZNW5_GDPGP1</t>
  </si>
  <si>
    <t>Q6ZPD9_DPY19L3</t>
  </si>
  <si>
    <t>Q6ZRP7_QSOX2</t>
  </si>
  <si>
    <t>Q6ZRS2-3_SRCAP</t>
  </si>
  <si>
    <t>Q6ZS17-2_FAM65A</t>
  </si>
  <si>
    <t>Q6ZSJ8_C1orf122</t>
  </si>
  <si>
    <t>Q6ZT12_UBR3</t>
  </si>
  <si>
    <t>Q6ZT62_SH3BP1</t>
  </si>
  <si>
    <t>Q6ZV70-2_LANCL3</t>
  </si>
  <si>
    <t>Q6ZW49-4_PAXIP1</t>
  </si>
  <si>
    <t>Q6ZWT7_MBOAT2</t>
  </si>
  <si>
    <t>Q6ZXV5-2_TMTC3</t>
  </si>
  <si>
    <t>Q6ZYL4_GTF2H5</t>
  </si>
  <si>
    <t>Q709C8-3_VPS13C</t>
  </si>
  <si>
    <t>Q70CQ2_USP34</t>
  </si>
  <si>
    <t>Q70IA6_MOB2</t>
  </si>
  <si>
    <t>Q70J99_UNC13D</t>
  </si>
  <si>
    <t>Q70UQ0_IKBIP</t>
  </si>
  <si>
    <t>Q70UQ0-4_IKBIP</t>
  </si>
  <si>
    <t>Q70Z53-2_FRA10AC1</t>
  </si>
  <si>
    <t>Q712K3_UBE2R2</t>
  </si>
  <si>
    <t>Q71RC2-5_LARP4</t>
  </si>
  <si>
    <t>Q71SY5-5_MED25</t>
  </si>
  <si>
    <t>Q71TU5_CSNK1A1</t>
  </si>
  <si>
    <t>Q71UI9_H2AFV</t>
  </si>
  <si>
    <t>Q765P7_MTSS1L</t>
  </si>
  <si>
    <t>Q7KYR7-5_BTN2A1</t>
  </si>
  <si>
    <t>Q7KZ85_SUPT6H</t>
  </si>
  <si>
    <t>Q7KZ85-2_SUPT6H</t>
  </si>
  <si>
    <t>Q7KZF4_SND1</t>
  </si>
  <si>
    <t>Q7KZN9-2_COX15</t>
  </si>
  <si>
    <t>Q7L014_DDX46</t>
  </si>
  <si>
    <t>Q7L099-2_RUFY3</t>
  </si>
  <si>
    <t>Q7L099-4_RUFY3</t>
  </si>
  <si>
    <t>Q7L0Y3_TRMT10C</t>
  </si>
  <si>
    <t>Q7L1Q6_BZW1</t>
  </si>
  <si>
    <t>Q7L1T6_CYB5R4</t>
  </si>
  <si>
    <t>Q7L1W4_LRRC8D</t>
  </si>
  <si>
    <t>Q7L266_ASRGL1</t>
  </si>
  <si>
    <t>Q7L273_KCTD9</t>
  </si>
  <si>
    <t>Q7L2H7_EIF3M</t>
  </si>
  <si>
    <t>Q7L2J0_MEPCE</t>
  </si>
  <si>
    <t>Q7L3V2_BOP</t>
  </si>
  <si>
    <t>Q7L4I2_RSRC2</t>
  </si>
  <si>
    <t>Q7L523_RRAGA</t>
  </si>
  <si>
    <t>Q7L576_CYFIP1</t>
  </si>
  <si>
    <t>Q7L592_NDUFAF7</t>
  </si>
  <si>
    <t>Q7L5D6_GET4</t>
  </si>
  <si>
    <t>Q7L5Y1_ENOSF1</t>
  </si>
  <si>
    <t>Q7L5Y9_MAEA</t>
  </si>
  <si>
    <t>Q7L775_EPM2AIP1</t>
  </si>
  <si>
    <t>Q7L7X3_TAOK1</t>
  </si>
  <si>
    <t>Q7L8J4_SH3BP5L</t>
  </si>
  <si>
    <t>Q7L8L6_FASTKD5</t>
  </si>
  <si>
    <t>Q7L8W6_ATPBD4</t>
  </si>
  <si>
    <t>Q7LBC6_KDM3B</t>
  </si>
  <si>
    <t>Q7LBR1_CHMP1B</t>
  </si>
  <si>
    <t>Q7LG56_RRM2B</t>
  </si>
  <si>
    <t>Q7LGA3_HS2ST1</t>
  </si>
  <si>
    <t>Q7RTP6_MICAL3</t>
  </si>
  <si>
    <t>Q7RTV0_PHF5A</t>
  </si>
  <si>
    <t>Q7Z2E3-3_APTX</t>
  </si>
  <si>
    <t>Q7Z2K8_GPRIN1</t>
  </si>
  <si>
    <t>Q7Z2T5_TRMT1L</t>
  </si>
  <si>
    <t>Q7Z2W4_ZC3HAV1</t>
  </si>
  <si>
    <t>Q7Z2Z2_EFTUD1</t>
  </si>
  <si>
    <t>Q7Z333-3_SETX</t>
  </si>
  <si>
    <t>Q7Z372_DKFZp686N07218</t>
  </si>
  <si>
    <t>Q7Z392-4_TRAPPC11</t>
  </si>
  <si>
    <t>Q7Z3B3_KANSL1</t>
  </si>
  <si>
    <t>Q7Z3C6-2_ATG9A</t>
  </si>
  <si>
    <t>Q7Z3D4_LYSMD3</t>
  </si>
  <si>
    <t>Q7Z3E2_C10orf118</t>
  </si>
  <si>
    <t>Q7Z3K3-5_POGZ</t>
  </si>
  <si>
    <t>Q7Z3T8_ZFYVE16</t>
  </si>
  <si>
    <t>Q7Z403_TMC6</t>
  </si>
  <si>
    <t>Q7Z417_NUFIP2</t>
  </si>
  <si>
    <t>Q7Z422-2_SZRD1</t>
  </si>
  <si>
    <t>Q7Z434_MAVS</t>
  </si>
  <si>
    <t>Q7Z451_AP2B1</t>
  </si>
  <si>
    <t>Q7Z460_CLASP1</t>
  </si>
  <si>
    <t>Q7Z478_DHX29</t>
  </si>
  <si>
    <t>Q7Z4F1_LRP10</t>
  </si>
  <si>
    <t>Q7Z4G1_COMMD6</t>
  </si>
  <si>
    <t>Q7Z4H3_HDDC2</t>
  </si>
  <si>
    <t>Q7Z4H7-3_HAUS6</t>
  </si>
  <si>
    <t>Q7Z4H8_KDELC2</t>
  </si>
  <si>
    <t>Q7Z4Q2_HEATR3</t>
  </si>
  <si>
    <t>Q7Z4V5_HDGFRP2</t>
  </si>
  <si>
    <t>Q7Z4W1_DCXR</t>
  </si>
  <si>
    <t>Q7Z5G4_GOLGA7</t>
  </si>
  <si>
    <t>Q7Z5H3-3_ARHGAP22</t>
  </si>
  <si>
    <t>Q7Z5K2_WAPAL</t>
  </si>
  <si>
    <t>Q7Z5L9-2_IRF2BP2</t>
  </si>
  <si>
    <t>Q7Z5U6_WDR53</t>
  </si>
  <si>
    <t>Q7Z5Y7_KCTD20</t>
  </si>
  <si>
    <t>Q7Z649_TMEM9B</t>
  </si>
  <si>
    <t>Q7Z650_MTHFD2</t>
  </si>
  <si>
    <t>Q7Z6B0-2_CCDC91</t>
  </si>
  <si>
    <t>Q7Z6E9_RBBP6</t>
  </si>
  <si>
    <t>Q7Z6I8_C5orf24</t>
  </si>
  <si>
    <t>Q7Z6J8_UBE3D</t>
  </si>
  <si>
    <t>Q7Z6J9_TSEN54</t>
  </si>
  <si>
    <t>Q7Z6K3_PTAR1</t>
  </si>
  <si>
    <t>Q7Z6L1_TECPR1</t>
  </si>
  <si>
    <t>Q7Z6M1_RABEPK</t>
  </si>
  <si>
    <t>Q7Z6M4_MTERFD2</t>
  </si>
  <si>
    <t>Q7Z6U0_TBPL1</t>
  </si>
  <si>
    <t>Q7Z6V5-2_ADAT2</t>
  </si>
  <si>
    <t>Q7Z6Z7-2_HUWE1</t>
  </si>
  <si>
    <t>Q7Z7A1-5_CNTRL</t>
  </si>
  <si>
    <t>Q7Z7A3_CTU1</t>
  </si>
  <si>
    <t>Q7Z7C8_TAF8</t>
  </si>
  <si>
    <t>Q7Z7E8_UBE2Q1</t>
  </si>
  <si>
    <t>Q7Z7F0-2_KIAA0907</t>
  </si>
  <si>
    <t>Q7Z7F7_MRPL55</t>
  </si>
  <si>
    <t>Q7Z7G8-2_VPS13B</t>
  </si>
  <si>
    <t>Q7Z7H5-3_TMED4</t>
  </si>
  <si>
    <t>Q7Z7K0_CMC1</t>
  </si>
  <si>
    <t>Q7Z7K6-3_CENPV</t>
  </si>
  <si>
    <t>Q7Z7M9_GALNT5</t>
  </si>
  <si>
    <t>Q7Z7N9_TMEM179B</t>
  </si>
  <si>
    <t>Q86SF2_GALNT7</t>
  </si>
  <si>
    <t>Q86SQ9-3_DHDDS</t>
  </si>
  <si>
    <t>Q86SX6_GLRX5</t>
  </si>
  <si>
    <t>Q86SZ2-2_TRAPPC6B</t>
  </si>
  <si>
    <t>Q86T03_TMEM55B</t>
  </si>
  <si>
    <t>Q86TA1_MOB3B</t>
  </si>
  <si>
    <t>Q86TB9-4_PATL1</t>
  </si>
  <si>
    <t>Q86TI2_DPP9</t>
  </si>
  <si>
    <t>Q86TN4_TRPT1</t>
  </si>
  <si>
    <t>Q86TP1_PRUNE</t>
  </si>
  <si>
    <t>Q86TU7_SETD3</t>
  </si>
  <si>
    <t>Q86TV6_TTC7B</t>
  </si>
  <si>
    <t>Q86U06-4_RBM23</t>
  </si>
  <si>
    <t>Q86U28_ISCA2</t>
  </si>
  <si>
    <t>Q86U38_NOP9</t>
  </si>
  <si>
    <t>Q86U44_METTL3</t>
  </si>
  <si>
    <t>Q86U70-3_LDB1</t>
  </si>
  <si>
    <t>Q86U90_YRDC</t>
  </si>
  <si>
    <t>Q86UA1_PRPF39</t>
  </si>
  <si>
    <t>Q86UD0_SAPCD2</t>
  </si>
  <si>
    <t>Q86UE4_MTDH</t>
  </si>
  <si>
    <t>Q86UE8-2_TLK2</t>
  </si>
  <si>
    <t>Q86UK7-2_ZNF598</t>
  </si>
  <si>
    <t>Q86UL3_AGPAT6</t>
  </si>
  <si>
    <t>Q86UP2_KTN1</t>
  </si>
  <si>
    <t>Q86US8_SMG6</t>
  </si>
  <si>
    <t>Q86UU0-3_BCL9L</t>
  </si>
  <si>
    <t>Q86UU1-2_PHLDB1</t>
  </si>
  <si>
    <t>Q86UV5_USP48</t>
  </si>
  <si>
    <t>Q86UX3_ABCC5</t>
  </si>
  <si>
    <t>Q86UX7-2_FERMT3</t>
  </si>
  <si>
    <t>Q86UY0_TXNDC5</t>
  </si>
  <si>
    <t>Q86UY5_FAM83A</t>
  </si>
  <si>
    <t>Q86UY6_NAA40</t>
  </si>
  <si>
    <t>Q86UY8-2_NT5DC3</t>
  </si>
  <si>
    <t>Q86V21_AACS</t>
  </si>
  <si>
    <t>Q86V48_LUZP1</t>
  </si>
  <si>
    <t>Q86VI3_IQGAP3</t>
  </si>
  <si>
    <t>Q86VN1-2_VPS36</t>
  </si>
  <si>
    <t>Q86VP6_CAND1</t>
  </si>
  <si>
    <t>Q86VQ1_GLCCI1</t>
  </si>
  <si>
    <t>Q86VQ3-2_TXNDC2</t>
  </si>
  <si>
    <t>Q86VR2_FAM134C</t>
  </si>
  <si>
    <t>Q86VS8_HOOK3</t>
  </si>
  <si>
    <t>Q86VU5_COMTD1</t>
  </si>
  <si>
    <t>Q86VX9_MON1A</t>
  </si>
  <si>
    <t>Q86W42_THOC6</t>
  </si>
  <si>
    <t>Q86W50_METTL16</t>
  </si>
  <si>
    <t>Q86W56_PARG</t>
  </si>
  <si>
    <t>Q86WA6-2_BPHL</t>
  </si>
  <si>
    <t>Q86WA8_LONP2</t>
  </si>
  <si>
    <t>Q86WH2_RASSF3</t>
  </si>
  <si>
    <t>Q86WJ1_CHD1L</t>
  </si>
  <si>
    <t>Q86WQ0_NR2C2AP</t>
  </si>
  <si>
    <t>Q86WR0_CCDC25</t>
  </si>
  <si>
    <t>Q86WR7_PROSER2</t>
  </si>
  <si>
    <t>Q86WV6_TMEM173</t>
  </si>
  <si>
    <t>Q86WV7_CCDC43</t>
  </si>
  <si>
    <t>Q86WX3_RPS19BP1</t>
  </si>
  <si>
    <t>Q86X02_CDR2L</t>
  </si>
  <si>
    <t>Q86X29-3_LSR</t>
  </si>
  <si>
    <t>Q86X53_ERICH1</t>
  </si>
  <si>
    <t>Q86X55-1_CARM1</t>
  </si>
  <si>
    <t>Q86X76-2_NIT1</t>
  </si>
  <si>
    <t>Q86X83_COMMD2</t>
  </si>
  <si>
    <t>Q86XP3_DDX42</t>
  </si>
  <si>
    <t>Q86XZ4_SPATS2</t>
  </si>
  <si>
    <t>Q86Y07_VRK2</t>
  </si>
  <si>
    <t>Q86Y37-4_CACUL1</t>
  </si>
  <si>
    <t>Q86Y56_HEATR2</t>
  </si>
  <si>
    <t>Q86Y79_PTRH1</t>
  </si>
  <si>
    <t>Q86Y82_STX12</t>
  </si>
  <si>
    <t>Q86YH2_ZNF280B</t>
  </si>
  <si>
    <t>Q86YH6_PDSS2</t>
  </si>
  <si>
    <t>Q86YM7_HOMER1</t>
  </si>
  <si>
    <t>Q86YN1-2_DOLPP1</t>
  </si>
  <si>
    <t>Q86YP4_GATAD2A</t>
  </si>
  <si>
    <t>Q86YQ8_CPNE8</t>
  </si>
  <si>
    <t>Q86YS3_RAB11FIP4</t>
  </si>
  <si>
    <t>Q86YS7_C2CD5</t>
  </si>
  <si>
    <t>Q86YT6_MIB1</t>
  </si>
  <si>
    <t>Q8IU81_IRF2BP1</t>
  </si>
  <si>
    <t>Q8IUF8_MINA</t>
  </si>
  <si>
    <t>Q8IUH3-3_RBM45</t>
  </si>
  <si>
    <t>Q8IUI8_CRLF3</t>
  </si>
  <si>
    <t>Q8IUR0_TRAPPC5</t>
  </si>
  <si>
    <t>Q8IUX1-4_TMEM126B</t>
  </si>
  <si>
    <t>Q8IV08_PLD3</t>
  </si>
  <si>
    <t>Q8IV38_ANKMY2</t>
  </si>
  <si>
    <t>Q8IV48_ERI1</t>
  </si>
  <si>
    <t>Q8IV50_LYSMD2</t>
  </si>
  <si>
    <t>Q8IV63-3_VRK3</t>
  </si>
  <si>
    <t>Q8IVB5_LIX1L</t>
  </si>
  <si>
    <t>Q8IVD9_NUDCD3</t>
  </si>
  <si>
    <t>Q8IVH8-3_MAP4K3</t>
  </si>
  <si>
    <t>Q8IVM0_CCDC50</t>
  </si>
  <si>
    <t>Q8IVM0-2_CCDC50</t>
  </si>
  <si>
    <t>Q8IVS2_MCAT</t>
  </si>
  <si>
    <t>Q8IVW6-4_ARID3B</t>
  </si>
  <si>
    <t>Q8IW45_CARKD</t>
  </si>
  <si>
    <t>Q8IWA0_WDR75</t>
  </si>
  <si>
    <t>Q8IWB1_ITPRIP</t>
  </si>
  <si>
    <t>Q8IWB7_WDFY1</t>
  </si>
  <si>
    <t>Q8IWB9_TEX2</t>
  </si>
  <si>
    <t>Q8IWC1-2_MAP7D3</t>
  </si>
  <si>
    <t>Q8IWD4_CCDC117</t>
  </si>
  <si>
    <t>Q8IWE4_DCUN1D3</t>
  </si>
  <si>
    <t>Q8IWF6_DENND6A</t>
  </si>
  <si>
    <t>Q8IWJ2_GCC2</t>
  </si>
  <si>
    <t>Q8IWL3_HSCB</t>
  </si>
  <si>
    <t>Q8IWP9_CCDC28A</t>
  </si>
  <si>
    <t>Q8IWR0_ZC3H7A</t>
  </si>
  <si>
    <t>Q8IWS0_PHF6</t>
  </si>
  <si>
    <t>Q8IWT6_LRRC8A</t>
  </si>
  <si>
    <t>Q8IWU2_LMTK2</t>
  </si>
  <si>
    <t>Q8IWV7_UBR1</t>
  </si>
  <si>
    <t>Q8IWV8-4_UBR2</t>
  </si>
  <si>
    <t>Q8IWW6-2_ARHGAP12</t>
  </si>
  <si>
    <t>Q8IWY9-1_CDAN1</t>
  </si>
  <si>
    <t>Q8IWZ3_ANKHD1</t>
  </si>
  <si>
    <t>Q8IWZ8_SUGP1</t>
  </si>
  <si>
    <t>Q8IX07_ZFPM1</t>
  </si>
  <si>
    <t>Q8IX12-2_CCAR1</t>
  </si>
  <si>
    <t>Q8IX15_HOMEZ</t>
  </si>
  <si>
    <t>Q8IX18-3_DHX40</t>
  </si>
  <si>
    <t>Q8IX90_SKA3</t>
  </si>
  <si>
    <t>Q8IXB1_DNAJC10</t>
  </si>
  <si>
    <t>Q8IXI1_RHOT2</t>
  </si>
  <si>
    <t>Q8IXI2-2_RHOT1</t>
  </si>
  <si>
    <t>Q8IXJ6-2_SIRT2</t>
  </si>
  <si>
    <t>Q8IXJ9-2_ASXL1</t>
  </si>
  <si>
    <t>Q8IXK2_GALNT12</t>
  </si>
  <si>
    <t>Q8IXM6-2_NRM</t>
  </si>
  <si>
    <t>Q8IXQ3_C9orf40</t>
  </si>
  <si>
    <t>Q8IXQ4_KIAA1704</t>
  </si>
  <si>
    <t>Q8IXS8_FAM126B</t>
  </si>
  <si>
    <t>Q8IXW5_RPAP2</t>
  </si>
  <si>
    <t>Q8IY17-3_PNPLA6</t>
  </si>
  <si>
    <t>Q8IY18_SMC5</t>
  </si>
  <si>
    <t>Q8IY22-3_CMIP</t>
  </si>
  <si>
    <t>Q8IY33_MICALL2</t>
  </si>
  <si>
    <t>Q8IY37_DHX37</t>
  </si>
  <si>
    <t>Q8IY47_KBTBD2</t>
  </si>
  <si>
    <t>Q8IY63-2_AMOTL1</t>
  </si>
  <si>
    <t>Q8IY95-2_TMEM192</t>
  </si>
  <si>
    <t>Q8IYB5-3_SMAP1</t>
  </si>
  <si>
    <t>Q8IYB7_DIS3L2</t>
  </si>
  <si>
    <t>Q8IYB8_SUPV3L1</t>
  </si>
  <si>
    <t>Q8IYB9_ZNF595</t>
  </si>
  <si>
    <t>Q8IYD1_GSPT2</t>
  </si>
  <si>
    <t>Q8IYH5-4_ZZZ3</t>
  </si>
  <si>
    <t>Q8IYI6_EXOC8</t>
  </si>
  <si>
    <t>Q8IYK4_COLGALT2</t>
  </si>
  <si>
    <t>Q8IYL3_C1orf174</t>
  </si>
  <si>
    <t>Q8IYN2_TCEAL8</t>
  </si>
  <si>
    <t>Q8IYQ7_THNSL1</t>
  </si>
  <si>
    <t>Q8IYS2_KIAA2013</t>
  </si>
  <si>
    <t>Q8IYT2_FTSJD1</t>
  </si>
  <si>
    <t>Q8IYU8_MICU2</t>
  </si>
  <si>
    <t>Q8IZ07_ANKRD13A</t>
  </si>
  <si>
    <t>Q8IZ21-3_PHACTR4</t>
  </si>
  <si>
    <t>Q8IZ52_CHPF</t>
  </si>
  <si>
    <t>Q8IZ68_MTX2</t>
  </si>
  <si>
    <t>Q8IZ73_RPUSD2</t>
  </si>
  <si>
    <t>Q8IZ83_ALDH16A1</t>
  </si>
  <si>
    <t>Q8IZE3-2_SCYL3</t>
  </si>
  <si>
    <t>Q8IZH2-2_XRN1</t>
  </si>
  <si>
    <t>Q8IZQ5_SELH</t>
  </si>
  <si>
    <t>Q8IZR5-3_CMTM4</t>
  </si>
  <si>
    <t>Q8IZV5_RDH10</t>
  </si>
  <si>
    <t>Q8N0T1_C8orf59</t>
  </si>
  <si>
    <t>Q8N0U8_VKORC1L1</t>
  </si>
  <si>
    <t>Q8N0W3_FUK</t>
  </si>
  <si>
    <t>Q8N0X7_SPG20</t>
  </si>
  <si>
    <t>Q8N108-17_MIER1</t>
  </si>
  <si>
    <t>Q8N129_CNPY4</t>
  </si>
  <si>
    <t>Q8N137-4_CNTROB</t>
  </si>
  <si>
    <t>Q8N142_ADSSL1</t>
  </si>
  <si>
    <t>Q8N157-2_AHI1</t>
  </si>
  <si>
    <t>Q8N163_KIAA1967</t>
  </si>
  <si>
    <t>Q8N183_NDUFAF2</t>
  </si>
  <si>
    <t>Q8N1B4_VPS52</t>
  </si>
  <si>
    <t>Q8N1F7_NUP93</t>
  </si>
  <si>
    <t>Q8N1G0_ZNF687</t>
  </si>
  <si>
    <t>Q8N1G1_REXO1</t>
  </si>
  <si>
    <t>Q8N1G2_FTSJD2</t>
  </si>
  <si>
    <t>Q8N1G4_LRRC47</t>
  </si>
  <si>
    <t>Q8N1Q1_CA13</t>
  </si>
  <si>
    <t>Q8N2A8_PLD6</t>
  </si>
  <si>
    <t>Q8N2F6-3_ARMC10</t>
  </si>
  <si>
    <t>Q8N2G8-3_GHDC</t>
  </si>
  <si>
    <t>Q8N2I9-3_STK40</t>
  </si>
  <si>
    <t>Q8N2K0_ABHD12</t>
  </si>
  <si>
    <t>Q8N2W9_PIAS4</t>
  </si>
  <si>
    <t>Q8N2Z9_APITD1</t>
  </si>
  <si>
    <t>Q8N300_CCDC23</t>
  </si>
  <si>
    <t>Q8N302-2_AGGF1</t>
  </si>
  <si>
    <t>Q8N335_GPD1L</t>
  </si>
  <si>
    <t>Q8N371_KDM8</t>
  </si>
  <si>
    <t>Q8N392_ARHGAP18</t>
  </si>
  <si>
    <t>Q8N3C0_ASCC3</t>
  </si>
  <si>
    <t>Q8N3D4_EHBP1L1</t>
  </si>
  <si>
    <t>Q8N3F8_MICALL1</t>
  </si>
  <si>
    <t>Q8N3X1_FNBP4</t>
  </si>
  <si>
    <t>Q8N442_GUF1</t>
  </si>
  <si>
    <t>Q8N465_D2HGDH</t>
  </si>
  <si>
    <t>Q8N488_RYBP</t>
  </si>
  <si>
    <t>Q8N490-2_PNKD</t>
  </si>
  <si>
    <t>Q8N490-4_PNKD</t>
  </si>
  <si>
    <t>Q8N4B1-2_FAM109A</t>
  </si>
  <si>
    <t>Q8N4C8-5_MINK1</t>
  </si>
  <si>
    <t>Q8N4H5_TOMM5</t>
  </si>
  <si>
    <t>Q8N4N3-2_KLHL36</t>
  </si>
  <si>
    <t>Q8N4P3_HDDC3</t>
  </si>
  <si>
    <t>Q8N4Q0_ZADH2</t>
  </si>
  <si>
    <t>Q8N4Q1_CHCHD4</t>
  </si>
  <si>
    <t>Q8N4V1_MMGT1</t>
  </si>
  <si>
    <t>Q8N567_ZCCHC9</t>
  </si>
  <si>
    <t>Q8N573-2_OXR1</t>
  </si>
  <si>
    <t>Q8N573-8_OXR1</t>
  </si>
  <si>
    <t>Q8N5A5-3_ZGPAT</t>
  </si>
  <si>
    <t>Q8N5C6_SRBD1</t>
  </si>
  <si>
    <t>Q8N5C7_DTWD1</t>
  </si>
  <si>
    <t>Q8N5D0-4_WDTC1</t>
  </si>
  <si>
    <t>Q8N5F7_NKAP</t>
  </si>
  <si>
    <t>Q8N5G0-2_SMIM20</t>
  </si>
  <si>
    <t>Q8N5G2_TMEM57</t>
  </si>
  <si>
    <t>Q8N5I2_ARRDC1</t>
  </si>
  <si>
    <t>Q8N5I9_C12orf45</t>
  </si>
  <si>
    <t>Q8N5K1_CISD2</t>
  </si>
  <si>
    <t>Q8N5L8_RPP25L</t>
  </si>
  <si>
    <t>Q8N5M1_ATPAF2</t>
  </si>
  <si>
    <t>Q8N5M9_JAGN1</t>
  </si>
  <si>
    <t>Q8N5N7_MRPL50</t>
  </si>
  <si>
    <t>Q8N5P1_ZC3H8</t>
  </si>
  <si>
    <t>Q8N5W9_FAM101B</t>
  </si>
  <si>
    <t>Q8N612_FAM160A2</t>
  </si>
  <si>
    <t>Q8N653_LZTR1</t>
  </si>
  <si>
    <t>Q8N684-2_CPSF7</t>
  </si>
  <si>
    <t>Q8N697_SLC15A4</t>
  </si>
  <si>
    <t>Q8N6H7_ARFGAP2</t>
  </si>
  <si>
    <t>Q8N6M0_OTUD6B</t>
  </si>
  <si>
    <t>Q8N6N3_C1orf52</t>
  </si>
  <si>
    <t>Q8N6S5_ARL6IP6</t>
  </si>
  <si>
    <t>Q8N6T3_ARFGAP1</t>
  </si>
  <si>
    <t>Q8N766-3_EMC1</t>
  </si>
  <si>
    <t>Q8N806_UBR7</t>
  </si>
  <si>
    <t>Q8N8J7_C4orf32</t>
  </si>
  <si>
    <t>Q8N8N7_PTGR2</t>
  </si>
  <si>
    <t>Q8N8R5_C2orf69</t>
  </si>
  <si>
    <t>Q8N8R7_ARL14EP</t>
  </si>
  <si>
    <t>Q8N954_GPATCH11</t>
  </si>
  <si>
    <t>Q8N999-3_C12orf29</t>
  </si>
  <si>
    <t>Q8N9F7_GDPD1</t>
  </si>
  <si>
    <t>Q8N9M1-3_C19orf47</t>
  </si>
  <si>
    <t>Q8N9N7_LRRC57</t>
  </si>
  <si>
    <t>Q8N9Q2_SREK1IP1</t>
  </si>
  <si>
    <t>Q8N9V3-2_WDSUB1</t>
  </si>
  <si>
    <t>Q8N9Z2_CCDC71L</t>
  </si>
  <si>
    <t>Q8NA54-2_IQUB</t>
  </si>
  <si>
    <t>Q8NAF0_ZNF579</t>
  </si>
  <si>
    <t>Q8NAT1_GTDC2</t>
  </si>
  <si>
    <t>Q8NAV1_PRPF38A</t>
  </si>
  <si>
    <t>Q8NB15-2_ZNF511</t>
  </si>
  <si>
    <t>Q8NB37_PDDC1</t>
  </si>
  <si>
    <t>Q8NB46_ANKRD52</t>
  </si>
  <si>
    <t>Q8NB49-3_ATP11C</t>
  </si>
  <si>
    <t>Q8NB90_SPATA5</t>
  </si>
  <si>
    <t>Q8NBA8_DTWD2</t>
  </si>
  <si>
    <t>Q8NBF2_NHLRC2</t>
  </si>
  <si>
    <t>Q8NBF6_AVL9</t>
  </si>
  <si>
    <t>Q8NBI5_SLC43A3</t>
  </si>
  <si>
    <t>Q8NBI6_XXYLT1</t>
  </si>
  <si>
    <t>Q8NBJ5_COLGALT1</t>
  </si>
  <si>
    <t>Q8NBK3-4_SUMF1</t>
  </si>
  <si>
    <t>Q8NBL1_POGLUT1</t>
  </si>
  <si>
    <t>Q8NBM4-4_UBAC2</t>
  </si>
  <si>
    <t>Q8NBM8_PCYOX1L</t>
  </si>
  <si>
    <t>Q8NBN3_TMEM87A</t>
  </si>
  <si>
    <t>Q8NBN7_RDH13</t>
  </si>
  <si>
    <t>Q8NBU5_ATAD1</t>
  </si>
  <si>
    <t>Q8NBX0_SCCPDH</t>
  </si>
  <si>
    <t>Q8NBY1_MST4</t>
  </si>
  <si>
    <t>Q8NC51-2_SERBP1</t>
  </si>
  <si>
    <t>Q8NC56_LEMD2</t>
  </si>
  <si>
    <t>Q8NC60_NOA1</t>
  </si>
  <si>
    <t>Q8NC96_NECAP1</t>
  </si>
  <si>
    <t>Q8NCA5-2_FAM98A</t>
  </si>
  <si>
    <t>Q8NCC3_PLA2G15</t>
  </si>
  <si>
    <t>Q8NCE2-3_MTMR14</t>
  </si>
  <si>
    <t>Q8NCF5_NFATC2IP</t>
  </si>
  <si>
    <t>Q8NCH0_CHST14</t>
  </si>
  <si>
    <t>Q8NCL4_GALNT6</t>
  </si>
  <si>
    <t>Q8NCN4_RNF169</t>
  </si>
  <si>
    <t>Q8NCW5_APOA1BP</t>
  </si>
  <si>
    <t>Q8ND04_SMG8</t>
  </si>
  <si>
    <t>Q8ND24_RNF214</t>
  </si>
  <si>
    <t>Q8ND56-2_LSM14A</t>
  </si>
  <si>
    <t>Q8ND76_CCNY</t>
  </si>
  <si>
    <t>Q8NDC0_MAPK1IP1L</t>
  </si>
  <si>
    <t>Q8NDD1-2_C1orf131</t>
  </si>
  <si>
    <t>Q8NDD1-3_C1orf131</t>
  </si>
  <si>
    <t>Q8NDI1-3_EHBP1</t>
  </si>
  <si>
    <t>Q8NDZ4_C3orf58</t>
  </si>
  <si>
    <t>Q8NE01-2_CNNM3</t>
  </si>
  <si>
    <t>Q8NE71_ABCF1</t>
  </si>
  <si>
    <t>Q8NE86-3_MCU</t>
  </si>
  <si>
    <t>Q8NEB9_PIK3C3</t>
  </si>
  <si>
    <t>Q8NEC7_GSTCD</t>
  </si>
  <si>
    <t>Q8NEF9_SRFBP1</t>
  </si>
  <si>
    <t>Q8NEJ9-2_NGDN</t>
  </si>
  <si>
    <t>Q8NEM0-2_MCPH1</t>
  </si>
  <si>
    <t>Q8NEM2_SHCBP1</t>
  </si>
  <si>
    <t>Q8NEN9_PDZD8</t>
  </si>
  <si>
    <t>Q8NEY1-7_NAV1</t>
  </si>
  <si>
    <t>Q8NEZ2-2_VPS37A</t>
  </si>
  <si>
    <t>Q8NEZ4_MLL3</t>
  </si>
  <si>
    <t>Q8NEZ5_FBXO22</t>
  </si>
  <si>
    <t>Q8NF37_LPCAT1</t>
  </si>
  <si>
    <t>Q8NF50-4_DOCK8</t>
  </si>
  <si>
    <t>Q8NFA0_USP32</t>
  </si>
  <si>
    <t>Q8NFC6_BOD1L1</t>
  </si>
  <si>
    <t>Q8NFF5-2_FLAD1</t>
  </si>
  <si>
    <t>Q8NFG4_FLCN</t>
  </si>
  <si>
    <t>Q8NFH3_NUP43</t>
  </si>
  <si>
    <t>Q8NFH4_NUP37</t>
  </si>
  <si>
    <t>Q8NFI3_ENGASE</t>
  </si>
  <si>
    <t>Q8NFQ8_TOR1AIP2</t>
  </si>
  <si>
    <t>Q8NFV4_ABHD11</t>
  </si>
  <si>
    <t>Q8NFW8_CMAS</t>
  </si>
  <si>
    <t>Q8NFY9_KBTBD8</t>
  </si>
  <si>
    <t>Q8NFZ0_FBXO18</t>
  </si>
  <si>
    <t>Q8NG08_HELB</t>
  </si>
  <si>
    <t>Q8NG11-2_TSPAN14</t>
  </si>
  <si>
    <t>Q8NG68_TTL</t>
  </si>
  <si>
    <t>Q8NGC4_OR10G3</t>
  </si>
  <si>
    <t>Q8NHG7_SVIP</t>
  </si>
  <si>
    <t>Q8NHG8_ZNRF2</t>
  </si>
  <si>
    <t>Q8NHH9_ATL2</t>
  </si>
  <si>
    <t>Q8NHP8_PLBD2</t>
  </si>
  <si>
    <t>Q8NHU6-2_TDRD7</t>
  </si>
  <si>
    <t>Q8NHV1_GIMAP7</t>
  </si>
  <si>
    <t>Q8NHV4-2_NEDD1</t>
  </si>
  <si>
    <t>Q8NHZ8_CDC26</t>
  </si>
  <si>
    <t>Q8NI22-2_MCFD2</t>
  </si>
  <si>
    <t>Q8NI27_THOC2</t>
  </si>
  <si>
    <t>Q8NI36_WDR36</t>
  </si>
  <si>
    <t>Q8TA86_RP9</t>
  </si>
  <si>
    <t>Q8TAA5_GRPEL2</t>
  </si>
  <si>
    <t>Q8TAA9-2_VANGL1</t>
  </si>
  <si>
    <t>Q8TAC1_RFESD</t>
  </si>
  <si>
    <t>Q8TAD8_SNIP1</t>
  </si>
  <si>
    <t>Q8TAE8_GADD45GIP1</t>
  </si>
  <si>
    <t>Q8TAF3_WDR48</t>
  </si>
  <si>
    <t>Q8TAG9_EXOC6</t>
  </si>
  <si>
    <t>Q8TAP6-2_CEP76</t>
  </si>
  <si>
    <t>Q8TAP8_PPP1R35</t>
  </si>
  <si>
    <t>Q8TAP9_MPLKIP</t>
  </si>
  <si>
    <t>Q8TAQ2_SMARCC2</t>
  </si>
  <si>
    <t>Q8TAT6_NPLOC4</t>
  </si>
  <si>
    <t>Q8TAV0_FAM76A</t>
  </si>
  <si>
    <t>Q8TB03_CXorf38</t>
  </si>
  <si>
    <t>Q8TB36-2_GDAP1</t>
  </si>
  <si>
    <t>Q8TB37_NUBPL</t>
  </si>
  <si>
    <t>Q8TB52_FBXO30</t>
  </si>
  <si>
    <t>Q8TB61-3_SLC35B2</t>
  </si>
  <si>
    <t>Q8TB70_TXNDC9</t>
  </si>
  <si>
    <t>Q8TBA6-2_GOLGA5</t>
  </si>
  <si>
    <t>Q8TBB5-3_KLHDC4</t>
  </si>
  <si>
    <t>Q8TBC4_UBA3</t>
  </si>
  <si>
    <t>Q8TBE0-3_BAHD1</t>
  </si>
  <si>
    <t>Q8TBE9_NANP</t>
  </si>
  <si>
    <t>Q8TBM8-2_DNAJB14</t>
  </si>
  <si>
    <t>Q8TBN0_RAB3IL1</t>
  </si>
  <si>
    <t>Q8TBP6_SLC25A40</t>
  </si>
  <si>
    <t>Q8TBX8_PIP4K2C</t>
  </si>
  <si>
    <t>Q8TBZ3_WDR20</t>
  </si>
  <si>
    <t>Q8TBZ6_TRMT10A</t>
  </si>
  <si>
    <t>Q8TC07-2_TBC1D15</t>
  </si>
  <si>
    <t>Q8TC12_RDH11</t>
  </si>
  <si>
    <t>Q8TCA0_LRRC20</t>
  </si>
  <si>
    <t>Q8TCD1_C18orf32</t>
  </si>
  <si>
    <t>Q8TCD5_NT5C</t>
  </si>
  <si>
    <t>Q8TCG1_KIAA1524</t>
  </si>
  <si>
    <t>Q8TCG2_PI4K2B</t>
  </si>
  <si>
    <t>Q8TCJ2_STT3B</t>
  </si>
  <si>
    <t>Q8TCS8_PNPT1</t>
  </si>
  <si>
    <t>Q8TCT8_SPPL2A</t>
  </si>
  <si>
    <t>Q8TCT9-5_HM13</t>
  </si>
  <si>
    <t>Q8TCX1_DYNC2LI1</t>
  </si>
  <si>
    <t>Q8TCY9_URGCP</t>
  </si>
  <si>
    <t>Q8TD08-2_MAPK15</t>
  </si>
  <si>
    <t>Q8TD16_BICD2</t>
  </si>
  <si>
    <t>Q8TD19_NEK9</t>
  </si>
  <si>
    <t>Q8TD30_GPT2</t>
  </si>
  <si>
    <t>Q8TDD1_DDX54</t>
  </si>
  <si>
    <t>Q8TDH9_BLOC1S5</t>
  </si>
  <si>
    <t>Q8TDN6_BRIX1</t>
  </si>
  <si>
    <t>Q8TDQ7-3_GNPDA2</t>
  </si>
  <si>
    <t>Q8TDW0_LRRC8C</t>
  </si>
  <si>
    <t>Q8TDX7_NEK7</t>
  </si>
  <si>
    <t>Q8TDY2-2_RB1CC1</t>
  </si>
  <si>
    <t>Q8TDZ2_MICAL1</t>
  </si>
  <si>
    <t>Q8TEA1_NSUN6</t>
  </si>
  <si>
    <t>Q8TEA8_DTD1</t>
  </si>
  <si>
    <t>Q8TEB1-2_DCAF11</t>
  </si>
  <si>
    <t>Q8TEH3_DENND1A</t>
  </si>
  <si>
    <t>Q8TEM1_NUP210</t>
  </si>
  <si>
    <t>Q8TEQ6_GEMIN5</t>
  </si>
  <si>
    <t>Q8TEX9_IPO4</t>
  </si>
  <si>
    <t>Q8TEY7-3_USP33</t>
  </si>
  <si>
    <t>Q8TF01_PNISR</t>
  </si>
  <si>
    <t>Q8TF05-2_PPP4R1</t>
  </si>
  <si>
    <t>Q8TF46-2_DIS3L</t>
  </si>
  <si>
    <t>Q8TF64_GIPC3</t>
  </si>
  <si>
    <t>Q8TF74_WIPF2</t>
  </si>
  <si>
    <t>Q8WTS1_ABHD5</t>
  </si>
  <si>
    <t>Q8WTW3_COG1</t>
  </si>
  <si>
    <t>Q8WU40_CAMK2G</t>
  </si>
  <si>
    <t>Q8WU76-2_SCFD2</t>
  </si>
  <si>
    <t>Q8WU79_SMAP2</t>
  </si>
  <si>
    <t>Q8WU90_ZC3H15</t>
  </si>
  <si>
    <t>Q8WUA2_PPIL4</t>
  </si>
  <si>
    <t>Q8WUA4-2_GTF3C2</t>
  </si>
  <si>
    <t>Q8WUB8-3_PHF10</t>
  </si>
  <si>
    <t>Q8WUD1_RAB2B</t>
  </si>
  <si>
    <t>Q8WUD6_CHPT1</t>
  </si>
  <si>
    <t>Q8WUE5_CXorf48</t>
  </si>
  <si>
    <t>Q8WUH1_CHURC1</t>
  </si>
  <si>
    <t>Q8WUH2_TGFBRAP1</t>
  </si>
  <si>
    <t>Q8WUH6_C12orf23</t>
  </si>
  <si>
    <t>Q8WUI4-3_HDAC7</t>
  </si>
  <si>
    <t>Q8WUJ0_STYX</t>
  </si>
  <si>
    <t>Q8WUK0-2_PTPMT1</t>
  </si>
  <si>
    <t>Q8WUM4_PDCD6IP</t>
  </si>
  <si>
    <t>Q8WUM9_SLC20A1</t>
  </si>
  <si>
    <t>Q8WUR7_C15orf40</t>
  </si>
  <si>
    <t>Q8WUX1_SLC38A5</t>
  </si>
  <si>
    <t>Q8WUX2_CHAC2</t>
  </si>
  <si>
    <t>Q8WUX9_CHMP7</t>
  </si>
  <si>
    <t>Q8WUY1_THEM6</t>
  </si>
  <si>
    <t>Q8WUY8_NAT14</t>
  </si>
  <si>
    <t>Q8WV07_ORAOV1</t>
  </si>
  <si>
    <t>Q8WV22_NSMCE1</t>
  </si>
  <si>
    <t>Q8WV41_SNX33</t>
  </si>
  <si>
    <t>Q8WV60_PTCD2</t>
  </si>
  <si>
    <t>Q8WV92_MITD1</t>
  </si>
  <si>
    <t>Q8WV93_LACE1</t>
  </si>
  <si>
    <t>Q8WVB6_CHTF18</t>
  </si>
  <si>
    <t>Q8WVC0_LEO1</t>
  </si>
  <si>
    <t>Q8WVC2_RPS21</t>
  </si>
  <si>
    <t>Q8WVD3_RNF138</t>
  </si>
  <si>
    <t>Q8WVJ2_NUDCD2</t>
  </si>
  <si>
    <t>Q8WVK2_SNRNP27</t>
  </si>
  <si>
    <t>Q8WVK7_SKA2</t>
  </si>
  <si>
    <t>Q8WVL7_ANKRD49</t>
  </si>
  <si>
    <t>Q8WVM0_TFB1M</t>
  </si>
  <si>
    <t>Q8WVM8_SCFD1</t>
  </si>
  <si>
    <t>Q8WVQ1_CANT1</t>
  </si>
  <si>
    <t>Q8WVT3_TRAPPC12</t>
  </si>
  <si>
    <t>Q8WVX9_FAR1</t>
  </si>
  <si>
    <t>Q8WVY7_UBLCP1</t>
  </si>
  <si>
    <t>Q8WW01_TSEN15</t>
  </si>
  <si>
    <t>Q8WW12_PCNP</t>
  </si>
  <si>
    <t>Q8WW59_SPRYD4</t>
  </si>
  <si>
    <t>Q8WWB7-2_C1orf85</t>
  </si>
  <si>
    <t>Q8WWC4_C2orf47</t>
  </si>
  <si>
    <t>Q8WWH5_TRUB1</t>
  </si>
  <si>
    <t>Q8WWL7_CCNB3</t>
  </si>
  <si>
    <t>Q8WWM7_ATXN2L</t>
  </si>
  <si>
    <t>Q8WWV3_RTN4IP1</t>
  </si>
  <si>
    <t>Q8WWW0-3_RASSF5</t>
  </si>
  <si>
    <t>Q8WWX9_SELM</t>
  </si>
  <si>
    <t>Q8WWY3_PRPF31</t>
  </si>
  <si>
    <t>Q8WX92_NELFB</t>
  </si>
  <si>
    <t>Q8WXA9-2_SREK1</t>
  </si>
  <si>
    <t>Q8WXD2_SCG3</t>
  </si>
  <si>
    <t>Q8WXD5_GEMIN6</t>
  </si>
  <si>
    <t>Q8WXE1-5_ATRIP</t>
  </si>
  <si>
    <t>Q8WXF1_PSPC1</t>
  </si>
  <si>
    <t>Q8WXG6-7_MADD</t>
  </si>
  <si>
    <t>Q8WXI9_GATAD2B</t>
  </si>
  <si>
    <t>Q8WXW3_PIBF1</t>
  </si>
  <si>
    <t>Q8WXX5_DNAJC9</t>
  </si>
  <si>
    <t>Q8WY22_BRI3BP</t>
  </si>
  <si>
    <t>Q8WY54-2_PPM1E</t>
  </si>
  <si>
    <t>Q8WY91_THAP4</t>
  </si>
  <si>
    <t>Q8WZ42-11_TTN</t>
  </si>
  <si>
    <t>Q8WZ82_OVCA2</t>
  </si>
  <si>
    <t>Q8WZA0_LZIC</t>
  </si>
  <si>
    <t>Q8WZA9_IRGQ</t>
  </si>
  <si>
    <t>Q92499_DDX1</t>
  </si>
  <si>
    <t>Q92504_SLC39A7</t>
  </si>
  <si>
    <t>Q92506_HSD17B8</t>
  </si>
  <si>
    <t>Q92508_PIEZO1</t>
  </si>
  <si>
    <t>Q92520_FAM3C</t>
  </si>
  <si>
    <t>Q92522_H1FX</t>
  </si>
  <si>
    <t>Q92526_CCT6B</t>
  </si>
  <si>
    <t>Q92538_GBF1</t>
  </si>
  <si>
    <t>Q92541_RTF1</t>
  </si>
  <si>
    <t>Q92544_TM9SF4</t>
  </si>
  <si>
    <t>Q92547_TOPBP1</t>
  </si>
  <si>
    <t>Q92551_IP6K1</t>
  </si>
  <si>
    <t>Q92552_MRPS27</t>
  </si>
  <si>
    <t>Q92556_ELMO1</t>
  </si>
  <si>
    <t>Q92572_AP3S1</t>
  </si>
  <si>
    <t>Q92575_UBXN4</t>
  </si>
  <si>
    <t>Q92576-2_PHF3</t>
  </si>
  <si>
    <t>Q92581-3_SLC9A6</t>
  </si>
  <si>
    <t>Q92598-2_HSPH1</t>
  </si>
  <si>
    <t>Q92600_RQCD1</t>
  </si>
  <si>
    <t>Q92609_TBC1D5</t>
  </si>
  <si>
    <t>Q92615_LARP4B</t>
  </si>
  <si>
    <t>Q92616_GCN1L1</t>
  </si>
  <si>
    <t>Q92619_HMHA1</t>
  </si>
  <si>
    <t>Q92620_DHX38</t>
  </si>
  <si>
    <t>Q92621_NUP205</t>
  </si>
  <si>
    <t>Q92625_ANKS1A</t>
  </si>
  <si>
    <t>Q92636_NSMAF</t>
  </si>
  <si>
    <t>Q92665_MRPS31</t>
  </si>
  <si>
    <t>Q92667_AKAP1</t>
  </si>
  <si>
    <t>Q92686_NRGN</t>
  </si>
  <si>
    <t>Q92688-2_ANP32B</t>
  </si>
  <si>
    <t>Q92692_PVRL2</t>
  </si>
  <si>
    <t>Q92692-2_PVRL2</t>
  </si>
  <si>
    <t>Q92696_RABGGTA</t>
  </si>
  <si>
    <t>Q92698_RAD54L</t>
  </si>
  <si>
    <t>Q92734-2_TFG</t>
  </si>
  <si>
    <t>Q92747_ARPC1A</t>
  </si>
  <si>
    <t>Q92759_GTF2H4</t>
  </si>
  <si>
    <t>Q92766_RREB1</t>
  </si>
  <si>
    <t>Q92783-2_STAM</t>
  </si>
  <si>
    <t>Q92793-2_CREBBP</t>
  </si>
  <si>
    <t>Q92797_SYMPK</t>
  </si>
  <si>
    <t>Q92804-2_TAF15</t>
  </si>
  <si>
    <t>Q92805_GOLGA1</t>
  </si>
  <si>
    <t>Q92820_GGH</t>
  </si>
  <si>
    <t>Q92843-2_BCL2L2</t>
  </si>
  <si>
    <t>Q92851-2_CASP10</t>
  </si>
  <si>
    <t>Q92871_PMM1</t>
  </si>
  <si>
    <t>Q92878_RAD50</t>
  </si>
  <si>
    <t>Q92882_OSTF1</t>
  </si>
  <si>
    <t>Q92889_ERCC4</t>
  </si>
  <si>
    <t>Q92890_UFD1L</t>
  </si>
  <si>
    <t>Q92896_GLG1</t>
  </si>
  <si>
    <t>Q92900_UPF1</t>
  </si>
  <si>
    <t>Q92905_COPS5</t>
  </si>
  <si>
    <t>Q92917_GPKOW</t>
  </si>
  <si>
    <t>Q92922_SMARCC1</t>
  </si>
  <si>
    <t>Q92930_RAB8B</t>
  </si>
  <si>
    <t>Q92934_BAD</t>
  </si>
  <si>
    <t>Q92945_KHSRP</t>
  </si>
  <si>
    <t>Q92947_GCDH</t>
  </si>
  <si>
    <t>Q92968_PEX13</t>
  </si>
  <si>
    <t>Q92973-2_TNPO1</t>
  </si>
  <si>
    <t>Q92979_EMG1</t>
  </si>
  <si>
    <t>Q92990_GLMN</t>
  </si>
  <si>
    <t>Q93008_USP9X</t>
  </si>
  <si>
    <t>Q93015_NAT6</t>
  </si>
  <si>
    <t>Q93034_CUL5</t>
  </si>
  <si>
    <t>Q93063_EXT2</t>
  </si>
  <si>
    <t>Q93074-3_MED12</t>
  </si>
  <si>
    <t>Q93077_HIST1H2AC</t>
  </si>
  <si>
    <t>Q93084-4_ATP2A3</t>
  </si>
  <si>
    <t>Q93100-4_PHKB</t>
  </si>
  <si>
    <t>Q969E2-2_SCAMP4</t>
  </si>
  <si>
    <t>Q969E8_TSR2</t>
  </si>
  <si>
    <t>Q969F1_GTF3C6</t>
  </si>
  <si>
    <t>Q969F8_KISS1R</t>
  </si>
  <si>
    <t>Q969G6_RFK</t>
  </si>
  <si>
    <t>Q969H6-2_POP5</t>
  </si>
  <si>
    <t>Q969H8_C19orf10</t>
  </si>
  <si>
    <t>Q969K3_RNF34</t>
  </si>
  <si>
    <t>Q969M3_YIPF5</t>
  </si>
  <si>
    <t>Q969N2-4_PIGT</t>
  </si>
  <si>
    <t>Q969P0-3_IGSF8</t>
  </si>
  <si>
    <t>Q969R8_ITFG2</t>
  </si>
  <si>
    <t>Q969S3_ZNF622</t>
  </si>
  <si>
    <t>Q969S9-2_GFM2</t>
  </si>
  <si>
    <t>Q969T7-2_NT5C3B</t>
  </si>
  <si>
    <t>Q969U7_PSMG2</t>
  </si>
  <si>
    <t>Q969V3-2_NCLN</t>
  </si>
  <si>
    <t>Q969V5_MUL1</t>
  </si>
  <si>
    <t>Q969X5-2_ERGIC1</t>
  </si>
  <si>
    <t>Q969Y2-3_GTPBP3</t>
  </si>
  <si>
    <t>Q969Z0_TBRG4</t>
  </si>
  <si>
    <t>Q96A00_PPP1R14A</t>
  </si>
  <si>
    <t>Q96A19_CCDC102A</t>
  </si>
  <si>
    <t>Q96A33_CCDC47</t>
  </si>
  <si>
    <t>Q96A47_ISL2</t>
  </si>
  <si>
    <t>Q96A49_SYAP1</t>
  </si>
  <si>
    <t>Q96A65_EXOC4</t>
  </si>
  <si>
    <t>Q96A73-2_KIAA1191</t>
  </si>
  <si>
    <t>Q96AB3_ISOC2</t>
  </si>
  <si>
    <t>Q96AD5_PNPLA2</t>
  </si>
  <si>
    <t>Q96AE4_FUBP1</t>
  </si>
  <si>
    <t>Q96AE4-2_FUBP1</t>
  </si>
  <si>
    <t>Q96AG4_LRRC59</t>
  </si>
  <si>
    <t>Q96AJ9-1_VTI1A</t>
  </si>
  <si>
    <t>Q96AQ8_MCUR1</t>
  </si>
  <si>
    <t>Q96AT1_KIAA1143</t>
  </si>
  <si>
    <t>Q96AT9_RPE</t>
  </si>
  <si>
    <t>Q96AX1_VPS33A</t>
  </si>
  <si>
    <t>Q96B23-2_C18orf25</t>
  </si>
  <si>
    <t>Q96B26_EXOSC8</t>
  </si>
  <si>
    <t>Q96B36_AKT1S1</t>
  </si>
  <si>
    <t>Q96B45_C10orf32</t>
  </si>
  <si>
    <t>Q96B49_TOMM6</t>
  </si>
  <si>
    <t>Q96BD8_SKA1</t>
  </si>
  <si>
    <t>Q96BH1_RNF25</t>
  </si>
  <si>
    <t>Q96BK5_PINX1</t>
  </si>
  <si>
    <t>Q96BM9_ARL8A</t>
  </si>
  <si>
    <t>Q96BN8_FAM105B</t>
  </si>
  <si>
    <t>Q96BP3_PPWD1</t>
  </si>
  <si>
    <t>Q96BQ5_CCDC127</t>
  </si>
  <si>
    <t>Q96BR5_SELRC1</t>
  </si>
  <si>
    <t>Q96BT7_ALKBH8</t>
  </si>
  <si>
    <t>Q96BW1-3_UPRT</t>
  </si>
  <si>
    <t>Q96BW5-2_PTER</t>
  </si>
  <si>
    <t>Q96BX8_MOB3A</t>
  </si>
  <si>
    <t>Q96BY7_ATG2B</t>
  </si>
  <si>
    <t>Q96BZ8_LENG1</t>
  </si>
  <si>
    <t>Q96BZ9_TBC1D20</t>
  </si>
  <si>
    <t>Q96C01_FAM136A</t>
  </si>
  <si>
    <t>Q96C19_EFHD2</t>
  </si>
  <si>
    <t>Q96C23_GALM</t>
  </si>
  <si>
    <t>Q96C36_PYCR2</t>
  </si>
  <si>
    <t>Q96C57_C12orf43</t>
  </si>
  <si>
    <t>Q96C86_DCPS</t>
  </si>
  <si>
    <t>Q96C90_PPP1R14B</t>
  </si>
  <si>
    <t>Q96CB9-4_NSUN4</t>
  </si>
  <si>
    <t>Q96CF2_CHMP4C</t>
  </si>
  <si>
    <t>Q96CM3-2_RPUSD4</t>
  </si>
  <si>
    <t>Q96CN7_ISOC1</t>
  </si>
  <si>
    <t>Q96CN9_GCC1</t>
  </si>
  <si>
    <t>Q96CP2_FLYWCH2</t>
  </si>
  <si>
    <t>Q96CS2_HAUS1</t>
  </si>
  <si>
    <t>Q96CS3_FAF2</t>
  </si>
  <si>
    <t>Q96CT7_CCDC124</t>
  </si>
  <si>
    <t>Q96CU9_FOXRED1</t>
  </si>
  <si>
    <t>Q96CW1-2_AP2M1</t>
  </si>
  <si>
    <t>Q96CW6_SLC7A6OS</t>
  </si>
  <si>
    <t>Q96CX6_LRRC58</t>
  </si>
  <si>
    <t>Q96D05_C10orf35</t>
  </si>
  <si>
    <t>Q96D15_RCN3</t>
  </si>
  <si>
    <t>Q96D31-2_ORAI1</t>
  </si>
  <si>
    <t>Q96D71-3_REPS1</t>
  </si>
  <si>
    <t>Q96DA6-2_DNAJC19</t>
  </si>
  <si>
    <t>Q96DB5_RMDN1</t>
  </si>
  <si>
    <t>Q96DE0_NUDT16</t>
  </si>
  <si>
    <t>Q96DE5_ANAPC16</t>
  </si>
  <si>
    <t>Q96DF8_DGCR14</t>
  </si>
  <si>
    <t>Q96DG6_CMBL</t>
  </si>
  <si>
    <t>Q96DI7_SNRNP40</t>
  </si>
  <si>
    <t>Q96DT6_ATG4C</t>
  </si>
  <si>
    <t>Q96DU7_ITPKC</t>
  </si>
  <si>
    <t>Q96DV4_MRPL38</t>
  </si>
  <si>
    <t>Q96DX4_RSPRY1</t>
  </si>
  <si>
    <t>Q96DX7_TRIM44</t>
  </si>
  <si>
    <t>Q96DY2_IQCD</t>
  </si>
  <si>
    <t>Q96DZ1-2_ERLEC1</t>
  </si>
  <si>
    <t>Q96E09_FAM122A</t>
  </si>
  <si>
    <t>Q96E11-3_MRRF</t>
  </si>
  <si>
    <t>Q96E14_RMI2</t>
  </si>
  <si>
    <t>Q96E22_NUS1</t>
  </si>
  <si>
    <t>Q96E52_OMA1</t>
  </si>
  <si>
    <t>Q96EA4_SPDL1</t>
  </si>
  <si>
    <t>Q96EB1_ELP4</t>
  </si>
  <si>
    <t>Q96EB6_SIRT1</t>
  </si>
  <si>
    <t>Q96EC8_YIPF6</t>
  </si>
  <si>
    <t>Q96ED9-2_HOOK2</t>
  </si>
  <si>
    <t>Q96EE3_SEH1L</t>
  </si>
  <si>
    <t>Q96EF9_ZHX1-C8orf76</t>
  </si>
  <si>
    <t>Q96EH3_MALSU1</t>
  </si>
  <si>
    <t>Q96EK5_KIAA1279</t>
  </si>
  <si>
    <t>Q96EK6_GNPNAT1</t>
  </si>
  <si>
    <t>Q96EK9_KTI12</t>
  </si>
  <si>
    <t>Q96EL2_MRPS24</t>
  </si>
  <si>
    <t>Q96EL3_MRPL53</t>
  </si>
  <si>
    <t>Q96EM0_L3HYPDH</t>
  </si>
  <si>
    <t>Q96EN8_MOCOS</t>
  </si>
  <si>
    <t>Q96EP1-5_CHFR</t>
  </si>
  <si>
    <t>Q96EP5_DAZAP1</t>
  </si>
  <si>
    <t>Q96EP9_SLC10A4</t>
  </si>
  <si>
    <t>Q96EQ0_SGTB</t>
  </si>
  <si>
    <t>Q96ER3_SAAL1</t>
  </si>
  <si>
    <t>Q96ER9_CCDC51</t>
  </si>
  <si>
    <t>Q96ES7_CCDC101</t>
  </si>
  <si>
    <t>Q96EU6-2_RRP36</t>
  </si>
  <si>
    <t>Q96EU7_C1GALT1C1</t>
  </si>
  <si>
    <t>Q96EV2_RBM33</t>
  </si>
  <si>
    <t>Q96EV8_DTNBP1</t>
  </si>
  <si>
    <t>Q96EX1_SMIM12</t>
  </si>
  <si>
    <t>Q96EX3_WDR34</t>
  </si>
  <si>
    <t>Q96EY1_DNAJA3</t>
  </si>
  <si>
    <t>Q96EY5_MVB12A</t>
  </si>
  <si>
    <t>Q96EY7_PTCD3</t>
  </si>
  <si>
    <t>Q96EY8_MMAB</t>
  </si>
  <si>
    <t>Q96EY9_ADAT3</t>
  </si>
  <si>
    <t>Q96F24-2_NRBF2</t>
  </si>
  <si>
    <t>Q96F44-3_TRIM11</t>
  </si>
  <si>
    <t>Q96F46_IL17RA</t>
  </si>
  <si>
    <t>Q96F63_CCDC97</t>
  </si>
  <si>
    <t>Q96F86_EDC3</t>
  </si>
  <si>
    <t>Q96FB5_RRNAD1</t>
  </si>
  <si>
    <t>Q96FC9-4_DDX11</t>
  </si>
  <si>
    <t>Q96FH0-2_MEF2BNB</t>
  </si>
  <si>
    <t>Q96FJ2_DYNLL2</t>
  </si>
  <si>
    <t>Q96FK6_WDR89</t>
  </si>
  <si>
    <t>Q96FQ7_LINC00526</t>
  </si>
  <si>
    <t>Q96FS4_SIPA1</t>
  </si>
  <si>
    <t>Q96FV9_THOC1</t>
  </si>
  <si>
    <t>Q96FX2_DPH3</t>
  </si>
  <si>
    <t>Q96FX7_TRMT61A</t>
  </si>
  <si>
    <t>Q96FZ2_C3orf37</t>
  </si>
  <si>
    <t>Q96FZ7_CHMP6</t>
  </si>
  <si>
    <t>Q96G03_PGM2</t>
  </si>
  <si>
    <t>Q96G25_MED8</t>
  </si>
  <si>
    <t>Q96G28_CCDC104</t>
  </si>
  <si>
    <t>Q96G46_DUS3L</t>
  </si>
  <si>
    <t>Q96G74-3_OTUD5</t>
  </si>
  <si>
    <t>Q96GA3_LTV1</t>
  </si>
  <si>
    <t>Q96GA7_SDSL</t>
  </si>
  <si>
    <t>Q96GD0_PDXP</t>
  </si>
  <si>
    <t>Q96GF1_RNF185</t>
  </si>
  <si>
    <t>Q96GG9_DCUN1D1</t>
  </si>
  <si>
    <t>Q96GK7_FAHD2A</t>
  </si>
  <si>
    <t>Q96GM5_SMARCD1</t>
  </si>
  <si>
    <t>Q96GM8_TOE1</t>
  </si>
  <si>
    <t>Q96GQ7_DDX27</t>
  </si>
  <si>
    <t>Q96GS4_C17orf59</t>
  </si>
  <si>
    <t>Q96GU1-2_PAGE5</t>
  </si>
  <si>
    <t>Q96GV9_C5orf30</t>
  </si>
  <si>
    <t>Q96GW9_MARS2</t>
  </si>
  <si>
    <t>Q96GX2_ATXN7L3B</t>
  </si>
  <si>
    <t>Q96GX5-2_MASTL</t>
  </si>
  <si>
    <t>Q96H20_SNF8</t>
  </si>
  <si>
    <t>Q96H55-2_MYO19</t>
  </si>
  <si>
    <t>Q96HA4-4_C1orf159</t>
  </si>
  <si>
    <t>Q96HA7-2_TONSL</t>
  </si>
  <si>
    <t>Q96HC4_PDLIM5</t>
  </si>
  <si>
    <t>Q96HD1_CRELD1</t>
  </si>
  <si>
    <t>Q96HE7_ERO1L</t>
  </si>
  <si>
    <t>Q96HJ9_C7orf55</t>
  </si>
  <si>
    <t>Q96HR9_REEP6</t>
  </si>
  <si>
    <t>Q96HS1_PGAM5</t>
  </si>
  <si>
    <t>Q96HW7_INTS4</t>
  </si>
  <si>
    <t>Q96HY6_DDRGK1</t>
  </si>
  <si>
    <t>Q96I15_SCLY</t>
  </si>
  <si>
    <t>Q96I24_FUBP3</t>
  </si>
  <si>
    <t>Q96I25_RBM17</t>
  </si>
  <si>
    <t>Q96I34_PPP1R16A</t>
  </si>
  <si>
    <t>Q96I36_COX14</t>
  </si>
  <si>
    <t>Q96I51_WBSCR16</t>
  </si>
  <si>
    <t>Q96I59_NARS2</t>
  </si>
  <si>
    <t>Q96I99_SUCLG2</t>
  </si>
  <si>
    <t>Q96IJ6_GMPPA</t>
  </si>
  <si>
    <t>Q96IQ9_ZNF414</t>
  </si>
  <si>
    <t>Q96IU4_ABHD14B</t>
  </si>
  <si>
    <t>Q96IV0_NGLY1</t>
  </si>
  <si>
    <t>Q96IX5_USMG5</t>
  </si>
  <si>
    <t>Q96IY1_NSL1</t>
  </si>
  <si>
    <t>Q96IZ7-2_RSRC1</t>
  </si>
  <si>
    <t>Q96J01_THOC3</t>
  </si>
  <si>
    <t>Q96J02-2_ITCH</t>
  </si>
  <si>
    <t>Q96JA1_LRIG1</t>
  </si>
  <si>
    <t>Q96JB2_COG3</t>
  </si>
  <si>
    <t>Q96JB3-2_HIC2</t>
  </si>
  <si>
    <t>Q96JB5-2_CDK5RAP3</t>
  </si>
  <si>
    <t>Q96JC1-2_VPS39</t>
  </si>
  <si>
    <t>Q96JC9_EAF1</t>
  </si>
  <si>
    <t>Q96JG6_CCDC132</t>
  </si>
  <si>
    <t>Q96JH7_VCPIP1</t>
  </si>
  <si>
    <t>Q96JJ7_TMX3</t>
  </si>
  <si>
    <t>Q96JM3_CHAMP1</t>
  </si>
  <si>
    <t>Q96JP5-2_ZFP91</t>
  </si>
  <si>
    <t>Q96K17_BTF3L4</t>
  </si>
  <si>
    <t>Q96K19-2_RNF170</t>
  </si>
  <si>
    <t>Q96KA5-2_CLPTM1L</t>
  </si>
  <si>
    <t>Q96KB5_PBK</t>
  </si>
  <si>
    <t>Q96KC8_DNAJC1</t>
  </si>
  <si>
    <t>Q96KF7_SMIM8</t>
  </si>
  <si>
    <t>Q96KM6_ZNF512B</t>
  </si>
  <si>
    <t>Q96KP1_EXOC2</t>
  </si>
  <si>
    <t>Q96KP4_CNDP2</t>
  </si>
  <si>
    <t>Q96KR1_ZFR</t>
  </si>
  <si>
    <t>Q96L91-3_EP400</t>
  </si>
  <si>
    <t>Q96L92-3_SNX27</t>
  </si>
  <si>
    <t>Q96LA8-2_PRMT6</t>
  </si>
  <si>
    <t>Q96LB3_IFT74</t>
  </si>
  <si>
    <t>Q96LD4_TRIM47</t>
  </si>
  <si>
    <t>Q96LJ7_DHRS1</t>
  </si>
  <si>
    <t>Q96LJ8_UBXN10</t>
  </si>
  <si>
    <t>Q96LT7_C9orf72</t>
  </si>
  <si>
    <t>Q96M20-2_CNBD2</t>
  </si>
  <si>
    <t>Q96M27_PRRC1</t>
  </si>
  <si>
    <t>Q96MB7_HARBI1</t>
  </si>
  <si>
    <t>Q96MC6_HIAT1</t>
  </si>
  <si>
    <t>Q96ME1-4_FBXL18</t>
  </si>
  <si>
    <t>Q96MG7_NDNL2</t>
  </si>
  <si>
    <t>Q96MH2_HEXIM2</t>
  </si>
  <si>
    <t>Q96MH6-2_TMEM68</t>
  </si>
  <si>
    <t>Q96MX6_WDR92</t>
  </si>
  <si>
    <t>Q96N11-2_C7orf26</t>
  </si>
  <si>
    <t>Q96N21-2_ENTHD2</t>
  </si>
  <si>
    <t>Q96N46_TTC14</t>
  </si>
  <si>
    <t>Q96N66-2_MBOAT7</t>
  </si>
  <si>
    <t>Q96N67-4_DOCK7</t>
  </si>
  <si>
    <t>Q96NA2_RILP</t>
  </si>
  <si>
    <t>Q96NB1_FOPNL</t>
  </si>
  <si>
    <t>Q96NB2_SFXN2</t>
  </si>
  <si>
    <t>Q96NB3_ZNF830</t>
  </si>
  <si>
    <t>Q96NC0_ZMAT2</t>
  </si>
  <si>
    <t>Q96NL6_SCLT1</t>
  </si>
  <si>
    <t>Q96NT0_CCDC115</t>
  </si>
  <si>
    <t>Q96NT1_NAP1L5</t>
  </si>
  <si>
    <t>Q96NW4_ANKRD27</t>
  </si>
  <si>
    <t>Q96P11-2_NSUN5</t>
  </si>
  <si>
    <t>Q96P16-3_RPRD1A</t>
  </si>
  <si>
    <t>Q96P47_AGAP3</t>
  </si>
  <si>
    <t>Q96P48-3_ARAP1</t>
  </si>
  <si>
    <t>Q96P70_IPO9</t>
  </si>
  <si>
    <t>Q96PD2_DCBLD2</t>
  </si>
  <si>
    <t>Q96PE7_MCEE</t>
  </si>
  <si>
    <t>Q96PG8-1_BBC3</t>
  </si>
  <si>
    <t>Q96PK6_RBM14</t>
  </si>
  <si>
    <t>Q96PL5_ERMAP</t>
  </si>
  <si>
    <t>Q96PM5_RCHY1</t>
  </si>
  <si>
    <t>Q96PU5-2_NEDD4L</t>
  </si>
  <si>
    <t>Q96PU8-5_QKI</t>
  </si>
  <si>
    <t>Q96PU8-9_QKI</t>
  </si>
  <si>
    <t>Q96PY6-4_NEK1</t>
  </si>
  <si>
    <t>Q96PZ0_PUS7</t>
  </si>
  <si>
    <t>Q96Q11-2_TRNT1</t>
  </si>
  <si>
    <t>Q96Q45-2_TMEM237</t>
  </si>
  <si>
    <t>Q96Q83_ALKBH3</t>
  </si>
  <si>
    <t>Q96QC0_PPP1R10</t>
  </si>
  <si>
    <t>Q96QC4_MICA</t>
  </si>
  <si>
    <t>Q96QD5-2_DEPDC7</t>
  </si>
  <si>
    <t>Q96QG7_MTMR9</t>
  </si>
  <si>
    <t>Q96QK1_VPS35</t>
  </si>
  <si>
    <t>Q96QR8_PURB</t>
  </si>
  <si>
    <t>Q96QU8_XPO6</t>
  </si>
  <si>
    <t>Q96QZ7-6_MAGI1</t>
  </si>
  <si>
    <t>Q96R06_SPAG5</t>
  </si>
  <si>
    <t>Q96RE7_NACC1</t>
  </si>
  <si>
    <t>Q96RF0-3_SNX18</t>
  </si>
  <si>
    <t>Q96RL1_UIMC1</t>
  </si>
  <si>
    <t>Q96RL7-4_VPS13A</t>
  </si>
  <si>
    <t>Q96RN5-3_MED15</t>
  </si>
  <si>
    <t>Q96RP9_GFM1</t>
  </si>
  <si>
    <t>Q96RR1_PEO1</t>
  </si>
  <si>
    <t>Q96RR4-6_CAMKK2</t>
  </si>
  <si>
    <t>Q96RS0_TGS1</t>
  </si>
  <si>
    <t>Q96RS6_NUDCD1</t>
  </si>
  <si>
    <t>Q96RT1-9_ERBB2IP</t>
  </si>
  <si>
    <t>Q96RU3-4_FNBP1</t>
  </si>
  <si>
    <t>Q96S19-3_C16orf13</t>
  </si>
  <si>
    <t>Q96S38_RPS6KC1</t>
  </si>
  <si>
    <t>Q96S44_TP53RK</t>
  </si>
  <si>
    <t>Q96S52_PIGS</t>
  </si>
  <si>
    <t>Q96S55-2_WRNIP1</t>
  </si>
  <si>
    <t>Q96S59_RANBP9</t>
  </si>
  <si>
    <t>Q96S66_CLCC1</t>
  </si>
  <si>
    <t>Q96S82_UBL7</t>
  </si>
  <si>
    <t>Q96S94_CCNL2</t>
  </si>
  <si>
    <t>Q96S99_PLEKHF1</t>
  </si>
  <si>
    <t>Q96SB8_SMC6</t>
  </si>
  <si>
    <t>Q96SI1_KCTD15</t>
  </si>
  <si>
    <t>Q96SK2-2_TMEM209</t>
  </si>
  <si>
    <t>Q96SQ9_CYP2S1</t>
  </si>
  <si>
    <t>Q96ST2-3_IWS1</t>
  </si>
  <si>
    <t>Q96ST3_SIN3A</t>
  </si>
  <si>
    <t>Q96SZ5_ADO</t>
  </si>
  <si>
    <t>Q96SZ6-2_CDK5RAP1</t>
  </si>
  <si>
    <t>Q96T37-2_RBM15</t>
  </si>
  <si>
    <t>Q96T51_RUFY1</t>
  </si>
  <si>
    <t>Q96T58_SPEN</t>
  </si>
  <si>
    <t>Q96T60_PNKP</t>
  </si>
  <si>
    <t>Q96T76_MMS19</t>
  </si>
  <si>
    <t>Q96T88_UHRF1</t>
  </si>
  <si>
    <t>Q96TA1-2_FAM129B</t>
  </si>
  <si>
    <t>Q96TA2-3_YME1L1</t>
  </si>
  <si>
    <t>Q96TC7_RMDN3</t>
  </si>
  <si>
    <t>Q99081_TCF12</t>
  </si>
  <si>
    <t>Q99417_MYCBP</t>
  </si>
  <si>
    <t>Q99426_TBCB</t>
  </si>
  <si>
    <t>Q99436_PSMB7</t>
  </si>
  <si>
    <t>Q99447_PCYT2</t>
  </si>
  <si>
    <t>Q99459_CDC5L</t>
  </si>
  <si>
    <t>Q99460_PSMD1</t>
  </si>
  <si>
    <t>Q99470_SDF2</t>
  </si>
  <si>
    <t>Q99471_PFDN5</t>
  </si>
  <si>
    <t>Q99487_PAFAH2</t>
  </si>
  <si>
    <t>Q99496_RNF2</t>
  </si>
  <si>
    <t>Q99497_PARK7</t>
  </si>
  <si>
    <t>Q99501_GAS2L1</t>
  </si>
  <si>
    <t>Q99504-2_EYA3</t>
  </si>
  <si>
    <t>Q99519_NEU1</t>
  </si>
  <si>
    <t>Q99523_SORT1</t>
  </si>
  <si>
    <t>Q99536_VAT1</t>
  </si>
  <si>
    <t>Q99541_PLIN2</t>
  </si>
  <si>
    <t>Q99543_DNAJC2</t>
  </si>
  <si>
    <t>Q99543-2_DNAJC2</t>
  </si>
  <si>
    <t>Q99549_MPHOSPH8</t>
  </si>
  <si>
    <t>Q99567_NUP88</t>
  </si>
  <si>
    <t>Q99569-2_PKP4</t>
  </si>
  <si>
    <t>Q99570_PIK3R4</t>
  </si>
  <si>
    <t>Q99575_POP1</t>
  </si>
  <si>
    <t>Q99583_MNT</t>
  </si>
  <si>
    <t>Q99584_S100A13</t>
  </si>
  <si>
    <t>Q99598_TSNAX</t>
  </si>
  <si>
    <t>Q99614_TTC1</t>
  </si>
  <si>
    <t>Q99615_DNAJC7</t>
  </si>
  <si>
    <t>Q99618_CDCA3</t>
  </si>
  <si>
    <t>Q99622_C12orf57</t>
  </si>
  <si>
    <t>Q99633_PRPF18</t>
  </si>
  <si>
    <t>Q99640-4_PKMYT1</t>
  </si>
  <si>
    <t>Q99653_CHP1</t>
  </si>
  <si>
    <t>Q99661_KIF2C</t>
  </si>
  <si>
    <t>Q99700-4_ATXN2</t>
  </si>
  <si>
    <t>Q99704_DOK1</t>
  </si>
  <si>
    <t>Q99707_MTR</t>
  </si>
  <si>
    <t>Q99714_HSD17B10</t>
  </si>
  <si>
    <t>Q99720-4_SIGMAR1</t>
  </si>
  <si>
    <t>Q99733_NAP1L4</t>
  </si>
  <si>
    <t>Q99735-2_MGST2</t>
  </si>
  <si>
    <t>Q99747_NAPG</t>
  </si>
  <si>
    <t>Q99757_TXN2</t>
  </si>
  <si>
    <t>Q99766_ATP5S</t>
  </si>
  <si>
    <t>Q99767-2_APBA2</t>
  </si>
  <si>
    <t>Q99797_MIPEP</t>
  </si>
  <si>
    <t>Q99805_TM9SF2</t>
  </si>
  <si>
    <t>Q99808_SLC29A1</t>
  </si>
  <si>
    <t>Q99828_CIB1</t>
  </si>
  <si>
    <t>Q99832_CCT7</t>
  </si>
  <si>
    <t>Q99856_ARID3A</t>
  </si>
  <si>
    <t>Q99871-3_HAUS7</t>
  </si>
  <si>
    <t>Q99878_HIST1H2AJ</t>
  </si>
  <si>
    <t>Q99952_PTPN18</t>
  </si>
  <si>
    <t>Q99956_DUSP9</t>
  </si>
  <si>
    <t>Q99961_SH3GL1</t>
  </si>
  <si>
    <t>Q99963-4_SH3GL3</t>
  </si>
  <si>
    <t>Q99986_VRK1</t>
  </si>
  <si>
    <t>Q99988_GDF15</t>
  </si>
  <si>
    <t>Q99996-4_AKAP9</t>
  </si>
  <si>
    <t>Q9BPW8_NIPSNAP1</t>
  </si>
  <si>
    <t>Q9BPX3_NCAPG</t>
  </si>
  <si>
    <t>Q9BPX5_ARPC5L</t>
  </si>
  <si>
    <t>Q9BPZ3_PAIP2</t>
  </si>
  <si>
    <t>Q9BQ52_ELAC2</t>
  </si>
  <si>
    <t>Q9BQ61_C19orf43</t>
  </si>
  <si>
    <t>Q9BQ67_GRWD1</t>
  </si>
  <si>
    <t>Q9BQ69_MACROD1</t>
  </si>
  <si>
    <t>Q9BQ70_TCF25</t>
  </si>
  <si>
    <t>Q9BQ90_KLHDC3</t>
  </si>
  <si>
    <t>Q9BQ95_ECSIT</t>
  </si>
  <si>
    <t>Q9BQA1_WDR77</t>
  </si>
  <si>
    <t>Q9BQA9-2_C17orf62</t>
  </si>
  <si>
    <t>Q9BQC3_DPH2</t>
  </si>
  <si>
    <t>Q9BQG2_NUDT12</t>
  </si>
  <si>
    <t>Q9BQI3-2_EIF2AK1</t>
  </si>
  <si>
    <t>Q9BQK8-2_LPIN3</t>
  </si>
  <si>
    <t>Q9BQP7_MGME1</t>
  </si>
  <si>
    <t>Q9BQQ3_GORASP1</t>
  </si>
  <si>
    <t>Q9BQS7-2_HEPH</t>
  </si>
  <si>
    <t>Q9BQS8_FYCO1</t>
  </si>
  <si>
    <t>Q9BQT8-2_SLC25A21</t>
  </si>
  <si>
    <t>Q9BQY4_RHOXF2</t>
  </si>
  <si>
    <t>Q9BR61_ACBD6</t>
  </si>
  <si>
    <t>Q9BR76_CORO1B</t>
  </si>
  <si>
    <t>Q9BRA2_TXNDC17</t>
  </si>
  <si>
    <t>Q9BRD0_BUD13</t>
  </si>
  <si>
    <t>Q9BRF8_CPPED1</t>
  </si>
  <si>
    <t>Q9BRG1_VPS25</t>
  </si>
  <si>
    <t>Q9BRJ2_MRPL45</t>
  </si>
  <si>
    <t>Q9BRK5_SDF4</t>
  </si>
  <si>
    <t>Q9BRL6-2_SRSF8</t>
  </si>
  <si>
    <t>Q9BRP1_PDCD2L</t>
  </si>
  <si>
    <t>Q9BRP4_PAAF1</t>
  </si>
  <si>
    <t>Q9BRP8-2_WIBG</t>
  </si>
  <si>
    <t>Q9BRQ8_AIFM2</t>
  </si>
  <si>
    <t>Q9BRR0_ZKSCAN3</t>
  </si>
  <si>
    <t>Q9BRR6-2_ADPGK</t>
  </si>
  <si>
    <t>Q9BRR8_GPATCH1</t>
  </si>
  <si>
    <t>Q9BRS2_RIOK1</t>
  </si>
  <si>
    <t>Q9BRT2_MNF1</t>
  </si>
  <si>
    <t>Q9BRT3_MIEN1</t>
  </si>
  <si>
    <t>Q9BRT9_GINS4</t>
  </si>
  <si>
    <t>Q9BRV8_SIKE1</t>
  </si>
  <si>
    <t>Q9BRX2_PELO</t>
  </si>
  <si>
    <t>Q9BRX5_GINS3</t>
  </si>
  <si>
    <t>Q9BRZ2_TRIM56</t>
  </si>
  <si>
    <t>Q9BS18_ANAPC13</t>
  </si>
  <si>
    <t>Q9BS26_ERP44</t>
  </si>
  <si>
    <t>Q9BSB4_ATG101</t>
  </si>
  <si>
    <t>Q9BSD7_NTPCR</t>
  </si>
  <si>
    <t>Q9BSF4_C19orf52</t>
  </si>
  <si>
    <t>Q9BSG0_PRADC1</t>
  </si>
  <si>
    <t>Q9BSH4_TACO1</t>
  </si>
  <si>
    <t>Q9BSH5_HDHD3</t>
  </si>
  <si>
    <t>Q9BSJ2_TUBGCP2</t>
  </si>
  <si>
    <t>Q9BSJ5_C17orf80</t>
  </si>
  <si>
    <t>Q9BSJ8-2_ESYT1</t>
  </si>
  <si>
    <t>Q9BSK2_SLC25A33</t>
  </si>
  <si>
    <t>Q9BSK4_FEM1A</t>
  </si>
  <si>
    <t>Q9BSL1_UBAC1</t>
  </si>
  <si>
    <t>Q9BSR8_YIPF4</t>
  </si>
  <si>
    <t>Q9BSU3_NAA11</t>
  </si>
  <si>
    <t>Q9BSV6_TSEN34</t>
  </si>
  <si>
    <t>Q9BSW2-2_EFCAB4B</t>
  </si>
  <si>
    <t>Q9BSY4_CHCHD5</t>
  </si>
  <si>
    <t>Q9BT09_CNPY3</t>
  </si>
  <si>
    <t>Q9BT22_ALG1</t>
  </si>
  <si>
    <t>Q9BT23_LIMD2</t>
  </si>
  <si>
    <t>Q9BT25-2_HAUS8</t>
  </si>
  <si>
    <t>Q9BT30_ALKBH7</t>
  </si>
  <si>
    <t>Q9BT67_NDFIP1</t>
  </si>
  <si>
    <t>Q9BT73_PSMG3</t>
  </si>
  <si>
    <t>Q9BT78_COPS4</t>
  </si>
  <si>
    <t>Q9BTA9-2_WAC</t>
  </si>
  <si>
    <t>Q9BTC0_DIDO1</t>
  </si>
  <si>
    <t>Q9BTE3-2_MCMBP</t>
  </si>
  <si>
    <t>Q9BTE7_DCUN1D5</t>
  </si>
  <si>
    <t>Q9BTF0_THUMPD2</t>
  </si>
  <si>
    <t>Q9BTL3_FAM103A1</t>
  </si>
  <si>
    <t>Q9BTT0_ANP32E</t>
  </si>
  <si>
    <t>Q9BTT4_MED10</t>
  </si>
  <si>
    <t>Q9BTU6_PI4K2A</t>
  </si>
  <si>
    <t>Q9BTV4_TMEM43</t>
  </si>
  <si>
    <t>Q9BTV6_WDR85</t>
  </si>
  <si>
    <t>Q9BTY2_FUCA2</t>
  </si>
  <si>
    <t>Q9BTY7_FAM203A</t>
  </si>
  <si>
    <t>Q9BTZ2-8_DHRS4</t>
  </si>
  <si>
    <t>Q9BU61_NDUFAF3</t>
  </si>
  <si>
    <t>Q9BU76-4_MMTAG2</t>
  </si>
  <si>
    <t>Q9BU89_DOHH</t>
  </si>
  <si>
    <t>Q9BUA3_C11orf84</t>
  </si>
  <si>
    <t>Q9BUB4-2_ADAT1</t>
  </si>
  <si>
    <t>Q9BUB5-2_MKNK1</t>
  </si>
  <si>
    <t>Q9BUE0_MED18</t>
  </si>
  <si>
    <t>Q9BUE6_ISCA1</t>
  </si>
  <si>
    <t>Q9BUF5_TUBB6</t>
  </si>
  <si>
    <t>Q9BUH6_C9orf142</t>
  </si>
  <si>
    <t>Q9BUI4_POLR3C</t>
  </si>
  <si>
    <t>Q9BUJ2-2_HNRNPUL1</t>
  </si>
  <si>
    <t>Q9BUK6-3_MSTO1</t>
  </si>
  <si>
    <t>Q9BUL9_RPP25</t>
  </si>
  <si>
    <t>Q9BUN5_CCDC28B</t>
  </si>
  <si>
    <t>Q9BUP3-3_HTATIP2</t>
  </si>
  <si>
    <t>Q9BUQ8_DDX23</t>
  </si>
  <si>
    <t>Q9BUR4_WRAP53</t>
  </si>
  <si>
    <t>Q9BUT1_BDH2</t>
  </si>
  <si>
    <t>Q9BUT9_FAM195A</t>
  </si>
  <si>
    <t>Q9BUW7_C9orf16</t>
  </si>
  <si>
    <t>Q9BUZ4_TRAF4</t>
  </si>
  <si>
    <t>Q9BV19_C1orf50</t>
  </si>
  <si>
    <t>Q9BV20_MRI1</t>
  </si>
  <si>
    <t>Q9BV23_ABHD6</t>
  </si>
  <si>
    <t>Q9BV38_WDR18</t>
  </si>
  <si>
    <t>Q9BV40_VAMP8</t>
  </si>
  <si>
    <t>Q9BV44_THUMPD3</t>
  </si>
  <si>
    <t>Q9BV57_ADI1</t>
  </si>
  <si>
    <t>Q9BV68-2_RNF126</t>
  </si>
  <si>
    <t>Q9BV73-2_CEP250</t>
  </si>
  <si>
    <t>Q9BV79_MECR</t>
  </si>
  <si>
    <t>Q9BV81_EMC6</t>
  </si>
  <si>
    <t>Q9BV86_NTMT1</t>
  </si>
  <si>
    <t>Q9BVA0_KATNB1</t>
  </si>
  <si>
    <t>Q9BVA1_TUBB2B</t>
  </si>
  <si>
    <t>Q9BVC3_DSCC1</t>
  </si>
  <si>
    <t>Q9BVC5_C2orf49</t>
  </si>
  <si>
    <t>Q9BVC6_TMEM109</t>
  </si>
  <si>
    <t>Q9BVG4_PBDC1</t>
  </si>
  <si>
    <t>Q9BVG9_PTDSS2</t>
  </si>
  <si>
    <t>Q9BVI4_NOC4L</t>
  </si>
  <si>
    <t>Q9BVJ6-3_UTP14A</t>
  </si>
  <si>
    <t>Q9BVJ7_DUSP23</t>
  </si>
  <si>
    <t>Q9BVK6_TMED9</t>
  </si>
  <si>
    <t>Q9BVL4_SELO</t>
  </si>
  <si>
    <t>Q9BVM2_DPCD</t>
  </si>
  <si>
    <t>Q9BVQ7_SPATA5L1</t>
  </si>
  <si>
    <t>Q9BVS4_RIOK2</t>
  </si>
  <si>
    <t>Q9BVS5_TRMT61B</t>
  </si>
  <si>
    <t>Q9BVV7_TIMM21</t>
  </si>
  <si>
    <t>Q9BW04_SARG</t>
  </si>
  <si>
    <t>Q9BW19_KIFC1</t>
  </si>
  <si>
    <t>Q9BW27_NUP85</t>
  </si>
  <si>
    <t>Q9BW60_ELOVL1</t>
  </si>
  <si>
    <t>Q9BW61_DDA1</t>
  </si>
  <si>
    <t>Q9BW71-2_HIRIP3</t>
  </si>
  <si>
    <t>Q9BW85_CCDC94</t>
  </si>
  <si>
    <t>Q9BW91-2_NUDT9</t>
  </si>
  <si>
    <t>Q9BW92_TARS2</t>
  </si>
  <si>
    <t>Q9BWD1_ACAT2</t>
  </si>
  <si>
    <t>Q9BWE0_REPIN1</t>
  </si>
  <si>
    <t>Q9BWF3_RBM4</t>
  </si>
  <si>
    <t>Q9BWG6_SCNM1</t>
  </si>
  <si>
    <t>Q9BWH2_FUNDC2</t>
  </si>
  <si>
    <t>Q9BWH6_RPAP1</t>
  </si>
  <si>
    <t>Q9BWJ5_SF3B5</t>
  </si>
  <si>
    <t>Q9BWM7_SFXN3</t>
  </si>
  <si>
    <t>Q9BWT3_PAPOLG</t>
  </si>
  <si>
    <t>Q9BWT6_MND1</t>
  </si>
  <si>
    <t>Q9BWU0_SLC4A1AP</t>
  </si>
  <si>
    <t>Q9BWW4-2_SSBP3</t>
  </si>
  <si>
    <t>Q9BWW5_SSDP4</t>
  </si>
  <si>
    <t>Q9BX10-2_GTPBP2</t>
  </si>
  <si>
    <t>Q9BX40_LSM14B</t>
  </si>
  <si>
    <t>Q9BX63_BRIP1</t>
  </si>
  <si>
    <t>Q9BX66-9_SORBS1</t>
  </si>
  <si>
    <t>Q9BX68_HINT2</t>
  </si>
  <si>
    <t>Q9BX69_CARD6</t>
  </si>
  <si>
    <t>Q9BX95_SGPP1</t>
  </si>
  <si>
    <t>Q9BXB4_OSBPL11</t>
  </si>
  <si>
    <t>Q9BXH1_BBC3</t>
  </si>
  <si>
    <t>Q9BXJ9_NAA15</t>
  </si>
  <si>
    <t>Q9BXK1_KLF16</t>
  </si>
  <si>
    <t>Q9BXK5_BCL2L13</t>
  </si>
  <si>
    <t>Q9BXL5_HEMGN</t>
  </si>
  <si>
    <t>Q9BXL7_CARD11</t>
  </si>
  <si>
    <t>Q9BXP2_SLC12A9</t>
  </si>
  <si>
    <t>Q9BXP5-4_SRRT</t>
  </si>
  <si>
    <t>Q9BXR0_QTRT1</t>
  </si>
  <si>
    <t>Q9BXS6-2_NUSAP1</t>
  </si>
  <si>
    <t>Q9BXV9_C14orf142</t>
  </si>
  <si>
    <t>Q9BXW7-2_CECR5</t>
  </si>
  <si>
    <t>Q9BXW9-2_FANCD2</t>
  </si>
  <si>
    <t>Q9BY32_ITPA</t>
  </si>
  <si>
    <t>Q9BY42_RTFDC1</t>
  </si>
  <si>
    <t>Q9BY43_CHMP4A</t>
  </si>
  <si>
    <t>Q9BY44_EIF2A</t>
  </si>
  <si>
    <t>Q9BY77_POLDIP3</t>
  </si>
  <si>
    <t>Q9BYB4_GNB1L</t>
  </si>
  <si>
    <t>Q9BYC5-2_FUT8</t>
  </si>
  <si>
    <t>Q9BYC8_MRPL32</t>
  </si>
  <si>
    <t>Q9BYD6_MRPL1</t>
  </si>
  <si>
    <t>Q9BYG5_PARD6B</t>
  </si>
  <si>
    <t>Q9BYI3_FAM126A</t>
  </si>
  <si>
    <t>Q9BYN0_SRXN1</t>
  </si>
  <si>
    <t>Q9BYT8_NLN</t>
  </si>
  <si>
    <t>Q9BYV8_CEP41</t>
  </si>
  <si>
    <t>Q9BYW2_SETD2</t>
  </si>
  <si>
    <t>Q9BYX2-4_TBC1D2</t>
  </si>
  <si>
    <t>Q9BZ23-3_PANK2</t>
  </si>
  <si>
    <t>Q9BZ67-2_FRMD8</t>
  </si>
  <si>
    <t>Q9BZ95-4_WHSC1L1</t>
  </si>
  <si>
    <t>Q9BZD3_GCOM2</t>
  </si>
  <si>
    <t>Q9BZD4_NUF2</t>
  </si>
  <si>
    <t>Q9BZE1_MRPL37</t>
  </si>
  <si>
    <t>Q9BZE2_PUS3</t>
  </si>
  <si>
    <t>Q9BZE9_ASPSCR1</t>
  </si>
  <si>
    <t>Q9BZF1-3_OSBPL8</t>
  </si>
  <si>
    <t>Q9BZF3-4_OSBPL6</t>
  </si>
  <si>
    <t>Q9BZH6_WDR11</t>
  </si>
  <si>
    <t>Q9BZI7-2_UPF3B</t>
  </si>
  <si>
    <t>Q9BZK7_TBL1XR1</t>
  </si>
  <si>
    <t>Q9BZL1_UBL5</t>
  </si>
  <si>
    <t>Q9BZM1_PLA2G12A</t>
  </si>
  <si>
    <t>Q9BZM5_ULBP2</t>
  </si>
  <si>
    <t>Q9BZM6_ULBP1</t>
  </si>
  <si>
    <t>Q9BZQ8_FAM129A</t>
  </si>
  <si>
    <t>Q9BZX2_UCK2</t>
  </si>
  <si>
    <t>Q9BZZ5_API5</t>
  </si>
  <si>
    <t>Q9BZZ5-2_API5</t>
  </si>
  <si>
    <t>Q9C004_SPRY4</t>
  </si>
  <si>
    <t>Q9C005_DPY30</t>
  </si>
  <si>
    <t>Q9C037-2_TRIM4</t>
  </si>
  <si>
    <t>Q9C073_FAM117A</t>
  </si>
  <si>
    <t>Q9C0B1_FTO</t>
  </si>
  <si>
    <t>Q9C0B5-2_ZDHHC5</t>
  </si>
  <si>
    <t>Q9C0B7_TANGO6</t>
  </si>
  <si>
    <t>Q9C0C2_TNKS1BP1</t>
  </si>
  <si>
    <t>Q9C0C4_SEMA4C</t>
  </si>
  <si>
    <t>Q9C0C7-4_AMBRA1</t>
  </si>
  <si>
    <t>Q9C0C9_UBE2O</t>
  </si>
  <si>
    <t>Q9C0D3_ZYG11B</t>
  </si>
  <si>
    <t>Q9C0F1_CEP44</t>
  </si>
  <si>
    <t>Q9C0I1_MTMR12</t>
  </si>
  <si>
    <t>Q9C0J8_WDR33</t>
  </si>
  <si>
    <t>Q9GZL7_WDR12</t>
  </si>
  <si>
    <t>Q9GZN1_ACTR6</t>
  </si>
  <si>
    <t>Q9GZN8_C20orf27</t>
  </si>
  <si>
    <t>Q9GZP1_NRSN2</t>
  </si>
  <si>
    <t>Q9GZP4_PITHD1</t>
  </si>
  <si>
    <t>Q9GZP9_DERL2</t>
  </si>
  <si>
    <t>Q9GZQ3_COMMD5</t>
  </si>
  <si>
    <t>Q9GZS1-2_POLR1E</t>
  </si>
  <si>
    <t>Q9GZS3_WDR61</t>
  </si>
  <si>
    <t>Q9GZT3-2_SLIRP</t>
  </si>
  <si>
    <t>Q9GZT4_SRR</t>
  </si>
  <si>
    <t>Q9GZT6-2_CCDC90B</t>
  </si>
  <si>
    <t>Q9GZT8-2_NIF3L1</t>
  </si>
  <si>
    <t>Q9GZT9_EGLN1</t>
  </si>
  <si>
    <t>Q9GZU8_FAM192A</t>
  </si>
  <si>
    <t>Q9GZX9_TWSG1</t>
  </si>
  <si>
    <t>Q9GZY4_COA1</t>
  </si>
  <si>
    <t>Q9GZY8-2_MFF</t>
  </si>
  <si>
    <t>Q9GZZ9_UBA5</t>
  </si>
  <si>
    <t>Q9H019-3_MTFR1L</t>
  </si>
  <si>
    <t>Q9H061_TMEM126A</t>
  </si>
  <si>
    <t>Q9H074_PAIP1</t>
  </si>
  <si>
    <t>Q9H078-2_CLPB</t>
  </si>
  <si>
    <t>Q9H081_MIS12</t>
  </si>
  <si>
    <t>Q9H082_RAB33B</t>
  </si>
  <si>
    <t>Q9H089_LSG1</t>
  </si>
  <si>
    <t>Q9H0B6_KLC2</t>
  </si>
  <si>
    <t>Q9H0C8_ILKAP</t>
  </si>
  <si>
    <t>Q9H0D6_XRN2</t>
  </si>
  <si>
    <t>Q9H0E2_TOLLIP</t>
  </si>
  <si>
    <t>Q9H0E9-2_BRD8</t>
  </si>
  <si>
    <t>Q9H0F6-2_SHARPIN</t>
  </si>
  <si>
    <t>Q9H0G5_NSRP1</t>
  </si>
  <si>
    <t>Q9H0H5_RACGAP1</t>
  </si>
  <si>
    <t>Q9H0J9_PARP12</t>
  </si>
  <si>
    <t>Q9H0K1_SIK2</t>
  </si>
  <si>
    <t>Q9H0K6_PUS7L</t>
  </si>
  <si>
    <t>Q9H0L4_CSTF2T</t>
  </si>
  <si>
    <t>Q9H0P0_NT5C3A</t>
  </si>
  <si>
    <t>Q9H0R4_HDHD2</t>
  </si>
  <si>
    <t>Q9H0R6_QRSL1</t>
  </si>
  <si>
    <t>Q9H0S4-2_DDX47</t>
  </si>
  <si>
    <t>Q9H0U3_MAGT1</t>
  </si>
  <si>
    <t>Q9H0U4_RAB1B</t>
  </si>
  <si>
    <t>Q9H0V1_TMEM168</t>
  </si>
  <si>
    <t>Q9H0V9_LMAN2L</t>
  </si>
  <si>
    <t>Q9H0W8-2_SMG9</t>
  </si>
  <si>
    <t>Q9H0W9_C11orf54</t>
  </si>
  <si>
    <t>Q9H0X4_ITFG3</t>
  </si>
  <si>
    <t>Q9H160_ING2</t>
  </si>
  <si>
    <t>Q9H173_SIL1</t>
  </si>
  <si>
    <t>Q9H1A3-2_METTL9</t>
  </si>
  <si>
    <t>Q9H1A4_ANAPC1</t>
  </si>
  <si>
    <t>Q9H1B7_IRF2BPL</t>
  </si>
  <si>
    <t>Q9H1D9_POLR3F</t>
  </si>
  <si>
    <t>Q9H1E3_NUCKS1</t>
  </si>
  <si>
    <t>Q9H1E5_TMX4</t>
  </si>
  <si>
    <t>Q9H1H9-3_KIF13A</t>
  </si>
  <si>
    <t>Q9H1K0_ZFYVE20</t>
  </si>
  <si>
    <t>Q9H1K1_ISCU</t>
  </si>
  <si>
    <t>Q9H1P3-2_OSBPL2</t>
  </si>
  <si>
    <t>Q9H1Y0_ATG5</t>
  </si>
  <si>
    <t>Q9H1Z4_WDR13</t>
  </si>
  <si>
    <t>Q9H223_EHD4</t>
  </si>
  <si>
    <t>Q9H257-2_CARD9</t>
  </si>
  <si>
    <t>Q9H267_VPS33B</t>
  </si>
  <si>
    <t>Q9H269_VPS16</t>
  </si>
  <si>
    <t>Q9H270_VPS11</t>
  </si>
  <si>
    <t>Q9H2C0_GAN</t>
  </si>
  <si>
    <t>Q9H2D1_SLC25A32</t>
  </si>
  <si>
    <t>Q9H2G2-2_SLK</t>
  </si>
  <si>
    <t>Q9H2J4_PDCL3</t>
  </si>
  <si>
    <t>Q9H2K8_TAOK3</t>
  </si>
  <si>
    <t>Q9H2M9_RAB3GAP2</t>
  </si>
  <si>
    <t>Q9H2P0_ADNP</t>
  </si>
  <si>
    <t>Q9H2P9-3_DPH5</t>
  </si>
  <si>
    <t>Q9H2U2_PPA2</t>
  </si>
  <si>
    <t>Q9H2W2_MIXL1</t>
  </si>
  <si>
    <t>Q9H2W6_MRPL46</t>
  </si>
  <si>
    <t>Q9H300_PARL</t>
  </si>
  <si>
    <t>Q9H307_PNN</t>
  </si>
  <si>
    <t>Q9H330-2_TMEM245</t>
  </si>
  <si>
    <t>Q9H3C7_GGNBP2</t>
  </si>
  <si>
    <t>Q9H3H1-4_TRIT1</t>
  </si>
  <si>
    <t>Q9H3H3-2_C11orf68</t>
  </si>
  <si>
    <t>Q9H3H5-2_DPAGT1</t>
  </si>
  <si>
    <t>Q9H3K6_BOLA2</t>
  </si>
  <si>
    <t>Q9H3M7_TXNIP</t>
  </si>
  <si>
    <t>Q9H3N1_TMX1</t>
  </si>
  <si>
    <t>Q9H3P2_NELFA</t>
  </si>
  <si>
    <t>Q9H3P7_ACBD3</t>
  </si>
  <si>
    <t>Q9H3Q1_CDC42EP4</t>
  </si>
  <si>
    <t>Q9H3R5_CENPH</t>
  </si>
  <si>
    <t>Q9H3S7_PTPN23</t>
  </si>
  <si>
    <t>Q9H3U1_UNC45A</t>
  </si>
  <si>
    <t>Q9H3U5-3_MFSD1</t>
  </si>
  <si>
    <t>Q9H3Z4-2_DNAJC5</t>
  </si>
  <si>
    <t>Q9H410_DSN1</t>
  </si>
  <si>
    <t>Q9H425_C1orf198</t>
  </si>
  <si>
    <t>Q9H444_CHMP4B</t>
  </si>
  <si>
    <t>Q9H467_CUEDC2</t>
  </si>
  <si>
    <t>Q9H469_FBXL15</t>
  </si>
  <si>
    <t>Q9H479_FN3K</t>
  </si>
  <si>
    <t>Q9H488_POFUT1</t>
  </si>
  <si>
    <t>Q9H496_IFRG15</t>
  </si>
  <si>
    <t>Q9H497_TOR3A</t>
  </si>
  <si>
    <t>Q9H4A4_RNPEP</t>
  </si>
  <si>
    <t>Q9H4A5_GOLPH3L</t>
  </si>
  <si>
    <t>Q9H4A6_GOLPH3</t>
  </si>
  <si>
    <t>Q9H4E7_DEF6</t>
  </si>
  <si>
    <t>Q9H4H8_FAM83D</t>
  </si>
  <si>
    <t>Q9H4L5_OSBPL3</t>
  </si>
  <si>
    <t>Q9H4L7_SMARCAD1</t>
  </si>
  <si>
    <t>Q9H4M9_EHD1</t>
  </si>
  <si>
    <t>Q9H4Z3_PCIF1</t>
  </si>
  <si>
    <t>Q9H501_ESF1</t>
  </si>
  <si>
    <t>Q9H553_ALG2</t>
  </si>
  <si>
    <t>Q9H5K3_SGK196</t>
  </si>
  <si>
    <t>Q9H5N1_RABEP2</t>
  </si>
  <si>
    <t>Q9H5Q4_TFB2M</t>
  </si>
  <si>
    <t>Q9H5V8_CDCP1</t>
  </si>
  <si>
    <t>Q9H5V9-3_CXorf56</t>
  </si>
  <si>
    <t>Q9H5X1_FAM96A</t>
  </si>
  <si>
    <t>Q9H6D7_HAUS4</t>
  </si>
  <si>
    <t>Q9H6E4_CCDC134</t>
  </si>
  <si>
    <t>Q9H6F5_CCDC86</t>
  </si>
  <si>
    <t>Q9H6H4_REEP4</t>
  </si>
  <si>
    <t>Q9H6K1_C6orf106</t>
  </si>
  <si>
    <t>Q9H6K4_OPA3</t>
  </si>
  <si>
    <t>Q9H6Q4_NARFL</t>
  </si>
  <si>
    <t>Q9H6R6-2_ZDHHC6</t>
  </si>
  <si>
    <t>Q9H6R7-2_C2orf44</t>
  </si>
  <si>
    <t>Q9H6S0_YTHDC2</t>
  </si>
  <si>
    <t>Q9H6S1_AZI2</t>
  </si>
  <si>
    <t>Q9H6S3_EPS8L2</t>
  </si>
  <si>
    <t>Q9H6T3_RPAP3</t>
  </si>
  <si>
    <t>Q9H6U8_ALG9</t>
  </si>
  <si>
    <t>Q9H6Y2_WDR55</t>
  </si>
  <si>
    <t>Q9H773_DCTPP1</t>
  </si>
  <si>
    <t>Q9H7B4_SMYD3</t>
  </si>
  <si>
    <t>Q9H7D7-2_WDR26</t>
  </si>
  <si>
    <t>Q9H7E2-3_TDRD3</t>
  </si>
  <si>
    <t>Q9H7E9_C8orf33</t>
  </si>
  <si>
    <t>Q9H7F0_ATP13A3</t>
  </si>
  <si>
    <t>Q9H7L9_SUDS3</t>
  </si>
  <si>
    <t>Q9H7N4_SCAF1</t>
  </si>
  <si>
    <t>Q9H7Z6_KAT8</t>
  </si>
  <si>
    <t>Q9H7Z7_PTGES2</t>
  </si>
  <si>
    <t>Q9H813_TMEM206</t>
  </si>
  <si>
    <t>Q9H814_PHAX</t>
  </si>
  <si>
    <t>Q9H832_UBE2Z</t>
  </si>
  <si>
    <t>Q9H840_GEMIN7</t>
  </si>
  <si>
    <t>Q9H845_ACAD9</t>
  </si>
  <si>
    <t>Q9H871_RMND5A</t>
  </si>
  <si>
    <t>Q9H875_PRKRIP1</t>
  </si>
  <si>
    <t>Q9H8G2_CAAP1</t>
  </si>
  <si>
    <t>Q9H8H0_NOL11</t>
  </si>
  <si>
    <t>Q9H8K7_C10orf88</t>
  </si>
  <si>
    <t>Q9H8M5-2_CNNM2</t>
  </si>
  <si>
    <t>Q9H8M7_FAM188A</t>
  </si>
  <si>
    <t>Q9H8S9_MOB1A</t>
  </si>
  <si>
    <t>Q9H8U3_ZFAND3</t>
  </si>
  <si>
    <t>Q9H8W4_PLEKHF2</t>
  </si>
  <si>
    <t>Q9H8Y5_ANKZF1</t>
  </si>
  <si>
    <t>Q9H8Y8_GORASP2</t>
  </si>
  <si>
    <t>Q9H900_ZWILCH</t>
  </si>
  <si>
    <t>Q9H910-2_HN1L</t>
  </si>
  <si>
    <t>Q9H936_SLC25A22</t>
  </si>
  <si>
    <t>Q9H939_PSTPIP2</t>
  </si>
  <si>
    <t>Q9H944_MED20</t>
  </si>
  <si>
    <t>Q9H974_QTRTD1</t>
  </si>
  <si>
    <t>Q9H981_ACTR8</t>
  </si>
  <si>
    <t>Q9H993_C6orf211</t>
  </si>
  <si>
    <t>Q9H999_PANK3</t>
  </si>
  <si>
    <t>Q9H9A5-2_CNOT10</t>
  </si>
  <si>
    <t>Q9H9A6_LRRC40</t>
  </si>
  <si>
    <t>Q9H9B1_EHMT1</t>
  </si>
  <si>
    <t>Q9H9B4_SFXN1</t>
  </si>
  <si>
    <t>Q9H9F9_ACTR5</t>
  </si>
  <si>
    <t>Q9H9H4_VPS37B</t>
  </si>
  <si>
    <t>Q9H9M6_DARS2</t>
  </si>
  <si>
    <t>Q9H9P8_L2HGDH</t>
  </si>
  <si>
    <t>Q9H9T3-2_ELP3</t>
  </si>
  <si>
    <t>Q9H9V9-2_JMJD4</t>
  </si>
  <si>
    <t>Q9H9Y4_GPN2</t>
  </si>
  <si>
    <t>Q9H9Y6_POLR1B</t>
  </si>
  <si>
    <t>Q9HA47-3_UCK1</t>
  </si>
  <si>
    <t>Q9HA64_FN3KRP</t>
  </si>
  <si>
    <t>Q9HA65_TBC1D17</t>
  </si>
  <si>
    <t>Q9HA77_CARS2</t>
  </si>
  <si>
    <t>Q9HAB8_PPCS</t>
  </si>
  <si>
    <t>Q9HAJ7_SAP30L</t>
  </si>
  <si>
    <t>Q9HAN9_NMNAT1</t>
  </si>
  <si>
    <t>Q9HAP2_MLXIP</t>
  </si>
  <si>
    <t>Q9HAP6_LIN7B</t>
  </si>
  <si>
    <t>Q9HAT2-2_SIAE</t>
  </si>
  <si>
    <t>Q9HAU0_PLEKHA5</t>
  </si>
  <si>
    <t>Q9HAU5_UPF2</t>
  </si>
  <si>
    <t>Q9HAV0_GNB4</t>
  </si>
  <si>
    <t>Q9HAV4_XPO5</t>
  </si>
  <si>
    <t>Q9HAV7_GRPEL1</t>
  </si>
  <si>
    <t>Q9HAW4_CLSPN</t>
  </si>
  <si>
    <t>Q9HB09_BCL2L12</t>
  </si>
  <si>
    <t>Q9HB19_PLEKHA2</t>
  </si>
  <si>
    <t>Q9HB40_SCPEP1</t>
  </si>
  <si>
    <t>Q9HB71_CACYBP</t>
  </si>
  <si>
    <t>Q9HB90_RRAGC</t>
  </si>
  <si>
    <t>Q9HBD4_SMARCA4</t>
  </si>
  <si>
    <t>Q9HBH1_PDF</t>
  </si>
  <si>
    <t>Q9HBH5_RDH14</t>
  </si>
  <si>
    <t>Q9HBI1_PARVB</t>
  </si>
  <si>
    <t>Q9HBL8_NMRAL1</t>
  </si>
  <si>
    <t>Q9HBM1_SPC25</t>
  </si>
  <si>
    <t>Q9HBM6_TAF9B</t>
  </si>
  <si>
    <t>Q9HBM8_AGPAT1</t>
  </si>
  <si>
    <t>Q9HC35_EML4</t>
  </si>
  <si>
    <t>Q9HC36_RNMTL1</t>
  </si>
  <si>
    <t>Q9HC38-2_GLOD4</t>
  </si>
  <si>
    <t>Q9HC44_GPBP1L1</t>
  </si>
  <si>
    <t>Q9HCC0_MCCC2</t>
  </si>
  <si>
    <t>Q9HCD5_NCOA5</t>
  </si>
  <si>
    <t>Q9HCE1_MOV10</t>
  </si>
  <si>
    <t>Q9HCE5_METTL14</t>
  </si>
  <si>
    <t>Q9HCK8-2_CHD8</t>
  </si>
  <si>
    <t>Q9HCN3_TMEM8A</t>
  </si>
  <si>
    <t>Q9HCN4-4_GPN1</t>
  </si>
  <si>
    <t>Q9HCN8_SDF2L1</t>
  </si>
  <si>
    <t>Q9HCP0-2_CSNK1G1</t>
  </si>
  <si>
    <t>Q9HCU5_PREB</t>
  </si>
  <si>
    <t>Q9HCU8_POLD4</t>
  </si>
  <si>
    <t>Q9HD15_SRA1</t>
  </si>
  <si>
    <t>Q9HD20-2_ATP13A1</t>
  </si>
  <si>
    <t>Q9HD23_MRS2</t>
  </si>
  <si>
    <t>Q9HD26_GOPC</t>
  </si>
  <si>
    <t>Q9HD40-3_SEPSECS</t>
  </si>
  <si>
    <t>Q9HD42_CHMP1A</t>
  </si>
  <si>
    <t>Q9HD45_TM9SF3</t>
  </si>
  <si>
    <t>Q9HD47-2_RANGRF</t>
  </si>
  <si>
    <t>Q9HD64_XAGE1A</t>
  </si>
  <si>
    <t>Q9HDC5_JPH1</t>
  </si>
  <si>
    <t>Q9HDC9_APMAP</t>
  </si>
  <si>
    <t>Q9NNW5_WDR6</t>
  </si>
  <si>
    <t>Q9NP31-3_SH2D2A</t>
  </si>
  <si>
    <t>Q9NP58-4_ABCB6</t>
  </si>
  <si>
    <t>Q9NP59_SLC40A1</t>
  </si>
  <si>
    <t>Q9NP66_HMG20A</t>
  </si>
  <si>
    <t>Q9NP72_RAB18</t>
  </si>
  <si>
    <t>Q9NP73-2_ALG13</t>
  </si>
  <si>
    <t>Q9NP74-3_PALMD</t>
  </si>
  <si>
    <t>Q9NP77_SSU72</t>
  </si>
  <si>
    <t>Q9NP79_VTA1</t>
  </si>
  <si>
    <t>Q9NP84_TNFRSF12A</t>
  </si>
  <si>
    <t>Q9NP92_MRPS30</t>
  </si>
  <si>
    <t>Q9NPA0_EMC7</t>
  </si>
  <si>
    <t>Q9NPA3_MID1IP1</t>
  </si>
  <si>
    <t>Q9NPA8-2_ENY2</t>
  </si>
  <si>
    <t>Q9NPB8_GPCPD1</t>
  </si>
  <si>
    <t>Q9NPD3_EXOSC4</t>
  </si>
  <si>
    <t>Q9NPD8_UBE2T</t>
  </si>
  <si>
    <t>Q9NPE2_NGRN</t>
  </si>
  <si>
    <t>Q9NPE3_NOP10</t>
  </si>
  <si>
    <t>Q9NPF0_CD320</t>
  </si>
  <si>
    <t>Q9NPF4_OSGEP</t>
  </si>
  <si>
    <t>Q9NPH2_ISYNA1</t>
  </si>
  <si>
    <t>Q9NPI6_DCP1A</t>
  </si>
  <si>
    <t>Q9NPJ3_ACOT13</t>
  </si>
  <si>
    <t>Q9NPJ6_MED4</t>
  </si>
  <si>
    <t>Q9NPL8_TIMMDC1</t>
  </si>
  <si>
    <t>Q9NPQ8-4_RIC8A</t>
  </si>
  <si>
    <t>Q9NPR9_GPR108</t>
  </si>
  <si>
    <t>Q9NQ11-3_ATP13A2</t>
  </si>
  <si>
    <t>Q9NQ29_LUC7L</t>
  </si>
  <si>
    <t>Q9NQ88_TIGAR</t>
  </si>
  <si>
    <t>Q9NQC3_RTN4</t>
  </si>
  <si>
    <t>Q9NQE9_HINT3</t>
  </si>
  <si>
    <t>Q9NQG1_MANBAL</t>
  </si>
  <si>
    <t>Q9NQG5_RPRD1B</t>
  </si>
  <si>
    <t>Q9NQG7-3_HPS4</t>
  </si>
  <si>
    <t>Q9NQH7-2_XPNPEP3</t>
  </si>
  <si>
    <t>Q9NQP4_PFDN4</t>
  </si>
  <si>
    <t>Q9NQR4_NIT2</t>
  </si>
  <si>
    <t>Q9NQS1_AVEN</t>
  </si>
  <si>
    <t>Q9NQT4_EXOSC5</t>
  </si>
  <si>
    <t>Q9NQT8_KIF13B</t>
  </si>
  <si>
    <t>Q9NQW6_ANLN</t>
  </si>
  <si>
    <t>Q9NQW7-3_XPNPEP1</t>
  </si>
  <si>
    <t>Q9NQX4_MYO5C</t>
  </si>
  <si>
    <t>Q9NQY0_BIN3</t>
  </si>
  <si>
    <t>Q9NQZ2_UTP3</t>
  </si>
  <si>
    <t>Q9NQZ5_STARD7</t>
  </si>
  <si>
    <t>Q9NR09_BIRC6</t>
  </si>
  <si>
    <t>Q9NR12_PDLIM7</t>
  </si>
  <si>
    <t>Q9NR19_ACSS2</t>
  </si>
  <si>
    <t>Q9NR28-2_DIABLO</t>
  </si>
  <si>
    <t>Q9NR30_DDX21</t>
  </si>
  <si>
    <t>Q9NR31_SAR1A</t>
  </si>
  <si>
    <t>Q9NR33_POLE4</t>
  </si>
  <si>
    <t>Q9NR45_NANS</t>
  </si>
  <si>
    <t>Q9NR50_EIF2B3</t>
  </si>
  <si>
    <t>Q9NRF2-3_SH2B1</t>
  </si>
  <si>
    <t>Q9NRF8_CTPS2</t>
  </si>
  <si>
    <t>Q9NRF9_POLE3</t>
  </si>
  <si>
    <t>Q9NRG0_CHRAC1</t>
  </si>
  <si>
    <t>Q9NRG1_PRTFDC1</t>
  </si>
  <si>
    <t>Q9NRG4_SMYD2</t>
  </si>
  <si>
    <t>Q9NRH1_YAE1D1</t>
  </si>
  <si>
    <t>Q9NRK6_ABCB10</t>
  </si>
  <si>
    <t>Q9NRL2-2_BAZ1A</t>
  </si>
  <si>
    <t>Q9NRL3_STRN4</t>
  </si>
  <si>
    <t>Q9NRN7_AASDHPPT</t>
  </si>
  <si>
    <t>Q9NRN9_METTL5</t>
  </si>
  <si>
    <t>Q9NRP2_CMC2</t>
  </si>
  <si>
    <t>Q9NRP4_ACN9</t>
  </si>
  <si>
    <t>Q9NRR5_UBQLN4</t>
  </si>
  <si>
    <t>Q9NRR8_CDC42SE1</t>
  </si>
  <si>
    <t>Q9NRS6-2_SNX15</t>
  </si>
  <si>
    <t>Q9NRV9_HEBP1</t>
  </si>
  <si>
    <t>Q9NRW1_RAB6B</t>
  </si>
  <si>
    <t>Q9NRW3_APOBEC3C</t>
  </si>
  <si>
    <t>Q9NRW4_DUSP22</t>
  </si>
  <si>
    <t>Q9NRW7_VPS45</t>
  </si>
  <si>
    <t>Q9NRX1_PNO1</t>
  </si>
  <si>
    <t>Q9NRX4_PHPT1</t>
  </si>
  <si>
    <t>Q9NRX5_SERINC1</t>
  </si>
  <si>
    <t>Q9NRY4_ARHGAP35</t>
  </si>
  <si>
    <t>Q9NRY5_FAM114A2</t>
  </si>
  <si>
    <t>Q9NRZ7-2_AGPAT3</t>
  </si>
  <si>
    <t>Q9NRZ9-4_HELLS</t>
  </si>
  <si>
    <t>Q9NS18_GLRX2</t>
  </si>
  <si>
    <t>Q9NS23-4_RASSF1</t>
  </si>
  <si>
    <t>Q9NS69_TOMM22</t>
  </si>
  <si>
    <t>Q9NS86_LANCL2</t>
  </si>
  <si>
    <t>Q9NS87_KIF15</t>
  </si>
  <si>
    <t>Q9NS91_RAD18</t>
  </si>
  <si>
    <t>Q9NS93_TM7SF3</t>
  </si>
  <si>
    <t>Q9NSA3_CTNNBIP1</t>
  </si>
  <si>
    <t>Q9NSD9_FARSB</t>
  </si>
  <si>
    <t>Q9NSE4_IARS2</t>
  </si>
  <si>
    <t>Q9NSG2-3_C1orf112</t>
  </si>
  <si>
    <t>Q9NSI2-2_FAM207A</t>
  </si>
  <si>
    <t>Q9NSI8_SAMSN1</t>
  </si>
  <si>
    <t>Q9NSK0_KLC4</t>
  </si>
  <si>
    <t>Q9NSY1_BMP2K</t>
  </si>
  <si>
    <t>Q9NT62_ATG3</t>
  </si>
  <si>
    <t>Q9NTG7_SIRT3</t>
  </si>
  <si>
    <t>Q9NTI5-2_PDS5B</t>
  </si>
  <si>
    <t>Q9NTJ3_SMC4</t>
  </si>
  <si>
    <t>Q9NTJ4-3_MAN2C1</t>
  </si>
  <si>
    <t>Q9NTJ5_SACM1L</t>
  </si>
  <si>
    <t>Q9NTM9_CUTC</t>
  </si>
  <si>
    <t>Q9NTX5-2_ECHDC1</t>
  </si>
  <si>
    <t>Q9NTX7-2_RNF146</t>
  </si>
  <si>
    <t>Q9NTZ6_RBM12</t>
  </si>
  <si>
    <t>Q9NU19_TBC1D22B</t>
  </si>
  <si>
    <t>Q9NU22_MDN1</t>
  </si>
  <si>
    <t>Q9NU23_LYRM2</t>
  </si>
  <si>
    <t>Q9NUD5_ZCCHC3</t>
  </si>
  <si>
    <t>Q9NUE0_ZDHHC18</t>
  </si>
  <si>
    <t>Q9NUG6_PDRG1</t>
  </si>
  <si>
    <t>Q9NUJ1_ABHD10</t>
  </si>
  <si>
    <t>Q9NUM4_TMEM106B</t>
  </si>
  <si>
    <t>Q9NUN5-3_LMBRD1</t>
  </si>
  <si>
    <t>Q9NUP1_BLOC1S4</t>
  </si>
  <si>
    <t>Q9NUP7_TRMT13</t>
  </si>
  <si>
    <t>Q9NUP9_LIN7C</t>
  </si>
  <si>
    <t>Q9NUQ2_AGPAT5</t>
  </si>
  <si>
    <t>Q9NUQ3_TXLNG</t>
  </si>
  <si>
    <t>Q9NUQ7_UFSP2</t>
  </si>
  <si>
    <t>Q9NUQ8_ABCF3</t>
  </si>
  <si>
    <t>Q9NUQ9_FAM49B</t>
  </si>
  <si>
    <t>Q9NUS5_AP5S1</t>
  </si>
  <si>
    <t>Q9NUU7_DDX19A</t>
  </si>
  <si>
    <t>Q9NUW8_TDP1</t>
  </si>
  <si>
    <t>Q9NUY8_TBC1D23</t>
  </si>
  <si>
    <t>Q9NV06_DCAF13</t>
  </si>
  <si>
    <t>Q9NV35_NUDT15</t>
  </si>
  <si>
    <t>Q9NV56_MRGBP</t>
  </si>
  <si>
    <t>Q9NV66_TYW1</t>
  </si>
  <si>
    <t>Q9NV70-2_EXOC1</t>
  </si>
  <si>
    <t>Q9NV96-2_TMEM30A</t>
  </si>
  <si>
    <t>Q9NVA1-2_UQCC</t>
  </si>
  <si>
    <t>Q9NVC6_MED17</t>
  </si>
  <si>
    <t>Q9NVE7_PANK4</t>
  </si>
  <si>
    <t>Q9NVF7_FBXO28</t>
  </si>
  <si>
    <t>Q9NVG8_TBC1D13</t>
  </si>
  <si>
    <t>Q9NVH0-2_EXD2</t>
  </si>
  <si>
    <t>Q9NVH1-3_DNAJC11</t>
  </si>
  <si>
    <t>Q9NVH2-4_INTS7</t>
  </si>
  <si>
    <t>Q9NVI1_FANCI</t>
  </si>
  <si>
    <t>Q9NVI7-2_ATAD3A</t>
  </si>
  <si>
    <t>Q9NVJ2_ARL8B</t>
  </si>
  <si>
    <t>Q9NVK5_FGFR1OP2</t>
  </si>
  <si>
    <t>Q9NVM1_EVA1B</t>
  </si>
  <si>
    <t>Q9NVM4-3_PRMT7</t>
  </si>
  <si>
    <t>Q9NVM6_DNAJC17</t>
  </si>
  <si>
    <t>Q9NVM9_ASUN</t>
  </si>
  <si>
    <t>Q9NVN8_GNL3L</t>
  </si>
  <si>
    <t>Q9NVP1_DDX18</t>
  </si>
  <si>
    <t>Q9NVP2_ASF1B</t>
  </si>
  <si>
    <t>Q9NVR0_KLHL11</t>
  </si>
  <si>
    <t>Q9NVR2_INTS10</t>
  </si>
  <si>
    <t>Q9NVR5_DNAAF2</t>
  </si>
  <si>
    <t>Q9NVU0-5_POLR3E</t>
  </si>
  <si>
    <t>Q9NVV0_TMEM38B</t>
  </si>
  <si>
    <t>Q9NVV4_MTPAP</t>
  </si>
  <si>
    <t>Q9NVW2_RLIM</t>
  </si>
  <si>
    <t>Q9NVX2_NLE1</t>
  </si>
  <si>
    <t>Q9NVX7_KBTBD4</t>
  </si>
  <si>
    <t>Q9NVZ3_NECAP2</t>
  </si>
  <si>
    <t>Q9NW08-2_POLR3B</t>
  </si>
  <si>
    <t>Q9NW15_ANO10</t>
  </si>
  <si>
    <t>Q9NW64_RBM22</t>
  </si>
  <si>
    <t>Q9NW82_WDR70</t>
  </si>
  <si>
    <t>Q9NWB6_ARGLU1</t>
  </si>
  <si>
    <t>Q9NWD8_TMEM248</t>
  </si>
  <si>
    <t>Q9NWD9_BEX4</t>
  </si>
  <si>
    <t>Q9NWH2_TMEM242</t>
  </si>
  <si>
    <t>Q9NWH9_SLTM</t>
  </si>
  <si>
    <t>Q9NWK9_ZNHIT6</t>
  </si>
  <si>
    <t>Q9NWM8_FKBP14</t>
  </si>
  <si>
    <t>Q9NWQ9_C14orf119</t>
  </si>
  <si>
    <t>Q9NWS0_PIH1D1</t>
  </si>
  <si>
    <t>Q9NWS6_FAM118A</t>
  </si>
  <si>
    <t>Q9NWS8_RMND1</t>
  </si>
  <si>
    <t>Q9NWT6_HIF1AN</t>
  </si>
  <si>
    <t>Q9NWT8_AURKAIP1</t>
  </si>
  <si>
    <t>Q9NWU1_OXSM</t>
  </si>
  <si>
    <t>Q9NWU2_GID8</t>
  </si>
  <si>
    <t>Q9NWV4_C1orf123</t>
  </si>
  <si>
    <t>Q9NWX6_THG1L</t>
  </si>
  <si>
    <t>Q9NWY4_C4orf27</t>
  </si>
  <si>
    <t>Q9NWZ3_IRAK4</t>
  </si>
  <si>
    <t>Q9NX00_TMEM160</t>
  </si>
  <si>
    <t>Q9NX01_TXNL4B</t>
  </si>
  <si>
    <t>Q9NX02-5_NLRP2</t>
  </si>
  <si>
    <t>Q9NX07-2_TRNAU1AP</t>
  </si>
  <si>
    <t>Q9NX08_COMMD8</t>
  </si>
  <si>
    <t>Q9NX09_DDIT4</t>
  </si>
  <si>
    <t>Q9NX14_NDUFB11</t>
  </si>
  <si>
    <t>Q9NX20_MRPL16</t>
  </si>
  <si>
    <t>Q9NX24_NHP2</t>
  </si>
  <si>
    <t>Q9NX38_FAM206A</t>
  </si>
  <si>
    <t>Q9NX40_OCIAD1</t>
  </si>
  <si>
    <t>Q9NX46_ADPRHL2</t>
  </si>
  <si>
    <t>Q9NX47_MARCH5</t>
  </si>
  <si>
    <t>Q9NX55_HYPK</t>
  </si>
  <si>
    <t>Q9NX58_LYAR</t>
  </si>
  <si>
    <t>Q9NX62_IMPAD1</t>
  </si>
  <si>
    <t>Q9NX70_MED29</t>
  </si>
  <si>
    <t>Q9NX74_DUS2L</t>
  </si>
  <si>
    <t>Q9NXA8-4_SIRT5</t>
  </si>
  <si>
    <t>Q9NXC5_MIOS</t>
  </si>
  <si>
    <t>Q9NXE8_CWC25</t>
  </si>
  <si>
    <t>Q9NXF1-2_TEX10</t>
  </si>
  <si>
    <t>Q9NXF7_DCAF16</t>
  </si>
  <si>
    <t>Q9NXF8_ZDHHC7</t>
  </si>
  <si>
    <t>Q9NXH8_TOR4A</t>
  </si>
  <si>
    <t>Q9NXH9_TRMT1</t>
  </si>
  <si>
    <t>Q9NXK8-2_FBXL12</t>
  </si>
  <si>
    <t>Q9NXN4-2_GDAP2</t>
  </si>
  <si>
    <t>Q9NXR1-2_NDE1</t>
  </si>
  <si>
    <t>Q9NXR7_BRE</t>
  </si>
  <si>
    <t>Q9NXS2_QPCTL</t>
  </si>
  <si>
    <t>Q9NXU5_ARL15</t>
  </si>
  <si>
    <t>Q9NXV2_KCTD5</t>
  </si>
  <si>
    <t>Q9NXV6_CDKN2AIP</t>
  </si>
  <si>
    <t>Q9NXW9_ALKBH4</t>
  </si>
  <si>
    <t>Q9NXX6_NSMCE4A</t>
  </si>
  <si>
    <t>Q9NY12-2_GAR1</t>
  </si>
  <si>
    <t>Q9NY27_PPP4R2</t>
  </si>
  <si>
    <t>Q9NY97-2_B3GNT2</t>
  </si>
  <si>
    <t>Q9NYA1-2_SPHK1</t>
  </si>
  <si>
    <t>Q9NYB0_TERF2IP</t>
  </si>
  <si>
    <t>Q9NYH9_UTP6</t>
  </si>
  <si>
    <t>Q9NYJ1_COA4</t>
  </si>
  <si>
    <t>Q9NYJ8_TAB2</t>
  </si>
  <si>
    <t>Q9NYK5_MRPL39</t>
  </si>
  <si>
    <t>Q9NYL2_MLTK</t>
  </si>
  <si>
    <t>Q9NYL2-2_MLTK</t>
  </si>
  <si>
    <t>Q9NYL9_TMOD3</t>
  </si>
  <si>
    <t>Q9NYP9_MIS18A</t>
  </si>
  <si>
    <t>Q9NYU2-2_UGGT1</t>
  </si>
  <si>
    <t>Q9NYV4-2_CDK12</t>
  </si>
  <si>
    <t>Q9NYY8_FASTKD2</t>
  </si>
  <si>
    <t>Q9NYZ2-4_SLC25A37</t>
  </si>
  <si>
    <t>Q9NYZ3_GTSE1</t>
  </si>
  <si>
    <t>Q9NZ01_TECR</t>
  </si>
  <si>
    <t>Q9NZ08_ERAP1</t>
  </si>
  <si>
    <t>Q9NZ09-2_UBAP1</t>
  </si>
  <si>
    <t>Q9NZ32_ACTR10</t>
  </si>
  <si>
    <t>Q9NZ43_USE1</t>
  </si>
  <si>
    <t>Q9NZ45_CISD1</t>
  </si>
  <si>
    <t>Q9NZ53_PODXL2</t>
  </si>
  <si>
    <t>Q9NZ63_C9orf78</t>
  </si>
  <si>
    <t>Q9NZA1-3_CLIC5</t>
  </si>
  <si>
    <t>Q9NZC3_GDE1</t>
  </si>
  <si>
    <t>Q9NZC7-5_WWOX</t>
  </si>
  <si>
    <t>Q9NZC9_SMARCAL1</t>
  </si>
  <si>
    <t>Q9NZD4_AHSP</t>
  </si>
  <si>
    <t>Q9NZD8-2_SPG21</t>
  </si>
  <si>
    <t>Q9NZI7-4_UBP1</t>
  </si>
  <si>
    <t>Q9NZI8_IGF2BP1</t>
  </si>
  <si>
    <t>Q9NZJ4_SACS</t>
  </si>
  <si>
    <t>Q9NZJ6_COQ3</t>
  </si>
  <si>
    <t>Q9NZJ7-2_MTCH1</t>
  </si>
  <si>
    <t>Q9NZJ9_NUDT4</t>
  </si>
  <si>
    <t>Q9NZL4_HSPBP1</t>
  </si>
  <si>
    <t>Q9NZL9_MAT2B</t>
  </si>
  <si>
    <t>Q9NZL9-2_MAT2B</t>
  </si>
  <si>
    <t>Q9NZM3-4_ITSN2</t>
  </si>
  <si>
    <t>Q9NZN4_EHD2</t>
  </si>
  <si>
    <t>Q9NZN5-2_ARHGEF12</t>
  </si>
  <si>
    <t>Q9NZQ3-3_NCKIPSD</t>
  </si>
  <si>
    <t>Q9NZT2-2_OGFR</t>
  </si>
  <si>
    <t>Q9NZW5_MPP6</t>
  </si>
  <si>
    <t>Q9NZZ3_CHMP5</t>
  </si>
  <si>
    <t>Q9P000_COMMD9</t>
  </si>
  <si>
    <t>Q9P013_CWC15</t>
  </si>
  <si>
    <t>Q9P016_THYN1</t>
  </si>
  <si>
    <t>Q9P021_CRIPT</t>
  </si>
  <si>
    <t>Q9P032_NDUFAF4</t>
  </si>
  <si>
    <t>Q9P035_PTPLAD1</t>
  </si>
  <si>
    <t>Q9P0B6_CCDC167</t>
  </si>
  <si>
    <t>Q9P0I2_EMC3</t>
  </si>
  <si>
    <t>Q9P0J7_KCMF1</t>
  </si>
  <si>
    <t>Q9P0L0_VAPA</t>
  </si>
  <si>
    <t>Q9P0N9-3_TBC1D7</t>
  </si>
  <si>
    <t>Q9P0P0_RNF181</t>
  </si>
  <si>
    <t>Q9P0R6_GSKIP</t>
  </si>
  <si>
    <t>Q9P0S2_COX16</t>
  </si>
  <si>
    <t>Q9P0U4_CXXC1</t>
  </si>
  <si>
    <t>Q9P0W2_HMG20B</t>
  </si>
  <si>
    <t>Q9P1U0_ZNRD1</t>
  </si>
  <si>
    <t>Q9P1U1_ACTR3B</t>
  </si>
  <si>
    <t>Q9P1W9_PIM2</t>
  </si>
  <si>
    <t>Q9P1Z2-2_CALCOCO1</t>
  </si>
  <si>
    <t>Q9P206-2_KIAA1522</t>
  </si>
  <si>
    <t>Q9P209_CEP72</t>
  </si>
  <si>
    <t>Q9P215_POGK</t>
  </si>
  <si>
    <t>Q9P253_VPS18</t>
  </si>
  <si>
    <t>Q9P258_RCC2</t>
  </si>
  <si>
    <t>Q9P265_DIP2B</t>
  </si>
  <si>
    <t>Q9P270_SLAIN2</t>
  </si>
  <si>
    <t>Q9P287_BCCIP</t>
  </si>
  <si>
    <t>Q9P2B2_PTGFRN</t>
  </si>
  <si>
    <t>Q9P2D3-3_HEATR5B</t>
  </si>
  <si>
    <t>Q9P2D7-5_DNAH1</t>
  </si>
  <si>
    <t>Q9P2E3_ZNFX1</t>
  </si>
  <si>
    <t>Q9P2E9_RRBP1</t>
  </si>
  <si>
    <t>Q9P2I0_CPSF2</t>
  </si>
  <si>
    <t>Q9P2J9_PDP2</t>
  </si>
  <si>
    <t>Q9P2K8-2_EIF2AK4</t>
  </si>
  <si>
    <t>Q9P2M4_TBC1D14</t>
  </si>
  <si>
    <t>Q9P2N5_RBM27</t>
  </si>
  <si>
    <t>Q9P2R3_ANKFY1</t>
  </si>
  <si>
    <t>Q9P2W1_PSMC3IP</t>
  </si>
  <si>
    <t>Q9P2X0_DPM3</t>
  </si>
  <si>
    <t>Q9P2Y5_UVRAG</t>
  </si>
  <si>
    <t>Q9UBB4_ATXN10</t>
  </si>
  <si>
    <t>Q9UBB5_MBD2</t>
  </si>
  <si>
    <t>Q9UBB6_NCDN</t>
  </si>
  <si>
    <t>Q9UBB9_TFIP11</t>
  </si>
  <si>
    <t>Q9UBC2-2_EPS15L1</t>
  </si>
  <si>
    <t>Q9UBC3-4_DNMT3B</t>
  </si>
  <si>
    <t>Q9UBD5_ORC3</t>
  </si>
  <si>
    <t>Q9UBE0_SAE1</t>
  </si>
  <si>
    <t>Q9UBF1_MAGEC2</t>
  </si>
  <si>
    <t>Q9UBF2_COPG2</t>
  </si>
  <si>
    <t>Q9UBF6_RNF7</t>
  </si>
  <si>
    <t>Q9UBF8-2_PI4KB</t>
  </si>
  <si>
    <t>Q9UBH6-2_XPR1</t>
  </si>
  <si>
    <t>Q9UBI6_GNG12</t>
  </si>
  <si>
    <t>Q9UBK8-2_MTRR</t>
  </si>
  <si>
    <t>Q9UBK9_UXT</t>
  </si>
  <si>
    <t>Q9UBL3-3_ASH2L</t>
  </si>
  <si>
    <t>Q9UBM7_DHCR7</t>
  </si>
  <si>
    <t>Q9UBP0-3_SPAST</t>
  </si>
  <si>
    <t>Q9UBP6_METTL1</t>
  </si>
  <si>
    <t>Q9UBP9_GULP1</t>
  </si>
  <si>
    <t>Q9UBQ7_GRHPR</t>
  </si>
  <si>
    <t>Q9UBR2_CTSZ</t>
  </si>
  <si>
    <t>Q9UBS0_RPS6KB2</t>
  </si>
  <si>
    <t>Q9UBS4_DNAJB11</t>
  </si>
  <si>
    <t>Q9UBS8_RNF14</t>
  </si>
  <si>
    <t>Q9UBT2_UBA2</t>
  </si>
  <si>
    <t>Q9UBT7-2_CTNNAL1</t>
  </si>
  <si>
    <t>Q9UBU6_FAM8A1</t>
  </si>
  <si>
    <t>Q9UBU9_NXF1</t>
  </si>
  <si>
    <t>Q9UBV2_SEL1L</t>
  </si>
  <si>
    <t>Q9UBV7_B4GALT7</t>
  </si>
  <si>
    <t>Q9UBV8_PEF1</t>
  </si>
  <si>
    <t>Q9UBW7_ZMYM2</t>
  </si>
  <si>
    <t>Q9UBW8_COPS7A</t>
  </si>
  <si>
    <t>Q9UBX3_SLC25A10</t>
  </si>
  <si>
    <t>Q9UDT6-2_CLIP2</t>
  </si>
  <si>
    <t>Q9UDX5_MTFP1</t>
  </si>
  <si>
    <t>Q9UDY2_TJP2</t>
  </si>
  <si>
    <t>Q9UDY4_DNAJB4</t>
  </si>
  <si>
    <t>Q9UEE9_CFDP1</t>
  </si>
  <si>
    <t>Q9UEG4_ZNF629</t>
  </si>
  <si>
    <t>Q9UEL6_MPZL1</t>
  </si>
  <si>
    <t>Q9UER7-2_DAXX</t>
  </si>
  <si>
    <t>Q9UET6-2_FTSJ1</t>
  </si>
  <si>
    <t>Q9UEU0_VTI1B</t>
  </si>
  <si>
    <t>Q9UEU5_GAGE2D</t>
  </si>
  <si>
    <t>Q9UEY8-2_ADD3</t>
  </si>
  <si>
    <t>Q9UFC0_LRWD1</t>
  </si>
  <si>
    <t>Q9UFG5_C19orf25</t>
  </si>
  <si>
    <t>Q9UFW8_CGGBP1</t>
  </si>
  <si>
    <t>Q9UG52_DKFZp564L232</t>
  </si>
  <si>
    <t>Q9UG63_ABCF2</t>
  </si>
  <si>
    <t>Q9UGC7-4_MTRF1L</t>
  </si>
  <si>
    <t>Q9UGI8_TES</t>
  </si>
  <si>
    <t>Q9UGJ1-2_TUBGCP4</t>
  </si>
  <si>
    <t>Q9UGM6_WARS2</t>
  </si>
  <si>
    <t>Q9UGP4_LIMD1</t>
  </si>
  <si>
    <t>Q9UGP8_SEC63</t>
  </si>
  <si>
    <t>Q9UGR2-2_ZC3H7B</t>
  </si>
  <si>
    <t>Q9UH62_ARMCX3</t>
  </si>
  <si>
    <t>Q9UH65_SWAP70</t>
  </si>
  <si>
    <t>Q9UH99_SUN2</t>
  </si>
  <si>
    <t>Q9UHA2_SS18L2</t>
  </si>
  <si>
    <t>Q9UHA4_LAMTOR3</t>
  </si>
  <si>
    <t>Q9UHB7_AFF4</t>
  </si>
  <si>
    <t>Q9UHB9-4_SRP68</t>
  </si>
  <si>
    <t>Q9UHD1_CHORDC1</t>
  </si>
  <si>
    <t>Q9UHD2_TBK1</t>
  </si>
  <si>
    <t>Q9UHD8-7_SEPT9</t>
  </si>
  <si>
    <t>Q9UHD9_UBQLN2</t>
  </si>
  <si>
    <t>Q9UHG3_PCYOX1</t>
  </si>
  <si>
    <t>Q9UHI6_DDX20</t>
  </si>
  <si>
    <t>Q9UHJ6_SHPK</t>
  </si>
  <si>
    <t>Q9UHK0_NUFIP1</t>
  </si>
  <si>
    <t>Q9UHL4_DPP7</t>
  </si>
  <si>
    <t>Q9UHN1_POLG2</t>
  </si>
  <si>
    <t>Q9UHN6-2_TMEM2</t>
  </si>
  <si>
    <t>Q9UHP3_USP25</t>
  </si>
  <si>
    <t>Q9UHQ1_NARF</t>
  </si>
  <si>
    <t>Q9UHQ4_BCAP29</t>
  </si>
  <si>
    <t>Q9UHQ9_CYB5R1</t>
  </si>
  <si>
    <t>Q9UHR4_BAIAP2L1</t>
  </si>
  <si>
    <t>Q9UHR6_ZNHIT2</t>
  </si>
  <si>
    <t>Q9UHV9_PFDN2</t>
  </si>
  <si>
    <t>Q9UHW5_GPN3</t>
  </si>
  <si>
    <t>Q9UHX1-4_PUF60</t>
  </si>
  <si>
    <t>Q9UHX3-5_EMR2</t>
  </si>
  <si>
    <t>Q9UHY1_NRBP1</t>
  </si>
  <si>
    <t>Q9UHY7_ENOPH1</t>
  </si>
  <si>
    <t>Q9UI09_NDUFA12</t>
  </si>
  <si>
    <t>Q9UI10_EIF2B4</t>
  </si>
  <si>
    <t>Q9UI10-3_EIF2B4</t>
  </si>
  <si>
    <t>Q9UI12-2_ATP6V1H</t>
  </si>
  <si>
    <t>Q9UI26_IPO11</t>
  </si>
  <si>
    <t>Q9UI30_TRMT112</t>
  </si>
  <si>
    <t>Q9UI43_FTSJ2</t>
  </si>
  <si>
    <t>Q9UIC8_LCMT1</t>
  </si>
  <si>
    <t>Q9UID3_VPS51</t>
  </si>
  <si>
    <t>Q9UIG0-2_BAZ1B</t>
  </si>
  <si>
    <t>Q9UII2_ATPIF1</t>
  </si>
  <si>
    <t>Q9UIJ7_AK3</t>
  </si>
  <si>
    <t>Q9UIL1-3_SCOC</t>
  </si>
  <si>
    <t>Q9UIM3_FKBPL</t>
  </si>
  <si>
    <t>Q9UIQ6-3_LNPEP</t>
  </si>
  <si>
    <t>Q9UIV1-2_CNOT7</t>
  </si>
  <si>
    <t>Q9UJ14-5_GGT7</t>
  </si>
  <si>
    <t>Q9UJA5_TRMT6</t>
  </si>
  <si>
    <t>Q9UJJ9_GNPTG</t>
  </si>
  <si>
    <t>Q9UJK0_TSR3</t>
  </si>
  <si>
    <t>Q9UJS0_SLC25A13</t>
  </si>
  <si>
    <t>Q9UJT0_TUBE1</t>
  </si>
  <si>
    <t>Q9UJU6_DBNL</t>
  </si>
  <si>
    <t>Q9UJU6-2_DBNL</t>
  </si>
  <si>
    <t>Q9UJW0-2_DCTN4</t>
  </si>
  <si>
    <t>Q9UJX2_CDC23</t>
  </si>
  <si>
    <t>Q9UJX3-2_ANAPC7</t>
  </si>
  <si>
    <t>Q9UJX5_ANAPC4</t>
  </si>
  <si>
    <t>Q9UJX6-2_ANAPC2</t>
  </si>
  <si>
    <t>Q9UJY4_GGA2</t>
  </si>
  <si>
    <t>Q9UJY5-4_GGA1</t>
  </si>
  <si>
    <t>Q9UJZ1_STOML2</t>
  </si>
  <si>
    <t>Q9UK23-2_NAGPA</t>
  </si>
  <si>
    <t>Q9UK39_CCRN4L</t>
  </si>
  <si>
    <t>Q9UK41_VPS28</t>
  </si>
  <si>
    <t>Q9UK45_LSM7</t>
  </si>
  <si>
    <t>Q9UK53-3_ING1</t>
  </si>
  <si>
    <t>Q9UK59_DBR1</t>
  </si>
  <si>
    <t>Q9UK61-2_FAM208A</t>
  </si>
  <si>
    <t>Q9UK73_FEM1B</t>
  </si>
  <si>
    <t>Q9UK97-3_FBXO9</t>
  </si>
  <si>
    <t>Q9UKA4_AKAP11</t>
  </si>
  <si>
    <t>Q9UKD2_MRTO4</t>
  </si>
  <si>
    <t>Q9UKE5-2_TNIK</t>
  </si>
  <si>
    <t>Q9UKE5-6_TNIK</t>
  </si>
  <si>
    <t>Q9UKF6_CPSF3</t>
  </si>
  <si>
    <t>Q9UKG1_APPL1</t>
  </si>
  <si>
    <t>Q9UKI8_TLK1</t>
  </si>
  <si>
    <t>Q9UKJ3-2_GPATCH8</t>
  </si>
  <si>
    <t>Q9UKL0_RCOR1</t>
  </si>
  <si>
    <t>Q9UKN8_GTF3C4</t>
  </si>
  <si>
    <t>Q9UKS6_PACSIN3</t>
  </si>
  <si>
    <t>Q9UKT4-2_FBXO5</t>
  </si>
  <si>
    <t>Q9UKT5_FBXO4</t>
  </si>
  <si>
    <t>Q9UKU7_ACAD8</t>
  </si>
  <si>
    <t>Q9UKV5_AMFR</t>
  </si>
  <si>
    <t>Q9UKV8_AGO2</t>
  </si>
  <si>
    <t>Q9UKX7-2_NUP50</t>
  </si>
  <si>
    <t>Q9UKY1_ZHX1</t>
  </si>
  <si>
    <t>Q9UKY7_CDV3</t>
  </si>
  <si>
    <t>Q9UKZ1_CNOT11</t>
  </si>
  <si>
    <t>Q9UL03-3_INTS6</t>
  </si>
  <si>
    <t>Q9UL15_BAG5</t>
  </si>
  <si>
    <t>Q9UL25_RAB21</t>
  </si>
  <si>
    <t>Q9UL26_RAB22A</t>
  </si>
  <si>
    <t>Q9UL33-2_TRAPPC2L</t>
  </si>
  <si>
    <t>Q9UL46_PSME2</t>
  </si>
  <si>
    <t>Q9UL54-2_TAOK2</t>
  </si>
  <si>
    <t>Q9UL62_TRPC5</t>
  </si>
  <si>
    <t>Q9ULC3_RAB23</t>
  </si>
  <si>
    <t>Q9ULC4_MCTS1</t>
  </si>
  <si>
    <t>Q9ULE0_WWC3</t>
  </si>
  <si>
    <t>Q9ULF5_SLC39A10</t>
  </si>
  <si>
    <t>Q9ULG6-4_CCPG1</t>
  </si>
  <si>
    <t>Q9ULH0-4_KIDINS220</t>
  </si>
  <si>
    <t>Q9ULH1_ASAP1</t>
  </si>
  <si>
    <t>Q9ULJ3-2_ZBTB21</t>
  </si>
  <si>
    <t>Q9ULJ6_ZMIZ1</t>
  </si>
  <si>
    <t>Q9ULJ7_ANKRD50</t>
  </si>
  <si>
    <t>Q9ULP9-2_TBC1D24</t>
  </si>
  <si>
    <t>Q9ULR0_ISY1</t>
  </si>
  <si>
    <t>Q9ULR3_PPM1H</t>
  </si>
  <si>
    <t>Q9ULT8_HECTD1</t>
  </si>
  <si>
    <t>Q9ULU4-9_ZMYND8</t>
  </si>
  <si>
    <t>Q9ULV4_CORO1C</t>
  </si>
  <si>
    <t>Q9ULW0_TPX2</t>
  </si>
  <si>
    <t>Q9ULX3_NOB1</t>
  </si>
  <si>
    <t>Q9ULX6-2_AKAP8L</t>
  </si>
  <si>
    <t>Q9ULZ3-2_PYCARD</t>
  </si>
  <si>
    <t>Q9UM13_ANAPC10</t>
  </si>
  <si>
    <t>Q9UMF0_ICAM5</t>
  </si>
  <si>
    <t>Q9UMS0-3_NFU1</t>
  </si>
  <si>
    <t>Q9UMS4_PRPF19</t>
  </si>
  <si>
    <t>Q9UMX0_UBQLN1</t>
  </si>
  <si>
    <t>Q9UMX5_NENF</t>
  </si>
  <si>
    <t>Q9UMY4-2_SNX12</t>
  </si>
  <si>
    <t>Q9UMZ2-6_SYNRG</t>
  </si>
  <si>
    <t>Q9UN36-2_NDRG2</t>
  </si>
  <si>
    <t>Q9UN37_VPS4A</t>
  </si>
  <si>
    <t>Q9UN86-2_G3BP2</t>
  </si>
  <si>
    <t>Q9UNE7_STUB1</t>
  </si>
  <si>
    <t>Q9UNF0-2_PACSIN2</t>
  </si>
  <si>
    <t>Q9UNF1_MAGED2</t>
  </si>
  <si>
    <t>Q9UNH7_SNX6</t>
  </si>
  <si>
    <t>Q9UNI6_DUSP12</t>
  </si>
  <si>
    <t>Q9UNK0_STX8</t>
  </si>
  <si>
    <t>Q9UNM6_PSMD13</t>
  </si>
  <si>
    <t>Q9UNN5_FAF1</t>
  </si>
  <si>
    <t>Q9UNN8_PROCR</t>
  </si>
  <si>
    <t>Q9UNP9_PPIE</t>
  </si>
  <si>
    <t>Q9UNQ2_DIMT1</t>
  </si>
  <si>
    <t>Q9UNS1-2_TIMELESS</t>
  </si>
  <si>
    <t>Q9UNS2_COPS3</t>
  </si>
  <si>
    <t>Q9UNW1_MINPP1</t>
  </si>
  <si>
    <t>Q9UNX4_WDR3</t>
  </si>
  <si>
    <t>Q9UNY4_TTF2</t>
  </si>
  <si>
    <t>Q9UNZ2_NSFL1C</t>
  </si>
  <si>
    <t>Q9UNZ5_C19orf53</t>
  </si>
  <si>
    <t>Q9UP52-3_TFR2</t>
  </si>
  <si>
    <t>Q9UP83_COG5</t>
  </si>
  <si>
    <t>Q9UP95-3_SLC12A4</t>
  </si>
  <si>
    <t>Q9UPM8-2_AP4E1</t>
  </si>
  <si>
    <t>Q9UPN3_MACF1</t>
  </si>
  <si>
    <t>Q9UPN4-2_AZI1</t>
  </si>
  <si>
    <t>Q9UPN6_SCAF8</t>
  </si>
  <si>
    <t>Q9UPN7_PPP6R1</t>
  </si>
  <si>
    <t>Q9UPN9-2_TRIM33</t>
  </si>
  <si>
    <t>Q9UPR3_SMG5</t>
  </si>
  <si>
    <t>Q9UPT5-2_EXOC7</t>
  </si>
  <si>
    <t>Q9UPT9-2_USP22</t>
  </si>
  <si>
    <t>Q9UPU5_USP24</t>
  </si>
  <si>
    <t>Q9UPY8_MAPRE3</t>
  </si>
  <si>
    <t>Q9UPY8-2_MAPRE3</t>
  </si>
  <si>
    <t>Q9UPZ3-2_HPS5</t>
  </si>
  <si>
    <t>Q9UQ13-2_SHOC2</t>
  </si>
  <si>
    <t>Q9UQ35_SRRM2</t>
  </si>
  <si>
    <t>Q9UQ53-2_MGAT4B</t>
  </si>
  <si>
    <t>Q9UQ80_PA2G4</t>
  </si>
  <si>
    <t>Q9UQ84-4_EXO1</t>
  </si>
  <si>
    <t>Q9UQ90_SPG7</t>
  </si>
  <si>
    <t>Q9UQB8-3_BAIAP2</t>
  </si>
  <si>
    <t>Q9UQC2-2_GAB2</t>
  </si>
  <si>
    <t>Q9UQE7_SMC3</t>
  </si>
  <si>
    <t>Q9UQL0_UBE2D4</t>
  </si>
  <si>
    <t>Q9UQQ2_SH2B3</t>
  </si>
  <si>
    <t>Q9UQR0_SCML2</t>
  </si>
  <si>
    <t>Q9Y217_MTMR6</t>
  </si>
  <si>
    <t>Q9Y219_JAG2</t>
  </si>
  <si>
    <t>Q9Y223_GNE</t>
  </si>
  <si>
    <t>Q9Y224_C14orf166</t>
  </si>
  <si>
    <t>Q9Y225_RNF24</t>
  </si>
  <si>
    <t>Q9Y230_RUVBL2</t>
  </si>
  <si>
    <t>Q9Y232-2_CDYL</t>
  </si>
  <si>
    <t>Q9Y237_PIN4</t>
  </si>
  <si>
    <t>Q9Y241_HIGD1A</t>
  </si>
  <si>
    <t>Q9Y244_POMP</t>
  </si>
  <si>
    <t>Q9Y248_GINS2</t>
  </si>
  <si>
    <t>Q9Y250-5_LZTS1</t>
  </si>
  <si>
    <t>Q9Y263_PLAA</t>
  </si>
  <si>
    <t>Q9Y265_RUVBL1</t>
  </si>
  <si>
    <t>Q9Y266_NUDC</t>
  </si>
  <si>
    <t>Q9Y276_BCS1L</t>
  </si>
  <si>
    <t>Q9Y277_VDAC3</t>
  </si>
  <si>
    <t>Q9Y281_CFL2</t>
  </si>
  <si>
    <t>Q9Y289_SLC5A6</t>
  </si>
  <si>
    <t>Q9Y294_ASF1A</t>
  </si>
  <si>
    <t>Q9Y295_DRG1</t>
  </si>
  <si>
    <t>Q9Y2A7_NCKAP1</t>
  </si>
  <si>
    <t>Q9Y2B0_CNPY2</t>
  </si>
  <si>
    <t>Q9Y2D8-2_SSX2IP</t>
  </si>
  <si>
    <t>Q9Y2G2-4_CARD8</t>
  </si>
  <si>
    <t>Q9Y2G3_ATP11B</t>
  </si>
  <si>
    <t>Q9Y2G5_POFUT2</t>
  </si>
  <si>
    <t>Q9Y2H0-3_DLGAP4</t>
  </si>
  <si>
    <t>Q9Y2H1_STK38L</t>
  </si>
  <si>
    <t>Q9Y2I1_NISCH</t>
  </si>
  <si>
    <t>Q9Y2I7_PIKFYVE</t>
  </si>
  <si>
    <t>Q9Y2I8_WDR37</t>
  </si>
  <si>
    <t>Q9Y2K6_USP20</t>
  </si>
  <si>
    <t>Q9Y2K7_KDM2A</t>
  </si>
  <si>
    <t>Q9Y2L1_DIS3</t>
  </si>
  <si>
    <t>Q9Y2P8_RCL1</t>
  </si>
  <si>
    <t>Q9Y2Q3_GSTK1</t>
  </si>
  <si>
    <t>Q9Y2Q5_LAMTOR2</t>
  </si>
  <si>
    <t>Q9Y2Q9_MRPS28</t>
  </si>
  <si>
    <t>Q9Y2R0_COA3</t>
  </si>
  <si>
    <t>Q9Y2S0_POLR1D</t>
  </si>
  <si>
    <t>Q9Y2S6_TMA7</t>
  </si>
  <si>
    <t>Q9Y2S7_POLDIP2</t>
  </si>
  <si>
    <t>Q9Y2T2_AP3M1</t>
  </si>
  <si>
    <t>Q9Y2U5_MAP3K2</t>
  </si>
  <si>
    <t>Q9Y2U8_LEMD3</t>
  </si>
  <si>
    <t>Q9Y2V2_CARHSP1</t>
  </si>
  <si>
    <t>Q9Y2V7-2_COG6</t>
  </si>
  <si>
    <t>Q9Y2W1_THRAP3</t>
  </si>
  <si>
    <t>Q9Y2X3_NOP58</t>
  </si>
  <si>
    <t>Q9Y2Y1_POLR3K</t>
  </si>
  <si>
    <t>Q9Y2Z0-2_SUGT1</t>
  </si>
  <si>
    <t>Q9Y2Z2-5_MTO1</t>
  </si>
  <si>
    <t>Q9Y2Z4_YARS2</t>
  </si>
  <si>
    <t>Q9Y2Z9-3_COQ6</t>
  </si>
  <si>
    <t>Q9Y303_AMDHD2</t>
  </si>
  <si>
    <t>Q9Y303-2_AMDHD2</t>
  </si>
  <si>
    <t>Q9Y305_ACOT9</t>
  </si>
  <si>
    <t>Q9Y314_NOSIP</t>
  </si>
  <si>
    <t>Q9Y316_MEMO1</t>
  </si>
  <si>
    <t>Q9Y320-2_TMX2</t>
  </si>
  <si>
    <t>Q9Y333_LSM2</t>
  </si>
  <si>
    <t>Q9Y371_SH3GLB1</t>
  </si>
  <si>
    <t>Q9Y375_NDUFAF1</t>
  </si>
  <si>
    <t>Q9Y376_CAB39</t>
  </si>
  <si>
    <t>Q9Y383_LUC7L2</t>
  </si>
  <si>
    <t>Q9Y385_UBE2J1</t>
  </si>
  <si>
    <t>Q9Y388_RBMX2</t>
  </si>
  <si>
    <t>Q9Y394-2_DHRS7</t>
  </si>
  <si>
    <t>Q9Y399_MRPS2</t>
  </si>
  <si>
    <t>Q9Y3A3_MOB4</t>
  </si>
  <si>
    <t>Q9Y3A5_SBDS</t>
  </si>
  <si>
    <t>Q9Y3A6_TMED5</t>
  </si>
  <si>
    <t>Q9Y3B3_TMED7</t>
  </si>
  <si>
    <t>Q9Y3B4_SF3B14</t>
  </si>
  <si>
    <t>Q9Y3B7_MRPL11</t>
  </si>
  <si>
    <t>Q9Y3B9_RRP15</t>
  </si>
  <si>
    <t>Q9Y3C1_NOP16</t>
  </si>
  <si>
    <t>Q9Y3C4-2_TPRKB</t>
  </si>
  <si>
    <t>Q9Y3C5_RNF11</t>
  </si>
  <si>
    <t>Q9Y3C6_PPIL1</t>
  </si>
  <si>
    <t>Q9Y3C8_UFC1</t>
  </si>
  <si>
    <t>Q9Y3D0_FAM96B</t>
  </si>
  <si>
    <t>Q9Y3D2_MSRB2</t>
  </si>
  <si>
    <t>Q9Y3D6_FIS1</t>
  </si>
  <si>
    <t>Q9Y3D8-2_TAF9</t>
  </si>
  <si>
    <t>Q9Y3D9_MRPS23</t>
  </si>
  <si>
    <t>Q9Y3E1_HDGFRP3</t>
  </si>
  <si>
    <t>Q9Y3E7-4_CHMP3</t>
  </si>
  <si>
    <t>Q9Y3F4_STRAP</t>
  </si>
  <si>
    <t>Q9Y3I0_C22orf28</t>
  </si>
  <si>
    <t>Q9Y3I1_FBXO7</t>
  </si>
  <si>
    <t>Q9Y3L3_SH3BP1</t>
  </si>
  <si>
    <t>Q9Y3L5_RAP2C</t>
  </si>
  <si>
    <t>Q9Y3P9_RABGAP1</t>
  </si>
  <si>
    <t>Q9Y3Q3_TMED3</t>
  </si>
  <si>
    <t>Q9Y3Q8_TSC22D4</t>
  </si>
  <si>
    <t>Q9Y3S2_ZNF330</t>
  </si>
  <si>
    <t>Q9Y3T6_R3HCC1</t>
  </si>
  <si>
    <t>Q9Y3T9_NOC2L</t>
  </si>
  <si>
    <t>Q9Y3X0_CCDC9</t>
  </si>
  <si>
    <t>Q9Y3Y2-4_CHTOP</t>
  </si>
  <si>
    <t>Q9Y3Z3_SAMHD1</t>
  </si>
  <si>
    <t>Q9Y426-2_C2CD2</t>
  </si>
  <si>
    <t>Q9Y446_PKP3</t>
  </si>
  <si>
    <t>Q9Y448_KNSTRN</t>
  </si>
  <si>
    <t>Q9Y450-4_HBS1L</t>
  </si>
  <si>
    <t>Q9Y478_PRKAB1</t>
  </si>
  <si>
    <t>Q9Y487_ATP6V0A2</t>
  </si>
  <si>
    <t>Q9Y490_TLN1</t>
  </si>
  <si>
    <t>Q9Y4B6-3_VPRBP</t>
  </si>
  <si>
    <t>Q9Y4C2-2_FAM115A</t>
  </si>
  <si>
    <t>Q9Y4E8_USP15</t>
  </si>
  <si>
    <t>Q9Y4G8_RAPGEF2</t>
  </si>
  <si>
    <t>Q9Y4K3_TRAF6</t>
  </si>
  <si>
    <t>Q9Y4K4_MAP4K5</t>
  </si>
  <si>
    <t>Q9Y4P1-6_ATG4B</t>
  </si>
  <si>
    <t>Q9Y4R8_TELO2</t>
  </si>
  <si>
    <t>Q9Y4W2-2_LAS1L</t>
  </si>
  <si>
    <t>Q9Y4W6_AFG3L2</t>
  </si>
  <si>
    <t>Q9Y4X0_AMMECR1</t>
  </si>
  <si>
    <t>Q9Y4X5_ARIH1</t>
  </si>
  <si>
    <t>Q9Y4Z0_LSM4</t>
  </si>
  <si>
    <t>Q9Y508_RNF114</t>
  </si>
  <si>
    <t>Q9Y512_SAMM50</t>
  </si>
  <si>
    <t>Q9Y546_LRRC42</t>
  </si>
  <si>
    <t>Q9Y570_PPME1</t>
  </si>
  <si>
    <t>Q9Y584_TIMM22</t>
  </si>
  <si>
    <t>Q9Y597-2_KCTD3</t>
  </si>
  <si>
    <t>Q9Y5A9_YTHDF2</t>
  </si>
  <si>
    <t>Q9Y5B0_CTDP1</t>
  </si>
  <si>
    <t>Q9Y5B6_PAXBP1</t>
  </si>
  <si>
    <t>Q9Y5B8-2_NME7</t>
  </si>
  <si>
    <t>Q9Y5B9_SUPT16H</t>
  </si>
  <si>
    <t>Q9Y5J1_UTP18</t>
  </si>
  <si>
    <t>Q9Y5J6_TIMM10B</t>
  </si>
  <si>
    <t>Q9Y5J7_TIMM9</t>
  </si>
  <si>
    <t>Q9Y5K5-2_UCHL5</t>
  </si>
  <si>
    <t>Q9Y5K6_CD2AP</t>
  </si>
  <si>
    <t>Q9Y5K8_ATP6V1D</t>
  </si>
  <si>
    <t>Q9Y5L0_TNPO3</t>
  </si>
  <si>
    <t>Q9Y5L4_TIMM13</t>
  </si>
  <si>
    <t>Q9Y5M8_SRPRB</t>
  </si>
  <si>
    <t>Q9Y5N5_N6AMT1</t>
  </si>
  <si>
    <t>Q9Y5N6_ORC6</t>
  </si>
  <si>
    <t>Q9Y5P4-2_COL4A3BP</t>
  </si>
  <si>
    <t>Q9Y5P6_GMPPB</t>
  </si>
  <si>
    <t>Q9Y5Q8_GTF3C5</t>
  </si>
  <si>
    <t>Q9Y5Q9_GTF3C3</t>
  </si>
  <si>
    <t>Q9Y5R8_TRAPPC1</t>
  </si>
  <si>
    <t>Q9Y5S1_TRPV2</t>
  </si>
  <si>
    <t>Q9Y5S2_CDC42BPB</t>
  </si>
  <si>
    <t>Q9Y5S9_RBM8A</t>
  </si>
  <si>
    <t>Q9Y5T4_DNAJC15</t>
  </si>
  <si>
    <t>Q9Y5T5-2_USP16</t>
  </si>
  <si>
    <t>Q9Y5U2-2_TSSC4</t>
  </si>
  <si>
    <t>Q9Y5U9_IER3IP1</t>
  </si>
  <si>
    <t>Q9Y5V0_ZNF706</t>
  </si>
  <si>
    <t>Q9Y5X1_SNX9</t>
  </si>
  <si>
    <t>Q9Y5X2_SNX8</t>
  </si>
  <si>
    <t>Q9Y5X3_SNX5</t>
  </si>
  <si>
    <t>Q9Y5Y0_FLVCR1</t>
  </si>
  <si>
    <t>Q9Y5Y2_NUBP2</t>
  </si>
  <si>
    <t>Q9Y5Z4_HEBP2</t>
  </si>
  <si>
    <t>Q9Y605_MRFAP1</t>
  </si>
  <si>
    <t>Q9Y608_LRRFIP2</t>
  </si>
  <si>
    <t>Q9Y608-4_LRRFIP2</t>
  </si>
  <si>
    <t>Q9Y613_FHOD1</t>
  </si>
  <si>
    <t>Q9Y617_PSAT1</t>
  </si>
  <si>
    <t>Q9Y619_SLC25A15</t>
  </si>
  <si>
    <t>Q9Y620_RAD54B</t>
  </si>
  <si>
    <t>Q9Y639-1_NPTN</t>
  </si>
  <si>
    <t>Q9Y646_CPQ</t>
  </si>
  <si>
    <t>Q9Y657_SPIN1</t>
  </si>
  <si>
    <t>Q9Y673_ALG5</t>
  </si>
  <si>
    <t>Q9Y676_MRPS18B</t>
  </si>
  <si>
    <t>Q9Y678_COPG1</t>
  </si>
  <si>
    <t>Q9Y679-2_AUP1</t>
  </si>
  <si>
    <t>Q9Y680-3_FKBP7</t>
  </si>
  <si>
    <t>Q9Y689-2_ARL5A</t>
  </si>
  <si>
    <t>Q9Y692-2_GMEB1</t>
  </si>
  <si>
    <t>Q9Y696_CLIC4</t>
  </si>
  <si>
    <t>Q9Y697-2_NFS1</t>
  </si>
  <si>
    <t>Q9Y6A4_C16orf80</t>
  </si>
  <si>
    <t>Q9Y6A5_TACC3</t>
  </si>
  <si>
    <t>Q9Y6B6_SAR1B</t>
  </si>
  <si>
    <t>Q9Y6B7_AP4B1</t>
  </si>
  <si>
    <t>Q9Y6C9_MTCH2</t>
  </si>
  <si>
    <t>Q9Y6D5_ARFGEF2</t>
  </si>
  <si>
    <t>Q9Y6D6_ARFGEF1</t>
  </si>
  <si>
    <t>Q9Y6D9_MAD1L1</t>
  </si>
  <si>
    <t>Q9Y6G9_DYNC1LI1</t>
  </si>
  <si>
    <t>Q9Y6H1_CHCHD2</t>
  </si>
  <si>
    <t>Q9Y6H3_XRCC6BP1</t>
  </si>
  <si>
    <t>Q9Y6I3-3_EPN1</t>
  </si>
  <si>
    <t>Q9Y6I9_TEX264</t>
  </si>
  <si>
    <t>Q9Y6J9_TAF6L</t>
  </si>
  <si>
    <t>Q9Y6K0_CEPT1</t>
  </si>
  <si>
    <t>Q9Y6K9_IKBKG</t>
  </si>
  <si>
    <t>Q9Y6M0-2_PRSS21</t>
  </si>
  <si>
    <t>Q9Y6M4-3_CSNK1G3</t>
  </si>
  <si>
    <t>Q9Y6M5_SLC30A1</t>
  </si>
  <si>
    <t>Q9Y6P5-3_SESN1</t>
  </si>
  <si>
    <t>Q9Y6Q9-2_NCOA3</t>
  </si>
  <si>
    <t>Q9Y6R0_NUMBL</t>
  </si>
  <si>
    <t>Q9Y6V7_DDX49</t>
  </si>
  <si>
    <t>Q9Y6W3_CAPN7</t>
  </si>
  <si>
    <t>Q9Y6W5_WASF2</t>
  </si>
  <si>
    <t>Q9Y6X9_MORC2</t>
  </si>
  <si>
    <t>Q9Y6Y0_IVNS1ABP</t>
  </si>
  <si>
    <t>R4GMN1_MOSPD2</t>
  </si>
  <si>
    <t>R4GMR5_PSMD8</t>
  </si>
  <si>
    <t>R4GMX3_BMI1</t>
  </si>
  <si>
    <t>R4GMX8_RANBP10</t>
  </si>
  <si>
    <t>R4GN33_MAPKAPK5</t>
  </si>
  <si>
    <t>R4GN55_YTHDF3</t>
  </si>
  <si>
    <t>R4GN98_S100A6</t>
  </si>
  <si>
    <t>R4GNB1_AASDH</t>
  </si>
  <si>
    <t>R4GNB2_DENND4C</t>
  </si>
  <si>
    <t>R4GND1_UBE2E3</t>
  </si>
  <si>
    <t>R4GNF5_TCP11L1</t>
  </si>
  <si>
    <t>R4GNH2_FBXO2</t>
  </si>
  <si>
    <t>R4GNH3_PSMC3</t>
  </si>
  <si>
    <t>R4GNJ5_ACD</t>
  </si>
  <si>
    <t>Melting_Curves/meltCurve_A0AVT1_UBA6.pdf</t>
  </si>
  <si>
    <t>Melting_Curves/meltCurve_A0FGR8_2_ESYT2.pdf</t>
  </si>
  <si>
    <t>Melting_Curves/meltCurve_A0JNW5_UHRF1BP1L.pdf</t>
  </si>
  <si>
    <t>Melting_Curves/meltCurve_A0MZ66_KIAA1598.pdf</t>
  </si>
  <si>
    <t>Melting_Curves/meltCurve_A0PJW6_TMEM223.pdf</t>
  </si>
  <si>
    <t>Melting_Curves/meltCurve_A1A5A9_KIAA0999.pdf</t>
  </si>
  <si>
    <t>Melting_Curves/meltCurve_A1L0T0_ILVBL.pdf</t>
  </si>
  <si>
    <t>Melting_Curves/meltCurve_A2A274_ACO2.pdf</t>
  </si>
  <si>
    <t>Melting_Curves/meltCurve_A2A2F0_RALGAPB.pdf</t>
  </si>
  <si>
    <t>Melting_Curves/meltCurve_A2A2Q9_AAR2.pdf</t>
  </si>
  <si>
    <t>Melting_Curves/meltCurve_A2A2V1_PRNP.pdf</t>
  </si>
  <si>
    <t>Melting_Curves/meltCurve_A2A3N6_PIPSL.pdf</t>
  </si>
  <si>
    <t>Melting_Curves/meltCurve_A2RRP1_NBAS.pdf</t>
  </si>
  <si>
    <t>Melting_Curves/meltCurve_A2RUC4_2_TYW5.pdf</t>
  </si>
  <si>
    <t>Melting_Curves/meltCurve_A2VDF0_2_FUOM.pdf</t>
  </si>
  <si>
    <t>Melting_Curves/meltCurve_A3KN83_3_SBNO1.pdf</t>
  </si>
  <si>
    <t>Melting_Curves/meltCurve_A4D126_ISPD.pdf</t>
  </si>
  <si>
    <t>Melting_Curves/meltCurve_A4D1E9_GTPBP10.pdf</t>
  </si>
  <si>
    <t>Melting_Curves/meltCurve_A4D212_DKFZP586J0619.pdf</t>
  </si>
  <si>
    <t>Melting_Curves/meltCurve_A4D2B0_MBLAC1.pdf</t>
  </si>
  <si>
    <t>Melting_Curves/meltCurve_A4UGR9_2_XIRP2.pdf</t>
  </si>
  <si>
    <t>Melting_Curves/meltCurve_A5YKK6_CNOT1.pdf</t>
  </si>
  <si>
    <t>Melting_Curves/meltCurve_A6NCS9_SDCCAG8.pdf</t>
  </si>
  <si>
    <t>Melting_Curves/meltCurve_A6ND22_MRPS16.pdf</t>
  </si>
  <si>
    <t>Melting_Curves/meltCurve_A6ND36_2_FAM83G.pdf</t>
  </si>
  <si>
    <t>Melting_Curves/meltCurve_A6NDB9_PALM3.pdf</t>
  </si>
  <si>
    <t>Melting_Curves/meltCurve_A6NDG6_PGP.pdf</t>
  </si>
  <si>
    <t>Melting_Curves/meltCurve_A6NDJ8_.pdf</t>
  </si>
  <si>
    <t>Melting_Curves/meltCurve_A6NDU8_C5orf51.pdf</t>
  </si>
  <si>
    <t>Melting_Curves/meltCurve_A6NED2_RCCD1.pdf</t>
  </si>
  <si>
    <t>Melting_Curves/meltCurve_A6NEM2_HCFC1.pdf</t>
  </si>
  <si>
    <t>Melting_Curves/meltCurve_A6NEM5_PIGK.pdf</t>
  </si>
  <si>
    <t>Melting_Curves/meltCurve_A6NF31_OFD1.pdf</t>
  </si>
  <si>
    <t>Melting_Curves/meltCurve_A6NFI3_ZNF316.pdf</t>
  </si>
  <si>
    <t>Melting_Curves/meltCurve_A6NFQ2_3_FAM115C.pdf</t>
  </si>
  <si>
    <t>Melting_Curves/meltCurve_A6NFX8_NUDT5.pdf</t>
  </si>
  <si>
    <t>Melting_Curves/meltCurve_A6NG32_CHMP1A.pdf</t>
  </si>
  <si>
    <t>Melting_Curves/meltCurve_A6NG51_SPTAN1.pdf</t>
  </si>
  <si>
    <t>Melting_Curves/meltCurve_A6NG79_PRCC.pdf</t>
  </si>
  <si>
    <t>Melting_Curves/meltCurve_A6NGB9_WIPF3.pdf</t>
  </si>
  <si>
    <t>Melting_Curves/meltCurve_A6NGH7_CCDC160.pdf</t>
  </si>
  <si>
    <t>Melting_Curves/meltCurve_A6NGP5_HN1L.pdf</t>
  </si>
  <si>
    <t>Melting_Curves/meltCurve_A6NGU5_GGT3P.pdf</t>
  </si>
  <si>
    <t>Melting_Curves/meltCurve_A6NHL2_2_TUBAL3.pdf</t>
  </si>
  <si>
    <t>Melting_Curves/meltCurve_A6NHN7_ZMYM3.pdf</t>
  </si>
  <si>
    <t>Melting_Curves/meltCurve_A6NHR9_SMCHD1.pdf</t>
  </si>
  <si>
    <t>Melting_Curves/meltCurve_A6NIH7_UNC119B.pdf</t>
  </si>
  <si>
    <t>Melting_Curves/meltCurve_A6NIW2_DOCK11.pdf</t>
  </si>
  <si>
    <t>Melting_Curves/meltCurve_A6NIZ0_NDEL1.pdf</t>
  </si>
  <si>
    <t>Melting_Curves/meltCurve_A6NJ78_METTL15.pdf</t>
  </si>
  <si>
    <t>Melting_Curves/meltCurve_A6NJX6_CHCHD1.pdf</t>
  </si>
  <si>
    <t>Melting_Curves/meltCurve_A6NK88_CDKN1C.pdf</t>
  </si>
  <si>
    <t>Melting_Curves/meltCurve_A6NKD9_CCDC85C.pdf</t>
  </si>
  <si>
    <t>Melting_Curves/meltCurve_A6NKF9_GPR89C.pdf</t>
  </si>
  <si>
    <t>Melting_Curves/meltCurve_A6NKZ2_RENBP.pdf</t>
  </si>
  <si>
    <t>Melting_Curves/meltCurve_A6NLH6_CNIH4.pdf</t>
  </si>
  <si>
    <t>Melting_Curves/meltCurve_A6NMH6_SEPT8.pdf</t>
  </si>
  <si>
    <t>Melting_Curves/meltCurve_A6NMQ1_POLA1.pdf</t>
  </si>
  <si>
    <t>Melting_Curves/meltCurve_A6NN40_SHROOM1.pdf</t>
  </si>
  <si>
    <t>Melting_Curves/meltCurve_A6PVN5_PPP2R4.pdf</t>
  </si>
  <si>
    <t>Melting_Curves/meltCurve_A6PW58_PIP5K1A.pdf</t>
  </si>
  <si>
    <t>Melting_Curves/meltCurve_A8K0B5_ZBTB8OS.pdf</t>
  </si>
  <si>
    <t>Melting_Curves/meltCurve_A8K0M9_SELK.pdf</t>
  </si>
  <si>
    <t>Melting_Curves/meltCurve_A8MPP1_DDX11L8.pdf</t>
  </si>
  <si>
    <t>Melting_Curves/meltCurve_A8MPS7_YDJC.pdf</t>
  </si>
  <si>
    <t>Melting_Curves/meltCurve_A8MRB1_S100B.pdf</t>
  </si>
  <si>
    <t>Melting_Curves/meltCurve_A8MT02_SNRPB.pdf</t>
  </si>
  <si>
    <t>Melting_Curves/meltCurve_A8MT40_PDPR.pdf</t>
  </si>
  <si>
    <t>Melting_Curves/meltCurve_A8MT87_PNMT.pdf</t>
  </si>
  <si>
    <t>Melting_Curves/meltCurve_A8MTK3_POT1.pdf</t>
  </si>
  <si>
    <t>Melting_Curves/meltCurve_A8MTP9_DDX52.pdf</t>
  </si>
  <si>
    <t>Melting_Curves/meltCurve_A8MTY9_DSCR3.pdf</t>
  </si>
  <si>
    <t>Melting_Curves/meltCurve_A8MTZ6_S100PBP.pdf</t>
  </si>
  <si>
    <t>Melting_Curves/meltCurve_A8MUA9_SUMO3.pdf</t>
  </si>
  <si>
    <t>Melting_Curves/meltCurve_A8MUB1_TUBA4A.pdf</t>
  </si>
  <si>
    <t>Melting_Curves/meltCurve_A8MUF7_HBE1.pdf</t>
  </si>
  <si>
    <t>Melting_Curves/meltCurve_A8MUM1_TSSC1.pdf</t>
  </si>
  <si>
    <t>Melting_Curves/meltCurve_A8MVF6_NPRL3.pdf</t>
  </si>
  <si>
    <t>Melting_Curves/meltCurve_A8MVN1_DGKZ.pdf</t>
  </si>
  <si>
    <t>Melting_Curves/meltCurve_A8MVZ6_BICD1.pdf</t>
  </si>
  <si>
    <t>Melting_Curves/meltCurve_A8MW61_PLRG1.pdf</t>
  </si>
  <si>
    <t>Melting_Curves/meltCurve_A8MWY0_KIAA1324L.pdf</t>
  </si>
  <si>
    <t>Melting_Curves/meltCurve_A8MXB9_SUMF2.pdf</t>
  </si>
  <si>
    <t>Melting_Curves/meltCurve_A8MXE8_RAI1.pdf</t>
  </si>
  <si>
    <t>Melting_Curves/meltCurve_A8MXP9_MATR3.pdf</t>
  </si>
  <si>
    <t>Melting_Curves/meltCurve_A8MXQ1_PTTG1IP.pdf</t>
  </si>
  <si>
    <t>Melting_Curves/meltCurve_A8MXV4_NUDT19.pdf</t>
  </si>
  <si>
    <t>Melting_Curves/meltCurve_A9UHW6_MIF4GD.pdf</t>
  </si>
  <si>
    <t>Melting_Curves/meltCurve_A9Z1X7_SRRM1.pdf</t>
  </si>
  <si>
    <t>Melting_Curves/meltCurve_B0FLL2_PFKFB2.pdf</t>
  </si>
  <si>
    <t>Melting_Curves/meltCurve_B0QXZ5_DNAL4.pdf</t>
  </si>
  <si>
    <t>Melting_Curves/meltCurve_B0QY89_EIF3L.pdf</t>
  </si>
  <si>
    <t>Melting_Curves/meltCurve_B0QY95_SMCR7L.pdf</t>
  </si>
  <si>
    <t>Melting_Curves/meltCurve_B0QYI3_TBC1D22A.pdf</t>
  </si>
  <si>
    <t>Melting_Curves/meltCurve_B0QYK0_EWSR1.pdf</t>
  </si>
  <si>
    <t>Melting_Curves/meltCurve_B0UX83_BAG6.pdf</t>
  </si>
  <si>
    <t>Melting_Curves/meltCurve_B0UXB6_ABHD16A.pdf</t>
  </si>
  <si>
    <t>Melting_Curves/meltCurve_B0UZY3_EHMT2.pdf</t>
  </si>
  <si>
    <t>Melting_Curves/meltCurve_B0YIW2_APOC3.pdf</t>
  </si>
  <si>
    <t>Melting_Curves/meltCurve_B1AH87_TSPO.pdf</t>
  </si>
  <si>
    <t>Melting_Curves/meltCurve_B1AHD1_NHP2L1.pdf</t>
  </si>
  <si>
    <t>Melting_Curves/meltCurve_B1AJY7_PSMD10.pdf</t>
  </si>
  <si>
    <t>Melting_Curves/meltCurve_B1AK13_HMGCL.pdf</t>
  </si>
  <si>
    <t>Melting_Curves/meltCurve_B1AK44_MAD2L2.pdf</t>
  </si>
  <si>
    <t>Melting_Curves/meltCurve_B1AKD8_CROCC.pdf</t>
  </si>
  <si>
    <t>Melting_Curves/meltCurve_B1AKJ5_NRD1.pdf</t>
  </si>
  <si>
    <t>Melting_Curves/meltCurve_B1AKJ6_OSBPL9.pdf</t>
  </si>
  <si>
    <t>Melting_Curves/meltCurve_B1AKL4_EIF4ENIF1.pdf</t>
  </si>
  <si>
    <t>Melting_Curves/meltCurve_B1AL69_CDC37L1.pdf</t>
  </si>
  <si>
    <t>Melting_Curves/meltCurve_B1ALM5_TMEM9.pdf</t>
  </si>
  <si>
    <t>Melting_Curves/meltCurve_B1AMF0_UBE2J2.pdf</t>
  </si>
  <si>
    <t>Melting_Curves/meltCurve_B1AMS2_SEPT6.pdf</t>
  </si>
  <si>
    <t>Melting_Curves/meltCurve_B1AMU7_EXOSC1.pdf</t>
  </si>
  <si>
    <t>Melting_Curves/meltCurve_B1AMW1_CD58.pdf</t>
  </si>
  <si>
    <t>Melting_Curves/meltCurve_B1AN99_PRSS3.pdf</t>
  </si>
  <si>
    <t>Melting_Curves/meltCurve_B1ANH0_GUK1.pdf</t>
  </si>
  <si>
    <t>Melting_Curves/meltCurve_B1APM4_SOAT1.pdf</t>
  </si>
  <si>
    <t>Melting_Curves/meltCurve_B1AQP1_USF1.pdf</t>
  </si>
  <si>
    <t>Melting_Curves/meltCurve_B1AVQ5_MUC1.pdf</t>
  </si>
  <si>
    <t>Melting_Curves/meltCurve_B1B1H9_FGF13.pdf</t>
  </si>
  <si>
    <t>Melting_Curves/meltCurve_B2WTI3_JMJD6.pdf</t>
  </si>
  <si>
    <t>Melting_Curves/meltCurve_B3KPJ4_PHC2.pdf</t>
  </si>
  <si>
    <t>Melting_Curves/meltCurve_B3KQ25_PSME3.pdf</t>
  </si>
  <si>
    <t>Melting_Curves/meltCurve_B3KQC5_MAN1B1.pdf</t>
  </si>
  <si>
    <t>Melting_Curves/meltCurve_B3KS98_EIF3S3.pdf</t>
  </si>
  <si>
    <t>Melting_Curves/meltCurve_B3KSH1_EIF3F.pdf</t>
  </si>
  <si>
    <t>Melting_Curves/meltCurve_B3KSI9_LZTFL1.pdf</t>
  </si>
  <si>
    <t>Melting_Curves/meltCurve_B3KSP0_WHSC2.pdf</t>
  </si>
  <si>
    <t>Melting_Curves/meltCurve_B3KTR6_MXRA8.pdf</t>
  </si>
  <si>
    <t>Melting_Curves/meltCurve_B3KUK2_SOD2.pdf</t>
  </si>
  <si>
    <t>Melting_Curves/meltCurve_B3KVH8_PHF23.pdf</t>
  </si>
  <si>
    <t>Melting_Curves/meltCurve_B3KWN8_PYROXD1.pdf</t>
  </si>
  <si>
    <t>Melting_Curves/meltCurve_B3KXX3_SLC12A6.pdf</t>
  </si>
  <si>
    <t>Melting_Curves/meltCurve_B3KY83_RXRA.pdf</t>
  </si>
  <si>
    <t>Melting_Curves/meltCurve_B3V0L1_ARL6IP4.pdf</t>
  </si>
  <si>
    <t>Melting_Curves/meltCurve_B4DDF4_CNN2.pdf</t>
  </si>
  <si>
    <t>Melting_Curves/meltCurve_B4DDM6_BUB3.pdf</t>
  </si>
  <si>
    <t>Melting_Curves/meltCurve_B4DDY8_HARS2.pdf</t>
  </si>
  <si>
    <t>Melting_Curves/meltCurve_B4DE11_SLC35A2.pdf</t>
  </si>
  <si>
    <t>Melting_Curves/meltCurve_B4DE16_CTNNBL1.pdf</t>
  </si>
  <si>
    <t>Melting_Curves/meltCurve_B4DE92_TBC1D25.pdf</t>
  </si>
  <si>
    <t>Melting_Curves/meltCurve_B4DEQ4_MKNK2.pdf</t>
  </si>
  <si>
    <t>Melting_Curves/meltCurve_B4DEX5_PRNPIP.pdf</t>
  </si>
  <si>
    <t>Melting_Curves/meltCurve_B4DEZ3_NDUFA13.pdf</t>
  </si>
  <si>
    <t>Melting_Curves/meltCurve_B4DF64_HAUS3.pdf</t>
  </si>
  <si>
    <t>Melting_Curves/meltCurve_B4DFF2_SLC17A5.pdf</t>
  </si>
  <si>
    <t>Melting_Curves/meltCurve_B4DFI9_HUS1.pdf</t>
  </si>
  <si>
    <t>Melting_Curves/meltCurve_B4DFQ4_COMMD1.pdf</t>
  </si>
  <si>
    <t>Melting_Curves/meltCurve_B4DFR2_DYNLRB1.pdf</t>
  </si>
  <si>
    <t>Melting_Curves/meltCurve_B4DGM3_SMARCE1.pdf</t>
  </si>
  <si>
    <t>Melting_Curves/meltCurve_B4DGX2_PIP4K2A.pdf</t>
  </si>
  <si>
    <t>Melting_Curves/meltCurve_B4DH53_MAP1S.pdf</t>
  </si>
  <si>
    <t>Melting_Curves/meltCurve_B4DH70_FBXW11.pdf</t>
  </si>
  <si>
    <t>Melting_Curves/meltCurve_B4DHW1_TMEM165.pdf</t>
  </si>
  <si>
    <t>Melting_Curves/meltCurve_B4DIG7_PIP5K1B.pdf</t>
  </si>
  <si>
    <t>Melting_Curves/meltCurve_B4DJA5_RAB5A.pdf</t>
  </si>
  <si>
    <t>Melting_Curves/meltCurve_B4DJP7_SNRPD3.pdf</t>
  </si>
  <si>
    <t>Melting_Curves/meltCurve_B4DJV2_CS.pdf</t>
  </si>
  <si>
    <t>Melting_Curves/meltCurve_B4DK44_NAPB.pdf</t>
  </si>
  <si>
    <t>Melting_Curves/meltCurve_B4DKF9_ZNF286A.pdf</t>
  </si>
  <si>
    <t>Melting_Curves/meltCurve_B4DKL4_LSR.pdf</t>
  </si>
  <si>
    <t>Melting_Curves/meltCurve_B4DL54_CHURC1_FNTB.pdf</t>
  </si>
  <si>
    <t>Melting_Curves/meltCurve_B4DL79_KIF20A.pdf</t>
  </si>
  <si>
    <t>Melting_Curves/meltCurve_B4DLH2_C2orf18.pdf</t>
  </si>
  <si>
    <t>Melting_Curves/meltCurve_B4DLN1_SLC25A10.pdf</t>
  </si>
  <si>
    <t>Melting_Curves/meltCurve_B4DLR8_NQO1.pdf</t>
  </si>
  <si>
    <t>Melting_Curves/meltCurve_B4DLT4_RPS6KB1.pdf</t>
  </si>
  <si>
    <t>Melting_Curves/meltCurve_B4DLZ9_RNF220.pdf</t>
  </si>
  <si>
    <t>Melting_Curves/meltCurve_B4DMX0_KDSR.pdf</t>
  </si>
  <si>
    <t>Melting_Curves/meltCurve_B4DN34_MRPL48.pdf</t>
  </si>
  <si>
    <t>Melting_Curves/meltCurve_B4DN73_DNAJB6.pdf</t>
  </si>
  <si>
    <t>Melting_Curves/meltCurve_B4DNX9_ZNF460.pdf</t>
  </si>
  <si>
    <t>Melting_Curves/meltCurve_B4DP21_PTGES3.pdf</t>
  </si>
  <si>
    <t>Melting_Curves/meltCurve_B4DPY5_SNX11.pdf</t>
  </si>
  <si>
    <t>Melting_Curves/meltCurve_B4DPY8_TOX4.pdf</t>
  </si>
  <si>
    <t>Melting_Curves/meltCurve_B4DQI6_TRA2A.pdf</t>
  </si>
  <si>
    <t>Melting_Curves/meltCurve_B4DQJ8_PGD.pdf</t>
  </si>
  <si>
    <t>Melting_Curves/meltCurve_B4DR52_HIST2H2BF.pdf</t>
  </si>
  <si>
    <t>Melting_Curves/meltCurve_B4DR61_SEC61A1.pdf</t>
  </si>
  <si>
    <t>Melting_Curves/meltCurve_B4DR80_STK24.pdf</t>
  </si>
  <si>
    <t>Melting_Curves/meltCurve_B4DRL9_CHM.pdf</t>
  </si>
  <si>
    <t>Melting_Curves/meltCurve_B4DRS7_SH2D3A.pdf</t>
  </si>
  <si>
    <t>Melting_Curves/meltCurve_B4DSD4_C9orf41.pdf</t>
  </si>
  <si>
    <t>Melting_Curves/meltCurve_B4DSF9_AGPAT4.pdf</t>
  </si>
  <si>
    <t>Melting_Curves/meltCurve_B4DSS5_KIAA0513.pdf</t>
  </si>
  <si>
    <t>Melting_Curves/meltCurve_B4DSS8_PTBP2.pdf</t>
  </si>
  <si>
    <t>Melting_Curves/meltCurve_B4DT55_WDR41.pdf</t>
  </si>
  <si>
    <t>Melting_Curves/meltCurve_B4DT77_ANXA7.pdf</t>
  </si>
  <si>
    <t>Melting_Curves/meltCurve_B4DTA3_SLC25A46.pdf</t>
  </si>
  <si>
    <t>Melting_Curves/meltCurve_B4DTU4_LIG1.pdf</t>
  </si>
  <si>
    <t>Melting_Curves/meltCurve_B4DUE9_SERINC3.pdf</t>
  </si>
  <si>
    <t>Melting_Curves/meltCurve_B4DUS9_BPNT1.pdf</t>
  </si>
  <si>
    <t>Melting_Curves/meltCurve_B4DVE7_ANXA11.pdf</t>
  </si>
  <si>
    <t>Melting_Curves/meltCurve_B4DVT3_VWA9.pdf</t>
  </si>
  <si>
    <t>Melting_Curves/meltCurve_B4DVY1_EIF3D.pdf</t>
  </si>
  <si>
    <t>Melting_Curves/meltCurve_B4DVZ6_FOXO3.pdf</t>
  </si>
  <si>
    <t>Melting_Curves/meltCurve_B4DWI1_HACL1.pdf</t>
  </si>
  <si>
    <t>Melting_Curves/meltCurve_B4DXZ6_FXR1.pdf</t>
  </si>
  <si>
    <t>Melting_Curves/meltCurve_B4DY13_GTPBP4.pdf</t>
  </si>
  <si>
    <t>Melting_Curves/meltCurve_B4DY26_TGFBR1.pdf</t>
  </si>
  <si>
    <t>Melting_Curves/meltCurve_B4DYB4_NUP35.pdf</t>
  </si>
  <si>
    <t>Melting_Curves/meltCurve_B4DYI6_AUH.pdf</t>
  </si>
  <si>
    <t>Melting_Curves/meltCurve_B4DZ85_NCOA4.pdf</t>
  </si>
  <si>
    <t>Melting_Curves/meltCurve_B4DZG7_ARL1.pdf</t>
  </si>
  <si>
    <t>Melting_Curves/meltCurve_B4DZH6_HDAC6.pdf</t>
  </si>
  <si>
    <t>Melting_Curves/meltCurve_B4E0T2_PEX5.pdf</t>
  </si>
  <si>
    <t>Melting_Curves/meltCurve_B4E0T7_LRCH3.pdf</t>
  </si>
  <si>
    <t>Melting_Curves/meltCurve_B4E0V0_PNPO.pdf</t>
  </si>
  <si>
    <t>Melting_Curves/meltCurve_B4E107_ATE1.pdf</t>
  </si>
  <si>
    <t>Melting_Curves/meltCurve_B4E1J0_PBXIP1.pdf</t>
  </si>
  <si>
    <t>Melting_Curves/meltCurve_B4E1Q4_RIOK3.pdf</t>
  </si>
  <si>
    <t>Melting_Curves/meltCurve_B4E241_SFRS3.pdf</t>
  </si>
  <si>
    <t>Melting_Curves/meltCurve_B4E2B6_PUM2.pdf</t>
  </si>
  <si>
    <t>Melting_Curves/meltCurve_B4E2V5_STOM.pdf</t>
  </si>
  <si>
    <t>Melting_Curves/meltCurve_B4E2W0_HADHB.pdf</t>
  </si>
  <si>
    <t>Melting_Curves/meltCurve_B4E2X3_METTL13.pdf</t>
  </si>
  <si>
    <t>Melting_Curves/meltCurve_B4E3E5_DVL3.pdf</t>
  </si>
  <si>
    <t>Melting_Curves/meltCurve_B5MBW9_CHCHD10.pdf</t>
  </si>
  <si>
    <t>Melting_Curves/meltCurve_B5MBX0_CDCA5.pdf</t>
  </si>
  <si>
    <t>Melting_Curves/meltCurve_B5MBX5_LBH.pdf</t>
  </si>
  <si>
    <t>Melting_Curves/meltCurve_B5MCA4_EPCAM.pdf</t>
  </si>
  <si>
    <t>Melting_Curves/meltCurve_B5MCF9_PES1.pdf</t>
  </si>
  <si>
    <t>Melting_Curves/meltCurve_B5MD58_SREBF1.pdf</t>
  </si>
  <si>
    <t>Melting_Curves/meltCurve_B5MDE0_RFT1.pdf</t>
  </si>
  <si>
    <t>Melting_Curves/meltCurve_B5MDF5_RAN.pdf</t>
  </si>
  <si>
    <t>Melting_Curves/meltCurve_B5MDU6_C2orf43.pdf</t>
  </si>
  <si>
    <t>Melting_Curves/meltCurve_B5ME25_METTL8.pdf</t>
  </si>
  <si>
    <t>Melting_Curves/meltCurve_B7WNQ9_GATA1.pdf</t>
  </si>
  <si>
    <t>Melting_Curves/meltCurve_B7WP27_CWC22.pdf</t>
  </si>
  <si>
    <t>Melting_Curves/meltCurve_B7WPE2_EML3.pdf</t>
  </si>
  <si>
    <t>Melting_Curves/meltCurve_B7WPG3_HNRPLL.pdf</t>
  </si>
  <si>
    <t>Melting_Curves/meltCurve_B7WPL0_RIC8B.pdf</t>
  </si>
  <si>
    <t>Melting_Curves/meltCurve_B7Z254_PDIA6.pdf</t>
  </si>
  <si>
    <t>Melting_Curves/meltCurve_B7Z2B2_MFSD8.pdf</t>
  </si>
  <si>
    <t>Melting_Curves/meltCurve_B7Z2Y5_RPS6KA5.pdf</t>
  </si>
  <si>
    <t>Melting_Curves/meltCurve_B7Z3I9_ALAD.pdf</t>
  </si>
  <si>
    <t>Melting_Curves/meltCurve_B7Z3P1_TBCE.pdf</t>
  </si>
  <si>
    <t>Melting_Curves/meltCurve_B7Z3R2_TPCN1.pdf</t>
  </si>
  <si>
    <t>Melting_Curves/meltCurve_B7Z463_NPEPPS.pdf</t>
  </si>
  <si>
    <t>Melting_Curves/meltCurve_B7Z4K6_DNASE2.pdf</t>
  </si>
  <si>
    <t>Melting_Curves/meltCurve_B7Z4R0_ERF.pdf</t>
  </si>
  <si>
    <t>Melting_Curves/meltCurve_B7Z4W5_CCBL1.pdf</t>
  </si>
  <si>
    <t>Melting_Curves/meltCurve_B7Z589_SLC6A9.pdf</t>
  </si>
  <si>
    <t>Melting_Curves/meltCurve_B7Z5G4_STMN3.pdf</t>
  </si>
  <si>
    <t>Melting_Curves/meltCurve_B7Z5W1_F11R.pdf</t>
  </si>
  <si>
    <t>Melting_Curves/meltCurve_B7Z637_ARMC8.pdf</t>
  </si>
  <si>
    <t>Melting_Curves/meltCurve_B7Z6B8_DECR1.pdf</t>
  </si>
  <si>
    <t>Melting_Curves/meltCurve_B7Z6L5_TES.pdf</t>
  </si>
  <si>
    <t>Melting_Curves/meltCurve_B7Z6M4_TNFAIP1.pdf</t>
  </si>
  <si>
    <t>Melting_Curves/meltCurve_B7Z7F3_RANBP3.pdf</t>
  </si>
  <si>
    <t>Melting_Curves/meltCurve_B7Z815_USP7.pdf</t>
  </si>
  <si>
    <t>Melting_Curves/meltCurve_B7Z817_DHCR24.pdf</t>
  </si>
  <si>
    <t>Melting_Curves/meltCurve_B7Z8H2_TRDMT1.pdf</t>
  </si>
  <si>
    <t>Melting_Curves/meltCurve_B7Z9C6_SH3PXD2A.pdf</t>
  </si>
  <si>
    <t>Melting_Curves/meltCurve_B7Z9I3_ATP6AP2.pdf</t>
  </si>
  <si>
    <t>Melting_Curves/meltCurve_B7Z9S8_ATP1B1.pdf</t>
  </si>
  <si>
    <t>Melting_Curves/meltCurve_B7Z9U0_CNOT8.pdf</t>
  </si>
  <si>
    <t>Melting_Curves/meltCurve_B7ZC38_SH3GLB2.pdf</t>
  </si>
  <si>
    <t>Melting_Curves/meltCurve_B7ZKK9_PPP2R5E.pdf</t>
  </si>
  <si>
    <t>Melting_Curves/meltCurve_B7ZKQ9_SCARB1.pdf</t>
  </si>
  <si>
    <t>Melting_Curves/meltCurve_B7ZKW8_RCSD1.pdf</t>
  </si>
  <si>
    <t>Melting_Curves/meltCurve_B7ZL88_COX18.pdf</t>
  </si>
  <si>
    <t>Melting_Curves/meltCurve_B7ZLP8_TARSL2.pdf</t>
  </si>
  <si>
    <t>Melting_Curves/meltCurve_B7ZLZ2_EDEM3.pdf</t>
  </si>
  <si>
    <t>Melting_Curves/meltCurve_B8X2Z3_RLTPR.pdf</t>
  </si>
  <si>
    <t>Melting_Curves/meltCurve_B8ZZD4_TAX1BP1.pdf</t>
  </si>
  <si>
    <t>Melting_Curves/meltCurve_B8ZZN6_SUMO1.pdf</t>
  </si>
  <si>
    <t>Melting_Curves/meltCurve_B8ZZQ6_PTMA.pdf</t>
  </si>
  <si>
    <t>Melting_Curves/meltCurve_B8ZZT9_SNX13.pdf</t>
  </si>
  <si>
    <t>Melting_Curves/meltCurve_B8ZZU6_ATF2.pdf</t>
  </si>
  <si>
    <t>Melting_Curves/meltCurve_B8ZZY2_AGFG1.pdf</t>
  </si>
  <si>
    <t>Melting_Curves/meltCurve_B9A018_USP39.pdf</t>
  </si>
  <si>
    <t>Melting_Curves/meltCurve_B9A054_RHBDD1.pdf</t>
  </si>
  <si>
    <t>Melting_Curves/meltCurve_B9ZVM7_ICA1.pdf</t>
  </si>
  <si>
    <t>Melting_Curves/meltCurve_C0H5Y7_BAK1.pdf</t>
  </si>
  <si>
    <t>Melting_Curves/meltCurve_C1IDX9_ATG12.pdf</t>
  </si>
  <si>
    <t>Melting_Curves/meltCurve_C6GKU9_MED30S.pdf</t>
  </si>
  <si>
    <t>Melting_Curves/meltCurve_C9IYZ1_ASNSD1.pdf</t>
  </si>
  <si>
    <t>Melting_Curves/meltCurve_C9IZP5_MKRN1.pdf</t>
  </si>
  <si>
    <t>Melting_Curves/meltCurve_C9J0A7_CHMP2B.pdf</t>
  </si>
  <si>
    <t>Melting_Curves/meltCurve_C9J0I9_ZC3HC1.pdf</t>
  </si>
  <si>
    <t>Melting_Curves/meltCurve_C9J0K6_SRI.pdf</t>
  </si>
  <si>
    <t>Melting_Curves/meltCurve_C9J0V9_ZNF655.pdf</t>
  </si>
  <si>
    <t>Melting_Curves/meltCurve_C9J1X0_WDR91.pdf</t>
  </si>
  <si>
    <t>Melting_Curves/meltCurve_C9J1X3_TNK2.pdf</t>
  </si>
  <si>
    <t>Melting_Curves/meltCurve_C9J212_UBE2F.pdf</t>
  </si>
  <si>
    <t>Melting_Curves/meltCurve_C9J2P0_UBE2E1.pdf</t>
  </si>
  <si>
    <t>Melting_Curves/meltCurve_C9J2P9_CBLL1.pdf</t>
  </si>
  <si>
    <t>Melting_Curves/meltCurve_C9J2U4_TAMM41.pdf</t>
  </si>
  <si>
    <t>Melting_Curves/meltCurve_C9J2V2_IKBKG.pdf</t>
  </si>
  <si>
    <t>Melting_Curves/meltCurve_C9J2Y9_POLR2B.pdf</t>
  </si>
  <si>
    <t>Melting_Curves/meltCurve_C9J3M4_MOSPD3.pdf</t>
  </si>
  <si>
    <t>Melting_Curves/meltCurve_C9J406_IMMT.pdf</t>
  </si>
  <si>
    <t>Melting_Curves/meltCurve_C9J4Z0_SLC22A23.pdf</t>
  </si>
  <si>
    <t>Melting_Curves/meltCurve_C9J4Z3_RPL37A.pdf</t>
  </si>
  <si>
    <t>Melting_Curves/meltCurve_C9J5C3_PDCD10.pdf</t>
  </si>
  <si>
    <t>Melting_Curves/meltCurve_C9J5J4_LIN9.pdf</t>
  </si>
  <si>
    <t>Melting_Curves/meltCurve_C9J5N1_PTGES3L_AARSD1.pdf</t>
  </si>
  <si>
    <t>Melting_Curves/meltCurve_C9J5X1_IGF1R.pdf</t>
  </si>
  <si>
    <t>Melting_Curves/meltCurve_C9J6W2_KIF20B.pdf</t>
  </si>
  <si>
    <t>Melting_Curves/meltCurve_C9J719_EBP.pdf</t>
  </si>
  <si>
    <t>Melting_Curves/meltCurve_C9J7E8_MKLN1.pdf</t>
  </si>
  <si>
    <t>Melting_Curves/meltCurve_C9J7H8_LDHB.pdf</t>
  </si>
  <si>
    <t>Melting_Curves/meltCurve_C9J7K9_PLSCR1.pdf</t>
  </si>
  <si>
    <t>Melting_Curves/meltCurve_C9J7Z4_TSEN2.pdf</t>
  </si>
  <si>
    <t>Melting_Curves/meltCurve_C9J815_APOBR.pdf</t>
  </si>
  <si>
    <t>Melting_Curves/meltCurve_C9J8Q5_ALDH5A1.pdf</t>
  </si>
  <si>
    <t>Melting_Curves/meltCurve_C9J9K3_RPSA.pdf</t>
  </si>
  <si>
    <t>Melting_Curves/meltCurve_C9JA08_NMD3.pdf</t>
  </si>
  <si>
    <t>Melting_Curves/meltCurve_C9JA28_SSR3.pdf</t>
  </si>
  <si>
    <t>Melting_Curves/meltCurve_C9JAB2_SRSF7.pdf</t>
  </si>
  <si>
    <t>Melting_Curves/meltCurve_C9JAX1_FXN.pdf</t>
  </si>
  <si>
    <t>Melting_Curves/meltCurve_C9JB13_BSDC1.pdf</t>
  </si>
  <si>
    <t>Melting_Curves/meltCurve_C9JBB3_TFPI.pdf</t>
  </si>
  <si>
    <t>Melting_Curves/meltCurve_C9JBL1_SPCS1.pdf</t>
  </si>
  <si>
    <t>Melting_Curves/meltCurve_C9JBT1_C7orf41.pdf</t>
  </si>
  <si>
    <t>Melting_Curves/meltCurve_C9JC99_TANGO2.pdf</t>
  </si>
  <si>
    <t>Melting_Curves/meltCurve_C9JCC6_DRAP1.pdf</t>
  </si>
  <si>
    <t>Melting_Curves/meltCurve_C9JDG0_DIAPH3.pdf</t>
  </si>
  <si>
    <t>Melting_Curves/meltCurve_C9JE12_TMUB1.pdf</t>
  </si>
  <si>
    <t>Melting_Curves/meltCurve_C9JE98_NCOR2.pdf</t>
  </si>
  <si>
    <t>Melting_Curves/meltCurve_C9JEL3_EIF4E2.pdf</t>
  </si>
  <si>
    <t>Melting_Curves/meltCurve_C9JFB2_YIPF1.pdf</t>
  </si>
  <si>
    <t>Melting_Curves/meltCurve_C9JFE4_GPS1.pdf</t>
  </si>
  <si>
    <t>Melting_Curves/meltCurve_C9JFR7_CYCS.pdf</t>
  </si>
  <si>
    <t>Melting_Curves/meltCurve_C9JG41_ITM2C.pdf</t>
  </si>
  <si>
    <t>Melting_Curves/meltCurve_C9JG63_SPRED2.pdf</t>
  </si>
  <si>
    <t>Melting_Curves/meltCurve_C9JG97_AAMP.pdf</t>
  </si>
  <si>
    <t>Melting_Curves/meltCurve_C9JGD4_GALNT10.pdf</t>
  </si>
  <si>
    <t>Melting_Curves/meltCurve_C9JIE4_SYNM.pdf</t>
  </si>
  <si>
    <t>Melting_Curves/meltCurve_C9JIF9_APEH.pdf</t>
  </si>
  <si>
    <t>Melting_Curves/meltCurve_C9JIZ6_PSAP.pdf</t>
  </si>
  <si>
    <t>Melting_Curves/meltCurve_C9JJN9_VPS8.pdf</t>
  </si>
  <si>
    <t>Melting_Curves/meltCurve_C9JJV6_MYADM.pdf</t>
  </si>
  <si>
    <t>Melting_Curves/meltCurve_C9JK45_SLC35E1.pdf</t>
  </si>
  <si>
    <t>Melting_Curves/meltCurve_C9JKC7_C7orf49.pdf</t>
  </si>
  <si>
    <t>Melting_Curves/meltCurve_C9JKQ2_NDUFB3.pdf</t>
  </si>
  <si>
    <t>Melting_Curves/meltCurve_C9JKQ7_GART.pdf</t>
  </si>
  <si>
    <t>Melting_Curves/meltCurve_C9JLU1_POLR2H.pdf</t>
  </si>
  <si>
    <t>Melting_Curves/meltCurve_C9JLV4_APAF1.pdf</t>
  </si>
  <si>
    <t>Melting_Curves/meltCurve_C9JMZ9_C7orf43.pdf</t>
  </si>
  <si>
    <t>Melting_Curves/meltCurve_C9JNE2_OARD1.pdf</t>
  </si>
  <si>
    <t>Melting_Curves/meltCurve_C9JP00_MBNL1.pdf</t>
  </si>
  <si>
    <t>Melting_Curves/meltCurve_C9JP16_CRTAP.pdf</t>
  </si>
  <si>
    <t>Melting_Curves/meltCurve_C9JPP2_NKIRAS2.pdf</t>
  </si>
  <si>
    <t>Melting_Curves/meltCurve_C9JQ41_CCDC58.pdf</t>
  </si>
  <si>
    <t>Melting_Curves/meltCurve_C9JQB1_NME6.pdf</t>
  </si>
  <si>
    <t>Melting_Curves/meltCurve_C9JQV3_STK11IP.pdf</t>
  </si>
  <si>
    <t>Melting_Curves/meltCurve_C9JR56_SATB2.pdf</t>
  </si>
  <si>
    <t>Melting_Curves/meltCurve_C9JRY4_SEC22A.pdf</t>
  </si>
  <si>
    <t>Melting_Curves/meltCurve_C9JRZ6_CHCHD3.pdf</t>
  </si>
  <si>
    <t>Melting_Curves/meltCurve_C9JSG1_DPP8.pdf</t>
  </si>
  <si>
    <t>Melting_Curves/meltCurve_C9JT44_SLC25A38.pdf</t>
  </si>
  <si>
    <t>Melting_Curves/meltCurve_C9JTX5_ACTB.pdf</t>
  </si>
  <si>
    <t>Melting_Curves/meltCurve_C9JUP7_VCP.pdf</t>
  </si>
  <si>
    <t>Melting_Curves/meltCurve_C9JV08_IFNAR1.pdf</t>
  </si>
  <si>
    <t>Melting_Curves/meltCurve_C9JV54_TTC32.pdf</t>
  </si>
  <si>
    <t>Melting_Curves/meltCurve_C9JVP0_FOXJ3.pdf</t>
  </si>
  <si>
    <t>Melting_Curves/meltCurve_C9JVW0_PRR24.pdf</t>
  </si>
  <si>
    <t>Melting_Curves/meltCurve_C9JXB8_RPL24.pdf</t>
  </si>
  <si>
    <t>Melting_Curves/meltCurve_C9JY06_NUDT22.pdf</t>
  </si>
  <si>
    <t>Melting_Curves/meltCurve_C9JYK5_BAG1.pdf</t>
  </si>
  <si>
    <t>Melting_Curves/meltCurve_C9JYN0_SYPL1.pdf</t>
  </si>
  <si>
    <t>Melting_Curves/meltCurve_C9JZB0_INPP5K.pdf</t>
  </si>
  <si>
    <t>Melting_Curves/meltCurve_C9JZG2_GART.pdf</t>
  </si>
  <si>
    <t>Melting_Curves/meltCurve_C9JZR4_ARFGAP3.pdf</t>
  </si>
  <si>
    <t>Melting_Curves/meltCurve_C9JZY6_UBE2H.pdf</t>
  </si>
  <si>
    <t>Melting_Curves/meltCurve_C9K0I0_TSKS.pdf</t>
  </si>
  <si>
    <t>Melting_Curves/meltCurve_C9K0X5_SNUPN.pdf</t>
  </si>
  <si>
    <t>Melting_Curves/meltCurve_D3DTZ5_SUPT4H1.pdf</t>
  </si>
  <si>
    <t>Melting_Curves/meltCurve_D3DWC4_TMEM23.pdf</t>
  </si>
  <si>
    <t>Melting_Curves/meltCurve_D3YTB1_RPL32.pdf</t>
  </si>
  <si>
    <t>Melting_Curves/meltCurve_D3YTB5_IRAK1.pdf</t>
  </si>
  <si>
    <t>Melting_Curves/meltCurve_D3YTG6_NDOR1.pdf</t>
  </si>
  <si>
    <t>Melting_Curves/meltCurve_D3YTI9_TAPBP.pdf</t>
  </si>
  <si>
    <t>Melting_Curves/meltCurve_D6R941_MRPS36.pdf</t>
  </si>
  <si>
    <t>Melting_Curves/meltCurve_D6R968_N4BP2L2.pdf</t>
  </si>
  <si>
    <t>Melting_Curves/meltCurve_D6R9P3_HNRNPAB.pdf</t>
  </si>
  <si>
    <t>Melting_Curves/meltCurve_D6R9U7_POLR3G.pdf</t>
  </si>
  <si>
    <t>Melting_Curves/meltCurve_D6R9Z7_COX7C.pdf</t>
  </si>
  <si>
    <t>Melting_Curves/meltCurve_D6RAG3_CPLX1.pdf</t>
  </si>
  <si>
    <t>Melting_Curves/meltCurve_D6RAM3_DOK3.pdf</t>
  </si>
  <si>
    <t>Melting_Curves/meltCurve_D6RAR3_TMEM161B.pdf</t>
  </si>
  <si>
    <t>Melting_Curves/meltCurve_D6RBS5_ELMOD2.pdf</t>
  </si>
  <si>
    <t>Melting_Curves/meltCurve_D6RBW1_EIF4E.pdf</t>
  </si>
  <si>
    <t>Melting_Curves/meltCurve_D6RCD0_HSD17B11.pdf</t>
  </si>
  <si>
    <t>Melting_Curves/meltCurve_D6RCM8_TNFAIP8.pdf</t>
  </si>
  <si>
    <t>Melting_Curves/meltCurve_D6RCN9_CXXC5.pdf</t>
  </si>
  <si>
    <t>Melting_Curves/meltCurve_D6RCQ0_EEF1E1.pdf</t>
  </si>
  <si>
    <t>Melting_Curves/meltCurve_D6RCQ8_PGM3.pdf</t>
  </si>
  <si>
    <t>Melting_Curves/meltCurve_D6RD25_PRELID1.pdf</t>
  </si>
  <si>
    <t>Melting_Curves/meltCurve_D6RDK6_OCIAD1.pdf</t>
  </si>
  <si>
    <t>Melting_Curves/meltCurve_D6RDX3_ATG10.pdf</t>
  </si>
  <si>
    <t>Melting_Curves/meltCurve_D6REA0_PET112.pdf</t>
  </si>
  <si>
    <t>Melting_Curves/meltCurve_D6REL0_CDC42SE2.pdf</t>
  </si>
  <si>
    <t>Melting_Curves/meltCurve_D6REM4_CSNK1A1.pdf</t>
  </si>
  <si>
    <t>Melting_Curves/meltCurve_D6RER8_SLC38A9.pdf</t>
  </si>
  <si>
    <t>Melting_Curves/meltCurve_D6REX3_SEC31A.pdf</t>
  </si>
  <si>
    <t>Melting_Curves/meltCurve_D6REX9_CEP120.pdf</t>
  </si>
  <si>
    <t>Melting_Curves/meltCurve_D6RF48_STX18.pdf</t>
  </si>
  <si>
    <t>Melting_Curves/meltCurve_D6RF62_PAICS.pdf</t>
  </si>
  <si>
    <t>Melting_Curves/meltCurve_D6RFG8_DCK.pdf</t>
  </si>
  <si>
    <t>Melting_Curves/meltCurve_D6RFH4_CYB5B.pdf</t>
  </si>
  <si>
    <t>Melting_Curves/meltCurve_D6RGI3_SEPT11.pdf</t>
  </si>
  <si>
    <t>Melting_Curves/meltCurve_D6RGK9_CNOT6L.pdf</t>
  </si>
  <si>
    <t>Melting_Curves/meltCurve_D6RHD3_CENPK.pdf</t>
  </si>
  <si>
    <t>Melting_Curves/meltCurve_D6RHI7_CCNH.pdf</t>
  </si>
  <si>
    <t>Melting_Curves/meltCurve_D6RHI9_RNASET2.pdf</t>
  </si>
  <si>
    <t>Melting_Curves/meltCurve_D6RIE3_COX7A2.pdf</t>
  </si>
  <si>
    <t>Melting_Curves/meltCurve_D6RIU2_CLDND1.pdf</t>
  </si>
  <si>
    <t>Melting_Curves/meltCurve_D6RIZ4_MFSD10.pdf</t>
  </si>
  <si>
    <t>Melting_Curves/meltCurve_D6RJ07_ZNF346.pdf</t>
  </si>
  <si>
    <t>Melting_Curves/meltCurve_D6RJ90_COMMD10.pdf</t>
  </si>
  <si>
    <t>Melting_Curves/meltCurve_E2QRD0_VWA8.pdf</t>
  </si>
  <si>
    <t>Melting_Curves/meltCurve_E2QRD4_MMS22L.pdf</t>
  </si>
  <si>
    <t>Melting_Curves/meltCurve_E2QRF9_GMNN.pdf</t>
  </si>
  <si>
    <t>Melting_Curves/meltCurve_E5RFJ1_NSMCE2.pdf</t>
  </si>
  <si>
    <t>Melting_Curves/meltCurve_E5RG13_IMPA1.pdf</t>
  </si>
  <si>
    <t>Melting_Curves/meltCurve_E5RG17_TATDN1.pdf</t>
  </si>
  <si>
    <t>Melting_Curves/meltCurve_E5RGQ3_RWDD1.pdf</t>
  </si>
  <si>
    <t>Melting_Curves/meltCurve_E5RGT6_FCHSD1.pdf</t>
  </si>
  <si>
    <t>Melting_Curves/meltCurve_E5RGX5_STMN2.pdf</t>
  </si>
  <si>
    <t>Melting_Curves/meltCurve_E5RGY0_DERL1.pdf</t>
  </si>
  <si>
    <t>Melting_Curves/meltCurve_E5RH36_IDO1.pdf</t>
  </si>
  <si>
    <t>Melting_Curves/meltCurve_E5RHA7_RELL2.pdf</t>
  </si>
  <si>
    <t>Melting_Curves/meltCurve_E5RHC1_PPP2CB.pdf</t>
  </si>
  <si>
    <t>Melting_Curves/meltCurve_E5RHG8_TCEB1.pdf</t>
  </si>
  <si>
    <t>Melting_Curves/meltCurve_E5RHG9_UQCRB.pdf</t>
  </si>
  <si>
    <t>Melting_Curves/meltCurve_E5RHT1_PSEN2.pdf</t>
  </si>
  <si>
    <t>Melting_Curves/meltCurve_E5RHV2_ANKRD46.pdf</t>
  </si>
  <si>
    <t>Melting_Curves/meltCurve_E5RI99_RPL30.pdf</t>
  </si>
  <si>
    <t>Melting_Curves/meltCurve_E5RIA0_SORBS3.pdf</t>
  </si>
  <si>
    <t>Melting_Curves/meltCurve_E5RIH5_TTI2.pdf</t>
  </si>
  <si>
    <t>Melting_Curves/meltCurve_E5RIJ0_POLB.pdf</t>
  </si>
  <si>
    <t>Melting_Curves/meltCurve_E5RIP7_IMPA1.pdf</t>
  </si>
  <si>
    <t>Melting_Curves/meltCurve_E5RIY0_TMEM55A.pdf</t>
  </si>
  <si>
    <t>Melting_Curves/meltCurve_E5RJ08_CHCHD7.pdf</t>
  </si>
  <si>
    <t>Melting_Curves/meltCurve_E5RJ86_ARMC1.pdf</t>
  </si>
  <si>
    <t>Melting_Curves/meltCurve_E5RJ97_TRPS1.pdf</t>
  </si>
  <si>
    <t>Melting_Curves/meltCurve_E5RJ99_ZFAND1.pdf</t>
  </si>
  <si>
    <t>Melting_Curves/meltCurve_E5RJD2_DECR1.pdf</t>
  </si>
  <si>
    <t>Melting_Curves/meltCurve_E5RJI7_MRPL13.pdf</t>
  </si>
  <si>
    <t>Melting_Curves/meltCurve_E5RJR5_SKP1.pdf</t>
  </si>
  <si>
    <t>Melting_Curves/meltCurve_E5RK62_SPARC.pdf</t>
  </si>
  <si>
    <t>Melting_Curves/meltCurve_E5RK82_CETN3.pdf</t>
  </si>
  <si>
    <t>Melting_Curves/meltCurve_E7EM50_PIGG.pdf</t>
  </si>
  <si>
    <t>Melting_Curves/meltCurve_E7EM64_COPS6.pdf</t>
  </si>
  <si>
    <t>Melting_Curves/meltCurve_E7EM95_RNF5.pdf</t>
  </si>
  <si>
    <t>Melting_Curves/meltCurve_E7EMB6_DNPEP.pdf</t>
  </si>
  <si>
    <t>Melting_Curves/meltCurve_E7EMM4_ASAH1.pdf</t>
  </si>
  <si>
    <t>Melting_Curves/meltCurve_E7EMX7_RAI14.pdf</t>
  </si>
  <si>
    <t>Melting_Curves/meltCurve_E7EN32_MEN1.pdf</t>
  </si>
  <si>
    <t>Melting_Curves/meltCurve_E7EN73_KIAA0319L.pdf</t>
  </si>
  <si>
    <t>Melting_Curves/meltCurve_E7EN86_ZNF143.pdf</t>
  </si>
  <si>
    <t>Melting_Curves/meltCurve_E7ENA9_NCSTN.pdf</t>
  </si>
  <si>
    <t>Melting_Curves/meltCurve_E7ENK0_CALCOCO2.pdf</t>
  </si>
  <si>
    <t>Melting_Curves/meltCurve_E7ENN3_SYNE1.pdf</t>
  </si>
  <si>
    <t>Melting_Curves/meltCurve_E7ENU4_ADAR.pdf</t>
  </si>
  <si>
    <t>Melting_Curves/meltCurve_E7ENX6_LRFN4.pdf</t>
  </si>
  <si>
    <t>Melting_Curves/meltCurve_E7EP72_C19orf25.pdf</t>
  </si>
  <si>
    <t>Melting_Curves/meltCurve_E7EPB3_RPL14.pdf</t>
  </si>
  <si>
    <t>Melting_Curves/meltCurve_E7EPD0_TOM1.pdf</t>
  </si>
  <si>
    <t>Melting_Curves/meltCurve_E7EPL4_PDXDC1.pdf</t>
  </si>
  <si>
    <t>Melting_Curves/meltCurve_E7EPN9_PRRC2C.pdf</t>
  </si>
  <si>
    <t>Melting_Curves/meltCurve_E7EPP7_STXBP4.pdf</t>
  </si>
  <si>
    <t>Melting_Curves/meltCurve_E7EPT4_NDUFV2.pdf</t>
  </si>
  <si>
    <t>Melting_Curves/meltCurve_E7EPV7_SNCA.pdf</t>
  </si>
  <si>
    <t>Melting_Curves/meltCurve_E7EPW5_ST7.pdf</t>
  </si>
  <si>
    <t>Melting_Curves/meltCurve_E7EPY1_TNIP1.pdf</t>
  </si>
  <si>
    <t>Melting_Curves/meltCurve_E7EQ12_CAST.pdf</t>
  </si>
  <si>
    <t>Melting_Curves/meltCurve_E7EQ29_GLB1.pdf</t>
  </si>
  <si>
    <t>Melting_Curves/meltCurve_E7EQ69_NAA50.pdf</t>
  </si>
  <si>
    <t>Melting_Curves/meltCurve_E7EQE7_CORIN.pdf</t>
  </si>
  <si>
    <t>Melting_Curves/meltCurve_E7EQI7_KIAA0196.pdf</t>
  </si>
  <si>
    <t>Melting_Curves/meltCurve_E7EQJ0_HNRNPH1.pdf</t>
  </si>
  <si>
    <t>Melting_Curves/meltCurve_E7EQN6_SENP6.pdf</t>
  </si>
  <si>
    <t>Melting_Curves/meltCurve_E7EQR8_YIPF3.pdf</t>
  </si>
  <si>
    <t>Melting_Curves/meltCurve_E7EQS5_DMD.pdf</t>
  </si>
  <si>
    <t>Melting_Curves/meltCurve_E7EQS8_TET2.pdf</t>
  </si>
  <si>
    <t>Melting_Curves/meltCurve_E7EQT4_ACIN1.pdf</t>
  </si>
  <si>
    <t>Melting_Curves/meltCurve_E7EQV9_RPL15.pdf</t>
  </si>
  <si>
    <t>Melting_Curves/meltCurve_E7ER68_FAM91A1.pdf</t>
  </si>
  <si>
    <t>Melting_Curves/meltCurve_E7ER77_ERMP1.pdf</t>
  </si>
  <si>
    <t>Melting_Curves/meltCurve_E7ERB7_GMIP.pdf</t>
  </si>
  <si>
    <t>Melting_Curves/meltCurve_E7ERC6_ATP2C1.pdf</t>
  </si>
  <si>
    <t>Melting_Curves/meltCurve_E7ERL6_MAST2.pdf</t>
  </si>
  <si>
    <t>Melting_Curves/meltCurve_E7ERS3_ZC3H18.pdf</t>
  </si>
  <si>
    <t>Melting_Curves/meltCurve_E7ERW0_VGLL4.pdf</t>
  </si>
  <si>
    <t>Melting_Curves/meltCurve_E7ES43_HSPA4L.pdf</t>
  </si>
  <si>
    <t>Melting_Curves/meltCurve_E7ES96_PSEN1.pdf</t>
  </si>
  <si>
    <t>Melting_Curves/meltCurve_E7ESC6_XPO7.pdf</t>
  </si>
  <si>
    <t>Melting_Curves/meltCurve_E7ESD2_FAM21A.pdf</t>
  </si>
  <si>
    <t>Melting_Curves/meltCurve_E7ESU4_NAT10.pdf</t>
  </si>
  <si>
    <t>Melting_Curves/meltCurve_E7ESU7_CTBP1.pdf</t>
  </si>
  <si>
    <t>Melting_Curves/meltCurve_E7ESZ7_NDUFA10.pdf</t>
  </si>
  <si>
    <t>Melting_Curves/meltCurve_E7ET15_U2SURP.pdf</t>
  </si>
  <si>
    <t>Melting_Curves/meltCurve_E7ET25_NUP205.pdf</t>
  </si>
  <si>
    <t>Melting_Curves/meltCurve_E7ET49_DAGLB.pdf</t>
  </si>
  <si>
    <t>Melting_Curves/meltCurve_E7ET89_DTX2.pdf</t>
  </si>
  <si>
    <t>Melting_Curves/meltCurve_E7ETI8_C1orf112.pdf</t>
  </si>
  <si>
    <t>Melting_Curves/meltCurve_E7ETK0_RPS24.pdf</t>
  </si>
  <si>
    <t>Melting_Curves/meltCurve_E7ETM6_SYS1.pdf</t>
  </si>
  <si>
    <t>Melting_Curves/meltCurve_E7ETY4_MARK2.pdf</t>
  </si>
  <si>
    <t>Melting_Curves/meltCurve_E7ETZ4_BZW2.pdf</t>
  </si>
  <si>
    <t>Melting_Curves/meltCurve_E7EU19_RAD54L2.pdf</t>
  </si>
  <si>
    <t>Melting_Curves/meltCurve_E7EU23_GDI2.pdf</t>
  </si>
  <si>
    <t>Melting_Curves/meltCurve_E7EU24_CBFA2T3.pdf</t>
  </si>
  <si>
    <t>Melting_Curves/meltCurve_E7EU96_CSNK2A1.pdf</t>
  </si>
  <si>
    <t>Melting_Curves/meltCurve_E7EUC7_UGP2.pdf</t>
  </si>
  <si>
    <t>Melting_Curves/meltCurve_E7EUH9_NCAPG2.pdf</t>
  </si>
  <si>
    <t>Melting_Curves/meltCurve_E7EUL7_SSFA2.pdf</t>
  </si>
  <si>
    <t>Melting_Curves/meltCurve_E7EUM5_NUP54.pdf</t>
  </si>
  <si>
    <t>Melting_Curves/meltCurve_E7EUN2_AGAP1.pdf</t>
  </si>
  <si>
    <t>Melting_Curves/meltCurve_E7EUU1_LTBP4.pdf</t>
  </si>
  <si>
    <t>Melting_Curves/meltCurve_E7EUY3_PCCB.pdf</t>
  </si>
  <si>
    <t>Melting_Curves/meltCurve_E7EV43_RWDD4.pdf</t>
  </si>
  <si>
    <t>Melting_Curves/meltCurve_E7EV46_PGBD3.pdf</t>
  </si>
  <si>
    <t>Melting_Curves/meltCurve_E7EV56_PCM1.pdf</t>
  </si>
  <si>
    <t>Melting_Curves/meltCurve_E7EV99_ADD1.pdf</t>
  </si>
  <si>
    <t>Melting_Curves/meltCurve_E7EVA0_MAP4.pdf</t>
  </si>
  <si>
    <t>Melting_Curves/meltCurve_E7EVC7_ATG16L1.pdf</t>
  </si>
  <si>
    <t>Melting_Curves/meltCurve_E7EVH7_KLC1.pdf</t>
  </si>
  <si>
    <t>Melting_Curves/meltCurve_E7EVH9_HDHD1.pdf</t>
  </si>
  <si>
    <t>Melting_Curves/meltCurve_E7EVK2_MTG1.pdf</t>
  </si>
  <si>
    <t>Melting_Curves/meltCurve_E7EVM2_TAL1.pdf</t>
  </si>
  <si>
    <t>Melting_Curves/meltCurve_E7EVZ2_YWHAZ.pdf</t>
  </si>
  <si>
    <t>Melting_Curves/meltCurve_E7EW05_SDAD1.pdf</t>
  </si>
  <si>
    <t>Melting_Curves/meltCurve_E7EW20_MYO6.pdf</t>
  </si>
  <si>
    <t>Melting_Curves/meltCurve_E7EW32_MON1B.pdf</t>
  </si>
  <si>
    <t>Melting_Curves/meltCurve_E7EWP0_NDUFB5.pdf</t>
  </si>
  <si>
    <t>Melting_Curves/meltCurve_E7EWQ5_MAST4.pdf</t>
  </si>
  <si>
    <t>Melting_Curves/meltCurve_E7EX17_EIF4B.pdf</t>
  </si>
  <si>
    <t>Melting_Curves/meltCurve_E7EX73_EIF4G1.pdf</t>
  </si>
  <si>
    <t>Melting_Curves/meltCurve_E7EX90_DCTN1.pdf</t>
  </si>
  <si>
    <t>Melting_Curves/meltCurve_E9PAK5_DENND4B.pdf</t>
  </si>
  <si>
    <t>Melting_Curves/meltCurve_E9PAL9_NT5DC2.pdf</t>
  </si>
  <si>
    <t>Melting_Curves/meltCurve_E9PAU2_RAVER1.pdf</t>
  </si>
  <si>
    <t>Melting_Curves/meltCurve_E9PB14_PDHX.pdf</t>
  </si>
  <si>
    <t>Melting_Curves/meltCurve_E9PB61_ALYREF.pdf</t>
  </si>
  <si>
    <t>Melting_Curves/meltCurve_E9PC15_AGK.pdf</t>
  </si>
  <si>
    <t>Melting_Curves/meltCurve_E9PC26_BUB1.pdf</t>
  </si>
  <si>
    <t>Melting_Curves/meltCurve_E9PC28_PTPRC.pdf</t>
  </si>
  <si>
    <t>Melting_Curves/meltCurve_E9PC74_EIF2B5.pdf</t>
  </si>
  <si>
    <t>Melting_Curves/meltCurve_E9PCH4_FNIP1.pdf</t>
  </si>
  <si>
    <t>Melting_Curves/meltCurve_E9PCV0_GUSB.pdf</t>
  </si>
  <si>
    <t>Melting_Curves/meltCurve_E9PCW1_GOSR1.pdf</t>
  </si>
  <si>
    <t>Melting_Curves/meltCurve_E9PCY7_HNRNPH1.pdf</t>
  </si>
  <si>
    <t>Melting_Curves/meltCurve_E9PD10_GYPA.pdf</t>
  </si>
  <si>
    <t>Melting_Curves/meltCurve_E9PD50_SMG7.pdf</t>
  </si>
  <si>
    <t>Melting_Curves/meltCurve_E9PD56_PXK.pdf</t>
  </si>
  <si>
    <t>Melting_Curves/meltCurve_E9PD90_CKAP2.pdf</t>
  </si>
  <si>
    <t>Melting_Curves/meltCurve_E9PDE4_CAST.pdf</t>
  </si>
  <si>
    <t>Melting_Curves/meltCurve_E9PDJ7_NMU.pdf</t>
  </si>
  <si>
    <t>Melting_Curves/meltCurve_E9PDQ5_ARHGEF7.pdf</t>
  </si>
  <si>
    <t>Melting_Curves/meltCurve_E9PEE8_ITGB6.pdf</t>
  </si>
  <si>
    <t>Melting_Curves/meltCurve_E9PEN8_XPO7.pdf</t>
  </si>
  <si>
    <t>Melting_Curves/meltCurve_E9PER6_PDPK1.pdf</t>
  </si>
  <si>
    <t>Melting_Curves/meltCurve_E9PEZ3_DIAPH1.pdf</t>
  </si>
  <si>
    <t>Melting_Curves/meltCurve_E9PF10_NUP155.pdf</t>
  </si>
  <si>
    <t>Melting_Curves/meltCurve_E9PF18_HADH.pdf</t>
  </si>
  <si>
    <t>Melting_Curves/meltCurve_E9PF19_TBL2.pdf</t>
  </si>
  <si>
    <t>Melting_Curves/meltCurve_E9PF74_SLC25A19.pdf</t>
  </si>
  <si>
    <t>Melting_Curves/meltCurve_E9PFK9_RABGEF1.pdf</t>
  </si>
  <si>
    <t>Melting_Curves/meltCurve_E9PFR3_PPP2R5D.pdf</t>
  </si>
  <si>
    <t>Melting_Curves/meltCurve_E9PFZ1_C3orf38.pdf</t>
  </si>
  <si>
    <t>Melting_Curves/meltCurve_E9PG22_CEP97.pdf</t>
  </si>
  <si>
    <t>Melting_Curves/meltCurve_E9PGQ0_SLC25A44.pdf</t>
  </si>
  <si>
    <t>Melting_Curves/meltCurve_E9PGT1_TSN.pdf</t>
  </si>
  <si>
    <t>Melting_Curves/meltCurve_E9PGT3_RPS6KA1.pdf</t>
  </si>
  <si>
    <t>Melting_Curves/meltCurve_E9PGT6_COPS8.pdf</t>
  </si>
  <si>
    <t>Melting_Curves/meltCurve_E9PGW7_MED22.pdf</t>
  </si>
  <si>
    <t>Melting_Curves/meltCurve_E9PH29_PRDX3.pdf</t>
  </si>
  <si>
    <t>Melting_Curves/meltCurve_E9PH64_NDUFB9.pdf</t>
  </si>
  <si>
    <t>Melting_Curves/meltCurve_E9PH99_ZNF451.pdf</t>
  </si>
  <si>
    <t>Melting_Curves/meltCurve_E9PHF7_MCCC1.pdf</t>
  </si>
  <si>
    <t>Melting_Curves/meltCurve_E9PHG5_CYP20A1.pdf</t>
  </si>
  <si>
    <t>Melting_Curves/meltCurve_E9PHM2_LARS2.pdf</t>
  </si>
  <si>
    <t>Melting_Curves/meltCurve_E9PI60_BRPF3.pdf</t>
  </si>
  <si>
    <t>Melting_Curves/meltCurve_E9PIB9_GLI1.pdf</t>
  </si>
  <si>
    <t>Melting_Curves/meltCurve_E9PIE4_MTCH2.pdf</t>
  </si>
  <si>
    <t>Melting_Curves/meltCurve_E9PIR7_TXNRD1.pdf</t>
  </si>
  <si>
    <t>Melting_Curves/meltCurve_E9PJ64_PDE4DIP.pdf</t>
  </si>
  <si>
    <t>Melting_Curves/meltCurve_E9PJ81_UBXN1.pdf</t>
  </si>
  <si>
    <t>Melting_Curves/meltCurve_E9PJB8_VIMP.pdf</t>
  </si>
  <si>
    <t>Melting_Curves/meltCurve_E9PJD7_CYHR1.pdf</t>
  </si>
  <si>
    <t>Melting_Curves/meltCurve_E9PJF5_BRMS1.pdf</t>
  </si>
  <si>
    <t>Melting_Curves/meltCurve_E9PJK1_CD81.pdf</t>
  </si>
  <si>
    <t>Melting_Curves/meltCurve_E9PJM3_FBXO3.pdf</t>
  </si>
  <si>
    <t>Melting_Curves/meltCurve_E9PK91_BCLAF1.pdf</t>
  </si>
  <si>
    <t>Melting_Curves/meltCurve_E9PKA7_RCE1.pdf</t>
  </si>
  <si>
    <t>Melting_Curves/meltCurve_E9PKG1_PRMT1.pdf</t>
  </si>
  <si>
    <t>Melting_Curves/meltCurve_E9PKP7_UBTF.pdf</t>
  </si>
  <si>
    <t>Melting_Curves/meltCurve_E9PKT4_TMEM123.pdf</t>
  </si>
  <si>
    <t>Melting_Curves/meltCurve_E9PKV2_MRPL17.pdf</t>
  </si>
  <si>
    <t>Melting_Curves/meltCurve_E9PKV8_TTC9C.pdf</t>
  </si>
  <si>
    <t>Melting_Curves/meltCurve_E9PKZ0_RPL8.pdf</t>
  </si>
  <si>
    <t>Melting_Curves/meltCurve_E9PL01_SPCS2.pdf</t>
  </si>
  <si>
    <t>Melting_Curves/meltCurve_E9PL17_CLP1.pdf</t>
  </si>
  <si>
    <t>Melting_Curves/meltCurve_E9PL22_HYOU1.pdf</t>
  </si>
  <si>
    <t>Melting_Curves/meltCurve_E9PL33_EI24.pdf</t>
  </si>
  <si>
    <t>Melting_Curves/meltCurve_E9PL57_NEDD8_MDP1.pdf</t>
  </si>
  <si>
    <t>Melting_Curves/meltCurve_E9PL69_RRM1.pdf</t>
  </si>
  <si>
    <t>Melting_Curves/meltCurve_E9PLD3_.pdf</t>
  </si>
  <si>
    <t>Melting_Curves/meltCurve_E9PLJ2_CHIA.pdf</t>
  </si>
  <si>
    <t>Melting_Curves/meltCurve_E9PLK3_NPEPPS.pdf</t>
  </si>
  <si>
    <t>Melting_Curves/meltCurve_E9PLL6_RPL27A.pdf</t>
  </si>
  <si>
    <t>Melting_Curves/meltCurve_E9PLX2_RNF141.pdf</t>
  </si>
  <si>
    <t>Melting_Curves/meltCurve_E9PLY5_MACF1.pdf</t>
  </si>
  <si>
    <t>Melting_Curves/meltCurve_E9PM19_TYK2.pdf</t>
  </si>
  <si>
    <t>Melting_Curves/meltCurve_E9PM46_USP47.pdf</t>
  </si>
  <si>
    <t>Melting_Curves/meltCurve_E9PM92_C11orf58.pdf</t>
  </si>
  <si>
    <t>Melting_Curves/meltCurve_E9PMJ2_FAM118B.pdf</t>
  </si>
  <si>
    <t>Melting_Curves/meltCurve_E9PMQ6_HSF1.pdf</t>
  </si>
  <si>
    <t>Melting_Curves/meltCurve_E9PMR4_CD151.pdf</t>
  </si>
  <si>
    <t>Melting_Curves/meltCurve_E9PMS3_PEX16.pdf</t>
  </si>
  <si>
    <t>Melting_Curves/meltCurve_E9PMS6_LMO7.pdf</t>
  </si>
  <si>
    <t>Melting_Curves/meltCurve_E9PN89_HSPA8.pdf</t>
  </si>
  <si>
    <t>Melting_Curves/meltCurve_E9PND3_EBAG9.pdf</t>
  </si>
  <si>
    <t>Melting_Curves/meltCurve_E9PNK6_TPD52L1.pdf</t>
  </si>
  <si>
    <t>Melting_Curves/meltCurve_E9PNN3_PTS.pdf</t>
  </si>
  <si>
    <t>Melting_Curves/meltCurve_E9PNP3_AAMDC.pdf</t>
  </si>
  <si>
    <t>Melting_Curves/meltCurve_E9PNT2_ARHGAP27.pdf</t>
  </si>
  <si>
    <t>Melting_Curves/meltCurve_E9PNW4_CD59.pdf</t>
  </si>
  <si>
    <t>Melting_Curves/meltCurve_E9PPM8_DERA.pdf</t>
  </si>
  <si>
    <t>Melting_Curves/meltCurve_E9PPZ9_GPAA1.pdf</t>
  </si>
  <si>
    <t>Melting_Curves/meltCurve_E9PQ59_NFRKB.pdf</t>
  </si>
  <si>
    <t>Melting_Curves/meltCurve_E9PQY3_ACP2.pdf</t>
  </si>
  <si>
    <t>Melting_Curves/meltCurve_E9PR30_FAU.pdf</t>
  </si>
  <si>
    <t>Melting_Curves/meltCurve_E9PR76_MAF1.pdf</t>
  </si>
  <si>
    <t>Melting_Curves/meltCurve_E9PRA1_TATDN3.pdf</t>
  </si>
  <si>
    <t>Melting_Curves/meltCurve_E9PRR8_EIF1AD.pdf</t>
  </si>
  <si>
    <t>Melting_Curves/meltCurve_E9PRY8_EEF1D.pdf</t>
  </si>
  <si>
    <t>Melting_Curves/meltCurve_E9PS00_FADS3.pdf</t>
  </si>
  <si>
    <t>Melting_Curves/meltCurve_E9PS17_SCYL1.pdf</t>
  </si>
  <si>
    <t>Melting_Curves/meltCurve_E9PS38_NEDD8_MDP1.pdf</t>
  </si>
  <si>
    <t>Melting_Curves/meltCurve_E9PSI1_TM9SF1.pdf</t>
  </si>
  <si>
    <t>Melting_Curves/meltCurve_F2Z2I2_PFKFB3.pdf</t>
  </si>
  <si>
    <t>Melting_Curves/meltCurve_F2Z2Q4_TRMT11.pdf</t>
  </si>
  <si>
    <t>Melting_Curves/meltCurve_F2Z2U8_MYH14.pdf</t>
  </si>
  <si>
    <t>Melting_Curves/meltCurve_F2Z2V0_CPNE1.pdf</t>
  </si>
  <si>
    <t>Melting_Curves/meltCurve_F2Z2W7_TRMT2A.pdf</t>
  </si>
  <si>
    <t>Melting_Curves/meltCurve_F2Z2X4_XPO4.pdf</t>
  </si>
  <si>
    <t>Melting_Curves/meltCurve_F2Z3A9_RABL2B.pdf</t>
  </si>
  <si>
    <t>Melting_Curves/meltCurve_F5GWD3_GTF2H3.pdf</t>
  </si>
  <si>
    <t>Melting_Curves/meltCurve_F5GWH5_TMEM258.pdf</t>
  </si>
  <si>
    <t>Melting_Curves/meltCurve_F5GWI4_ADA.pdf</t>
  </si>
  <si>
    <t>Melting_Curves/meltCurve_F5GWI9_CCDC53.pdf</t>
  </si>
  <si>
    <t>Melting_Curves/meltCurve_F5GWK5_STARD10.pdf</t>
  </si>
  <si>
    <t>Melting_Curves/meltCurve_F5GWT4_WNK1.pdf</t>
  </si>
  <si>
    <t>Melting_Curves/meltCurve_F5GWT8_SERPINB11.pdf</t>
  </si>
  <si>
    <t>Melting_Curves/meltCurve_F5GWU7_SMAD5.pdf</t>
  </si>
  <si>
    <t>Melting_Curves/meltCurve_F5GWX5_CHD4.pdf</t>
  </si>
  <si>
    <t>Melting_Curves/meltCurve_F5GX09_FAM76B.pdf</t>
  </si>
  <si>
    <t>Melting_Curves/meltCurve_F5GX68_DNMT1.pdf</t>
  </si>
  <si>
    <t>Melting_Curves/meltCurve_F5GX82_FRYL.pdf</t>
  </si>
  <si>
    <t>Melting_Curves/meltCurve_F5GXC8_SUCLA2.pdf</t>
  </si>
  <si>
    <t>Melting_Curves/meltCurve_F5GXF9_AFF1.pdf</t>
  </si>
  <si>
    <t>Melting_Curves/meltCurve_F5GXK8_DNAJB11.pdf</t>
  </si>
  <si>
    <t>Melting_Curves/meltCurve_F5GXX5_DAD1.pdf</t>
  </si>
  <si>
    <t>Melting_Curves/meltCurve_F5GXY5_SASS6.pdf</t>
  </si>
  <si>
    <t>Melting_Curves/meltCurve_F5GY92_GPBP1.pdf</t>
  </si>
  <si>
    <t>Melting_Curves/meltCurve_F5GY99_GALNT1.pdf</t>
  </si>
  <si>
    <t>Melting_Curves/meltCurve_F5GYC1_ABCD3.pdf</t>
  </si>
  <si>
    <t>Melting_Curves/meltCurve_F5GYC2_MAP7D2.pdf</t>
  </si>
  <si>
    <t>Melting_Curves/meltCurve_F5GYJ5_.pdf</t>
  </si>
  <si>
    <t>Melting_Curves/meltCurve_F5GYN4_OTUB1.pdf</t>
  </si>
  <si>
    <t>Melting_Curves/meltCurve_F5GYQ1_ATP6V0D1.pdf</t>
  </si>
  <si>
    <t>Melting_Curves/meltCurve_F5GYS8_MEIS1.pdf</t>
  </si>
  <si>
    <t>Melting_Curves/meltCurve_F5GZ90_DTL.pdf</t>
  </si>
  <si>
    <t>Melting_Curves/meltCurve_F5GZG1_RAP1B.pdf</t>
  </si>
  <si>
    <t>Melting_Curves/meltCurve_F5GZS0_DHX36.pdf</t>
  </si>
  <si>
    <t>Melting_Curves/meltCurve_F5GZS6_SLC3A2.pdf</t>
  </si>
  <si>
    <t>Melting_Curves/meltCurve_F5GZW3_ARHGAP4.pdf</t>
  </si>
  <si>
    <t>Melting_Curves/meltCurve_F5GZX9_FAM120B.pdf</t>
  </si>
  <si>
    <t>Melting_Curves/meltCurve_F5GZZ0_ALKBH2.pdf</t>
  </si>
  <si>
    <t>Melting_Curves/meltCurve_F5H012_TRIM21.pdf</t>
  </si>
  <si>
    <t>Melting_Curves/meltCurve_F5H070_KDM3A.pdf</t>
  </si>
  <si>
    <t>Melting_Curves/meltCurve_F5H0F9_ANAPC5.pdf</t>
  </si>
  <si>
    <t>Melting_Curves/meltCurve_F5H0I3_SOX5.pdf</t>
  </si>
  <si>
    <t>Melting_Curves/meltCurve_F5H0K8_KSR1.pdf</t>
  </si>
  <si>
    <t>Melting_Curves/meltCurve_F5H0L8_SEC23IP.pdf</t>
  </si>
  <si>
    <t>Melting_Curves/meltCurve_F5H0Q6_CLASRP.pdf</t>
  </si>
  <si>
    <t>Melting_Curves/meltCurve_F5H0R1_TUT1.pdf</t>
  </si>
  <si>
    <t>Melting_Curves/meltCurve_F5H0U5_GLTP.pdf</t>
  </si>
  <si>
    <t>Melting_Curves/meltCurve_F5H149_CCDC180.pdf</t>
  </si>
  <si>
    <t>Melting_Curves/meltCurve_F5H1B4_ZNF562.pdf</t>
  </si>
  <si>
    <t>Melting_Curves/meltCurve_F5H1G9_ABI1.pdf</t>
  </si>
  <si>
    <t>Melting_Curves/meltCurve_F5H1L4_TXNRD2.pdf</t>
  </si>
  <si>
    <t>Melting_Curves/meltCurve_F5H1X8_LRBA.pdf</t>
  </si>
  <si>
    <t>Melting_Curves/meltCurve_F5H1Y0_RAD51AP1.pdf</t>
  </si>
  <si>
    <t>Melting_Curves/meltCurve_F5H254_TMEM135.pdf</t>
  </si>
  <si>
    <t>Melting_Curves/meltCurve_F5H2B0_PIK3C2A.pdf</t>
  </si>
  <si>
    <t>Melting_Curves/meltCurve_F5H2H5_ANKLE2.pdf</t>
  </si>
  <si>
    <t>Melting_Curves/meltCurve_F5H2J3_VMP1.pdf</t>
  </si>
  <si>
    <t>Melting_Curves/meltCurve_F5H2Q7_KIAA1715.pdf</t>
  </si>
  <si>
    <t>Melting_Curves/meltCurve_F5H2S7_DCTN2.pdf</t>
  </si>
  <si>
    <t>Melting_Curves/meltCurve_F5H2U2_PRPF4B.pdf</t>
  </si>
  <si>
    <t>Melting_Curves/meltCurve_F5H2X7_CIZ1.pdf</t>
  </si>
  <si>
    <t>Melting_Curves/meltCurve_F5H315_XAB2.pdf</t>
  </si>
  <si>
    <t>Melting_Curves/meltCurve_F5H365_SEC23A.pdf</t>
  </si>
  <si>
    <t>Melting_Curves/meltCurve_F5H3J3_CHST10.pdf</t>
  </si>
  <si>
    <t>Melting_Curves/meltCurve_F5H442_TSG101.pdf</t>
  </si>
  <si>
    <t>Melting_Curves/meltCurve_F5H450_FZD10.pdf</t>
  </si>
  <si>
    <t>Melting_Curves/meltCurve_F5H492_RAD9A.pdf</t>
  </si>
  <si>
    <t>Melting_Curves/meltCurve_F5H4B1_PRAME.pdf</t>
  </si>
  <si>
    <t>Melting_Curves/meltCurve_F5H4G7_KPNA6.pdf</t>
  </si>
  <si>
    <t>Melting_Curves/meltCurve_F5H4Q5_VPS37C.pdf</t>
  </si>
  <si>
    <t>Melting_Curves/meltCurve_F5H4R0_EVI5.pdf</t>
  </si>
  <si>
    <t>Melting_Curves/meltCurve_F5H4S8_NFATC1.pdf</t>
  </si>
  <si>
    <t>Melting_Curves/meltCurve_F5H4V9_PDCD2.pdf</t>
  </si>
  <si>
    <t>Melting_Curves/meltCurve_F5H4Z3_PSMF1.pdf</t>
  </si>
  <si>
    <t>Melting_Curves/meltCurve_F5H539_TDG.pdf</t>
  </si>
  <si>
    <t>Melting_Curves/meltCurve_F5H564_EIF4G3.pdf</t>
  </si>
  <si>
    <t>Melting_Curves/meltCurve_F5H569_ATP6V0A1.pdf</t>
  </si>
  <si>
    <t>Melting_Curves/meltCurve_F5H577_BRK1.pdf</t>
  </si>
  <si>
    <t>Melting_Curves/meltCurve_F5H5C2_NUP133.pdf</t>
  </si>
  <si>
    <t>Melting_Curves/meltCurve_F5H5D3_TUBA1C.pdf</t>
  </si>
  <si>
    <t>Melting_Curves/meltCurve_F5H5D7_CLSTN3.pdf</t>
  </si>
  <si>
    <t>Melting_Curves/meltCurve_F5H5I6_GRSF1.pdf</t>
  </si>
  <si>
    <t>Melting_Curves/meltCurve_F5H5M7_IFNGR1.pdf</t>
  </si>
  <si>
    <t>Melting_Curves/meltCurve_F5H5N0_CDC42BPA.pdf</t>
  </si>
  <si>
    <t>Melting_Curves/meltCurve_F5H5N1_NDUFS7.pdf</t>
  </si>
  <si>
    <t>Melting_Curves/meltCurve_F5H5P2_BCKDHA.pdf</t>
  </si>
  <si>
    <t>Melting_Curves/meltCurve_F5H5R8_NAT1.pdf</t>
  </si>
  <si>
    <t>Melting_Curves/meltCurve_F5H5U2_DDX55.pdf</t>
  </si>
  <si>
    <t>Melting_Curves/meltCurve_F5H5V6_KDM6A.pdf</t>
  </si>
  <si>
    <t>Melting_Curves/meltCurve_F5H604_CLASP2.pdf</t>
  </si>
  <si>
    <t>Melting_Curves/meltCurve_F5H620_OXNAD1.pdf</t>
  </si>
  <si>
    <t>Melting_Curves/meltCurve_F5H631_CLEC2B.pdf</t>
  </si>
  <si>
    <t>Melting_Curves/meltCurve_F5H640_YY1AP1.pdf</t>
  </si>
  <si>
    <t>Melting_Curves/meltCurve_F5H648_TAP1.pdf</t>
  </si>
  <si>
    <t>Melting_Curves/meltCurve_F5H698_LARS.pdf</t>
  </si>
  <si>
    <t>Melting_Curves/meltCurve_F5H6V0_KCTD10.pdf</t>
  </si>
  <si>
    <t>Melting_Curves/meltCurve_F5H6Z0_CDK17.pdf</t>
  </si>
  <si>
    <t>Melting_Curves/meltCurve_F5H715_AIDA.pdf</t>
  </si>
  <si>
    <t>Melting_Curves/meltCurve_F5H721_WBP11.pdf</t>
  </si>
  <si>
    <t>Melting_Curves/meltCurve_F5H777_CCDC82.pdf</t>
  </si>
  <si>
    <t>Melting_Curves/meltCurve_F5H7F6_MGST1.pdf</t>
  </si>
  <si>
    <t>Melting_Curves/meltCurve_F5H7I4_GABPB1.pdf</t>
  </si>
  <si>
    <t>Melting_Curves/meltCurve_F5H7J5_RPTOR.pdf</t>
  </si>
  <si>
    <t>Melting_Curves/meltCurve_F5H7K2_MGA.pdf</t>
  </si>
  <si>
    <t>Melting_Curves/meltCurve_F5H7K3_EFCAB14.pdf</t>
  </si>
  <si>
    <t>Melting_Curves/meltCurve_F5H7N9_MFGE8.pdf</t>
  </si>
  <si>
    <t>Melting_Curves/meltCurve_F5H7P6_GBA2.pdf</t>
  </si>
  <si>
    <t>Melting_Curves/meltCurve_F5H801_OGDH.pdf</t>
  </si>
  <si>
    <t>Melting_Curves/meltCurve_F5H827_POMGNT1.pdf</t>
  </si>
  <si>
    <t>Melting_Curves/meltCurve_F5H860_INPP4A.pdf</t>
  </si>
  <si>
    <t>Melting_Curves/meltCurve_F5H872_MED21.pdf</t>
  </si>
  <si>
    <t>Melting_Curves/meltCurve_F5H897_TRAP1.pdf</t>
  </si>
  <si>
    <t>Melting_Curves/meltCurve_F5H8D7_XRCC1.pdf</t>
  </si>
  <si>
    <t>Melting_Curves/meltCurve_F5H8H2_MVK.pdf</t>
  </si>
  <si>
    <t>Melting_Curves/meltCurve_F5H8J3_CLPTM1.pdf</t>
  </si>
  <si>
    <t>Melting_Curves/meltCurve_F5H8L0_RABGAP1L.pdf</t>
  </si>
  <si>
    <t>Melting_Curves/meltCurve_F6PQP6_EPN2.pdf</t>
  </si>
  <si>
    <t>Melting_Curves/meltCurve_F6RU81_ELMSAN1.pdf</t>
  </si>
  <si>
    <t>Melting_Curves/meltCurve_F6T1Q0_PDE12.pdf</t>
  </si>
  <si>
    <t>Melting_Curves/meltCurve_F6U1F2_BAG6.pdf</t>
  </si>
  <si>
    <t>Melting_Curves/meltCurve_F6U1T9_PPP3R1.pdf</t>
  </si>
  <si>
    <t>Melting_Curves/meltCurve_F6XY72_NME2.pdf</t>
  </si>
  <si>
    <t>Melting_Curves/meltCurve_F8VP89_EIF4B.pdf</t>
  </si>
  <si>
    <t>Melting_Curves/meltCurve_F8VPD4_CAD.pdf</t>
  </si>
  <si>
    <t>Melting_Curves/meltCurve_F8VQ10_DDX39B.pdf</t>
  </si>
  <si>
    <t>Melting_Curves/meltCurve_F8VQE1_LIMA1.pdf</t>
  </si>
  <si>
    <t>Melting_Curves/meltCurve_F8VQR7_CSRP2.pdf</t>
  </si>
  <si>
    <t>Melting_Curves/meltCurve_F8VQX6_METTL7A.pdf</t>
  </si>
  <si>
    <t>Melting_Curves/meltCurve_F8VQZ7_METAP2.pdf</t>
  </si>
  <si>
    <t>Melting_Curves/meltCurve_F8VRH0_PCBP2.pdf</t>
  </si>
  <si>
    <t>Melting_Curves/meltCurve_F8VSL3_NFYB.pdf</t>
  </si>
  <si>
    <t>Melting_Curves/meltCurve_F8VSZ4_PLXNA1.pdf</t>
  </si>
  <si>
    <t>Melting_Curves/meltCurve_F8VUJ3_POC1B_GALNT4.pdf</t>
  </si>
  <si>
    <t>Melting_Curves/meltCurve_F8VUY8_SLC38A2.pdf</t>
  </si>
  <si>
    <t>Melting_Curves/meltCurve_F8VV52_CNOT2.pdf</t>
  </si>
  <si>
    <t>Melting_Curves/meltCurve_F8VV59_NAP1L1.pdf</t>
  </si>
  <si>
    <t>Melting_Curves/meltCurve_F8VVA7_COPZ1.pdf</t>
  </si>
  <si>
    <t>Melting_Curves/meltCurve_F8VVN7_TMEM106C.pdf</t>
  </si>
  <si>
    <t>Melting_Curves/meltCurve_F8VVX6_COQ5.pdf</t>
  </si>
  <si>
    <t>Melting_Curves/meltCurve_F8VW54_TSPAN31.pdf</t>
  </si>
  <si>
    <t>Melting_Curves/meltCurve_F8VWA6_MON2.pdf</t>
  </si>
  <si>
    <t>Melting_Curves/meltCurve_F8VWA9_ALG10B.pdf</t>
  </si>
  <si>
    <t>Melting_Curves/meltCurve_F8VXG7_SCAF11.pdf</t>
  </si>
  <si>
    <t>Melting_Curves/meltCurve_F8VXI9_GIT2.pdf</t>
  </si>
  <si>
    <t>Melting_Curves/meltCurve_F8VXU5_VPS29.pdf</t>
  </si>
  <si>
    <t>Melting_Curves/meltCurve_F8VY35_NAP1L1.pdf</t>
  </si>
  <si>
    <t>Melting_Curves/meltCurve_F8VYE8_PPP1CC.pdf</t>
  </si>
  <si>
    <t>Melting_Curves/meltCurve_F8VZ44_AAAS.pdf</t>
  </si>
  <si>
    <t>Melting_Curves/meltCurve_F8VZH8_UNC13A.pdf</t>
  </si>
  <si>
    <t>Melting_Curves/meltCurve_F8VZJ2_NACA.pdf</t>
  </si>
  <si>
    <t>Melting_Curves/meltCurve_F8W0Q9_PPHLN1.pdf</t>
  </si>
  <si>
    <t>Melting_Curves/meltCurve_F8W108_ARID2.pdf</t>
  </si>
  <si>
    <t>Melting_Curves/meltCurve_F8W1N9_NFE2.pdf</t>
  </si>
  <si>
    <t>Melting_Curves/meltCurve_F8W689_RFX5.pdf</t>
  </si>
  <si>
    <t>Melting_Curves/meltCurve_F8W6I7_HNRNPA1.pdf</t>
  </si>
  <si>
    <t>Melting_Curves/meltCurve_F8W6M3_ZDHHC3.pdf</t>
  </si>
  <si>
    <t>Melting_Curves/meltCurve_F8W6N3_BAP1.pdf</t>
  </si>
  <si>
    <t>Melting_Curves/meltCurve_F8W6N8_TRIM5.pdf</t>
  </si>
  <si>
    <t>Melting_Curves/meltCurve_F8W782_ADIPOR1.pdf</t>
  </si>
  <si>
    <t>Melting_Curves/meltCurve_F8W7A7_CCDC178.pdf</t>
  </si>
  <si>
    <t>Melting_Curves/meltCurve_F8W7D6_GPHN.pdf</t>
  </si>
  <si>
    <t>Melting_Curves/meltCurve_F8W7G7_FN1.pdf</t>
  </si>
  <si>
    <t>Melting_Curves/meltCurve_F8W7Q4_FAM162A.pdf</t>
  </si>
  <si>
    <t>Melting_Curves/meltCurve_F8W894_KANSL3.pdf</t>
  </si>
  <si>
    <t>Melting_Curves/meltCurve_F8W8C2_VEZT.pdf</t>
  </si>
  <si>
    <t>Melting_Curves/meltCurve_F8W8D3_SLBP.pdf</t>
  </si>
  <si>
    <t>Melting_Curves/meltCurve_F8W8H5_RAB24.pdf</t>
  </si>
  <si>
    <t>Melting_Curves/meltCurve_F8W8I6_TIA1.pdf</t>
  </si>
  <si>
    <t>Melting_Curves/meltCurve_F8W930_IGF2BP2.pdf</t>
  </si>
  <si>
    <t>Melting_Curves/meltCurve_F8W9A8_PPIP5K1.pdf</t>
  </si>
  <si>
    <t>Melting_Curves/meltCurve_F8W9B9_SYTL4.pdf</t>
  </si>
  <si>
    <t>Melting_Curves/meltCurve_F8W9I4_MLLT4.pdf</t>
  </si>
  <si>
    <t>Melting_Curves/meltCurve_F8W9Q9_LENG8.pdf</t>
  </si>
  <si>
    <t>Melting_Curves/meltCurve_F8W9X7_CCDC93.pdf</t>
  </si>
  <si>
    <t>Melting_Curves/meltCurve_F8WA39_MTMR1.pdf</t>
  </si>
  <si>
    <t>Melting_Curves/meltCurve_F8WAC3_UCKL1.pdf</t>
  </si>
  <si>
    <t>Melting_Curves/meltCurve_F8WAK8_STAG2.pdf</t>
  </si>
  <si>
    <t>Melting_Curves/meltCurve_F8WBK5_MRPL40.pdf</t>
  </si>
  <si>
    <t>Melting_Curves/meltCurve_F8WBT5_PINX1.pdf</t>
  </si>
  <si>
    <t>Melting_Curves/meltCurve_F8WBY6_GTPBP8.pdf</t>
  </si>
  <si>
    <t>Melting_Curves/meltCurve_F8WC68_DOM3Z.pdf</t>
  </si>
  <si>
    <t>Melting_Curves/meltCurve_F8WC89_SAC3D1.pdf</t>
  </si>
  <si>
    <t>Melting_Curves/meltCurve_F8WCD0_RNF149.pdf</t>
  </si>
  <si>
    <t>Melting_Curves/meltCurve_F8WCP6_KIF21A.pdf</t>
  </si>
  <si>
    <t>Melting_Curves/meltCurve_F8WDT8_DDX56.pdf</t>
  </si>
  <si>
    <t>Melting_Curves/meltCurve_F8WDV1_POLR3H.pdf</t>
  </si>
  <si>
    <t>Melting_Curves/meltCurve_F8WE28_EXOG.pdf</t>
  </si>
  <si>
    <t>Melting_Curves/meltCurve_F8WE91_DNMT3A.pdf</t>
  </si>
  <si>
    <t>Melting_Curves/meltCurve_F8WEC0_MMADHC.pdf</t>
  </si>
  <si>
    <t>Melting_Curves/meltCurve_F8WEE4_ZFAND2B.pdf</t>
  </si>
  <si>
    <t>Melting_Curves/meltCurve_F8WEG4_CBWD2.pdf</t>
  </si>
  <si>
    <t>Melting_Curves/meltCurve_F8WEG8_PRKRA.pdf</t>
  </si>
  <si>
    <t>Melting_Curves/meltCurve_F8WF48_SEC62.pdf</t>
  </si>
  <si>
    <t>Melting_Curves/meltCurve_F8WF93_ALG3.pdf</t>
  </si>
  <si>
    <t>Melting_Curves/meltCurve_G3V0I5_NDUFV1.pdf</t>
  </si>
  <si>
    <t>Melting_Curves/meltCurve_G3V0I6_OTUD4.pdf</t>
  </si>
  <si>
    <t>Melting_Curves/meltCurve_G3V167_PARP2.pdf</t>
  </si>
  <si>
    <t>Melting_Curves/meltCurve_G3V1C3_API5.pdf</t>
  </si>
  <si>
    <t>Melting_Curves/meltCurve_G3V1D3_DPP3.pdf</t>
  </si>
  <si>
    <t>Melting_Curves/meltCurve_G3V1K3_PON2.pdf</t>
  </si>
  <si>
    <t>Melting_Curves/meltCurve_G3V1L9_TJP1.pdf</t>
  </si>
  <si>
    <t>Melting_Curves/meltCurve_G3V1N2_HBA2.pdf</t>
  </si>
  <si>
    <t>Melting_Curves/meltCurve_G3V1N5_USP28.pdf</t>
  </si>
  <si>
    <t>Melting_Curves/meltCurve_G3V1P3_LOH12CR1.pdf</t>
  </si>
  <si>
    <t>Melting_Curves/meltCurve_G3V1P9_LEPREL2.pdf</t>
  </si>
  <si>
    <t>Melting_Curves/meltCurve_G3V1Q4_SEPT7.pdf</t>
  </si>
  <si>
    <t>Melting_Curves/meltCurve_G3V1Q7_PMFBP1.pdf</t>
  </si>
  <si>
    <t>Melting_Curves/meltCurve_G3V1S9_ACSL6.pdf</t>
  </si>
  <si>
    <t>Melting_Curves/meltCurve_G3V1U5_GOLT1B.pdf</t>
  </si>
  <si>
    <t>Melting_Curves/meltCurve_G3V1V4_GTSF1.pdf</t>
  </si>
  <si>
    <t>Melting_Curves/meltCurve_G3V1X5_YAF2.pdf</t>
  </si>
  <si>
    <t>Melting_Curves/meltCurve_G3V203_RPL18.pdf</t>
  </si>
  <si>
    <t>Melting_Curves/meltCurve_G3V238_METTL10.pdf</t>
  </si>
  <si>
    <t>Melting_Curves/meltCurve_G3V2B8_MTHFD1.pdf</t>
  </si>
  <si>
    <t>Melting_Curves/meltCurve_G3V2F7_TMEM189.pdf</t>
  </si>
  <si>
    <t>Melting_Curves/meltCurve_G3V2U7_ACYP1.pdf</t>
  </si>
  <si>
    <t>Melting_Curves/meltCurve_G3V325_ATP5J2_PTCD1.pdf</t>
  </si>
  <si>
    <t>Melting_Curves/meltCurve_G3V379_FERMT2.pdf</t>
  </si>
  <si>
    <t>Melting_Curves/meltCurve_G3V3G9_DCAF8.pdf</t>
  </si>
  <si>
    <t>Melting_Curves/meltCurve_G3V3H7_AKAP6.pdf</t>
  </si>
  <si>
    <t>Melting_Curves/meltCurve_G3V3I4_NFKBIA.pdf</t>
  </si>
  <si>
    <t>Melting_Curves/meltCurve_G3V3Q2_XRCC3.pdf</t>
  </si>
  <si>
    <t>Melting_Curves/meltCurve_G3V3R7_ATXN3.pdf</t>
  </si>
  <si>
    <t>Melting_Curves/meltCurve_G3V4A5_MED6.pdf</t>
  </si>
  <si>
    <t>Melting_Curves/meltCurve_G3V4I0_ENTPD5.pdf</t>
  </si>
  <si>
    <t>Melting_Curves/meltCurve_G3V4P7_AP4S1.pdf</t>
  </si>
  <si>
    <t>Melting_Curves/meltCurve_G3V4W0_HNRNPC.pdf</t>
  </si>
  <si>
    <t>Melting_Curves/meltCurve_G3V583_FAM177A1.pdf</t>
  </si>
  <si>
    <t>Melting_Curves/meltCurve_G3V597_ACYP1.pdf</t>
  </si>
  <si>
    <t>Melting_Curves/meltCurve_G3V599_CTAGE5.pdf</t>
  </si>
  <si>
    <t>Melting_Curves/meltCurve_G3V5N8_ZFYVE1.pdf</t>
  </si>
  <si>
    <t>Melting_Curves/meltCurve_G3V5T0_GSTZ1.pdf</t>
  </si>
  <si>
    <t>Melting_Curves/meltCurve_G3V5T9_CDK2.pdf</t>
  </si>
  <si>
    <t>Melting_Curves/meltCurve_G3V5W1_WARS.pdf</t>
  </si>
  <si>
    <t>Melting_Curves/meltCurve_G3V5Z7_PSMA6.pdf</t>
  </si>
  <si>
    <t>Melting_Curves/meltCurve_G3XA81_TMEM48.pdf</t>
  </si>
  <si>
    <t>Melting_Curves/meltCurve_G3XAA0_ARID1B.pdf</t>
  </si>
  <si>
    <t>Melting_Curves/meltCurve_G3XAB3_TTC17.pdf</t>
  </si>
  <si>
    <t>Melting_Curves/meltCurve_G3XAC1_SLC26A6.pdf</t>
  </si>
  <si>
    <t>Melting_Curves/meltCurve_G3XAH0_SEPT5.pdf</t>
  </si>
  <si>
    <t>Melting_Curves/meltCurve_G3XAI2_LAMB1.pdf</t>
  </si>
  <si>
    <t>Melting_Curves/meltCurve_G3XAI9_FAM133B.pdf</t>
  </si>
  <si>
    <t>Melting_Curves/meltCurve_G3XAN4_TRAM1.pdf</t>
  </si>
  <si>
    <t>Melting_Curves/meltCurve_G3XAN8_TIMM8B.pdf</t>
  </si>
  <si>
    <t>Melting_Curves/meltCurve_G3XAP3_ABCB8.pdf</t>
  </si>
  <si>
    <t>Melting_Curves/meltCurve_G5E933_SBF1.pdf</t>
  </si>
  <si>
    <t>Melting_Curves/meltCurve_G5E948_MAP4K4.pdf</t>
  </si>
  <si>
    <t>Melting_Curves/meltCurve_G5E953_MTMR3.pdf</t>
  </si>
  <si>
    <t>Melting_Curves/meltCurve_G5E975_SMARCB1.pdf</t>
  </si>
  <si>
    <t>Melting_Curves/meltCurve_G5E994_GPR107.pdf</t>
  </si>
  <si>
    <t>Melting_Curves/meltCurve_G5E9A6_USP11.pdf</t>
  </si>
  <si>
    <t>Melting_Curves/meltCurve_G5E9C8_SOS1.pdf</t>
  </si>
  <si>
    <t>Melting_Curves/meltCurve_G5E9L8_ECT2.pdf</t>
  </si>
  <si>
    <t>Melting_Curves/meltCurve_G5E9N0_ENTPD3.pdf</t>
  </si>
  <si>
    <t>Melting_Curves/meltCurve_G5E9P1_ITPR1.pdf</t>
  </si>
  <si>
    <t>Melting_Curves/meltCurve_G5E9T8_GOSR1.pdf</t>
  </si>
  <si>
    <t>Melting_Curves/meltCurve_G5E9W7_MRPS22.pdf</t>
  </si>
  <si>
    <t>Melting_Curves/meltCurve_G5EA09_SDCBP.pdf</t>
  </si>
  <si>
    <t>Melting_Curves/meltCurve_G5EA30_CELF1.pdf</t>
  </si>
  <si>
    <t>Melting_Curves/meltCurve_G5EA52_PDIA3.pdf</t>
  </si>
  <si>
    <t>Melting_Curves/meltCurve_G8JLA2_MYL6.pdf</t>
  </si>
  <si>
    <t>Melting_Curves/meltCurve_G8JLB3_PUS1.pdf</t>
  </si>
  <si>
    <t>Melting_Curves/meltCurve_G8JLD3_ERC1.pdf</t>
  </si>
  <si>
    <t>Melting_Curves/meltCurve_G8JLE5_TIPIN.pdf</t>
  </si>
  <si>
    <t>Melting_Curves/meltCurve_G8JLI5_WDR45.pdf</t>
  </si>
  <si>
    <t>Melting_Curves/meltCurve_G8JLK4_TACC1.pdf</t>
  </si>
  <si>
    <t>Melting_Curves/meltCurve_G8JLK7_NOL6.pdf</t>
  </si>
  <si>
    <t>Melting_Curves/meltCurve_G8JLL2_PPT2.pdf</t>
  </si>
  <si>
    <t>Melting_Curves/meltCurve_G8JLM6_TAF6.pdf</t>
  </si>
  <si>
    <t>Melting_Curves/meltCurve_G8JLP4_KIAA0430.pdf</t>
  </si>
  <si>
    <t>Melting_Curves/meltCurve_H0UI80_TH1L.pdf</t>
  </si>
  <si>
    <t>Melting_Curves/meltCurve_H0Y2U5_.pdf</t>
  </si>
  <si>
    <t>Melting_Curves/meltCurve_H0Y360_AMPD2.pdf</t>
  </si>
  <si>
    <t>Melting_Curves/meltCurve_H0Y362_SLC30A7.pdf</t>
  </si>
  <si>
    <t>Melting_Curves/meltCurve_H0Y384_ODF2.pdf</t>
  </si>
  <si>
    <t>Melting_Curves/meltCurve_H0Y3A3_DAB2IP.pdf</t>
  </si>
  <si>
    <t>Melting_Curves/meltCurve_H0Y3P2_EIF4G2.pdf</t>
  </si>
  <si>
    <t>Melting_Curves/meltCurve_H0Y4G9_MYD88.pdf</t>
  </si>
  <si>
    <t>Melting_Curves/meltCurve_H0Y4R1_IMPDH2.pdf</t>
  </si>
  <si>
    <t>Melting_Curves/meltCurve_H0Y4R5_TMEM201.pdf</t>
  </si>
  <si>
    <t>Melting_Curves/meltCurve_H0Y4W2_TRRAP.pdf</t>
  </si>
  <si>
    <t>Melting_Curves/meltCurve_H0Y547_ATP11A.pdf</t>
  </si>
  <si>
    <t>Melting_Curves/meltCurve_H0Y5Y0_PREP.pdf</t>
  </si>
  <si>
    <t>Melting_Curves/meltCurve_H0Y614_UFM1.pdf</t>
  </si>
  <si>
    <t>Melting_Curves/meltCurve_H0Y6B2_SUSD1.pdf</t>
  </si>
  <si>
    <t>Melting_Curves/meltCurve_H0Y6F5_ZHX3.pdf</t>
  </si>
  <si>
    <t>Melting_Curves/meltCurve_H0Y6K2_BRD2.pdf</t>
  </si>
  <si>
    <t>Melting_Curves/meltCurve_H0Y6K5_SP3.pdf</t>
  </si>
  <si>
    <t>Melting_Curves/meltCurve_H0Y6N5_SUN1.pdf</t>
  </si>
  <si>
    <t>Melting_Curves/meltCurve_H0Y6R6_TTC5.pdf</t>
  </si>
  <si>
    <t>Melting_Curves/meltCurve_H0Y6Y8_MRPL43.pdf</t>
  </si>
  <si>
    <t>Melting_Curves/meltCurve_H0Y702_STIL.pdf</t>
  </si>
  <si>
    <t>Melting_Curves/meltCurve_H0Y720_TNRC6B.pdf</t>
  </si>
  <si>
    <t>Melting_Curves/meltCurve_H0Y759_BAG6.pdf</t>
  </si>
  <si>
    <t>Melting_Curves/meltCurve_H0Y7A7_CALM2.pdf</t>
  </si>
  <si>
    <t>Melting_Curves/meltCurve_H0Y7L9_ABCD1.pdf</t>
  </si>
  <si>
    <t>Melting_Curves/meltCurve_H0Y7P7_PISD.pdf</t>
  </si>
  <si>
    <t>Melting_Curves/meltCurve_H0Y8D0_TMEM222.pdf</t>
  </si>
  <si>
    <t>Melting_Curves/meltCurve_H0Y8F2_TACC3.pdf</t>
  </si>
  <si>
    <t>Melting_Curves/meltCurve_H0Y8H1_CHIC2.pdf</t>
  </si>
  <si>
    <t>Melting_Curves/meltCurve_H0Y8P4_UTP15.pdf</t>
  </si>
  <si>
    <t>Melting_Curves/meltCurve_H0Y8X4_DNPH1.pdf</t>
  </si>
  <si>
    <t>Melting_Curves/meltCurve_H0Y9B8_.pdf</t>
  </si>
  <si>
    <t>Melting_Curves/meltCurve_H0Y9G6_MRPL3.pdf</t>
  </si>
  <si>
    <t>Melting_Curves/meltCurve_H0Y9L4_WHSC1.pdf</t>
  </si>
  <si>
    <t>Melting_Curves/meltCurve_H0Y9S9_PPIP5K2.pdf</t>
  </si>
  <si>
    <t>Melting_Curves/meltCurve_H0Y9T5_DCP2.pdf</t>
  </si>
  <si>
    <t>Melting_Curves/meltCurve_H0Y9X1_TMA16.pdf</t>
  </si>
  <si>
    <t>Melting_Curves/meltCurve_H0YA52_PCBD2.pdf</t>
  </si>
  <si>
    <t>Melting_Curves/meltCurve_H0YA61_RBM24.pdf</t>
  </si>
  <si>
    <t>Melting_Curves/meltCurve_H0YA80_UBE2B.pdf</t>
  </si>
  <si>
    <t>Melting_Curves/meltCurve_H0YAA8_MED28.pdf</t>
  </si>
  <si>
    <t>Melting_Curves/meltCurve_H0YAR2_PABPC1.pdf</t>
  </si>
  <si>
    <t>Melting_Curves/meltCurve_H0YB94_STAR.pdf</t>
  </si>
  <si>
    <t>Melting_Curves/meltCurve_H0YBP1_PTK2.pdf</t>
  </si>
  <si>
    <t>Melting_Curves/meltCurve_H0YBS1_INTS8.pdf</t>
  </si>
  <si>
    <t>Melting_Curves/meltCurve_H0YBZ4_MTFR1.pdf</t>
  </si>
  <si>
    <t>Melting_Curves/meltCurve_H0YC02_HMBOX1.pdf</t>
  </si>
  <si>
    <t>Melting_Curves/meltCurve_H0YCB3_ASCC1.pdf</t>
  </si>
  <si>
    <t>Melting_Curves/meltCurve_H0YD13_CD44.pdf</t>
  </si>
  <si>
    <t>Melting_Curves/meltCurve_H0YDD4_DLAT.pdf</t>
  </si>
  <si>
    <t>Melting_Curves/meltCurve_H0YDM5_SLC27A3.pdf</t>
  </si>
  <si>
    <t>Melting_Curves/meltCurve_H0YDQ1_ALG8.pdf</t>
  </si>
  <si>
    <t>Melting_Curves/meltCurve_H0YDR5_SIGIRR.pdf</t>
  </si>
  <si>
    <t>Melting_Curves/meltCurve_H0YDU8_PPP5C.pdf</t>
  </si>
  <si>
    <t>Melting_Curves/meltCurve_H0YEB6_SSSCA1.pdf</t>
  </si>
  <si>
    <t>Melting_Curves/meltCurve_H0YEF3_RNASEH2C.pdf</t>
  </si>
  <si>
    <t>Melting_Curves/meltCurve_H0YER1_RSF1.pdf</t>
  </si>
  <si>
    <t>Melting_Curves/meltCurve_H0YF29_C8orf82.pdf</t>
  </si>
  <si>
    <t>Melting_Curves/meltCurve_H0YGR4_REXO2.pdf</t>
  </si>
  <si>
    <t>Melting_Curves/meltCurve_H0YH69_ETNK1.pdf</t>
  </si>
  <si>
    <t>Melting_Curves/meltCurve_H0YHC3_NAP1L1.pdf</t>
  </si>
  <si>
    <t>Melting_Curves/meltCurve_H0YHG0_.pdf</t>
  </si>
  <si>
    <t>Melting_Curves/meltCurve_H0YIE9_FBXO21.pdf</t>
  </si>
  <si>
    <t>Melting_Curves/meltCurve_H0YIQ8_KANSL2.pdf</t>
  </si>
  <si>
    <t>Melting_Curves/meltCurve_H0YIV9_.pdf</t>
  </si>
  <si>
    <t>Melting_Curves/meltCurve_H0YJG9_DHRS2.pdf</t>
  </si>
  <si>
    <t>Melting_Curves/meltCurve_H0YK48_TPM1.pdf</t>
  </si>
  <si>
    <t>Melting_Curves/meltCurve_H0YK61_EMC4.pdf</t>
  </si>
  <si>
    <t>Melting_Curves/meltCurve_H0YKG9_EID1.pdf</t>
  </si>
  <si>
    <t>Melting_Curves/meltCurve_H0YKJ9_TSPAN3.pdf</t>
  </si>
  <si>
    <t>Melting_Curves/meltCurve_H0YL33_ANXA2.pdf</t>
  </si>
  <si>
    <t>Melting_Curves/meltCurve_H0YL70_TLE3.pdf</t>
  </si>
  <si>
    <t>Melting_Curves/meltCurve_H0YLB5_POU2F1.pdf</t>
  </si>
  <si>
    <t>Melting_Curves/meltCurve_H0YLB9_MAN2A2.pdf</t>
  </si>
  <si>
    <t>Melting_Curves/meltCurve_H0YLF3_B2M.pdf</t>
  </si>
  <si>
    <t>Melting_Curves/meltCurve_H0YLI7_AP3S2.pdf</t>
  </si>
  <si>
    <t>Melting_Curves/meltCurve_H0YLN8_TRPM7.pdf</t>
  </si>
  <si>
    <t>Melting_Curves/meltCurve_H0YLR1_FAM63B.pdf</t>
  </si>
  <si>
    <t>Melting_Curves/meltCurve_H0YLX2_RFX7.pdf</t>
  </si>
  <si>
    <t>Melting_Curves/meltCurve_H0YLY9_PIGH.pdf</t>
  </si>
  <si>
    <t>Melting_Curves/meltCurve_H0YMB3_GMPR2.pdf</t>
  </si>
  <si>
    <t>Melting_Curves/meltCurve_H0YMF4_RPL28.pdf</t>
  </si>
  <si>
    <t>Melting_Curves/meltCurve_H0YMJ0_MORF4L1.pdf</t>
  </si>
  <si>
    <t>Melting_Curves/meltCurve_H0YN78_C15orf57.pdf</t>
  </si>
  <si>
    <t>Melting_Curves/meltCurve_H0YNE3_PSME1.pdf</t>
  </si>
  <si>
    <t>Melting_Curves/meltCurve_H0YNG3_SEC11A.pdf</t>
  </si>
  <si>
    <t>Melting_Curves/meltCurve_H0YNJ3_PPP2R5C.pdf</t>
  </si>
  <si>
    <t>Melting_Curves/meltCurve_H0YNU5_BLM.pdf</t>
  </si>
  <si>
    <t>Melting_Curves/meltCurve_H3BLT4_BIRC5.pdf</t>
  </si>
  <si>
    <t>Melting_Curves/meltCurve_H3BLU7_AKR7A2.pdf</t>
  </si>
  <si>
    <t>Melting_Curves/meltCurve_H3BLV0_CD55.pdf</t>
  </si>
  <si>
    <t>Melting_Curves/meltCurve_H3BLV9_SRPK1.pdf</t>
  </si>
  <si>
    <t>Melting_Curves/meltCurve_H3BLW6_TMEM63B.pdf</t>
  </si>
  <si>
    <t>Melting_Curves/meltCurve_H3BLZ2_DBNDD1.pdf</t>
  </si>
  <si>
    <t>Melting_Curves/meltCurve_H3BLZ8_DDX17.pdf</t>
  </si>
  <si>
    <t>Melting_Curves/meltCurve_H3BM14_NUB1.pdf</t>
  </si>
  <si>
    <t>Melting_Curves/meltCurve_H3BM67_NOL3.pdf</t>
  </si>
  <si>
    <t>Melting_Curves/meltCurve_H3BM86_FAM219B.pdf</t>
  </si>
  <si>
    <t>Melting_Curves/meltCurve_H3BM91_COMMD4.pdf</t>
  </si>
  <si>
    <t>Melting_Curves/meltCurve_H3BMD8_ARPP19.pdf</t>
  </si>
  <si>
    <t>Melting_Curves/meltCurve_H3BMF4_SPNS1.pdf</t>
  </si>
  <si>
    <t>Melting_Curves/meltCurve_H3BN98_.pdf</t>
  </si>
  <si>
    <t>Melting_Curves/meltCurve_H3BND3_NUDT21.pdf</t>
  </si>
  <si>
    <t>Melting_Curves/meltCurve_H3BNU9_CARHSP1.pdf</t>
  </si>
  <si>
    <t>Melting_Curves/meltCurve_H3BP20_HEXA.pdf</t>
  </si>
  <si>
    <t>Melting_Curves/meltCurve_H3BP28_COQ7.pdf</t>
  </si>
  <si>
    <t>Melting_Curves/meltCurve_H3BPB8_MPI.pdf</t>
  </si>
  <si>
    <t>Melting_Curves/meltCurve_H3BPC4_UBE2I.pdf</t>
  </si>
  <si>
    <t>Melting_Curves/meltCurve_H3BPD5_NTHL1.pdf</t>
  </si>
  <si>
    <t>Melting_Curves/meltCurve_H3BPE1_MACF1.pdf</t>
  </si>
  <si>
    <t>Melting_Curves/meltCurve_H3BPJ7_TCF4.pdf</t>
  </si>
  <si>
    <t>Melting_Curves/meltCurve_H3BPK3_HAGH.pdf</t>
  </si>
  <si>
    <t>Melting_Curves/meltCurve_H3BPL0_CLN3.pdf</t>
  </si>
  <si>
    <t>Melting_Curves/meltCurve_H3BPS8_ALDOA.pdf</t>
  </si>
  <si>
    <t>Melting_Curves/meltCurve_H3BQA0_SNAPC5.pdf</t>
  </si>
  <si>
    <t>Melting_Curves/meltCurve_H3BR29_C16orf58.pdf</t>
  </si>
  <si>
    <t>Melting_Curves/meltCurve_H3BR94_DCTN5.pdf</t>
  </si>
  <si>
    <t>Melting_Curves/meltCurve_H3BRA4_BLOC1S6.pdf</t>
  </si>
  <si>
    <t>Melting_Curves/meltCurve_H3BRB6_ZNRF1.pdf</t>
  </si>
  <si>
    <t>Melting_Curves/meltCurve_H3BRF9_ZFYVE19.pdf</t>
  </si>
  <si>
    <t>Melting_Curves/meltCurve_H3BRL3_UBFD1.pdf</t>
  </si>
  <si>
    <t>Melting_Curves/meltCurve_H3BRN7_.pdf</t>
  </si>
  <si>
    <t>Melting_Curves/meltCurve_H3BRQ0_PPCDC.pdf</t>
  </si>
  <si>
    <t>Melting_Curves/meltCurve_H3BRQ8_NUDT7.pdf</t>
  </si>
  <si>
    <t>Melting_Curves/meltCurve_H3BRS1_NFATC3.pdf</t>
  </si>
  <si>
    <t>Melting_Curves/meltCurve_H3BRU1_FAM219B.pdf</t>
  </si>
  <si>
    <t>Melting_Curves/meltCurve_H3BRV0_EIF3C.pdf</t>
  </si>
  <si>
    <t>Melting_Curves/meltCurve_H3BS01_C15orf41.pdf</t>
  </si>
  <si>
    <t>Melting_Curves/meltCurve_H3BS66_SMIM1.pdf</t>
  </si>
  <si>
    <t>Melting_Curves/meltCurve_H3BSB3_MPHOSPH6.pdf</t>
  </si>
  <si>
    <t>Melting_Curves/meltCurve_H3BSH7_CIRH1A.pdf</t>
  </si>
  <si>
    <t>Melting_Curves/meltCurve_H3BSW6_CTU2.pdf</t>
  </si>
  <si>
    <t>Melting_Curves/meltCurve_H3BSZ4_MLST8.pdf</t>
  </si>
  <si>
    <t>Melting_Curves/meltCurve_H3BTL1_MAP1LC3B.pdf</t>
  </si>
  <si>
    <t>Melting_Curves/meltCurve_H3BTN5_PKM.pdf</t>
  </si>
  <si>
    <t>Melting_Curves/meltCurve_H3BTX0_.pdf</t>
  </si>
  <si>
    <t>Melting_Curves/meltCurve_H3BTX7_RNF166.pdf</t>
  </si>
  <si>
    <t>Melting_Curves/meltCurve_H3BU49_ARL2BP.pdf</t>
  </si>
  <si>
    <t>Melting_Curves/meltCurve_H3BUF6_ATXN2L.pdf</t>
  </si>
  <si>
    <t>Melting_Curves/meltCurve_H3BUQ2_OGFOD1.pdf</t>
  </si>
  <si>
    <t>Melting_Curves/meltCurve_H3BV68_C16orf62.pdf</t>
  </si>
  <si>
    <t>Melting_Curves/meltCurve_H3BV80_RNPS1.pdf</t>
  </si>
  <si>
    <t>Melting_Curves/meltCurve_H3BVB1_FBXL19.pdf</t>
  </si>
  <si>
    <t>Melting_Curves/meltCurve_H3BVD9_SPINT1.pdf</t>
  </si>
  <si>
    <t>Melting_Curves/meltCurve_H7BXF4_SMPD4.pdf</t>
  </si>
  <si>
    <t>Melting_Curves/meltCurve_H7BXF5_SAP130.pdf</t>
  </si>
  <si>
    <t>Melting_Curves/meltCurve_H7BXH2_PPP6R3.pdf</t>
  </si>
  <si>
    <t>Melting_Curves/meltCurve_H7BXH9_METTL21A.pdf</t>
  </si>
  <si>
    <t>Melting_Curves/meltCurve_H7BXI1_ESYT2.pdf</t>
  </si>
  <si>
    <t>Melting_Curves/meltCurve_H7BXI5_ERGIC3.pdf</t>
  </si>
  <si>
    <t>Melting_Curves/meltCurve_H7BXL1_TMEM41A.pdf</t>
  </si>
  <si>
    <t>Melting_Curves/meltCurve_H7BXT7_BET1L.pdf</t>
  </si>
  <si>
    <t>Melting_Curves/meltCurve_H7BXW7_MPC1.pdf</t>
  </si>
  <si>
    <t>Melting_Curves/meltCurve_H7BXY3_DHX30.pdf</t>
  </si>
  <si>
    <t>Melting_Curves/meltCurve_H7BY58_PCMT1.pdf</t>
  </si>
  <si>
    <t>Melting_Curves/meltCurve_H7BYE5_WRB.pdf</t>
  </si>
  <si>
    <t>Melting_Curves/meltCurve_H7BYQ6_INTS9.pdf</t>
  </si>
  <si>
    <t>Melting_Curves/meltCurve_H7BYV1_IFITM2.pdf</t>
  </si>
  <si>
    <t>Melting_Curves/meltCurve_H7BYY1_TPM1.pdf</t>
  </si>
  <si>
    <t>Melting_Curves/meltCurve_H7BZ11_.pdf</t>
  </si>
  <si>
    <t>Melting_Curves/meltCurve_H7BZ14_PPIL3.pdf</t>
  </si>
  <si>
    <t>Melting_Curves/meltCurve_H7BZ94_P4HB.pdf</t>
  </si>
  <si>
    <t>Melting_Curves/meltCurve_H7BZJ3_PDIA3.pdf</t>
  </si>
  <si>
    <t>Melting_Curves/meltCurve_H7BZK6_USP46.pdf</t>
  </si>
  <si>
    <t>Melting_Curves/meltCurve_H7BZT4_.pdf</t>
  </si>
  <si>
    <t>Melting_Curves/meltCurve_H7C0G7_NHEJ1.pdf</t>
  </si>
  <si>
    <t>Melting_Curves/meltCurve_H7C0N4_SF1.pdf</t>
  </si>
  <si>
    <t>Melting_Curves/meltCurve_H7C0V4_RTN4R.pdf</t>
  </si>
  <si>
    <t>Melting_Curves/meltCurve_H7C107_IQSEC1.pdf</t>
  </si>
  <si>
    <t>Melting_Curves/meltCurve_H7C124_THEMIS2.pdf</t>
  </si>
  <si>
    <t>Melting_Curves/meltCurve_H7C137_RANBP1.pdf</t>
  </si>
  <si>
    <t>Melting_Curves/meltCurve_H7C155_RAF1.pdf</t>
  </si>
  <si>
    <t>Melting_Curves/meltCurve_H7C173_MZT2B.pdf</t>
  </si>
  <si>
    <t>Melting_Curves/meltCurve_H7C1M5_DNTTIP1.pdf</t>
  </si>
  <si>
    <t>Melting_Curves/meltCurve_H7C1N3_BET1.pdf</t>
  </si>
  <si>
    <t>Melting_Curves/meltCurve_H7C1U3_CC2D1B.pdf</t>
  </si>
  <si>
    <t>Melting_Curves/meltCurve_H7C1U8_APOO.pdf</t>
  </si>
  <si>
    <t>Melting_Curves/meltCurve_H7C1W4_TATDN2.pdf</t>
  </si>
  <si>
    <t>Melting_Curves/meltCurve_H7C284_MFSD6.pdf</t>
  </si>
  <si>
    <t>Melting_Curves/meltCurve_H7C2B1_NOL7.pdf</t>
  </si>
  <si>
    <t>Melting_Curves/meltCurve_H7C2Q8_EBNA1BP2.pdf</t>
  </si>
  <si>
    <t>Melting_Curves/meltCurve_H7C331_SDCCAG3.pdf</t>
  </si>
  <si>
    <t>Melting_Curves/meltCurve_H7C347_PPM1N.pdf</t>
  </si>
  <si>
    <t>Melting_Curves/meltCurve_H7C3D5_FAM134A.pdf</t>
  </si>
  <si>
    <t>Melting_Curves/meltCurve_H7C3G9_NAGK.pdf</t>
  </si>
  <si>
    <t>Melting_Curves/meltCurve_H7C3P4_GNS.pdf</t>
  </si>
  <si>
    <t>Melting_Curves/meltCurve_H7C3T2_ATG2A.pdf</t>
  </si>
  <si>
    <t>Melting_Curves/meltCurve_H7C484_ARV1.pdf</t>
  </si>
  <si>
    <t>Melting_Curves/meltCurve_H7C4K1_STK19.pdf</t>
  </si>
  <si>
    <t>Melting_Curves/meltCurve_H7C4P1_ARHGAP25.pdf</t>
  </si>
  <si>
    <t>Melting_Curves/meltCurve_H7C5F7_NDFIP2.pdf</t>
  </si>
  <si>
    <t>Melting_Curves/meltCurve_H7C5H5_MFN1.pdf</t>
  </si>
  <si>
    <t>Melting_Curves/meltCurve_H7C5W6_HEATR5A.pdf</t>
  </si>
  <si>
    <t>Melting_Curves/meltCurve_H9KV44_EFR3A.pdf</t>
  </si>
  <si>
    <t>Melting_Curves/meltCurve_H9KV46_KIF18B.pdf</t>
  </si>
  <si>
    <t>Melting_Curves/meltCurve_H9KVB8_MICU1.pdf</t>
  </si>
  <si>
    <t>Melting_Curves/meltCurve_I3L097_.pdf</t>
  </si>
  <si>
    <t>Melting_Curves/meltCurve_I3L0A4_WASH6P.pdf</t>
  </si>
  <si>
    <t>Melting_Curves/meltCurve_I3L0C1_SMG1.pdf</t>
  </si>
  <si>
    <t>Melting_Curves/meltCurve_I3L0I1_SOGA1.pdf</t>
  </si>
  <si>
    <t>Melting_Curves/meltCurve_I3L0K1_GOSR2.pdf</t>
  </si>
  <si>
    <t>Melting_Curves/meltCurve_I3L0L6_RNF167.pdf</t>
  </si>
  <si>
    <t>Melting_Curves/meltCurve_I3L0N3_NSF.pdf</t>
  </si>
  <si>
    <t>Melting_Curves/meltCurve_I3L0U5_CCDC137.pdf</t>
  </si>
  <si>
    <t>Melting_Curves/meltCurve_I3L170_MAPT.pdf</t>
  </si>
  <si>
    <t>Melting_Curves/meltCurve_I3L1H5_DPH1.pdf</t>
  </si>
  <si>
    <t>Melting_Curves/meltCurve_I3L1L3_MYBBP1A.pdf</t>
  </si>
  <si>
    <t>Melting_Curves/meltCurve_I3L1P8_SLC25A11.pdf</t>
  </si>
  <si>
    <t>Melting_Curves/meltCurve_I3L1Q2_BCL7C.pdf</t>
  </si>
  <si>
    <t>Melting_Curves/meltCurve_I3L1Q3_ELP5.pdf</t>
  </si>
  <si>
    <t>Melting_Curves/meltCurve_I3L2B0_CLUH.pdf</t>
  </si>
  <si>
    <t>Melting_Curves/meltCurve_I3L2L5_FAM195B.pdf</t>
  </si>
  <si>
    <t>Melting_Curves/meltCurve_I3L2M9_PCTP.pdf</t>
  </si>
  <si>
    <t>Melting_Curves/meltCurve_I3L2W9_DVL2.pdf</t>
  </si>
  <si>
    <t>Melting_Curves/meltCurve_I3L367_TOM1L1.pdf</t>
  </si>
  <si>
    <t>Melting_Curves/meltCurve_I3L3A8_PELP1.pdf</t>
  </si>
  <si>
    <t>Melting_Curves/meltCurve_I3L3B4_.pdf</t>
  </si>
  <si>
    <t>Melting_Curves/meltCurve_I3L3P7_RPS15A.pdf</t>
  </si>
  <si>
    <t>Melting_Curves/meltCurve_I3L413_CCNE1.pdf</t>
  </si>
  <si>
    <t>Melting_Curves/meltCurve_I3L448_ATPAF1.pdf</t>
  </si>
  <si>
    <t>Melting_Curves/meltCurve_I3L4N7_SERPINF1.pdf</t>
  </si>
  <si>
    <t>Melting_Curves/meltCurve_I3L4X2_ABCC1.pdf</t>
  </si>
  <si>
    <t>Melting_Curves/meltCurve_I3NI29_PLSCR3.pdf</t>
  </si>
  <si>
    <t>Melting_Curves/meltCurve_J3KMW7_UBR5.pdf</t>
  </si>
  <si>
    <t>Melting_Curves/meltCurve_J3KMW8_CACTIN.pdf</t>
  </si>
  <si>
    <t>Melting_Curves/meltCurve_J3KMX2_SMARCD2.pdf</t>
  </si>
  <si>
    <t>Melting_Curves/meltCurve_J3KMY5_NPC2.pdf</t>
  </si>
  <si>
    <t>Melting_Curves/meltCurve_J3KMZ7_INTS2.pdf</t>
  </si>
  <si>
    <t>Melting_Curves/meltCurve_J3KMZ8_DPF2.pdf</t>
  </si>
  <si>
    <t>Melting_Curves/meltCurve_J3KMZ9_LDLR.pdf</t>
  </si>
  <si>
    <t>Melting_Curves/meltCurve_J3KN01_MLLT4.pdf</t>
  </si>
  <si>
    <t>Melting_Curves/meltCurve_J3KN10_PI4KA.pdf</t>
  </si>
  <si>
    <t>Melting_Curves/meltCurve_J3KN16_KIAA0368.pdf</t>
  </si>
  <si>
    <t>Melting_Curves/meltCurve_J3KN27_FBRSL1.pdf</t>
  </si>
  <si>
    <t>Melting_Curves/meltCurve_J3KN29_PSMD9.pdf</t>
  </si>
  <si>
    <t>Melting_Curves/meltCurve_J3KN59_BNIP2.pdf</t>
  </si>
  <si>
    <t>Melting_Curves/meltCurve_J3KN66_TOR1AIP1.pdf</t>
  </si>
  <si>
    <t>Melting_Curves/meltCurve_J3KN67_TPM3.pdf</t>
  </si>
  <si>
    <t>Melting_Curves/meltCurve_J3KN69_NCEH1.pdf</t>
  </si>
  <si>
    <t>Melting_Curves/meltCurve_J3KN82_APIP.pdf</t>
  </si>
  <si>
    <t>Melting_Curves/meltCurve_J3KNA0_OXA1L.pdf</t>
  </si>
  <si>
    <t>Melting_Curves/meltCurve_J3KNB8_MAP3K4.pdf</t>
  </si>
  <si>
    <t>Melting_Curves/meltCurve_J3KND1_SAAL1.pdf</t>
  </si>
  <si>
    <t>Melting_Curves/meltCurve_J3KNE0_RGPD3.pdf</t>
  </si>
  <si>
    <t>Melting_Curves/meltCurve_J3KNF4_CCS.pdf</t>
  </si>
  <si>
    <t>Melting_Curves/meltCurve_J3KNG8_FNIP1.pdf</t>
  </si>
  <si>
    <t>Melting_Curves/meltCurve_J3KNI1_COG4.pdf</t>
  </si>
  <si>
    <t>Melting_Curves/meltCurve_J3KNL3_CHID1.pdf</t>
  </si>
  <si>
    <t>Melting_Curves/meltCurve_J3KNL6_SEC16A.pdf</t>
  </si>
  <si>
    <t>Melting_Curves/meltCurve_J3KNN3_PHKG2.pdf</t>
  </si>
  <si>
    <t>Melting_Curves/meltCurve_J3KNN5_DDX41.pdf</t>
  </si>
  <si>
    <t>Melting_Curves/meltCurve_J3KNN7_BRAP.pdf</t>
  </si>
  <si>
    <t>Melting_Curves/meltCurve_J3KNP4_SEMA4B.pdf</t>
  </si>
  <si>
    <t>Melting_Curves/meltCurve_J3KNR0_MARK3.pdf</t>
  </si>
  <si>
    <t>Melting_Curves/meltCurve_J3KNR6_PTDSS1.pdf</t>
  </si>
  <si>
    <t>Melting_Curves/meltCurve_J3KNS3_ZNF385A.pdf</t>
  </si>
  <si>
    <t>Melting_Curves/meltCurve_J3KNU8_ALDH6A1.pdf</t>
  </si>
  <si>
    <t>Melting_Curves/meltCurve_J3KNW0_FCHO2.pdf</t>
  </si>
  <si>
    <t>Melting_Curves/meltCurve_J3KNW4_FHL2.pdf</t>
  </si>
  <si>
    <t>Melting_Curves/meltCurve_J3KNX9_MYO18A.pdf</t>
  </si>
  <si>
    <t>Melting_Curves/meltCurve_J3KNZ9_FBRS.pdf</t>
  </si>
  <si>
    <t>Melting_Curves/meltCurve_J3KP15_SRSF2.pdf</t>
  </si>
  <si>
    <t>Melting_Curves/meltCurve_J3KP20_NTRK1.pdf</t>
  </si>
  <si>
    <t>Melting_Curves/meltCurve_J3KP22_PTPRA.pdf</t>
  </si>
  <si>
    <t>Melting_Curves/meltCurve_J3KP27_TRAPPC4.pdf</t>
  </si>
  <si>
    <t>Melting_Curves/meltCurve_J3KP36_FAM21C.pdf</t>
  </si>
  <si>
    <t>Melting_Curves/meltCurve_J3KP75_PHACTR2.pdf</t>
  </si>
  <si>
    <t>Melting_Curves/meltCurve_J3KPC5_RAP1GAP.pdf</t>
  </si>
  <si>
    <t>Melting_Curves/meltCurve_J3KPD3_RBM7.pdf</t>
  </si>
  <si>
    <t>Melting_Curves/meltCurve_J3KPF0_HECTD4.pdf</t>
  </si>
  <si>
    <t>Melting_Curves/meltCurve_J3KPF9_KIF3A.pdf</t>
  </si>
  <si>
    <t>Melting_Curves/meltCurve_J3KPJ3_CAMKK1.pdf</t>
  </si>
  <si>
    <t>Melting_Curves/meltCurve_J3KPK1_SYNJ1.pdf</t>
  </si>
  <si>
    <t>Melting_Curves/meltCurve_J3KPL2_KDM1B.pdf</t>
  </si>
  <si>
    <t>Melting_Curves/meltCurve_J3KPN1_TESC.pdf</t>
  </si>
  <si>
    <t>Melting_Curves/meltCurve_J3KPP7_ARRB1.pdf</t>
  </si>
  <si>
    <t>Melting_Curves/meltCurve_J3KPS0_DNAJB12.pdf</t>
  </si>
  <si>
    <t>Melting_Curves/meltCurve_J3KPT4_TRABD.pdf</t>
  </si>
  <si>
    <t>Melting_Curves/meltCurve_J3KPV7_MPST.pdf</t>
  </si>
  <si>
    <t>Melting_Curves/meltCurve_J3KPW7_HDAC2.pdf</t>
  </si>
  <si>
    <t>Melting_Curves/meltCurve_J3KPX7_PHB2.pdf</t>
  </si>
  <si>
    <t>Melting_Curves/meltCurve_J3KPX8_MAP1A.pdf</t>
  </si>
  <si>
    <t>Melting_Curves/meltCurve_J3KPY9_ANTXR2.pdf</t>
  </si>
  <si>
    <t>Melting_Curves/meltCurve_J3KPZ8_RFXANK.pdf</t>
  </si>
  <si>
    <t>Melting_Curves/meltCurve_J3KQ32_OLA1.pdf</t>
  </si>
  <si>
    <t>Melting_Curves/meltCurve_J3KQ34_COPS7B.pdf</t>
  </si>
  <si>
    <t>Melting_Curves/meltCurve_J3KQ45_TGOLN2.pdf</t>
  </si>
  <si>
    <t>Melting_Curves/meltCurve_J3KQ48_PTRH2.pdf</t>
  </si>
  <si>
    <t>Melting_Curves/meltCurve_J3KQ72_FBXO6.pdf</t>
  </si>
  <si>
    <t>Melting_Curves/meltCurve_J3KQ88_C6orf203.pdf</t>
  </si>
  <si>
    <t>Melting_Curves/meltCurve_J3KQB0_THUMPD1.pdf</t>
  </si>
  <si>
    <t>Melting_Curves/meltCurve_J3KQG4_GBA.pdf</t>
  </si>
  <si>
    <t>Melting_Curves/meltCurve_J3KQJ9_VWDE.pdf</t>
  </si>
  <si>
    <t>Melting_Curves/meltCurve_J3KQL8_APOL2.pdf</t>
  </si>
  <si>
    <t>Melting_Curves/meltCurve_J3KQS2_CDC7.pdf</t>
  </si>
  <si>
    <t>Melting_Curves/meltCurve_J3KQS6_BABAM1.pdf</t>
  </si>
  <si>
    <t>Melting_Curves/meltCurve_J3KQU5_EPHB6.pdf</t>
  </si>
  <si>
    <t>Melting_Curves/meltCurve_J3KQU9_AP1G1.pdf</t>
  </si>
  <si>
    <t>Melting_Curves/meltCurve_J3KR35_CCDC12.pdf</t>
  </si>
  <si>
    <t>Melting_Curves/meltCurve_J3KR55_PTPN7.pdf</t>
  </si>
  <si>
    <t>Melting_Curves/meltCurve_J3KR58_SEPHS2.pdf</t>
  </si>
  <si>
    <t>Melting_Curves/meltCurve_J3KR97_TBCD.pdf</t>
  </si>
  <si>
    <t>Melting_Curves/meltCurve_J3KRC8_C16orf55.pdf</t>
  </si>
  <si>
    <t>Melting_Curves/meltCurve_J3KRN4_MAP3K3.pdf</t>
  </si>
  <si>
    <t>Melting_Curves/meltCurve_J3KRP6_SS18.pdf</t>
  </si>
  <si>
    <t>Melting_Curves/meltCurve_J3KRR5_PIGL.pdf</t>
  </si>
  <si>
    <t>Melting_Curves/meltCurve_J3KRW7_TMEM199.pdf</t>
  </si>
  <si>
    <t>Melting_Curves/meltCurve_J3KRZ1_DDX5.pdf</t>
  </si>
  <si>
    <t>Melting_Curves/meltCurve_J3KS05_CBX1.pdf</t>
  </si>
  <si>
    <t>Melting_Curves/meltCurve_J3KS15_ICT1.pdf</t>
  </si>
  <si>
    <t>Melting_Curves/meltCurve_J3KSH1_AMZ2.pdf</t>
  </si>
  <si>
    <t>Melting_Curves/meltCurve_J3KSJ4_RARA.pdf</t>
  </si>
  <si>
    <t>Melting_Curves/meltCurve_J3KSS7_GGA3.pdf</t>
  </si>
  <si>
    <t>Melting_Curves/meltCurve_J3KSW8_MPRIP.pdf</t>
  </si>
  <si>
    <t>Melting_Curves/meltCurve_J3KSY6_NT5C.pdf</t>
  </si>
  <si>
    <t>Melting_Curves/meltCurve_J3KT51_HN1.pdf</t>
  </si>
  <si>
    <t>Melting_Curves/meltCurve_J3KTA1_FBXL20.pdf</t>
  </si>
  <si>
    <t>Melting_Curves/meltCurve_J3KTK5_MED9.pdf</t>
  </si>
  <si>
    <t>Melting_Curves/meltCurve_J3KTL2_SRSF1.pdf</t>
  </si>
  <si>
    <t>Melting_Curves/meltCurve_J3QK89_CHERP.pdf</t>
  </si>
  <si>
    <t>Melting_Curves/meltCurve_J3QKR3_PSMB3.pdf</t>
  </si>
  <si>
    <t>Melting_Curves/meltCurve_J3QKR4_ICAM2.pdf</t>
  </si>
  <si>
    <t>Melting_Curves/meltCurve_J3QL56_SCO1.pdf</t>
  </si>
  <si>
    <t>Melting_Curves/meltCurve_J3QL71_SCRN2.pdf</t>
  </si>
  <si>
    <t>Melting_Curves/meltCurve_J3QLB2_SLC39A11.pdf</t>
  </si>
  <si>
    <t>Melting_Curves/meltCurve_J3QLD9_FLOT2.pdf</t>
  </si>
  <si>
    <t>Melting_Curves/meltCurve_J3QLM1_STARD3.pdf</t>
  </si>
  <si>
    <t>Melting_Curves/meltCurve_J3QLP7_UBBP4.pdf</t>
  </si>
  <si>
    <t>Melting_Curves/meltCurve_J3QLS3_MRPS7.pdf</t>
  </si>
  <si>
    <t>Melting_Curves/meltCurve_J3QQJ0_SAP30BP.pdf</t>
  </si>
  <si>
    <t>Melting_Curves/meltCurve_J3QQJ5_TRAPPC8.pdf</t>
  </si>
  <si>
    <t>Melting_Curves/meltCurve_J3QQT2_RPL17.pdf</t>
  </si>
  <si>
    <t>Melting_Curves/meltCurve_J3QQW9_SUZ12.pdf</t>
  </si>
  <si>
    <t>Melting_Curves/meltCurve_J3QQX3_FDXR.pdf</t>
  </si>
  <si>
    <t>Melting_Curves/meltCurve_J3QQY0_MSL1.pdf</t>
  </si>
  <si>
    <t>Melting_Curves/meltCurve_J3QR07_YTHDC1.pdf</t>
  </si>
  <si>
    <t>Melting_Curves/meltCurve_J3QR09_RPL19.pdf</t>
  </si>
  <si>
    <t>Melting_Curves/meltCurve_J3QRM9_ORMDL3.pdf</t>
  </si>
  <si>
    <t>Melting_Curves/meltCurve_J3QRS3_MYL12A.pdf</t>
  </si>
  <si>
    <t>Melting_Curves/meltCurve_J3QRS9_ZNF207.pdf</t>
  </si>
  <si>
    <t>Melting_Curves/meltCurve_J3QRU1_YES1.pdf</t>
  </si>
  <si>
    <t>Melting_Curves/meltCurve_J3QRU4_VAMP2.pdf</t>
  </si>
  <si>
    <t>Melting_Curves/meltCurve_J3QRU8_GIT1.pdf</t>
  </si>
  <si>
    <t>Melting_Curves/meltCurve_J3QRX6_COPRS.pdf</t>
  </si>
  <si>
    <t>Melting_Curves/meltCurve_J3QS27_ZNF207.pdf</t>
  </si>
  <si>
    <t>Melting_Curves/meltCurve_J3QS41_HELZ.pdf</t>
  </si>
  <si>
    <t>Melting_Curves/meltCurve_J3QSV6_RSL1D1.pdf</t>
  </si>
  <si>
    <t>Melting_Curves/meltCurve_J3QT56_HYPK.pdf</t>
  </si>
  <si>
    <t>Melting_Curves/meltCurve_J3QT87_CRBN.pdf</t>
  </si>
  <si>
    <t>Melting_Curves/meltCurve_J9JIC5_C17orf75.pdf</t>
  </si>
  <si>
    <t>Melting_Curves/meltCurve_J9JID7_LMNB2.pdf</t>
  </si>
  <si>
    <t>Melting_Curves/meltCurve_J9JIE6_TMCO1.pdf</t>
  </si>
  <si>
    <t>Melting_Curves/meltCurve_K4DI92_RWDD4.pdf</t>
  </si>
  <si>
    <t>Melting_Curves/meltCurve_K7EIG1_CLUH.pdf</t>
  </si>
  <si>
    <t>Melting_Curves/meltCurve_K7EIL6_.pdf</t>
  </si>
  <si>
    <t>Melting_Curves/meltCurve_K7EIN1_WBP2.pdf</t>
  </si>
  <si>
    <t>Melting_Curves/meltCurve_K7EIP7_YIPF2.pdf</t>
  </si>
  <si>
    <t>Melting_Curves/meltCurve_K7EIU8_SMAD4.pdf</t>
  </si>
  <si>
    <t>Melting_Curves/meltCurve_K7EIY1_FAM32A.pdf</t>
  </si>
  <si>
    <t>Melting_Curves/meltCurve_K7EJ08_SEC14L1.pdf</t>
  </si>
  <si>
    <t>Melting_Curves/meltCurve_K7EJ78_RPS15.pdf</t>
  </si>
  <si>
    <t>Melting_Curves/meltCurve_K7EJB9_CALR.pdf</t>
  </si>
  <si>
    <t>Melting_Curves/meltCurve_K7EJH0_SPC24.pdf</t>
  </si>
  <si>
    <t>Melting_Curves/meltCurve_K7EJL1_AP1M1.pdf</t>
  </si>
  <si>
    <t>Melting_Curves/meltCurve_K7EJQ7_SEC11C.pdf</t>
  </si>
  <si>
    <t>Melting_Curves/meltCurve_K7EK00_FAM210A.pdf</t>
  </si>
  <si>
    <t>Melting_Curves/meltCurve_K7EK07_H3F3B.pdf</t>
  </si>
  <si>
    <t>Melting_Curves/meltCurve_K7EK35_STAT5A.pdf</t>
  </si>
  <si>
    <t>Melting_Curves/meltCurve_K7EK99_LIN37.pdf</t>
  </si>
  <si>
    <t>Melting_Curves/meltCurve_K7EKE6_LONP1.pdf</t>
  </si>
  <si>
    <t>Melting_Curves/meltCurve_K7EKG9_ATXN7L3.pdf</t>
  </si>
  <si>
    <t>Melting_Curves/meltCurve_K7EKS3_POLRMT.pdf</t>
  </si>
  <si>
    <t>Melting_Curves/meltCurve_K7EKW3_TMUB2.pdf</t>
  </si>
  <si>
    <t>Melting_Curves/meltCurve_K7EL68_CDC37.pdf</t>
  </si>
  <si>
    <t>Melting_Curves/meltCurve_K7EL81_PPP1R12C.pdf</t>
  </si>
  <si>
    <t>Melting_Curves/meltCurve_K7ELE3_AES.pdf</t>
  </si>
  <si>
    <t>Melting_Curves/meltCurve_K7ELK7_R3HDM4.pdf</t>
  </si>
  <si>
    <t>Melting_Curves/meltCurve_K7ELL7_PRKCSH.pdf</t>
  </si>
  <si>
    <t>Melting_Curves/meltCurve_K7ELN3_DNAH17.pdf</t>
  </si>
  <si>
    <t>Melting_Curves/meltCurve_K7ELW5_PTBP1.pdf</t>
  </si>
  <si>
    <t>Melting_Curves/meltCurve_K7ELY2_STX10.pdf</t>
  </si>
  <si>
    <t>Melting_Curves/meltCurve_K7EM02_KATNAL2.pdf</t>
  </si>
  <si>
    <t>Melting_Curves/meltCurve_K7EM09_TMEM205.pdf</t>
  </si>
  <si>
    <t>Melting_Curves/meltCurve_K7EM87_EPG5.pdf</t>
  </si>
  <si>
    <t>Melting_Curves/meltCurve_K7EN05_ELOF1.pdf</t>
  </si>
  <si>
    <t>Melting_Curves/meltCurve_K7EN88_hCG_2039718.pdf</t>
  </si>
  <si>
    <t>Melting_Curves/meltCurve_K7ENF0_NARS.pdf</t>
  </si>
  <si>
    <t>Melting_Curves/meltCurve_K7ENH2_PSME3.pdf</t>
  </si>
  <si>
    <t>Melting_Curves/meltCurve_K7ENL9_C18orf8.pdf</t>
  </si>
  <si>
    <t>Melting_Curves/meltCurve_K7EP31_ATP5SL.pdf</t>
  </si>
  <si>
    <t>Melting_Curves/meltCurve_K7EP32_UBXN6.pdf</t>
  </si>
  <si>
    <t>Melting_Curves/meltCurve_K7EPJ5_MGRN1.pdf</t>
  </si>
  <si>
    <t>Melting_Curves/meltCurve_K7EQ34_TMEM161A.pdf</t>
  </si>
  <si>
    <t>Melting_Curves/meltCurve_K7EQ37_UNC13D.pdf</t>
  </si>
  <si>
    <t>Melting_Curves/meltCurve_K7EQ77_NDUFA11.pdf</t>
  </si>
  <si>
    <t>Melting_Curves/meltCurve_K7EQL1_FAM98C.pdf</t>
  </si>
  <si>
    <t>Melting_Curves/meltCurve_K7EQV2_POP4.pdf</t>
  </si>
  <si>
    <t>Melting_Curves/meltCurve_K7EQW8_TPM4.pdf</t>
  </si>
  <si>
    <t>Melting_Curves/meltCurve_K7EQX8_MXRA7.pdf</t>
  </si>
  <si>
    <t>Melting_Curves/meltCurve_K7ER00_FARSA.pdf</t>
  </si>
  <si>
    <t>Melting_Curves/meltCurve_K7ER89_ERCC1.pdf</t>
  </si>
  <si>
    <t>Melting_Curves/meltCurve_K7ER93_C19orf55.pdf</t>
  </si>
  <si>
    <t>Melting_Curves/meltCurve_K7ERF1_EIF3K.pdf</t>
  </si>
  <si>
    <t>Melting_Curves/meltCurve_K7ERQ0_YIF1B.pdf</t>
  </si>
  <si>
    <t>Melting_Curves/meltCurve_K7ERU9_.pdf</t>
  </si>
  <si>
    <t>Melting_Curves/meltCurve_K7ERV3_TK1.pdf</t>
  </si>
  <si>
    <t>Melting_Curves/meltCurve_K7ES02_BLMH.pdf</t>
  </si>
  <si>
    <t>Melting_Curves/meltCurve_K7ES11_UBE2O.pdf</t>
  </si>
  <si>
    <t>Melting_Curves/meltCurve_K7ES84_FAM86A.pdf</t>
  </si>
  <si>
    <t>Melting_Curves/meltCurve_K7ESB7_DOCK6.pdf</t>
  </si>
  <si>
    <t>Melting_Curves/meltCurve_K7ESE3_RAD23A.pdf</t>
  </si>
  <si>
    <t>Melting_Curves/meltCurve_K7ESE6_G6PC3.pdf</t>
  </si>
  <si>
    <t>Melting_Curves/meltCurve_K7ESP4_DCAKD.pdf</t>
  </si>
  <si>
    <t>Melting_Curves/meltCurve_M0QWZ7_SARS2.pdf</t>
  </si>
  <si>
    <t>Melting_Curves/meltCurve_M0QX35_PAF1.pdf</t>
  </si>
  <si>
    <t>Melting_Curves/meltCurve_M0QXA7_WIZ.pdf</t>
  </si>
  <si>
    <t>Melting_Curves/meltCurve_M0QXB4_COPE.pdf</t>
  </si>
  <si>
    <t>Melting_Curves/meltCurve_M0QXL5_FBL.pdf</t>
  </si>
  <si>
    <t>Melting_Curves/meltCurve_M0QXT0_USF2.pdf</t>
  </si>
  <si>
    <t>Melting_Curves/meltCurve_M0QXZ5_ZNF428.pdf</t>
  </si>
  <si>
    <t>Melting_Curves/meltCurve_M0QY01_EPS15L1.pdf</t>
  </si>
  <si>
    <t>Melting_Curves/meltCurve_M0QY97_ZC3H4.pdf</t>
  </si>
  <si>
    <t>Melting_Curves/meltCurve_M0QYM7_TUBB4A.pdf</t>
  </si>
  <si>
    <t>Melting_Curves/meltCurve_M0QYS1_RPL13A.pdf</t>
  </si>
  <si>
    <t>Melting_Curves/meltCurve_M0QZ09_SIRT6.pdf</t>
  </si>
  <si>
    <t>Melting_Curves/meltCurve_M0QZ12_GRAMD1A.pdf</t>
  </si>
  <si>
    <t>Melting_Curves/meltCurve_M0QZ43_HRC.pdf</t>
  </si>
  <si>
    <t>Melting_Curves/meltCurve_M0QZI3_FCHO1.pdf</t>
  </si>
  <si>
    <t>Melting_Curves/meltCurve_M0QZR4_ARHGEF1.pdf</t>
  </si>
  <si>
    <t>Melting_Curves/meltCurve_M0QZW1_PRKD2.pdf</t>
  </si>
  <si>
    <t>Melting_Curves/meltCurve_M0R042_TUBB4A.pdf</t>
  </si>
  <si>
    <t>Melting_Curves/meltCurve_M0R0B4_KXD1.pdf</t>
  </si>
  <si>
    <t>Melting_Curves/meltCurve_M0R0F0_RPS5.pdf</t>
  </si>
  <si>
    <t>Melting_Curves/meltCurve_M0R0N4_AP2S1.pdf</t>
  </si>
  <si>
    <t>Melting_Curves/meltCurve_M0R0R3_SMIM7.pdf</t>
  </si>
  <si>
    <t>Melting_Curves/meltCurve_M0R0V1_PLEKHA4.pdf</t>
  </si>
  <si>
    <t>Melting_Curves/meltCurve_M0R150_.pdf</t>
  </si>
  <si>
    <t>Melting_Curves/meltCurve_M0R226_MRPL34.pdf</t>
  </si>
  <si>
    <t>Melting_Curves/meltCurve_M0R2A0_EMC10.pdf</t>
  </si>
  <si>
    <t>Melting_Curves/meltCurve_M0R2B7_POLD1.pdf</t>
  </si>
  <si>
    <t>Melting_Curves/meltCurve_M0R2C4_LSR.pdf</t>
  </si>
  <si>
    <t>Melting_Curves/meltCurve_M0R300_MYO9B.pdf</t>
  </si>
  <si>
    <t>Melting_Curves/meltCurve_M0R3D4_RABAC1.pdf</t>
  </si>
  <si>
    <t>Melting_Curves/meltCurve_O00116_AGPS.pdf</t>
  </si>
  <si>
    <t>Melting_Curves/meltCurve_O00124_3_UBXN8.pdf</t>
  </si>
  <si>
    <t>Melting_Curves/meltCurve_O00139_1_KIF2A.pdf</t>
  </si>
  <si>
    <t>Melting_Curves/meltCurve_O00139_2_KIF2A.pdf</t>
  </si>
  <si>
    <t>Melting_Curves/meltCurve_O00148_DDX39A.pdf</t>
  </si>
  <si>
    <t>Melting_Curves/meltCurve_O00151_PDLIM1.pdf</t>
  </si>
  <si>
    <t>Melting_Curves/meltCurve_O00154_4_ACOT7.pdf</t>
  </si>
  <si>
    <t>Melting_Curves/meltCurve_O00159_MYO1C.pdf</t>
  </si>
  <si>
    <t>Melting_Curves/meltCurve_O00161_SNAP23.pdf</t>
  </si>
  <si>
    <t>Melting_Curves/meltCurve_O00165_5_HAX1.pdf</t>
  </si>
  <si>
    <t>Melting_Curves/meltCurve_O00170_AIP.pdf</t>
  </si>
  <si>
    <t>Melting_Curves/meltCurve_O00178_GTPBP1.pdf</t>
  </si>
  <si>
    <t>Melting_Curves/meltCurve_O00180_KCNK1.pdf</t>
  </si>
  <si>
    <t>Melting_Curves/meltCurve_O00186_STXBP3.pdf</t>
  </si>
  <si>
    <t>Melting_Curves/meltCurve_O00203_AP3B1.pdf</t>
  </si>
  <si>
    <t>Melting_Curves/meltCurve_O00214_2_LGALS8.pdf</t>
  </si>
  <si>
    <t>Melting_Curves/meltCurve_O00217_NDUFS8.pdf</t>
  </si>
  <si>
    <t>Melting_Curves/meltCurve_O00220_TNFRSF10A.pdf</t>
  </si>
  <si>
    <t>Melting_Curves/meltCurve_O00221_NFKBIE.pdf</t>
  </si>
  <si>
    <t>Melting_Curves/meltCurve_O00231_PSMD11.pdf</t>
  </si>
  <si>
    <t>Melting_Curves/meltCurve_O00232_PSMD12.pdf</t>
  </si>
  <si>
    <t>Melting_Curves/meltCurve_O00244_ATOX1.pdf</t>
  </si>
  <si>
    <t>Melting_Curves/meltCurve_O00264_PGRMC1.pdf</t>
  </si>
  <si>
    <t>Melting_Curves/meltCurve_O00267_2_SUPT5H.pdf</t>
  </si>
  <si>
    <t>Melting_Curves/meltCurve_O00273_DFFA.pdf</t>
  </si>
  <si>
    <t>Melting_Curves/meltCurve_O00273_2_DFFA.pdf</t>
  </si>
  <si>
    <t>Melting_Curves/meltCurve_O00287_RFXAP.pdf</t>
  </si>
  <si>
    <t>Melting_Curves/meltCurve_O00291_HIP1.pdf</t>
  </si>
  <si>
    <t>Melting_Curves/meltCurve_O00299_CLIC1.pdf</t>
  </si>
  <si>
    <t>Melting_Curves/meltCurve_O00308_WWP2.pdf</t>
  </si>
  <si>
    <t>Melting_Curves/meltCurve_O00325_PTGER3.pdf</t>
  </si>
  <si>
    <t>Melting_Curves/meltCurve_O00399_DCTN6.pdf</t>
  </si>
  <si>
    <t>Melting_Curves/meltCurve_O00400_SLC33A1.pdf</t>
  </si>
  <si>
    <t>Melting_Curves/meltCurve_O00401_WASL.pdf</t>
  </si>
  <si>
    <t>Melting_Curves/meltCurve_O00410_IPO5.pdf</t>
  </si>
  <si>
    <t>Melting_Curves/meltCurve_O00418_EEF2K.pdf</t>
  </si>
  <si>
    <t>Melting_Curves/meltCurve_O00422_SAP18.pdf</t>
  </si>
  <si>
    <t>Melting_Curves/meltCurve_O00425_IGF2BP3.pdf</t>
  </si>
  <si>
    <t>Melting_Curves/meltCurve_O00429_3_DNM1L.pdf</t>
  </si>
  <si>
    <t>Melting_Curves/meltCurve_O00429_4_DNM1L.pdf</t>
  </si>
  <si>
    <t>Melting_Curves/meltCurve_O00442_RTCA.pdf</t>
  </si>
  <si>
    <t>Melting_Curves/meltCurve_O00459_PIK3R2.pdf</t>
  </si>
  <si>
    <t>Melting_Curves/meltCurve_O00461_GOLIM4.pdf</t>
  </si>
  <si>
    <t>Melting_Curves/meltCurve_O00462_MANBA.pdf</t>
  </si>
  <si>
    <t>Melting_Curves/meltCurve_O00468_2_AGRN.pdf</t>
  </si>
  <si>
    <t>Melting_Curves/meltCurve_O00471_EXOC5.pdf</t>
  </si>
  <si>
    <t>Melting_Curves/meltCurve_O00479_HMGN4.pdf</t>
  </si>
  <si>
    <t>Melting_Curves/meltCurve_O00483_NDUFA4.pdf</t>
  </si>
  <si>
    <t>Melting_Curves/meltCurve_O00487_PSMD14.pdf</t>
  </si>
  <si>
    <t>Melting_Curves/meltCurve_O00488_ZNF593.pdf</t>
  </si>
  <si>
    <t>Melting_Curves/meltCurve_O00505_KPNA3.pdf</t>
  </si>
  <si>
    <t>Melting_Curves/meltCurve_O00506_STK25.pdf</t>
  </si>
  <si>
    <t>Melting_Curves/meltCurve_O00512_BCL9.pdf</t>
  </si>
  <si>
    <t>Melting_Curves/meltCurve_O00522_KRIT1.pdf</t>
  </si>
  <si>
    <t>Melting_Curves/meltCurve_O00560_SDCBP.pdf</t>
  </si>
  <si>
    <t>Melting_Curves/meltCurve_O00562_2_PITPNM1.pdf</t>
  </si>
  <si>
    <t>Melting_Curves/meltCurve_O00566_MPHOSPH10.pdf</t>
  </si>
  <si>
    <t>Melting_Curves/meltCurve_O00567_NOP56.pdf</t>
  </si>
  <si>
    <t>Melting_Curves/meltCurve_O00571_DDX3X.pdf</t>
  </si>
  <si>
    <t>Melting_Curves/meltCurve_O00625_PIR.pdf</t>
  </si>
  <si>
    <t>Melting_Curves/meltCurve_O00629_KPNA4.pdf</t>
  </si>
  <si>
    <t>Melting_Curves/meltCurve_O00635_TRIM38.pdf</t>
  </si>
  <si>
    <t>Melting_Curves/meltCurve_O00743_PPP6C.pdf</t>
  </si>
  <si>
    <t>Melting_Curves/meltCurve_O00748_CES2.pdf</t>
  </si>
  <si>
    <t>Melting_Curves/meltCurve_O00754_2_MAN2B1.pdf</t>
  </si>
  <si>
    <t>Melting_Curves/meltCurve_O00764_PDXK.pdf</t>
  </si>
  <si>
    <t>Melting_Curves/meltCurve_O00764_3_PDXK.pdf</t>
  </si>
  <si>
    <t>Melting_Curves/meltCurve_O00767_SCD.pdf</t>
  </si>
  <si>
    <t>Melting_Curves/meltCurve_O14497_ARID1A.pdf</t>
  </si>
  <si>
    <t>Melting_Curves/meltCurve_O14508_SOCS2.pdf</t>
  </si>
  <si>
    <t>Melting_Curves/meltCurve_O14519_2_CDK2AP1.pdf</t>
  </si>
  <si>
    <t>Melting_Curves/meltCurve_O14523_C2CD2L.pdf</t>
  </si>
  <si>
    <t>Melting_Curves/meltCurve_O14524_2_TMEM194A.pdf</t>
  </si>
  <si>
    <t>Melting_Curves/meltCurve_O14545_TRAFD1.pdf</t>
  </si>
  <si>
    <t>Melting_Curves/meltCurve_O14548_COX7A2L.pdf</t>
  </si>
  <si>
    <t>Melting_Curves/meltCurve_O14561_NDUFAB1.pdf</t>
  </si>
  <si>
    <t>Melting_Curves/meltCurve_O14578_CIT.pdf</t>
  </si>
  <si>
    <t>Melting_Curves/meltCurve_O14617_AP3D1.pdf</t>
  </si>
  <si>
    <t>Melting_Curves/meltCurve_O14646_2_CHD1.pdf</t>
  </si>
  <si>
    <t>Melting_Curves/meltCurve_O14656_TOR1A.pdf</t>
  </si>
  <si>
    <t>Melting_Curves/meltCurve_O14657_TOR1B.pdf</t>
  </si>
  <si>
    <t>Melting_Curves/meltCurve_O14662_2_STX16.pdf</t>
  </si>
  <si>
    <t>Melting_Curves/meltCurve_O14672_ADAM10.pdf</t>
  </si>
  <si>
    <t>Melting_Curves/meltCurve_O14686_MLL2.pdf</t>
  </si>
  <si>
    <t>Melting_Curves/meltCurve_O14733_3_MAP2K7.pdf</t>
  </si>
  <si>
    <t>Melting_Curves/meltCurve_O14734_ACOT8.pdf</t>
  </si>
  <si>
    <t>Melting_Curves/meltCurve_O14737_PDCD5.pdf</t>
  </si>
  <si>
    <t>Melting_Curves/meltCurve_O14744_PRMT5.pdf</t>
  </si>
  <si>
    <t>Melting_Curves/meltCurve_O14745_SLC9A3R1.pdf</t>
  </si>
  <si>
    <t>Melting_Curves/meltCurve_O14757_CHEK1.pdf</t>
  </si>
  <si>
    <t>Melting_Curves/meltCurve_O14763_2_TNFRSF10B.pdf</t>
  </si>
  <si>
    <t>Melting_Curves/meltCurve_O14772_2_FPGT.pdf</t>
  </si>
  <si>
    <t>Melting_Curves/meltCurve_O14773_TPP1.pdf</t>
  </si>
  <si>
    <t>Melting_Curves/meltCurve_O14776_2_TCERG1.pdf</t>
  </si>
  <si>
    <t>Melting_Curves/meltCurve_O14777_NDC80.pdf</t>
  </si>
  <si>
    <t>Melting_Curves/meltCurve_O14787_2_TNPO2.pdf</t>
  </si>
  <si>
    <t>Melting_Curves/meltCurve_O14802_POLR3A.pdf</t>
  </si>
  <si>
    <t>Melting_Curves/meltCurve_O14818_PSMA7.pdf</t>
  </si>
  <si>
    <t>Melting_Curves/meltCurve_O14828_SCAMP3.pdf</t>
  </si>
  <si>
    <t>Melting_Curves/meltCurve_O14841_OPLAH.pdf</t>
  </si>
  <si>
    <t>Melting_Curves/meltCurve_O14867_BACH1.pdf</t>
  </si>
  <si>
    <t>Melting_Curves/meltCurve_O14874_BCKDK.pdf</t>
  </si>
  <si>
    <t>Melting_Curves/meltCurve_O14893_2_GEMIN2.pdf</t>
  </si>
  <si>
    <t>Melting_Curves/meltCurve_O14908_GIPC1.pdf</t>
  </si>
  <si>
    <t>Melting_Curves/meltCurve_O14920_IKBKB.pdf</t>
  </si>
  <si>
    <t>Melting_Curves/meltCurve_O14925_TIMM23.pdf</t>
  </si>
  <si>
    <t>Melting_Curves/meltCurve_O14929_HAT1.pdf</t>
  </si>
  <si>
    <t>Melting_Curves/meltCurve_O14944_EREG.pdf</t>
  </si>
  <si>
    <t>Melting_Curves/meltCurve_O14949_UQCRQ.pdf</t>
  </si>
  <si>
    <t>Melting_Curves/meltCurve_O14964_HGS.pdf</t>
  </si>
  <si>
    <t>Melting_Curves/meltCurve_O14965_AURKA.pdf</t>
  </si>
  <si>
    <t>Melting_Curves/meltCurve_O14974_4_PPP1R12A.pdf</t>
  </si>
  <si>
    <t>Melting_Curves/meltCurve_O14975_2_SLC27A2.pdf</t>
  </si>
  <si>
    <t>Melting_Curves/meltCurve_O14976_GAK.pdf</t>
  </si>
  <si>
    <t>Melting_Curves/meltCurve_O14979_3_HNRPDL.pdf</t>
  </si>
  <si>
    <t>Melting_Curves/meltCurve_O14980_XPO1.pdf</t>
  </si>
  <si>
    <t>Melting_Curves/meltCurve_O14981_BTAF1.pdf</t>
  </si>
  <si>
    <t>Melting_Curves/meltCurve_O15014_ZNF609.pdf</t>
  </si>
  <si>
    <t>Melting_Curves/meltCurve_O15020_2_SPTBN2.pdf</t>
  </si>
  <si>
    <t>Melting_Curves/meltCurve_O15031_PLXNB2.pdf</t>
  </si>
  <si>
    <t>Melting_Curves/meltCurve_O15047_SETD1A.pdf</t>
  </si>
  <si>
    <t>Melting_Curves/meltCurve_O15056_SYNJ2.pdf</t>
  </si>
  <si>
    <t>Melting_Curves/meltCurve_O15066_KIF3B.pdf</t>
  </si>
  <si>
    <t>Melting_Curves/meltCurve_O15067_PFAS.pdf</t>
  </si>
  <si>
    <t>Melting_Curves/meltCurve_O15084_ANKRD28.pdf</t>
  </si>
  <si>
    <t>Melting_Curves/meltCurve_O15085_ARHGEF11.pdf</t>
  </si>
  <si>
    <t>Melting_Curves/meltCurve_O15091_4_KIAA0391.pdf</t>
  </si>
  <si>
    <t>Melting_Curves/meltCurve_O15111_CHUK.pdf</t>
  </si>
  <si>
    <t>Melting_Curves/meltCurve_O15116_LSM1.pdf</t>
  </si>
  <si>
    <t>Melting_Curves/meltCurve_O15117_FYB.pdf</t>
  </si>
  <si>
    <t>Melting_Curves/meltCurve_O15118_NPC1.pdf</t>
  </si>
  <si>
    <t>Melting_Curves/meltCurve_O15120_AGPAT2.pdf</t>
  </si>
  <si>
    <t>Melting_Curves/meltCurve_O15121_DEGS1.pdf</t>
  </si>
  <si>
    <t>Melting_Curves/meltCurve_O15126_SCAMP1.pdf</t>
  </si>
  <si>
    <t>Melting_Curves/meltCurve_O15127_SCAMP2.pdf</t>
  </si>
  <si>
    <t>Melting_Curves/meltCurve_O15143_ARPC1B.pdf</t>
  </si>
  <si>
    <t>Melting_Curves/meltCurve_O15144_ARPC2.pdf</t>
  </si>
  <si>
    <t>Melting_Curves/meltCurve_O15145_ARPC3.pdf</t>
  </si>
  <si>
    <t>Melting_Curves/meltCurve_O15156_ZBTB7B.pdf</t>
  </si>
  <si>
    <t>Melting_Curves/meltCurve_O15160_POLR1C.pdf</t>
  </si>
  <si>
    <t>Melting_Curves/meltCurve_O15164_2_TRIM24.pdf</t>
  </si>
  <si>
    <t>Melting_Curves/meltCurve_O15169_2_AXIN1.pdf</t>
  </si>
  <si>
    <t>Melting_Curves/meltCurve_O15173_PGRMC2.pdf</t>
  </si>
  <si>
    <t>Melting_Curves/meltCurve_O15212_PFDN6.pdf</t>
  </si>
  <si>
    <t>Melting_Curves/meltCurve_O15228_GNPAT.pdf</t>
  </si>
  <si>
    <t>Melting_Curves/meltCurve_O15234_CASC3.pdf</t>
  </si>
  <si>
    <t>Melting_Curves/meltCurve_O15235_MRPS12.pdf</t>
  </si>
  <si>
    <t>Melting_Curves/meltCurve_O15240_VGF.pdf</t>
  </si>
  <si>
    <t>Melting_Curves/meltCurve_O15247_CLIC2.pdf</t>
  </si>
  <si>
    <t>Melting_Curves/meltCurve_O15258_RER1.pdf</t>
  </si>
  <si>
    <t>Melting_Curves/meltCurve_O15269_SPTLC1.pdf</t>
  </si>
  <si>
    <t>Melting_Curves/meltCurve_O15270_SPTLC2.pdf</t>
  </si>
  <si>
    <t>Melting_Curves/meltCurve_O15294_3_OGT.pdf</t>
  </si>
  <si>
    <t>Melting_Curves/meltCurve_O15305_PMM2.pdf</t>
  </si>
  <si>
    <t>Melting_Curves/meltCurve_O15347_HMGB3.pdf</t>
  </si>
  <si>
    <t>Melting_Curves/meltCurve_O15355_PPM1G.pdf</t>
  </si>
  <si>
    <t>Melting_Curves/meltCurve_O15357_INPPL1.pdf</t>
  </si>
  <si>
    <t>Melting_Curves/meltCurve_O15379_HDAC3.pdf</t>
  </si>
  <si>
    <t>Melting_Curves/meltCurve_O15382_BCAT2.pdf</t>
  </si>
  <si>
    <t>Melting_Curves/meltCurve_O15391_YY2.pdf</t>
  </si>
  <si>
    <t>Melting_Curves/meltCurve_O15397_IPO8.pdf</t>
  </si>
  <si>
    <t>Melting_Curves/meltCurve_O15400_2_STX7.pdf</t>
  </si>
  <si>
    <t>Melting_Curves/meltCurve_O15431_SLC31A1.pdf</t>
  </si>
  <si>
    <t>Melting_Curves/meltCurve_O15439_2_ABCC4.pdf</t>
  </si>
  <si>
    <t>Melting_Curves/meltCurve_O15446_CD3EAP.pdf</t>
  </si>
  <si>
    <t>Melting_Curves/meltCurve_O15453_NBR2.pdf</t>
  </si>
  <si>
    <t>Melting_Curves/meltCurve_O15460_2_P4HA2.pdf</t>
  </si>
  <si>
    <t>Melting_Curves/meltCurve_O15479_MAGEB2.pdf</t>
  </si>
  <si>
    <t>Melting_Curves/meltCurve_O15498_YKT6.pdf</t>
  </si>
  <si>
    <t>Melting_Curves/meltCurve_O15503_INSIG1.pdf</t>
  </si>
  <si>
    <t>Melting_Curves/meltCurve_O15511_ARPC5.pdf</t>
  </si>
  <si>
    <t>Melting_Curves/meltCurve_O15514_POLR2D.pdf</t>
  </si>
  <si>
    <t>Melting_Curves/meltCurve_O15541_RNF113A.pdf</t>
  </si>
  <si>
    <t>Melting_Curves/meltCurve_O43143_DHX15.pdf</t>
  </si>
  <si>
    <t>Melting_Curves/meltCurve_O43148_RNMT.pdf</t>
  </si>
  <si>
    <t>Melting_Curves/meltCurve_O43156_TTI1.pdf</t>
  </si>
  <si>
    <t>Melting_Curves/meltCurve_O43157_2_PLXNB1.pdf</t>
  </si>
  <si>
    <t>Melting_Curves/meltCurve_O43164_2_PJA2.pdf</t>
  </si>
  <si>
    <t>Melting_Curves/meltCurve_O43172_2_PRPF4.pdf</t>
  </si>
  <si>
    <t>Melting_Curves/meltCurve_O43175_PHGDH.pdf</t>
  </si>
  <si>
    <t>Melting_Curves/meltCurve_O43181_NDUFS4.pdf</t>
  </si>
  <si>
    <t>Melting_Curves/meltCurve_O43182_4_ARHGAP6.pdf</t>
  </si>
  <si>
    <t>Melting_Curves/meltCurve_O43237_DYNC1LI2.pdf</t>
  </si>
  <si>
    <t>Melting_Curves/meltCurve_O43242_PSMD3.pdf</t>
  </si>
  <si>
    <t>Melting_Curves/meltCurve_O43252_PAPSS1.pdf</t>
  </si>
  <si>
    <t>Melting_Curves/meltCurve_O43257_ZNHIT1.pdf</t>
  </si>
  <si>
    <t>Melting_Curves/meltCurve_O43264_ZW10.pdf</t>
  </si>
  <si>
    <t>Melting_Curves/meltCurve_O43290_SART1.pdf</t>
  </si>
  <si>
    <t>Melting_Curves/meltCurve_O43293_DAPK3.pdf</t>
  </si>
  <si>
    <t>Melting_Curves/meltCurve_O43299_AP5Z1.pdf</t>
  </si>
  <si>
    <t>Melting_Curves/meltCurve_O43301_HSPA12A.pdf</t>
  </si>
  <si>
    <t>Melting_Curves/meltCurve_O43310_CTIF.pdf</t>
  </si>
  <si>
    <t>Melting_Curves/meltCurve_O43314_2_PPIP5K2.pdf</t>
  </si>
  <si>
    <t>Melting_Curves/meltCurve_O43318_MAP3K7.pdf</t>
  </si>
  <si>
    <t>Melting_Curves/meltCurve_O43353_RIPK2.pdf</t>
  </si>
  <si>
    <t>Melting_Curves/meltCurve_O43379_WDR62.pdf</t>
  </si>
  <si>
    <t>Melting_Curves/meltCurve_O43390_HNRNPR.pdf</t>
  </si>
  <si>
    <t>Melting_Curves/meltCurve_O43395_PRPF3.pdf</t>
  </si>
  <si>
    <t>Melting_Curves/meltCurve_O43396_TXNL1.pdf</t>
  </si>
  <si>
    <t>Melting_Curves/meltCurve_O43399_TPD52L2.pdf</t>
  </si>
  <si>
    <t>Melting_Curves/meltCurve_O43402_EMC8.pdf</t>
  </si>
  <si>
    <t>Melting_Curves/meltCurve_O43427_2_FIBP.pdf</t>
  </si>
  <si>
    <t>Melting_Curves/meltCurve_O43435_3_TBX1.pdf</t>
  </si>
  <si>
    <t>Melting_Curves/meltCurve_O43447_PPIH.pdf</t>
  </si>
  <si>
    <t>Melting_Curves/meltCurve_O43464_3_HTRA2.pdf</t>
  </si>
  <si>
    <t>Melting_Curves/meltCurve_O43482_OIP5.pdf</t>
  </si>
  <si>
    <t>Melting_Curves/meltCurve_O43491_EPB41L2.pdf</t>
  </si>
  <si>
    <t>Melting_Curves/meltCurve_O43502_RAD51C.pdf</t>
  </si>
  <si>
    <t>Melting_Curves/meltCurve_O43504_LAMTOR5.pdf</t>
  </si>
  <si>
    <t>Melting_Curves/meltCurve_O43505_B3GNT1.pdf</t>
  </si>
  <si>
    <t>Melting_Curves/meltCurve_O43513_MED7.pdf</t>
  </si>
  <si>
    <t>Melting_Curves/meltCurve_O43516_WIPF1.pdf</t>
  </si>
  <si>
    <t>Melting_Curves/meltCurve_O43543_XRCC2.pdf</t>
  </si>
  <si>
    <t>Melting_Curves/meltCurve_O43583_DENR.pdf</t>
  </si>
  <si>
    <t>Melting_Curves/meltCurve_O43592_XPOT.pdf</t>
  </si>
  <si>
    <t>Melting_Curves/meltCurve_O43598_DNPH1.pdf</t>
  </si>
  <si>
    <t>Melting_Curves/meltCurve_O43615_TIMM44.pdf</t>
  </si>
  <si>
    <t>Melting_Curves/meltCurve_O43617_TRAPPC3.pdf</t>
  </si>
  <si>
    <t>Melting_Curves/meltCurve_O43633_CHMP2A.pdf</t>
  </si>
  <si>
    <t>Melting_Curves/meltCurve_O43639_NCK2.pdf</t>
  </si>
  <si>
    <t>Melting_Curves/meltCurve_O43663_PRC1.pdf</t>
  </si>
  <si>
    <t>Melting_Curves/meltCurve_O43665_2_RGS10.pdf</t>
  </si>
  <si>
    <t>Melting_Curves/meltCurve_O43678_NDUFA2.pdf</t>
  </si>
  <si>
    <t>Melting_Curves/meltCurve_O43681_ASNA1.pdf</t>
  </si>
  <si>
    <t>Melting_Curves/meltCurve_O43684_BUB3.pdf</t>
  </si>
  <si>
    <t>Melting_Curves/meltCurve_O43707_ACTN4.pdf</t>
  </si>
  <si>
    <t>Melting_Curves/meltCurve_O43709_WBSCR22.pdf</t>
  </si>
  <si>
    <t>Melting_Curves/meltCurve_O43715_TRIAP1.pdf</t>
  </si>
  <si>
    <t>Melting_Curves/meltCurve_O43719_HTATSF1.pdf</t>
  </si>
  <si>
    <t>Melting_Curves/meltCurve_O43734_5_TRAF3IP2.pdf</t>
  </si>
  <si>
    <t>Melting_Curves/meltCurve_O43736_2_ITM2A.pdf</t>
  </si>
  <si>
    <t>Melting_Curves/meltCurve_O43752_STX6.pdf</t>
  </si>
  <si>
    <t>Melting_Curves/meltCurve_O43760_SYNGR2.pdf</t>
  </si>
  <si>
    <t>Melting_Curves/meltCurve_O43765_SGTA.pdf</t>
  </si>
  <si>
    <t>Melting_Curves/meltCurve_O43766_2_LIAS.pdf</t>
  </si>
  <si>
    <t>Melting_Curves/meltCurve_O43768_2_ENSA.pdf</t>
  </si>
  <si>
    <t>Melting_Curves/meltCurve_O43772_SLC25A20.pdf</t>
  </si>
  <si>
    <t>Melting_Curves/meltCurve_O43776_NARS.pdf</t>
  </si>
  <si>
    <t>Melting_Curves/meltCurve_O43805_SSNA1.pdf</t>
  </si>
  <si>
    <t>Melting_Curves/meltCurve_O43809_NUDT21.pdf</t>
  </si>
  <si>
    <t>Melting_Curves/meltCurve_O43813_LANCL1.pdf</t>
  </si>
  <si>
    <t>Melting_Curves/meltCurve_O43815_STRN.pdf</t>
  </si>
  <si>
    <t>Melting_Curves/meltCurve_O43818_RRP9.pdf</t>
  </si>
  <si>
    <t>Melting_Curves/meltCurve_O43819_SCO2.pdf</t>
  </si>
  <si>
    <t>Melting_Curves/meltCurve_O43820_4_HYAL3.pdf</t>
  </si>
  <si>
    <t>Melting_Curves/meltCurve_O43823_AKAP8.pdf</t>
  </si>
  <si>
    <t>Melting_Curves/meltCurve_O43824_GTPBP6.pdf</t>
  </si>
  <si>
    <t>Melting_Curves/meltCurve_O43826_SLC37A4.pdf</t>
  </si>
  <si>
    <t>Melting_Curves/meltCurve_O43829_ZBTB14.pdf</t>
  </si>
  <si>
    <t>Melting_Curves/meltCurve_O43837_IDH3B.pdf</t>
  </si>
  <si>
    <t>Melting_Curves/meltCurve_O43852_CALU.pdf</t>
  </si>
  <si>
    <t>Melting_Curves/meltCurve_O43865_AHCYL1.pdf</t>
  </si>
  <si>
    <t>Melting_Curves/meltCurve_O43896_KIF1C.pdf</t>
  </si>
  <si>
    <t>Melting_Curves/meltCurve_O43913_ORC5.pdf</t>
  </si>
  <si>
    <t>Melting_Curves/meltCurve_O43920_NDUFS5.pdf</t>
  </si>
  <si>
    <t>Melting_Curves/meltCurve_O43924_PDE6D.pdf</t>
  </si>
  <si>
    <t>Melting_Curves/meltCurve_O43930_PRKY.pdf</t>
  </si>
  <si>
    <t>Melting_Curves/meltCurve_O43933_PEX1.pdf</t>
  </si>
  <si>
    <t>Melting_Curves/meltCurve_O60216_RAD21.pdf</t>
  </si>
  <si>
    <t>Melting_Curves/meltCurve_O60220_TIMM8A.pdf</t>
  </si>
  <si>
    <t>Melting_Curves/meltCurve_O60231_DHX16.pdf</t>
  </si>
  <si>
    <t>Melting_Curves/meltCurve_O60234_GMFG.pdf</t>
  </si>
  <si>
    <t>Melting_Curves/meltCurve_O60256_PRPSAP2.pdf</t>
  </si>
  <si>
    <t>Melting_Curves/meltCurve_O60264_SMARCA5.pdf</t>
  </si>
  <si>
    <t>Melting_Curves/meltCurve_O60271_4_SPAG9.pdf</t>
  </si>
  <si>
    <t>Melting_Curves/meltCurve_O60293_2_ZFC3H1.pdf</t>
  </si>
  <si>
    <t>Melting_Curves/meltCurve_O60294_LCMT2.pdf</t>
  </si>
  <si>
    <t>Melting_Curves/meltCurve_O60306_AQR.pdf</t>
  </si>
  <si>
    <t>Melting_Curves/meltCurve_O60307_MAST3.pdf</t>
  </si>
  <si>
    <t>Melting_Curves/meltCurve_O60308_3_CEP104.pdf</t>
  </si>
  <si>
    <t>Melting_Curves/meltCurve_O60313_2_OPA1.pdf</t>
  </si>
  <si>
    <t>Melting_Curves/meltCurve_O60315_2_ZEB2.pdf</t>
  </si>
  <si>
    <t>Melting_Curves/meltCurve_O60333_2_KIF1B.pdf</t>
  </si>
  <si>
    <t>Melting_Curves/meltCurve_O60337_5_MARCH6.pdf</t>
  </si>
  <si>
    <t>Melting_Curves/meltCurve_O60341_KDM1A.pdf</t>
  </si>
  <si>
    <t>Melting_Curves/meltCurve_O60343_2_TBC1D4.pdf</t>
  </si>
  <si>
    <t>Melting_Curves/meltCurve_O60344_4_ECE2.pdf</t>
  </si>
  <si>
    <t>Melting_Curves/meltCurve_O60427_FADS1.pdf</t>
  </si>
  <si>
    <t>Melting_Curves/meltCurve_O60476_MAN1A2.pdf</t>
  </si>
  <si>
    <t>Melting_Curves/meltCurve_O60488_2_ACSL4.pdf</t>
  </si>
  <si>
    <t>Melting_Curves/meltCurve_O60493_SNX3.pdf</t>
  </si>
  <si>
    <t>Melting_Curves/meltCurve_O60502_MGEA5.pdf</t>
  </si>
  <si>
    <t>Melting_Curves/meltCurve_O60506_3_SYNCRIP.pdf</t>
  </si>
  <si>
    <t>Melting_Curves/meltCurve_O60512_B4GALT3.pdf</t>
  </si>
  <si>
    <t>Melting_Curves/meltCurve_O60518_RANBP6.pdf</t>
  </si>
  <si>
    <t>Melting_Curves/meltCurve_O60524_4_NEMF.pdf</t>
  </si>
  <si>
    <t>Melting_Curves/meltCurve_O60547_2_GMDS.pdf</t>
  </si>
  <si>
    <t>Melting_Curves/meltCurve_O60563_CCNT1.pdf</t>
  </si>
  <si>
    <t>Melting_Curves/meltCurve_O60566_BUB1B.pdf</t>
  </si>
  <si>
    <t>Melting_Curves/meltCurve_O60568_PLOD3.pdf</t>
  </si>
  <si>
    <t>Melting_Curves/meltCurve_O60613_SEP15.pdf</t>
  </si>
  <si>
    <t>Melting_Curves/meltCurve_O60645_3_EXOC3.pdf</t>
  </si>
  <si>
    <t>Melting_Curves/meltCurve_O60664_PLIN3.pdf</t>
  </si>
  <si>
    <t>Melting_Curves/meltCurve_O60671_RAD1.pdf</t>
  </si>
  <si>
    <t>Melting_Curves/meltCurve_O60678_PRMT3.pdf</t>
  </si>
  <si>
    <t>Melting_Curves/meltCurve_O60701_UGDH.pdf</t>
  </si>
  <si>
    <t>Melting_Curves/meltCurve_O60704_TPST2.pdf</t>
  </si>
  <si>
    <t>Melting_Curves/meltCurve_O60716_5_CTNND1.pdf</t>
  </si>
  <si>
    <t>Melting_Curves/meltCurve_O60725_ICMT.pdf</t>
  </si>
  <si>
    <t>Melting_Curves/meltCurve_O60732_MAGEC1.pdf</t>
  </si>
  <si>
    <t>Melting_Curves/meltCurve_O60739_EIF1B.pdf</t>
  </si>
  <si>
    <t>Melting_Curves/meltCurve_O60749_SNX2.pdf</t>
  </si>
  <si>
    <t>Melting_Curves/meltCurve_O60763_USO1.pdf</t>
  </si>
  <si>
    <t>Melting_Curves/meltCurve_O60826_CCDC22.pdf</t>
  </si>
  <si>
    <t>Melting_Curves/meltCurve_O60828_PQBP1.pdf</t>
  </si>
  <si>
    <t>Melting_Curves/meltCurve_O60829_PAGE4.pdf</t>
  </si>
  <si>
    <t>Melting_Curves/meltCurve_O60830_TIMM17B.pdf</t>
  </si>
  <si>
    <t>Melting_Curves/meltCurve_O60832_DKC1.pdf</t>
  </si>
  <si>
    <t>Melting_Curves/meltCurve_O60841_EIF5B.pdf</t>
  </si>
  <si>
    <t>Melting_Curves/meltCurve_O60869_EDF1.pdf</t>
  </si>
  <si>
    <t>Melting_Curves/meltCurve_O60870_KIN.pdf</t>
  </si>
  <si>
    <t>Melting_Curves/meltCurve_O60884_DNAJA2.pdf</t>
  </si>
  <si>
    <t>Melting_Curves/meltCurve_O60885_BRD4.pdf</t>
  </si>
  <si>
    <t>Melting_Curves/meltCurve_O60888_3_CUTA.pdf</t>
  </si>
  <si>
    <t>Melting_Curves/meltCurve_O60911_CTSL2.pdf</t>
  </si>
  <si>
    <t>Melting_Curves/meltCurve_O60925_PFDN1.pdf</t>
  </si>
  <si>
    <t>Melting_Curves/meltCurve_O60927_PPP1R11.pdf</t>
  </si>
  <si>
    <t>Melting_Curves/meltCurve_O60930_RNASEH1.pdf</t>
  </si>
  <si>
    <t>Melting_Curves/meltCurve_O60934_NBN.pdf</t>
  </si>
  <si>
    <t>Melting_Curves/meltCurve_O60942_RNGTT.pdf</t>
  </si>
  <si>
    <t>Melting_Curves/meltCurve_O75027_ABCB7.pdf</t>
  </si>
  <si>
    <t>Melting_Curves/meltCurve_O75044_SRGAP2.pdf</t>
  </si>
  <si>
    <t>Melting_Curves/meltCurve_O75054_IGSF3.pdf</t>
  </si>
  <si>
    <t>Melting_Curves/meltCurve_O75061_4_DNAJC6.pdf</t>
  </si>
  <si>
    <t>Melting_Curves/meltCurve_O75063_FAM20B.pdf</t>
  </si>
  <si>
    <t>Melting_Curves/meltCurve_O75083_WDR1.pdf</t>
  </si>
  <si>
    <t>Melting_Curves/meltCurve_O75113_N4BP1.pdf</t>
  </si>
  <si>
    <t>Melting_Curves/meltCurve_O75116_ROCK2.pdf</t>
  </si>
  <si>
    <t>Melting_Curves/meltCurve_O75131_CPNE3.pdf</t>
  </si>
  <si>
    <t>Melting_Curves/meltCurve_O75143_3_ATG13.pdf</t>
  </si>
  <si>
    <t>Melting_Curves/meltCurve_O75146_HIP1R.pdf</t>
  </si>
  <si>
    <t>Melting_Curves/meltCurve_O75150_RNF40.pdf</t>
  </si>
  <si>
    <t>Melting_Curves/meltCurve_O75152_ZC3H11A.pdf</t>
  </si>
  <si>
    <t>Melting_Curves/meltCurve_O75153_CLUH.pdf</t>
  </si>
  <si>
    <t>Melting_Curves/meltCurve_O75155_CAND2.pdf</t>
  </si>
  <si>
    <t>Melting_Curves/meltCurve_O75157_2_TSC22D2.pdf</t>
  </si>
  <si>
    <t>Melting_Curves/meltCurve_O75164_KDM4A.pdf</t>
  </si>
  <si>
    <t>Melting_Curves/meltCurve_O75165_DNAJC13.pdf</t>
  </si>
  <si>
    <t>Melting_Curves/meltCurve_O75170_2_PPP6R2.pdf</t>
  </si>
  <si>
    <t>Melting_Curves/meltCurve_O75175_CNOT3.pdf</t>
  </si>
  <si>
    <t>Melting_Curves/meltCurve_O75179_2_ANKRD17.pdf</t>
  </si>
  <si>
    <t>Melting_Curves/meltCurve_O75191_XYLB.pdf</t>
  </si>
  <si>
    <t>Melting_Curves/meltCurve_O75208_COQ9.pdf</t>
  </si>
  <si>
    <t>Melting_Curves/meltCurve_O75223_GGCT.pdf</t>
  </si>
  <si>
    <t>Melting_Curves/meltCurve_O75306_NDUFS2.pdf</t>
  </si>
  <si>
    <t>Melting_Curves/meltCurve_O75312_ZNF259.pdf</t>
  </si>
  <si>
    <t>Melting_Curves/meltCurve_O75323_GBAS.pdf</t>
  </si>
  <si>
    <t>Melting_Curves/meltCurve_O75330_2_HMMR.pdf</t>
  </si>
  <si>
    <t>Melting_Curves/meltCurve_O75340_PDCD6.pdf</t>
  </si>
  <si>
    <t>Melting_Curves/meltCurve_O75347_TBCA.pdf</t>
  </si>
  <si>
    <t>Melting_Curves/meltCurve_O75348_ATP6V1G1.pdf</t>
  </si>
  <si>
    <t>Melting_Curves/meltCurve_O75351_VPS4B.pdf</t>
  </si>
  <si>
    <t>Melting_Curves/meltCurve_O75362_ZNF217.pdf</t>
  </si>
  <si>
    <t>Melting_Curves/meltCurve_O75368_SH3BGRL.pdf</t>
  </si>
  <si>
    <t>Melting_Curves/meltCurve_O75369_8_FLNB.pdf</t>
  </si>
  <si>
    <t>Melting_Curves/meltCurve_O75376_NCOR1.pdf</t>
  </si>
  <si>
    <t>Melting_Curves/meltCurve_O75379_VAMP4.pdf</t>
  </si>
  <si>
    <t>Melting_Curves/meltCurve_O75380_NDUFS6.pdf</t>
  </si>
  <si>
    <t>Melting_Curves/meltCurve_O75381_2_PEX14.pdf</t>
  </si>
  <si>
    <t>Melting_Curves/meltCurve_O75387_SLC43A1.pdf</t>
  </si>
  <si>
    <t>Melting_Curves/meltCurve_O75391_SPAG7.pdf</t>
  </si>
  <si>
    <t>Melting_Curves/meltCurve_O75396_SEC22B.pdf</t>
  </si>
  <si>
    <t>Melting_Curves/meltCurve_O75400_PRPF40A.pdf</t>
  </si>
  <si>
    <t>Melting_Curves/meltCurve_O75419_2_CDC45.pdf</t>
  </si>
  <si>
    <t>Melting_Curves/meltCurve_O75420_GIGYF1.pdf</t>
  </si>
  <si>
    <t>Melting_Curves/meltCurve_O75427_LRCH4.pdf</t>
  </si>
  <si>
    <t>Melting_Curves/meltCurve_O75436_VPS26A.pdf</t>
  </si>
  <si>
    <t>Melting_Curves/meltCurve_O75438_NDUFB1.pdf</t>
  </si>
  <si>
    <t>Melting_Curves/meltCurve_O75439_PMPCB.pdf</t>
  </si>
  <si>
    <t>Melting_Curves/meltCurve_O75446_SAP30.pdf</t>
  </si>
  <si>
    <t>Melting_Curves/meltCurve_O75449_KATNA1.pdf</t>
  </si>
  <si>
    <t>Melting_Curves/meltCurve_O75452_RDH16.pdf</t>
  </si>
  <si>
    <t>Melting_Curves/meltCurve_O75459_PAGE1.pdf</t>
  </si>
  <si>
    <t>Melting_Curves/meltCurve_O75475_PSIP1.pdf</t>
  </si>
  <si>
    <t>Melting_Curves/meltCurve_O75475_3_PSIP1.pdf</t>
  </si>
  <si>
    <t>Melting_Curves/meltCurve_O75477_ERLIN1.pdf</t>
  </si>
  <si>
    <t>Melting_Curves/meltCurve_O75489_NDUFS3.pdf</t>
  </si>
  <si>
    <t>Melting_Curves/meltCurve_O75503_CLN5.pdf</t>
  </si>
  <si>
    <t>Melting_Curves/meltCurve_O75506_HSBP1.pdf</t>
  </si>
  <si>
    <t>Melting_Curves/meltCurve_O75521_2_ECI2.pdf</t>
  </si>
  <si>
    <t>Melting_Curves/meltCurve_O75528_TADA3.pdf</t>
  </si>
  <si>
    <t>Melting_Curves/meltCurve_O75530_3_EED.pdf</t>
  </si>
  <si>
    <t>Melting_Curves/meltCurve_O75531_BANF1.pdf</t>
  </si>
  <si>
    <t>Melting_Curves/meltCurve_O75533_SF3B1.pdf</t>
  </si>
  <si>
    <t>Melting_Curves/meltCurve_O75534_CSDE1.pdf</t>
  </si>
  <si>
    <t>Melting_Curves/meltCurve_O75554_WBP4.pdf</t>
  </si>
  <si>
    <t>Melting_Curves/meltCurve_O75570_MTRF1.pdf</t>
  </si>
  <si>
    <t>Melting_Curves/meltCurve_O75600_GCAT.pdf</t>
  </si>
  <si>
    <t>Melting_Curves/meltCurve_O75607_NPM3.pdf</t>
  </si>
  <si>
    <t>Melting_Curves/meltCurve_O75608_2_LYPLA1.pdf</t>
  </si>
  <si>
    <t>Melting_Curves/meltCurve_O75616_ERAL1.pdf</t>
  </si>
  <si>
    <t>Melting_Curves/meltCurve_O75629_CREG1.pdf</t>
  </si>
  <si>
    <t>Melting_Curves/meltCurve_O75635_2_SERPINB7.pdf</t>
  </si>
  <si>
    <t>Melting_Curves/meltCurve_O75643_SNRNP200.pdf</t>
  </si>
  <si>
    <t>Melting_Curves/meltCurve_O75648_TRMU.pdf</t>
  </si>
  <si>
    <t>Melting_Curves/meltCurve_O75663_TIPRL.pdf</t>
  </si>
  <si>
    <t>Melting_Curves/meltCurve_O75688_PPM1B.pdf</t>
  </si>
  <si>
    <t>Melting_Curves/meltCurve_O75691_UTP20.pdf</t>
  </si>
  <si>
    <t>Melting_Curves/meltCurve_O75695_RP2.pdf</t>
  </si>
  <si>
    <t>Melting_Curves/meltCurve_O75717_WDHD1.pdf</t>
  </si>
  <si>
    <t>Melting_Curves/meltCurve_O75746_SLC25A12.pdf</t>
  </si>
  <si>
    <t>Melting_Curves/meltCurve_O75781_PALM.pdf</t>
  </si>
  <si>
    <t>Melting_Curves/meltCurve_O75791_GRAP2.pdf</t>
  </si>
  <si>
    <t>Melting_Curves/meltCurve_O75792_RNASEH2A.pdf</t>
  </si>
  <si>
    <t>Melting_Curves/meltCurve_O75794_CDC123.pdf</t>
  </si>
  <si>
    <t>Melting_Curves/meltCurve_O75808_SOLH.pdf</t>
  </si>
  <si>
    <t>Melting_Curves/meltCurve_O75818_2_RPP40.pdf</t>
  </si>
  <si>
    <t>Melting_Curves/meltCurve_O75821_EIF3G.pdf</t>
  </si>
  <si>
    <t>Melting_Curves/meltCurve_O75822_EIF3J.pdf</t>
  </si>
  <si>
    <t>Melting_Curves/meltCurve_O75828_CBR3.pdf</t>
  </si>
  <si>
    <t>Melting_Curves/meltCurve_O75844_ZMPSTE24.pdf</t>
  </si>
  <si>
    <t>Melting_Curves/meltCurve_O75874_IDH1.pdf</t>
  </si>
  <si>
    <t>Melting_Curves/meltCurve_O75882_3_ATRN.pdf</t>
  </si>
  <si>
    <t>Melting_Curves/meltCurve_O75886_STAM2.pdf</t>
  </si>
  <si>
    <t>Melting_Curves/meltCurve_O75896_TUSC2.pdf</t>
  </si>
  <si>
    <t>Melting_Curves/meltCurve_O75909_CCNK.pdf</t>
  </si>
  <si>
    <t>Melting_Curves/meltCurve_O75911_DHRS3.pdf</t>
  </si>
  <si>
    <t>Melting_Curves/meltCurve_O75915_ARL6IP5.pdf</t>
  </si>
  <si>
    <t>Melting_Curves/meltCurve_O75928_2_PIAS2.pdf</t>
  </si>
  <si>
    <t>Melting_Curves/meltCurve_O75934_BCAS2.pdf</t>
  </si>
  <si>
    <t>Melting_Curves/meltCurve_O75935_3_DCTN3.pdf</t>
  </si>
  <si>
    <t>Melting_Curves/meltCurve_O75937_DNAJC8.pdf</t>
  </si>
  <si>
    <t>Melting_Curves/meltCurve_O75940_SMNDC1.pdf</t>
  </si>
  <si>
    <t>Melting_Curves/meltCurve_O75943_4_RAD17.pdf</t>
  </si>
  <si>
    <t>Melting_Curves/meltCurve_O75947_ATP5H.pdf</t>
  </si>
  <si>
    <t>Melting_Curves/meltCurve_O75955_FLOT1.pdf</t>
  </si>
  <si>
    <t>Melting_Curves/meltCurve_O75964_ATP5L.pdf</t>
  </si>
  <si>
    <t>Melting_Curves/meltCurve_O75976_CPD.pdf</t>
  </si>
  <si>
    <t>Melting_Curves/meltCurve_O76003_GLRX3.pdf</t>
  </si>
  <si>
    <t>Melting_Curves/meltCurve_O76031_CLPX.pdf</t>
  </si>
  <si>
    <t>Melting_Curves/meltCurve_O76041_2_NEBL.pdf</t>
  </si>
  <si>
    <t>Melting_Curves/meltCurve_O76070_SNCG.pdf</t>
  </si>
  <si>
    <t>Melting_Curves/meltCurve_O76071_CIAO1.pdf</t>
  </si>
  <si>
    <t>Melting_Curves/meltCurve_O76075_2_DFFB.pdf</t>
  </si>
  <si>
    <t>Melting_Curves/meltCurve_O76080_ZFAND5.pdf</t>
  </si>
  <si>
    <t>Melting_Curves/meltCurve_O76094_SRP72.pdf</t>
  </si>
  <si>
    <t>Melting_Curves/meltCurve_O76095_2_JTB.pdf</t>
  </si>
  <si>
    <t>Melting_Curves/meltCurve_O94762_RECQL5.pdf</t>
  </si>
  <si>
    <t>Melting_Curves/meltCurve_O94763_URI1.pdf</t>
  </si>
  <si>
    <t>Melting_Curves/meltCurve_O94766_B3GAT3.pdf</t>
  </si>
  <si>
    <t>Melting_Curves/meltCurve_O94776_MTA2.pdf</t>
  </si>
  <si>
    <t>Melting_Curves/meltCurve_O94782_USP1.pdf</t>
  </si>
  <si>
    <t>Melting_Curves/meltCurve_O94788_ALDH1A2.pdf</t>
  </si>
  <si>
    <t>Melting_Curves/meltCurve_O94804_STK10.pdf</t>
  </si>
  <si>
    <t>Melting_Curves/meltCurve_O94822_LTN1.pdf</t>
  </si>
  <si>
    <t>Melting_Curves/meltCurve_O94826_TOMM70A.pdf</t>
  </si>
  <si>
    <t>Melting_Curves/meltCurve_O94829_IPO13.pdf</t>
  </si>
  <si>
    <t>Melting_Curves/meltCurve_O94830_DDHD2.pdf</t>
  </si>
  <si>
    <t>Melting_Curves/meltCurve_O94832_MYO1D.pdf</t>
  </si>
  <si>
    <t>Melting_Curves/meltCurve_O94851_5_MICAL2.pdf</t>
  </si>
  <si>
    <t>Melting_Curves/meltCurve_O94854_2_KIAA0754.pdf</t>
  </si>
  <si>
    <t>Melting_Curves/meltCurve_O94855_SEC24D.pdf</t>
  </si>
  <si>
    <t>Melting_Curves/meltCurve_O94864_2_SUPT7L.pdf</t>
  </si>
  <si>
    <t>Melting_Curves/meltCurve_O94874_UFL1.pdf</t>
  </si>
  <si>
    <t>Melting_Curves/meltCurve_O94880_PHF14.pdf</t>
  </si>
  <si>
    <t>Melting_Curves/meltCurve_O94885_SASH1.pdf</t>
  </si>
  <si>
    <t>Melting_Curves/meltCurve_O94886_TMEM63A.pdf</t>
  </si>
  <si>
    <t>Melting_Curves/meltCurve_O94888_UBXN7.pdf</t>
  </si>
  <si>
    <t>Melting_Curves/meltCurve_O94889_KLHL18.pdf</t>
  </si>
  <si>
    <t>Melting_Curves/meltCurve_O94898_LRIG2.pdf</t>
  </si>
  <si>
    <t>Melting_Curves/meltCurve_O94903_PROSC.pdf</t>
  </si>
  <si>
    <t>Melting_Curves/meltCurve_O94905_ERLIN2.pdf</t>
  </si>
  <si>
    <t>Melting_Curves/meltCurve_O94906_2_PRPF6.pdf</t>
  </si>
  <si>
    <t>Melting_Curves/meltCurve_O94913_PCF11.pdf</t>
  </si>
  <si>
    <t>Melting_Curves/meltCurve_O94916_NFAT5.pdf</t>
  </si>
  <si>
    <t>Melting_Curves/meltCurve_O94919_ENDOD1.pdf</t>
  </si>
  <si>
    <t>Melting_Curves/meltCurve_O94925_3_GLS.pdf</t>
  </si>
  <si>
    <t>Melting_Curves/meltCurve_O94927_HAUS5.pdf</t>
  </si>
  <si>
    <t>Melting_Curves/meltCurve_O94966_7_USP19.pdf</t>
  </si>
  <si>
    <t>Melting_Curves/meltCurve_O94967_2_WDR47.pdf</t>
  </si>
  <si>
    <t>Melting_Curves/meltCurve_O94973_AP2A2.pdf</t>
  </si>
  <si>
    <t>Melting_Curves/meltCurve_O94973_2_AP2A2.pdf</t>
  </si>
  <si>
    <t>Melting_Curves/meltCurve_O94992_HEXIM1.pdf</t>
  </si>
  <si>
    <t>Melting_Curves/meltCurve_O95067_CCNB2.pdf</t>
  </si>
  <si>
    <t>Melting_Curves/meltCurve_O95081_AGFG2.pdf</t>
  </si>
  <si>
    <t>Melting_Curves/meltCurve_O95104_3_SCAF4.pdf</t>
  </si>
  <si>
    <t>Melting_Curves/meltCurve_O95139_NDUFB6.pdf</t>
  </si>
  <si>
    <t>Melting_Curves/meltCurve_O95140_MFN2.pdf</t>
  </si>
  <si>
    <t>Melting_Curves/meltCurve_O95155_2_UBE4B.pdf</t>
  </si>
  <si>
    <t>Melting_Curves/meltCurve_O95159_ZFPL1.pdf</t>
  </si>
  <si>
    <t>Melting_Curves/meltCurve_O95163_IKBKAP.pdf</t>
  </si>
  <si>
    <t>Melting_Curves/meltCurve_O95167_NDUFA3.pdf</t>
  </si>
  <si>
    <t>Melting_Curves/meltCurve_O95168_NDUFB4.pdf</t>
  </si>
  <si>
    <t>Melting_Curves/meltCurve_O95182_NDUFA7.pdf</t>
  </si>
  <si>
    <t>Melting_Curves/meltCurve_O95197_2_RTN3.pdf</t>
  </si>
  <si>
    <t>Melting_Curves/meltCurve_O95202_LETM1.pdf</t>
  </si>
  <si>
    <t>Melting_Curves/meltCurve_O95218_2_ZRANB2.pdf</t>
  </si>
  <si>
    <t>Melting_Curves/meltCurve_O95229_ZWINT.pdf</t>
  </si>
  <si>
    <t>Melting_Curves/meltCurve_O95231_VENTX.pdf</t>
  </si>
  <si>
    <t>Melting_Curves/meltCurve_O95232_LUC7L3.pdf</t>
  </si>
  <si>
    <t>Melting_Curves/meltCurve_O95239_KIF4A.pdf</t>
  </si>
  <si>
    <t>Melting_Curves/meltCurve_O95251_2_KAT7.pdf</t>
  </si>
  <si>
    <t>Melting_Curves/meltCurve_O95273_CCNDBP1.pdf</t>
  </si>
  <si>
    <t>Melting_Curves/meltCurve_O95292_VAPB.pdf</t>
  </si>
  <si>
    <t>Melting_Curves/meltCurve_O95295_SNAPIN.pdf</t>
  </si>
  <si>
    <t>Melting_Curves/meltCurve_O95297_2_MPZL1.pdf</t>
  </si>
  <si>
    <t>Melting_Curves/meltCurve_O95298_2_NDUFC2.pdf</t>
  </si>
  <si>
    <t>Melting_Curves/meltCurve_O95302_FKBP9.pdf</t>
  </si>
  <si>
    <t>Melting_Curves/meltCurve_O95336_PGLS.pdf</t>
  </si>
  <si>
    <t>Melting_Curves/meltCurve_O95347_SMC2.pdf</t>
  </si>
  <si>
    <t>Melting_Curves/meltCurve_O95352_ATG7.pdf</t>
  </si>
  <si>
    <t>Melting_Curves/meltCurve_O95363_FARS2.pdf</t>
  </si>
  <si>
    <t>Melting_Curves/meltCurve_O95365_ZBTB7A.pdf</t>
  </si>
  <si>
    <t>Melting_Curves/meltCurve_O95372_LYPLA2.pdf</t>
  </si>
  <si>
    <t>Melting_Curves/meltCurve_O95373_IPO7.pdf</t>
  </si>
  <si>
    <t>Melting_Curves/meltCurve_O95376_ARIH2.pdf</t>
  </si>
  <si>
    <t>Melting_Curves/meltCurve_O95391_SLU7.pdf</t>
  </si>
  <si>
    <t>Melting_Curves/meltCurve_O95394_PGM3.pdf</t>
  </si>
  <si>
    <t>Melting_Curves/meltCurve_O95396_MOCS3.pdf</t>
  </si>
  <si>
    <t>Melting_Curves/meltCurve_O95400_CD2BP2.pdf</t>
  </si>
  <si>
    <t>Melting_Curves/meltCurve_O95402_MED26.pdf</t>
  </si>
  <si>
    <t>Melting_Curves/meltCurve_O95405_2_ZFYVE9.pdf</t>
  </si>
  <si>
    <t>Melting_Curves/meltCurve_O95429_2_BAG4.pdf</t>
  </si>
  <si>
    <t>Melting_Curves/meltCurve_O95433_AHSA1.pdf</t>
  </si>
  <si>
    <t>Melting_Curves/meltCurve_O95453_2_PARN.pdf</t>
  </si>
  <si>
    <t>Melting_Curves/meltCurve_O95455_TGDS.pdf</t>
  </si>
  <si>
    <t>Melting_Curves/meltCurve_O95456_2_PSMG1.pdf</t>
  </si>
  <si>
    <t>Melting_Curves/meltCurve_O95466_2_FMNL1.pdf</t>
  </si>
  <si>
    <t>Melting_Curves/meltCurve_O95470_SGPL1.pdf</t>
  </si>
  <si>
    <t>Melting_Curves/meltCurve_O95486_SEC24A.pdf</t>
  </si>
  <si>
    <t>Melting_Curves/meltCurve_O95487_2_SEC24B.pdf</t>
  </si>
  <si>
    <t>Melting_Curves/meltCurve_O95544_NADK.pdf</t>
  </si>
  <si>
    <t>Melting_Curves/meltCurve_O95551_TDP2.pdf</t>
  </si>
  <si>
    <t>Melting_Curves/meltCurve_O95571_ETHE1.pdf</t>
  </si>
  <si>
    <t>Melting_Curves/meltCurve_O95573_ACSL3.pdf</t>
  </si>
  <si>
    <t>Melting_Curves/meltCurve_O95602_POLR1A.pdf</t>
  </si>
  <si>
    <t>Melting_Curves/meltCurve_O95613_2_PCNT.pdf</t>
  </si>
  <si>
    <t>Melting_Curves/meltCurve_O95619_YEATS4.pdf</t>
  </si>
  <si>
    <t>Melting_Curves/meltCurve_O95620_DUS4L.pdf</t>
  </si>
  <si>
    <t>Melting_Curves/meltCurve_O95628_3_CNOT4.pdf</t>
  </si>
  <si>
    <t>Melting_Curves/meltCurve_O95630_STAMBP.pdf</t>
  </si>
  <si>
    <t>Melting_Curves/meltCurve_O95671_2_ASMTL.pdf</t>
  </si>
  <si>
    <t>Melting_Curves/meltCurve_O95684_FGFR1OP.pdf</t>
  </si>
  <si>
    <t>Melting_Curves/meltCurve_O95721_SNAP29.pdf</t>
  </si>
  <si>
    <t>Melting_Curves/meltCurve_O95747_OXSR1.pdf</t>
  </si>
  <si>
    <t>Melting_Curves/meltCurve_O95749_GGPS1.pdf</t>
  </si>
  <si>
    <t>Melting_Curves/meltCurve_O95758_1_PTBP3.pdf</t>
  </si>
  <si>
    <t>Melting_Curves/meltCurve_O95777_NAA38.pdf</t>
  </si>
  <si>
    <t>Melting_Curves/meltCurve_O95782_2_AP2A1.pdf</t>
  </si>
  <si>
    <t>Melting_Curves/meltCurve_O95801_TTC4.pdf</t>
  </si>
  <si>
    <t>Melting_Curves/meltCurve_O95807_TMEM50A.pdf</t>
  </si>
  <si>
    <t>Melting_Curves/meltCurve_O95810_SDPR.pdf</t>
  </si>
  <si>
    <t>Melting_Curves/meltCurve_O95816_BAG2.pdf</t>
  </si>
  <si>
    <t>Melting_Curves/meltCurve_O95817_BAG3.pdf</t>
  </si>
  <si>
    <t>Melting_Curves/meltCurve_O95825_CRYZL1.pdf</t>
  </si>
  <si>
    <t>Melting_Curves/meltCurve_O95831_3_AIFM1.pdf</t>
  </si>
  <si>
    <t>Melting_Curves/meltCurve_O95834_EML2.pdf</t>
  </si>
  <si>
    <t>Melting_Curves/meltCurve_O95835_LATS1.pdf</t>
  </si>
  <si>
    <t>Melting_Curves/meltCurve_O95857_TSPAN13.pdf</t>
  </si>
  <si>
    <t>Melting_Curves/meltCurve_O95865_DDAH2.pdf</t>
  </si>
  <si>
    <t>Melting_Curves/meltCurve_O95873_C6orf47.pdf</t>
  </si>
  <si>
    <t>Melting_Curves/meltCurve_O95881_TXNDC12.pdf</t>
  </si>
  <si>
    <t>Melting_Curves/meltCurve_O95905_ECD.pdf</t>
  </si>
  <si>
    <t>Melting_Curves/meltCurve_O95926_SYF2.pdf</t>
  </si>
  <si>
    <t>Melting_Curves/meltCurve_O95983_2_MBD3.pdf</t>
  </si>
  <si>
    <t>Melting_Curves/meltCurve_O95985_TOP3B.pdf</t>
  </si>
  <si>
    <t>Melting_Curves/meltCurve_O95989_NUDT3.pdf</t>
  </si>
  <si>
    <t>Melting_Curves/meltCurve_O95997_PTTG1.pdf</t>
  </si>
  <si>
    <t>Melting_Curves/meltCurve_O95999_BCL10.pdf</t>
  </si>
  <si>
    <t>Melting_Curves/meltCurve_O96000_NDUFB10.pdf</t>
  </si>
  <si>
    <t>Melting_Curves/meltCurve_O96007_MOCS2.pdf</t>
  </si>
  <si>
    <t>Melting_Curves/meltCurve_O96008_TOMM40.pdf</t>
  </si>
  <si>
    <t>Melting_Curves/meltCurve_O96011_2_PEX11B.pdf</t>
  </si>
  <si>
    <t>Melting_Curves/meltCurve_O96013_PAK4.pdf</t>
  </si>
  <si>
    <t>Melting_Curves/meltCurve_O96017_CHEK2.pdf</t>
  </si>
  <si>
    <t>Melting_Curves/meltCurve_O96019_ACTL6A.pdf</t>
  </si>
  <si>
    <t>Melting_Curves/meltCurve_O96033_MOCS2.pdf</t>
  </si>
  <si>
    <t>Melting_Curves/meltCurve_P00338_LDHA.pdf</t>
  </si>
  <si>
    <t>Melting_Curves/meltCurve_P00352_ALDH1A1.pdf</t>
  </si>
  <si>
    <t>Melting_Curves/meltCurve_P00367_GLUD1.pdf</t>
  </si>
  <si>
    <t>Melting_Curves/meltCurve_P00374_DHFR.pdf</t>
  </si>
  <si>
    <t>Melting_Curves/meltCurve_P00387_2_CYB5R3.pdf</t>
  </si>
  <si>
    <t>Melting_Curves/meltCurve_P00390_5_GSR.pdf</t>
  </si>
  <si>
    <t>Melting_Curves/meltCurve_P00403_MT_CO2.pdf</t>
  </si>
  <si>
    <t>Melting_Curves/meltCurve_P00441_SOD1.pdf</t>
  </si>
  <si>
    <t>Melting_Curves/meltCurve_P00491_PNP.pdf</t>
  </si>
  <si>
    <t>Melting_Curves/meltCurve_P00492_HPRT1.pdf</t>
  </si>
  <si>
    <t>Melting_Curves/meltCurve_P00505_GOT2.pdf</t>
  </si>
  <si>
    <t>Melting_Curves/meltCurve_P00519_ABL1.pdf</t>
  </si>
  <si>
    <t>Melting_Curves/meltCurve_P00558_PGK1.pdf</t>
  </si>
  <si>
    <t>Melting_Curves/meltCurve_P01034_CST3.pdf</t>
  </si>
  <si>
    <t>Melting_Curves/meltCurve_P01111_NRAS.pdf</t>
  </si>
  <si>
    <t>Melting_Curves/meltCurve_P01112_HRAS.pdf</t>
  </si>
  <si>
    <t>Melting_Curves/meltCurve_P01116_KRAS.pdf</t>
  </si>
  <si>
    <t>Melting_Curves/meltCurve_P01116_2_KRAS.pdf</t>
  </si>
  <si>
    <t>Melting_Curves/meltCurve_P01137_TGFB1.pdf</t>
  </si>
  <si>
    <t>Melting_Curves/meltCurve_P02008_HBZ.pdf</t>
  </si>
  <si>
    <t>Melting_Curves/meltCurve_P02042_HBD.pdf</t>
  </si>
  <si>
    <t>Melting_Curves/meltCurve_P02100_HBE1.pdf</t>
  </si>
  <si>
    <t>Melting_Curves/meltCurve_P02545_LMNA.pdf</t>
  </si>
  <si>
    <t>Melting_Curves/meltCurve_P02545_2_LMNA.pdf</t>
  </si>
  <si>
    <t>Melting_Curves/meltCurve_P02549_SPTA1.pdf</t>
  </si>
  <si>
    <t>Melting_Curves/meltCurve_P02649_APOE.pdf</t>
  </si>
  <si>
    <t>Melting_Curves/meltCurve_P02730_SLC4A1.pdf</t>
  </si>
  <si>
    <t>Melting_Curves/meltCurve_P02786_TFRC.pdf</t>
  </si>
  <si>
    <t>Melting_Curves/meltCurve_P02792_FTL.pdf</t>
  </si>
  <si>
    <t>Melting_Curves/meltCurve_P02794_FTH1.pdf</t>
  </si>
  <si>
    <t>Melting_Curves/meltCurve_P03928_MT_ATP8.pdf</t>
  </si>
  <si>
    <t>Melting_Curves/meltCurve_P04035_HMGCR.pdf</t>
  </si>
  <si>
    <t>Melting_Curves/meltCurve_P04040_CAT.pdf</t>
  </si>
  <si>
    <t>Melting_Curves/meltCurve_P04066_FUCA1.pdf</t>
  </si>
  <si>
    <t>Melting_Curves/meltCurve_P04075_ALDOA.pdf</t>
  </si>
  <si>
    <t>Melting_Curves/meltCurve_P04080_CSTB.pdf</t>
  </si>
  <si>
    <t>Melting_Curves/meltCurve_P04083_ANXA1.pdf</t>
  </si>
  <si>
    <t>Melting_Curves/meltCurve_P04114_APOB.pdf</t>
  </si>
  <si>
    <t>Melting_Curves/meltCurve_P04150_7_NR3C1.pdf</t>
  </si>
  <si>
    <t>Melting_Curves/meltCurve_P04181_OAT.pdf</t>
  </si>
  <si>
    <t>Melting_Curves/meltCurve_P04183_TK1.pdf</t>
  </si>
  <si>
    <t>Melting_Curves/meltCurve_P04406_GAPDH.pdf</t>
  </si>
  <si>
    <t>Melting_Curves/meltCurve_P04406_2_GAPDH.pdf</t>
  </si>
  <si>
    <t>Melting_Curves/meltCurve_P04424_2_ASL.pdf</t>
  </si>
  <si>
    <t>Melting_Curves/meltCurve_P04632_CAPNS1.pdf</t>
  </si>
  <si>
    <t>Melting_Curves/meltCurve_P04792_HSPB1.pdf</t>
  </si>
  <si>
    <t>Melting_Curves/meltCurve_P04818_TYMS.pdf</t>
  </si>
  <si>
    <t>Melting_Curves/meltCurve_P04843_RPN1.pdf</t>
  </si>
  <si>
    <t>Melting_Curves/meltCurve_P04844_2_RPN2.pdf</t>
  </si>
  <si>
    <t>Melting_Curves/meltCurve_P04899_GNAI2.pdf</t>
  </si>
  <si>
    <t>Melting_Curves/meltCurve_P04920_2_SLC4A2.pdf</t>
  </si>
  <si>
    <t>Melting_Curves/meltCurve_P04921_2_GYPC.pdf</t>
  </si>
  <si>
    <t>Melting_Curves/meltCurve_P05023_4_ATP1A1.pdf</t>
  </si>
  <si>
    <t>Melting_Curves/meltCurve_P05091_ALDH2.pdf</t>
  </si>
  <si>
    <t>Melting_Curves/meltCurve_P05114_HMGN1.pdf</t>
  </si>
  <si>
    <t>Melting_Curves/meltCurve_P05141_SLC25A5.pdf</t>
  </si>
  <si>
    <t>Melting_Curves/meltCurve_P05161_ISG15.pdf</t>
  </si>
  <si>
    <t>Melting_Curves/meltCurve_P05165_3_PCCA.pdf</t>
  </si>
  <si>
    <t>Melting_Curves/meltCurve_P05198_EIF2S1.pdf</t>
  </si>
  <si>
    <t>Melting_Curves/meltCurve_P05204_HMGN2.pdf</t>
  </si>
  <si>
    <t>Melting_Curves/meltCurve_P05362_ICAM1.pdf</t>
  </si>
  <si>
    <t>Melting_Curves/meltCurve_P05386_RPLP1.pdf</t>
  </si>
  <si>
    <t>Melting_Curves/meltCurve_P05387_RPLP2.pdf</t>
  </si>
  <si>
    <t>Melting_Curves/meltCurve_P05388_RPLP0.pdf</t>
  </si>
  <si>
    <t>Melting_Curves/meltCurve_P05412_JUN.pdf</t>
  </si>
  <si>
    <t>Melting_Curves/meltCurve_P05423_POLR3D.pdf</t>
  </si>
  <si>
    <t>Melting_Curves/meltCurve_P05455_SSB.pdf</t>
  </si>
  <si>
    <t>Melting_Curves/meltCurve_P05556_ITGB1.pdf</t>
  </si>
  <si>
    <t>Melting_Curves/meltCurve_P05771_2_PRKCB.pdf</t>
  </si>
  <si>
    <t>Melting_Curves/meltCurve_P05783_KRT18.pdf</t>
  </si>
  <si>
    <t>Melting_Curves/meltCurve_P05937_CALB1.pdf</t>
  </si>
  <si>
    <t>Melting_Curves/meltCurve_P06132_UROD.pdf</t>
  </si>
  <si>
    <t>Melting_Curves/meltCurve_P06280_GLA.pdf</t>
  </si>
  <si>
    <t>Melting_Curves/meltCurve_P06400_RB1.pdf</t>
  </si>
  <si>
    <t>Melting_Curves/meltCurve_P06493_CDK1.pdf</t>
  </si>
  <si>
    <t>Melting_Curves/meltCurve_P06576_ATP5B.pdf</t>
  </si>
  <si>
    <t>Melting_Curves/meltCurve_P06733_ENO1.pdf</t>
  </si>
  <si>
    <t>Melting_Curves/meltCurve_P06733_2_ENO1.pdf</t>
  </si>
  <si>
    <t>Melting_Curves/meltCurve_P06744_GPI.pdf</t>
  </si>
  <si>
    <t>Melting_Curves/meltCurve_P06748_NPM1.pdf</t>
  </si>
  <si>
    <t>Melting_Curves/meltCurve_P06748_3_NPM1.pdf</t>
  </si>
  <si>
    <t>Melting_Curves/meltCurve_P06753_2_TPM3.pdf</t>
  </si>
  <si>
    <t>Melting_Curves/meltCurve_P06753_3_TPM3.pdf</t>
  </si>
  <si>
    <t>Melting_Curves/meltCurve_P06756_3_ITGAV.pdf</t>
  </si>
  <si>
    <t>Melting_Curves/meltCurve_P07099_EPHX1.pdf</t>
  </si>
  <si>
    <t>Melting_Curves/meltCurve_P07108_DBI.pdf</t>
  </si>
  <si>
    <t>Melting_Curves/meltCurve_P07195_LDHB.pdf</t>
  </si>
  <si>
    <t>Melting_Curves/meltCurve_P07205_PGK2.pdf</t>
  </si>
  <si>
    <t>Melting_Curves/meltCurve_P07225_PROS1.pdf</t>
  </si>
  <si>
    <t>Melting_Curves/meltCurve_P07237_P4HB.pdf</t>
  </si>
  <si>
    <t>Melting_Curves/meltCurve_P07339_CTSD.pdf</t>
  </si>
  <si>
    <t>Melting_Curves/meltCurve_P07355_ANXA2.pdf</t>
  </si>
  <si>
    <t>Melting_Curves/meltCurve_P07384_CAPN1.pdf</t>
  </si>
  <si>
    <t>Melting_Curves/meltCurve_P07686_HEXB.pdf</t>
  </si>
  <si>
    <t>Melting_Curves/meltCurve_P07711_CTSL1.pdf</t>
  </si>
  <si>
    <t>Melting_Curves/meltCurve_P07737_PFN1.pdf</t>
  </si>
  <si>
    <t>Melting_Curves/meltCurve_P07738_BPGM.pdf</t>
  </si>
  <si>
    <t>Melting_Curves/meltCurve_P07741_APRT.pdf</t>
  </si>
  <si>
    <t>Melting_Curves/meltCurve_P07814_EPRS.pdf</t>
  </si>
  <si>
    <t>Melting_Curves/meltCurve_P07858_CTSB.pdf</t>
  </si>
  <si>
    <t>Melting_Curves/meltCurve_P07900_HSP90AA1.pdf</t>
  </si>
  <si>
    <t>Melting_Curves/meltCurve_P07902_GALT.pdf</t>
  </si>
  <si>
    <t>Melting_Curves/meltCurve_P07919_UQCRH.pdf</t>
  </si>
  <si>
    <t>Melting_Curves/meltCurve_P07948_2_LYN.pdf</t>
  </si>
  <si>
    <t>Melting_Curves/meltCurve_P07954_2_FH.pdf</t>
  </si>
  <si>
    <t>Melting_Curves/meltCurve_P08047_SP1.pdf</t>
  </si>
  <si>
    <t>Melting_Curves/meltCurve_P08107_HSPA1A.pdf</t>
  </si>
  <si>
    <t>Melting_Curves/meltCurve_P08123_COL1A2.pdf</t>
  </si>
  <si>
    <t>Melting_Curves/meltCurve_P08133_2_ANXA6.pdf</t>
  </si>
  <si>
    <t>Melting_Curves/meltCurve_P08237_PFKM.pdf</t>
  </si>
  <si>
    <t>Melting_Curves/meltCurve_P08238_HSP90AB1.pdf</t>
  </si>
  <si>
    <t>Melting_Curves/meltCurve_P08240_SRPR.pdf</t>
  </si>
  <si>
    <t>Melting_Curves/meltCurve_P08243_2_ASNS.pdf</t>
  </si>
  <si>
    <t>Melting_Curves/meltCurve_P08397_2_HMBS.pdf</t>
  </si>
  <si>
    <t>Melting_Curves/meltCurve_P08559_3_PDHA1.pdf</t>
  </si>
  <si>
    <t>Melting_Curves/meltCurve_P08574_CYC1.pdf</t>
  </si>
  <si>
    <t>Melting_Curves/meltCurve_P08579_SNRPB2.pdf</t>
  </si>
  <si>
    <t>Melting_Curves/meltCurve_P08590_MYL3.pdf</t>
  </si>
  <si>
    <t>Melting_Curves/meltCurve_P08603_CFH.pdf</t>
  </si>
  <si>
    <t>Melting_Curves/meltCurve_P08621_SNRNP70.pdf</t>
  </si>
  <si>
    <t>Melting_Curves/meltCurve_P08648_ITGA5.pdf</t>
  </si>
  <si>
    <t>Melting_Curves/meltCurve_P08651_4_NFIC.pdf</t>
  </si>
  <si>
    <t>Melting_Curves/meltCurve_P08670_VIM.pdf</t>
  </si>
  <si>
    <t>Melting_Curves/meltCurve_P08754_GNAI3.pdf</t>
  </si>
  <si>
    <t>Melting_Curves/meltCurve_P08758_ANXA5.pdf</t>
  </si>
  <si>
    <t>Melting_Curves/meltCurve_P09012_SNRPA.pdf</t>
  </si>
  <si>
    <t>Melting_Curves/meltCurve_P09038_2_FGF2.pdf</t>
  </si>
  <si>
    <t>Melting_Curves/meltCurve_P09104_ENO2.pdf</t>
  </si>
  <si>
    <t>Melting_Curves/meltCurve_P09105_HBQ1.pdf</t>
  </si>
  <si>
    <t>Melting_Curves/meltCurve_P09110_ACAA1.pdf</t>
  </si>
  <si>
    <t>Melting_Curves/meltCurve_P09132_SRP19.pdf</t>
  </si>
  <si>
    <t>Melting_Curves/meltCurve_P09211_GSTP1.pdf</t>
  </si>
  <si>
    <t>Melting_Curves/meltCurve_P09234_SNRPC.pdf</t>
  </si>
  <si>
    <t>Melting_Curves/meltCurve_P09382_LGALS1.pdf</t>
  </si>
  <si>
    <t>Melting_Curves/meltCurve_P09417_QDPR.pdf</t>
  </si>
  <si>
    <t>Melting_Curves/meltCurve_P09429_HMGB1.pdf</t>
  </si>
  <si>
    <t>Melting_Curves/meltCurve_P09493_8_TPM1.pdf</t>
  </si>
  <si>
    <t>Melting_Curves/meltCurve_P09496_2_CLTA.pdf</t>
  </si>
  <si>
    <t>Melting_Curves/meltCurve_P09497_2_CLTB.pdf</t>
  </si>
  <si>
    <t>Melting_Curves/meltCurve_P09525_ANXA4.pdf</t>
  </si>
  <si>
    <t>Melting_Curves/meltCurve_P09543_2_CNP.pdf</t>
  </si>
  <si>
    <t>Melting_Curves/meltCurve_P09622_DLD.pdf</t>
  </si>
  <si>
    <t>Melting_Curves/meltCurve_P09661_SNRPA1.pdf</t>
  </si>
  <si>
    <t>Melting_Curves/meltCurve_P09668_CTSH.pdf</t>
  </si>
  <si>
    <t>Melting_Curves/meltCurve_P09669_COX6C.pdf</t>
  </si>
  <si>
    <t>Melting_Curves/meltCurve_P09874_PARP1.pdf</t>
  </si>
  <si>
    <t>Melting_Curves/meltCurve_P09958_FURIN.pdf</t>
  </si>
  <si>
    <t>Melting_Curves/meltCurve_P09960_LTA4H.pdf</t>
  </si>
  <si>
    <t>Melting_Curves/meltCurve_P09972_ALDOC.pdf</t>
  </si>
  <si>
    <t>Melting_Curves/meltCurve_P0C2W1_FBXO45.pdf</t>
  </si>
  <si>
    <t>Melting_Curves/meltCurve_P0C7P0_CISD3.pdf</t>
  </si>
  <si>
    <t>Melting_Curves/meltCurve_P0C7P4_UQCRFS1P1.pdf</t>
  </si>
  <si>
    <t>Melting_Curves/meltCurve_P0C7T5_ATXN1L.pdf</t>
  </si>
  <si>
    <t>Melting_Curves/meltCurve_P0C869_8_PLA2G4B.pdf</t>
  </si>
  <si>
    <t>Melting_Curves/meltCurve_P0CG12_CHTF8.pdf</t>
  </si>
  <si>
    <t>Melting_Curves/meltCurve_P0CW22_RPS17L.pdf</t>
  </si>
  <si>
    <t>Melting_Curves/meltCurve_P0DJ93_SMIM13.pdf</t>
  </si>
  <si>
    <t>Melting_Curves/meltCurve_P10109_FDX1.pdf</t>
  </si>
  <si>
    <t>Melting_Curves/meltCurve_P10124_SRGN.pdf</t>
  </si>
  <si>
    <t>Melting_Curves/meltCurve_P10155_TROVE2.pdf</t>
  </si>
  <si>
    <t>Melting_Curves/meltCurve_P10244_MYBL2.pdf</t>
  </si>
  <si>
    <t>Melting_Curves/meltCurve_P10301_RRAS.pdf</t>
  </si>
  <si>
    <t>Melting_Curves/meltCurve_P10398_ARAF.pdf</t>
  </si>
  <si>
    <t>Melting_Curves/meltCurve_P10412_HIST1H1E.pdf</t>
  </si>
  <si>
    <t>Melting_Curves/meltCurve_P10586_2_PTPRF.pdf</t>
  </si>
  <si>
    <t>Melting_Curves/meltCurve_P10588_NR2F6.pdf</t>
  </si>
  <si>
    <t>Melting_Curves/meltCurve_P10599_TXN.pdf</t>
  </si>
  <si>
    <t>Melting_Curves/meltCurve_P10606_COX5B.pdf</t>
  </si>
  <si>
    <t>Melting_Curves/meltCurve_P10619_CTSA.pdf</t>
  </si>
  <si>
    <t>Melting_Curves/meltCurve_P10644_PRKAR1A.pdf</t>
  </si>
  <si>
    <t>Melting_Curves/meltCurve_P10746_UROS.pdf</t>
  </si>
  <si>
    <t>Melting_Curves/meltCurve_P10768_ESD.pdf</t>
  </si>
  <si>
    <t>Melting_Curves/meltCurve_P10809_HSPD1.pdf</t>
  </si>
  <si>
    <t>Melting_Curves/meltCurve_P11021_HSPA5.pdf</t>
  </si>
  <si>
    <t>Melting_Curves/meltCurve_P11142_HSPA8.pdf</t>
  </si>
  <si>
    <t>Melting_Curves/meltCurve_P11166_SLC2A1.pdf</t>
  </si>
  <si>
    <t>Melting_Curves/meltCurve_P11169_SLC2A3.pdf</t>
  </si>
  <si>
    <t>Melting_Curves/meltCurve_P11171_EPB41.pdf</t>
  </si>
  <si>
    <t>Melting_Curves/meltCurve_P11172_UMPS.pdf</t>
  </si>
  <si>
    <t>Melting_Curves/meltCurve_P11177_3_PDHB.pdf</t>
  </si>
  <si>
    <t>Melting_Curves/meltCurve_P11182_DBT.pdf</t>
  </si>
  <si>
    <t>Melting_Curves/meltCurve_P11216_PYGB.pdf</t>
  </si>
  <si>
    <t>Melting_Curves/meltCurve_P11233_RALA.pdf</t>
  </si>
  <si>
    <t>Melting_Curves/meltCurve_P11234_RALB.pdf</t>
  </si>
  <si>
    <t>Melting_Curves/meltCurve_P11274_2_BCR.pdf</t>
  </si>
  <si>
    <t>Melting_Curves/meltCurve_P11277_3_SPTB.pdf</t>
  </si>
  <si>
    <t>Melting_Curves/meltCurve_P11279_LAMP1.pdf</t>
  </si>
  <si>
    <t>Melting_Curves/meltCurve_P11387_TOP1.pdf</t>
  </si>
  <si>
    <t>Melting_Curves/meltCurve_P11388_TOP2A.pdf</t>
  </si>
  <si>
    <t>Melting_Curves/meltCurve_P11413_G6PD.pdf</t>
  </si>
  <si>
    <t>Melting_Curves/meltCurve_P11441_UBL4A.pdf</t>
  </si>
  <si>
    <t>Melting_Curves/meltCurve_P11474_2_ESRRA.pdf</t>
  </si>
  <si>
    <t>Melting_Curves/meltCurve_P11498_PC.pdf</t>
  </si>
  <si>
    <t>Melting_Curves/meltCurve_P11717_IGF2R.pdf</t>
  </si>
  <si>
    <t>Melting_Curves/meltCurve_P11766_ADH5.pdf</t>
  </si>
  <si>
    <t>Melting_Curves/meltCurve_P11802_CDK4.pdf</t>
  </si>
  <si>
    <t>Melting_Curves/meltCurve_P11908_PRPS2.pdf</t>
  </si>
  <si>
    <t>Melting_Curves/meltCurve_P11940_PABPC1.pdf</t>
  </si>
  <si>
    <t>Melting_Curves/meltCurve_P12004_PCNA.pdf</t>
  </si>
  <si>
    <t>Melting_Curves/meltCurve_P12036_2_NEFH.pdf</t>
  </si>
  <si>
    <t>Melting_Curves/meltCurve_P12081_HARS.pdf</t>
  </si>
  <si>
    <t>Melting_Curves/meltCurve_P12235_SLC25A4.pdf</t>
  </si>
  <si>
    <t>Melting_Curves/meltCurve_P12236_SLC25A6.pdf</t>
  </si>
  <si>
    <t>Melting_Curves/meltCurve_P12270_TPR.pdf</t>
  </si>
  <si>
    <t>Melting_Curves/meltCurve_P12277_CKB.pdf</t>
  </si>
  <si>
    <t>Melting_Curves/meltCurve_P12318_2_FCGR2A.pdf</t>
  </si>
  <si>
    <t>Melting_Curves/meltCurve_P12429_ANXA3.pdf</t>
  </si>
  <si>
    <t>Melting_Curves/meltCurve_P12532_CKMT1A.pdf</t>
  </si>
  <si>
    <t>Melting_Curves/meltCurve_P12755_SKI.pdf</t>
  </si>
  <si>
    <t>Melting_Curves/meltCurve_P12814_2_ACTN1.pdf</t>
  </si>
  <si>
    <t>Melting_Curves/meltCurve_P12829_MYL4.pdf</t>
  </si>
  <si>
    <t>Melting_Curves/meltCurve_P12882_MYH1.pdf</t>
  </si>
  <si>
    <t>Melting_Curves/meltCurve_P12931_SRC.pdf</t>
  </si>
  <si>
    <t>Melting_Curves/meltCurve_P12956_XRCC6.pdf</t>
  </si>
  <si>
    <t>Melting_Curves/meltCurve_P13010_XRCC5.pdf</t>
  </si>
  <si>
    <t>Melting_Curves/meltCurve_P13056_NR2C1.pdf</t>
  </si>
  <si>
    <t>Melting_Curves/meltCurve_P13073_COX4I1.pdf</t>
  </si>
  <si>
    <t>Melting_Curves/meltCurve_P13196_ALAS1.pdf</t>
  </si>
  <si>
    <t>Melting_Curves/meltCurve_P13224_GP1BB.pdf</t>
  </si>
  <si>
    <t>Melting_Curves/meltCurve_P13284_IFI30.pdf</t>
  </si>
  <si>
    <t>Melting_Curves/meltCurve_P13473_2_LAMP2.pdf</t>
  </si>
  <si>
    <t>Melting_Curves/meltCurve_P13489_RNH1.pdf</t>
  </si>
  <si>
    <t>Melting_Curves/meltCurve_P13498_CYBA.pdf</t>
  </si>
  <si>
    <t>Melting_Curves/meltCurve_P13533_MYH6.pdf</t>
  </si>
  <si>
    <t>Melting_Curves/meltCurve_P13639_EEF2.pdf</t>
  </si>
  <si>
    <t>Melting_Curves/meltCurve_P13667_PDIA4.pdf</t>
  </si>
  <si>
    <t>Melting_Curves/meltCurve_P13674_2_P4HA1.pdf</t>
  </si>
  <si>
    <t>Melting_Curves/meltCurve_P13693_TPT1.pdf</t>
  </si>
  <si>
    <t>Melting_Curves/meltCurve_P13796_LCP1.pdf</t>
  </si>
  <si>
    <t>Melting_Curves/meltCurve_P13804_ETFA.pdf</t>
  </si>
  <si>
    <t>Melting_Curves/meltCurve_P13861_PRKAR2A.pdf</t>
  </si>
  <si>
    <t>Melting_Curves/meltCurve_P13929_2_ENO3.pdf</t>
  </si>
  <si>
    <t>Melting_Curves/meltCurve_P13984_GTF2F2.pdf</t>
  </si>
  <si>
    <t>Melting_Curves/meltCurve_P14174_MIF.pdf</t>
  </si>
  <si>
    <t>Melting_Curves/meltCurve_P14209_3_CD99.pdf</t>
  </si>
  <si>
    <t>Melting_Curves/meltCurve_P14316_2_IRF2.pdf</t>
  </si>
  <si>
    <t>Melting_Curves/meltCurve_P14317_HCLS1.pdf</t>
  </si>
  <si>
    <t>Melting_Curves/meltCurve_P14324_2_FDPS.pdf</t>
  </si>
  <si>
    <t>Melting_Curves/meltCurve_P14415_ATP1B2.pdf</t>
  </si>
  <si>
    <t>Melting_Curves/meltCurve_P14550_AKR1A1.pdf</t>
  </si>
  <si>
    <t>Melting_Curves/meltCurve_P14618_PKM.pdf</t>
  </si>
  <si>
    <t>Melting_Curves/meltCurve_P14618_2_PKM.pdf</t>
  </si>
  <si>
    <t>Melting_Curves/meltCurve_P14625_HSP90B1.pdf</t>
  </si>
  <si>
    <t>Melting_Curves/meltCurve_P14635_CCNB1.pdf</t>
  </si>
  <si>
    <t>Melting_Curves/meltCurve_P14649_MYL6B.pdf</t>
  </si>
  <si>
    <t>Melting_Curves/meltCurve_P14678_2_SNRPB.pdf</t>
  </si>
  <si>
    <t>Melting_Curves/meltCurve_P14735_IDE.pdf</t>
  </si>
  <si>
    <t>Melting_Curves/meltCurve_P14854_COX6B1.pdf</t>
  </si>
  <si>
    <t>Melting_Curves/meltCurve_P14866_HNRNPL.pdf</t>
  </si>
  <si>
    <t>Melting_Curves/meltCurve_P14868_DARS.pdf</t>
  </si>
  <si>
    <t>Melting_Curves/meltCurve_P14923_JUP.pdf</t>
  </si>
  <si>
    <t>Melting_Curves/meltCurve_P14927_UQCRB.pdf</t>
  </si>
  <si>
    <t>Melting_Curves/meltCurve_P15056_BRAF.pdf</t>
  </si>
  <si>
    <t>Melting_Curves/meltCurve_P15104_GLUL.pdf</t>
  </si>
  <si>
    <t>Melting_Curves/meltCurve_P15121_AKR1B1.pdf</t>
  </si>
  <si>
    <t>Melting_Curves/meltCurve_P15151_3_PVR.pdf</t>
  </si>
  <si>
    <t>Melting_Curves/meltCurve_P15153_RAC2.pdf</t>
  </si>
  <si>
    <t>Melting_Curves/meltCurve_P15170_2_GSPT1.pdf</t>
  </si>
  <si>
    <t>Melting_Curves/meltCurve_P15289_2_ARSA.pdf</t>
  </si>
  <si>
    <t>Melting_Curves/meltCurve_P15291_2_B4GALT1.pdf</t>
  </si>
  <si>
    <t>Melting_Curves/meltCurve_P15311_EZR.pdf</t>
  </si>
  <si>
    <t>Melting_Curves/meltCurve_P15374_UCHL3.pdf</t>
  </si>
  <si>
    <t>Melting_Curves/meltCurve_P15407_FOSL1.pdf</t>
  </si>
  <si>
    <t>Melting_Curves/meltCurve_P15529_16_CD46.pdf</t>
  </si>
  <si>
    <t>Melting_Curves/meltCurve_P15531_NME1.pdf</t>
  </si>
  <si>
    <t>Melting_Curves/meltCurve_P15848_ARSB.pdf</t>
  </si>
  <si>
    <t>Melting_Curves/meltCurve_P15880_RPS2.pdf</t>
  </si>
  <si>
    <t>Melting_Curves/meltCurve_P15907_ST6GAL1.pdf</t>
  </si>
  <si>
    <t>Melting_Curves/meltCurve_P15923_TCF3.pdf</t>
  </si>
  <si>
    <t>Melting_Curves/meltCurve_P15923_2_TCF3.pdf</t>
  </si>
  <si>
    <t>Melting_Curves/meltCurve_P15927_RPA2.pdf</t>
  </si>
  <si>
    <t>Melting_Curves/meltCurve_P16150_SPN.pdf</t>
  </si>
  <si>
    <t>Melting_Curves/meltCurve_P16152_CBR1.pdf</t>
  </si>
  <si>
    <t>Melting_Curves/meltCurve_P16157_10_ANK1.pdf</t>
  </si>
  <si>
    <t>Melting_Curves/meltCurve_P16219_ACADS.pdf</t>
  </si>
  <si>
    <t>Melting_Curves/meltCurve_P16220_2_CREB1.pdf</t>
  </si>
  <si>
    <t>Melting_Curves/meltCurve_P16284_3_PECAM1.pdf</t>
  </si>
  <si>
    <t>Melting_Curves/meltCurve_P16298_PPP3CB.pdf</t>
  </si>
  <si>
    <t>Melting_Curves/meltCurve_P16333_NCK1.pdf</t>
  </si>
  <si>
    <t>Melting_Curves/meltCurve_P16383_GCFC2.pdf</t>
  </si>
  <si>
    <t>Melting_Curves/meltCurve_P16401_HIST1H1B.pdf</t>
  </si>
  <si>
    <t>Melting_Curves/meltCurve_P16435_POR.pdf</t>
  </si>
  <si>
    <t>Melting_Curves/meltCurve_P16591_3_FER.pdf</t>
  </si>
  <si>
    <t>Melting_Curves/meltCurve_P16615_ATP2A2.pdf</t>
  </si>
  <si>
    <t>Melting_Curves/meltCurve_P16930_FAH.pdf</t>
  </si>
  <si>
    <t>Melting_Curves/meltCurve_P16949_STMN1.pdf</t>
  </si>
  <si>
    <t>Melting_Curves/meltCurve_P16989_YBX3.pdf</t>
  </si>
  <si>
    <t>Melting_Curves/meltCurve_P17017_ZNF14.pdf</t>
  </si>
  <si>
    <t>Melting_Curves/meltCurve_P17028_ZNF24.pdf</t>
  </si>
  <si>
    <t>Melting_Curves/meltCurve_P17050_NAGA.pdf</t>
  </si>
  <si>
    <t>Melting_Curves/meltCurve_P17066_HSPA6.pdf</t>
  </si>
  <si>
    <t>Melting_Curves/meltCurve_P17096_2_HMGA1.pdf</t>
  </si>
  <si>
    <t>Melting_Curves/meltCurve_P17152_TMEM11.pdf</t>
  </si>
  <si>
    <t>Melting_Curves/meltCurve_P17174_GOT1.pdf</t>
  </si>
  <si>
    <t>Melting_Curves/meltCurve_P17252_PRKCA.pdf</t>
  </si>
  <si>
    <t>Melting_Curves/meltCurve_P17275_JUNB.pdf</t>
  </si>
  <si>
    <t>Melting_Curves/meltCurve_P17482_HOXB9.pdf</t>
  </si>
  <si>
    <t>Melting_Curves/meltCurve_P17483_HOXB4.pdf</t>
  </si>
  <si>
    <t>Melting_Curves/meltCurve_P17535_JUND.pdf</t>
  </si>
  <si>
    <t>Melting_Curves/meltCurve_P17544_4_ATF7.pdf</t>
  </si>
  <si>
    <t>Melting_Curves/meltCurve_P17568_NDUFB7.pdf</t>
  </si>
  <si>
    <t>Melting_Curves/meltCurve_P17612_PRKACA.pdf</t>
  </si>
  <si>
    <t>Melting_Curves/meltCurve_P17655_CAPN2.pdf</t>
  </si>
  <si>
    <t>Melting_Curves/meltCurve_P17676_CEBPB.pdf</t>
  </si>
  <si>
    <t>Melting_Curves/meltCurve_P17706_2_PTPN2.pdf</t>
  </si>
  <si>
    <t>Melting_Curves/meltCurve_P17812_CTPS1.pdf</t>
  </si>
  <si>
    <t>Melting_Curves/meltCurve_P17844_DDX5.pdf</t>
  </si>
  <si>
    <t>Melting_Curves/meltCurve_P17858_PFKL.pdf</t>
  </si>
  <si>
    <t>Melting_Curves/meltCurve_P17987_TCP1.pdf</t>
  </si>
  <si>
    <t>Melting_Curves/meltCurve_P18031_PTPN1.pdf</t>
  </si>
  <si>
    <t>Melting_Curves/meltCurve_P18074_ERCC2.pdf</t>
  </si>
  <si>
    <t>Melting_Curves/meltCurve_P18084_ITGB5.pdf</t>
  </si>
  <si>
    <t>Melting_Curves/meltCurve_P18085_ARF4.pdf</t>
  </si>
  <si>
    <t>Melting_Curves/meltCurve_P18124_RPL7.pdf</t>
  </si>
  <si>
    <t>Melting_Curves/meltCurve_P18146_EGR1.pdf</t>
  </si>
  <si>
    <t>Melting_Curves/meltCurve_P18206_2_VCL.pdf</t>
  </si>
  <si>
    <t>Melting_Curves/meltCurve_P18583_6_SON.pdf</t>
  </si>
  <si>
    <t>Melting_Curves/meltCurve_P18615_NELFE.pdf</t>
  </si>
  <si>
    <t>Melting_Curves/meltCurve_P18669_PGAM1.pdf</t>
  </si>
  <si>
    <t>Melting_Curves/meltCurve_P18754_2_RCC1.pdf</t>
  </si>
  <si>
    <t>Melting_Curves/meltCurve_P18846_ATF1.pdf</t>
  </si>
  <si>
    <t>Melting_Curves/meltCurve_P18850_ATF6.pdf</t>
  </si>
  <si>
    <t>Melting_Curves/meltCurve_P18859_ATP5J.pdf</t>
  </si>
  <si>
    <t>Melting_Curves/meltCurve_P19174_2_PLCG1.pdf</t>
  </si>
  <si>
    <t>Melting_Curves/meltCurve_P19338_NCL.pdf</t>
  </si>
  <si>
    <t>Melting_Curves/meltCurve_P19367_2_HK1.pdf</t>
  </si>
  <si>
    <t>Melting_Curves/meltCurve_P19387_POLR2C.pdf</t>
  </si>
  <si>
    <t>Melting_Curves/meltCurve_P19388_POLR2E.pdf</t>
  </si>
  <si>
    <t>Melting_Curves/meltCurve_P19419_ELK1.pdf</t>
  </si>
  <si>
    <t>Melting_Curves/meltCurve_P19447_ERCC3.pdf</t>
  </si>
  <si>
    <t>Melting_Curves/meltCurve_P19525_2_EIF2AK2.pdf</t>
  </si>
  <si>
    <t>Melting_Curves/meltCurve_P19532_TFE3.pdf</t>
  </si>
  <si>
    <t>Melting_Curves/meltCurve_P19623_SRM.pdf</t>
  </si>
  <si>
    <t>Melting_Curves/meltCurve_P19784_CSNK2A2.pdf</t>
  </si>
  <si>
    <t>Melting_Curves/meltCurve_P19838_NFKB1.pdf</t>
  </si>
  <si>
    <t>Melting_Curves/meltCurve_P20020_6_ATP2B1.pdf</t>
  </si>
  <si>
    <t>Melting_Curves/meltCurve_P20042_EIF2S2.pdf</t>
  </si>
  <si>
    <t>Melting_Curves/meltCurve_P20138_2_CD33.pdf</t>
  </si>
  <si>
    <t>Melting_Curves/meltCurve_P20248_CCNA2.pdf</t>
  </si>
  <si>
    <t>Melting_Curves/meltCurve_P20290_BTF3.pdf</t>
  </si>
  <si>
    <t>Melting_Curves/meltCurve_P20290_2_BTF3.pdf</t>
  </si>
  <si>
    <t>Melting_Curves/meltCurve_P20333_TNFRSF1B.pdf</t>
  </si>
  <si>
    <t>Melting_Curves/meltCurve_P20336_RAB3A.pdf</t>
  </si>
  <si>
    <t>Melting_Curves/meltCurve_P20338_RAB4A.pdf</t>
  </si>
  <si>
    <t>Melting_Curves/meltCurve_P20340_RAB6A.pdf</t>
  </si>
  <si>
    <t>Melting_Curves/meltCurve_P20340_2_RAB6A.pdf</t>
  </si>
  <si>
    <t>Melting_Curves/meltCurve_P20585_MSH3.pdf</t>
  </si>
  <si>
    <t>Melting_Curves/meltCurve_P20618_PSMB1.pdf</t>
  </si>
  <si>
    <t>Melting_Curves/meltCurve_P20645_M6PR.pdf</t>
  </si>
  <si>
    <t>Melting_Curves/meltCurve_P20674_COX5A.pdf</t>
  </si>
  <si>
    <t>Melting_Curves/meltCurve_P20700_LMNB1.pdf</t>
  </si>
  <si>
    <t>Melting_Curves/meltCurve_P20933_AGA.pdf</t>
  </si>
  <si>
    <t>Melting_Curves/meltCurve_P20962_PTMS.pdf</t>
  </si>
  <si>
    <t>Melting_Curves/meltCurve_P21127_8_CDK11B.pdf</t>
  </si>
  <si>
    <t>Melting_Curves/meltCurve_P21281_ATP6V1B2.pdf</t>
  </si>
  <si>
    <t>Melting_Curves/meltCurve_P21283_ATP6V1C1.pdf</t>
  </si>
  <si>
    <t>Melting_Curves/meltCurve_P21291_CSRP1.pdf</t>
  </si>
  <si>
    <t>Melting_Curves/meltCurve_P21333_2_FLNA.pdf</t>
  </si>
  <si>
    <t>Melting_Curves/meltCurve_P21399_ACO1.pdf</t>
  </si>
  <si>
    <t>Melting_Curves/meltCurve_P21580_TNFAIP3.pdf</t>
  </si>
  <si>
    <t>Melting_Curves/meltCurve_P21695_2_GPD1.pdf</t>
  </si>
  <si>
    <t>Melting_Curves/meltCurve_P21731_TBXA2R.pdf</t>
  </si>
  <si>
    <t>Melting_Curves/meltCurve_P21796_VDAC1.pdf</t>
  </si>
  <si>
    <t>Melting_Curves/meltCurve_P21912_SDHB.pdf</t>
  </si>
  <si>
    <t>Melting_Curves/meltCurve_P21964_2_COMT.pdf</t>
  </si>
  <si>
    <t>Melting_Curves/meltCurve_P21980_TGM2.pdf</t>
  </si>
  <si>
    <t>Melting_Curves/meltCurve_P22033_MUT.pdf</t>
  </si>
  <si>
    <t>Melting_Curves/meltCurve_P22059_OSBP.pdf</t>
  </si>
  <si>
    <t>Melting_Curves/meltCurve_P22102_GART.pdf</t>
  </si>
  <si>
    <t>Melting_Curves/meltCurve_P22234_PAICS.pdf</t>
  </si>
  <si>
    <t>Melting_Curves/meltCurve_P22307_SCP2.pdf</t>
  </si>
  <si>
    <t>Melting_Curves/meltCurve_P22307_2_SCP2.pdf</t>
  </si>
  <si>
    <t>Melting_Curves/meltCurve_P22314_UBA1.pdf</t>
  </si>
  <si>
    <t>Melting_Curves/meltCurve_P22466_GAL.pdf</t>
  </si>
  <si>
    <t>Melting_Curves/meltCurve_P22532_SPRR2D.pdf</t>
  </si>
  <si>
    <t>Melting_Curves/meltCurve_P22570_FDXR.pdf</t>
  </si>
  <si>
    <t>Melting_Curves/meltCurve_P22626_2_HNRNPA2B1.pdf</t>
  </si>
  <si>
    <t>Melting_Curves/meltCurve_P22670_RFX1.pdf</t>
  </si>
  <si>
    <t>Melting_Curves/meltCurve_P22681_CBL.pdf</t>
  </si>
  <si>
    <t>Melting_Curves/meltCurve_P22692_IGFBP4.pdf</t>
  </si>
  <si>
    <t>Melting_Curves/meltCurve_P22695_UQCRC2.pdf</t>
  </si>
  <si>
    <t>Melting_Curves/meltCurve_P22830_FECH.pdf</t>
  </si>
  <si>
    <t>Melting_Curves/meltCurve_P23025_XPA.pdf</t>
  </si>
  <si>
    <t>Melting_Curves/meltCurve_P23193_TCEA1.pdf</t>
  </si>
  <si>
    <t>Melting_Curves/meltCurve_P23246_SFPQ.pdf</t>
  </si>
  <si>
    <t>Melting_Curves/meltCurve_P23258_TUBG1.pdf</t>
  </si>
  <si>
    <t>Melting_Curves/meltCurve_P23284_PPIB.pdf</t>
  </si>
  <si>
    <t>Melting_Curves/meltCurve_P23368_ME2.pdf</t>
  </si>
  <si>
    <t>Melting_Curves/meltCurve_P23381_WARS.pdf</t>
  </si>
  <si>
    <t>Melting_Curves/meltCurve_P23396_RPS3.pdf</t>
  </si>
  <si>
    <t>Melting_Curves/meltCurve_P23434_GCSH.pdf</t>
  </si>
  <si>
    <t>Melting_Curves/meltCurve_P23497_SP100.pdf</t>
  </si>
  <si>
    <t>Melting_Curves/meltCurve_P23511_2_NFYA.pdf</t>
  </si>
  <si>
    <t>Melting_Curves/meltCurve_P23526_AHCY.pdf</t>
  </si>
  <si>
    <t>Melting_Curves/meltCurve_P23528_CFL1.pdf</t>
  </si>
  <si>
    <t>Melting_Curves/meltCurve_P23634_7_ATP2B4.pdf</t>
  </si>
  <si>
    <t>Melting_Curves/meltCurve_P23677_ITPKA.pdf</t>
  </si>
  <si>
    <t>Melting_Curves/meltCurve_P23743_DGKA.pdf</t>
  </si>
  <si>
    <t>Melting_Curves/meltCurve_P23786_CPT2.pdf</t>
  </si>
  <si>
    <t>Melting_Curves/meltCurve_P23919_DTYMK.pdf</t>
  </si>
  <si>
    <t>Melting_Curves/meltCurve_P23921_RRM1.pdf</t>
  </si>
  <si>
    <t>Melting_Curves/meltCurve_P24468_NR2F2.pdf</t>
  </si>
  <si>
    <t>Melting_Curves/meltCurve_P24534_EEF1B2.pdf</t>
  </si>
  <si>
    <t>Melting_Curves/meltCurve_P24666_ACP1.pdf</t>
  </si>
  <si>
    <t>Melting_Curves/meltCurve_P24666_2_ACP1.pdf</t>
  </si>
  <si>
    <t>Melting_Curves/meltCurve_P24752_ACAT1.pdf</t>
  </si>
  <si>
    <t>Melting_Curves/meltCurve_P24928_POLR2A.pdf</t>
  </si>
  <si>
    <t>Melting_Curves/meltCurve_P25098_ADRBK1.pdf</t>
  </si>
  <si>
    <t>Melting_Curves/meltCurve_P25116_F2R.pdf</t>
  </si>
  <si>
    <t>Melting_Curves/meltCurve_P25205_MCM3.pdf</t>
  </si>
  <si>
    <t>Melting_Curves/meltCurve_P25398_RPS12.pdf</t>
  </si>
  <si>
    <t>Melting_Curves/meltCurve_P25490_YY1.pdf</t>
  </si>
  <si>
    <t>Melting_Curves/meltCurve_P25685_DNAJB1.pdf</t>
  </si>
  <si>
    <t>Melting_Curves/meltCurve_P25705_ATP5A1.pdf</t>
  </si>
  <si>
    <t>Melting_Curves/meltCurve_P25774_2_CTSS.pdf</t>
  </si>
  <si>
    <t>Melting_Curves/meltCurve_P25786_PSMA1.pdf</t>
  </si>
  <si>
    <t>Melting_Curves/meltCurve_P25787_PSMA2.pdf</t>
  </si>
  <si>
    <t>Melting_Curves/meltCurve_P25788_2_PSMA3.pdf</t>
  </si>
  <si>
    <t>Melting_Curves/meltCurve_P25789_PSMA4.pdf</t>
  </si>
  <si>
    <t>Melting_Curves/meltCurve_P25791_LMO2.pdf</t>
  </si>
  <si>
    <t>Melting_Curves/meltCurve_P25815_S100P.pdf</t>
  </si>
  <si>
    <t>Melting_Curves/meltCurve_P26038_MSN.pdf</t>
  </si>
  <si>
    <t>Melting_Curves/meltCurve_P26196_DDX6.pdf</t>
  </si>
  <si>
    <t>Melting_Curves/meltCurve_P26358_DNMT1.pdf</t>
  </si>
  <si>
    <t>Melting_Curves/meltCurve_P26358_2_DNMT1.pdf</t>
  </si>
  <si>
    <t>Melting_Curves/meltCurve_P26368_2_U2AF2.pdf</t>
  </si>
  <si>
    <t>Melting_Curves/meltCurve_P26373_RPL13.pdf</t>
  </si>
  <si>
    <t>Melting_Curves/meltCurve_P26374_CHML.pdf</t>
  </si>
  <si>
    <t>Melting_Curves/meltCurve_P26447_S100A4.pdf</t>
  </si>
  <si>
    <t>Melting_Curves/meltCurve_P26572_MGAT1.pdf</t>
  </si>
  <si>
    <t>Melting_Curves/meltCurve_P26583_HMGB2.pdf</t>
  </si>
  <si>
    <t>Melting_Curves/meltCurve_P26599_PTBP1.pdf</t>
  </si>
  <si>
    <t>Melting_Curves/meltCurve_P26639_TARS.pdf</t>
  </si>
  <si>
    <t>Melting_Curves/meltCurve_P26640_VARS.pdf</t>
  </si>
  <si>
    <t>Melting_Curves/meltCurve_P26641_EEF1G.pdf</t>
  </si>
  <si>
    <t>Melting_Curves/meltCurve_P26885_FKBP2.pdf</t>
  </si>
  <si>
    <t>Melting_Curves/meltCurve_P27144_AK4.pdf</t>
  </si>
  <si>
    <t>Melting_Curves/meltCurve_P27348_YWHAQ.pdf</t>
  </si>
  <si>
    <t>Melting_Curves/meltCurve_P27361_MAPK3.pdf</t>
  </si>
  <si>
    <t>Melting_Curves/meltCurve_P27540_2_ARNT.pdf</t>
  </si>
  <si>
    <t>Melting_Curves/meltCurve_P27635_RPL10.pdf</t>
  </si>
  <si>
    <t>Melting_Curves/meltCurve_P27694_RPA1.pdf</t>
  </si>
  <si>
    <t>Melting_Curves/meltCurve_P27695_APEX1.pdf</t>
  </si>
  <si>
    <t>Melting_Curves/meltCurve_P27797_CALR.pdf</t>
  </si>
  <si>
    <t>Melting_Curves/meltCurve_P27815_6_PDE4A.pdf</t>
  </si>
  <si>
    <t>Melting_Curves/meltCurve_P27816_5_MAP4.pdf</t>
  </si>
  <si>
    <t>Melting_Curves/meltCurve_P27824_CANX.pdf</t>
  </si>
  <si>
    <t>Melting_Curves/meltCurve_P27986_PIK3R1.pdf</t>
  </si>
  <si>
    <t>Melting_Curves/meltCurve_P28065_PSMB9.pdf</t>
  </si>
  <si>
    <t>Melting_Curves/meltCurve_P28066_PSMA5.pdf</t>
  </si>
  <si>
    <t>Melting_Curves/meltCurve_P28070_PSMB4.pdf</t>
  </si>
  <si>
    <t>Melting_Curves/meltCurve_P28072_PSMB6.pdf</t>
  </si>
  <si>
    <t>Melting_Curves/meltCurve_P28074_PSMB5.pdf</t>
  </si>
  <si>
    <t>Melting_Curves/meltCurve_P28289_TMOD1.pdf</t>
  </si>
  <si>
    <t>Melting_Curves/meltCurve_P28331_NDUFS1.pdf</t>
  </si>
  <si>
    <t>Melting_Curves/meltCurve_P28482_MAPK1.pdf</t>
  </si>
  <si>
    <t>Melting_Curves/meltCurve_P28702_RXRB.pdf</t>
  </si>
  <si>
    <t>Melting_Curves/meltCurve_P28715_ERCC5.pdf</t>
  </si>
  <si>
    <t>Melting_Curves/meltCurve_P28799_GRN.pdf</t>
  </si>
  <si>
    <t>Melting_Curves/meltCurve_P28838_2_LAP3.pdf</t>
  </si>
  <si>
    <t>Melting_Curves/meltCurve_P28908_TNFRSF8.pdf</t>
  </si>
  <si>
    <t>Melting_Curves/meltCurve_P29083_GTF2E1.pdf</t>
  </si>
  <si>
    <t>Melting_Curves/meltCurve_P29084_GTF2E2.pdf</t>
  </si>
  <si>
    <t>Melting_Curves/meltCurve_P29218_IMPA1.pdf</t>
  </si>
  <si>
    <t>Melting_Curves/meltCurve_P29350_PTPN6.pdf</t>
  </si>
  <si>
    <t>Melting_Curves/meltCurve_P29353_7_SHC1.pdf</t>
  </si>
  <si>
    <t>Melting_Curves/meltCurve_P29372_5_MPG.pdf</t>
  </si>
  <si>
    <t>Melting_Curves/meltCurve_P29373_CRABP2.pdf</t>
  </si>
  <si>
    <t>Melting_Curves/meltCurve_P29401_TKT.pdf</t>
  </si>
  <si>
    <t>Melting_Curves/meltCurve_P29590_2_PML.pdf</t>
  </si>
  <si>
    <t>Melting_Curves/meltCurve_P29692_3_EEF1D.pdf</t>
  </si>
  <si>
    <t>Melting_Curves/meltCurve_P29966_MARCKS.pdf</t>
  </si>
  <si>
    <t>Melting_Curves/meltCurve_P29992_GNA11.pdf</t>
  </si>
  <si>
    <t>Melting_Curves/meltCurve_P30038_ALDH4A1.pdf</t>
  </si>
  <si>
    <t>Melting_Curves/meltCurve_P30040_ERP29.pdf</t>
  </si>
  <si>
    <t>Melting_Curves/meltCurve_P30041_PRDX6.pdf</t>
  </si>
  <si>
    <t>Melting_Curves/meltCurve_P30042_C21orf33.pdf</t>
  </si>
  <si>
    <t>Melting_Curves/meltCurve_P30043_BLVRB.pdf</t>
  </si>
  <si>
    <t>Melting_Curves/meltCurve_P30044_2_PRDX5.pdf</t>
  </si>
  <si>
    <t>Melting_Curves/meltCurve_P30046_DDT.pdf</t>
  </si>
  <si>
    <t>Melting_Curves/meltCurve_P30049_ATP5D.pdf</t>
  </si>
  <si>
    <t>Melting_Curves/meltCurve_P30050_RPL12.pdf</t>
  </si>
  <si>
    <t>Melting_Curves/meltCurve_P30084_ECHS1.pdf</t>
  </si>
  <si>
    <t>Melting_Curves/meltCurve_P30085_CMPK1.pdf</t>
  </si>
  <si>
    <t>Melting_Curves/meltCurve_P30086_PEBP1.pdf</t>
  </si>
  <si>
    <t>Melting_Curves/meltCurve_P30153_PPP2R1A.pdf</t>
  </si>
  <si>
    <t>Melting_Curves/meltCurve_P30154_PPP2R1B.pdf</t>
  </si>
  <si>
    <t>Melting_Curves/meltCurve_P30260_CDC27.pdf</t>
  </si>
  <si>
    <t>Melting_Curves/meltCurve_P30291_WEE1.pdf</t>
  </si>
  <si>
    <t>Melting_Curves/meltCurve_P30307_CDC25C.pdf</t>
  </si>
  <si>
    <t>Melting_Curves/meltCurve_P30405_PPIF.pdf</t>
  </si>
  <si>
    <t>Melting_Curves/meltCurve_P30419_NMT1.pdf</t>
  </si>
  <si>
    <t>Melting_Curves/meltCurve_P30519_HMOX2.pdf</t>
  </si>
  <si>
    <t>Melting_Curves/meltCurve_P30520_ADSS.pdf</t>
  </si>
  <si>
    <t>Melting_Curves/meltCurve_P30533_LRPAP1.pdf</t>
  </si>
  <si>
    <t>Melting_Curves/meltCurve_P30566_ADSL.pdf</t>
  </si>
  <si>
    <t>Melting_Curves/meltCurve_P30613_PKLR.pdf</t>
  </si>
  <si>
    <t>Melting_Curves/meltCurve_P30622_1_CLIP1.pdf</t>
  </si>
  <si>
    <t>Melting_Curves/meltCurve_P30711_GSTT1.pdf</t>
  </si>
  <si>
    <t>Melting_Curves/meltCurve_P30740_SERPINB1.pdf</t>
  </si>
  <si>
    <t>Melting_Curves/meltCurve_P30825_SLC7A1.pdf</t>
  </si>
  <si>
    <t>Melting_Curves/meltCurve_P30837_ALDH1B1.pdf</t>
  </si>
  <si>
    <t>Melting_Curves/meltCurve_P31040_SDHA.pdf</t>
  </si>
  <si>
    <t>Melting_Curves/meltCurve_P31146_CORO1A.pdf</t>
  </si>
  <si>
    <t>Melting_Curves/meltCurve_P31150_GDI1.pdf</t>
  </si>
  <si>
    <t>Melting_Curves/meltCurve_P31153_MAT2A.pdf</t>
  </si>
  <si>
    <t>Melting_Curves/meltCurve_P31321_PRKAR1B.pdf</t>
  </si>
  <si>
    <t>Melting_Curves/meltCurve_P31323_PRKAR2B.pdf</t>
  </si>
  <si>
    <t>Melting_Curves/meltCurve_P31350_RRM2.pdf</t>
  </si>
  <si>
    <t>Melting_Curves/meltCurve_P31689_DNAJA1.pdf</t>
  </si>
  <si>
    <t>Melting_Curves/meltCurve_P31749_AKT1.pdf</t>
  </si>
  <si>
    <t>Melting_Curves/meltCurve_P31751_AKT2.pdf</t>
  </si>
  <si>
    <t>Melting_Curves/meltCurve_P31930_UQCRC1.pdf</t>
  </si>
  <si>
    <t>Melting_Curves/meltCurve_P31937_HIBADH.pdf</t>
  </si>
  <si>
    <t>Melting_Curves/meltCurve_P31939_ATIC.pdf</t>
  </si>
  <si>
    <t>Melting_Curves/meltCurve_P31942_2_HNRNPH3.pdf</t>
  </si>
  <si>
    <t>Melting_Curves/meltCurve_P31946_YWHAB.pdf</t>
  </si>
  <si>
    <t>Melting_Curves/meltCurve_P31947_2_SFN.pdf</t>
  </si>
  <si>
    <t>Melting_Curves/meltCurve_P31948_STIP1.pdf</t>
  </si>
  <si>
    <t>Melting_Curves/meltCurve_P31949_S100A11.pdf</t>
  </si>
  <si>
    <t>Melting_Curves/meltCurve_P32019_2_INPP5B.pdf</t>
  </si>
  <si>
    <t>Melting_Curves/meltCurve_P32119_PRDX2.pdf</t>
  </si>
  <si>
    <t>Melting_Curves/meltCurve_P32121_5_ARRB2.pdf</t>
  </si>
  <si>
    <t>Melting_Curves/meltCurve_P32189_1_GK.pdf</t>
  </si>
  <si>
    <t>Melting_Curves/meltCurve_P32321_DCTD.pdf</t>
  </si>
  <si>
    <t>Melting_Curves/meltCurve_P32322_PYCR1.pdf</t>
  </si>
  <si>
    <t>Melting_Curves/meltCurve_P32519_2_ELF1.pdf</t>
  </si>
  <si>
    <t>Melting_Curves/meltCurve_P32780_GTF2H1.pdf</t>
  </si>
  <si>
    <t>Melting_Curves/meltCurve_P32856_3_STX2.pdf</t>
  </si>
  <si>
    <t>Melting_Curves/meltCurve_P32929_CTH.pdf</t>
  </si>
  <si>
    <t>Melting_Curves/meltCurve_P32969_RPL9.pdf</t>
  </si>
  <si>
    <t>Melting_Curves/meltCurve_P33121_2_ACSL1.pdf</t>
  </si>
  <si>
    <t>Melting_Curves/meltCurve_P33176_KIF5B.pdf</t>
  </si>
  <si>
    <t>Melting_Curves/meltCurve_P33240_2_CSTF2.pdf</t>
  </si>
  <si>
    <t>Melting_Curves/meltCurve_P33316_DUT.pdf</t>
  </si>
  <si>
    <t>Melting_Curves/meltCurve_P33316_2_DUT.pdf</t>
  </si>
  <si>
    <t>Melting_Curves/meltCurve_P33552_CKS2.pdf</t>
  </si>
  <si>
    <t>Melting_Curves/meltCurve_P33908_MAN1A1.pdf</t>
  </si>
  <si>
    <t>Melting_Curves/meltCurve_P33981_2_TTK.pdf</t>
  </si>
  <si>
    <t>Melting_Curves/meltCurve_P33991_MCM4.pdf</t>
  </si>
  <si>
    <t>Melting_Curves/meltCurve_P33992_MCM5.pdf</t>
  </si>
  <si>
    <t>Melting_Curves/meltCurve_P33993_MCM7.pdf</t>
  </si>
  <si>
    <t>Melting_Curves/meltCurve_P34059_GALNS.pdf</t>
  </si>
  <si>
    <t>Melting_Curves/meltCurve_P34896_2_SHMT1.pdf</t>
  </si>
  <si>
    <t>Melting_Curves/meltCurve_P34897_3_SHMT2.pdf</t>
  </si>
  <si>
    <t>Melting_Curves/meltCurve_P34913_EPHX2.pdf</t>
  </si>
  <si>
    <t>Melting_Curves/meltCurve_P34931_HSPA1L.pdf</t>
  </si>
  <si>
    <t>Melting_Curves/meltCurve_P34932_HSPA4.pdf</t>
  </si>
  <si>
    <t>Melting_Curves/meltCurve_P35219_CA8.pdf</t>
  </si>
  <si>
    <t>Melting_Curves/meltCurve_P35221_CTNNA1.pdf</t>
  </si>
  <si>
    <t>Melting_Curves/meltCurve_P35232_PHB.pdf</t>
  </si>
  <si>
    <t>Melting_Curves/meltCurve_P35237_SERPINB6.pdf</t>
  </si>
  <si>
    <t>Melting_Curves/meltCurve_P35240_4_NF2.pdf</t>
  </si>
  <si>
    <t>Melting_Curves/meltCurve_P35241_RDX.pdf</t>
  </si>
  <si>
    <t>Melting_Curves/meltCurve_P35244_RPA3.pdf</t>
  </si>
  <si>
    <t>Melting_Curves/meltCurve_P35249_RFC4.pdf</t>
  </si>
  <si>
    <t>Melting_Curves/meltCurve_P35250_RFC2.pdf</t>
  </si>
  <si>
    <t>Melting_Curves/meltCurve_P35251_2_RFC1.pdf</t>
  </si>
  <si>
    <t>Melting_Curves/meltCurve_P35268_RPL22.pdf</t>
  </si>
  <si>
    <t>Melting_Curves/meltCurve_P35269_GTF2F1.pdf</t>
  </si>
  <si>
    <t>Melting_Curves/meltCurve_P35270_SPR.pdf</t>
  </si>
  <si>
    <t>Melting_Curves/meltCurve_P35520_CBS.pdf</t>
  </si>
  <si>
    <t>Melting_Curves/meltCurve_P35573_AGL.pdf</t>
  </si>
  <si>
    <t>Melting_Curves/meltCurve_P35579_MYH9.pdf</t>
  </si>
  <si>
    <t>Melting_Curves/meltCurve_P35580_MYH10.pdf</t>
  </si>
  <si>
    <t>Melting_Curves/meltCurve_P35606_COPB2.pdf</t>
  </si>
  <si>
    <t>Melting_Curves/meltCurve_P35612_ADD2.pdf</t>
  </si>
  <si>
    <t>Melting_Curves/meltCurve_P35613_2_BSG.pdf</t>
  </si>
  <si>
    <t>Melting_Curves/meltCurve_P35637_2_FUS.pdf</t>
  </si>
  <si>
    <t>Melting_Curves/meltCurve_P35658_2_NUP214.pdf</t>
  </si>
  <si>
    <t>Melting_Curves/meltCurve_P35659_DEK.pdf</t>
  </si>
  <si>
    <t>Melting_Curves/meltCurve_P35749_4_MYH11.pdf</t>
  </si>
  <si>
    <t>Melting_Curves/meltCurve_P35754_GLRX.pdf</t>
  </si>
  <si>
    <t>Melting_Curves/meltCurve_P35790_2_CHKA.pdf</t>
  </si>
  <si>
    <t>Melting_Curves/meltCurve_P35813_PPM1A.pdf</t>
  </si>
  <si>
    <t>Melting_Curves/meltCurve_P35998_PSMC2.pdf</t>
  </si>
  <si>
    <t>Melting_Curves/meltCurve_P36404_ARL2.pdf</t>
  </si>
  <si>
    <t>Melting_Curves/meltCurve_P36405_ARL3.pdf</t>
  </si>
  <si>
    <t>Melting_Curves/meltCurve_P36406_3_TRIM23.pdf</t>
  </si>
  <si>
    <t>Melting_Curves/meltCurve_P36507_MAP2K2.pdf</t>
  </si>
  <si>
    <t>Melting_Curves/meltCurve_P36542_ATP5C1.pdf</t>
  </si>
  <si>
    <t>Melting_Curves/meltCurve_P36543_ATP6V1E1.pdf</t>
  </si>
  <si>
    <t>Melting_Curves/meltCurve_P36551_CPOX.pdf</t>
  </si>
  <si>
    <t>Melting_Curves/meltCurve_P36578_RPL4.pdf</t>
  </si>
  <si>
    <t>Melting_Curves/meltCurve_P36639_4_NUDT1.pdf</t>
  </si>
  <si>
    <t>Melting_Curves/meltCurve_P36915_GNL1.pdf</t>
  </si>
  <si>
    <t>Melting_Curves/meltCurve_P36954_POLR2I.pdf</t>
  </si>
  <si>
    <t>Melting_Curves/meltCurve_P36957_DLST.pdf</t>
  </si>
  <si>
    <t>Melting_Curves/meltCurve_P36959_GMPR.pdf</t>
  </si>
  <si>
    <t>Melting_Curves/meltCurve_P36969_2_GPX4.pdf</t>
  </si>
  <si>
    <t>Melting_Curves/meltCurve_P37108_SRP14.pdf</t>
  </si>
  <si>
    <t>Melting_Curves/meltCurve_P37198_NUP62.pdf</t>
  </si>
  <si>
    <t>Melting_Curves/meltCurve_P37235_HPCAL1.pdf</t>
  </si>
  <si>
    <t>Melting_Curves/meltCurve_P37268_FDFT1.pdf</t>
  </si>
  <si>
    <t>Melting_Curves/meltCurve_P37287_3_PIGA.pdf</t>
  </si>
  <si>
    <t>Melting_Curves/meltCurve_P37802_TAGLN2.pdf</t>
  </si>
  <si>
    <t>Melting_Curves/meltCurve_P37837_TALDO1.pdf</t>
  </si>
  <si>
    <t>Melting_Curves/meltCurve_P38117_ETFB.pdf</t>
  </si>
  <si>
    <t>Melting_Curves/meltCurve_P38159_RBMX.pdf</t>
  </si>
  <si>
    <t>Melting_Curves/meltCurve_P38432_COIL.pdf</t>
  </si>
  <si>
    <t>Melting_Curves/meltCurve_P38435_GGCX.pdf</t>
  </si>
  <si>
    <t>Melting_Curves/meltCurve_P38606_ATP6V1A.pdf</t>
  </si>
  <si>
    <t>Melting_Curves/meltCurve_P38646_HSPA9.pdf</t>
  </si>
  <si>
    <t>Melting_Curves/meltCurve_P38919_EIF4A3.pdf</t>
  </si>
  <si>
    <t>Melting_Curves/meltCurve_P38935_IGHMBP2.pdf</t>
  </si>
  <si>
    <t>Melting_Curves/meltCurve_P39019_RPS19.pdf</t>
  </si>
  <si>
    <t>Melting_Curves/meltCurve_P39023_RPL3.pdf</t>
  </si>
  <si>
    <t>Melting_Curves/meltCurve_P39060_2_COL18A1.pdf</t>
  </si>
  <si>
    <t>Melting_Curves/meltCurve_P39656_DDOST.pdf</t>
  </si>
  <si>
    <t>Melting_Curves/meltCurve_P39687_ANP32A.pdf</t>
  </si>
  <si>
    <t>Melting_Curves/meltCurve_P39748_FEN1.pdf</t>
  </si>
  <si>
    <t>Melting_Curves/meltCurve_P39880_2_CUX1.pdf</t>
  </si>
  <si>
    <t>Melting_Curves/meltCurve_P40121_CAPG.pdf</t>
  </si>
  <si>
    <t>Melting_Curves/meltCurve_P40222_TXLNA.pdf</t>
  </si>
  <si>
    <t>Melting_Curves/meltCurve_P40227_CCT6A.pdf</t>
  </si>
  <si>
    <t>Melting_Curves/meltCurve_P40261_NNMT.pdf</t>
  </si>
  <si>
    <t>Melting_Curves/meltCurve_P40337_3_VHL.pdf</t>
  </si>
  <si>
    <t>Melting_Curves/meltCurve_P40425_PBX2.pdf</t>
  </si>
  <si>
    <t>Melting_Curves/meltCurve_P40692_MLH1.pdf</t>
  </si>
  <si>
    <t>Melting_Curves/meltCurve_P40763_STAT3.pdf</t>
  </si>
  <si>
    <t>Melting_Curves/meltCurve_P40763_2_STAT3.pdf</t>
  </si>
  <si>
    <t>Melting_Curves/meltCurve_P40818_USP8.pdf</t>
  </si>
  <si>
    <t>Melting_Curves/meltCurve_P40925_MDH1.pdf</t>
  </si>
  <si>
    <t>Melting_Curves/meltCurve_P40926_MDH2.pdf</t>
  </si>
  <si>
    <t>Melting_Curves/meltCurve_P40937_RFC5.pdf</t>
  </si>
  <si>
    <t>Melting_Curves/meltCurve_P40938_RFC3.pdf</t>
  </si>
  <si>
    <t>Melting_Curves/meltCurve_P40939_HADHA.pdf</t>
  </si>
  <si>
    <t>Melting_Curves/meltCurve_P41091_EIF2S3.pdf</t>
  </si>
  <si>
    <t>Melting_Curves/meltCurve_P41134_2_ID1.pdf</t>
  </si>
  <si>
    <t>Melting_Curves/meltCurve_P41208_CETN2.pdf</t>
  </si>
  <si>
    <t>Melting_Curves/meltCurve_P41214_EIF2D.pdf</t>
  </si>
  <si>
    <t>Melting_Curves/meltCurve_P41223_BUD31.pdf</t>
  </si>
  <si>
    <t>Melting_Curves/meltCurve_P41227_NAA10.pdf</t>
  </si>
  <si>
    <t>Melting_Curves/meltCurve_P41229_2_KDM5C.pdf</t>
  </si>
  <si>
    <t>Melting_Curves/meltCurve_P41236_PPP1R2.pdf</t>
  </si>
  <si>
    <t>Melting_Curves/meltCurve_P41240_CSK.pdf</t>
  </si>
  <si>
    <t>Melting_Curves/meltCurve_P41247_PNPLA4.pdf</t>
  </si>
  <si>
    <t>Melting_Curves/meltCurve_P41250_GARS.pdf</t>
  </si>
  <si>
    <t>Melting_Curves/meltCurve_P41252_IARS.pdf</t>
  </si>
  <si>
    <t>Melting_Curves/meltCurve_P41440_SLC19A1.pdf</t>
  </si>
  <si>
    <t>Melting_Curves/meltCurve_P41567_EIF1.pdf</t>
  </si>
  <si>
    <t>Melting_Curves/meltCurve_P41743_PRKCI.pdf</t>
  </si>
  <si>
    <t>Melting_Curves/meltCurve_P42025_ACTR1B.pdf</t>
  </si>
  <si>
    <t>Melting_Curves/meltCurve_P42126_2_ECI1.pdf</t>
  </si>
  <si>
    <t>Melting_Curves/meltCurve_P42166_TMPO.pdf</t>
  </si>
  <si>
    <t>Melting_Curves/meltCurve_P42167_TMPO.pdf</t>
  </si>
  <si>
    <t>Melting_Curves/meltCurve_P42224_STAT1.pdf</t>
  </si>
  <si>
    <t>Melting_Curves/meltCurve_P42226_3_STAT6.pdf</t>
  </si>
  <si>
    <t>Melting_Curves/meltCurve_P42285_SKIV2L2.pdf</t>
  </si>
  <si>
    <t>Melting_Curves/meltCurve_P42330_AKR1C3.pdf</t>
  </si>
  <si>
    <t>Melting_Curves/meltCurve_P42336_PIK3CA.pdf</t>
  </si>
  <si>
    <t>Melting_Curves/meltCurve_P42338_PIK3CB.pdf</t>
  </si>
  <si>
    <t>Melting_Curves/meltCurve_P42345_MTOR.pdf</t>
  </si>
  <si>
    <t>Melting_Curves/meltCurve_P42566_EPS15.pdf</t>
  </si>
  <si>
    <t>Melting_Curves/meltCurve_P42574_CASP3.pdf</t>
  </si>
  <si>
    <t>Melting_Curves/meltCurve_P42575_CASP2.pdf</t>
  </si>
  <si>
    <t>Melting_Curves/meltCurve_P42677_RPS27.pdf</t>
  </si>
  <si>
    <t>Melting_Curves/meltCurve_P42680_TEC.pdf</t>
  </si>
  <si>
    <t>Melting_Curves/meltCurve_P42684_6_ABL2.pdf</t>
  </si>
  <si>
    <t>Melting_Curves/meltCurve_P42695_NCAPD3.pdf</t>
  </si>
  <si>
    <t>Melting_Curves/meltCurve_P42704_LRPPRC.pdf</t>
  </si>
  <si>
    <t>Melting_Curves/meltCurve_P42765_ACAA2.pdf</t>
  </si>
  <si>
    <t>Melting_Curves/meltCurve_P42766_RPL35.pdf</t>
  </si>
  <si>
    <t>Melting_Curves/meltCurve_P42773_CDKN2C.pdf</t>
  </si>
  <si>
    <t>Melting_Curves/meltCurve_P42785_PRCP.pdf</t>
  </si>
  <si>
    <t>Melting_Curves/meltCurve_P43007_SLC1A4.pdf</t>
  </si>
  <si>
    <t>Melting_Curves/meltCurve_P43034_PAFAH1B1.pdf</t>
  </si>
  <si>
    <t>Melting_Curves/meltCurve_P43121_MCAM.pdf</t>
  </si>
  <si>
    <t>Melting_Curves/meltCurve_P43246_MSH2.pdf</t>
  </si>
  <si>
    <t>Melting_Curves/meltCurve_P43250_2_GRK6.pdf</t>
  </si>
  <si>
    <t>Melting_Curves/meltCurve_P43304_GPD2.pdf</t>
  </si>
  <si>
    <t>Melting_Curves/meltCurve_P43307_SSR1.pdf</t>
  </si>
  <si>
    <t>Melting_Curves/meltCurve_P43355_MAGEA1.pdf</t>
  </si>
  <si>
    <t>Melting_Curves/meltCurve_P43357_MAGEA3.pdf</t>
  </si>
  <si>
    <t>Melting_Curves/meltCurve_P43366_MAGEB1.pdf</t>
  </si>
  <si>
    <t>Melting_Curves/meltCurve_P43378_PTPN9.pdf</t>
  </si>
  <si>
    <t>Melting_Curves/meltCurve_P43405_2_SYK.pdf</t>
  </si>
  <si>
    <t>Melting_Curves/meltCurve_P43487_RANBP1.pdf</t>
  </si>
  <si>
    <t>Melting_Curves/meltCurve_P43490_NAMPT.pdf</t>
  </si>
  <si>
    <t>Melting_Curves/meltCurve_P43686_PSMC4.pdf</t>
  </si>
  <si>
    <t>Melting_Curves/meltCurve_P43897_TSFM.pdf</t>
  </si>
  <si>
    <t>Melting_Curves/meltCurve_P45880_VDAC2.pdf</t>
  </si>
  <si>
    <t>Melting_Curves/meltCurve_P45954_ACADSB.pdf</t>
  </si>
  <si>
    <t>Melting_Curves/meltCurve_P45973_CBX5.pdf</t>
  </si>
  <si>
    <t>Melting_Curves/meltCurve_P45974_2_USP5.pdf</t>
  </si>
  <si>
    <t>Melting_Curves/meltCurve_P45983_3_MAPK8.pdf</t>
  </si>
  <si>
    <t>Melting_Curves/meltCurve_P45984_3_MAPK9.pdf</t>
  </si>
  <si>
    <t>Melting_Curves/meltCurve_P45985_MAP2K4.pdf</t>
  </si>
  <si>
    <t>Melting_Curves/meltCurve_P46013_MKI67.pdf</t>
  </si>
  <si>
    <t>Melting_Curves/meltCurve_P46019_PHKA2.pdf</t>
  </si>
  <si>
    <t>Melting_Curves/meltCurve_P46060_RANGAP1.pdf</t>
  </si>
  <si>
    <t>Melting_Curves/meltCurve_P46063_RECQL.pdf</t>
  </si>
  <si>
    <t>Melting_Curves/meltCurve_P46087_2_NOP2.pdf</t>
  </si>
  <si>
    <t>Melting_Curves/meltCurve_P46100_6_ATRX.pdf</t>
  </si>
  <si>
    <t>Melting_Curves/meltCurve_P46108_CRK.pdf</t>
  </si>
  <si>
    <t>Melting_Curves/meltCurve_P46109_CRKL.pdf</t>
  </si>
  <si>
    <t>Melting_Curves/meltCurve_P46199_MTIF2.pdf</t>
  </si>
  <si>
    <t>Melting_Curves/meltCurve_P46527_CDKN1B.pdf</t>
  </si>
  <si>
    <t>Melting_Curves/meltCurve_P46531_NOTCH1.pdf</t>
  </si>
  <si>
    <t>Melting_Curves/meltCurve_P46734_MAP2K3.pdf</t>
  </si>
  <si>
    <t>Melting_Curves/meltCurve_P46736_2_BRCC3.pdf</t>
  </si>
  <si>
    <t>Melting_Curves/meltCurve_P46777_RPL5.pdf</t>
  </si>
  <si>
    <t>Melting_Curves/meltCurve_P46778_RPL21.pdf</t>
  </si>
  <si>
    <t>Melting_Curves/meltCurve_P46781_RPS9.pdf</t>
  </si>
  <si>
    <t>Melting_Curves/meltCurve_P46783_RPS10.pdf</t>
  </si>
  <si>
    <t>Melting_Curves/meltCurve_P46821_MAP1B.pdf</t>
  </si>
  <si>
    <t>Melting_Curves/meltCurve_P46926_GNPDA1.pdf</t>
  </si>
  <si>
    <t>Melting_Curves/meltCurve_P46934_4_NEDD4.pdf</t>
  </si>
  <si>
    <t>Melting_Curves/meltCurve_P46940_IQGAP1.pdf</t>
  </si>
  <si>
    <t>Melting_Curves/meltCurve_P46976_2_GYG1.pdf</t>
  </si>
  <si>
    <t>Melting_Curves/meltCurve_P46977_STT3A.pdf</t>
  </si>
  <si>
    <t>Melting_Curves/meltCurve_P47224_RABIF.pdf</t>
  </si>
  <si>
    <t>Melting_Curves/meltCurve_P47755_CAPZA2.pdf</t>
  </si>
  <si>
    <t>Melting_Curves/meltCurve_P47756_2_CAPZB.pdf</t>
  </si>
  <si>
    <t>Melting_Curves/meltCurve_P47813_EIF1AX.pdf</t>
  </si>
  <si>
    <t>Melting_Curves/meltCurve_P47897_QARS.pdf</t>
  </si>
  <si>
    <t>Melting_Curves/meltCurve_P47914_RPL29.pdf</t>
  </si>
  <si>
    <t>Melting_Curves/meltCurve_P47974_ZFP36L2.pdf</t>
  </si>
  <si>
    <t>Melting_Curves/meltCurve_P47985_UQCRFS1.pdf</t>
  </si>
  <si>
    <t>Melting_Curves/meltCurve_P48029_SLC6A8.pdf</t>
  </si>
  <si>
    <t>Melting_Curves/meltCurve_P48047_ATP5O.pdf</t>
  </si>
  <si>
    <t>Melting_Curves/meltCurve_P48059_3_LIMS1.pdf</t>
  </si>
  <si>
    <t>Melting_Curves/meltCurve_P48147_PREP.pdf</t>
  </si>
  <si>
    <t>Melting_Curves/meltCurve_P48163_ME1.pdf</t>
  </si>
  <si>
    <t>Melting_Curves/meltCurve_P48200_IREB2.pdf</t>
  </si>
  <si>
    <t>Melting_Curves/meltCurve_P48357_2_LEPR.pdf</t>
  </si>
  <si>
    <t>Melting_Curves/meltCurve_P48444_ARCN1.pdf</t>
  </si>
  <si>
    <t>Melting_Curves/meltCurve_P48449_LSS.pdf</t>
  </si>
  <si>
    <t>Melting_Curves/meltCurve_P48454_PPP3CC.pdf</t>
  </si>
  <si>
    <t>Melting_Curves/meltCurve_P48506_GCLC.pdf</t>
  </si>
  <si>
    <t>Melting_Curves/meltCurve_P48507_GCLM.pdf</t>
  </si>
  <si>
    <t>Melting_Curves/meltCurve_P48634_PRRC2A.pdf</t>
  </si>
  <si>
    <t>Melting_Curves/meltCurve_P48637_GSS.pdf</t>
  </si>
  <si>
    <t>Melting_Curves/meltCurve_P48643_CCT5.pdf</t>
  </si>
  <si>
    <t>Melting_Curves/meltCurve_P48681_NES.pdf</t>
  </si>
  <si>
    <t>Melting_Curves/meltCurve_P48723_HSPA13.pdf</t>
  </si>
  <si>
    <t>Melting_Curves/meltCurve_P48729_CSNK1A1.pdf</t>
  </si>
  <si>
    <t>Melting_Curves/meltCurve_P48730_CSNK1D.pdf</t>
  </si>
  <si>
    <t>Melting_Curves/meltCurve_P48735_IDH2.pdf</t>
  </si>
  <si>
    <t>Melting_Curves/meltCurve_P48736_PIK3CG.pdf</t>
  </si>
  <si>
    <t>Melting_Curves/meltCurve_P48739_PITPNB.pdf</t>
  </si>
  <si>
    <t>Melting_Curves/meltCurve_P48960_2_CD97.pdf</t>
  </si>
  <si>
    <t>Melting_Curves/meltCurve_P49005_POLD2.pdf</t>
  </si>
  <si>
    <t>Melting_Curves/meltCurve_P49006_MARCKSL1.pdf</t>
  </si>
  <si>
    <t>Melting_Curves/meltCurve_P49023_2_PXN.pdf</t>
  </si>
  <si>
    <t>Melting_Curves/meltCurve_P49069_CAMLG.pdf</t>
  </si>
  <si>
    <t>Melting_Curves/meltCurve_P49116_NR2C2.pdf</t>
  </si>
  <si>
    <t>Melting_Curves/meltCurve_P49137_MAPKAPK2.pdf</t>
  </si>
  <si>
    <t>Melting_Curves/meltCurve_P49189_ALDH9A1.pdf</t>
  </si>
  <si>
    <t>Melting_Curves/meltCurve_P49207_RPL34.pdf</t>
  </si>
  <si>
    <t>Melting_Curves/meltCurve_P49247_RPIA.pdf</t>
  </si>
  <si>
    <t>Melting_Curves/meltCurve_P49257_LMAN1.pdf</t>
  </si>
  <si>
    <t>Melting_Curves/meltCurve_P49281_5_SLC11A2.pdf</t>
  </si>
  <si>
    <t>Melting_Curves/meltCurve_P49321_NASP.pdf</t>
  </si>
  <si>
    <t>Melting_Curves/meltCurve_P49327_FASN.pdf</t>
  </si>
  <si>
    <t>Melting_Curves/meltCurve_P49354_FNTA.pdf</t>
  </si>
  <si>
    <t>Melting_Curves/meltCurve_P49366_DHPS.pdf</t>
  </si>
  <si>
    <t>Melting_Curves/meltCurve_P49368_CCT3.pdf</t>
  </si>
  <si>
    <t>Melting_Curves/meltCurve_P49406_MRPL19.pdf</t>
  </si>
  <si>
    <t>Melting_Curves/meltCurve_P49411_TUFM.pdf</t>
  </si>
  <si>
    <t>Melting_Curves/meltCurve_P49427_CDC34.pdf</t>
  </si>
  <si>
    <t>Melting_Curves/meltCurve_P49441_INPP1.pdf</t>
  </si>
  <si>
    <t>Melting_Curves/meltCurve_P49448_GLUD2.pdf</t>
  </si>
  <si>
    <t>Melting_Curves/meltCurve_P49454_CENPF.pdf</t>
  </si>
  <si>
    <t>Melting_Curves/meltCurve_P49458_SRP9.pdf</t>
  </si>
  <si>
    <t>Melting_Curves/meltCurve_P49459_UBE2A.pdf</t>
  </si>
  <si>
    <t>Melting_Curves/meltCurve_P49585_PCYT1A.pdf</t>
  </si>
  <si>
    <t>Melting_Curves/meltCurve_P49588_AARS.pdf</t>
  </si>
  <si>
    <t>Melting_Curves/meltCurve_P49589_3_CARS.pdf</t>
  </si>
  <si>
    <t>Melting_Curves/meltCurve_P49593_PPM1F.pdf</t>
  </si>
  <si>
    <t>Melting_Curves/meltCurve_P49642_PRIM1.pdf</t>
  </si>
  <si>
    <t>Melting_Curves/meltCurve_P49643_PRIM2.pdf</t>
  </si>
  <si>
    <t>Melting_Curves/meltCurve_P49674_CSNK1E.pdf</t>
  </si>
  <si>
    <t>Melting_Curves/meltCurve_P49711_CTCF.pdf</t>
  </si>
  <si>
    <t>Melting_Curves/meltCurve_P49721_PSMB2.pdf</t>
  </si>
  <si>
    <t>Melting_Curves/meltCurve_P49736_MCM2.pdf</t>
  </si>
  <si>
    <t>Melting_Curves/meltCurve_P49748_2_ACADVL.pdf</t>
  </si>
  <si>
    <t>Melting_Curves/meltCurve_P49750_YLPM1.pdf</t>
  </si>
  <si>
    <t>Melting_Curves/meltCurve_P49755_TMED10.pdf</t>
  </si>
  <si>
    <t>Melting_Curves/meltCurve_P49756_RBM25.pdf</t>
  </si>
  <si>
    <t>Melting_Curves/meltCurve_P49757_4_NUMB.pdf</t>
  </si>
  <si>
    <t>Melting_Curves/meltCurve_P49770_EIF2B2.pdf</t>
  </si>
  <si>
    <t>Melting_Curves/meltCurve_P49773_HINT1.pdf</t>
  </si>
  <si>
    <t>Melting_Curves/meltCurve_P49790_NUP153.pdf</t>
  </si>
  <si>
    <t>Melting_Curves/meltCurve_P49792_RANBP2.pdf</t>
  </si>
  <si>
    <t>Melting_Curves/meltCurve_P49840_GSK3A.pdf</t>
  </si>
  <si>
    <t>Melting_Curves/meltCurve_P49841_GSK3B.pdf</t>
  </si>
  <si>
    <t>Melting_Curves/meltCurve_P49902_NT5C2.pdf</t>
  </si>
  <si>
    <t>Melting_Curves/meltCurve_P49903_SEPHS1.pdf</t>
  </si>
  <si>
    <t>Melting_Curves/meltCurve_P49903_3_SEPHS1.pdf</t>
  </si>
  <si>
    <t>Melting_Curves/meltCurve_P49914_MTHFS.pdf</t>
  </si>
  <si>
    <t>Melting_Curves/meltCurve_P49915_GMPS.pdf</t>
  </si>
  <si>
    <t>Melting_Curves/meltCurve_P49916_LIG3.pdf</t>
  </si>
  <si>
    <t>Melting_Curves/meltCurve_P49917_LIG4.pdf</t>
  </si>
  <si>
    <t>Melting_Curves/meltCurve_P49959_MRE11A.pdf</t>
  </si>
  <si>
    <t>Melting_Curves/meltCurve_P50053_KHK.pdf</t>
  </si>
  <si>
    <t>Melting_Curves/meltCurve_P50135_HNMT.pdf</t>
  </si>
  <si>
    <t>Melting_Curves/meltCurve_P50148_GNAQ.pdf</t>
  </si>
  <si>
    <t>Melting_Curves/meltCurve_P50213_IDH3A.pdf</t>
  </si>
  <si>
    <t>Melting_Curves/meltCurve_P50224_SULT1A3.pdf</t>
  </si>
  <si>
    <t>Melting_Curves/meltCurve_P50225_SULT1A1.pdf</t>
  </si>
  <si>
    <t>Melting_Curves/meltCurve_P50336_PPOX.pdf</t>
  </si>
  <si>
    <t>Melting_Curves/meltCurve_P50402_EMD.pdf</t>
  </si>
  <si>
    <t>Melting_Curves/meltCurve_P50416_CPT1A.pdf</t>
  </si>
  <si>
    <t>Melting_Curves/meltCurve_P50443_SLC26A2.pdf</t>
  </si>
  <si>
    <t>Melting_Curves/meltCurve_P50453_SERPINB9.pdf</t>
  </si>
  <si>
    <t>Melting_Curves/meltCurve_P50454_SERPINH1.pdf</t>
  </si>
  <si>
    <t>Melting_Curves/meltCurve_P50479_PDLIM4.pdf</t>
  </si>
  <si>
    <t>Melting_Curves/meltCurve_P50502_ST13.pdf</t>
  </si>
  <si>
    <t>Melting_Curves/meltCurve_P50552_VASP.pdf</t>
  </si>
  <si>
    <t>Melting_Curves/meltCurve_P50570_DNM2.pdf</t>
  </si>
  <si>
    <t>Melting_Curves/meltCurve_P50579_METAP2.pdf</t>
  </si>
  <si>
    <t>Melting_Curves/meltCurve_P50583_NUDT2.pdf</t>
  </si>
  <si>
    <t>Melting_Curves/meltCurve_P50613_CDK7.pdf</t>
  </si>
  <si>
    <t>Melting_Curves/meltCurve_P50747_HLCS.pdf</t>
  </si>
  <si>
    <t>Melting_Curves/meltCurve_P50748_KNTC1.pdf</t>
  </si>
  <si>
    <t>Melting_Curves/meltCurve_P50750_CDK9.pdf</t>
  </si>
  <si>
    <t>Melting_Curves/meltCurve_P50897_PPT1.pdf</t>
  </si>
  <si>
    <t>Melting_Curves/meltCurve_P50990_CCT8.pdf</t>
  </si>
  <si>
    <t>Melting_Curves/meltCurve_P50991_CCT4.pdf</t>
  </si>
  <si>
    <t>Melting_Curves/meltCurve_P51003_PAPOLA.pdf</t>
  </si>
  <si>
    <t>Melting_Curves/meltCurve_P51116_FXR2.pdf</t>
  </si>
  <si>
    <t>Melting_Curves/meltCurve_P51148_RAB5C.pdf</t>
  </si>
  <si>
    <t>Melting_Curves/meltCurve_P51149_RAB7A.pdf</t>
  </si>
  <si>
    <t>Melting_Curves/meltCurve_P51151_RAB9A.pdf</t>
  </si>
  <si>
    <t>Melting_Curves/meltCurve_P51153_RAB13.pdf</t>
  </si>
  <si>
    <t>Melting_Curves/meltCurve_P51157_RAB28.pdf</t>
  </si>
  <si>
    <t>Melting_Curves/meltCurve_P51159_RAB27A.pdf</t>
  </si>
  <si>
    <t>Melting_Curves/meltCurve_P51178_PLCD1.pdf</t>
  </si>
  <si>
    <t>Melting_Curves/meltCurve_P51397_DAP.pdf</t>
  </si>
  <si>
    <t>Melting_Curves/meltCurve_P51398_2_DAP3.pdf</t>
  </si>
  <si>
    <t>Melting_Curves/meltCurve_P51452_DUSP3.pdf</t>
  </si>
  <si>
    <t>Melting_Curves/meltCurve_P51531_2_SMARCA2.pdf</t>
  </si>
  <si>
    <t>Melting_Curves/meltCurve_P51553_IDH3G.pdf</t>
  </si>
  <si>
    <t>Melting_Curves/meltCurve_P51570_GALK1.pdf</t>
  </si>
  <si>
    <t>Melting_Curves/meltCurve_P51571_SSR4.pdf</t>
  </si>
  <si>
    <t>Melting_Curves/meltCurve_P51572_BCAP31.pdf</t>
  </si>
  <si>
    <t>Melting_Curves/meltCurve_P51580_TPMT.pdf</t>
  </si>
  <si>
    <t>Melting_Curves/meltCurve_P51608_MECP2.pdf</t>
  </si>
  <si>
    <t>Melting_Curves/meltCurve_P51610_2_HCFC1.pdf</t>
  </si>
  <si>
    <t>Melting_Curves/meltCurve_P51659_HSD17B4.pdf</t>
  </si>
  <si>
    <t>Melting_Curves/meltCurve_P51665_PSMD7.pdf</t>
  </si>
  <si>
    <t>Melting_Curves/meltCurve_P51687_SUOX.pdf</t>
  </si>
  <si>
    <t>Melting_Curves/meltCurve_P51692_STAT5B.pdf</t>
  </si>
  <si>
    <t>Melting_Curves/meltCurve_P51790_4_CLCN3.pdf</t>
  </si>
  <si>
    <t>Melting_Curves/meltCurve_P51795_CLCN5.pdf</t>
  </si>
  <si>
    <t>Melting_Curves/meltCurve_P51798_2_CLCN7.pdf</t>
  </si>
  <si>
    <t>Melting_Curves/meltCurve_P51809_VAMP7.pdf</t>
  </si>
  <si>
    <t>Melting_Curves/meltCurve_P51811_XK.pdf</t>
  </si>
  <si>
    <t>Melting_Curves/meltCurve_P51812_RPS6KA3.pdf</t>
  </si>
  <si>
    <t>Melting_Curves/meltCurve_P51857_2_AKR1D1.pdf</t>
  </si>
  <si>
    <t>Melting_Curves/meltCurve_P51858_HDGF.pdf</t>
  </si>
  <si>
    <t>Melting_Curves/meltCurve_P51948_MNAT1.pdf</t>
  </si>
  <si>
    <t>Melting_Curves/meltCurve_P51970_NDUFA8.pdf</t>
  </si>
  <si>
    <t>Melting_Curves/meltCurve_P51991_HNRNPA3.pdf</t>
  </si>
  <si>
    <t>Melting_Curves/meltCurve_P52272_2_HNRNPM.pdf</t>
  </si>
  <si>
    <t>Melting_Curves/meltCurve_P52292_KPNA2.pdf</t>
  </si>
  <si>
    <t>Melting_Curves/meltCurve_P52294_KPNA1.pdf</t>
  </si>
  <si>
    <t>Melting_Curves/meltCurve_P52298_NCBP2.pdf</t>
  </si>
  <si>
    <t>Melting_Curves/meltCurve_P52306_RAP1GDS1.pdf</t>
  </si>
  <si>
    <t>Melting_Curves/meltCurve_P52565_ARHGDIA.pdf</t>
  </si>
  <si>
    <t>Melting_Curves/meltCurve_P52566_ARHGDIB.pdf</t>
  </si>
  <si>
    <t>Melting_Curves/meltCurve_P52597_HNRNPF.pdf</t>
  </si>
  <si>
    <t>Melting_Curves/meltCurve_P52630_4_STAT2.pdf</t>
  </si>
  <si>
    <t>Melting_Curves/meltCurve_P52655_GTF2A1.pdf</t>
  </si>
  <si>
    <t>Melting_Curves/meltCurve_P52657_GTF2A2.pdf</t>
  </si>
  <si>
    <t>Melting_Curves/meltCurve_P52701_MSH6.pdf</t>
  </si>
  <si>
    <t>Melting_Curves/meltCurve_P52732_KIF11.pdf</t>
  </si>
  <si>
    <t>Melting_Curves/meltCurve_P52739_2_ZNF131.pdf</t>
  </si>
  <si>
    <t>Melting_Curves/meltCurve_P52758_HRSP12.pdf</t>
  </si>
  <si>
    <t>Melting_Curves/meltCurve_P52788_SMS.pdf</t>
  </si>
  <si>
    <t>Melting_Curves/meltCurve_P52789_HK2.pdf</t>
  </si>
  <si>
    <t>Melting_Curves/meltCurve_P52815_MRPL12.pdf</t>
  </si>
  <si>
    <t>Melting_Curves/meltCurve_P52888_THOP1.pdf</t>
  </si>
  <si>
    <t>Melting_Curves/meltCurve_P52907_CAPZA1.pdf</t>
  </si>
  <si>
    <t>Melting_Curves/meltCurve_P52943_CRIP2.pdf</t>
  </si>
  <si>
    <t>Melting_Curves/meltCurve_P52948_6_NUP98.pdf</t>
  </si>
  <si>
    <t>Melting_Curves/meltCurve_P53004_BLVRA.pdf</t>
  </si>
  <si>
    <t>Melting_Curves/meltCurve_P53007_SLC25A1.pdf</t>
  </si>
  <si>
    <t>Melting_Curves/meltCurve_P53350_PLK1.pdf</t>
  </si>
  <si>
    <t>Melting_Curves/meltCurve_P53365_ARFIP2.pdf</t>
  </si>
  <si>
    <t>Melting_Curves/meltCurve_P53367_ARFIP1.pdf</t>
  </si>
  <si>
    <t>Melting_Curves/meltCurve_P53367_2_ARFIP1.pdf</t>
  </si>
  <si>
    <t>Melting_Curves/meltCurve_P53384_2_NUBP1.pdf</t>
  </si>
  <si>
    <t>Melting_Curves/meltCurve_P53396_ACLY.pdf</t>
  </si>
  <si>
    <t>Melting_Curves/meltCurve_P53582_METAP1.pdf</t>
  </si>
  <si>
    <t>Melting_Curves/meltCurve_P53597_SUCLG1.pdf</t>
  </si>
  <si>
    <t>Melting_Curves/meltCurve_P53602_MVD.pdf</t>
  </si>
  <si>
    <t>Melting_Curves/meltCurve_P53609_PGGT1B.pdf</t>
  </si>
  <si>
    <t>Melting_Curves/meltCurve_P53618_COPB1.pdf</t>
  </si>
  <si>
    <t>Melting_Curves/meltCurve_P53621_COPA.pdf</t>
  </si>
  <si>
    <t>Melting_Curves/meltCurve_P53634_CTSC.pdf</t>
  </si>
  <si>
    <t>Melting_Curves/meltCurve_P53701_HCCS.pdf</t>
  </si>
  <si>
    <t>Melting_Curves/meltCurve_P53778_MAPK12.pdf</t>
  </si>
  <si>
    <t>Melting_Curves/meltCurve_P53794_SLC5A3.pdf</t>
  </si>
  <si>
    <t>Melting_Curves/meltCurve_P53803_POLR2K.pdf</t>
  </si>
  <si>
    <t>Melting_Curves/meltCurve_P53814_5_SMTN.pdf</t>
  </si>
  <si>
    <t>Melting_Curves/meltCurve_P53985_SLC16A1.pdf</t>
  </si>
  <si>
    <t>Melting_Curves/meltCurve_P53990_2_IST1.pdf</t>
  </si>
  <si>
    <t>Melting_Curves/meltCurve_P53992_SEC24C.pdf</t>
  </si>
  <si>
    <t>Melting_Curves/meltCurve_P53999_SUB1.pdf</t>
  </si>
  <si>
    <t>Melting_Curves/meltCurve_P54098_POLG.pdf</t>
  </si>
  <si>
    <t>Melting_Curves/meltCurve_P54105_CLNS1A.pdf</t>
  </si>
  <si>
    <t>Melting_Curves/meltCurve_P54136_RARS.pdf</t>
  </si>
  <si>
    <t>Melting_Curves/meltCurve_P54136_2_RARS.pdf</t>
  </si>
  <si>
    <t>Melting_Curves/meltCurve_P54259_ATN1.pdf</t>
  </si>
  <si>
    <t>Melting_Curves/meltCurve_P54278_PMS2.pdf</t>
  </si>
  <si>
    <t>Melting_Curves/meltCurve_P54577_YARS.pdf</t>
  </si>
  <si>
    <t>Melting_Curves/meltCurve_P54578_2_USP14.pdf</t>
  </si>
  <si>
    <t>Melting_Curves/meltCurve_P54619_2_PRKAG1.pdf</t>
  </si>
  <si>
    <t>Melting_Curves/meltCurve_P54687_BCAT1.pdf</t>
  </si>
  <si>
    <t>Melting_Curves/meltCurve_P54709_ATP1B3.pdf</t>
  </si>
  <si>
    <t>Melting_Curves/meltCurve_P54727_RAD23B.pdf</t>
  </si>
  <si>
    <t>Melting_Curves/meltCurve_P54760_EPHB4.pdf</t>
  </si>
  <si>
    <t>Melting_Curves/meltCurve_P54802_NAGLU.pdf</t>
  </si>
  <si>
    <t>Melting_Curves/meltCurve_P54819_AK2.pdf</t>
  </si>
  <si>
    <t>Melting_Curves/meltCurve_P54886_2_ALDH18A1.pdf</t>
  </si>
  <si>
    <t>Melting_Curves/meltCurve_P54920_NAPA.pdf</t>
  </si>
  <si>
    <t>Melting_Curves/meltCurve_P55010_EIF5.pdf</t>
  </si>
  <si>
    <t>Melting_Curves/meltCurve_P55011_3_SLC12A2.pdf</t>
  </si>
  <si>
    <t>Melting_Curves/meltCurve_P55036_PSMD4.pdf</t>
  </si>
  <si>
    <t>Melting_Curves/meltCurve_P55039_DRG2.pdf</t>
  </si>
  <si>
    <t>Melting_Curves/meltCurve_P55060_3_CSE1L.pdf</t>
  </si>
  <si>
    <t>Melting_Curves/meltCurve_P55072_VCP.pdf</t>
  </si>
  <si>
    <t>Melting_Curves/meltCurve_P55081_MFAP1.pdf</t>
  </si>
  <si>
    <t>Melting_Curves/meltCurve_P55145_MANF.pdf</t>
  </si>
  <si>
    <t>Melting_Curves/meltCurve_P55196_3_MLLT4.pdf</t>
  </si>
  <si>
    <t>Melting_Curves/meltCurve_P55199_ELL.pdf</t>
  </si>
  <si>
    <t>Melting_Curves/meltCurve_P55211_2_CASP9.pdf</t>
  </si>
  <si>
    <t>Melting_Curves/meltCurve_P55212_CASP6.pdf</t>
  </si>
  <si>
    <t>Melting_Curves/meltCurve_P55263_ADK.pdf</t>
  </si>
  <si>
    <t>Melting_Curves/meltCurve_P55273_CDKN2D.pdf</t>
  </si>
  <si>
    <t>Melting_Curves/meltCurve_P55735_SEC13.pdf</t>
  </si>
  <si>
    <t>Melting_Curves/meltCurve_P55789_GFER.pdf</t>
  </si>
  <si>
    <t>Melting_Curves/meltCurve_P55795_HNRNPH2.pdf</t>
  </si>
  <si>
    <t>Melting_Curves/meltCurve_P55809_OXCT1.pdf</t>
  </si>
  <si>
    <t>Melting_Curves/meltCurve_P55884_EIF3B.pdf</t>
  </si>
  <si>
    <t>Melting_Curves/meltCurve_P55957_BID.pdf</t>
  </si>
  <si>
    <t>Melting_Curves/meltCurve_P56181_2_NDUFV3.pdf</t>
  </si>
  <si>
    <t>Melting_Curves/meltCurve_P56182_RRP1.pdf</t>
  </si>
  <si>
    <t>Melting_Curves/meltCurve_P56192_MARS.pdf</t>
  </si>
  <si>
    <t>Melting_Curves/meltCurve_P56270_2_MAZ.pdf</t>
  </si>
  <si>
    <t>Melting_Curves/meltCurve_P56277_CMC4.pdf</t>
  </si>
  <si>
    <t>Melting_Curves/meltCurve_P56377_AP1S2.pdf</t>
  </si>
  <si>
    <t>Melting_Curves/meltCurve_P56381_ATP5E.pdf</t>
  </si>
  <si>
    <t>Melting_Curves/meltCurve_P56385_ATP5I.pdf</t>
  </si>
  <si>
    <t>Melting_Curves/meltCurve_P56524_HDAC4.pdf</t>
  </si>
  <si>
    <t>Melting_Curves/meltCurve_P56537_EIF6.pdf</t>
  </si>
  <si>
    <t>Melting_Curves/meltCurve_P56556_NDUFA6.pdf</t>
  </si>
  <si>
    <t>Melting_Curves/meltCurve_P56589_PEX3.pdf</t>
  </si>
  <si>
    <t>Melting_Curves/meltCurve_P56645_PER3.pdf</t>
  </si>
  <si>
    <t>Melting_Curves/meltCurve_P56937_3_HSD17B7.pdf</t>
  </si>
  <si>
    <t>Melting_Curves/meltCurve_P56945_4_BCAR1.pdf</t>
  </si>
  <si>
    <t>Melting_Curves/meltCurve_P56962_STX17.pdf</t>
  </si>
  <si>
    <t>Melting_Curves/meltCurve_P57060_RWDD2B.pdf</t>
  </si>
  <si>
    <t>Melting_Curves/meltCurve_P57076_C21orf59.pdf</t>
  </si>
  <si>
    <t>Melting_Curves/meltCurve_P57081_2_WDR4.pdf</t>
  </si>
  <si>
    <t>Melting_Curves/meltCurve_P57088_TMEM33.pdf</t>
  </si>
  <si>
    <t>Melting_Curves/meltCurve_P57105_SYNJ2BP.pdf</t>
  </si>
  <si>
    <t>Melting_Curves/meltCurve_P57682_KLF3.pdf</t>
  </si>
  <si>
    <t>Melting_Curves/meltCurve_P57737_3_CORO7.pdf</t>
  </si>
  <si>
    <t>Melting_Curves/meltCurve_P57740_NUP107.pdf</t>
  </si>
  <si>
    <t>Melting_Curves/meltCurve_P57772_EEFSEC.pdf</t>
  </si>
  <si>
    <t>Melting_Curves/meltCurve_P58004_SESN2.pdf</t>
  </si>
  <si>
    <t>Melting_Curves/meltCurve_P58107_EPPK1.pdf</t>
  </si>
  <si>
    <t>Melting_Curves/meltCurve_P58546_MTPN.pdf</t>
  </si>
  <si>
    <t>Melting_Curves/meltCurve_P58557_4_YBEY.pdf</t>
  </si>
  <si>
    <t>Melting_Curves/meltCurve_P59998_ARPC4.pdf</t>
  </si>
  <si>
    <t>Melting_Curves/meltCurve_P60059_SEC61G.pdf</t>
  </si>
  <si>
    <t>Melting_Curves/meltCurve_P60174_1_TPI1.pdf</t>
  </si>
  <si>
    <t>Melting_Curves/meltCurve_P60228_EIF3E.pdf</t>
  </si>
  <si>
    <t>Melting_Curves/meltCurve_P60468_SEC61B.pdf</t>
  </si>
  <si>
    <t>Melting_Curves/meltCurve_P60510_PPP4C.pdf</t>
  </si>
  <si>
    <t>Melting_Curves/meltCurve_P60520_GABARAPL2.pdf</t>
  </si>
  <si>
    <t>Melting_Curves/meltCurve_P60602_ROMO1.pdf</t>
  </si>
  <si>
    <t>Melting_Curves/meltCurve_P60604_2_UBE2G2.pdf</t>
  </si>
  <si>
    <t>Melting_Curves/meltCurve_P60709_ACTB.pdf</t>
  </si>
  <si>
    <t>Melting_Curves/meltCurve_P60763_RAC3.pdf</t>
  </si>
  <si>
    <t>Melting_Curves/meltCurve_P60842_EIF4A1.pdf</t>
  </si>
  <si>
    <t>Melting_Curves/meltCurve_P60866_RPS20.pdf</t>
  </si>
  <si>
    <t>Melting_Curves/meltCurve_P60891_PRPS1.pdf</t>
  </si>
  <si>
    <t>Melting_Curves/meltCurve_P60896_SHFM1.pdf</t>
  </si>
  <si>
    <t>Melting_Curves/meltCurve_P60953_CDC42.pdf</t>
  </si>
  <si>
    <t>Melting_Curves/meltCurve_P60981_DSTN.pdf</t>
  </si>
  <si>
    <t>Melting_Curves/meltCurve_P60983_GMFB.pdf</t>
  </si>
  <si>
    <t>Melting_Curves/meltCurve_P61006_RAB8A.pdf</t>
  </si>
  <si>
    <t>Melting_Curves/meltCurve_P61009_SPCS3.pdf</t>
  </si>
  <si>
    <t>Melting_Curves/meltCurve_P61011_SRP54.pdf</t>
  </si>
  <si>
    <t>Melting_Curves/meltCurve_P61019_RAB2A.pdf</t>
  </si>
  <si>
    <t>Melting_Curves/meltCurve_P61020_RAB5B.pdf</t>
  </si>
  <si>
    <t>Melting_Curves/meltCurve_P61026_RAB10.pdf</t>
  </si>
  <si>
    <t>Melting_Curves/meltCurve_P61077_UBE2D3.pdf</t>
  </si>
  <si>
    <t>Melting_Curves/meltCurve_P61081_UBE2M.pdf</t>
  </si>
  <si>
    <t>Melting_Curves/meltCurve_P61086_UBE2K.pdf</t>
  </si>
  <si>
    <t>Melting_Curves/meltCurve_P61088_UBE2N.pdf</t>
  </si>
  <si>
    <t>Melting_Curves/meltCurve_P61106_RAB14.pdf</t>
  </si>
  <si>
    <t>Melting_Curves/meltCurve_P61129_ZC3H6.pdf</t>
  </si>
  <si>
    <t>Melting_Curves/meltCurve_P61158_ACTR3.pdf</t>
  </si>
  <si>
    <t>Melting_Curves/meltCurve_P61160_ACTR2.pdf</t>
  </si>
  <si>
    <t>Melting_Curves/meltCurve_P61163_ACTR1A.pdf</t>
  </si>
  <si>
    <t>Melting_Curves/meltCurve_P61201_COPS2.pdf</t>
  </si>
  <si>
    <t>Melting_Curves/meltCurve_P61218_POLR2F.pdf</t>
  </si>
  <si>
    <t>Melting_Curves/meltCurve_P61221_ABCE1.pdf</t>
  </si>
  <si>
    <t>Melting_Curves/meltCurve_P61224_RAP1B.pdf</t>
  </si>
  <si>
    <t>Melting_Curves/meltCurve_P61225_RAP2B.pdf</t>
  </si>
  <si>
    <t>Melting_Curves/meltCurve_P61244_2_MAX.pdf</t>
  </si>
  <si>
    <t>Melting_Curves/meltCurve_P61247_RPS3A.pdf</t>
  </si>
  <si>
    <t>Melting_Curves/meltCurve_P61254_RPL26.pdf</t>
  </si>
  <si>
    <t>Melting_Curves/meltCurve_P61289_PSME3.pdf</t>
  </si>
  <si>
    <t>Melting_Curves/meltCurve_P61326_MAGOH.pdf</t>
  </si>
  <si>
    <t>Melting_Curves/meltCurve_P61353_RPL27.pdf</t>
  </si>
  <si>
    <t>Melting_Curves/meltCurve_P61457_PCBD1.pdf</t>
  </si>
  <si>
    <t>Melting_Curves/meltCurve_P61586_RHOA.pdf</t>
  </si>
  <si>
    <t>Melting_Curves/meltCurve_P61599_NAA20.pdf</t>
  </si>
  <si>
    <t>Melting_Curves/meltCurve_P61601_NCALD.pdf</t>
  </si>
  <si>
    <t>Melting_Curves/meltCurve_P61604_HSPE1.pdf</t>
  </si>
  <si>
    <t>Melting_Curves/meltCurve_P61758_VBP1.pdf</t>
  </si>
  <si>
    <t>Melting_Curves/meltCurve_P61764_STXBP1.pdf</t>
  </si>
  <si>
    <t>Melting_Curves/meltCurve_P61962_DCAF7.pdf</t>
  </si>
  <si>
    <t>Melting_Curves/meltCurve_P61964_WDR5.pdf</t>
  </si>
  <si>
    <t>Melting_Curves/meltCurve_P61966_AP1S1.pdf</t>
  </si>
  <si>
    <t>Melting_Curves/meltCurve_P61970_NUTF2.pdf</t>
  </si>
  <si>
    <t>Melting_Curves/meltCurve_P61978_2_HNRNPK.pdf</t>
  </si>
  <si>
    <t>Melting_Curves/meltCurve_P61978_3_HNRNPK.pdf</t>
  </si>
  <si>
    <t>Melting_Curves/meltCurve_P61981_YWHAG.pdf</t>
  </si>
  <si>
    <t>Melting_Curves/meltCurve_P62070_RRAS2.pdf</t>
  </si>
  <si>
    <t>Melting_Curves/meltCurve_P62072_TIMM10.pdf</t>
  </si>
  <si>
    <t>Melting_Curves/meltCurve_P62081_RPS7.pdf</t>
  </si>
  <si>
    <t>Melting_Curves/meltCurve_P62136_PPP1CA.pdf</t>
  </si>
  <si>
    <t>Melting_Curves/meltCurve_P62140_PPP1CB.pdf</t>
  </si>
  <si>
    <t>Melting_Curves/meltCurve_P62166_NCS1.pdf</t>
  </si>
  <si>
    <t>Melting_Curves/meltCurve_P62191_PSMC1.pdf</t>
  </si>
  <si>
    <t>Melting_Curves/meltCurve_P62195_2_PSMC5.pdf</t>
  </si>
  <si>
    <t>Melting_Curves/meltCurve_P62241_RPS8.pdf</t>
  </si>
  <si>
    <t>Melting_Curves/meltCurve_P62249_RPS16.pdf</t>
  </si>
  <si>
    <t>Melting_Curves/meltCurve_P62253_UBE2G1.pdf</t>
  </si>
  <si>
    <t>Melting_Curves/meltCurve_P62258_YWHAE.pdf</t>
  </si>
  <si>
    <t>Melting_Curves/meltCurve_P62263_RPS14.pdf</t>
  </si>
  <si>
    <t>Melting_Curves/meltCurve_P62266_RPS23.pdf</t>
  </si>
  <si>
    <t>Melting_Curves/meltCurve_P62269_RPS18.pdf</t>
  </si>
  <si>
    <t>Melting_Curves/meltCurve_P62273_RPS29.pdf</t>
  </si>
  <si>
    <t>Melting_Curves/meltCurve_P62277_RPS13.pdf</t>
  </si>
  <si>
    <t>Melting_Curves/meltCurve_P62280_RPS11.pdf</t>
  </si>
  <si>
    <t>Melting_Curves/meltCurve_P62304_SNRPE.pdf</t>
  </si>
  <si>
    <t>Melting_Curves/meltCurve_P62306_SNRPF.pdf</t>
  </si>
  <si>
    <t>Melting_Curves/meltCurve_P62308_SNRPG.pdf</t>
  </si>
  <si>
    <t>Melting_Curves/meltCurve_P62310_LSM3.pdf</t>
  </si>
  <si>
    <t>Melting_Curves/meltCurve_P62312_LSM6.pdf</t>
  </si>
  <si>
    <t>Melting_Curves/meltCurve_P62314_SNRPD1.pdf</t>
  </si>
  <si>
    <t>Melting_Curves/meltCurve_P62316_SNRPD2.pdf</t>
  </si>
  <si>
    <t>Melting_Curves/meltCurve_P62328_TMSB4X.pdf</t>
  </si>
  <si>
    <t>Melting_Curves/meltCurve_P62330_ARF6.pdf</t>
  </si>
  <si>
    <t>Melting_Curves/meltCurve_P62333_PSMC6.pdf</t>
  </si>
  <si>
    <t>Melting_Curves/meltCurve_P62424_RPL7A.pdf</t>
  </si>
  <si>
    <t>Melting_Curves/meltCurve_P62487_POLR2G.pdf</t>
  </si>
  <si>
    <t>Melting_Curves/meltCurve_P62495_ETF1.pdf</t>
  </si>
  <si>
    <t>Melting_Curves/meltCurve_P62633_2_CNBP.pdf</t>
  </si>
  <si>
    <t>Melting_Curves/meltCurve_P62633_4_CNBP.pdf</t>
  </si>
  <si>
    <t>Melting_Curves/meltCurve_P62699_YPEL5.pdf</t>
  </si>
  <si>
    <t>Melting_Curves/meltCurve_P62701_RPS4X.pdf</t>
  </si>
  <si>
    <t>Melting_Curves/meltCurve_P62714_PPP2CB.pdf</t>
  </si>
  <si>
    <t>Melting_Curves/meltCurve_P62750_RPL23A.pdf</t>
  </si>
  <si>
    <t>Melting_Curves/meltCurve_P62753_RPS6.pdf</t>
  </si>
  <si>
    <t>Melting_Curves/meltCurve_P62805_HIST1H4A.pdf</t>
  </si>
  <si>
    <t>Melting_Curves/meltCurve_P62820_RAB1A.pdf</t>
  </si>
  <si>
    <t>Melting_Curves/meltCurve_P62829_RPL23.pdf</t>
  </si>
  <si>
    <t>Melting_Curves/meltCurve_P62834_RAP1A.pdf</t>
  </si>
  <si>
    <t>Melting_Curves/meltCurve_P62837_UBE2D2.pdf</t>
  </si>
  <si>
    <t>Melting_Curves/meltCurve_P62851_RPS25.pdf</t>
  </si>
  <si>
    <t>Melting_Curves/meltCurve_P62854_RPS26.pdf</t>
  </si>
  <si>
    <t>Melting_Curves/meltCurve_P62857_RPS28.pdf</t>
  </si>
  <si>
    <t>Melting_Curves/meltCurve_P62873_GNB1.pdf</t>
  </si>
  <si>
    <t>Melting_Curves/meltCurve_P62875_POLR2L.pdf</t>
  </si>
  <si>
    <t>Melting_Curves/meltCurve_P62877_RBX1.pdf</t>
  </si>
  <si>
    <t>Melting_Curves/meltCurve_P62879_GNB2.pdf</t>
  </si>
  <si>
    <t>Melting_Curves/meltCurve_P62899_RPL31.pdf</t>
  </si>
  <si>
    <t>Melting_Curves/meltCurve_P62906_RPL10A.pdf</t>
  </si>
  <si>
    <t>Melting_Curves/meltCurve_P62913_2_RPL11.pdf</t>
  </si>
  <si>
    <t>Melting_Curves/meltCurve_P62937_PPIA.pdf</t>
  </si>
  <si>
    <t>Melting_Curves/meltCurve_P62942_FKBP1A.pdf</t>
  </si>
  <si>
    <t>Melting_Curves/meltCurve_P62979_RPS27A.pdf</t>
  </si>
  <si>
    <t>Melting_Curves/meltCurve_P62993_GRB2.pdf</t>
  </si>
  <si>
    <t>Melting_Curves/meltCurve_P62995_3_TRA2B.pdf</t>
  </si>
  <si>
    <t>Melting_Curves/meltCurve_P63000_RAC1.pdf</t>
  </si>
  <si>
    <t>Melting_Curves/meltCurve_P63010_AP2B1.pdf</t>
  </si>
  <si>
    <t>Melting_Curves/meltCurve_P63092_GNAS.pdf</t>
  </si>
  <si>
    <t>Melting_Curves/meltCurve_P63104_YWHAZ.pdf</t>
  </si>
  <si>
    <t>Melting_Curves/meltCurve_P63151_PPP2R2A.pdf</t>
  </si>
  <si>
    <t>Melting_Curves/meltCurve_P63167_DYNLL1.pdf</t>
  </si>
  <si>
    <t>Melting_Curves/meltCurve_P63173_RPL38.pdf</t>
  </si>
  <si>
    <t>Melting_Curves/meltCurve_P63218_GNG5.pdf</t>
  </si>
  <si>
    <t>Melting_Curves/meltCurve_P63241_EIF5A.pdf</t>
  </si>
  <si>
    <t>Melting_Curves/meltCurve_P63244_GNB2L1.pdf</t>
  </si>
  <si>
    <t>Melting_Curves/meltCurve_P67775_PPP2CA.pdf</t>
  </si>
  <si>
    <t>Melting_Curves/meltCurve_P67809_YBX1.pdf</t>
  </si>
  <si>
    <t>Melting_Curves/meltCurve_P67936_TPM4.pdf</t>
  </si>
  <si>
    <t>Melting_Curves/meltCurve_P68036_UBE2L3.pdf</t>
  </si>
  <si>
    <t>Melting_Curves/meltCurve_P68104_EEF1A1.pdf</t>
  </si>
  <si>
    <t>Melting_Curves/meltCurve_P68133_ACTA1.pdf</t>
  </si>
  <si>
    <t>Melting_Curves/meltCurve_P68363_TUBA1B.pdf</t>
  </si>
  <si>
    <t>Melting_Curves/meltCurve_P68371_TUBB4B.pdf</t>
  </si>
  <si>
    <t>Melting_Curves/meltCurve_P68402_PAFAH1B2.pdf</t>
  </si>
  <si>
    <t>Melting_Curves/meltCurve_P68871_HBB.pdf</t>
  </si>
  <si>
    <t>Melting_Curves/meltCurve_P69891_HBG1.pdf</t>
  </si>
  <si>
    <t>Melting_Curves/meltCurve_P69892_HBG2.pdf</t>
  </si>
  <si>
    <t>Melting_Curves/meltCurve_P69905_HBA1.pdf</t>
  </si>
  <si>
    <t>Melting_Curves/meltCurve_P78316_NOP14.pdf</t>
  </si>
  <si>
    <t>Melting_Curves/meltCurve_P78318_IGBP1.pdf</t>
  </si>
  <si>
    <t>Melting_Curves/meltCurve_P78330_PSPH.pdf</t>
  </si>
  <si>
    <t>Melting_Curves/meltCurve_P78332_RBM6.pdf</t>
  </si>
  <si>
    <t>Melting_Curves/meltCurve_P78345_RPP38.pdf</t>
  </si>
  <si>
    <t>Melting_Curves/meltCurve_P78346_RPP30.pdf</t>
  </si>
  <si>
    <t>Melting_Curves/meltCurve_P78347_2_GTF2I.pdf</t>
  </si>
  <si>
    <t>Melting_Curves/meltCurve_P78356_PIP4K2B.pdf</t>
  </si>
  <si>
    <t>Melting_Curves/meltCurve_P78362_SRPK2.pdf</t>
  </si>
  <si>
    <t>Melting_Curves/meltCurve_P78368_CSNK1G2.pdf</t>
  </si>
  <si>
    <t>Melting_Curves/meltCurve_P78371_CCT2.pdf</t>
  </si>
  <si>
    <t>Melting_Curves/meltCurve_P78406_RAE1.pdf</t>
  </si>
  <si>
    <t>Melting_Curves/meltCurve_P78417_GSTO1.pdf</t>
  </si>
  <si>
    <t>Melting_Curves/meltCurve_P78527_PRKDC.pdf</t>
  </si>
  <si>
    <t>Melting_Curves/meltCurve_P78536_ADAM17.pdf</t>
  </si>
  <si>
    <t>Melting_Curves/meltCurve_P78537_BLOC1S1.pdf</t>
  </si>
  <si>
    <t>Melting_Curves/meltCurve_P78540_ARG2.pdf</t>
  </si>
  <si>
    <t>Melting_Curves/meltCurve_P78560_CRADD.pdf</t>
  </si>
  <si>
    <t>Melting_Curves/meltCurve_P80217_IFI35.pdf</t>
  </si>
  <si>
    <t>Melting_Curves/meltCurve_P80303_NUCB2.pdf</t>
  </si>
  <si>
    <t>Melting_Curves/meltCurve_P81877_4_SSBP2.pdf</t>
  </si>
  <si>
    <t>Melting_Curves/meltCurve_P82094_TMF1.pdf</t>
  </si>
  <si>
    <t>Melting_Curves/meltCurve_P82673_MRPS35.pdf</t>
  </si>
  <si>
    <t>Melting_Curves/meltCurve_P82675_MRPS5.pdf</t>
  </si>
  <si>
    <t>Melting_Curves/meltCurve_P82909_MRPS36.pdf</t>
  </si>
  <si>
    <t>Melting_Curves/meltCurve_P82912_2_MRPS11.pdf</t>
  </si>
  <si>
    <t>Melting_Curves/meltCurve_P82930_MRPS34.pdf</t>
  </si>
  <si>
    <t>Melting_Curves/meltCurve_P82932_MRPS6.pdf</t>
  </si>
  <si>
    <t>Melting_Curves/meltCurve_P82933_MRPS9.pdf</t>
  </si>
  <si>
    <t>Melting_Curves/meltCurve_P82979_SARNP.pdf</t>
  </si>
  <si>
    <t>Melting_Curves/meltCurve_P82980_RBP5.pdf</t>
  </si>
  <si>
    <t>Melting_Curves/meltCurve_P83111_LACTB.pdf</t>
  </si>
  <si>
    <t>Melting_Curves/meltCurve_P83436_COG7.pdf</t>
  </si>
  <si>
    <t>Melting_Curves/meltCurve_P84022_SMAD3.pdf</t>
  </si>
  <si>
    <t>Melting_Curves/meltCurve_P84077_ARF1.pdf</t>
  </si>
  <si>
    <t>Melting_Curves/meltCurve_P84085_ARF5.pdf</t>
  </si>
  <si>
    <t>Melting_Curves/meltCurve_P84090_ERH.pdf</t>
  </si>
  <si>
    <t>Melting_Curves/meltCurve_P84095_RHOG.pdf</t>
  </si>
  <si>
    <t>Melting_Curves/meltCurve_P84101_4_SERF2.pdf</t>
  </si>
  <si>
    <t>Melting_Curves/meltCurve_P85037_FOXK1.pdf</t>
  </si>
  <si>
    <t>Melting_Curves/meltCurve_P86397_RPP14.pdf</t>
  </si>
  <si>
    <t>Melting_Curves/meltCurve_P86791_CCZ1.pdf</t>
  </si>
  <si>
    <t>Melting_Curves/meltCurve_P98153_2_DGCR2.pdf</t>
  </si>
  <si>
    <t>Melting_Curves/meltCurve_P98160_HSPG2.pdf</t>
  </si>
  <si>
    <t>Melting_Curves/meltCurve_P98170_XIAP.pdf</t>
  </si>
  <si>
    <t>Melting_Curves/meltCurve_P98172_EFNB1.pdf</t>
  </si>
  <si>
    <t>Melting_Curves/meltCurve_P98173_3_FAM3A.pdf</t>
  </si>
  <si>
    <t>Melting_Curves/meltCurve_P98175_2_RBM10.pdf</t>
  </si>
  <si>
    <t>Melting_Curves/meltCurve_P98179_RBM3.pdf</t>
  </si>
  <si>
    <t>Melting_Curves/meltCurve_Q00013_MPP1.pdf</t>
  </si>
  <si>
    <t>Melting_Curves/meltCurve_Q00059_TFAM.pdf</t>
  </si>
  <si>
    <t>Melting_Curves/meltCurve_Q00169_PITPNA.pdf</t>
  </si>
  <si>
    <t>Melting_Curves/meltCurve_Q00325_2_SLC25A3.pdf</t>
  </si>
  <si>
    <t>Melting_Curves/meltCurve_Q00341_HDLBP.pdf</t>
  </si>
  <si>
    <t>Melting_Curves/meltCurve_Q00403_GTF2B.pdf</t>
  </si>
  <si>
    <t>Melting_Curves/meltCurve_Q00534_CDK6.pdf</t>
  </si>
  <si>
    <t>Melting_Curves/meltCurve_Q00535_CDK5.pdf</t>
  </si>
  <si>
    <t>Melting_Curves/meltCurve_Q00536_CDK16.pdf</t>
  </si>
  <si>
    <t>Melting_Curves/meltCurve_Q00610_2_CLTC.pdf</t>
  </si>
  <si>
    <t>Melting_Curves/meltCurve_Q00653_4_NFKB2.pdf</t>
  </si>
  <si>
    <t>Melting_Curves/meltCurve_Q00688_FKBP3.pdf</t>
  </si>
  <si>
    <t>Melting_Curves/meltCurve_Q00765_REEP5.pdf</t>
  </si>
  <si>
    <t>Melting_Curves/meltCurve_Q00796_SORD.pdf</t>
  </si>
  <si>
    <t>Melting_Curves/meltCurve_Q00839_2_HNRNPU.pdf</t>
  </si>
  <si>
    <t>Melting_Curves/meltCurve_Q00973_B4GALNT1.pdf</t>
  </si>
  <si>
    <t>Melting_Curves/meltCurve_Q01081_U2AF1.pdf</t>
  </si>
  <si>
    <t>Melting_Curves/meltCurve_Q01082_SPTBN1.pdf</t>
  </si>
  <si>
    <t>Melting_Curves/meltCurve_Q01082_3_SPTBN1.pdf</t>
  </si>
  <si>
    <t>Melting_Curves/meltCurve_Q01085_2_TIAL1.pdf</t>
  </si>
  <si>
    <t>Melting_Curves/meltCurve_Q01105_2_SET.pdf</t>
  </si>
  <si>
    <t>Melting_Curves/meltCurve_Q01167_2_FOXK2.pdf</t>
  </si>
  <si>
    <t>Melting_Curves/meltCurve_Q01196_RUNX1.pdf</t>
  </si>
  <si>
    <t>Melting_Curves/meltCurve_Q01415_GALK2.pdf</t>
  </si>
  <si>
    <t>Melting_Curves/meltCurve_Q01432_AMPD3.pdf</t>
  </si>
  <si>
    <t>Melting_Curves/meltCurve_Q01469_FABP5.pdf</t>
  </si>
  <si>
    <t>Melting_Curves/meltCurve_Q01518_2_CAP1.pdf</t>
  </si>
  <si>
    <t>Melting_Curves/meltCurve_Q01581_HMGCS1.pdf</t>
  </si>
  <si>
    <t>Melting_Curves/meltCurve_Q01650_SLC7A5.pdf</t>
  </si>
  <si>
    <t>Melting_Curves/meltCurve_Q01658_DR1.pdf</t>
  </si>
  <si>
    <t>Melting_Curves/meltCurve_Q01780_2_EXOSC10.pdf</t>
  </si>
  <si>
    <t>Melting_Curves/meltCurve_Q01813_PFKP.pdf</t>
  </si>
  <si>
    <t>Melting_Curves/meltCurve_Q01968_OCRL.pdf</t>
  </si>
  <si>
    <t>Melting_Curves/meltCurve_Q01970_PLCB3.pdf</t>
  </si>
  <si>
    <t>Melting_Curves/meltCurve_Q01974_ROR2.pdf</t>
  </si>
  <si>
    <t>Melting_Curves/meltCurve_Q02040_AKAP17A.pdf</t>
  </si>
  <si>
    <t>Melting_Curves/meltCurve_Q02086_2_SP2.pdf</t>
  </si>
  <si>
    <t>Melting_Curves/meltCurve_Q02127_DHODH.pdf</t>
  </si>
  <si>
    <t>Melting_Curves/meltCurve_Q02224_3_CENPE.pdf</t>
  </si>
  <si>
    <t>Melting_Curves/meltCurve_Q02241_KIF23.pdf</t>
  </si>
  <si>
    <t>Melting_Curves/meltCurve_Q02446_SP4.pdf</t>
  </si>
  <si>
    <t>Melting_Curves/meltCurve_Q02543_RPL18A.pdf</t>
  </si>
  <si>
    <t>Melting_Curves/meltCurve_Q02750_MAP2K1.pdf</t>
  </si>
  <si>
    <t>Melting_Curves/meltCurve_Q02763_2_TEK.pdf</t>
  </si>
  <si>
    <t>Melting_Curves/meltCurve_Q02790_FKBP4.pdf</t>
  </si>
  <si>
    <t>Melting_Curves/meltCurve_Q02809_PLOD1.pdf</t>
  </si>
  <si>
    <t>Melting_Curves/meltCurve_Q02818_NUCB1.pdf</t>
  </si>
  <si>
    <t>Melting_Curves/meltCurve_Q02833_3_RASSF7.pdf</t>
  </si>
  <si>
    <t>Melting_Curves/meltCurve_Q02878_RPL6.pdf</t>
  </si>
  <si>
    <t>Melting_Curves/meltCurve_Q02880_2_TOP2B.pdf</t>
  </si>
  <si>
    <t>Melting_Curves/meltCurve_Q02952_3_AKAP12.pdf</t>
  </si>
  <si>
    <t>Melting_Curves/meltCurve_Q03013_2_GSTM4.pdf</t>
  </si>
  <si>
    <t>Melting_Curves/meltCurve_Q03014_HHEX.pdf</t>
  </si>
  <si>
    <t>Melting_Curves/meltCurve_Q03060_9_CREM.pdf</t>
  </si>
  <si>
    <t>Melting_Curves/meltCurve_Q03111_MLLT1.pdf</t>
  </si>
  <si>
    <t>Melting_Curves/meltCurve_Q03154_ACY1.pdf</t>
  </si>
  <si>
    <t>Melting_Curves/meltCurve_Q03167_2_TGFBR3.pdf</t>
  </si>
  <si>
    <t>Melting_Curves/meltCurve_Q03169_TNFAIP2.pdf</t>
  </si>
  <si>
    <t>Melting_Curves/meltCurve_Q04446_GBE1.pdf</t>
  </si>
  <si>
    <t>Melting_Curves/meltCurve_Q04656_5_ATP7A.pdf</t>
  </si>
  <si>
    <t>Melting_Curves/meltCurve_Q04759_PRKCQ.pdf</t>
  </si>
  <si>
    <t>Melting_Curves/meltCurve_Q04760_GLO1.pdf</t>
  </si>
  <si>
    <t>Melting_Curves/meltCurve_Q04771_ACVR1.pdf</t>
  </si>
  <si>
    <t>Melting_Curves/meltCurve_Q04828_AKR1C1.pdf</t>
  </si>
  <si>
    <t>Melting_Curves/meltCurve_Q04837_SSBP1.pdf</t>
  </si>
  <si>
    <t>Melting_Curves/meltCurve_Q04917_YWHAH.pdf</t>
  </si>
  <si>
    <t>Melting_Curves/meltCurve_Q04941_PLP2.pdf</t>
  </si>
  <si>
    <t>Melting_Curves/meltCurve_Q05048_CSTF1.pdf</t>
  </si>
  <si>
    <t>Melting_Curves/meltCurve_Q05086_3_UBE3A.pdf</t>
  </si>
  <si>
    <t>Melting_Curves/meltCurve_Q05193_5_DNM1.pdf</t>
  </si>
  <si>
    <t>Melting_Curves/meltCurve_Q05209_PTPN12.pdf</t>
  </si>
  <si>
    <t>Melting_Curves/meltCurve_Q05519_2_SRSF11.pdf</t>
  </si>
  <si>
    <t>Melting_Curves/meltCurve_Q05639_EEF1A2.pdf</t>
  </si>
  <si>
    <t>Melting_Curves/meltCurve_Q05655_PRKCD.pdf</t>
  </si>
  <si>
    <t>Melting_Curves/meltCurve_Q05823_RNASEL.pdf</t>
  </si>
  <si>
    <t>Melting_Curves/meltCurve_Q05932_3_FPGS.pdf</t>
  </si>
  <si>
    <t>Melting_Curves/meltCurve_Q05D32_2_CTDSPL2.pdf</t>
  </si>
  <si>
    <t>Melting_Curves/meltCurve_Q06124_PTPN11.pdf</t>
  </si>
  <si>
    <t>Melting_Curves/meltCurve_Q06187_BTK.pdf</t>
  </si>
  <si>
    <t>Melting_Curves/meltCurve_Q06203_PPAT.pdf</t>
  </si>
  <si>
    <t>Melting_Curves/meltCurve_Q06210_2_GFPT1.pdf</t>
  </si>
  <si>
    <t>Melting_Curves/meltCurve_Q06265_EXOSC9.pdf</t>
  </si>
  <si>
    <t>Melting_Curves/meltCurve_Q06330_5_RBPJ.pdf</t>
  </si>
  <si>
    <t>Melting_Curves/meltCurve_Q06413_5_MEF2C.pdf</t>
  </si>
  <si>
    <t>Melting_Curves/meltCurve_Q06481_APLP2.pdf</t>
  </si>
  <si>
    <t>Melting_Curves/meltCurve_Q06546_GABPA.pdf</t>
  </si>
  <si>
    <t>Melting_Curves/meltCurve_Q06587_RING1.pdf</t>
  </si>
  <si>
    <t>Melting_Curves/meltCurve_Q06609_3_RAD51.pdf</t>
  </si>
  <si>
    <t>Melting_Curves/meltCurve_Q06830_PRDX1.pdf</t>
  </si>
  <si>
    <t>Melting_Curves/meltCurve_Q07021_C1QBP.pdf</t>
  </si>
  <si>
    <t>Melting_Curves/meltCurve_Q07108_CD69.pdf</t>
  </si>
  <si>
    <t>Melting_Curves/meltCurve_Q07283_TCHH.pdf</t>
  </si>
  <si>
    <t>Melting_Curves/meltCurve_Q07666_KHDRBS1.pdf</t>
  </si>
  <si>
    <t>Melting_Curves/meltCurve_Q07812_5_BAX.pdf</t>
  </si>
  <si>
    <t>Melting_Curves/meltCurve_Q07820_MCL1.pdf</t>
  </si>
  <si>
    <t>Melting_Curves/meltCurve_Q07864_POLE.pdf</t>
  </si>
  <si>
    <t>Melting_Curves/meltCurve_Q07866_6_KLC1.pdf</t>
  </si>
  <si>
    <t>Melting_Curves/meltCurve_Q07960_ARHGAP1.pdf</t>
  </si>
  <si>
    <t>Melting_Curves/meltCurve_Q08209_2_PPP3CA.pdf</t>
  </si>
  <si>
    <t>Melting_Curves/meltCurve_Q08211_DHX9.pdf</t>
  </si>
  <si>
    <t>Melting_Curves/meltCurve_Q08257_CRYZ.pdf</t>
  </si>
  <si>
    <t>Melting_Curves/meltCurve_Q08357_SLC20A2.pdf</t>
  </si>
  <si>
    <t>Melting_Curves/meltCurve_Q08378_GOLGA3.pdf</t>
  </si>
  <si>
    <t>Melting_Curves/meltCurve_Q08379_GOLGA2.pdf</t>
  </si>
  <si>
    <t>Melting_Curves/meltCurve_Q08426_EHHADH.pdf</t>
  </si>
  <si>
    <t>Melting_Curves/meltCurve_Q08495_EPB49.pdf</t>
  </si>
  <si>
    <t>Melting_Curves/meltCurve_Q08722_CD47.pdf</t>
  </si>
  <si>
    <t>Melting_Curves/meltCurve_Q08752_PPID.pdf</t>
  </si>
  <si>
    <t>Melting_Curves/meltCurve_Q08945_SSRP1.pdf</t>
  </si>
  <si>
    <t>Melting_Curves/meltCurve_Q08AE8_2_SPIRE1.pdf</t>
  </si>
  <si>
    <t>Melting_Curves/meltCurve_Q08AG7_MZT1.pdf</t>
  </si>
  <si>
    <t>Melting_Curves/meltCurve_Q08AM6_VAC14.pdf</t>
  </si>
  <si>
    <t>Melting_Curves/meltCurve_Q08E86_KIAA0100.pdf</t>
  </si>
  <si>
    <t>Melting_Curves/meltCurve_Q08ER3_ZNF365.pdf</t>
  </si>
  <si>
    <t>Melting_Curves/meltCurve_Q08J23_NSUN2.pdf</t>
  </si>
  <si>
    <t>Melting_Curves/meltCurve_Q09028_3_RBBP4.pdf</t>
  </si>
  <si>
    <t>Melting_Curves/meltCurve_Q09161_NCBP1.pdf</t>
  </si>
  <si>
    <t>Melting_Curves/meltCurve_Q09328_MGAT5.pdf</t>
  </si>
  <si>
    <t>Melting_Curves/meltCurve_Q09472_EP300.pdf</t>
  </si>
  <si>
    <t>Melting_Curves/meltCurve_Q09666_AHNAK.pdf</t>
  </si>
  <si>
    <t>Melting_Curves/meltCurve_Q0PNE2_ELP6.pdf</t>
  </si>
  <si>
    <t>Melting_Curves/meltCurve_Q0VDF9_HSPA14.pdf</t>
  </si>
  <si>
    <t>Melting_Curves/meltCurve_Q0VDG4_SCRN3.pdf</t>
  </si>
  <si>
    <t>Melting_Curves/meltCurve_Q0VG06_3_FAAP100.pdf</t>
  </si>
  <si>
    <t>Melting_Curves/meltCurve_Q10469_MGAT2.pdf</t>
  </si>
  <si>
    <t>Melting_Curves/meltCurve_Q10471_GALNT2.pdf</t>
  </si>
  <si>
    <t>Melting_Curves/meltCurve_Q10567_2_AP1B1.pdf</t>
  </si>
  <si>
    <t>Melting_Curves/meltCurve_Q10567_3_AP1B1.pdf</t>
  </si>
  <si>
    <t>Melting_Curves/meltCurve_Q10570_CPSF1.pdf</t>
  </si>
  <si>
    <t>Melting_Curves/meltCurve_Q10589_BST2.pdf</t>
  </si>
  <si>
    <t>Melting_Curves/meltCurve_Q10713_PMPCA.pdf</t>
  </si>
  <si>
    <t>Melting_Curves/meltCurve_Q12769_NUP160.pdf</t>
  </si>
  <si>
    <t>Melting_Curves/meltCurve_Q12770_SCAP.pdf</t>
  </si>
  <si>
    <t>Melting_Curves/meltCurve_Q12788_TBL3.pdf</t>
  </si>
  <si>
    <t>Melting_Curves/meltCurve_Q12792_TWF1.pdf</t>
  </si>
  <si>
    <t>Melting_Curves/meltCurve_Q12797_10_ASPH.pdf</t>
  </si>
  <si>
    <t>Melting_Curves/meltCurve_Q12800_2_TFCP2.pdf</t>
  </si>
  <si>
    <t>Melting_Curves/meltCurve_Q12830_4_BPTF.pdf</t>
  </si>
  <si>
    <t>Melting_Curves/meltCurve_Q12834_CDC20.pdf</t>
  </si>
  <si>
    <t>Melting_Curves/meltCurve_Q12840_KIF5A.pdf</t>
  </si>
  <si>
    <t>Melting_Curves/meltCurve_Q12846_STX4.pdf</t>
  </si>
  <si>
    <t>Melting_Curves/meltCurve_Q12872_SFSWAP.pdf</t>
  </si>
  <si>
    <t>Melting_Curves/meltCurve_Q12874_SF3A3.pdf</t>
  </si>
  <si>
    <t>Melting_Curves/meltCurve_Q12888_TP53BP1.pdf</t>
  </si>
  <si>
    <t>Melting_Curves/meltCurve_Q12893_TMEM115.pdf</t>
  </si>
  <si>
    <t>Melting_Curves/meltCurve_Q12894_IFRD2.pdf</t>
  </si>
  <si>
    <t>Melting_Curves/meltCurve_Q12904_AIMP1.pdf</t>
  </si>
  <si>
    <t>Melting_Curves/meltCurve_Q12905_ILF2.pdf</t>
  </si>
  <si>
    <t>Melting_Curves/meltCurve_Q12906_ILF3.pdf</t>
  </si>
  <si>
    <t>Melting_Curves/meltCurve_Q12907_LMAN2.pdf</t>
  </si>
  <si>
    <t>Melting_Curves/meltCurve_Q12933_3_TRAF2.pdf</t>
  </si>
  <si>
    <t>Melting_Curves/meltCurve_Q12955_ANK3.pdf</t>
  </si>
  <si>
    <t>Melting_Curves/meltCurve_Q12959_5_DLG1.pdf</t>
  </si>
  <si>
    <t>Melting_Curves/meltCurve_Q12962_TAF10.pdf</t>
  </si>
  <si>
    <t>Melting_Curves/meltCurve_Q12972_PPP1R8.pdf</t>
  </si>
  <si>
    <t>Melting_Curves/meltCurve_Q12974_PTP4A2.pdf</t>
  </si>
  <si>
    <t>Melting_Curves/meltCurve_Q12981_BNIP1.pdf</t>
  </si>
  <si>
    <t>Melting_Curves/meltCurve_Q12986_NFX1.pdf</t>
  </si>
  <si>
    <t>Melting_Curves/meltCurve_Q12996_CSTF3.pdf</t>
  </si>
  <si>
    <t>Melting_Curves/meltCurve_Q13011_ECH1.pdf</t>
  </si>
  <si>
    <t>Melting_Curves/meltCurve_Q13015_MLLT11.pdf</t>
  </si>
  <si>
    <t>Melting_Curves/meltCurve_Q13017_2_ARHGAP5.pdf</t>
  </si>
  <si>
    <t>Melting_Curves/meltCurve_Q13033_2_STRN3.pdf</t>
  </si>
  <si>
    <t>Melting_Curves/meltCurve_Q13042_3_CDC16.pdf</t>
  </si>
  <si>
    <t>Melting_Curves/meltCurve_Q13043_STK4.pdf</t>
  </si>
  <si>
    <t>Melting_Curves/meltCurve_Q13045_FLII.pdf</t>
  </si>
  <si>
    <t>Melting_Curves/meltCurve_Q13045_2_FLII.pdf</t>
  </si>
  <si>
    <t>Melting_Curves/meltCurve_Q13057_COASY.pdf</t>
  </si>
  <si>
    <t>Melting_Curves/meltCurve_Q13068_GAGE4.pdf</t>
  </si>
  <si>
    <t>Melting_Curves/meltCurve_Q13070_GAGE6.pdf</t>
  </si>
  <si>
    <t>Melting_Curves/meltCurve_Q13085_3_ACACA.pdf</t>
  </si>
  <si>
    <t>Melting_Curves/meltCurve_Q13094_LCP2.pdf</t>
  </si>
  <si>
    <t>Melting_Curves/meltCurve_Q13107_2_USP4.pdf</t>
  </si>
  <si>
    <t>Melting_Curves/meltCurve_Q13111_CHAF1A.pdf</t>
  </si>
  <si>
    <t>Melting_Curves/meltCurve_Q13112_CHAF1B.pdf</t>
  </si>
  <si>
    <t>Melting_Curves/meltCurve_Q13123_IK.pdf</t>
  </si>
  <si>
    <t>Melting_Curves/meltCurve_Q13131_PRKAA1.pdf</t>
  </si>
  <si>
    <t>Melting_Curves/meltCurve_Q13136_PPFIA1.pdf</t>
  </si>
  <si>
    <t>Melting_Curves/meltCurve_Q13148_TARDBP.pdf</t>
  </si>
  <si>
    <t>Melting_Curves/meltCurve_Q13151_HNRNPA0.pdf</t>
  </si>
  <si>
    <t>Melting_Curves/meltCurve_Q13155_AIMP2.pdf</t>
  </si>
  <si>
    <t>Melting_Curves/meltCurve_Q13158_FADD.pdf</t>
  </si>
  <si>
    <t>Melting_Curves/meltCurve_Q13162_PRDX4.pdf</t>
  </si>
  <si>
    <t>Melting_Curves/meltCurve_Q13164_MAPK7.pdf</t>
  </si>
  <si>
    <t>Melting_Curves/meltCurve_Q13177_PAK2.pdf</t>
  </si>
  <si>
    <t>Melting_Curves/meltCurve_Q13185_CBX3.pdf</t>
  </si>
  <si>
    <t>Melting_Curves/meltCurve_Q13188_STK3.pdf</t>
  </si>
  <si>
    <t>Melting_Curves/meltCurve_Q13190_3_STX5.pdf</t>
  </si>
  <si>
    <t>Melting_Curves/meltCurve_Q13200_PSMD2.pdf</t>
  </si>
  <si>
    <t>Melting_Curves/meltCurve_Q13206_DDX10.pdf</t>
  </si>
  <si>
    <t>Melting_Curves/meltCurve_Q13217_DNAJC3.pdf</t>
  </si>
  <si>
    <t>Melting_Curves/meltCurve_Q13228_SELENBP1.pdf</t>
  </si>
  <si>
    <t>Melting_Curves/meltCurve_Q13232_NME3.pdf</t>
  </si>
  <si>
    <t>Melting_Curves/meltCurve_Q13233_MAP3K1.pdf</t>
  </si>
  <si>
    <t>Melting_Curves/meltCurve_Q13242_SRSF9.pdf</t>
  </si>
  <si>
    <t>Melting_Curves/meltCurve_Q13243_SRSF5.pdf</t>
  </si>
  <si>
    <t>Melting_Curves/meltCurve_Q13247_3_SRSF6.pdf</t>
  </si>
  <si>
    <t>Melting_Curves/meltCurve_Q13257_MAD2L1.pdf</t>
  </si>
  <si>
    <t>Melting_Curves/meltCurve_Q13263_TRIM28.pdf</t>
  </si>
  <si>
    <t>Melting_Curves/meltCurve_Q13277_2_STX3.pdf</t>
  </si>
  <si>
    <t>Melting_Curves/meltCurve_Q13283_G3BP1.pdf</t>
  </si>
  <si>
    <t>Melting_Curves/meltCurve_Q13287_NMI.pdf</t>
  </si>
  <si>
    <t>Melting_Curves/meltCurve_Q13308_3_PTK7.pdf</t>
  </si>
  <si>
    <t>Melting_Curves/meltCurve_Q13309_SKP2.pdf</t>
  </si>
  <si>
    <t>Melting_Curves/meltCurve_Q13310_3_PABPC4.pdf</t>
  </si>
  <si>
    <t>Melting_Curves/meltCurve_Q13315_ATM.pdf</t>
  </si>
  <si>
    <t>Melting_Curves/meltCurve_Q13322_2_GRB10.pdf</t>
  </si>
  <si>
    <t>Melting_Curves/meltCurve_Q13330_3_MTA1.pdf</t>
  </si>
  <si>
    <t>Melting_Curves/meltCurve_Q13347_EIF3I.pdf</t>
  </si>
  <si>
    <t>Melting_Curves/meltCurve_Q13356_PPIL2.pdf</t>
  </si>
  <si>
    <t>Melting_Curves/meltCurve_Q13362_4_PPP2R5C.pdf</t>
  </si>
  <si>
    <t>Melting_Curves/meltCurve_Q13363_2_CTBP1.pdf</t>
  </si>
  <si>
    <t>Melting_Curves/meltCurve_Q13371_PDCL.pdf</t>
  </si>
  <si>
    <t>Melting_Curves/meltCurve_Q13393_2_PLD1.pdf</t>
  </si>
  <si>
    <t>Melting_Curves/meltCurve_Q13395_TARBP1.pdf</t>
  </si>
  <si>
    <t>Melting_Curves/meltCurve_Q13409_6_DYNC1I2.pdf</t>
  </si>
  <si>
    <t>Melting_Curves/meltCurve_Q13416_ORC2.pdf</t>
  </si>
  <si>
    <t>Melting_Curves/meltCurve_Q13418_ILK.pdf</t>
  </si>
  <si>
    <t>Melting_Curves/meltCurve_Q13422_7_IKZF1.pdf</t>
  </si>
  <si>
    <t>Melting_Curves/meltCurve_Q13423_NNT.pdf</t>
  </si>
  <si>
    <t>Melting_Curves/meltCurve_Q13424_SNTA1.pdf</t>
  </si>
  <si>
    <t>Melting_Curves/meltCurve_Q13425_SNTB2.pdf</t>
  </si>
  <si>
    <t>Melting_Curves/meltCurve_Q13426_3_XRCC4.pdf</t>
  </si>
  <si>
    <t>Melting_Curves/meltCurve_Q13427_PPIG.pdf</t>
  </si>
  <si>
    <t>Melting_Curves/meltCurve_Q13428_3_TCOF1.pdf</t>
  </si>
  <si>
    <t>Melting_Curves/meltCurve_Q13429_IGF_I.pdf</t>
  </si>
  <si>
    <t>Melting_Curves/meltCurve_Q13432_2_UNC119.pdf</t>
  </si>
  <si>
    <t>Melting_Curves/meltCurve_Q13435_SF3B2.pdf</t>
  </si>
  <si>
    <t>Melting_Curves/meltCurve_Q13438_4_OS9.pdf</t>
  </si>
  <si>
    <t>Melting_Curves/meltCurve_Q13439_3_GOLGA4.pdf</t>
  </si>
  <si>
    <t>Melting_Curves/meltCurve_Q13442_PDAP1.pdf</t>
  </si>
  <si>
    <t>Melting_Curves/meltCurve_Q13443_ADAM9.pdf</t>
  </si>
  <si>
    <t>Melting_Curves/meltCurve_Q13444_8_ADAM15.pdf</t>
  </si>
  <si>
    <t>Melting_Curves/meltCurve_Q13445_TMED1.pdf</t>
  </si>
  <si>
    <t>Melting_Curves/meltCurve_Q13451_FKBP5.pdf</t>
  </si>
  <si>
    <t>Melting_Curves/meltCurve_Q13464_ROCK1.pdf</t>
  </si>
  <si>
    <t>Melting_Curves/meltCurve_Q13467_FZD5.pdf</t>
  </si>
  <si>
    <t>Melting_Curves/meltCurve_Q13469_3_NFATC2.pdf</t>
  </si>
  <si>
    <t>Melting_Curves/meltCurve_Q13480_2_GAB1.pdf</t>
  </si>
  <si>
    <t>Melting_Curves/meltCurve_Q13488_TCIRG1.pdf</t>
  </si>
  <si>
    <t>Melting_Curves/meltCurve_Q13492_3_PICALM.pdf</t>
  </si>
  <si>
    <t>Melting_Curves/meltCurve_Q13496_MTM1.pdf</t>
  </si>
  <si>
    <t>Melting_Curves/meltCurve_Q13501_SQSTM1.pdf</t>
  </si>
  <si>
    <t>Melting_Curves/meltCurve_Q13505_3_MTX1.pdf</t>
  </si>
  <si>
    <t>Melting_Curves/meltCurve_Q13506_NAB1.pdf</t>
  </si>
  <si>
    <t>Melting_Curves/meltCurve_Q13509_TUBB3.pdf</t>
  </si>
  <si>
    <t>Melting_Curves/meltCurve_Q13526_PIN1.pdf</t>
  </si>
  <si>
    <t>Melting_Curves/meltCurve_Q13535_ATR.pdf</t>
  </si>
  <si>
    <t>Melting_Curves/meltCurve_Q13541_EIF4EBP1.pdf</t>
  </si>
  <si>
    <t>Melting_Curves/meltCurve_Q13542_EIF4EBP2.pdf</t>
  </si>
  <si>
    <t>Melting_Curves/meltCurve_Q13546_RIPK1.pdf</t>
  </si>
  <si>
    <t>Melting_Curves/meltCurve_Q13547_HDAC1.pdf</t>
  </si>
  <si>
    <t>Melting_Curves/meltCurve_Q13564_2_NAE1.pdf</t>
  </si>
  <si>
    <t>Melting_Curves/meltCurve_Q13572_ITPK1.pdf</t>
  </si>
  <si>
    <t>Melting_Curves/meltCurve_Q13573_SNW1.pdf</t>
  </si>
  <si>
    <t>Melting_Curves/meltCurve_Q13576_IQGAP2.pdf</t>
  </si>
  <si>
    <t>Melting_Curves/meltCurve_Q13586_STIM1.pdf</t>
  </si>
  <si>
    <t>Melting_Curves/meltCurve_Q13596_SNX1.pdf</t>
  </si>
  <si>
    <t>Melting_Curves/meltCurve_Q13608_PEX6.pdf</t>
  </si>
  <si>
    <t>Melting_Curves/meltCurve_Q13614_MTMR2.pdf</t>
  </si>
  <si>
    <t>Melting_Curves/meltCurve_Q13616_CUL1.pdf</t>
  </si>
  <si>
    <t>Melting_Curves/meltCurve_Q13617_CUL2.pdf</t>
  </si>
  <si>
    <t>Melting_Curves/meltCurve_Q13618_CUL3.pdf</t>
  </si>
  <si>
    <t>Melting_Curves/meltCurve_Q13619_CUL4A.pdf</t>
  </si>
  <si>
    <t>Melting_Curves/meltCurve_Q13620_1_CUL4B.pdf</t>
  </si>
  <si>
    <t>Melting_Curves/meltCurve_Q13625_2_TP53BP2.pdf</t>
  </si>
  <si>
    <t>Melting_Curves/meltCurve_Q13627_2_DYRK1A.pdf</t>
  </si>
  <si>
    <t>Melting_Curves/meltCurve_Q13630_TSTA3.pdf</t>
  </si>
  <si>
    <t>Melting_Curves/meltCurve_Q13636_RAB31.pdf</t>
  </si>
  <si>
    <t>Melting_Curves/meltCurve_Q13637_RAB32.pdf</t>
  </si>
  <si>
    <t>Melting_Curves/meltCurve_Q13643_FHL3.pdf</t>
  </si>
  <si>
    <t>Melting_Curves/meltCurve_Q13686_ALKBH1.pdf</t>
  </si>
  <si>
    <t>Melting_Curves/meltCurve_Q13724_MOGS.pdf</t>
  </si>
  <si>
    <t>Melting_Curves/meltCurve_Q13769_THOC5.pdf</t>
  </si>
  <si>
    <t>Melting_Curves/meltCurve_Q13795_ARFRP1.pdf</t>
  </si>
  <si>
    <t>Melting_Curves/meltCurve_Q13868_EXOSC2.pdf</t>
  </si>
  <si>
    <t>Melting_Curves/meltCurve_Q13885_TUBB2A.pdf</t>
  </si>
  <si>
    <t>Melting_Curves/meltCurve_Q13895_BYSL.pdf</t>
  </si>
  <si>
    <t>Melting_Curves/meltCurve_Q13907_IDI1.pdf</t>
  </si>
  <si>
    <t>Melting_Curves/meltCurve_Q13951_CBFB.pdf</t>
  </si>
  <si>
    <t>Melting_Curves/meltCurve_Q13951_2_CBFB.pdf</t>
  </si>
  <si>
    <t>Melting_Curves/meltCurve_Q13952_3_NFYC.pdf</t>
  </si>
  <si>
    <t>Melting_Curves/meltCurve_Q14008_2_CKAP5.pdf</t>
  </si>
  <si>
    <t>Melting_Curves/meltCurve_Q14011_CIRBP.pdf</t>
  </si>
  <si>
    <t>Melting_Curves/meltCurve_Q14019_COTL1.pdf</t>
  </si>
  <si>
    <t>Melting_Curves/meltCurve_Q14061_COX17.pdf</t>
  </si>
  <si>
    <t>Melting_Curves/meltCurve_Q14103_3_HNRNPD.pdf</t>
  </si>
  <si>
    <t>Melting_Curves/meltCurve_Q14108_SCARB2.pdf</t>
  </si>
  <si>
    <t>Melting_Curves/meltCurve_Q14114_4_LRP8.pdf</t>
  </si>
  <si>
    <t>Melting_Curves/meltCurve_Q14116_2_IL18.pdf</t>
  </si>
  <si>
    <t>Melting_Curves/meltCurve_Q14118_DAG1.pdf</t>
  </si>
  <si>
    <t>Melting_Curves/meltCurve_Q14126_DSG2.pdf</t>
  </si>
  <si>
    <t>Melting_Curves/meltCurve_Q14137_BOP1.pdf</t>
  </si>
  <si>
    <t>Melting_Curves/meltCurve_Q14139_UBE4A.pdf</t>
  </si>
  <si>
    <t>Melting_Curves/meltCurve_Q14145_KEAP1.pdf</t>
  </si>
  <si>
    <t>Melting_Curves/meltCurve_Q14147_DHX34.pdf</t>
  </si>
  <si>
    <t>Melting_Curves/meltCurve_Q14149_MORC3.pdf</t>
  </si>
  <si>
    <t>Melting_Curves/meltCurve_Q14151_SAFB2.pdf</t>
  </si>
  <si>
    <t>Melting_Curves/meltCurve_Q14152_EIF3A.pdf</t>
  </si>
  <si>
    <t>Melting_Curves/meltCurve_Q14153_2_FAM53B.pdf</t>
  </si>
  <si>
    <t>Melting_Curves/meltCurve_Q14157_UBAP2L.pdf</t>
  </si>
  <si>
    <t>Melting_Curves/meltCurve_Q14157_1_UBAP2L.pdf</t>
  </si>
  <si>
    <t>Melting_Curves/meltCurve_Q14160_SCRIB.pdf</t>
  </si>
  <si>
    <t>Melting_Curves/meltCurve_Q14165_MLEC.pdf</t>
  </si>
  <si>
    <t>Melting_Curves/meltCurve_Q14166_TTLL12.pdf</t>
  </si>
  <si>
    <t>Melting_Curves/meltCurve_Q14181_POLA2.pdf</t>
  </si>
  <si>
    <t>Melting_Curves/meltCurve_Q14191_WRN.pdf</t>
  </si>
  <si>
    <t>Melting_Curves/meltCurve_Q14204_DYNC1H1.pdf</t>
  </si>
  <si>
    <t>Melting_Curves/meltCurve_Q14232_EIF2B1.pdf</t>
  </si>
  <si>
    <t>Melting_Curves/meltCurve_Q14240_EIF4A2.pdf</t>
  </si>
  <si>
    <t>Melting_Curves/meltCurve_Q14241_TCEB3.pdf</t>
  </si>
  <si>
    <t>Melting_Curves/meltCurve_Q14244_MAP7.pdf</t>
  </si>
  <si>
    <t>Melting_Curves/meltCurve_Q14247_CTTN.pdf</t>
  </si>
  <si>
    <t>Melting_Curves/meltCurve_Q14247_3_CTTN.pdf</t>
  </si>
  <si>
    <t>Melting_Curves/meltCurve_Q14249_ENDOG.pdf</t>
  </si>
  <si>
    <t>Melting_Curves/meltCurve_Q14257_RCN2.pdf</t>
  </si>
  <si>
    <t>Melting_Curves/meltCurve_Q14258_TRIM25.pdf</t>
  </si>
  <si>
    <t>Melting_Curves/meltCurve_Q14289_2_PTK2B.pdf</t>
  </si>
  <si>
    <t>Melting_Curves/meltCurve_Q14315_FLNC.pdf</t>
  </si>
  <si>
    <t>Melting_Curves/meltCurve_Q14318_2_FKBP8.pdf</t>
  </si>
  <si>
    <t>Melting_Curves/meltCurve_Q14320_FAM50A.pdf</t>
  </si>
  <si>
    <t>Melting_Curves/meltCurve_Q14331_FRG1.pdf</t>
  </si>
  <si>
    <t>Melting_Curves/meltCurve_Q14344_GNA13.pdf</t>
  </si>
  <si>
    <t>Melting_Curves/meltCurve_Q14353_GAMT.pdf</t>
  </si>
  <si>
    <t>Melting_Curves/meltCurve_Q14376_GALE.pdf</t>
  </si>
  <si>
    <t>Melting_Curves/meltCurve_Q14444_2_CAPRIN1.pdf</t>
  </si>
  <si>
    <t>Melting_Curves/meltCurve_Q14457_BECN1.pdf</t>
  </si>
  <si>
    <t>Melting_Curves/meltCurve_Q14469_HES1.pdf</t>
  </si>
  <si>
    <t>Melting_Curves/meltCurve_Q14493_2_SLBP.pdf</t>
  </si>
  <si>
    <t>Melting_Curves/meltCurve_Q14498_2_RBM39.pdf</t>
  </si>
  <si>
    <t>Melting_Curves/meltCurve_Q14517_FAT1.pdf</t>
  </si>
  <si>
    <t>Melting_Curves/meltCurve_Q14520_2_HABP2.pdf</t>
  </si>
  <si>
    <t>Melting_Curves/meltCurve_Q14527_HLTF.pdf</t>
  </si>
  <si>
    <t>Melting_Curves/meltCurve_Q14534_SQLE.pdf</t>
  </si>
  <si>
    <t>Melting_Curves/meltCurve_Q14542_3_SLC29A2.pdf</t>
  </si>
  <si>
    <t>Melting_Curves/meltCurve_Q14554_PDIA5.pdf</t>
  </si>
  <si>
    <t>Melting_Curves/meltCurve_Q14558_PRPSAP1.pdf</t>
  </si>
  <si>
    <t>Melting_Curves/meltCurve_Q14562_DHX8.pdf</t>
  </si>
  <si>
    <t>Melting_Curves/meltCurve_Q14566_MCM6.pdf</t>
  </si>
  <si>
    <t>Melting_Curves/meltCurve_Q14573_ITPR3.pdf</t>
  </si>
  <si>
    <t>Melting_Curves/meltCurve_Q14644_RASA3.pdf</t>
  </si>
  <si>
    <t>Melting_Curves/meltCurve_Q14651_PLS1.pdf</t>
  </si>
  <si>
    <t>Melting_Curves/meltCurve_Q14653_IRF3.pdf</t>
  </si>
  <si>
    <t>Melting_Curves/meltCurve_Q14657_LAGE3.pdf</t>
  </si>
  <si>
    <t>Melting_Curves/meltCurve_Q14669_3_TRIP12.pdf</t>
  </si>
  <si>
    <t>Melting_Curves/meltCurve_Q14671_PUM1.pdf</t>
  </si>
  <si>
    <t>Melting_Curves/meltCurve_Q14674_ESPL1.pdf</t>
  </si>
  <si>
    <t>Melting_Curves/meltCurve_Q14676_MDC1.pdf</t>
  </si>
  <si>
    <t>Melting_Curves/meltCurve_Q14677_CLINT1.pdf</t>
  </si>
  <si>
    <t>Melting_Curves/meltCurve_Q14680_3_MELK.pdf</t>
  </si>
  <si>
    <t>Melting_Curves/meltCurve_Q14681_KCTD2.pdf</t>
  </si>
  <si>
    <t>Melting_Curves/meltCurve_Q14683_SMC1A.pdf</t>
  </si>
  <si>
    <t>Melting_Curves/meltCurve_Q14684_2_RRP1B.pdf</t>
  </si>
  <si>
    <t>Melting_Curves/meltCurve_Q14686_NCOA6.pdf</t>
  </si>
  <si>
    <t>Melting_Curves/meltCurve_Q14687_2_GSE1.pdf</t>
  </si>
  <si>
    <t>Melting_Curves/meltCurve_Q14690_PDCD11.pdf</t>
  </si>
  <si>
    <t>Melting_Curves/meltCurve_Q14691_GINS1.pdf</t>
  </si>
  <si>
    <t>Melting_Curves/meltCurve_Q14692_BMS1.pdf</t>
  </si>
  <si>
    <t>Melting_Curves/meltCurve_Q14694_USP10.pdf</t>
  </si>
  <si>
    <t>Melting_Curves/meltCurve_Q14696_MESDC2.pdf</t>
  </si>
  <si>
    <t>Melting_Curves/meltCurve_Q14697_GANAB.pdf</t>
  </si>
  <si>
    <t>Melting_Curves/meltCurve_Q14697_2_GANAB.pdf</t>
  </si>
  <si>
    <t>Melting_Curves/meltCurve_Q14703_MBTPS1.pdf</t>
  </si>
  <si>
    <t>Melting_Curves/meltCurve_Q14739_LBR.pdf</t>
  </si>
  <si>
    <t>Melting_Curves/meltCurve_Q14746_2_COG2.pdf</t>
  </si>
  <si>
    <t>Melting_Curves/meltCurve_Q14781_CBX2.pdf</t>
  </si>
  <si>
    <t>Melting_Curves/meltCurve_Q14789_2_GOLGB1.pdf</t>
  </si>
  <si>
    <t>Melting_Curves/meltCurve_Q14790_CASP8.pdf</t>
  </si>
  <si>
    <t>Melting_Curves/meltCurve_Q147X3_NAA30.pdf</t>
  </si>
  <si>
    <t>Melting_Curves/meltCurve_Q14807_KIF22.pdf</t>
  </si>
  <si>
    <t>Melting_Curves/meltCurve_Q14847_LASP1.pdf</t>
  </si>
  <si>
    <t>Melting_Curves/meltCurve_Q14964_RAB39A.pdf</t>
  </si>
  <si>
    <t>Melting_Curves/meltCurve_Q14966_3_ZNF638.pdf</t>
  </si>
  <si>
    <t>Melting_Curves/meltCurve_Q14974_KPNB1.pdf</t>
  </si>
  <si>
    <t>Melting_Curves/meltCurve_Q14978_2_NOLC1.pdf</t>
  </si>
  <si>
    <t>Melting_Curves/meltCurve_Q14980_NUMA1.pdf</t>
  </si>
  <si>
    <t>Melting_Curves/meltCurve_Q14997_PSME4.pdf</t>
  </si>
  <si>
    <t>Melting_Curves/meltCurve_Q14BN4_SLMAP.pdf</t>
  </si>
  <si>
    <t>Melting_Curves/meltCurve_Q14C86_6_GAPVD1.pdf</t>
  </si>
  <si>
    <t>Melting_Curves/meltCurve_Q14CX7_NAA25.pdf</t>
  </si>
  <si>
    <t>Melting_Curves/meltCurve_Q14CZ7_FASTKD3.pdf</t>
  </si>
  <si>
    <t>Melting_Curves/meltCurve_Q15003_NCAPH.pdf</t>
  </si>
  <si>
    <t>Melting_Curves/meltCurve_Q15004_KIAA0101.pdf</t>
  </si>
  <si>
    <t>Melting_Curves/meltCurve_Q15006_EMC2.pdf</t>
  </si>
  <si>
    <t>Melting_Curves/meltCurve_Q15007_WTAP.pdf</t>
  </si>
  <si>
    <t>Melting_Curves/meltCurve_Q15008_PSMD6.pdf</t>
  </si>
  <si>
    <t>Melting_Curves/meltCurve_Q15011_3_HERPUD1.pdf</t>
  </si>
  <si>
    <t>Melting_Curves/meltCurve_Q15012_LAPTM4A.pdf</t>
  </si>
  <si>
    <t>Melting_Curves/meltCurve_Q15013_MAD2L1BP.pdf</t>
  </si>
  <si>
    <t>Melting_Curves/meltCurve_Q15018_FAM175B.pdf</t>
  </si>
  <si>
    <t>Melting_Curves/meltCurve_Q15019_SEPT2.pdf</t>
  </si>
  <si>
    <t>Melting_Curves/meltCurve_Q15020_SART3.pdf</t>
  </si>
  <si>
    <t>Melting_Curves/meltCurve_Q15021_NCAPD2.pdf</t>
  </si>
  <si>
    <t>Melting_Curves/meltCurve_Q15024_EXOSC7.pdf</t>
  </si>
  <si>
    <t>Melting_Curves/meltCurve_Q15029_2_EFTUD2.pdf</t>
  </si>
  <si>
    <t>Melting_Curves/meltCurve_Q15032_2_R3HDM1.pdf</t>
  </si>
  <si>
    <t>Melting_Curves/meltCurve_Q15036_2_SNX17.pdf</t>
  </si>
  <si>
    <t>Melting_Curves/meltCurve_Q15042_RAB3GAP1.pdf</t>
  </si>
  <si>
    <t>Melting_Curves/meltCurve_Q15043_2_SLC39A14.pdf</t>
  </si>
  <si>
    <t>Melting_Curves/meltCurve_Q15046_KARS.pdf</t>
  </si>
  <si>
    <t>Melting_Curves/meltCurve_Q15047_3_SETDB1.pdf</t>
  </si>
  <si>
    <t>Melting_Curves/meltCurve_Q15048_LRRC14.pdf</t>
  </si>
  <si>
    <t>Melting_Curves/meltCurve_Q15056_EIF4H.pdf</t>
  </si>
  <si>
    <t>Melting_Curves/meltCurve_Q15056_2_EIF4H.pdf</t>
  </si>
  <si>
    <t>Melting_Curves/meltCurve_Q15057_ACAP2.pdf</t>
  </si>
  <si>
    <t>Melting_Curves/meltCurve_Q15058_KIF14.pdf</t>
  </si>
  <si>
    <t>Melting_Curves/meltCurve_Q15059_BRD3.pdf</t>
  </si>
  <si>
    <t>Melting_Curves/meltCurve_Q15061_WDR43.pdf</t>
  </si>
  <si>
    <t>Melting_Curves/meltCurve_Q15067_2_ACOX1.pdf</t>
  </si>
  <si>
    <t>Melting_Curves/meltCurve_Q15075_EEA1.pdf</t>
  </si>
  <si>
    <t>Melting_Curves/meltCurve_Q15102_PAFAH1B3.pdf</t>
  </si>
  <si>
    <t>Melting_Curves/meltCurve_Q15111_PLCL1.pdf</t>
  </si>
  <si>
    <t>Melting_Curves/meltCurve_Q15118_PDK1.pdf</t>
  </si>
  <si>
    <t>Melting_Curves/meltCurve_Q15121_PEA15.pdf</t>
  </si>
  <si>
    <t>Melting_Curves/meltCurve_Q15126_PMVK.pdf</t>
  </si>
  <si>
    <t>Melting_Curves/meltCurve_Q15131_CDK10.pdf</t>
  </si>
  <si>
    <t>Melting_Curves/meltCurve_Q15149_4_PLEC.pdf</t>
  </si>
  <si>
    <t>Melting_Curves/meltCurve_Q15155_NOMO1.pdf</t>
  </si>
  <si>
    <t>Melting_Curves/meltCurve_Q15170_TCEAL1.pdf</t>
  </si>
  <si>
    <t>Melting_Curves/meltCurve_Q15172_PPP2R5A.pdf</t>
  </si>
  <si>
    <t>Melting_Curves/meltCurve_Q15173_2_PPP2R5B.pdf</t>
  </si>
  <si>
    <t>Melting_Curves/meltCurve_Q15181_PPA1.pdf</t>
  </si>
  <si>
    <t>Melting_Curves/meltCurve_Q15208_STK38.pdf</t>
  </si>
  <si>
    <t>Melting_Curves/meltCurve_Q15233_NONO.pdf</t>
  </si>
  <si>
    <t>Melting_Curves/meltCurve_Q15257_PPP2R4.pdf</t>
  </si>
  <si>
    <t>Melting_Curves/meltCurve_Q15269_PWP2.pdf</t>
  </si>
  <si>
    <t>Melting_Curves/meltCurve_Q15274_QPRT.pdf</t>
  </si>
  <si>
    <t>Melting_Curves/meltCurve_Q15276_RABEP1.pdf</t>
  </si>
  <si>
    <t>Melting_Curves/meltCurve_Q15283_2_RASA2.pdf</t>
  </si>
  <si>
    <t>Melting_Curves/meltCurve_Q15286_RAB35.pdf</t>
  </si>
  <si>
    <t>Melting_Curves/meltCurve_Q15291_RBBP5.pdf</t>
  </si>
  <si>
    <t>Melting_Curves/meltCurve_Q15293_RCN1.pdf</t>
  </si>
  <si>
    <t>Melting_Curves/meltCurve_Q15311_RALBP1.pdf</t>
  </si>
  <si>
    <t>Melting_Curves/meltCurve_Q15334_LLGL1.pdf</t>
  </si>
  <si>
    <t>Melting_Curves/meltCurve_Q15345_3_LRRC41.pdf</t>
  </si>
  <si>
    <t>Melting_Curves/meltCurve_Q15363_TMED2.pdf</t>
  </si>
  <si>
    <t>Melting_Curves/meltCurve_Q15365_PCBP1.pdf</t>
  </si>
  <si>
    <t>Melting_Curves/meltCurve_Q15366_3_PCBP2.pdf</t>
  </si>
  <si>
    <t>Melting_Curves/meltCurve_Q15366_6_PCBP2.pdf</t>
  </si>
  <si>
    <t>Melting_Curves/meltCurve_Q15370_TCEB2.pdf</t>
  </si>
  <si>
    <t>Melting_Curves/meltCurve_Q15382_RHEB.pdf</t>
  </si>
  <si>
    <t>Melting_Curves/meltCurve_Q15386_UBE3C.pdf</t>
  </si>
  <si>
    <t>Melting_Curves/meltCurve_Q15393_SF3B3.pdf</t>
  </si>
  <si>
    <t>Melting_Curves/meltCurve_Q15398_3_DLGAP5.pdf</t>
  </si>
  <si>
    <t>Melting_Curves/meltCurve_Q15404_RSU1.pdf</t>
  </si>
  <si>
    <t>Melting_Curves/meltCurve_Q15424_2_SAFB.pdf</t>
  </si>
  <si>
    <t>Melting_Curves/meltCurve_Q15428_SF3A2.pdf</t>
  </si>
  <si>
    <t>Melting_Curves/meltCurve_Q15435_PPP1R7.pdf</t>
  </si>
  <si>
    <t>Melting_Curves/meltCurve_Q15437_SEC23B.pdf</t>
  </si>
  <si>
    <t>Melting_Curves/meltCurve_Q15459_SF3A1.pdf</t>
  </si>
  <si>
    <t>Melting_Curves/meltCurve_Q15464_2_SHB.pdf</t>
  </si>
  <si>
    <t>Melting_Curves/meltCurve_Q15506_SPA17.pdf</t>
  </si>
  <si>
    <t>Melting_Curves/meltCurve_Q15526_2_SURF1.pdf</t>
  </si>
  <si>
    <t>Melting_Curves/meltCurve_Q15527_SURF2.pdf</t>
  </si>
  <si>
    <t>Melting_Curves/meltCurve_Q15542_2_TAF5.pdf</t>
  </si>
  <si>
    <t>Melting_Curves/meltCurve_Q15543_TAF13.pdf</t>
  </si>
  <si>
    <t>Melting_Curves/meltCurve_Q15545_TAF7.pdf</t>
  </si>
  <si>
    <t>Melting_Curves/meltCurve_Q15554_3_TERF2.pdf</t>
  </si>
  <si>
    <t>Melting_Curves/meltCurve_Q15555_MAPRE2.pdf</t>
  </si>
  <si>
    <t>Melting_Curves/meltCurve_Q15599_2_SLC9A3R2.pdf</t>
  </si>
  <si>
    <t>Melting_Curves/meltCurve_Q15628_TRADD.pdf</t>
  </si>
  <si>
    <t>Melting_Curves/meltCurve_Q15637_5_SF1.pdf</t>
  </si>
  <si>
    <t>Melting_Curves/meltCurve_Q15642_2_TRIP10.pdf</t>
  </si>
  <si>
    <t>Melting_Curves/meltCurve_Q15643_TRIP11.pdf</t>
  </si>
  <si>
    <t>Melting_Curves/meltCurve_Q15645_TRIP13.pdf</t>
  </si>
  <si>
    <t>Melting_Curves/meltCurve_Q15648_MED1.pdf</t>
  </si>
  <si>
    <t>Melting_Curves/meltCurve_Q15649_ZNHIT3.pdf</t>
  </si>
  <si>
    <t>Melting_Curves/meltCurve_Q15650_TRIP4.pdf</t>
  </si>
  <si>
    <t>Melting_Curves/meltCurve_Q15651_HMGN3.pdf</t>
  </si>
  <si>
    <t>Melting_Curves/meltCurve_Q15652_3_JMJD1C.pdf</t>
  </si>
  <si>
    <t>Melting_Curves/meltCurve_Q15653_NFKBIB.pdf</t>
  </si>
  <si>
    <t>Melting_Curves/meltCurve_Q15654_TRIP6.pdf</t>
  </si>
  <si>
    <t>Melting_Curves/meltCurve_Q15691_MAPRE1.pdf</t>
  </si>
  <si>
    <t>Melting_Curves/meltCurve_Q15714_2_TSC22D1.pdf</t>
  </si>
  <si>
    <t>Melting_Curves/meltCurve_Q15717_ELAVL1.pdf</t>
  </si>
  <si>
    <t>Melting_Curves/meltCurve_Q15738_NSDHL.pdf</t>
  </si>
  <si>
    <t>Melting_Curves/meltCurve_Q15742_3_NAB2.pdf</t>
  </si>
  <si>
    <t>Melting_Curves/meltCurve_Q15743_GPR68.pdf</t>
  </si>
  <si>
    <t>Melting_Curves/meltCurve_Q15746_4_MYLK.pdf</t>
  </si>
  <si>
    <t>Melting_Curves/meltCurve_Q15750_TAB1.pdf</t>
  </si>
  <si>
    <t>Melting_Curves/meltCurve_Q15751_HERC1.pdf</t>
  </si>
  <si>
    <t>Melting_Curves/meltCurve_Q15758_SLC1A5.pdf</t>
  </si>
  <si>
    <t>Melting_Curves/meltCurve_Q15759_MAPK11.pdf</t>
  </si>
  <si>
    <t>Melting_Curves/meltCurve_Q15773_MLF2.pdf</t>
  </si>
  <si>
    <t>Melting_Curves/meltCurve_Q15785_TOMM34.pdf</t>
  </si>
  <si>
    <t>Melting_Curves/meltCurve_Q15796_2_SMAD2.pdf</t>
  </si>
  <si>
    <t>Melting_Curves/meltCurve_Q15800_2_MSMO1.pdf</t>
  </si>
  <si>
    <t>Melting_Curves/meltCurve_Q15814_TBCC.pdf</t>
  </si>
  <si>
    <t>Melting_Curves/meltCurve_Q15819_UBE2V2.pdf</t>
  </si>
  <si>
    <t>Melting_Curves/meltCurve_Q15831_STK11.pdf</t>
  </si>
  <si>
    <t>Melting_Curves/meltCurve_Q15833_STXBP2.pdf</t>
  </si>
  <si>
    <t>Melting_Curves/meltCurve_Q15836_VAMP3.pdf</t>
  </si>
  <si>
    <t>Melting_Curves/meltCurve_Q15904_ATP6AP1.pdf</t>
  </si>
  <si>
    <t>Melting_Curves/meltCurve_Q15906_VPS72.pdf</t>
  </si>
  <si>
    <t>Melting_Curves/meltCurve_Q15907_RAB11B.pdf</t>
  </si>
  <si>
    <t>Melting_Curves/meltCurve_Q15910_3_EZH2.pdf</t>
  </si>
  <si>
    <t>Melting_Curves/meltCurve_Q15942_ZYX.pdf</t>
  </si>
  <si>
    <t>Melting_Curves/meltCurve_Q16134_ETFDH.pdf</t>
  </si>
  <si>
    <t>Melting_Curves/meltCurve_Q16181_SEPT7.pdf</t>
  </si>
  <si>
    <t>Melting_Curves/meltCurve_Q16186_ADRM1.pdf</t>
  </si>
  <si>
    <t>Melting_Curves/meltCurve_Q16204_CCDC6.pdf</t>
  </si>
  <si>
    <t>Melting_Curves/meltCurve_Q16222_2_UAP1.pdf</t>
  </si>
  <si>
    <t>Melting_Curves/meltCurve_Q16254_E2F4.pdf</t>
  </si>
  <si>
    <t>Melting_Curves/meltCurve_Q16363_2_LAMA4.pdf</t>
  </si>
  <si>
    <t>Melting_Curves/meltCurve_Q16384_SSX1.pdf</t>
  </si>
  <si>
    <t>Melting_Curves/meltCurve_Q16401_2_PSMD5.pdf</t>
  </si>
  <si>
    <t>Melting_Curves/meltCurve_Q16512_PKN1.pdf</t>
  </si>
  <si>
    <t>Melting_Curves/meltCurve_Q16513_2_PKN2.pdf</t>
  </si>
  <si>
    <t>Melting_Curves/meltCurve_Q16514_2_TAF12.pdf</t>
  </si>
  <si>
    <t>Melting_Curves/meltCurve_Q16526_CRY1.pdf</t>
  </si>
  <si>
    <t>Melting_Curves/meltCurve_Q16531_DDB1.pdf</t>
  </si>
  <si>
    <t>Melting_Curves/meltCurve_Q16539_MAPK14.pdf</t>
  </si>
  <si>
    <t>Melting_Curves/meltCurve_Q16539_2_MAPK14.pdf</t>
  </si>
  <si>
    <t>Melting_Curves/meltCurve_Q16543_CDC37.pdf</t>
  </si>
  <si>
    <t>Melting_Curves/meltCurve_Q16555_2_DPYSL2.pdf</t>
  </si>
  <si>
    <t>Melting_Curves/meltCurve_Q16576_RBBP7.pdf</t>
  </si>
  <si>
    <t>Melting_Curves/meltCurve_Q16587_5_ZNF74.pdf</t>
  </si>
  <si>
    <t>Melting_Curves/meltCurve_Q16594_TAF9.pdf</t>
  </si>
  <si>
    <t>Melting_Curves/meltCurve_Q16600_ZNF239.pdf</t>
  </si>
  <si>
    <t>Melting_Curves/meltCurve_Q16610_ECM1.pdf</t>
  </si>
  <si>
    <t>Melting_Curves/meltCurve_Q16626_MEA1.pdf</t>
  </si>
  <si>
    <t>Melting_Curves/meltCurve_Q16630_CPSF6.pdf</t>
  </si>
  <si>
    <t>Melting_Curves/meltCurve_Q16643_2_DBN1.pdf</t>
  </si>
  <si>
    <t>Melting_Curves/meltCurve_Q16644_MAPKAPK3.pdf</t>
  </si>
  <si>
    <t>Melting_Curves/meltCurve_Q16656_2_NRF1.pdf</t>
  </si>
  <si>
    <t>Melting_Curves/meltCurve_Q16658_FSCN1.pdf</t>
  </si>
  <si>
    <t>Melting_Curves/meltCurve_Q16670_2_ZSCAN26.pdf</t>
  </si>
  <si>
    <t>Melting_Curves/meltCurve_Q16706_MAN2A1.pdf</t>
  </si>
  <si>
    <t>Melting_Curves/meltCurve_Q16718_NDUFA5.pdf</t>
  </si>
  <si>
    <t>Melting_Curves/meltCurve_Q16720_8_ATP2B3.pdf</t>
  </si>
  <si>
    <t>Melting_Curves/meltCurve_Q16739_UGCG.pdf</t>
  </si>
  <si>
    <t>Melting_Curves/meltCurve_Q16740_CLPP.pdf</t>
  </si>
  <si>
    <t>Melting_Curves/meltCurve_Q16762_TST.pdf</t>
  </si>
  <si>
    <t>Melting_Curves/meltCurve_Q16763_UBE2S.pdf</t>
  </si>
  <si>
    <t>Melting_Curves/meltCurve_Q16778_HIST2H2BE.pdf</t>
  </si>
  <si>
    <t>Melting_Curves/meltCurve_Q16795_NDUFA9.pdf</t>
  </si>
  <si>
    <t>Melting_Curves/meltCurve_Q16822_PCK2.pdf</t>
  </si>
  <si>
    <t>Melting_Curves/meltCurve_Q16842_ST3GAL2.pdf</t>
  </si>
  <si>
    <t>Melting_Curves/meltCurve_Q16850_CYP51A1.pdf</t>
  </si>
  <si>
    <t>Melting_Curves/meltCurve_Q16854_DGUOK.pdf</t>
  </si>
  <si>
    <t>Melting_Curves/meltCurve_Q16864_ATP6V1F.pdf</t>
  </si>
  <si>
    <t>Melting_Curves/meltCurve_Q16880_UGT8.pdf</t>
  </si>
  <si>
    <t>Melting_Curves/meltCurve_Q16891_2_IMMT.pdf</t>
  </si>
  <si>
    <t>Melting_Curves/meltCurve_Q17RU2_REL.pdf</t>
  </si>
  <si>
    <t>Melting_Curves/meltCurve_Q1ED39_KNOP1.pdf</t>
  </si>
  <si>
    <t>Melting_Curves/meltCurve_Q1KMD3_HNRNPUL2.pdf</t>
  </si>
  <si>
    <t>Melting_Curves/meltCurve_Q1L5Z9_LONRF2.pdf</t>
  </si>
  <si>
    <t>Melting_Curves/meltCurve_Q1MSJ5_1_CSPP1.pdf</t>
  </si>
  <si>
    <t>Melting_Curves/meltCurve_Q27J81_2_INF2.pdf</t>
  </si>
  <si>
    <t>Melting_Curves/meltCurve_Q29980_MICB.pdf</t>
  </si>
  <si>
    <t>Melting_Curves/meltCurve_Q29RF7_PDS5A.pdf</t>
  </si>
  <si>
    <t>Melting_Curves/meltCurve_Q2KHR3_2_QSER1.pdf</t>
  </si>
  <si>
    <t>Melting_Curves/meltCurve_Q2KHT3_CLEC16A.pdf</t>
  </si>
  <si>
    <t>Melting_Curves/meltCurve_Q2M2I8_2_AAK1.pdf</t>
  </si>
  <si>
    <t>Melting_Curves/meltCurve_Q2M389_KIAA1033.pdf</t>
  </si>
  <si>
    <t>Melting_Curves/meltCurve_Q2M3D2_EXOC3L2.pdf</t>
  </si>
  <si>
    <t>Melting_Curves/meltCurve_Q2NKX8_ERCC6L.pdf</t>
  </si>
  <si>
    <t>Melting_Curves/meltCurve_Q2NKX9_3_C2orf68.pdf</t>
  </si>
  <si>
    <t>Melting_Curves/meltCurve_Q2NL82_TSR1.pdf</t>
  </si>
  <si>
    <t>Melting_Curves/meltCurve_Q2PZI1_DPY19L1.pdf</t>
  </si>
  <si>
    <t>Melting_Curves/meltCurve_Q2TAA5_ALG11.pdf</t>
  </si>
  <si>
    <t>Melting_Curves/meltCurve_Q2TAL8_QRICH1.pdf</t>
  </si>
  <si>
    <t>Melting_Curves/meltCurve_Q2TAM5_RELA.pdf</t>
  </si>
  <si>
    <t>Melting_Curves/meltCurve_Q2TAY7_SMU1.pdf</t>
  </si>
  <si>
    <t>Melting_Curves/meltCurve_Q2TB90_HKDC1.pdf</t>
  </si>
  <si>
    <t>Melting_Curves/meltCurve_Q2TBE0_CWF19L2.pdf</t>
  </si>
  <si>
    <t>Melting_Curves/meltCurve_Q32MZ4_3_LRRFIP1.pdf</t>
  </si>
  <si>
    <t>Melting_Curves/meltCurve_Q32N00_POLD3.pdf</t>
  </si>
  <si>
    <t>Melting_Curves/meltCurve_Q32NB8_PGS1.pdf</t>
  </si>
  <si>
    <t>Melting_Curves/meltCurve_Q32P28_LEPRE1.pdf</t>
  </si>
  <si>
    <t>Melting_Curves/meltCurve_Q32P41_TRMT5.pdf</t>
  </si>
  <si>
    <t>Melting_Curves/meltCurve_Q32Q12_NME1_NME2.pdf</t>
  </si>
  <si>
    <t>Melting_Curves/meltCurve_Q3B726_TWISTNB.pdf</t>
  </si>
  <si>
    <t>Melting_Curves/meltCurve_Q3BDU3_PMS1.pdf</t>
  </si>
  <si>
    <t>Melting_Curves/meltCurve_Q3KQU3_2_MAP7D1.pdf</t>
  </si>
  <si>
    <t>Melting_Curves/meltCurve_Q3KQV9_UAP1L1.pdf</t>
  </si>
  <si>
    <t>Melting_Curves/meltCurve_Q3KRA9_ALKBH6.pdf</t>
  </si>
  <si>
    <t>Melting_Curves/meltCurve_Q3LXA3_DAK.pdf</t>
  </si>
  <si>
    <t>Melting_Curves/meltCurve_Q3MHD2_LSM12.pdf</t>
  </si>
  <si>
    <t>Melting_Curves/meltCurve_Q3MIT2_PUS10.pdf</t>
  </si>
  <si>
    <t>Melting_Curves/meltCurve_Q3SXM5_HSDL1.pdf</t>
  </si>
  <si>
    <t>Melting_Curves/meltCurve_Q3SY56_SP6.pdf</t>
  </si>
  <si>
    <t>Melting_Curves/meltCurve_Q3T906_GNPTAB.pdf</t>
  </si>
  <si>
    <t>Melting_Curves/meltCurve_Q3V6T2_2_CCDC88A.pdf</t>
  </si>
  <si>
    <t>Melting_Curves/meltCurve_Q3YEC7_RABL6.pdf</t>
  </si>
  <si>
    <t>Melting_Curves/meltCurve_Q3ZAQ7_VMA21.pdf</t>
  </si>
  <si>
    <t>Melting_Curves/meltCurve_Q3ZCM7_TUBB8.pdf</t>
  </si>
  <si>
    <t>Melting_Curves/meltCurve_Q3ZCQ8_TIMM50.pdf</t>
  </si>
  <si>
    <t>Melting_Curves/meltCurve_Q3ZCV1_USP38.pdf</t>
  </si>
  <si>
    <t>Melting_Curves/meltCurve_Q495W5_2_FUT11.pdf</t>
  </si>
  <si>
    <t>Melting_Curves/meltCurve_Q49AM1_MTERFD3.pdf</t>
  </si>
  <si>
    <t>Melting_Curves/meltCurve_Q49AN0_CRY2.pdf</t>
  </si>
  <si>
    <t>Melting_Curves/meltCurve_Q49AR2_C5orf22.pdf</t>
  </si>
  <si>
    <t>Melting_Curves/meltCurve_Q49B96_COX19.pdf</t>
  </si>
  <si>
    <t>Melting_Curves/meltCurve_Q4G0F5_VPS26B.pdf</t>
  </si>
  <si>
    <t>Melting_Curves/meltCurve_Q4G0I0_CCSMST1.pdf</t>
  </si>
  <si>
    <t>Melting_Curves/meltCurve_Q4G0J3_LARP7.pdf</t>
  </si>
  <si>
    <t>Melting_Curves/meltCurve_Q4G0N4_NADKD1.pdf</t>
  </si>
  <si>
    <t>Melting_Curves/meltCurve_Q4G148_2_GXYLT1.pdf</t>
  </si>
  <si>
    <t>Melting_Curves/meltCurve_Q4G176_ACSF3.pdf</t>
  </si>
  <si>
    <t>Melting_Curves/meltCurve_Q4J6C6_4_PREPL.pdf</t>
  </si>
  <si>
    <t>Melting_Curves/meltCurve_Q4KMP7_TBC1D10B.pdf</t>
  </si>
  <si>
    <t>Melting_Curves/meltCurve_Q4KMQ2_3_ANO6.pdf</t>
  </si>
  <si>
    <t>Melting_Curves/meltCurve_Q4KWH8_3_PLCH1.pdf</t>
  </si>
  <si>
    <t>Melting_Curves/meltCurve_Q4LDG9_DNAL1.pdf</t>
  </si>
  <si>
    <t>Melting_Curves/meltCurve_Q4LE39_2_ARID4B.pdf</t>
  </si>
  <si>
    <t>Melting_Curves/meltCurve_Q4V328_GRIPAP1.pdf</t>
  </si>
  <si>
    <t>Melting_Curves/meltCurve_Q4VC05_2_BCL7A.pdf</t>
  </si>
  <si>
    <t>Melting_Curves/meltCurve_Q4VXZ8_DECR2.pdf</t>
  </si>
  <si>
    <t>Melting_Curves/meltCurve_Q4ZIN3_2_TMEM259.pdf</t>
  </si>
  <si>
    <t>Melting_Curves/meltCurve_Q504U0_C4orf46.pdf</t>
  </si>
  <si>
    <t>Melting_Curves/meltCurve_Q52LJ0_2_FAM98B.pdf</t>
  </si>
  <si>
    <t>Melting_Curves/meltCurve_Q53EL6_2_PDCD4.pdf</t>
  </si>
  <si>
    <t>Melting_Curves/meltCurve_Q53EU6_AGPAT9.pdf</t>
  </si>
  <si>
    <t>Melting_Curves/meltCurve_Q53EZ4_2_CEP55.pdf</t>
  </si>
  <si>
    <t>Melting_Curves/meltCurve_Q53FA7_TP53I3.pdf</t>
  </si>
  <si>
    <t>Melting_Curves/meltCurve_Q53FT3_C11orf73.pdf</t>
  </si>
  <si>
    <t>Melting_Curves/meltCurve_Q53FZ2_ACSM3.pdf</t>
  </si>
  <si>
    <t>Melting_Curves/meltCurve_Q53GQ0_HSD17B12.pdf</t>
  </si>
  <si>
    <t>Melting_Curves/meltCurve_Q53H47_SETMAR.pdf</t>
  </si>
  <si>
    <t>Melting_Curves/meltCurve_Q53H54_TRMT12.pdf</t>
  </si>
  <si>
    <t>Melting_Curves/meltCurve_Q53H82_LACTB2.pdf</t>
  </si>
  <si>
    <t>Melting_Curves/meltCurve_Q53H96_PYCRL.pdf</t>
  </si>
  <si>
    <t>Melting_Curves/meltCurve_Q53HV7_SMUG1.pdf</t>
  </si>
  <si>
    <t>Melting_Curves/meltCurve_Q53QZ3_ARHGAP15.pdf</t>
  </si>
  <si>
    <t>Melting_Curves/meltCurve_Q53R41_FASTKD1.pdf</t>
  </si>
  <si>
    <t>Melting_Curves/meltCurve_Q53S33_BOLA3.pdf</t>
  </si>
  <si>
    <t>Melting_Curves/meltCurve_Q53S58_TMEM177.pdf</t>
  </si>
  <si>
    <t>Melting_Curves/meltCurve_Q53T59_HS1BP3.pdf</t>
  </si>
  <si>
    <t>Melting_Curves/meltCurve_Q53TN4_3_CYBRD1.pdf</t>
  </si>
  <si>
    <t>Melting_Curves/meltCurve_Q567V2_2_MPV17L2.pdf</t>
  </si>
  <si>
    <t>Melting_Curves/meltCurve_Q587I9_SFT2D3.pdf</t>
  </si>
  <si>
    <t>Melting_Curves/meltCurve_Q58A45_PAN3.pdf</t>
  </si>
  <si>
    <t>Melting_Curves/meltCurve_Q58FF7_HSP90AB3P.pdf</t>
  </si>
  <si>
    <t>Melting_Curves/meltCurve_Q58FF8_HSP90AB2P.pdf</t>
  </si>
  <si>
    <t>Melting_Curves/meltCurve_Q58FG1_HSP90AA4P.pdf</t>
  </si>
  <si>
    <t>Melting_Curves/meltCurve_Q58WW2_DCAF6.pdf</t>
  </si>
  <si>
    <t>Melting_Curves/meltCurve_Q5BKU9_OXLD1.pdf</t>
  </si>
  <si>
    <t>Melting_Curves/meltCurve_Q5BKX5_3_C19orf54.pdf</t>
  </si>
  <si>
    <t>Melting_Curves/meltCurve_Q5C9Z4_NOM1.pdf</t>
  </si>
  <si>
    <t>Melting_Curves/meltCurve_Q5D1E8_ZC3H12A.pdf</t>
  </si>
  <si>
    <t>Melting_Curves/meltCurve_Q5DTB0_CD80.pdf</t>
  </si>
  <si>
    <t>Melting_Curves/meltCurve_Q5EBL4_RILPL1.pdf</t>
  </si>
  <si>
    <t>Melting_Curves/meltCurve_Q5EBL8_PDZD11.pdf</t>
  </si>
  <si>
    <t>Melting_Curves/meltCurve_Q5EBM0_CMPK2.pdf</t>
  </si>
  <si>
    <t>Melting_Curves/meltCurve_Q5F1R6_DNAJC21.pdf</t>
  </si>
  <si>
    <t>Melting_Curves/meltCurve_Q5GLZ8_3_HERC4.pdf</t>
  </si>
  <si>
    <t>Melting_Curves/meltCurve_Q5H8X8_UTS2.pdf</t>
  </si>
  <si>
    <t>Melting_Curves/meltCurve_Q5H937_PKIG.pdf</t>
  </si>
  <si>
    <t>Melting_Curves/meltCurve_Q5H9A7_TIMP1.pdf</t>
  </si>
  <si>
    <t>Melting_Curves/meltCurve_Q5HYI8_RABL3.pdf</t>
  </si>
  <si>
    <t>Melting_Curves/meltCurve_Q5HYZ1_WDR46.pdf</t>
  </si>
  <si>
    <t>Melting_Curves/meltCurve_Q5J1K9_ART3.pdf</t>
  </si>
  <si>
    <t>Melting_Curves/meltCurve_Q5JP53_TUBB.pdf</t>
  </si>
  <si>
    <t>Melting_Curves/meltCurve_Q5JPE7_2_NOMO2.pdf</t>
  </si>
  <si>
    <t>Melting_Curves/meltCurve_Q5JPH6_EARS2.pdf</t>
  </si>
  <si>
    <t>Melting_Curves/meltCurve_Q5JR01_EEF1A1.pdf</t>
  </si>
  <si>
    <t>Melting_Curves/meltCurve_Q5JR08_RHOC.pdf</t>
  </si>
  <si>
    <t>Melting_Curves/meltCurve_Q5JRA6_MIA3.pdf</t>
  </si>
  <si>
    <t>Melting_Curves/meltCurve_Q5JRG1_NUPL1.pdf</t>
  </si>
  <si>
    <t>Melting_Curves/meltCurve_Q5JRI1_SRSF10.pdf</t>
  </si>
  <si>
    <t>Melting_Curves/meltCurve_Q5JRL0_PAGE2B.pdf</t>
  </si>
  <si>
    <t>Melting_Curves/meltCurve_Q5JRX3_PITRM1.pdf</t>
  </si>
  <si>
    <t>Melting_Curves/meltCurve_Q5JS54_PSMG4.pdf</t>
  </si>
  <si>
    <t>Melting_Curves/meltCurve_Q5JSH3_2_WDR44.pdf</t>
  </si>
  <si>
    <t>Melting_Curves/meltCurve_Q5JSK7_HMGN5.pdf</t>
  </si>
  <si>
    <t>Melting_Curves/meltCurve_Q5JSZ5_PRRC2B.pdf</t>
  </si>
  <si>
    <t>Melting_Curves/meltCurve_Q5JTD0_2_TJAP1.pdf</t>
  </si>
  <si>
    <t>Melting_Curves/meltCurve_Q5JTH9_2_RRP12.pdf</t>
  </si>
  <si>
    <t>Melting_Curves/meltCurve_Q5JTJ3_3_COA6.pdf</t>
  </si>
  <si>
    <t>Melting_Curves/meltCurve_Q5JTV1_GMEB2.pdf</t>
  </si>
  <si>
    <t>Melting_Curves/meltCurve_Q5JTV8_TOR1AIP1.pdf</t>
  </si>
  <si>
    <t>Melting_Curves/meltCurve_Q5JTZ9_AARS2.pdf</t>
  </si>
  <si>
    <t>Melting_Curves/meltCurve_Q5JU85_3_IQSEC2.pdf</t>
  </si>
  <si>
    <t>Melting_Curves/meltCurve_Q5JUE6_RAPGEF1.pdf</t>
  </si>
  <si>
    <t>Melting_Curves/meltCurve_Q5JUQ0_FAM78A.pdf</t>
  </si>
  <si>
    <t>Melting_Curves/meltCurve_Q5JUR7_TEX30.pdf</t>
  </si>
  <si>
    <t>Melting_Curves/meltCurve_Q5JUW8_DLG3.pdf</t>
  </si>
  <si>
    <t>Melting_Curves/meltCurve_Q5JVF3_3_PCID2.pdf</t>
  </si>
  <si>
    <t>Melting_Curves/meltCurve_Q5JVZ5_ELMO2.pdf</t>
  </si>
  <si>
    <t>Melting_Curves/meltCurve_Q5JW30_STAU1.pdf</t>
  </si>
  <si>
    <t>Melting_Curves/meltCurve_Q5JWB9_TMEM230.pdf</t>
  </si>
  <si>
    <t>Melting_Curves/meltCurve_Q5JWT2_MED23.pdf</t>
  </si>
  <si>
    <t>Melting_Curves/meltCurve_Q5JXC2_MIIP.pdf</t>
  </si>
  <si>
    <t>Melting_Curves/meltCurve_Q5JXX2_MORF4L2.pdf</t>
  </si>
  <si>
    <t>Melting_Curves/meltCurve_Q5JY65_CRNKL1.pdf</t>
  </si>
  <si>
    <t>Melting_Curves/meltCurve_Q5JYC0_C20orf112.pdf</t>
  </si>
  <si>
    <t>Melting_Curves/meltCurve_Q5LJA5_UCHL5.pdf</t>
  </si>
  <si>
    <t>Melting_Curves/meltCurve_Q5M775_SPECC1.pdf</t>
  </si>
  <si>
    <t>Melting_Curves/meltCurve_Q5MIZ7_3_SMEK2.pdf</t>
  </si>
  <si>
    <t>Melting_Curves/meltCurve_Q5MNZ6_WDR45B.pdf</t>
  </si>
  <si>
    <t>Melting_Curves/meltCurve_Q5NDL2_EOGT.pdf</t>
  </si>
  <si>
    <t>Melting_Curves/meltCurve_Q5QJE6_DNTTIP2.pdf</t>
  </si>
  <si>
    <t>Melting_Curves/meltCurve_Q5QNY5_PEX19.pdf</t>
  </si>
  <si>
    <t>Melting_Curves/meltCurve_Q5QNZ2_ATP5F1.pdf</t>
  </si>
  <si>
    <t>Melting_Curves/meltCurve_Q5QP56_BCL2L1.pdf</t>
  </si>
  <si>
    <t>Melting_Curves/meltCurve_Q5QP82_2_DCAF10.pdf</t>
  </si>
  <si>
    <t>Melting_Curves/meltCurve_Q5QPA5_MRPS18A.pdf</t>
  </si>
  <si>
    <t>Melting_Curves/meltCurve_Q5QPC2_TTPAL.pdf</t>
  </si>
  <si>
    <t>Melting_Curves/meltCurve_Q5QPK2_DPM1.pdf</t>
  </si>
  <si>
    <t>Melting_Curves/meltCurve_Q5R372_4_RABGAP1L.pdf</t>
  </si>
  <si>
    <t>Melting_Curves/meltCurve_Q5R3B4_MPC2.pdf</t>
  </si>
  <si>
    <t>Melting_Curves/meltCurve_Q5R3I4_TTC38.pdf</t>
  </si>
  <si>
    <t>Melting_Curves/meltCurve_Q5RI15_COX20.pdf</t>
  </si>
  <si>
    <t>Melting_Curves/meltCurve_Q5RKV6_EXOSC6.pdf</t>
  </si>
  <si>
    <t>Melting_Curves/meltCurve_Q5SNW6_MTHFR.pdf</t>
  </si>
  <si>
    <t>Melting_Curves/meltCurve_Q5SR50_PIK3CD.pdf</t>
  </si>
  <si>
    <t>Melting_Curves/meltCurve_Q5SR56_HIATL1.pdf</t>
  </si>
  <si>
    <t>Melting_Curves/meltCurve_Q5SRE5_NUP188.pdf</t>
  </si>
  <si>
    <t>Melting_Curves/meltCurve_Q5SRN1_CDC40.pdf</t>
  </si>
  <si>
    <t>Melting_Curves/meltCurve_Q5SRQ6_CSNK2B.pdf</t>
  </si>
  <si>
    <t>Melting_Curves/meltCurve_Q5SSJ5_HP1BP3.pdf</t>
  </si>
  <si>
    <t>Melting_Curves/meltCurve_Q5ST30_VARS2.pdf</t>
  </si>
  <si>
    <t>Melting_Curves/meltCurve_Q5SVK8_DNMBP.pdf</t>
  </si>
  <si>
    <t>Melting_Curves/meltCurve_Q5SW79_CEP170.pdf</t>
  </si>
  <si>
    <t>Melting_Curves/meltCurve_Q5SW96_LDLRAP1.pdf</t>
  </si>
  <si>
    <t>Melting_Curves/meltCurve_Q5SWX8_2_ODR4.pdf</t>
  </si>
  <si>
    <t>Melting_Curves/meltCurve_Q5SX86_GDI2.pdf</t>
  </si>
  <si>
    <t>Melting_Curves/meltCurve_Q5SXM8_DNLZ.pdf</t>
  </si>
  <si>
    <t>Melting_Curves/meltCurve_Q5SY16_NOL9.pdf</t>
  </si>
  <si>
    <t>Melting_Curves/meltCurve_Q5SZE3_CERS2.pdf</t>
  </si>
  <si>
    <t>Melting_Curves/meltCurve_Q5SZR4_TDRKH.pdf</t>
  </si>
  <si>
    <t>Melting_Curves/meltCurve_Q5T097_UTRN.pdf</t>
  </si>
  <si>
    <t>Melting_Curves/meltCurve_Q5T0Z6_PKIB.pdf</t>
  </si>
  <si>
    <t>Melting_Curves/meltCurve_Q5T114_C9orf156.pdf</t>
  </si>
  <si>
    <t>Melting_Curves/meltCurve_Q5T123_SH3BGRL3.pdf</t>
  </si>
  <si>
    <t>Melting_Curves/meltCurve_Q5T160_RARS2.pdf</t>
  </si>
  <si>
    <t>Melting_Curves/meltCurve_Q5T171_PYGO2.pdf</t>
  </si>
  <si>
    <t>Melting_Curves/meltCurve_Q5T179_CKS1B.pdf</t>
  </si>
  <si>
    <t>Melting_Curves/meltCurve_Q5T1C6_THEM4.pdf</t>
  </si>
  <si>
    <t>Melting_Curves/meltCurve_Q5T1M5_FKBP15.pdf</t>
  </si>
  <si>
    <t>Melting_Curves/meltCurve_Q5T1V6_DDX59.pdf</t>
  </si>
  <si>
    <t>Melting_Curves/meltCurve_Q5T1Z0_LHPP.pdf</t>
  </si>
  <si>
    <t>Melting_Curves/meltCurve_Q5T1Z4_PUM1.pdf</t>
  </si>
  <si>
    <t>Melting_Curves/meltCurve_Q5T200_ZC3H13.pdf</t>
  </si>
  <si>
    <t>Melting_Curves/meltCurve_Q5T280_C9orf114.pdf</t>
  </si>
  <si>
    <t>Melting_Curves/meltCurve_Q5T2D3_OTUD3.pdf</t>
  </si>
  <si>
    <t>Melting_Curves/meltCurve_Q5T2J3_BCKDHB.pdf</t>
  </si>
  <si>
    <t>Melting_Curves/meltCurve_Q5T2R2_3_PDSS1.pdf</t>
  </si>
  <si>
    <t>Melting_Curves/meltCurve_Q5T3J3_2_LRIF1.pdf</t>
  </si>
  <si>
    <t>Melting_Curves/meltCurve_Q5T3Q7_HEATR1.pdf</t>
  </si>
  <si>
    <t>Melting_Curves/meltCurve_Q5T3U5_2_ABCC10.pdf</t>
  </si>
  <si>
    <t>Melting_Curves/meltCurve_Q5T440_IBA57.pdf</t>
  </si>
  <si>
    <t>Melting_Curves/meltCurve_Q5T447_HECTD3.pdf</t>
  </si>
  <si>
    <t>Melting_Curves/meltCurve_Q5T4B9_COQ4.pdf</t>
  </si>
  <si>
    <t>Melting_Curves/meltCurve_Q5T4F4_7_ZFYVE27.pdf</t>
  </si>
  <si>
    <t>Melting_Curves/meltCurve_Q5T4S7_3_UBR4.pdf</t>
  </si>
  <si>
    <t>Melting_Curves/meltCurve_Q5T4U5_ACADM.pdf</t>
  </si>
  <si>
    <t>Melting_Curves/meltCurve_Q5T4U8_RABGGTB.pdf</t>
  </si>
  <si>
    <t>Melting_Curves/meltCurve_Q5T5C0_3_STXBP5.pdf</t>
  </si>
  <si>
    <t>Melting_Curves/meltCurve_Q5T5C7_SARS.pdf</t>
  </si>
  <si>
    <t>Melting_Curves/meltCurve_Q5T5U3_ARHGAP21.pdf</t>
  </si>
  <si>
    <t>Melting_Curves/meltCurve_Q5T5X7_BEND3.pdf</t>
  </si>
  <si>
    <t>Melting_Curves/meltCurve_Q5T5Y3_CAMSAP1.pdf</t>
  </si>
  <si>
    <t>Melting_Curves/meltCurve_Q5T6F2_UBAP2.pdf</t>
  </si>
  <si>
    <t>Melting_Curves/meltCurve_Q5T6S3_PHF19.pdf</t>
  </si>
  <si>
    <t>Melting_Curves/meltCurve_Q5T6V5_C9orf64.pdf</t>
  </si>
  <si>
    <t>Melting_Curves/meltCurve_Q5T6Z8_TMEM59.pdf</t>
  </si>
  <si>
    <t>Melting_Curves/meltCurve_Q5T7A4_ADCK3.pdf</t>
  </si>
  <si>
    <t>Melting_Curves/meltCurve_Q5T7V8_GORAB.pdf</t>
  </si>
  <si>
    <t>Melting_Curves/meltCurve_Q5T8D3_4_ACBD5.pdf</t>
  </si>
  <si>
    <t>Melting_Curves/meltCurve_Q5T8I0_COX6A1P2.pdf</t>
  </si>
  <si>
    <t>Melting_Curves/meltCurve_Q5T8I3_2_FAM102B.pdf</t>
  </si>
  <si>
    <t>Melting_Curves/meltCurve_Q5T8P6_2_RBM26.pdf</t>
  </si>
  <si>
    <t>Melting_Curves/meltCurve_Q5T8U5_SURF4.pdf</t>
  </si>
  <si>
    <t>Melting_Curves/meltCurve_Q5T9A4_ATAD3B.pdf</t>
  </si>
  <si>
    <t>Melting_Curves/meltCurve_Q5T9B7_AK1.pdf</t>
  </si>
  <si>
    <t>Melting_Curves/meltCurve_Q5T9W8_HSP90AB1.pdf</t>
  </si>
  <si>
    <t>Melting_Curves/meltCurve_Q5TA02_GSTO1.pdf</t>
  </si>
  <si>
    <t>Melting_Curves/meltCurve_Q5TA31_RNF187.pdf</t>
  </si>
  <si>
    <t>Melting_Curves/meltCurve_Q5TA45_2_CPSF3L.pdf</t>
  </si>
  <si>
    <t>Melting_Curves/meltCurve_Q5TA50_GLTPD1.pdf</t>
  </si>
  <si>
    <t>Melting_Curves/meltCurve_Q5TA58_AGO1.pdf</t>
  </si>
  <si>
    <t>Melting_Curves/meltCurve_Q5TAA8_HPS1.pdf</t>
  </si>
  <si>
    <t>Melting_Curves/meltCurve_Q5TAW7_CAB39L.pdf</t>
  </si>
  <si>
    <t>Melting_Curves/meltCurve_Q5TAX3_ZCCHC11.pdf</t>
  </si>
  <si>
    <t>Melting_Curves/meltCurve_Q5TBB1_RNASEH2B.pdf</t>
  </si>
  <si>
    <t>Melting_Curves/meltCurve_Q5TBP5_TAF4.pdf</t>
  </si>
  <si>
    <t>Melting_Curves/meltCurve_Q5TBP9_LSM14B.pdf</t>
  </si>
  <si>
    <t>Melting_Curves/meltCurve_Q5TC82_2_RC3H1.pdf</t>
  </si>
  <si>
    <t>Melting_Curves/meltCurve_Q5TCQ9_3_MAGI3.pdf</t>
  </si>
  <si>
    <t>Melting_Curves/meltCurve_Q5TD07_NQO2.pdf</t>
  </si>
  <si>
    <t>Melting_Curves/meltCurve_Q5TDG9_DNAJC16.pdf</t>
  </si>
  <si>
    <t>Melting_Curves/meltCurve_Q5TDH0_DDI2.pdf</t>
  </si>
  <si>
    <t>Melting_Curves/meltCurve_Q5TEU4_NDUFAF5.pdf</t>
  </si>
  <si>
    <t>Melting_Curves/meltCurve_Q5TFE4_NT5DC1.pdf</t>
  </si>
  <si>
    <t>Melting_Curves/meltCurve_Q5TGE1_TMEM189.pdf</t>
  </si>
  <si>
    <t>Melting_Curves/meltCurve_Q5TH30_NDRG3.pdf</t>
  </si>
  <si>
    <t>Melting_Curves/meltCurve_Q5THJ4_2_VPS13D.pdf</t>
  </si>
  <si>
    <t>Melting_Curves/meltCurve_Q5THK1_3_PRR14L.pdf</t>
  </si>
  <si>
    <t>Melting_Curves/meltCurve_Q5TI78_METTL18.pdf</t>
  </si>
  <si>
    <t>Melting_Curves/meltCurve_Q5TIE1_SLC19A2.pdf</t>
  </si>
  <si>
    <t>Melting_Curves/meltCurve_Q5TIH2_SFT2D2.pdf</t>
  </si>
  <si>
    <t>Melting_Curves/meltCurve_Q5U5X0_LYRM7.pdf</t>
  </si>
  <si>
    <t>Melting_Curves/meltCurve_Q5UIP0_RIF1.pdf</t>
  </si>
  <si>
    <t>Melting_Curves/meltCurve_Q5VIR6_4_VPS53.pdf</t>
  </si>
  <si>
    <t>Melting_Curves/meltCurve_Q5VSL9_STRIP1.pdf</t>
  </si>
  <si>
    <t>Melting_Curves/meltCurve_Q5VT52_RPRD2.pdf</t>
  </si>
  <si>
    <t>Melting_Curves/meltCurve_Q5VT94_GHITM.pdf</t>
  </si>
  <si>
    <t>Melting_Curves/meltCurve_Q5VTD9_2_GFI1B.pdf</t>
  </si>
  <si>
    <t>Melting_Curves/meltCurve_Q5VTL8_PRPF38B.pdf</t>
  </si>
  <si>
    <t>Melting_Curves/meltCurve_Q5VTR2_RNF20.pdf</t>
  </si>
  <si>
    <t>Melting_Curves/meltCurve_Q5VTU3_DYNLT1.pdf</t>
  </si>
  <si>
    <t>Melting_Curves/meltCurve_Q5VU58_TPM3.pdf</t>
  </si>
  <si>
    <t>Melting_Curves/meltCurve_Q5VUC6_NMT2.pdf</t>
  </si>
  <si>
    <t>Melting_Curves/meltCurve_Q5VV42_CDKAL1.pdf</t>
  </si>
  <si>
    <t>Melting_Curves/meltCurve_Q5VV50_ZNF691.pdf</t>
  </si>
  <si>
    <t>Melting_Curves/meltCurve_Q5VVD7_PLEKHM2.pdf</t>
  </si>
  <si>
    <t>Melting_Curves/meltCurve_Q5VVJ2_2_MYSM1.pdf</t>
  </si>
  <si>
    <t>Melting_Curves/meltCurve_Q5VVQ6_YOD1.pdf</t>
  </si>
  <si>
    <t>Melting_Curves/meltCurve_Q5VW32_BROX.pdf</t>
  </si>
  <si>
    <t>Melting_Curves/meltCurve_Q5VW52_GPAM.pdf</t>
  </si>
  <si>
    <t>Melting_Curves/meltCurve_Q5VWC4_PSMD4.pdf</t>
  </si>
  <si>
    <t>Melting_Curves/meltCurve_Q5VWJ9_SNX30.pdf</t>
  </si>
  <si>
    <t>Melting_Curves/meltCurve_Q5VWP2_FAM46C.pdf</t>
  </si>
  <si>
    <t>Melting_Curves/meltCurve_Q5VWQ0_RSBN1.pdf</t>
  </si>
  <si>
    <t>Melting_Curves/meltCurve_Q5VWV2_PARD3.pdf</t>
  </si>
  <si>
    <t>Melting_Curves/meltCurve_Q5VWZ2_LYPLAL1.pdf</t>
  </si>
  <si>
    <t>Melting_Curves/meltCurve_Q5VY93_ARHGEF2.pdf</t>
  </si>
  <si>
    <t>Melting_Curves/meltCurve_Q5VZE5_NAA35.pdf</t>
  </si>
  <si>
    <t>Melting_Curves/meltCurve_Q5VZI3_2_C9orf91.pdf</t>
  </si>
  <si>
    <t>Melting_Curves/meltCurve_Q5VZL5_4_ZMYM4.pdf</t>
  </si>
  <si>
    <t>Melting_Curves/meltCurve_Q5VZR0_GLIPR2.pdf</t>
  </si>
  <si>
    <t>Melting_Curves/meltCurve_Q5VZU9_TPP2.pdf</t>
  </si>
  <si>
    <t>Melting_Curves/meltCurve_Q5VZZ6_CELF2.pdf</t>
  </si>
  <si>
    <t>Melting_Curves/meltCurve_Q5W0A2_ITM2B.pdf</t>
  </si>
  <si>
    <t>Melting_Curves/meltCurve_Q5W0V3_FAM160B1.pdf</t>
  </si>
  <si>
    <t>Melting_Curves/meltCurve_Q5W111_2_SPRYD7.pdf</t>
  </si>
  <si>
    <t>Melting_Curves/meltCurve_Q5W145_NDUFB8.pdf</t>
  </si>
  <si>
    <t>Melting_Curves/meltCurve_Q5XKP0_QIL1.pdf</t>
  </si>
  <si>
    <t>Melting_Curves/meltCurve_Q5XPI4_RNF123.pdf</t>
  </si>
  <si>
    <t>Melting_Curves/meltCurve_Q5XUX1_3_FBXW9.pdf</t>
  </si>
  <si>
    <t>Melting_Curves/meltCurve_Q63HN8_RNF213.pdf</t>
  </si>
  <si>
    <t>Melting_Curves/meltCurve_Q643R3_LPCAT4.pdf</t>
  </si>
  <si>
    <t>Melting_Curves/meltCurve_Q658P3_3_STEAP3.pdf</t>
  </si>
  <si>
    <t>Melting_Curves/meltCurve_Q66GS9_CEP135.pdf</t>
  </si>
  <si>
    <t>Melting_Curves/meltCurve_Q66K14_2_TBC1D9B.pdf</t>
  </si>
  <si>
    <t>Melting_Curves/meltCurve_Q66K64_DCAF15.pdf</t>
  </si>
  <si>
    <t>Melting_Curves/meltCurve_Q66LE6_PPP2R2D.pdf</t>
  </si>
  <si>
    <t>Melting_Curves/meltCurve_Q66PJ3_ARL6IP4.pdf</t>
  </si>
  <si>
    <t>Melting_Curves/meltCurve_Q66S35_PFKFB4.pdf</t>
  </si>
  <si>
    <t>Melting_Curves/meltCurve_Q674X7_3_KAZN.pdf</t>
  </si>
  <si>
    <t>Melting_Curves/meltCurve_Q68CQ4_DIEXF.pdf</t>
  </si>
  <si>
    <t>Melting_Curves/meltCurve_Q68D10_2_SPTY2D1.pdf</t>
  </si>
  <si>
    <t>Melting_Curves/meltCurve_Q68D85_NCR3LG1.pdf</t>
  </si>
  <si>
    <t>Melting_Curves/meltCurve_Q68D91_MBLAC2.pdf</t>
  </si>
  <si>
    <t>Melting_Curves/meltCurve_Q68DH5_LMBRD2.pdf</t>
  </si>
  <si>
    <t>Melting_Curves/meltCurve_Q68DM5_DKFZp781L1143.pdf</t>
  </si>
  <si>
    <t>Melting_Curves/meltCurve_Q68E01_2_INTS3.pdf</t>
  </si>
  <si>
    <t>Melting_Curves/meltCurve_Q68EM7_6_ARHGAP17.pdf</t>
  </si>
  <si>
    <t>Melting_Curves/meltCurve_Q69YH5_CDCA2.pdf</t>
  </si>
  <si>
    <t>Melting_Curves/meltCurve_Q69YL0_.pdf</t>
  </si>
  <si>
    <t>Melting_Curves/meltCurve_Q69YM1_DKFZp762C0813.pdf</t>
  </si>
  <si>
    <t>Melting_Curves/meltCurve_Q69YN2_CWF19L1.pdf</t>
  </si>
  <si>
    <t>Melting_Curves/meltCurve_Q69YN4_3_KIAA1429.pdf</t>
  </si>
  <si>
    <t>Melting_Curves/meltCurve_Q69YQ0_2_SPECC1L.pdf</t>
  </si>
  <si>
    <t>Melting_Curves/meltCurve_Q69YU5_C12orf73.pdf</t>
  </si>
  <si>
    <t>Melting_Curves/meltCurve_Q6AI08_HEATR6.pdf</t>
  </si>
  <si>
    <t>Melting_Curves/meltCurve_Q6AI12_ANKRD40.pdf</t>
  </si>
  <si>
    <t>Melting_Curves/meltCurve_Q6BCY4_2_CYB5R2.pdf</t>
  </si>
  <si>
    <t>Melting_Curves/meltCurve_Q6BDS2_UHRF1BP1.pdf</t>
  </si>
  <si>
    <t>Melting_Curves/meltCurve_Q6DD87_ZNF787.pdf</t>
  </si>
  <si>
    <t>Melting_Curves/meltCurve_Q6DD88_ATL3.pdf</t>
  </si>
  <si>
    <t>Melting_Curves/meltCurve_Q6DHV7_ADAL.pdf</t>
  </si>
  <si>
    <t>Melting_Curves/meltCurve_Q6DKK2_TTC19.pdf</t>
  </si>
  <si>
    <t>Melting_Curves/meltCurve_Q6DT37_CDC42BPG.pdf</t>
  </si>
  <si>
    <t>Melting_Curves/meltCurve_Q6EEV4_2_POLR2M.pdf</t>
  </si>
  <si>
    <t>Melting_Curves/meltCurve_Q6EMK4_VASN.pdf</t>
  </si>
  <si>
    <t>Melting_Curves/meltCurve_Q6FI81_CIAPIN1.pdf</t>
  </si>
  <si>
    <t>Melting_Curves/meltCurve_Q6FIF0_2_ZFAND6.pdf</t>
  </si>
  <si>
    <t>Melting_Curves/meltCurve_Q6GMV2_SMYD5.pdf</t>
  </si>
  <si>
    <t>Melting_Curves/meltCurve_Q6GMV3_PTRHD1.pdf</t>
  </si>
  <si>
    <t>Melting_Curves/meltCurve_Q6GQQ9_OTUD7B.pdf</t>
  </si>
  <si>
    <t>Melting_Curves/meltCurve_Q6I9Y2_THOC7.pdf</t>
  </si>
  <si>
    <t>Melting_Curves/meltCurve_Q6IA69_NADSYN1.pdf</t>
  </si>
  <si>
    <t>Melting_Curves/meltCurve_Q6IA86_3_ELP2.pdf</t>
  </si>
  <si>
    <t>Melting_Curves/meltCurve_Q6IAA8_LAMTOR1.pdf</t>
  </si>
  <si>
    <t>Melting_Curves/meltCurve_Q6IAN0_DHRS7B.pdf</t>
  </si>
  <si>
    <t>Melting_Curves/meltCurve_Q6IBS0_TWF2.pdf</t>
  </si>
  <si>
    <t>Melting_Curves/meltCurve_Q6IBW4_2_NCAPH2.pdf</t>
  </si>
  <si>
    <t>Melting_Curves/meltCurve_Q6IC98_GRAMD4.pdf</t>
  </si>
  <si>
    <t>Melting_Curves/meltCurve_Q6ICB0_DESI1.pdf</t>
  </si>
  <si>
    <t>Melting_Curves/meltCurve_Q6IN84_MRM1.pdf</t>
  </si>
  <si>
    <t>Melting_Curves/meltCurve_Q6IN85_SMEK1.pdf</t>
  </si>
  <si>
    <t>Melting_Curves/meltCurve_Q6IPR3_TYW3.pdf</t>
  </si>
  <si>
    <t>Melting_Curves/meltCurve_Q6IQ22_RAB12.pdf</t>
  </si>
  <si>
    <t>Melting_Curves/meltCurve_Q6IQ49_2_SDE2.pdf</t>
  </si>
  <si>
    <t>Melting_Curves/meltCurve_Q6J164_GRM5.pdf</t>
  </si>
  <si>
    <t>Melting_Curves/meltCurve_Q6JHV3_USP3.pdf</t>
  </si>
  <si>
    <t>Melting_Curves/meltCurve_Q6KC79_2_NIPBL.pdf</t>
  </si>
  <si>
    <t>Melting_Curves/meltCurve_Q6KCM7_SLC25A25.pdf</t>
  </si>
  <si>
    <t>Melting_Curves/meltCurve_Q6N063_OGFOD2.pdf</t>
  </si>
  <si>
    <t>Melting_Curves/meltCurve_Q6N069_NAA16.pdf</t>
  </si>
  <si>
    <t>Melting_Curves/meltCurve_Q6NSH3_CT45A5.pdf</t>
  </si>
  <si>
    <t>Melting_Curves/meltCurve_Q6NT16_SLC18B1.pdf</t>
  </si>
  <si>
    <t>Melting_Curves/meltCurve_Q6NTE8_C5orf45.pdf</t>
  </si>
  <si>
    <t>Melting_Curves/meltCurve_Q6NUK1_SLC25A24.pdf</t>
  </si>
  <si>
    <t>Melting_Curves/meltCurve_Q6NUK4_2_REEP3.pdf</t>
  </si>
  <si>
    <t>Melting_Curves/meltCurve_Q6NUM9_RETSAT.pdf</t>
  </si>
  <si>
    <t>Melting_Curves/meltCurve_Q6NUQ1_RINT1.pdf</t>
  </si>
  <si>
    <t>Melting_Curves/meltCurve_Q6NUQ4_2_TMEM214.pdf</t>
  </si>
  <si>
    <t>Melting_Curves/meltCurve_Q6NVH7_SWSAP1.pdf</t>
  </si>
  <si>
    <t>Melting_Curves/meltCurve_Q6NVY1_HIBCH.pdf</t>
  </si>
  <si>
    <t>Melting_Curves/meltCurve_Q6NXE6_2_ARMC6.pdf</t>
  </si>
  <si>
    <t>Melting_Curves/meltCurve_Q6NXT1_ANKRD54.pdf</t>
  </si>
  <si>
    <t>Melting_Curves/meltCurve_Q6NXT6_TAPT1.pdf</t>
  </si>
  <si>
    <t>Melting_Curves/meltCurve_Q6NYC8_PPP1R18.pdf</t>
  </si>
  <si>
    <t>Melting_Curves/meltCurve_Q6NZI2_PTRF.pdf</t>
  </si>
  <si>
    <t>Melting_Curves/meltCurve_Q6NZY4_ZCCHC8.pdf</t>
  </si>
  <si>
    <t>Melting_Curves/meltCurve_Q6P087_2_RPUSD3.pdf</t>
  </si>
  <si>
    <t>Melting_Curves/meltCurve_Q6P161_MRPL54.pdf</t>
  </si>
  <si>
    <t>Melting_Curves/meltCurve_Q6P1J9_CDC73.pdf</t>
  </si>
  <si>
    <t>Melting_Curves/meltCurve_Q6P1K2_4_PMF1.pdf</t>
  </si>
  <si>
    <t>Melting_Curves/meltCurve_Q6P1K8_GTF2H2C.pdf</t>
  </si>
  <si>
    <t>Melting_Curves/meltCurve_Q6P1L8_MRPL14.pdf</t>
  </si>
  <si>
    <t>Melting_Curves/meltCurve_Q6P1M0_SLC27A4.pdf</t>
  </si>
  <si>
    <t>Melting_Curves/meltCurve_Q6P1N0_2_CC2D1A.pdf</t>
  </si>
  <si>
    <t>Melting_Curves/meltCurve_Q6P1Q9_METTL2B.pdf</t>
  </si>
  <si>
    <t>Melting_Curves/meltCurve_Q6P1R4_DUS1L.pdf</t>
  </si>
  <si>
    <t>Melting_Curves/meltCurve_Q6P2C8_2_MED27.pdf</t>
  </si>
  <si>
    <t>Melting_Curves/meltCurve_Q6P2E9_EDC4.pdf</t>
  </si>
  <si>
    <t>Melting_Curves/meltCurve_Q6P2H3_2_CEP85.pdf</t>
  </si>
  <si>
    <t>Melting_Curves/meltCurve_Q6P2P2_PRMT10.pdf</t>
  </si>
  <si>
    <t>Melting_Curves/meltCurve_Q6P2Q9_PRPF8.pdf</t>
  </si>
  <si>
    <t>Melting_Curves/meltCurve_Q6P3S1_5_DENND1B.pdf</t>
  </si>
  <si>
    <t>Melting_Curves/meltCurve_Q6P3S6_FBXO42.pdf</t>
  </si>
  <si>
    <t>Melting_Curves/meltCurve_Q6P3W7_SCYL2.pdf</t>
  </si>
  <si>
    <t>Melting_Curves/meltCurve_Q6P3X3_TTC27.pdf</t>
  </si>
  <si>
    <t>Melting_Curves/meltCurve_Q6P444_MTFR2.pdf</t>
  </si>
  <si>
    <t>Melting_Curves/meltCurve_Q6P4A7_SFXN4.pdf</t>
  </si>
  <si>
    <t>Melting_Curves/meltCurve_Q6P4A8_PLBD1.pdf</t>
  </si>
  <si>
    <t>Melting_Curves/meltCurve_Q6P4E1_CASC4.pdf</t>
  </si>
  <si>
    <t>Melting_Curves/meltCurve_Q6P4F2_FDX1L.pdf</t>
  </si>
  <si>
    <t>Melting_Curves/meltCurve_Q6P4I2_WDR73.pdf</t>
  </si>
  <si>
    <t>Melting_Curves/meltCurve_Q6P582_MZT2A.pdf</t>
  </si>
  <si>
    <t>Melting_Curves/meltCurve_Q6P587_FAHD1.pdf</t>
  </si>
  <si>
    <t>Melting_Curves/meltCurve_Q6P5X5_C22orf39.pdf</t>
  </si>
  <si>
    <t>Melting_Curves/meltCurve_Q6P5Z2_PKN3.pdf</t>
  </si>
  <si>
    <t>Melting_Curves/meltCurve_Q6P6B7_2_ANKRD16.pdf</t>
  </si>
  <si>
    <t>Melting_Curves/meltCurve_Q6P6C2_3_ALKBH5.pdf</t>
  </si>
  <si>
    <t>Melting_Curves/meltCurve_Q6P9B6_KIAA1609.pdf</t>
  </si>
  <si>
    <t>Melting_Curves/meltCurve_Q6P9B9_INTS5.pdf</t>
  </si>
  <si>
    <t>Melting_Curves/meltCurve_Q6P9F7_LRRC8B.pdf</t>
  </si>
  <si>
    <t>Melting_Curves/meltCurve_Q6PCB5_RSBN1L.pdf</t>
  </si>
  <si>
    <t>Melting_Curves/meltCurve_Q6PCE3_PGM2L1.pdf</t>
  </si>
  <si>
    <t>Melting_Curves/meltCurve_Q6PD62_CTR9.pdf</t>
  </si>
  <si>
    <t>Melting_Curves/meltCurve_Q6PD74_AAGAB.pdf</t>
  </si>
  <si>
    <t>Melting_Curves/meltCurve_Q6PGN9_2_PSRC1.pdf</t>
  </si>
  <si>
    <t>Melting_Curves/meltCurve_Q6PHR2_3_ULK3.pdf</t>
  </si>
  <si>
    <t>Melting_Curves/meltCurve_Q6PI48_DARS2.pdf</t>
  </si>
  <si>
    <t>Melting_Curves/meltCurve_Q6PII3_CCDC174.pdf</t>
  </si>
  <si>
    <t>Melting_Curves/meltCurve_Q6PII5_2_HAGHL.pdf</t>
  </si>
  <si>
    <t>Melting_Curves/meltCurve_Q6PIJ6_2_FBXO38.pdf</t>
  </si>
  <si>
    <t>Melting_Curves/meltCurve_Q6PIW4_2_FIGNL1.pdf</t>
  </si>
  <si>
    <t>Melting_Curves/meltCurve_Q6PJ61_FBXO46.pdf</t>
  </si>
  <si>
    <t>Melting_Curves/meltCurve_Q6PJ69_TRIM65.pdf</t>
  </si>
  <si>
    <t>Melting_Curves/meltCurve_Q6PJG6_BRAT1.pdf</t>
  </si>
  <si>
    <t>Melting_Curves/meltCurve_Q6PJT7_5_ZC3H14.pdf</t>
  </si>
  <si>
    <t>Melting_Curves/meltCurve_Q6PJW8_CNST.pdf</t>
  </si>
  <si>
    <t>Melting_Curves/meltCurve_Q6PK18_OGFOD3.pdf</t>
  </si>
  <si>
    <t>Melting_Curves/meltCurve_Q6PKC3_2_TXNDC11.pdf</t>
  </si>
  <si>
    <t>Melting_Curves/meltCurve_Q6PKG0_LARP1.pdf</t>
  </si>
  <si>
    <t>Melting_Curves/meltCurve_Q6PL24_TMED8.pdf</t>
  </si>
  <si>
    <t>Melting_Curves/meltCurve_Q6PML9_SLC30A9.pdf</t>
  </si>
  <si>
    <t>Melting_Curves/meltCurve_Q6QNY0_BLOC1S3.pdf</t>
  </si>
  <si>
    <t>Melting_Curves/meltCurve_Q6QNY1_BLOC1S2.pdf</t>
  </si>
  <si>
    <t>Melting_Curves/meltCurve_Q6R327_RICTOR.pdf</t>
  </si>
  <si>
    <t>Melting_Curves/meltCurve_Q6RFH5_2_WDR74.pdf</t>
  </si>
  <si>
    <t>Melting_Curves/meltCurve_Q6RW13_AGTRAP.pdf</t>
  </si>
  <si>
    <t>Melting_Curves/meltCurve_Q6SPF0_SAMD1.pdf</t>
  </si>
  <si>
    <t>Melting_Curves/meltCurve_Q6UB28_METAP1D.pdf</t>
  </si>
  <si>
    <t>Melting_Curves/meltCurve_Q6UB35_MTHFD1L.pdf</t>
  </si>
  <si>
    <t>Melting_Curves/meltCurve_Q6ULP2_5_AFTPH.pdf</t>
  </si>
  <si>
    <t>Melting_Curves/meltCurve_Q6UN15_5_FIP1L1.pdf</t>
  </si>
  <si>
    <t>Melting_Curves/meltCurve_Q6UW56_ATRAID.pdf</t>
  </si>
  <si>
    <t>Melting_Curves/meltCurve_Q6UW63_KDELC1.pdf</t>
  </si>
  <si>
    <t>Melting_Curves/meltCurve_Q6UW78_C11orf83.pdf</t>
  </si>
  <si>
    <t>Melting_Curves/meltCurve_Q6UWB1_IL27RA.pdf</t>
  </si>
  <si>
    <t>Melting_Curves/meltCurve_Q6UWE0_LRSAM1.pdf</t>
  </si>
  <si>
    <t>Melting_Curves/meltCurve_Q6UWP2_DHRS11.pdf</t>
  </si>
  <si>
    <t>Melting_Curves/meltCurve_Q6UWP7_3_LCLAT1.pdf</t>
  </si>
  <si>
    <t>Melting_Curves/meltCurve_Q6UWS5_PET117.pdf</t>
  </si>
  <si>
    <t>Melting_Curves/meltCurve_Q6UWU4_C6orf89.pdf</t>
  </si>
  <si>
    <t>Melting_Curves/meltCurve_Q6UX04_CWC27.pdf</t>
  </si>
  <si>
    <t>Melting_Curves/meltCurve_Q6UX07_DHRS13.pdf</t>
  </si>
  <si>
    <t>Melting_Curves/meltCurve_Q6UXH1_4_CRELD2.pdf</t>
  </si>
  <si>
    <t>Melting_Curves/meltCurve_Q6UXN9_WDR82.pdf</t>
  </si>
  <si>
    <t>Melting_Curves/meltCurve_Q6UXV4_APOOL.pdf</t>
  </si>
  <si>
    <t>Melting_Curves/meltCurve_Q6UY14_2_ADAMTSL4.pdf</t>
  </si>
  <si>
    <t>Melting_Curves/meltCurve_Q6VMQ6_2_ATF7IP.pdf</t>
  </si>
  <si>
    <t>Melting_Curves/meltCurve_Q6VY07_PACS1.pdf</t>
  </si>
  <si>
    <t>Melting_Curves/meltCurve_Q6W2J9_4_BCOR.pdf</t>
  </si>
  <si>
    <t>Melting_Curves/meltCurve_Q6WKZ4_RAB11FIP1.pdf</t>
  </si>
  <si>
    <t>Melting_Curves/meltCurve_Q6XQN6_NAPRT1.pdf</t>
  </si>
  <si>
    <t>Melting_Curves/meltCurve_Q6XR72_SLC30A10.pdf</t>
  </si>
  <si>
    <t>Melting_Curves/meltCurve_Q6Y7W6_4_GIGYF2.pdf</t>
  </si>
  <si>
    <t>Melting_Curves/meltCurve_Q6YHU6_3_THADA.pdf</t>
  </si>
  <si>
    <t>Melting_Curves/meltCurve_Q6YN16_HSDL2.pdf</t>
  </si>
  <si>
    <t>Melting_Curves/meltCurve_Q6YP21_3_CCBL2.pdf</t>
  </si>
  <si>
    <t>Melting_Curves/meltCurve_Q6ZN04_MEX3B.pdf</t>
  </si>
  <si>
    <t>Melting_Curves/meltCurve_Q6ZN17_LIN28B.pdf</t>
  </si>
  <si>
    <t>Melting_Curves/meltCurve_Q6ZN18_2_AEBP2.pdf</t>
  </si>
  <si>
    <t>Melting_Curves/meltCurve_Q6ZNA5_FRRS1.pdf</t>
  </si>
  <si>
    <t>Melting_Curves/meltCurve_Q6ZNB6_NFXL1.pdf</t>
  </si>
  <si>
    <t>Melting_Curves/meltCurve_Q6ZNJ1_2_NBEAL2.pdf</t>
  </si>
  <si>
    <t>Melting_Curves/meltCurve_Q6ZNW5_GDPGP1.pdf</t>
  </si>
  <si>
    <t>Melting_Curves/meltCurve_Q6ZPD9_DPY19L3.pdf</t>
  </si>
  <si>
    <t>Melting_Curves/meltCurve_Q6ZRP7_QSOX2.pdf</t>
  </si>
  <si>
    <t>Melting_Curves/meltCurve_Q6ZRS2_3_SRCAP.pdf</t>
  </si>
  <si>
    <t>Melting_Curves/meltCurve_Q6ZS17_2_FAM65A.pdf</t>
  </si>
  <si>
    <t>Melting_Curves/meltCurve_Q6ZSJ8_C1orf122.pdf</t>
  </si>
  <si>
    <t>Melting_Curves/meltCurve_Q6ZT12_UBR3.pdf</t>
  </si>
  <si>
    <t>Melting_Curves/meltCurve_Q6ZT62_SH3BP1.pdf</t>
  </si>
  <si>
    <t>Melting_Curves/meltCurve_Q6ZV70_2_LANCL3.pdf</t>
  </si>
  <si>
    <t>Melting_Curves/meltCurve_Q6ZW49_4_PAXIP1.pdf</t>
  </si>
  <si>
    <t>Melting_Curves/meltCurve_Q6ZWT7_MBOAT2.pdf</t>
  </si>
  <si>
    <t>Melting_Curves/meltCurve_Q6ZXV5_2_TMTC3.pdf</t>
  </si>
  <si>
    <t>Melting_Curves/meltCurve_Q6ZYL4_GTF2H5.pdf</t>
  </si>
  <si>
    <t>Melting_Curves/meltCurve_Q709C8_3_VPS13C.pdf</t>
  </si>
  <si>
    <t>Melting_Curves/meltCurve_Q70CQ2_USP34.pdf</t>
  </si>
  <si>
    <t>Melting_Curves/meltCurve_Q70IA6_MOB2.pdf</t>
  </si>
  <si>
    <t>Melting_Curves/meltCurve_Q70J99_UNC13D.pdf</t>
  </si>
  <si>
    <t>Melting_Curves/meltCurve_Q70UQ0_IKBIP.pdf</t>
  </si>
  <si>
    <t>Melting_Curves/meltCurve_Q70UQ0_4_IKBIP.pdf</t>
  </si>
  <si>
    <t>Melting_Curves/meltCurve_Q70Z53_2_FRA10AC1.pdf</t>
  </si>
  <si>
    <t>Melting_Curves/meltCurve_Q712K3_UBE2R2.pdf</t>
  </si>
  <si>
    <t>Melting_Curves/meltCurve_Q71RC2_5_LARP4.pdf</t>
  </si>
  <si>
    <t>Melting_Curves/meltCurve_Q71SY5_5_MED25.pdf</t>
  </si>
  <si>
    <t>Melting_Curves/meltCurve_Q71TU5_CSNK1A1.pdf</t>
  </si>
  <si>
    <t>Melting_Curves/meltCurve_Q71UI9_H2AFV.pdf</t>
  </si>
  <si>
    <t>Melting_Curves/meltCurve_Q765P7_MTSS1L.pdf</t>
  </si>
  <si>
    <t>Melting_Curves/meltCurve_Q7KYR7_5_BTN2A1.pdf</t>
  </si>
  <si>
    <t>Melting_Curves/meltCurve_Q7KZ85_SUPT6H.pdf</t>
  </si>
  <si>
    <t>Melting_Curves/meltCurve_Q7KZ85_2_SUPT6H.pdf</t>
  </si>
  <si>
    <t>Melting_Curves/meltCurve_Q7KZF4_SND1.pdf</t>
  </si>
  <si>
    <t>Melting_Curves/meltCurve_Q7KZN9_2_COX15.pdf</t>
  </si>
  <si>
    <t>Melting_Curves/meltCurve_Q7L014_DDX46.pdf</t>
  </si>
  <si>
    <t>Melting_Curves/meltCurve_Q7L099_2_RUFY3.pdf</t>
  </si>
  <si>
    <t>Melting_Curves/meltCurve_Q7L099_4_RUFY3.pdf</t>
  </si>
  <si>
    <t>Melting_Curves/meltCurve_Q7L0Y3_TRMT10C.pdf</t>
  </si>
  <si>
    <t>Melting_Curves/meltCurve_Q7L1Q6_BZW1.pdf</t>
  </si>
  <si>
    <t>Melting_Curves/meltCurve_Q7L1T6_CYB5R4.pdf</t>
  </si>
  <si>
    <t>Melting_Curves/meltCurve_Q7L1W4_LRRC8D.pdf</t>
  </si>
  <si>
    <t>Melting_Curves/meltCurve_Q7L266_ASRGL1.pdf</t>
  </si>
  <si>
    <t>Melting_Curves/meltCurve_Q7L273_KCTD9.pdf</t>
  </si>
  <si>
    <t>Melting_Curves/meltCurve_Q7L2H7_EIF3M.pdf</t>
  </si>
  <si>
    <t>Melting_Curves/meltCurve_Q7L2J0_MEPCE.pdf</t>
  </si>
  <si>
    <t>Melting_Curves/meltCurve_Q7L3V2_BOP.pdf</t>
  </si>
  <si>
    <t>Melting_Curves/meltCurve_Q7L4I2_RSRC2.pdf</t>
  </si>
  <si>
    <t>Melting_Curves/meltCurve_Q7L523_RRAGA.pdf</t>
  </si>
  <si>
    <t>Melting_Curves/meltCurve_Q7L576_CYFIP1.pdf</t>
  </si>
  <si>
    <t>Melting_Curves/meltCurve_Q7L592_NDUFAF7.pdf</t>
  </si>
  <si>
    <t>Melting_Curves/meltCurve_Q7L5D6_GET4.pdf</t>
  </si>
  <si>
    <t>Melting_Curves/meltCurve_Q7L5Y1_ENOSF1.pdf</t>
  </si>
  <si>
    <t>Melting_Curves/meltCurve_Q7L5Y9_MAEA.pdf</t>
  </si>
  <si>
    <t>Melting_Curves/meltCurve_Q7L775_EPM2AIP1.pdf</t>
  </si>
  <si>
    <t>Melting_Curves/meltCurve_Q7L7X3_TAOK1.pdf</t>
  </si>
  <si>
    <t>Melting_Curves/meltCurve_Q7L8J4_SH3BP5L.pdf</t>
  </si>
  <si>
    <t>Melting_Curves/meltCurve_Q7L8L6_FASTKD5.pdf</t>
  </si>
  <si>
    <t>Melting_Curves/meltCurve_Q7L8W6_ATPBD4.pdf</t>
  </si>
  <si>
    <t>Melting_Curves/meltCurve_Q7LBC6_KDM3B.pdf</t>
  </si>
  <si>
    <t>Melting_Curves/meltCurve_Q7LBR1_CHMP1B.pdf</t>
  </si>
  <si>
    <t>Melting_Curves/meltCurve_Q7LG56_RRM2B.pdf</t>
  </si>
  <si>
    <t>Melting_Curves/meltCurve_Q7LGA3_HS2ST1.pdf</t>
  </si>
  <si>
    <t>Melting_Curves/meltCurve_Q7RTP6_MICAL3.pdf</t>
  </si>
  <si>
    <t>Melting_Curves/meltCurve_Q7RTV0_PHF5A.pdf</t>
  </si>
  <si>
    <t>Melting_Curves/meltCurve_Q7Z2E3_3_APTX.pdf</t>
  </si>
  <si>
    <t>Melting_Curves/meltCurve_Q7Z2K8_GPRIN1.pdf</t>
  </si>
  <si>
    <t>Melting_Curves/meltCurve_Q7Z2T5_TRMT1L.pdf</t>
  </si>
  <si>
    <t>Melting_Curves/meltCurve_Q7Z2W4_ZC3HAV1.pdf</t>
  </si>
  <si>
    <t>Melting_Curves/meltCurve_Q7Z2Z2_EFTUD1.pdf</t>
  </si>
  <si>
    <t>Melting_Curves/meltCurve_Q7Z333_3_SETX.pdf</t>
  </si>
  <si>
    <t>Melting_Curves/meltCurve_Q7Z372_DKFZp686N07218.pdf</t>
  </si>
  <si>
    <t>Melting_Curves/meltCurve_Q7Z392_4_TRAPPC11.pdf</t>
  </si>
  <si>
    <t>Melting_Curves/meltCurve_Q7Z3B3_KANSL1.pdf</t>
  </si>
  <si>
    <t>Melting_Curves/meltCurve_Q7Z3C6_2_ATG9A.pdf</t>
  </si>
  <si>
    <t>Melting_Curves/meltCurve_Q7Z3D4_LYSMD3.pdf</t>
  </si>
  <si>
    <t>Melting_Curves/meltCurve_Q7Z3E2_C10orf118.pdf</t>
  </si>
  <si>
    <t>Melting_Curves/meltCurve_Q7Z3K3_5_POGZ.pdf</t>
  </si>
  <si>
    <t>Melting_Curves/meltCurve_Q7Z3T8_ZFYVE16.pdf</t>
  </si>
  <si>
    <t>Melting_Curves/meltCurve_Q7Z403_TMC6.pdf</t>
  </si>
  <si>
    <t>Melting_Curves/meltCurve_Q7Z417_NUFIP2.pdf</t>
  </si>
  <si>
    <t>Melting_Curves/meltCurve_Q7Z422_2_SZRD1.pdf</t>
  </si>
  <si>
    <t>Melting_Curves/meltCurve_Q7Z434_MAVS.pdf</t>
  </si>
  <si>
    <t>Melting_Curves/meltCurve_Q7Z451_AP2B1.pdf</t>
  </si>
  <si>
    <t>Melting_Curves/meltCurve_Q7Z460_CLASP1.pdf</t>
  </si>
  <si>
    <t>Melting_Curves/meltCurve_Q7Z478_DHX29.pdf</t>
  </si>
  <si>
    <t>Melting_Curves/meltCurve_Q7Z4F1_LRP10.pdf</t>
  </si>
  <si>
    <t>Melting_Curves/meltCurve_Q7Z4G1_COMMD6.pdf</t>
  </si>
  <si>
    <t>Melting_Curves/meltCurve_Q7Z4H3_HDDC2.pdf</t>
  </si>
  <si>
    <t>Melting_Curves/meltCurve_Q7Z4H7_3_HAUS6.pdf</t>
  </si>
  <si>
    <t>Melting_Curves/meltCurve_Q7Z4H8_KDELC2.pdf</t>
  </si>
  <si>
    <t>Melting_Curves/meltCurve_Q7Z4Q2_HEATR3.pdf</t>
  </si>
  <si>
    <t>Melting_Curves/meltCurve_Q7Z4V5_HDGFRP2.pdf</t>
  </si>
  <si>
    <t>Melting_Curves/meltCurve_Q7Z4W1_DCXR.pdf</t>
  </si>
  <si>
    <t>Melting_Curves/meltCurve_Q7Z5G4_GOLGA7.pdf</t>
  </si>
  <si>
    <t>Melting_Curves/meltCurve_Q7Z5H3_3_ARHGAP22.pdf</t>
  </si>
  <si>
    <t>Melting_Curves/meltCurve_Q7Z5K2_WAPAL.pdf</t>
  </si>
  <si>
    <t>Melting_Curves/meltCurve_Q7Z5L9_2_IRF2BP2.pdf</t>
  </si>
  <si>
    <t>Melting_Curves/meltCurve_Q7Z5U6_WDR53.pdf</t>
  </si>
  <si>
    <t>Melting_Curves/meltCurve_Q7Z5Y7_KCTD20.pdf</t>
  </si>
  <si>
    <t>Melting_Curves/meltCurve_Q7Z649_TMEM9B.pdf</t>
  </si>
  <si>
    <t>Melting_Curves/meltCurve_Q7Z650_MTHFD2.pdf</t>
  </si>
  <si>
    <t>Melting_Curves/meltCurve_Q7Z6B0_2_CCDC91.pdf</t>
  </si>
  <si>
    <t>Melting_Curves/meltCurve_Q7Z6E9_RBBP6.pdf</t>
  </si>
  <si>
    <t>Melting_Curves/meltCurve_Q7Z6I8_C5orf24.pdf</t>
  </si>
  <si>
    <t>Melting_Curves/meltCurve_Q7Z6J8_UBE3D.pdf</t>
  </si>
  <si>
    <t>Melting_Curves/meltCurve_Q7Z6J9_TSEN54.pdf</t>
  </si>
  <si>
    <t>Melting_Curves/meltCurve_Q7Z6K3_PTAR1.pdf</t>
  </si>
  <si>
    <t>Melting_Curves/meltCurve_Q7Z6L1_TECPR1.pdf</t>
  </si>
  <si>
    <t>Melting_Curves/meltCurve_Q7Z6M1_RABEPK.pdf</t>
  </si>
  <si>
    <t>Melting_Curves/meltCurve_Q7Z6M4_MTERFD2.pdf</t>
  </si>
  <si>
    <t>Melting_Curves/meltCurve_Q7Z6U0_TBPL1.pdf</t>
  </si>
  <si>
    <t>Melting_Curves/meltCurve_Q7Z6V5_2_ADAT2.pdf</t>
  </si>
  <si>
    <t>Melting_Curves/meltCurve_Q7Z6Z7_2_HUWE1.pdf</t>
  </si>
  <si>
    <t>Melting_Curves/meltCurve_Q7Z7A1_5_CNTRL.pdf</t>
  </si>
  <si>
    <t>Melting_Curves/meltCurve_Q7Z7A3_CTU1.pdf</t>
  </si>
  <si>
    <t>Melting_Curves/meltCurve_Q7Z7C8_TAF8.pdf</t>
  </si>
  <si>
    <t>Melting_Curves/meltCurve_Q7Z7E8_UBE2Q1.pdf</t>
  </si>
  <si>
    <t>Melting_Curves/meltCurve_Q7Z7F0_2_KIAA0907.pdf</t>
  </si>
  <si>
    <t>Melting_Curves/meltCurve_Q7Z7F7_MRPL55.pdf</t>
  </si>
  <si>
    <t>Melting_Curves/meltCurve_Q7Z7G8_2_VPS13B.pdf</t>
  </si>
  <si>
    <t>Melting_Curves/meltCurve_Q7Z7H5_3_TMED4.pdf</t>
  </si>
  <si>
    <t>Melting_Curves/meltCurve_Q7Z7K0_CMC1.pdf</t>
  </si>
  <si>
    <t>Melting_Curves/meltCurve_Q7Z7K6_3_CENPV.pdf</t>
  </si>
  <si>
    <t>Melting_Curves/meltCurve_Q7Z7M9_GALNT5.pdf</t>
  </si>
  <si>
    <t>Melting_Curves/meltCurve_Q7Z7N9_TMEM179B.pdf</t>
  </si>
  <si>
    <t>Melting_Curves/meltCurve_Q86SF2_GALNT7.pdf</t>
  </si>
  <si>
    <t>Melting_Curves/meltCurve_Q86SQ9_3_DHDDS.pdf</t>
  </si>
  <si>
    <t>Melting_Curves/meltCurve_Q86SX6_GLRX5.pdf</t>
  </si>
  <si>
    <t>Melting_Curves/meltCurve_Q86SZ2_2_TRAPPC6B.pdf</t>
  </si>
  <si>
    <t>Melting_Curves/meltCurve_Q86T03_TMEM55B.pdf</t>
  </si>
  <si>
    <t>Melting_Curves/meltCurve_Q86TA1_MOB3B.pdf</t>
  </si>
  <si>
    <t>Melting_Curves/meltCurve_Q86TB9_4_PATL1.pdf</t>
  </si>
  <si>
    <t>Melting_Curves/meltCurve_Q86TI2_DPP9.pdf</t>
  </si>
  <si>
    <t>Melting_Curves/meltCurve_Q86TN4_TRPT1.pdf</t>
  </si>
  <si>
    <t>Melting_Curves/meltCurve_Q86TP1_PRUNE.pdf</t>
  </si>
  <si>
    <t>Melting_Curves/meltCurve_Q86TU7_SETD3.pdf</t>
  </si>
  <si>
    <t>Melting_Curves/meltCurve_Q86TV6_TTC7B.pdf</t>
  </si>
  <si>
    <t>Melting_Curves/meltCurve_Q86U06_4_RBM23.pdf</t>
  </si>
  <si>
    <t>Melting_Curves/meltCurve_Q86U28_ISCA2.pdf</t>
  </si>
  <si>
    <t>Melting_Curves/meltCurve_Q86U38_NOP9.pdf</t>
  </si>
  <si>
    <t>Melting_Curves/meltCurve_Q86U44_METTL3.pdf</t>
  </si>
  <si>
    <t>Melting_Curves/meltCurve_Q86U70_3_LDB1.pdf</t>
  </si>
  <si>
    <t>Melting_Curves/meltCurve_Q86U90_YRDC.pdf</t>
  </si>
  <si>
    <t>Melting_Curves/meltCurve_Q86UA1_PRPF39.pdf</t>
  </si>
  <si>
    <t>Melting_Curves/meltCurve_Q86UD0_SAPCD2.pdf</t>
  </si>
  <si>
    <t>Melting_Curves/meltCurve_Q86UE4_MTDH.pdf</t>
  </si>
  <si>
    <t>Melting_Curves/meltCurve_Q86UE8_2_TLK2.pdf</t>
  </si>
  <si>
    <t>Melting_Curves/meltCurve_Q86UK7_2_ZNF598.pdf</t>
  </si>
  <si>
    <t>Melting_Curves/meltCurve_Q86UL3_AGPAT6.pdf</t>
  </si>
  <si>
    <t>Melting_Curves/meltCurve_Q86UP2_KTN1.pdf</t>
  </si>
  <si>
    <t>Melting_Curves/meltCurve_Q86US8_SMG6.pdf</t>
  </si>
  <si>
    <t>Melting_Curves/meltCurve_Q86UU0_3_BCL9L.pdf</t>
  </si>
  <si>
    <t>Melting_Curves/meltCurve_Q86UU1_2_PHLDB1.pdf</t>
  </si>
  <si>
    <t>Melting_Curves/meltCurve_Q86UV5_USP48.pdf</t>
  </si>
  <si>
    <t>Melting_Curves/meltCurve_Q86UX3_ABCC5.pdf</t>
  </si>
  <si>
    <t>Melting_Curves/meltCurve_Q86UX7_2_FERMT3.pdf</t>
  </si>
  <si>
    <t>Melting_Curves/meltCurve_Q86UY0_TXNDC5.pdf</t>
  </si>
  <si>
    <t>Melting_Curves/meltCurve_Q86UY5_FAM83A.pdf</t>
  </si>
  <si>
    <t>Melting_Curves/meltCurve_Q86UY6_NAA40.pdf</t>
  </si>
  <si>
    <t>Melting_Curves/meltCurve_Q86UY8_2_NT5DC3.pdf</t>
  </si>
  <si>
    <t>Melting_Curves/meltCurve_Q86V21_AACS.pdf</t>
  </si>
  <si>
    <t>Melting_Curves/meltCurve_Q86V48_LUZP1.pdf</t>
  </si>
  <si>
    <t>Melting_Curves/meltCurve_Q86VI3_IQGAP3.pdf</t>
  </si>
  <si>
    <t>Melting_Curves/meltCurve_Q86VN1_2_VPS36.pdf</t>
  </si>
  <si>
    <t>Melting_Curves/meltCurve_Q86VP6_CAND1.pdf</t>
  </si>
  <si>
    <t>Melting_Curves/meltCurve_Q86VQ1_GLCCI1.pdf</t>
  </si>
  <si>
    <t>Melting_Curves/meltCurve_Q86VQ3_2_TXNDC2.pdf</t>
  </si>
  <si>
    <t>Melting_Curves/meltCurve_Q86VR2_FAM134C.pdf</t>
  </si>
  <si>
    <t>Melting_Curves/meltCurve_Q86VS8_HOOK3.pdf</t>
  </si>
  <si>
    <t>Melting_Curves/meltCurve_Q86VU5_COMTD1.pdf</t>
  </si>
  <si>
    <t>Melting_Curves/meltCurve_Q86VX9_MON1A.pdf</t>
  </si>
  <si>
    <t>Melting_Curves/meltCurve_Q86W42_THOC6.pdf</t>
  </si>
  <si>
    <t>Melting_Curves/meltCurve_Q86W50_METTL16.pdf</t>
  </si>
  <si>
    <t>Melting_Curves/meltCurve_Q86W56_PARG.pdf</t>
  </si>
  <si>
    <t>Melting_Curves/meltCurve_Q86WA6_2_BPHL.pdf</t>
  </si>
  <si>
    <t>Melting_Curves/meltCurve_Q86WA8_LONP2.pdf</t>
  </si>
  <si>
    <t>Melting_Curves/meltCurve_Q86WH2_RASSF3.pdf</t>
  </si>
  <si>
    <t>Melting_Curves/meltCurve_Q86WJ1_CHD1L.pdf</t>
  </si>
  <si>
    <t>Melting_Curves/meltCurve_Q86WQ0_NR2C2AP.pdf</t>
  </si>
  <si>
    <t>Melting_Curves/meltCurve_Q86WR0_CCDC25.pdf</t>
  </si>
  <si>
    <t>Melting_Curves/meltCurve_Q86WR7_PROSER2.pdf</t>
  </si>
  <si>
    <t>Melting_Curves/meltCurve_Q86WV6_TMEM173.pdf</t>
  </si>
  <si>
    <t>Melting_Curves/meltCurve_Q86WV7_CCDC43.pdf</t>
  </si>
  <si>
    <t>Melting_Curves/meltCurve_Q86WX3_RPS19BP1.pdf</t>
  </si>
  <si>
    <t>Melting_Curves/meltCurve_Q86X02_CDR2L.pdf</t>
  </si>
  <si>
    <t>Melting_Curves/meltCurve_Q86X29_3_LSR.pdf</t>
  </si>
  <si>
    <t>Melting_Curves/meltCurve_Q86X53_ERICH1.pdf</t>
  </si>
  <si>
    <t>Melting_Curves/meltCurve_Q86X55_1_CARM1.pdf</t>
  </si>
  <si>
    <t>Melting_Curves/meltCurve_Q86X76_2_NIT1.pdf</t>
  </si>
  <si>
    <t>Melting_Curves/meltCurve_Q86X83_COMMD2.pdf</t>
  </si>
  <si>
    <t>Melting_Curves/meltCurve_Q86XP3_DDX42.pdf</t>
  </si>
  <si>
    <t>Melting_Curves/meltCurve_Q86XZ4_SPATS2.pdf</t>
  </si>
  <si>
    <t>Melting_Curves/meltCurve_Q86Y07_VRK2.pdf</t>
  </si>
  <si>
    <t>Melting_Curves/meltCurve_Q86Y37_4_CACUL1.pdf</t>
  </si>
  <si>
    <t>Melting_Curves/meltCurve_Q86Y56_HEATR2.pdf</t>
  </si>
  <si>
    <t>Melting_Curves/meltCurve_Q86Y79_PTRH1.pdf</t>
  </si>
  <si>
    <t>Melting_Curves/meltCurve_Q86Y82_STX12.pdf</t>
  </si>
  <si>
    <t>Melting_Curves/meltCurve_Q86YH2_ZNF280B.pdf</t>
  </si>
  <si>
    <t>Melting_Curves/meltCurve_Q86YH6_PDSS2.pdf</t>
  </si>
  <si>
    <t>Melting_Curves/meltCurve_Q86YM7_HOMER1.pdf</t>
  </si>
  <si>
    <t>Melting_Curves/meltCurve_Q86YN1_2_DOLPP1.pdf</t>
  </si>
  <si>
    <t>Melting_Curves/meltCurve_Q86YP4_GATAD2A.pdf</t>
  </si>
  <si>
    <t>Melting_Curves/meltCurve_Q86YQ8_CPNE8.pdf</t>
  </si>
  <si>
    <t>Melting_Curves/meltCurve_Q86YS3_RAB11FIP4.pdf</t>
  </si>
  <si>
    <t>Melting_Curves/meltCurve_Q86YS7_C2CD5.pdf</t>
  </si>
  <si>
    <t>Melting_Curves/meltCurve_Q86YT6_MIB1.pdf</t>
  </si>
  <si>
    <t>Melting_Curves/meltCurve_Q8IU81_IRF2BP1.pdf</t>
  </si>
  <si>
    <t>Melting_Curves/meltCurve_Q8IUF8_MINA.pdf</t>
  </si>
  <si>
    <t>Melting_Curves/meltCurve_Q8IUH3_3_RBM45.pdf</t>
  </si>
  <si>
    <t>Melting_Curves/meltCurve_Q8IUI8_CRLF3.pdf</t>
  </si>
  <si>
    <t>Melting_Curves/meltCurve_Q8IUR0_TRAPPC5.pdf</t>
  </si>
  <si>
    <t>Melting_Curves/meltCurve_Q8IUX1_4_TMEM126B.pdf</t>
  </si>
  <si>
    <t>Melting_Curves/meltCurve_Q8IV08_PLD3.pdf</t>
  </si>
  <si>
    <t>Melting_Curves/meltCurve_Q8IV38_ANKMY2.pdf</t>
  </si>
  <si>
    <t>Melting_Curves/meltCurve_Q8IV48_ERI1.pdf</t>
  </si>
  <si>
    <t>Melting_Curves/meltCurve_Q8IV50_LYSMD2.pdf</t>
  </si>
  <si>
    <t>Melting_Curves/meltCurve_Q8IV63_3_VRK3.pdf</t>
  </si>
  <si>
    <t>Melting_Curves/meltCurve_Q8IVB5_LIX1L.pdf</t>
  </si>
  <si>
    <t>Melting_Curves/meltCurve_Q8IVD9_NUDCD3.pdf</t>
  </si>
  <si>
    <t>Melting_Curves/meltCurve_Q8IVH8_3_MAP4K3.pdf</t>
  </si>
  <si>
    <t>Melting_Curves/meltCurve_Q8IVM0_CCDC50.pdf</t>
  </si>
  <si>
    <t>Melting_Curves/meltCurve_Q8IVM0_2_CCDC50.pdf</t>
  </si>
  <si>
    <t>Melting_Curves/meltCurve_Q8IVS2_MCAT.pdf</t>
  </si>
  <si>
    <t>Melting_Curves/meltCurve_Q8IVW6_4_ARID3B.pdf</t>
  </si>
  <si>
    <t>Melting_Curves/meltCurve_Q8IW45_CARKD.pdf</t>
  </si>
  <si>
    <t>Melting_Curves/meltCurve_Q8IWA0_WDR75.pdf</t>
  </si>
  <si>
    <t>Melting_Curves/meltCurve_Q8IWB1_ITPRIP.pdf</t>
  </si>
  <si>
    <t>Melting_Curves/meltCurve_Q8IWB7_WDFY1.pdf</t>
  </si>
  <si>
    <t>Melting_Curves/meltCurve_Q8IWB9_TEX2.pdf</t>
  </si>
  <si>
    <t>Melting_Curves/meltCurve_Q8IWC1_2_MAP7D3.pdf</t>
  </si>
  <si>
    <t>Melting_Curves/meltCurve_Q8IWD4_CCDC117.pdf</t>
  </si>
  <si>
    <t>Melting_Curves/meltCurve_Q8IWE4_DCUN1D3.pdf</t>
  </si>
  <si>
    <t>Melting_Curves/meltCurve_Q8IWF6_DENND6A.pdf</t>
  </si>
  <si>
    <t>Melting_Curves/meltCurve_Q8IWJ2_GCC2.pdf</t>
  </si>
  <si>
    <t>Melting_Curves/meltCurve_Q8IWL3_HSCB.pdf</t>
  </si>
  <si>
    <t>Melting_Curves/meltCurve_Q8IWP9_CCDC28A.pdf</t>
  </si>
  <si>
    <t>Melting_Curves/meltCurve_Q8IWR0_ZC3H7A.pdf</t>
  </si>
  <si>
    <t>Melting_Curves/meltCurve_Q8IWS0_PHF6.pdf</t>
  </si>
  <si>
    <t>Melting_Curves/meltCurve_Q8IWT6_LRRC8A.pdf</t>
  </si>
  <si>
    <t>Melting_Curves/meltCurve_Q8IWU2_LMTK2.pdf</t>
  </si>
  <si>
    <t>Melting_Curves/meltCurve_Q8IWV7_UBR1.pdf</t>
  </si>
  <si>
    <t>Melting_Curves/meltCurve_Q8IWV8_4_UBR2.pdf</t>
  </si>
  <si>
    <t>Melting_Curves/meltCurve_Q8IWW6_2_ARHGAP12.pdf</t>
  </si>
  <si>
    <t>Melting_Curves/meltCurve_Q8IWY9_1_CDAN1.pdf</t>
  </si>
  <si>
    <t>Melting_Curves/meltCurve_Q8IWZ3_ANKHD1.pdf</t>
  </si>
  <si>
    <t>Melting_Curves/meltCurve_Q8IWZ8_SUGP1.pdf</t>
  </si>
  <si>
    <t>Melting_Curves/meltCurve_Q8IX07_ZFPM1.pdf</t>
  </si>
  <si>
    <t>Melting_Curves/meltCurve_Q8IX12_2_CCAR1.pdf</t>
  </si>
  <si>
    <t>Melting_Curves/meltCurve_Q8IX15_HOMEZ.pdf</t>
  </si>
  <si>
    <t>Melting_Curves/meltCurve_Q8IX18_3_DHX40.pdf</t>
  </si>
  <si>
    <t>Melting_Curves/meltCurve_Q8IX90_SKA3.pdf</t>
  </si>
  <si>
    <t>Melting_Curves/meltCurve_Q8IXB1_DNAJC10.pdf</t>
  </si>
  <si>
    <t>Melting_Curves/meltCurve_Q8IXI1_RHOT2.pdf</t>
  </si>
  <si>
    <t>Melting_Curves/meltCurve_Q8IXI2_2_RHOT1.pdf</t>
  </si>
  <si>
    <t>Melting_Curves/meltCurve_Q8IXJ6_2_SIRT2.pdf</t>
  </si>
  <si>
    <t>Melting_Curves/meltCurve_Q8IXJ9_2_ASXL1.pdf</t>
  </si>
  <si>
    <t>Melting_Curves/meltCurve_Q8IXK2_GALNT12.pdf</t>
  </si>
  <si>
    <t>Melting_Curves/meltCurve_Q8IXM6_2_NRM.pdf</t>
  </si>
  <si>
    <t>Melting_Curves/meltCurve_Q8IXQ3_C9orf40.pdf</t>
  </si>
  <si>
    <t>Melting_Curves/meltCurve_Q8IXQ4_KIAA1704.pdf</t>
  </si>
  <si>
    <t>Melting_Curves/meltCurve_Q8IXS8_FAM126B.pdf</t>
  </si>
  <si>
    <t>Melting_Curves/meltCurve_Q8IXW5_RPAP2.pdf</t>
  </si>
  <si>
    <t>Melting_Curves/meltCurve_Q8IY17_3_PNPLA6.pdf</t>
  </si>
  <si>
    <t>Melting_Curves/meltCurve_Q8IY18_SMC5.pdf</t>
  </si>
  <si>
    <t>Melting_Curves/meltCurve_Q8IY22_3_CMIP.pdf</t>
  </si>
  <si>
    <t>Melting_Curves/meltCurve_Q8IY33_MICALL2.pdf</t>
  </si>
  <si>
    <t>Melting_Curves/meltCurve_Q8IY37_DHX37.pdf</t>
  </si>
  <si>
    <t>Melting_Curves/meltCurve_Q8IY47_KBTBD2.pdf</t>
  </si>
  <si>
    <t>Melting_Curves/meltCurve_Q8IY63_2_AMOTL1.pdf</t>
  </si>
  <si>
    <t>Melting_Curves/meltCurve_Q8IY95_2_TMEM192.pdf</t>
  </si>
  <si>
    <t>Melting_Curves/meltCurve_Q8IYB5_3_SMAP1.pdf</t>
  </si>
  <si>
    <t>Melting_Curves/meltCurve_Q8IYB7_DIS3L2.pdf</t>
  </si>
  <si>
    <t>Melting_Curves/meltCurve_Q8IYB8_SUPV3L1.pdf</t>
  </si>
  <si>
    <t>Melting_Curves/meltCurve_Q8IYB9_ZNF595.pdf</t>
  </si>
  <si>
    <t>Melting_Curves/meltCurve_Q8IYD1_GSPT2.pdf</t>
  </si>
  <si>
    <t>Melting_Curves/meltCurve_Q8IYH5_4_ZZZ3.pdf</t>
  </si>
  <si>
    <t>Melting_Curves/meltCurve_Q8IYI6_EXOC8.pdf</t>
  </si>
  <si>
    <t>Melting_Curves/meltCurve_Q8IYK4_COLGALT2.pdf</t>
  </si>
  <si>
    <t>Melting_Curves/meltCurve_Q8IYL3_C1orf174.pdf</t>
  </si>
  <si>
    <t>Melting_Curves/meltCurve_Q8IYN2_TCEAL8.pdf</t>
  </si>
  <si>
    <t>Melting_Curves/meltCurve_Q8IYQ7_THNSL1.pdf</t>
  </si>
  <si>
    <t>Melting_Curves/meltCurve_Q8IYS2_KIAA2013.pdf</t>
  </si>
  <si>
    <t>Melting_Curves/meltCurve_Q8IYT2_FTSJD1.pdf</t>
  </si>
  <si>
    <t>Melting_Curves/meltCurve_Q8IYU8_MICU2.pdf</t>
  </si>
  <si>
    <t>Melting_Curves/meltCurve_Q8IZ07_ANKRD13A.pdf</t>
  </si>
  <si>
    <t>Melting_Curves/meltCurve_Q8IZ21_3_PHACTR4.pdf</t>
  </si>
  <si>
    <t>Melting_Curves/meltCurve_Q8IZ52_CHPF.pdf</t>
  </si>
  <si>
    <t>Melting_Curves/meltCurve_Q8IZ68_MTX2.pdf</t>
  </si>
  <si>
    <t>Melting_Curves/meltCurve_Q8IZ73_RPUSD2.pdf</t>
  </si>
  <si>
    <t>Melting_Curves/meltCurve_Q8IZ83_ALDH16A1.pdf</t>
  </si>
  <si>
    <t>Melting_Curves/meltCurve_Q8IZE3_2_SCYL3.pdf</t>
  </si>
  <si>
    <t>Melting_Curves/meltCurve_Q8IZH2_2_XRN1.pdf</t>
  </si>
  <si>
    <t>Melting_Curves/meltCurve_Q8IZQ5_SELH.pdf</t>
  </si>
  <si>
    <t>Melting_Curves/meltCurve_Q8IZR5_3_CMTM4.pdf</t>
  </si>
  <si>
    <t>Melting_Curves/meltCurve_Q8IZV5_RDH10.pdf</t>
  </si>
  <si>
    <t>Melting_Curves/meltCurve_Q8N0T1_C8orf59.pdf</t>
  </si>
  <si>
    <t>Melting_Curves/meltCurve_Q8N0U8_VKORC1L1.pdf</t>
  </si>
  <si>
    <t>Melting_Curves/meltCurve_Q8N0W3_FUK.pdf</t>
  </si>
  <si>
    <t>Melting_Curves/meltCurve_Q8N0X7_SPG20.pdf</t>
  </si>
  <si>
    <t>Melting_Curves/meltCurve_Q8N108_17_MIER1.pdf</t>
  </si>
  <si>
    <t>Melting_Curves/meltCurve_Q8N129_CNPY4.pdf</t>
  </si>
  <si>
    <t>Melting_Curves/meltCurve_Q8N137_4_CNTROB.pdf</t>
  </si>
  <si>
    <t>Melting_Curves/meltCurve_Q8N142_ADSSL1.pdf</t>
  </si>
  <si>
    <t>Melting_Curves/meltCurve_Q8N157_2_AHI1.pdf</t>
  </si>
  <si>
    <t>Melting_Curves/meltCurve_Q8N163_KIAA1967.pdf</t>
  </si>
  <si>
    <t>Melting_Curves/meltCurve_Q8N183_NDUFAF2.pdf</t>
  </si>
  <si>
    <t>Melting_Curves/meltCurve_Q8N1B4_VPS52.pdf</t>
  </si>
  <si>
    <t>Melting_Curves/meltCurve_Q8N1F7_NUP93.pdf</t>
  </si>
  <si>
    <t>Melting_Curves/meltCurve_Q8N1G0_ZNF687.pdf</t>
  </si>
  <si>
    <t>Melting_Curves/meltCurve_Q8N1G1_REXO1.pdf</t>
  </si>
  <si>
    <t>Melting_Curves/meltCurve_Q8N1G2_FTSJD2.pdf</t>
  </si>
  <si>
    <t>Melting_Curves/meltCurve_Q8N1G4_LRRC47.pdf</t>
  </si>
  <si>
    <t>Melting_Curves/meltCurve_Q8N1Q1_CA13.pdf</t>
  </si>
  <si>
    <t>Melting_Curves/meltCurve_Q8N2A8_PLD6.pdf</t>
  </si>
  <si>
    <t>Melting_Curves/meltCurve_Q8N2F6_3_ARMC10.pdf</t>
  </si>
  <si>
    <t>Melting_Curves/meltCurve_Q8N2G8_3_GHDC.pdf</t>
  </si>
  <si>
    <t>Melting_Curves/meltCurve_Q8N2I9_3_STK40.pdf</t>
  </si>
  <si>
    <t>Melting_Curves/meltCurve_Q8N2K0_ABHD12.pdf</t>
  </si>
  <si>
    <t>Melting_Curves/meltCurve_Q8N2W9_PIAS4.pdf</t>
  </si>
  <si>
    <t>Melting_Curves/meltCurve_Q8N2Z9_APITD1.pdf</t>
  </si>
  <si>
    <t>Melting_Curves/meltCurve_Q8N300_CCDC23.pdf</t>
  </si>
  <si>
    <t>Melting_Curves/meltCurve_Q8N302_2_AGGF1.pdf</t>
  </si>
  <si>
    <t>Melting_Curves/meltCurve_Q8N335_GPD1L.pdf</t>
  </si>
  <si>
    <t>Melting_Curves/meltCurve_Q8N371_KDM8.pdf</t>
  </si>
  <si>
    <t>Melting_Curves/meltCurve_Q8N392_ARHGAP18.pdf</t>
  </si>
  <si>
    <t>Melting_Curves/meltCurve_Q8N3C0_ASCC3.pdf</t>
  </si>
  <si>
    <t>Melting_Curves/meltCurve_Q8N3D4_EHBP1L1.pdf</t>
  </si>
  <si>
    <t>Melting_Curves/meltCurve_Q8N3F8_MICALL1.pdf</t>
  </si>
  <si>
    <t>Melting_Curves/meltCurve_Q8N3X1_FNBP4.pdf</t>
  </si>
  <si>
    <t>Melting_Curves/meltCurve_Q8N442_GUF1.pdf</t>
  </si>
  <si>
    <t>Melting_Curves/meltCurve_Q8N465_D2HGDH.pdf</t>
  </si>
  <si>
    <t>Melting_Curves/meltCurve_Q8N488_RYBP.pdf</t>
  </si>
  <si>
    <t>Melting_Curves/meltCurve_Q8N490_2_PNKD.pdf</t>
  </si>
  <si>
    <t>Melting_Curves/meltCurve_Q8N490_4_PNKD.pdf</t>
  </si>
  <si>
    <t>Melting_Curves/meltCurve_Q8N4B1_2_FAM109A.pdf</t>
  </si>
  <si>
    <t>Melting_Curves/meltCurve_Q8N4C8_5_MINK1.pdf</t>
  </si>
  <si>
    <t>Melting_Curves/meltCurve_Q8N4H5_TOMM5.pdf</t>
  </si>
  <si>
    <t>Melting_Curves/meltCurve_Q8N4N3_2_KLHL36.pdf</t>
  </si>
  <si>
    <t>Melting_Curves/meltCurve_Q8N4P3_HDDC3.pdf</t>
  </si>
  <si>
    <t>Melting_Curves/meltCurve_Q8N4Q0_ZADH2.pdf</t>
  </si>
  <si>
    <t>Melting_Curves/meltCurve_Q8N4Q1_CHCHD4.pdf</t>
  </si>
  <si>
    <t>Melting_Curves/meltCurve_Q8N4V1_MMGT1.pdf</t>
  </si>
  <si>
    <t>Melting_Curves/meltCurve_Q8N567_ZCCHC9.pdf</t>
  </si>
  <si>
    <t>Melting_Curves/meltCurve_Q8N573_2_OXR1.pdf</t>
  </si>
  <si>
    <t>Melting_Curves/meltCurve_Q8N573_8_OXR1.pdf</t>
  </si>
  <si>
    <t>Melting_Curves/meltCurve_Q8N5A5_3_ZGPAT.pdf</t>
  </si>
  <si>
    <t>Melting_Curves/meltCurve_Q8N5C6_SRBD1.pdf</t>
  </si>
  <si>
    <t>Melting_Curves/meltCurve_Q8N5C7_DTWD1.pdf</t>
  </si>
  <si>
    <t>Melting_Curves/meltCurve_Q8N5D0_4_WDTC1.pdf</t>
  </si>
  <si>
    <t>Melting_Curves/meltCurve_Q8N5F7_NKAP.pdf</t>
  </si>
  <si>
    <t>Melting_Curves/meltCurve_Q8N5G0_2_SMIM20.pdf</t>
  </si>
  <si>
    <t>Melting_Curves/meltCurve_Q8N5G2_TMEM57.pdf</t>
  </si>
  <si>
    <t>Melting_Curves/meltCurve_Q8N5I2_ARRDC1.pdf</t>
  </si>
  <si>
    <t>Melting_Curves/meltCurve_Q8N5I9_C12orf45.pdf</t>
  </si>
  <si>
    <t>Melting_Curves/meltCurve_Q8N5K1_CISD2.pdf</t>
  </si>
  <si>
    <t>Melting_Curves/meltCurve_Q8N5L8_RPP25L.pdf</t>
  </si>
  <si>
    <t>Melting_Curves/meltCurve_Q8N5M1_ATPAF2.pdf</t>
  </si>
  <si>
    <t>Melting_Curves/meltCurve_Q8N5M9_JAGN1.pdf</t>
  </si>
  <si>
    <t>Melting_Curves/meltCurve_Q8N5N7_MRPL50.pdf</t>
  </si>
  <si>
    <t>Melting_Curves/meltCurve_Q8N5P1_ZC3H8.pdf</t>
  </si>
  <si>
    <t>Melting_Curves/meltCurve_Q8N5W9_FAM101B.pdf</t>
  </si>
  <si>
    <t>Melting_Curves/meltCurve_Q8N612_FAM160A2.pdf</t>
  </si>
  <si>
    <t>Melting_Curves/meltCurve_Q8N653_LZTR1.pdf</t>
  </si>
  <si>
    <t>Melting_Curves/meltCurve_Q8N684_2_CPSF7.pdf</t>
  </si>
  <si>
    <t>Melting_Curves/meltCurve_Q8N697_SLC15A4.pdf</t>
  </si>
  <si>
    <t>Melting_Curves/meltCurve_Q8N6H7_ARFGAP2.pdf</t>
  </si>
  <si>
    <t>Melting_Curves/meltCurve_Q8N6M0_OTUD6B.pdf</t>
  </si>
  <si>
    <t>Melting_Curves/meltCurve_Q8N6N3_C1orf52.pdf</t>
  </si>
  <si>
    <t>Melting_Curves/meltCurve_Q8N6S5_ARL6IP6.pdf</t>
  </si>
  <si>
    <t>Melting_Curves/meltCurve_Q8N6T3_ARFGAP1.pdf</t>
  </si>
  <si>
    <t>Melting_Curves/meltCurve_Q8N766_3_EMC1.pdf</t>
  </si>
  <si>
    <t>Melting_Curves/meltCurve_Q8N806_UBR7.pdf</t>
  </si>
  <si>
    <t>Melting_Curves/meltCurve_Q8N8J7_C4orf32.pdf</t>
  </si>
  <si>
    <t>Melting_Curves/meltCurve_Q8N8N7_PTGR2.pdf</t>
  </si>
  <si>
    <t>Melting_Curves/meltCurve_Q8N8R5_C2orf69.pdf</t>
  </si>
  <si>
    <t>Melting_Curves/meltCurve_Q8N8R7_ARL14EP.pdf</t>
  </si>
  <si>
    <t>Melting_Curves/meltCurve_Q8N954_GPATCH11.pdf</t>
  </si>
  <si>
    <t>Melting_Curves/meltCurve_Q8N999_3_C12orf29.pdf</t>
  </si>
  <si>
    <t>Melting_Curves/meltCurve_Q8N9F7_GDPD1.pdf</t>
  </si>
  <si>
    <t>Melting_Curves/meltCurve_Q8N9M1_3_C19orf47.pdf</t>
  </si>
  <si>
    <t>Melting_Curves/meltCurve_Q8N9N7_LRRC57.pdf</t>
  </si>
  <si>
    <t>Melting_Curves/meltCurve_Q8N9Q2_SREK1IP1.pdf</t>
  </si>
  <si>
    <t>Melting_Curves/meltCurve_Q8N9V3_2_WDSUB1.pdf</t>
  </si>
  <si>
    <t>Melting_Curves/meltCurve_Q8N9Z2_CCDC71L.pdf</t>
  </si>
  <si>
    <t>Melting_Curves/meltCurve_Q8NA54_2_IQUB.pdf</t>
  </si>
  <si>
    <t>Melting_Curves/meltCurve_Q8NAF0_ZNF579.pdf</t>
  </si>
  <si>
    <t>Melting_Curves/meltCurve_Q8NAT1_GTDC2.pdf</t>
  </si>
  <si>
    <t>Melting_Curves/meltCurve_Q8NAV1_PRPF38A.pdf</t>
  </si>
  <si>
    <t>Melting_Curves/meltCurve_Q8NB15_2_ZNF511.pdf</t>
  </si>
  <si>
    <t>Melting_Curves/meltCurve_Q8NB37_PDDC1.pdf</t>
  </si>
  <si>
    <t>Melting_Curves/meltCurve_Q8NB46_ANKRD52.pdf</t>
  </si>
  <si>
    <t>Melting_Curves/meltCurve_Q8NB49_3_ATP11C.pdf</t>
  </si>
  <si>
    <t>Melting_Curves/meltCurve_Q8NB90_SPATA5.pdf</t>
  </si>
  <si>
    <t>Melting_Curves/meltCurve_Q8NBA8_DTWD2.pdf</t>
  </si>
  <si>
    <t>Melting_Curves/meltCurve_Q8NBF2_NHLRC2.pdf</t>
  </si>
  <si>
    <t>Melting_Curves/meltCurve_Q8NBF6_AVL9.pdf</t>
  </si>
  <si>
    <t>Melting_Curves/meltCurve_Q8NBI5_SLC43A3.pdf</t>
  </si>
  <si>
    <t>Melting_Curves/meltCurve_Q8NBI6_XXYLT1.pdf</t>
  </si>
  <si>
    <t>Melting_Curves/meltCurve_Q8NBJ5_COLGALT1.pdf</t>
  </si>
  <si>
    <t>Melting_Curves/meltCurve_Q8NBK3_4_SUMF1.pdf</t>
  </si>
  <si>
    <t>Melting_Curves/meltCurve_Q8NBL1_POGLUT1.pdf</t>
  </si>
  <si>
    <t>Melting_Curves/meltCurve_Q8NBM4_4_UBAC2.pdf</t>
  </si>
  <si>
    <t>Melting_Curves/meltCurve_Q8NBM8_PCYOX1L.pdf</t>
  </si>
  <si>
    <t>Melting_Curves/meltCurve_Q8NBN3_TMEM87A.pdf</t>
  </si>
  <si>
    <t>Melting_Curves/meltCurve_Q8NBN7_RDH13.pdf</t>
  </si>
  <si>
    <t>Melting_Curves/meltCurve_Q8NBU5_ATAD1.pdf</t>
  </si>
  <si>
    <t>Melting_Curves/meltCurve_Q8NBX0_SCCPDH.pdf</t>
  </si>
  <si>
    <t>Melting_Curves/meltCurve_Q8NBY1_MST4.pdf</t>
  </si>
  <si>
    <t>Melting_Curves/meltCurve_Q8NC51_2_SERBP1.pdf</t>
  </si>
  <si>
    <t>Melting_Curves/meltCurve_Q8NC56_LEMD2.pdf</t>
  </si>
  <si>
    <t>Melting_Curves/meltCurve_Q8NC60_NOA1.pdf</t>
  </si>
  <si>
    <t>Melting_Curves/meltCurve_Q8NC96_NECAP1.pdf</t>
  </si>
  <si>
    <t>Melting_Curves/meltCurve_Q8NCA5_2_FAM98A.pdf</t>
  </si>
  <si>
    <t>Melting_Curves/meltCurve_Q8NCC3_PLA2G15.pdf</t>
  </si>
  <si>
    <t>Melting_Curves/meltCurve_Q8NCE2_3_MTMR14.pdf</t>
  </si>
  <si>
    <t>Melting_Curves/meltCurve_Q8NCF5_NFATC2IP.pdf</t>
  </si>
  <si>
    <t>Melting_Curves/meltCurve_Q8NCH0_CHST14.pdf</t>
  </si>
  <si>
    <t>Melting_Curves/meltCurve_Q8NCL4_GALNT6.pdf</t>
  </si>
  <si>
    <t>Melting_Curves/meltCurve_Q8NCN4_RNF169.pdf</t>
  </si>
  <si>
    <t>Melting_Curves/meltCurve_Q8NCW5_APOA1BP.pdf</t>
  </si>
  <si>
    <t>Melting_Curves/meltCurve_Q8ND04_SMG8.pdf</t>
  </si>
  <si>
    <t>Melting_Curves/meltCurve_Q8ND24_RNF214.pdf</t>
  </si>
  <si>
    <t>Melting_Curves/meltCurve_Q8ND56_2_LSM14A.pdf</t>
  </si>
  <si>
    <t>Melting_Curves/meltCurve_Q8ND76_CCNY.pdf</t>
  </si>
  <si>
    <t>Melting_Curves/meltCurve_Q8NDC0_MAPK1IP1L.pdf</t>
  </si>
  <si>
    <t>Melting_Curves/meltCurve_Q8NDD1_2_C1orf131.pdf</t>
  </si>
  <si>
    <t>Melting_Curves/meltCurve_Q8NDD1_3_C1orf131.pdf</t>
  </si>
  <si>
    <t>Melting_Curves/meltCurve_Q8NDI1_3_EHBP1.pdf</t>
  </si>
  <si>
    <t>Melting_Curves/meltCurve_Q8NDZ4_C3orf58.pdf</t>
  </si>
  <si>
    <t>Melting_Curves/meltCurve_Q8NE01_2_CNNM3.pdf</t>
  </si>
  <si>
    <t>Melting_Curves/meltCurve_Q8NE71_ABCF1.pdf</t>
  </si>
  <si>
    <t>Melting_Curves/meltCurve_Q8NE86_3_MCU.pdf</t>
  </si>
  <si>
    <t>Melting_Curves/meltCurve_Q8NEB9_PIK3C3.pdf</t>
  </si>
  <si>
    <t>Melting_Curves/meltCurve_Q8NEC7_GSTCD.pdf</t>
  </si>
  <si>
    <t>Melting_Curves/meltCurve_Q8NEF9_SRFBP1.pdf</t>
  </si>
  <si>
    <t>Melting_Curves/meltCurve_Q8NEJ9_2_NGDN.pdf</t>
  </si>
  <si>
    <t>Melting_Curves/meltCurve_Q8NEM0_2_MCPH1.pdf</t>
  </si>
  <si>
    <t>Melting_Curves/meltCurve_Q8NEM2_SHCBP1.pdf</t>
  </si>
  <si>
    <t>Melting_Curves/meltCurve_Q8NEN9_PDZD8.pdf</t>
  </si>
  <si>
    <t>Melting_Curves/meltCurve_Q8NEY1_7_NAV1.pdf</t>
  </si>
  <si>
    <t>Melting_Curves/meltCurve_Q8NEZ2_2_VPS37A.pdf</t>
  </si>
  <si>
    <t>Melting_Curves/meltCurve_Q8NEZ4_MLL3.pdf</t>
  </si>
  <si>
    <t>Melting_Curves/meltCurve_Q8NEZ5_FBXO22.pdf</t>
  </si>
  <si>
    <t>Melting_Curves/meltCurve_Q8NF37_LPCAT1.pdf</t>
  </si>
  <si>
    <t>Melting_Curves/meltCurve_Q8NF50_4_DOCK8.pdf</t>
  </si>
  <si>
    <t>Melting_Curves/meltCurve_Q8NFA0_USP32.pdf</t>
  </si>
  <si>
    <t>Melting_Curves/meltCurve_Q8NFC6_BOD1L1.pdf</t>
  </si>
  <si>
    <t>Melting_Curves/meltCurve_Q8NFF5_2_FLAD1.pdf</t>
  </si>
  <si>
    <t>Melting_Curves/meltCurve_Q8NFG4_FLCN.pdf</t>
  </si>
  <si>
    <t>Melting_Curves/meltCurve_Q8NFH3_NUP43.pdf</t>
  </si>
  <si>
    <t>Melting_Curves/meltCurve_Q8NFH4_NUP37.pdf</t>
  </si>
  <si>
    <t>Melting_Curves/meltCurve_Q8NFI3_ENGASE.pdf</t>
  </si>
  <si>
    <t>Melting_Curves/meltCurve_Q8NFQ8_TOR1AIP2.pdf</t>
  </si>
  <si>
    <t>Melting_Curves/meltCurve_Q8NFV4_ABHD11.pdf</t>
  </si>
  <si>
    <t>Melting_Curves/meltCurve_Q8NFW8_CMAS.pdf</t>
  </si>
  <si>
    <t>Melting_Curves/meltCurve_Q8NFY9_KBTBD8.pdf</t>
  </si>
  <si>
    <t>Melting_Curves/meltCurve_Q8NFZ0_FBXO18.pdf</t>
  </si>
  <si>
    <t>Melting_Curves/meltCurve_Q8NG08_HELB.pdf</t>
  </si>
  <si>
    <t>Melting_Curves/meltCurve_Q8NG11_2_TSPAN14.pdf</t>
  </si>
  <si>
    <t>Melting_Curves/meltCurve_Q8NG68_TTL.pdf</t>
  </si>
  <si>
    <t>Melting_Curves/meltCurve_Q8NGC4_OR10G3.pdf</t>
  </si>
  <si>
    <t>Melting_Curves/meltCurve_Q8NHG7_SVIP.pdf</t>
  </si>
  <si>
    <t>Melting_Curves/meltCurve_Q8NHG8_ZNRF2.pdf</t>
  </si>
  <si>
    <t>Melting_Curves/meltCurve_Q8NHH9_ATL2.pdf</t>
  </si>
  <si>
    <t>Melting_Curves/meltCurve_Q8NHP8_PLBD2.pdf</t>
  </si>
  <si>
    <t>Melting_Curves/meltCurve_Q8NHU6_2_TDRD7.pdf</t>
  </si>
  <si>
    <t>Melting_Curves/meltCurve_Q8NHV1_GIMAP7.pdf</t>
  </si>
  <si>
    <t>Melting_Curves/meltCurve_Q8NHV4_2_NEDD1.pdf</t>
  </si>
  <si>
    <t>Melting_Curves/meltCurve_Q8NHZ8_CDC26.pdf</t>
  </si>
  <si>
    <t>Melting_Curves/meltCurve_Q8NI22_2_MCFD2.pdf</t>
  </si>
  <si>
    <t>Melting_Curves/meltCurve_Q8NI27_THOC2.pdf</t>
  </si>
  <si>
    <t>Melting_Curves/meltCurve_Q8NI36_WDR36.pdf</t>
  </si>
  <si>
    <t>Melting_Curves/meltCurve_Q8TA86_RP9.pdf</t>
  </si>
  <si>
    <t>Melting_Curves/meltCurve_Q8TAA5_GRPEL2.pdf</t>
  </si>
  <si>
    <t>Melting_Curves/meltCurve_Q8TAA9_2_VANGL1.pdf</t>
  </si>
  <si>
    <t>Melting_Curves/meltCurve_Q8TAC1_RFESD.pdf</t>
  </si>
  <si>
    <t>Melting_Curves/meltCurve_Q8TAD8_SNIP1.pdf</t>
  </si>
  <si>
    <t>Melting_Curves/meltCurve_Q8TAE8_GADD45GIP1.pdf</t>
  </si>
  <si>
    <t>Melting_Curves/meltCurve_Q8TAF3_WDR48.pdf</t>
  </si>
  <si>
    <t>Melting_Curves/meltCurve_Q8TAG9_EXOC6.pdf</t>
  </si>
  <si>
    <t>Melting_Curves/meltCurve_Q8TAP6_2_CEP76.pdf</t>
  </si>
  <si>
    <t>Melting_Curves/meltCurve_Q8TAP8_PPP1R35.pdf</t>
  </si>
  <si>
    <t>Melting_Curves/meltCurve_Q8TAP9_MPLKIP.pdf</t>
  </si>
  <si>
    <t>Melting_Curves/meltCurve_Q8TAQ2_SMARCC2.pdf</t>
  </si>
  <si>
    <t>Melting_Curves/meltCurve_Q8TAT6_NPLOC4.pdf</t>
  </si>
  <si>
    <t>Melting_Curves/meltCurve_Q8TAV0_FAM76A.pdf</t>
  </si>
  <si>
    <t>Melting_Curves/meltCurve_Q8TB03_CXorf38.pdf</t>
  </si>
  <si>
    <t>Melting_Curves/meltCurve_Q8TB36_2_GDAP1.pdf</t>
  </si>
  <si>
    <t>Melting_Curves/meltCurve_Q8TB37_NUBPL.pdf</t>
  </si>
  <si>
    <t>Melting_Curves/meltCurve_Q8TB52_FBXO30.pdf</t>
  </si>
  <si>
    <t>Melting_Curves/meltCurve_Q8TB61_3_SLC35B2.pdf</t>
  </si>
  <si>
    <t>Melting_Curves/meltCurve_Q8TB70_TXNDC9.pdf</t>
  </si>
  <si>
    <t>Melting_Curves/meltCurve_Q8TBA6_2_GOLGA5.pdf</t>
  </si>
  <si>
    <t>Melting_Curves/meltCurve_Q8TBB5_3_KLHDC4.pdf</t>
  </si>
  <si>
    <t>Melting_Curves/meltCurve_Q8TBC4_UBA3.pdf</t>
  </si>
  <si>
    <t>Melting_Curves/meltCurve_Q8TBE0_3_BAHD1.pdf</t>
  </si>
  <si>
    <t>Melting_Curves/meltCurve_Q8TBE9_NANP.pdf</t>
  </si>
  <si>
    <t>Melting_Curves/meltCurve_Q8TBM8_2_DNAJB14.pdf</t>
  </si>
  <si>
    <t>Melting_Curves/meltCurve_Q8TBN0_RAB3IL1.pdf</t>
  </si>
  <si>
    <t>Melting_Curves/meltCurve_Q8TBP6_SLC25A40.pdf</t>
  </si>
  <si>
    <t>Melting_Curves/meltCurve_Q8TBX8_PIP4K2C.pdf</t>
  </si>
  <si>
    <t>Melting_Curves/meltCurve_Q8TBZ3_WDR20.pdf</t>
  </si>
  <si>
    <t>Melting_Curves/meltCurve_Q8TBZ6_TRMT10A.pdf</t>
  </si>
  <si>
    <t>Melting_Curves/meltCurve_Q8TC07_2_TBC1D15.pdf</t>
  </si>
  <si>
    <t>Melting_Curves/meltCurve_Q8TC12_RDH11.pdf</t>
  </si>
  <si>
    <t>Melting_Curves/meltCurve_Q8TCA0_LRRC20.pdf</t>
  </si>
  <si>
    <t>Melting_Curves/meltCurve_Q8TCD1_C18orf32.pdf</t>
  </si>
  <si>
    <t>Melting_Curves/meltCurve_Q8TCD5_NT5C.pdf</t>
  </si>
  <si>
    <t>Melting_Curves/meltCurve_Q8TCG1_KIAA1524.pdf</t>
  </si>
  <si>
    <t>Melting_Curves/meltCurve_Q8TCG2_PI4K2B.pdf</t>
  </si>
  <si>
    <t>Melting_Curves/meltCurve_Q8TCJ2_STT3B.pdf</t>
  </si>
  <si>
    <t>Melting_Curves/meltCurve_Q8TCS8_PNPT1.pdf</t>
  </si>
  <si>
    <t>Melting_Curves/meltCurve_Q8TCT8_SPPL2A.pdf</t>
  </si>
  <si>
    <t>Melting_Curves/meltCurve_Q8TCT9_5_HM13.pdf</t>
  </si>
  <si>
    <t>Melting_Curves/meltCurve_Q8TCX1_DYNC2LI1.pdf</t>
  </si>
  <si>
    <t>Melting_Curves/meltCurve_Q8TCY9_URGCP.pdf</t>
  </si>
  <si>
    <t>Melting_Curves/meltCurve_Q8TD08_2_MAPK15.pdf</t>
  </si>
  <si>
    <t>Melting_Curves/meltCurve_Q8TD16_BICD2.pdf</t>
  </si>
  <si>
    <t>Melting_Curves/meltCurve_Q8TD19_NEK9.pdf</t>
  </si>
  <si>
    <t>Melting_Curves/meltCurve_Q8TD30_GPT2.pdf</t>
  </si>
  <si>
    <t>Melting_Curves/meltCurve_Q8TDD1_DDX54.pdf</t>
  </si>
  <si>
    <t>Melting_Curves/meltCurve_Q8TDH9_BLOC1S5.pdf</t>
  </si>
  <si>
    <t>Melting_Curves/meltCurve_Q8TDN6_BRIX1.pdf</t>
  </si>
  <si>
    <t>Melting_Curves/meltCurve_Q8TDQ7_3_GNPDA2.pdf</t>
  </si>
  <si>
    <t>Melting_Curves/meltCurve_Q8TDW0_LRRC8C.pdf</t>
  </si>
  <si>
    <t>Melting_Curves/meltCurve_Q8TDX7_NEK7.pdf</t>
  </si>
  <si>
    <t>Melting_Curves/meltCurve_Q8TDY2_2_RB1CC1.pdf</t>
  </si>
  <si>
    <t>Melting_Curves/meltCurve_Q8TDZ2_MICAL1.pdf</t>
  </si>
  <si>
    <t>Melting_Curves/meltCurve_Q8TEA1_NSUN6.pdf</t>
  </si>
  <si>
    <t>Melting_Curves/meltCurve_Q8TEA8_DTD1.pdf</t>
  </si>
  <si>
    <t>Melting_Curves/meltCurve_Q8TEB1_2_DCAF11.pdf</t>
  </si>
  <si>
    <t>Melting_Curves/meltCurve_Q8TEH3_DENND1A.pdf</t>
  </si>
  <si>
    <t>Melting_Curves/meltCurve_Q8TEM1_NUP210.pdf</t>
  </si>
  <si>
    <t>Melting_Curves/meltCurve_Q8TEQ6_GEMIN5.pdf</t>
  </si>
  <si>
    <t>Melting_Curves/meltCurve_Q8TEX9_IPO4.pdf</t>
  </si>
  <si>
    <t>Melting_Curves/meltCurve_Q8TEY7_3_USP33.pdf</t>
  </si>
  <si>
    <t>Melting_Curves/meltCurve_Q8TF01_PNISR.pdf</t>
  </si>
  <si>
    <t>Melting_Curves/meltCurve_Q8TF05_2_PPP4R1.pdf</t>
  </si>
  <si>
    <t>Melting_Curves/meltCurve_Q8TF46_2_DIS3L.pdf</t>
  </si>
  <si>
    <t>Melting_Curves/meltCurve_Q8TF64_GIPC3.pdf</t>
  </si>
  <si>
    <t>Melting_Curves/meltCurve_Q8TF74_WIPF2.pdf</t>
  </si>
  <si>
    <t>Melting_Curves/meltCurve_Q8WTS1_ABHD5.pdf</t>
  </si>
  <si>
    <t>Melting_Curves/meltCurve_Q8WTW3_COG1.pdf</t>
  </si>
  <si>
    <t>Melting_Curves/meltCurve_Q8WU40_CAMK2G.pdf</t>
  </si>
  <si>
    <t>Melting_Curves/meltCurve_Q8WU76_2_SCFD2.pdf</t>
  </si>
  <si>
    <t>Melting_Curves/meltCurve_Q8WU79_SMAP2.pdf</t>
  </si>
  <si>
    <t>Melting_Curves/meltCurve_Q8WU90_ZC3H15.pdf</t>
  </si>
  <si>
    <t>Melting_Curves/meltCurve_Q8WUA2_PPIL4.pdf</t>
  </si>
  <si>
    <t>Melting_Curves/meltCurve_Q8WUA4_2_GTF3C2.pdf</t>
  </si>
  <si>
    <t>Melting_Curves/meltCurve_Q8WUB8_3_PHF10.pdf</t>
  </si>
  <si>
    <t>Melting_Curves/meltCurve_Q8WUD1_RAB2B.pdf</t>
  </si>
  <si>
    <t>Melting_Curves/meltCurve_Q8WUD6_CHPT1.pdf</t>
  </si>
  <si>
    <t>Melting_Curves/meltCurve_Q8WUE5_CXorf48.pdf</t>
  </si>
  <si>
    <t>Melting_Curves/meltCurve_Q8WUH1_CHURC1.pdf</t>
  </si>
  <si>
    <t>Melting_Curves/meltCurve_Q8WUH2_TGFBRAP1.pdf</t>
  </si>
  <si>
    <t>Melting_Curves/meltCurve_Q8WUH6_C12orf23.pdf</t>
  </si>
  <si>
    <t>Melting_Curves/meltCurve_Q8WUI4_3_HDAC7.pdf</t>
  </si>
  <si>
    <t>Melting_Curves/meltCurve_Q8WUJ0_STYX.pdf</t>
  </si>
  <si>
    <t>Melting_Curves/meltCurve_Q8WUK0_2_PTPMT1.pdf</t>
  </si>
  <si>
    <t>Melting_Curves/meltCurve_Q8WUM4_PDCD6IP.pdf</t>
  </si>
  <si>
    <t>Melting_Curves/meltCurve_Q8WUM9_SLC20A1.pdf</t>
  </si>
  <si>
    <t>Melting_Curves/meltCurve_Q8WUR7_C15orf40.pdf</t>
  </si>
  <si>
    <t>Melting_Curves/meltCurve_Q8WUX1_SLC38A5.pdf</t>
  </si>
  <si>
    <t>Melting_Curves/meltCurve_Q8WUX2_CHAC2.pdf</t>
  </si>
  <si>
    <t>Melting_Curves/meltCurve_Q8WUX9_CHMP7.pdf</t>
  </si>
  <si>
    <t>Melting_Curves/meltCurve_Q8WUY1_THEM6.pdf</t>
  </si>
  <si>
    <t>Melting_Curves/meltCurve_Q8WUY8_NAT14.pdf</t>
  </si>
  <si>
    <t>Melting_Curves/meltCurve_Q8WV07_ORAOV1.pdf</t>
  </si>
  <si>
    <t>Melting_Curves/meltCurve_Q8WV22_NSMCE1.pdf</t>
  </si>
  <si>
    <t>Melting_Curves/meltCurve_Q8WV41_SNX33.pdf</t>
  </si>
  <si>
    <t>Melting_Curves/meltCurve_Q8WV60_PTCD2.pdf</t>
  </si>
  <si>
    <t>Melting_Curves/meltCurve_Q8WV92_MITD1.pdf</t>
  </si>
  <si>
    <t>Melting_Curves/meltCurve_Q8WV93_LACE1.pdf</t>
  </si>
  <si>
    <t>Melting_Curves/meltCurve_Q8WVB6_CHTF18.pdf</t>
  </si>
  <si>
    <t>Melting_Curves/meltCurve_Q8WVC0_LEO1.pdf</t>
  </si>
  <si>
    <t>Melting_Curves/meltCurve_Q8WVC2_RPS21.pdf</t>
  </si>
  <si>
    <t>Melting_Curves/meltCurve_Q8WVD3_RNF138.pdf</t>
  </si>
  <si>
    <t>Melting_Curves/meltCurve_Q8WVJ2_NUDCD2.pdf</t>
  </si>
  <si>
    <t>Melting_Curves/meltCurve_Q8WVK2_SNRNP27.pdf</t>
  </si>
  <si>
    <t>Melting_Curves/meltCurve_Q8WVK7_SKA2.pdf</t>
  </si>
  <si>
    <t>Melting_Curves/meltCurve_Q8WVL7_ANKRD49.pdf</t>
  </si>
  <si>
    <t>Melting_Curves/meltCurve_Q8WVM0_TFB1M.pdf</t>
  </si>
  <si>
    <t>Melting_Curves/meltCurve_Q8WVM8_SCFD1.pdf</t>
  </si>
  <si>
    <t>Melting_Curves/meltCurve_Q8WVQ1_CANT1.pdf</t>
  </si>
  <si>
    <t>Melting_Curves/meltCurve_Q8WVT3_TRAPPC12.pdf</t>
  </si>
  <si>
    <t>Melting_Curves/meltCurve_Q8WVX9_FAR1.pdf</t>
  </si>
  <si>
    <t>Melting_Curves/meltCurve_Q8WVY7_UBLCP1.pdf</t>
  </si>
  <si>
    <t>Melting_Curves/meltCurve_Q8WW01_TSEN15.pdf</t>
  </si>
  <si>
    <t>Melting_Curves/meltCurve_Q8WW12_PCNP.pdf</t>
  </si>
  <si>
    <t>Melting_Curves/meltCurve_Q8WW59_SPRYD4.pdf</t>
  </si>
  <si>
    <t>Melting_Curves/meltCurve_Q8WWB7_2_C1orf85.pdf</t>
  </si>
  <si>
    <t>Melting_Curves/meltCurve_Q8WWC4_C2orf47.pdf</t>
  </si>
  <si>
    <t>Melting_Curves/meltCurve_Q8WWH5_TRUB1.pdf</t>
  </si>
  <si>
    <t>Melting_Curves/meltCurve_Q8WWL7_CCNB3.pdf</t>
  </si>
  <si>
    <t>Melting_Curves/meltCurve_Q8WWM7_ATXN2L.pdf</t>
  </si>
  <si>
    <t>Melting_Curves/meltCurve_Q8WWV3_RTN4IP1.pdf</t>
  </si>
  <si>
    <t>Melting_Curves/meltCurve_Q8WWW0_3_RASSF5.pdf</t>
  </si>
  <si>
    <t>Melting_Curves/meltCurve_Q8WWX9_SELM.pdf</t>
  </si>
  <si>
    <t>Melting_Curves/meltCurve_Q8WWY3_PRPF31.pdf</t>
  </si>
  <si>
    <t>Melting_Curves/meltCurve_Q8WX92_NELFB.pdf</t>
  </si>
  <si>
    <t>Melting_Curves/meltCurve_Q8WXA9_2_SREK1.pdf</t>
  </si>
  <si>
    <t>Melting_Curves/meltCurve_Q8WXD2_SCG3.pdf</t>
  </si>
  <si>
    <t>Melting_Curves/meltCurve_Q8WXD5_GEMIN6.pdf</t>
  </si>
  <si>
    <t>Melting_Curves/meltCurve_Q8WXE1_5_ATRIP.pdf</t>
  </si>
  <si>
    <t>Melting_Curves/meltCurve_Q8WXF1_PSPC1.pdf</t>
  </si>
  <si>
    <t>Melting_Curves/meltCurve_Q8WXG6_7_MADD.pdf</t>
  </si>
  <si>
    <t>Melting_Curves/meltCurve_Q8WXI9_GATAD2B.pdf</t>
  </si>
  <si>
    <t>Melting_Curves/meltCurve_Q8WXW3_PIBF1.pdf</t>
  </si>
  <si>
    <t>Melting_Curves/meltCurve_Q8WXX5_DNAJC9.pdf</t>
  </si>
  <si>
    <t>Melting_Curves/meltCurve_Q8WY22_BRI3BP.pdf</t>
  </si>
  <si>
    <t>Melting_Curves/meltCurve_Q8WY54_2_PPM1E.pdf</t>
  </si>
  <si>
    <t>Melting_Curves/meltCurve_Q8WY91_THAP4.pdf</t>
  </si>
  <si>
    <t>Melting_Curves/meltCurve_Q8WZ42_11_TTN.pdf</t>
  </si>
  <si>
    <t>Melting_Curves/meltCurve_Q8WZ82_OVCA2.pdf</t>
  </si>
  <si>
    <t>Melting_Curves/meltCurve_Q8WZA0_LZIC.pdf</t>
  </si>
  <si>
    <t>Melting_Curves/meltCurve_Q8WZA9_IRGQ.pdf</t>
  </si>
  <si>
    <t>Melting_Curves/meltCurve_Q92499_DDX1.pdf</t>
  </si>
  <si>
    <t>Melting_Curves/meltCurve_Q92504_SLC39A7.pdf</t>
  </si>
  <si>
    <t>Melting_Curves/meltCurve_Q92506_HSD17B8.pdf</t>
  </si>
  <si>
    <t>Melting_Curves/meltCurve_Q92508_PIEZO1.pdf</t>
  </si>
  <si>
    <t>Melting_Curves/meltCurve_Q92520_FAM3C.pdf</t>
  </si>
  <si>
    <t>Melting_Curves/meltCurve_Q92522_H1FX.pdf</t>
  </si>
  <si>
    <t>Melting_Curves/meltCurve_Q92526_CCT6B.pdf</t>
  </si>
  <si>
    <t>Melting_Curves/meltCurve_Q92538_GBF1.pdf</t>
  </si>
  <si>
    <t>Melting_Curves/meltCurve_Q92541_RTF1.pdf</t>
  </si>
  <si>
    <t>Melting_Curves/meltCurve_Q92544_TM9SF4.pdf</t>
  </si>
  <si>
    <t>Melting_Curves/meltCurve_Q92547_TOPBP1.pdf</t>
  </si>
  <si>
    <t>Melting_Curves/meltCurve_Q92551_IP6K1.pdf</t>
  </si>
  <si>
    <t>Melting_Curves/meltCurve_Q92552_MRPS27.pdf</t>
  </si>
  <si>
    <t>Melting_Curves/meltCurve_Q92556_ELMO1.pdf</t>
  </si>
  <si>
    <t>Melting_Curves/meltCurve_Q92572_AP3S1.pdf</t>
  </si>
  <si>
    <t>Melting_Curves/meltCurve_Q92575_UBXN4.pdf</t>
  </si>
  <si>
    <t>Melting_Curves/meltCurve_Q92576_2_PHF3.pdf</t>
  </si>
  <si>
    <t>Melting_Curves/meltCurve_Q92581_3_SLC9A6.pdf</t>
  </si>
  <si>
    <t>Melting_Curves/meltCurve_Q92598_2_HSPH1.pdf</t>
  </si>
  <si>
    <t>Melting_Curves/meltCurve_Q92600_RQCD1.pdf</t>
  </si>
  <si>
    <t>Melting_Curves/meltCurve_Q92609_TBC1D5.pdf</t>
  </si>
  <si>
    <t>Melting_Curves/meltCurve_Q92615_LARP4B.pdf</t>
  </si>
  <si>
    <t>Melting_Curves/meltCurve_Q92616_GCN1L1.pdf</t>
  </si>
  <si>
    <t>Melting_Curves/meltCurve_Q92619_HMHA1.pdf</t>
  </si>
  <si>
    <t>Melting_Curves/meltCurve_Q92620_DHX38.pdf</t>
  </si>
  <si>
    <t>Melting_Curves/meltCurve_Q92621_NUP205.pdf</t>
  </si>
  <si>
    <t>Melting_Curves/meltCurve_Q92625_ANKS1A.pdf</t>
  </si>
  <si>
    <t>Melting_Curves/meltCurve_Q92636_NSMAF.pdf</t>
  </si>
  <si>
    <t>Melting_Curves/meltCurve_Q92665_MRPS31.pdf</t>
  </si>
  <si>
    <t>Melting_Curves/meltCurve_Q92667_AKAP1.pdf</t>
  </si>
  <si>
    <t>Melting_Curves/meltCurve_Q92686_NRGN.pdf</t>
  </si>
  <si>
    <t>Melting_Curves/meltCurve_Q92688_2_ANP32B.pdf</t>
  </si>
  <si>
    <t>Melting_Curves/meltCurve_Q92692_PVRL2.pdf</t>
  </si>
  <si>
    <t>Melting_Curves/meltCurve_Q92692_2_PVRL2.pdf</t>
  </si>
  <si>
    <t>Melting_Curves/meltCurve_Q92696_RABGGTA.pdf</t>
  </si>
  <si>
    <t>Melting_Curves/meltCurve_Q92698_RAD54L.pdf</t>
  </si>
  <si>
    <t>Melting_Curves/meltCurve_Q92734_2_TFG.pdf</t>
  </si>
  <si>
    <t>Melting_Curves/meltCurve_Q92747_ARPC1A.pdf</t>
  </si>
  <si>
    <t>Melting_Curves/meltCurve_Q92759_GTF2H4.pdf</t>
  </si>
  <si>
    <t>Melting_Curves/meltCurve_Q92766_RREB1.pdf</t>
  </si>
  <si>
    <t>Melting_Curves/meltCurve_Q92783_2_STAM.pdf</t>
  </si>
  <si>
    <t>Melting_Curves/meltCurve_Q92793_2_CREBBP.pdf</t>
  </si>
  <si>
    <t>Melting_Curves/meltCurve_Q92797_SYMPK.pdf</t>
  </si>
  <si>
    <t>Melting_Curves/meltCurve_Q92804_2_TAF15.pdf</t>
  </si>
  <si>
    <t>Melting_Curves/meltCurve_Q92805_GOLGA1.pdf</t>
  </si>
  <si>
    <t>Melting_Curves/meltCurve_Q92820_GGH.pdf</t>
  </si>
  <si>
    <t>Melting_Curves/meltCurve_Q92843_2_BCL2L2.pdf</t>
  </si>
  <si>
    <t>Melting_Curves/meltCurve_Q92851_2_CASP10.pdf</t>
  </si>
  <si>
    <t>Melting_Curves/meltCurve_Q92871_PMM1.pdf</t>
  </si>
  <si>
    <t>Melting_Curves/meltCurve_Q92878_RAD50.pdf</t>
  </si>
  <si>
    <t>Melting_Curves/meltCurve_Q92882_OSTF1.pdf</t>
  </si>
  <si>
    <t>Melting_Curves/meltCurve_Q92889_ERCC4.pdf</t>
  </si>
  <si>
    <t>Melting_Curves/meltCurve_Q92890_UFD1L.pdf</t>
  </si>
  <si>
    <t>Melting_Curves/meltCurve_Q92896_GLG1.pdf</t>
  </si>
  <si>
    <t>Melting_Curves/meltCurve_Q92900_UPF1.pdf</t>
  </si>
  <si>
    <t>Melting_Curves/meltCurve_Q92905_COPS5.pdf</t>
  </si>
  <si>
    <t>Melting_Curves/meltCurve_Q92917_GPKOW.pdf</t>
  </si>
  <si>
    <t>Melting_Curves/meltCurve_Q92922_SMARCC1.pdf</t>
  </si>
  <si>
    <t>Melting_Curves/meltCurve_Q92930_RAB8B.pdf</t>
  </si>
  <si>
    <t>Melting_Curves/meltCurve_Q92934_BAD.pdf</t>
  </si>
  <si>
    <t>Melting_Curves/meltCurve_Q92945_KHSRP.pdf</t>
  </si>
  <si>
    <t>Melting_Curves/meltCurve_Q92947_GCDH.pdf</t>
  </si>
  <si>
    <t>Melting_Curves/meltCurve_Q92968_PEX13.pdf</t>
  </si>
  <si>
    <t>Melting_Curves/meltCurve_Q92973_2_TNPO1.pdf</t>
  </si>
  <si>
    <t>Melting_Curves/meltCurve_Q92979_EMG1.pdf</t>
  </si>
  <si>
    <t>Melting_Curves/meltCurve_Q92990_GLMN.pdf</t>
  </si>
  <si>
    <t>Melting_Curves/meltCurve_Q93008_USP9X.pdf</t>
  </si>
  <si>
    <t>Melting_Curves/meltCurve_Q93015_NAT6.pdf</t>
  </si>
  <si>
    <t>Melting_Curves/meltCurve_Q93034_CUL5.pdf</t>
  </si>
  <si>
    <t>Melting_Curves/meltCurve_Q93063_EXT2.pdf</t>
  </si>
  <si>
    <t>Melting_Curves/meltCurve_Q93074_3_MED12.pdf</t>
  </si>
  <si>
    <t>Melting_Curves/meltCurve_Q93077_HIST1H2AC.pdf</t>
  </si>
  <si>
    <t>Melting_Curves/meltCurve_Q93084_4_ATP2A3.pdf</t>
  </si>
  <si>
    <t>Melting_Curves/meltCurve_Q93100_4_PHKB.pdf</t>
  </si>
  <si>
    <t>Melting_Curves/meltCurve_Q969E2_2_SCAMP4.pdf</t>
  </si>
  <si>
    <t>Melting_Curves/meltCurve_Q969E8_TSR2.pdf</t>
  </si>
  <si>
    <t>Melting_Curves/meltCurve_Q969F1_GTF3C6.pdf</t>
  </si>
  <si>
    <t>Melting_Curves/meltCurve_Q969F8_KISS1R.pdf</t>
  </si>
  <si>
    <t>Melting_Curves/meltCurve_Q969G6_RFK.pdf</t>
  </si>
  <si>
    <t>Melting_Curves/meltCurve_Q969H6_2_POP5.pdf</t>
  </si>
  <si>
    <t>Melting_Curves/meltCurve_Q969H8_C19orf10.pdf</t>
  </si>
  <si>
    <t>Melting_Curves/meltCurve_Q969K3_RNF34.pdf</t>
  </si>
  <si>
    <t>Melting_Curves/meltCurve_Q969M3_YIPF5.pdf</t>
  </si>
  <si>
    <t>Melting_Curves/meltCurve_Q969N2_4_PIGT.pdf</t>
  </si>
  <si>
    <t>Melting_Curves/meltCurve_Q969P0_3_IGSF8.pdf</t>
  </si>
  <si>
    <t>Melting_Curves/meltCurve_Q969R8_ITFG2.pdf</t>
  </si>
  <si>
    <t>Melting_Curves/meltCurve_Q969S3_ZNF622.pdf</t>
  </si>
  <si>
    <t>Melting_Curves/meltCurve_Q969S9_2_GFM2.pdf</t>
  </si>
  <si>
    <t>Melting_Curves/meltCurve_Q969T7_2_NT5C3B.pdf</t>
  </si>
  <si>
    <t>Melting_Curves/meltCurve_Q969U7_PSMG2.pdf</t>
  </si>
  <si>
    <t>Melting_Curves/meltCurve_Q969V3_2_NCLN.pdf</t>
  </si>
  <si>
    <t>Melting_Curves/meltCurve_Q969V5_MUL1.pdf</t>
  </si>
  <si>
    <t>Melting_Curves/meltCurve_Q969X5_2_ERGIC1.pdf</t>
  </si>
  <si>
    <t>Melting_Curves/meltCurve_Q969Y2_3_GTPBP3.pdf</t>
  </si>
  <si>
    <t>Melting_Curves/meltCurve_Q969Z0_TBRG4.pdf</t>
  </si>
  <si>
    <t>Melting_Curves/meltCurve_Q96A00_PPP1R14A.pdf</t>
  </si>
  <si>
    <t>Melting_Curves/meltCurve_Q96A19_CCDC102A.pdf</t>
  </si>
  <si>
    <t>Melting_Curves/meltCurve_Q96A33_CCDC47.pdf</t>
  </si>
  <si>
    <t>Melting_Curves/meltCurve_Q96A47_ISL2.pdf</t>
  </si>
  <si>
    <t>Melting_Curves/meltCurve_Q96A49_SYAP1.pdf</t>
  </si>
  <si>
    <t>Melting_Curves/meltCurve_Q96A65_EXOC4.pdf</t>
  </si>
  <si>
    <t>Melting_Curves/meltCurve_Q96A73_2_KIAA1191.pdf</t>
  </si>
  <si>
    <t>Melting_Curves/meltCurve_Q96AB3_ISOC2.pdf</t>
  </si>
  <si>
    <t>Melting_Curves/meltCurve_Q96AD5_PNPLA2.pdf</t>
  </si>
  <si>
    <t>Melting_Curves/meltCurve_Q96AE4_FUBP1.pdf</t>
  </si>
  <si>
    <t>Melting_Curves/meltCurve_Q96AE4_2_FUBP1.pdf</t>
  </si>
  <si>
    <t>Melting_Curves/meltCurve_Q96AG4_LRRC59.pdf</t>
  </si>
  <si>
    <t>Melting_Curves/meltCurve_Q96AJ9_1_VTI1A.pdf</t>
  </si>
  <si>
    <t>Melting_Curves/meltCurve_Q96AQ8_MCUR1.pdf</t>
  </si>
  <si>
    <t>Melting_Curves/meltCurve_Q96AT1_KIAA1143.pdf</t>
  </si>
  <si>
    <t>Melting_Curves/meltCurve_Q96AT9_RPE.pdf</t>
  </si>
  <si>
    <t>Melting_Curves/meltCurve_Q96AX1_VPS33A.pdf</t>
  </si>
  <si>
    <t>Melting_Curves/meltCurve_Q96B23_2_C18orf25.pdf</t>
  </si>
  <si>
    <t>Melting_Curves/meltCurve_Q96B26_EXOSC8.pdf</t>
  </si>
  <si>
    <t>Melting_Curves/meltCurve_Q96B36_AKT1S1.pdf</t>
  </si>
  <si>
    <t>Melting_Curves/meltCurve_Q96B45_C10orf32.pdf</t>
  </si>
  <si>
    <t>Melting_Curves/meltCurve_Q96B49_TOMM6.pdf</t>
  </si>
  <si>
    <t>Melting_Curves/meltCurve_Q96BD8_SKA1.pdf</t>
  </si>
  <si>
    <t>Melting_Curves/meltCurve_Q96BH1_RNF25.pdf</t>
  </si>
  <si>
    <t>Melting_Curves/meltCurve_Q96BK5_PINX1.pdf</t>
  </si>
  <si>
    <t>Melting_Curves/meltCurve_Q96BM9_ARL8A.pdf</t>
  </si>
  <si>
    <t>Melting_Curves/meltCurve_Q96BN8_FAM105B.pdf</t>
  </si>
  <si>
    <t>Melting_Curves/meltCurve_Q96BP3_PPWD1.pdf</t>
  </si>
  <si>
    <t>Melting_Curves/meltCurve_Q96BQ5_CCDC127.pdf</t>
  </si>
  <si>
    <t>Melting_Curves/meltCurve_Q96BR5_SELRC1.pdf</t>
  </si>
  <si>
    <t>Melting_Curves/meltCurve_Q96BT7_ALKBH8.pdf</t>
  </si>
  <si>
    <t>Melting_Curves/meltCurve_Q96BW1_3_UPRT.pdf</t>
  </si>
  <si>
    <t>Melting_Curves/meltCurve_Q96BW5_2_PTER.pdf</t>
  </si>
  <si>
    <t>Melting_Curves/meltCurve_Q96BX8_MOB3A.pdf</t>
  </si>
  <si>
    <t>Melting_Curves/meltCurve_Q96BY7_ATG2B.pdf</t>
  </si>
  <si>
    <t>Melting_Curves/meltCurve_Q96BZ8_LENG1.pdf</t>
  </si>
  <si>
    <t>Melting_Curves/meltCurve_Q96BZ9_TBC1D20.pdf</t>
  </si>
  <si>
    <t>Melting_Curves/meltCurve_Q96C01_FAM136A.pdf</t>
  </si>
  <si>
    <t>Melting_Curves/meltCurve_Q96C19_EFHD2.pdf</t>
  </si>
  <si>
    <t>Melting_Curves/meltCurve_Q96C23_GALM.pdf</t>
  </si>
  <si>
    <t>Melting_Curves/meltCurve_Q96C36_PYCR2.pdf</t>
  </si>
  <si>
    <t>Melting_Curves/meltCurve_Q96C57_C12orf43.pdf</t>
  </si>
  <si>
    <t>Melting_Curves/meltCurve_Q96C86_DCPS.pdf</t>
  </si>
  <si>
    <t>Melting_Curves/meltCurve_Q96C90_PPP1R14B.pdf</t>
  </si>
  <si>
    <t>Melting_Curves/meltCurve_Q96CB9_4_NSUN4.pdf</t>
  </si>
  <si>
    <t>Melting_Curves/meltCurve_Q96CF2_CHMP4C.pdf</t>
  </si>
  <si>
    <t>Melting_Curves/meltCurve_Q96CM3_2_RPUSD4.pdf</t>
  </si>
  <si>
    <t>Melting_Curves/meltCurve_Q96CN7_ISOC1.pdf</t>
  </si>
  <si>
    <t>Melting_Curves/meltCurve_Q96CN9_GCC1.pdf</t>
  </si>
  <si>
    <t>Melting_Curves/meltCurve_Q96CP2_FLYWCH2.pdf</t>
  </si>
  <si>
    <t>Melting_Curves/meltCurve_Q96CS2_HAUS1.pdf</t>
  </si>
  <si>
    <t>Melting_Curves/meltCurve_Q96CS3_FAF2.pdf</t>
  </si>
  <si>
    <t>Melting_Curves/meltCurve_Q96CT7_CCDC124.pdf</t>
  </si>
  <si>
    <t>Melting_Curves/meltCurve_Q96CU9_FOXRED1.pdf</t>
  </si>
  <si>
    <t>Melting_Curves/meltCurve_Q96CW1_2_AP2M1.pdf</t>
  </si>
  <si>
    <t>Melting_Curves/meltCurve_Q96CW6_SLC7A6OS.pdf</t>
  </si>
  <si>
    <t>Melting_Curves/meltCurve_Q96CX6_LRRC58.pdf</t>
  </si>
  <si>
    <t>Melting_Curves/meltCurve_Q96D05_C10orf35.pdf</t>
  </si>
  <si>
    <t>Melting_Curves/meltCurve_Q96D15_RCN3.pdf</t>
  </si>
  <si>
    <t>Melting_Curves/meltCurve_Q96D31_2_ORAI1.pdf</t>
  </si>
  <si>
    <t>Melting_Curves/meltCurve_Q96D71_3_REPS1.pdf</t>
  </si>
  <si>
    <t>Melting_Curves/meltCurve_Q96DA6_2_DNAJC19.pdf</t>
  </si>
  <si>
    <t>Melting_Curves/meltCurve_Q96DB5_RMDN1.pdf</t>
  </si>
  <si>
    <t>Melting_Curves/meltCurve_Q96DE0_NUDT16.pdf</t>
  </si>
  <si>
    <t>Melting_Curves/meltCurve_Q96DE5_ANAPC16.pdf</t>
  </si>
  <si>
    <t>Melting_Curves/meltCurve_Q96DF8_DGCR14.pdf</t>
  </si>
  <si>
    <t>Melting_Curves/meltCurve_Q96DG6_CMBL.pdf</t>
  </si>
  <si>
    <t>Melting_Curves/meltCurve_Q96DI7_SNRNP40.pdf</t>
  </si>
  <si>
    <t>Melting_Curves/meltCurve_Q96DT6_ATG4C.pdf</t>
  </si>
  <si>
    <t>Melting_Curves/meltCurve_Q96DU7_ITPKC.pdf</t>
  </si>
  <si>
    <t>Melting_Curves/meltCurve_Q96DV4_MRPL38.pdf</t>
  </si>
  <si>
    <t>Melting_Curves/meltCurve_Q96DX4_RSPRY1.pdf</t>
  </si>
  <si>
    <t>Melting_Curves/meltCurve_Q96DX7_TRIM44.pdf</t>
  </si>
  <si>
    <t>Melting_Curves/meltCurve_Q96DY2_IQCD.pdf</t>
  </si>
  <si>
    <t>Melting_Curves/meltCurve_Q96DZ1_2_ERLEC1.pdf</t>
  </si>
  <si>
    <t>Melting_Curves/meltCurve_Q96E09_FAM122A.pdf</t>
  </si>
  <si>
    <t>Melting_Curves/meltCurve_Q96E11_3_MRRF.pdf</t>
  </si>
  <si>
    <t>Melting_Curves/meltCurve_Q96E14_RMI2.pdf</t>
  </si>
  <si>
    <t>Melting_Curves/meltCurve_Q96E22_NUS1.pdf</t>
  </si>
  <si>
    <t>Melting_Curves/meltCurve_Q96E52_OMA1.pdf</t>
  </si>
  <si>
    <t>Melting_Curves/meltCurve_Q96EA4_SPDL1.pdf</t>
  </si>
  <si>
    <t>Melting_Curves/meltCurve_Q96EB1_ELP4.pdf</t>
  </si>
  <si>
    <t>Melting_Curves/meltCurve_Q96EB6_SIRT1.pdf</t>
  </si>
  <si>
    <t>Melting_Curves/meltCurve_Q96EC8_YIPF6.pdf</t>
  </si>
  <si>
    <t>Melting_Curves/meltCurve_Q96ED9_2_HOOK2.pdf</t>
  </si>
  <si>
    <t>Melting_Curves/meltCurve_Q96EE3_SEH1L.pdf</t>
  </si>
  <si>
    <t>Melting_Curves/meltCurve_Q96EF9_ZHX1_C8orf76.pdf</t>
  </si>
  <si>
    <t>Melting_Curves/meltCurve_Q96EH3_MALSU1.pdf</t>
  </si>
  <si>
    <t>Melting_Curves/meltCurve_Q96EK5_KIAA1279.pdf</t>
  </si>
  <si>
    <t>Melting_Curves/meltCurve_Q96EK6_GNPNAT1.pdf</t>
  </si>
  <si>
    <t>Melting_Curves/meltCurve_Q96EK9_KTI12.pdf</t>
  </si>
  <si>
    <t>Melting_Curves/meltCurve_Q96EL2_MRPS24.pdf</t>
  </si>
  <si>
    <t>Melting_Curves/meltCurve_Q96EL3_MRPL53.pdf</t>
  </si>
  <si>
    <t>Melting_Curves/meltCurve_Q96EM0_L3HYPDH.pdf</t>
  </si>
  <si>
    <t>Melting_Curves/meltCurve_Q96EN8_MOCOS.pdf</t>
  </si>
  <si>
    <t>Melting_Curves/meltCurve_Q96EP1_5_CHFR.pdf</t>
  </si>
  <si>
    <t>Melting_Curves/meltCurve_Q96EP5_DAZAP1.pdf</t>
  </si>
  <si>
    <t>Melting_Curves/meltCurve_Q96EP9_SLC10A4.pdf</t>
  </si>
  <si>
    <t>Melting_Curves/meltCurve_Q96EQ0_SGTB.pdf</t>
  </si>
  <si>
    <t>Melting_Curves/meltCurve_Q96ER3_SAAL1.pdf</t>
  </si>
  <si>
    <t>Melting_Curves/meltCurve_Q96ER9_CCDC51.pdf</t>
  </si>
  <si>
    <t>Melting_Curves/meltCurve_Q96ES7_CCDC101.pdf</t>
  </si>
  <si>
    <t>Melting_Curves/meltCurve_Q96EU6_2_RRP36.pdf</t>
  </si>
  <si>
    <t>Melting_Curves/meltCurve_Q96EU7_C1GALT1C1.pdf</t>
  </si>
  <si>
    <t>Melting_Curves/meltCurve_Q96EV2_RBM33.pdf</t>
  </si>
  <si>
    <t>Melting_Curves/meltCurve_Q96EV8_DTNBP1.pdf</t>
  </si>
  <si>
    <t>Melting_Curves/meltCurve_Q96EX1_SMIM12.pdf</t>
  </si>
  <si>
    <t>Melting_Curves/meltCurve_Q96EX3_WDR34.pdf</t>
  </si>
  <si>
    <t>Melting_Curves/meltCurve_Q96EY1_DNAJA3.pdf</t>
  </si>
  <si>
    <t>Melting_Curves/meltCurve_Q96EY5_MVB12A.pdf</t>
  </si>
  <si>
    <t>Melting_Curves/meltCurve_Q96EY7_PTCD3.pdf</t>
  </si>
  <si>
    <t>Melting_Curves/meltCurve_Q96EY8_MMAB.pdf</t>
  </si>
  <si>
    <t>Melting_Curves/meltCurve_Q96EY9_ADAT3.pdf</t>
  </si>
  <si>
    <t>Melting_Curves/meltCurve_Q96F24_2_NRBF2.pdf</t>
  </si>
  <si>
    <t>Melting_Curves/meltCurve_Q96F44_3_TRIM11.pdf</t>
  </si>
  <si>
    <t>Melting_Curves/meltCurve_Q96F46_IL17RA.pdf</t>
  </si>
  <si>
    <t>Melting_Curves/meltCurve_Q96F63_CCDC97.pdf</t>
  </si>
  <si>
    <t>Melting_Curves/meltCurve_Q96F86_EDC3.pdf</t>
  </si>
  <si>
    <t>Melting_Curves/meltCurve_Q96FB5_RRNAD1.pdf</t>
  </si>
  <si>
    <t>Melting_Curves/meltCurve_Q96FC9_4_DDX11.pdf</t>
  </si>
  <si>
    <t>Melting_Curves/meltCurve_Q96FH0_2_MEF2BNB.pdf</t>
  </si>
  <si>
    <t>Melting_Curves/meltCurve_Q96FJ2_DYNLL2.pdf</t>
  </si>
  <si>
    <t>Melting_Curves/meltCurve_Q96FK6_WDR89.pdf</t>
  </si>
  <si>
    <t>Melting_Curves/meltCurve_Q96FQ7_LINC00526.pdf</t>
  </si>
  <si>
    <t>Melting_Curves/meltCurve_Q96FS4_SIPA1.pdf</t>
  </si>
  <si>
    <t>Melting_Curves/meltCurve_Q96FV9_THOC1.pdf</t>
  </si>
  <si>
    <t>Melting_Curves/meltCurve_Q96FX2_DPH3.pdf</t>
  </si>
  <si>
    <t>Melting_Curves/meltCurve_Q96FX7_TRMT61A.pdf</t>
  </si>
  <si>
    <t>Melting_Curves/meltCurve_Q96FZ2_C3orf37.pdf</t>
  </si>
  <si>
    <t>Melting_Curves/meltCurve_Q96FZ7_CHMP6.pdf</t>
  </si>
  <si>
    <t>Melting_Curves/meltCurve_Q96G03_PGM2.pdf</t>
  </si>
  <si>
    <t>Melting_Curves/meltCurve_Q96G25_MED8.pdf</t>
  </si>
  <si>
    <t>Melting_Curves/meltCurve_Q96G28_CCDC104.pdf</t>
  </si>
  <si>
    <t>Melting_Curves/meltCurve_Q96G46_DUS3L.pdf</t>
  </si>
  <si>
    <t>Melting_Curves/meltCurve_Q96G74_3_OTUD5.pdf</t>
  </si>
  <si>
    <t>Melting_Curves/meltCurve_Q96GA3_LTV1.pdf</t>
  </si>
  <si>
    <t>Melting_Curves/meltCurve_Q96GA7_SDSL.pdf</t>
  </si>
  <si>
    <t>Melting_Curves/meltCurve_Q96GD0_PDXP.pdf</t>
  </si>
  <si>
    <t>Melting_Curves/meltCurve_Q96GF1_RNF185.pdf</t>
  </si>
  <si>
    <t>Melting_Curves/meltCurve_Q96GG9_DCUN1D1.pdf</t>
  </si>
  <si>
    <t>Melting_Curves/meltCurve_Q96GK7_FAHD2A.pdf</t>
  </si>
  <si>
    <t>Melting_Curves/meltCurve_Q96GM5_SMARCD1.pdf</t>
  </si>
  <si>
    <t>Melting_Curves/meltCurve_Q96GM8_TOE1.pdf</t>
  </si>
  <si>
    <t>Melting_Curves/meltCurve_Q96GQ7_DDX27.pdf</t>
  </si>
  <si>
    <t>Melting_Curves/meltCurve_Q96GS4_C17orf59.pdf</t>
  </si>
  <si>
    <t>Melting_Curves/meltCurve_Q96GU1_2_PAGE5.pdf</t>
  </si>
  <si>
    <t>Melting_Curves/meltCurve_Q96GV9_C5orf30.pdf</t>
  </si>
  <si>
    <t>Melting_Curves/meltCurve_Q96GW9_MARS2.pdf</t>
  </si>
  <si>
    <t>Melting_Curves/meltCurve_Q96GX2_ATXN7L3B.pdf</t>
  </si>
  <si>
    <t>Melting_Curves/meltCurve_Q96GX5_2_MASTL.pdf</t>
  </si>
  <si>
    <t>Melting_Curves/meltCurve_Q96H20_SNF8.pdf</t>
  </si>
  <si>
    <t>Melting_Curves/meltCurve_Q96H55_2_MYO19.pdf</t>
  </si>
  <si>
    <t>Melting_Curves/meltCurve_Q96HA4_4_C1orf159.pdf</t>
  </si>
  <si>
    <t>Melting_Curves/meltCurve_Q96HA7_2_TONSL.pdf</t>
  </si>
  <si>
    <t>Melting_Curves/meltCurve_Q96HC4_PDLIM5.pdf</t>
  </si>
  <si>
    <t>Melting_Curves/meltCurve_Q96HD1_CRELD1.pdf</t>
  </si>
  <si>
    <t>Melting_Curves/meltCurve_Q96HE7_ERO1L.pdf</t>
  </si>
  <si>
    <t>Melting_Curves/meltCurve_Q96HJ9_C7orf55.pdf</t>
  </si>
  <si>
    <t>Melting_Curves/meltCurve_Q96HR9_REEP6.pdf</t>
  </si>
  <si>
    <t>Melting_Curves/meltCurve_Q96HS1_PGAM5.pdf</t>
  </si>
  <si>
    <t>Melting_Curves/meltCurve_Q96HW7_INTS4.pdf</t>
  </si>
  <si>
    <t>Melting_Curves/meltCurve_Q96HY6_DDRGK1.pdf</t>
  </si>
  <si>
    <t>Melting_Curves/meltCurve_Q96I15_SCLY.pdf</t>
  </si>
  <si>
    <t>Melting_Curves/meltCurve_Q96I24_FUBP3.pdf</t>
  </si>
  <si>
    <t>Melting_Curves/meltCurve_Q96I25_RBM17.pdf</t>
  </si>
  <si>
    <t>Melting_Curves/meltCurve_Q96I34_PPP1R16A.pdf</t>
  </si>
  <si>
    <t>Melting_Curves/meltCurve_Q96I36_COX14.pdf</t>
  </si>
  <si>
    <t>Melting_Curves/meltCurve_Q96I51_WBSCR16.pdf</t>
  </si>
  <si>
    <t>Melting_Curves/meltCurve_Q96I59_NARS2.pdf</t>
  </si>
  <si>
    <t>Melting_Curves/meltCurve_Q96I99_SUCLG2.pdf</t>
  </si>
  <si>
    <t>Melting_Curves/meltCurve_Q96IJ6_GMPPA.pdf</t>
  </si>
  <si>
    <t>Melting_Curves/meltCurve_Q96IQ9_ZNF414.pdf</t>
  </si>
  <si>
    <t>Melting_Curves/meltCurve_Q96IU4_ABHD14B.pdf</t>
  </si>
  <si>
    <t>Melting_Curves/meltCurve_Q96IV0_NGLY1.pdf</t>
  </si>
  <si>
    <t>Melting_Curves/meltCurve_Q96IX5_USMG5.pdf</t>
  </si>
  <si>
    <t>Melting_Curves/meltCurve_Q96IY1_NSL1.pdf</t>
  </si>
  <si>
    <t>Melting_Curves/meltCurve_Q96IZ7_2_RSRC1.pdf</t>
  </si>
  <si>
    <t>Melting_Curves/meltCurve_Q96J01_THOC3.pdf</t>
  </si>
  <si>
    <t>Melting_Curves/meltCurve_Q96J02_2_ITCH.pdf</t>
  </si>
  <si>
    <t>Melting_Curves/meltCurve_Q96JA1_LRIG1.pdf</t>
  </si>
  <si>
    <t>Melting_Curves/meltCurve_Q96JB2_COG3.pdf</t>
  </si>
  <si>
    <t>Melting_Curves/meltCurve_Q96JB3_2_HIC2.pdf</t>
  </si>
  <si>
    <t>Melting_Curves/meltCurve_Q96JB5_2_CDK5RAP3.pdf</t>
  </si>
  <si>
    <t>Melting_Curves/meltCurve_Q96JC1_2_VPS39.pdf</t>
  </si>
  <si>
    <t>Melting_Curves/meltCurve_Q96JC9_EAF1.pdf</t>
  </si>
  <si>
    <t>Melting_Curves/meltCurve_Q96JG6_CCDC132.pdf</t>
  </si>
  <si>
    <t>Melting_Curves/meltCurve_Q96JH7_VCPIP1.pdf</t>
  </si>
  <si>
    <t>Melting_Curves/meltCurve_Q96JJ7_TMX3.pdf</t>
  </si>
  <si>
    <t>Melting_Curves/meltCurve_Q96JM3_CHAMP1.pdf</t>
  </si>
  <si>
    <t>Melting_Curves/meltCurve_Q96JP5_2_ZFP91.pdf</t>
  </si>
  <si>
    <t>Melting_Curves/meltCurve_Q96K17_BTF3L4.pdf</t>
  </si>
  <si>
    <t>Melting_Curves/meltCurve_Q96K19_2_RNF170.pdf</t>
  </si>
  <si>
    <t>Melting_Curves/meltCurve_Q96KA5_2_CLPTM1L.pdf</t>
  </si>
  <si>
    <t>Melting_Curves/meltCurve_Q96KB5_PBK.pdf</t>
  </si>
  <si>
    <t>Melting_Curves/meltCurve_Q96KC8_DNAJC1.pdf</t>
  </si>
  <si>
    <t>Melting_Curves/meltCurve_Q96KF7_SMIM8.pdf</t>
  </si>
  <si>
    <t>Melting_Curves/meltCurve_Q96KM6_ZNF512B.pdf</t>
  </si>
  <si>
    <t>Melting_Curves/meltCurve_Q96KP1_EXOC2.pdf</t>
  </si>
  <si>
    <t>Melting_Curves/meltCurve_Q96KP4_CNDP2.pdf</t>
  </si>
  <si>
    <t>Melting_Curves/meltCurve_Q96KR1_ZFR.pdf</t>
  </si>
  <si>
    <t>Melting_Curves/meltCurve_Q96L91_3_EP400.pdf</t>
  </si>
  <si>
    <t>Melting_Curves/meltCurve_Q96L92_3_SNX27.pdf</t>
  </si>
  <si>
    <t>Melting_Curves/meltCurve_Q96LA8_2_PRMT6.pdf</t>
  </si>
  <si>
    <t>Melting_Curves/meltCurve_Q96LB3_IFT74.pdf</t>
  </si>
  <si>
    <t>Melting_Curves/meltCurve_Q96LD4_TRIM47.pdf</t>
  </si>
  <si>
    <t>Melting_Curves/meltCurve_Q96LJ7_DHRS1.pdf</t>
  </si>
  <si>
    <t>Melting_Curves/meltCurve_Q96LJ8_UBXN10.pdf</t>
  </si>
  <si>
    <t>Melting_Curves/meltCurve_Q96LT7_C9orf72.pdf</t>
  </si>
  <si>
    <t>Melting_Curves/meltCurve_Q96M20_2_CNBD2.pdf</t>
  </si>
  <si>
    <t>Melting_Curves/meltCurve_Q96M27_PRRC1.pdf</t>
  </si>
  <si>
    <t>Melting_Curves/meltCurve_Q96MB7_HARBI1.pdf</t>
  </si>
  <si>
    <t>Melting_Curves/meltCurve_Q96MC6_HIAT1.pdf</t>
  </si>
  <si>
    <t>Melting_Curves/meltCurve_Q96ME1_4_FBXL18.pdf</t>
  </si>
  <si>
    <t>Melting_Curves/meltCurve_Q96MG7_NDNL2.pdf</t>
  </si>
  <si>
    <t>Melting_Curves/meltCurve_Q96MH2_HEXIM2.pdf</t>
  </si>
  <si>
    <t>Melting_Curves/meltCurve_Q96MH6_2_TMEM68.pdf</t>
  </si>
  <si>
    <t>Melting_Curves/meltCurve_Q96MX6_WDR92.pdf</t>
  </si>
  <si>
    <t>Melting_Curves/meltCurve_Q96N11_2_C7orf26.pdf</t>
  </si>
  <si>
    <t>Melting_Curves/meltCurve_Q96N21_2_ENTHD2.pdf</t>
  </si>
  <si>
    <t>Melting_Curves/meltCurve_Q96N46_TTC14.pdf</t>
  </si>
  <si>
    <t>Melting_Curves/meltCurve_Q96N66_2_MBOAT7.pdf</t>
  </si>
  <si>
    <t>Melting_Curves/meltCurve_Q96N67_4_DOCK7.pdf</t>
  </si>
  <si>
    <t>Melting_Curves/meltCurve_Q96NA2_RILP.pdf</t>
  </si>
  <si>
    <t>Melting_Curves/meltCurve_Q96NB1_FOPNL.pdf</t>
  </si>
  <si>
    <t>Melting_Curves/meltCurve_Q96NB2_SFXN2.pdf</t>
  </si>
  <si>
    <t>Melting_Curves/meltCurve_Q96NB3_ZNF830.pdf</t>
  </si>
  <si>
    <t>Melting_Curves/meltCurve_Q96NC0_ZMAT2.pdf</t>
  </si>
  <si>
    <t>Melting_Curves/meltCurve_Q96NL6_SCLT1.pdf</t>
  </si>
  <si>
    <t>Melting_Curves/meltCurve_Q96NT0_CCDC115.pdf</t>
  </si>
  <si>
    <t>Melting_Curves/meltCurve_Q96NT1_NAP1L5.pdf</t>
  </si>
  <si>
    <t>Melting_Curves/meltCurve_Q96NW4_ANKRD27.pdf</t>
  </si>
  <si>
    <t>Melting_Curves/meltCurve_Q96P11_2_NSUN5.pdf</t>
  </si>
  <si>
    <t>Melting_Curves/meltCurve_Q96P16_3_RPRD1A.pdf</t>
  </si>
  <si>
    <t>Melting_Curves/meltCurve_Q96P47_AGAP3.pdf</t>
  </si>
  <si>
    <t>Melting_Curves/meltCurve_Q96P48_3_ARAP1.pdf</t>
  </si>
  <si>
    <t>Melting_Curves/meltCurve_Q96P70_IPO9.pdf</t>
  </si>
  <si>
    <t>Melting_Curves/meltCurve_Q96PD2_DCBLD2.pdf</t>
  </si>
  <si>
    <t>Melting_Curves/meltCurve_Q96PE7_MCEE.pdf</t>
  </si>
  <si>
    <t>Melting_Curves/meltCurve_Q96PG8_1_BBC3.pdf</t>
  </si>
  <si>
    <t>Melting_Curves/meltCurve_Q96PK6_RBM14.pdf</t>
  </si>
  <si>
    <t>Melting_Curves/meltCurve_Q96PL5_ERMAP.pdf</t>
  </si>
  <si>
    <t>Melting_Curves/meltCurve_Q96PM5_RCHY1.pdf</t>
  </si>
  <si>
    <t>Melting_Curves/meltCurve_Q96PU5_2_NEDD4L.pdf</t>
  </si>
  <si>
    <t>Melting_Curves/meltCurve_Q96PU8_5_QKI.pdf</t>
  </si>
  <si>
    <t>Melting_Curves/meltCurve_Q96PU8_9_QKI.pdf</t>
  </si>
  <si>
    <t>Melting_Curves/meltCurve_Q96PY6_4_NEK1.pdf</t>
  </si>
  <si>
    <t>Melting_Curves/meltCurve_Q96PZ0_PUS7.pdf</t>
  </si>
  <si>
    <t>Melting_Curves/meltCurve_Q96Q11_2_TRNT1.pdf</t>
  </si>
  <si>
    <t>Melting_Curves/meltCurve_Q96Q45_2_TMEM237.pdf</t>
  </si>
  <si>
    <t>Melting_Curves/meltCurve_Q96Q83_ALKBH3.pdf</t>
  </si>
  <si>
    <t>Melting_Curves/meltCurve_Q96QC0_PPP1R10.pdf</t>
  </si>
  <si>
    <t>Melting_Curves/meltCurve_Q96QC4_MICA.pdf</t>
  </si>
  <si>
    <t>Melting_Curves/meltCurve_Q96QD5_2_DEPDC7.pdf</t>
  </si>
  <si>
    <t>Melting_Curves/meltCurve_Q96QG7_MTMR9.pdf</t>
  </si>
  <si>
    <t>Melting_Curves/meltCurve_Q96QK1_VPS35.pdf</t>
  </si>
  <si>
    <t>Melting_Curves/meltCurve_Q96QR8_PURB.pdf</t>
  </si>
  <si>
    <t>Melting_Curves/meltCurve_Q96QU8_XPO6.pdf</t>
  </si>
  <si>
    <t>Melting_Curves/meltCurve_Q96QZ7_6_MAGI1.pdf</t>
  </si>
  <si>
    <t>Melting_Curves/meltCurve_Q96R06_SPAG5.pdf</t>
  </si>
  <si>
    <t>Melting_Curves/meltCurve_Q96RE7_NACC1.pdf</t>
  </si>
  <si>
    <t>Melting_Curves/meltCurve_Q96RF0_3_SNX18.pdf</t>
  </si>
  <si>
    <t>Melting_Curves/meltCurve_Q96RL1_UIMC1.pdf</t>
  </si>
  <si>
    <t>Melting_Curves/meltCurve_Q96RL7_4_VPS13A.pdf</t>
  </si>
  <si>
    <t>Melting_Curves/meltCurve_Q96RN5_3_MED15.pdf</t>
  </si>
  <si>
    <t>Melting_Curves/meltCurve_Q96RP9_GFM1.pdf</t>
  </si>
  <si>
    <t>Melting_Curves/meltCurve_Q96RR1_PEO1.pdf</t>
  </si>
  <si>
    <t>Melting_Curves/meltCurve_Q96RR4_6_CAMKK2.pdf</t>
  </si>
  <si>
    <t>Melting_Curves/meltCurve_Q96RS0_TGS1.pdf</t>
  </si>
  <si>
    <t>Melting_Curves/meltCurve_Q96RS6_NUDCD1.pdf</t>
  </si>
  <si>
    <t>Melting_Curves/meltCurve_Q96RT1_9_ERBB2IP.pdf</t>
  </si>
  <si>
    <t>Melting_Curves/meltCurve_Q96RU3_4_FNBP1.pdf</t>
  </si>
  <si>
    <t>Melting_Curves/meltCurve_Q96S19_3_C16orf13.pdf</t>
  </si>
  <si>
    <t>Melting_Curves/meltCurve_Q96S38_RPS6KC1.pdf</t>
  </si>
  <si>
    <t>Melting_Curves/meltCurve_Q96S44_TP53RK.pdf</t>
  </si>
  <si>
    <t>Melting_Curves/meltCurve_Q96S52_PIGS.pdf</t>
  </si>
  <si>
    <t>Melting_Curves/meltCurve_Q96S55_2_WRNIP1.pdf</t>
  </si>
  <si>
    <t>Melting_Curves/meltCurve_Q96S59_RANBP9.pdf</t>
  </si>
  <si>
    <t>Melting_Curves/meltCurve_Q96S66_CLCC1.pdf</t>
  </si>
  <si>
    <t>Melting_Curves/meltCurve_Q96S82_UBL7.pdf</t>
  </si>
  <si>
    <t>Melting_Curves/meltCurve_Q96S94_CCNL2.pdf</t>
  </si>
  <si>
    <t>Melting_Curves/meltCurve_Q96S99_PLEKHF1.pdf</t>
  </si>
  <si>
    <t>Melting_Curves/meltCurve_Q96SB8_SMC6.pdf</t>
  </si>
  <si>
    <t>Melting_Curves/meltCurve_Q96SI1_KCTD15.pdf</t>
  </si>
  <si>
    <t>Melting_Curves/meltCurve_Q96SK2_2_TMEM209.pdf</t>
  </si>
  <si>
    <t>Melting_Curves/meltCurve_Q96SQ9_CYP2S1.pdf</t>
  </si>
  <si>
    <t>Melting_Curves/meltCurve_Q96ST2_3_IWS1.pdf</t>
  </si>
  <si>
    <t>Melting_Curves/meltCurve_Q96ST3_SIN3A.pdf</t>
  </si>
  <si>
    <t>Melting_Curves/meltCurve_Q96SZ5_ADO.pdf</t>
  </si>
  <si>
    <t>Melting_Curves/meltCurve_Q96SZ6_2_CDK5RAP1.pdf</t>
  </si>
  <si>
    <t>Melting_Curves/meltCurve_Q96T37_2_RBM15.pdf</t>
  </si>
  <si>
    <t>Melting_Curves/meltCurve_Q96T51_RUFY1.pdf</t>
  </si>
  <si>
    <t>Melting_Curves/meltCurve_Q96T58_SPEN.pdf</t>
  </si>
  <si>
    <t>Melting_Curves/meltCurve_Q96T60_PNKP.pdf</t>
  </si>
  <si>
    <t>Melting_Curves/meltCurve_Q96T76_MMS19.pdf</t>
  </si>
  <si>
    <t>Melting_Curves/meltCurve_Q96T88_UHRF1.pdf</t>
  </si>
  <si>
    <t>Melting_Curves/meltCurve_Q96TA1_2_FAM129B.pdf</t>
  </si>
  <si>
    <t>Melting_Curves/meltCurve_Q96TA2_3_YME1L1.pdf</t>
  </si>
  <si>
    <t>Melting_Curves/meltCurve_Q96TC7_RMDN3.pdf</t>
  </si>
  <si>
    <t>Melting_Curves/meltCurve_Q99081_TCF12.pdf</t>
  </si>
  <si>
    <t>Melting_Curves/meltCurve_Q99417_MYCBP.pdf</t>
  </si>
  <si>
    <t>Melting_Curves/meltCurve_Q99426_TBCB.pdf</t>
  </si>
  <si>
    <t>Melting_Curves/meltCurve_Q99436_PSMB7.pdf</t>
  </si>
  <si>
    <t>Melting_Curves/meltCurve_Q99447_PCYT2.pdf</t>
  </si>
  <si>
    <t>Melting_Curves/meltCurve_Q99459_CDC5L.pdf</t>
  </si>
  <si>
    <t>Melting_Curves/meltCurve_Q99460_PSMD1.pdf</t>
  </si>
  <si>
    <t>Melting_Curves/meltCurve_Q99470_SDF2.pdf</t>
  </si>
  <si>
    <t>Melting_Curves/meltCurve_Q99471_PFDN5.pdf</t>
  </si>
  <si>
    <t>Melting_Curves/meltCurve_Q99487_PAFAH2.pdf</t>
  </si>
  <si>
    <t>Melting_Curves/meltCurve_Q99496_RNF2.pdf</t>
  </si>
  <si>
    <t>Melting_Curves/meltCurve_Q99497_PARK7.pdf</t>
  </si>
  <si>
    <t>Melting_Curves/meltCurve_Q99501_GAS2L1.pdf</t>
  </si>
  <si>
    <t>Melting_Curves/meltCurve_Q99504_2_EYA3.pdf</t>
  </si>
  <si>
    <t>Melting_Curves/meltCurve_Q99519_NEU1.pdf</t>
  </si>
  <si>
    <t>Melting_Curves/meltCurve_Q99523_SORT1.pdf</t>
  </si>
  <si>
    <t>Melting_Curves/meltCurve_Q99536_VAT1.pdf</t>
  </si>
  <si>
    <t>Melting_Curves/meltCurve_Q99541_PLIN2.pdf</t>
  </si>
  <si>
    <t>Melting_Curves/meltCurve_Q99543_DNAJC2.pdf</t>
  </si>
  <si>
    <t>Melting_Curves/meltCurve_Q99543_2_DNAJC2.pdf</t>
  </si>
  <si>
    <t>Melting_Curves/meltCurve_Q99549_MPHOSPH8.pdf</t>
  </si>
  <si>
    <t>Melting_Curves/meltCurve_Q99567_NUP88.pdf</t>
  </si>
  <si>
    <t>Melting_Curves/meltCurve_Q99569_2_PKP4.pdf</t>
  </si>
  <si>
    <t>Melting_Curves/meltCurve_Q99570_PIK3R4.pdf</t>
  </si>
  <si>
    <t>Melting_Curves/meltCurve_Q99575_POP1.pdf</t>
  </si>
  <si>
    <t>Melting_Curves/meltCurve_Q99583_MNT.pdf</t>
  </si>
  <si>
    <t>Melting_Curves/meltCurve_Q99584_S100A13.pdf</t>
  </si>
  <si>
    <t>Melting_Curves/meltCurve_Q99598_TSNAX.pdf</t>
  </si>
  <si>
    <t>Melting_Curves/meltCurve_Q99614_TTC1.pdf</t>
  </si>
  <si>
    <t>Melting_Curves/meltCurve_Q99615_DNAJC7.pdf</t>
  </si>
  <si>
    <t>Melting_Curves/meltCurve_Q99618_CDCA3.pdf</t>
  </si>
  <si>
    <t>Melting_Curves/meltCurve_Q99622_C12orf57.pdf</t>
  </si>
  <si>
    <t>Melting_Curves/meltCurve_Q99633_PRPF18.pdf</t>
  </si>
  <si>
    <t>Melting_Curves/meltCurve_Q99640_4_PKMYT1.pdf</t>
  </si>
  <si>
    <t>Melting_Curves/meltCurve_Q99653_CHP1.pdf</t>
  </si>
  <si>
    <t>Melting_Curves/meltCurve_Q99661_KIF2C.pdf</t>
  </si>
  <si>
    <t>Melting_Curves/meltCurve_Q99700_4_ATXN2.pdf</t>
  </si>
  <si>
    <t>Melting_Curves/meltCurve_Q99704_DOK1.pdf</t>
  </si>
  <si>
    <t>Melting_Curves/meltCurve_Q99707_MTR.pdf</t>
  </si>
  <si>
    <t>Melting_Curves/meltCurve_Q99714_HSD17B10.pdf</t>
  </si>
  <si>
    <t>Melting_Curves/meltCurve_Q99720_4_SIGMAR1.pdf</t>
  </si>
  <si>
    <t>Melting_Curves/meltCurve_Q99733_NAP1L4.pdf</t>
  </si>
  <si>
    <t>Melting_Curves/meltCurve_Q99735_2_MGST2.pdf</t>
  </si>
  <si>
    <t>Melting_Curves/meltCurve_Q99747_NAPG.pdf</t>
  </si>
  <si>
    <t>Melting_Curves/meltCurve_Q99757_TXN2.pdf</t>
  </si>
  <si>
    <t>Melting_Curves/meltCurve_Q99766_ATP5S.pdf</t>
  </si>
  <si>
    <t>Melting_Curves/meltCurve_Q99767_2_APBA2.pdf</t>
  </si>
  <si>
    <t>Melting_Curves/meltCurve_Q99797_MIPEP.pdf</t>
  </si>
  <si>
    <t>Melting_Curves/meltCurve_Q99805_TM9SF2.pdf</t>
  </si>
  <si>
    <t>Melting_Curves/meltCurve_Q99808_SLC29A1.pdf</t>
  </si>
  <si>
    <t>Melting_Curves/meltCurve_Q99828_CIB1.pdf</t>
  </si>
  <si>
    <t>Melting_Curves/meltCurve_Q99832_CCT7.pdf</t>
  </si>
  <si>
    <t>Melting_Curves/meltCurve_Q99856_ARID3A.pdf</t>
  </si>
  <si>
    <t>Melting_Curves/meltCurve_Q99871_3_HAUS7.pdf</t>
  </si>
  <si>
    <t>Melting_Curves/meltCurve_Q99878_HIST1H2AJ.pdf</t>
  </si>
  <si>
    <t>Melting_Curves/meltCurve_Q99952_PTPN18.pdf</t>
  </si>
  <si>
    <t>Melting_Curves/meltCurve_Q99956_DUSP9.pdf</t>
  </si>
  <si>
    <t>Melting_Curves/meltCurve_Q99961_SH3GL1.pdf</t>
  </si>
  <si>
    <t>Melting_Curves/meltCurve_Q99963_4_SH3GL3.pdf</t>
  </si>
  <si>
    <t>Melting_Curves/meltCurve_Q99986_VRK1.pdf</t>
  </si>
  <si>
    <t>Melting_Curves/meltCurve_Q99988_GDF15.pdf</t>
  </si>
  <si>
    <t>Melting_Curves/meltCurve_Q99996_4_AKAP9.pdf</t>
  </si>
  <si>
    <t>Melting_Curves/meltCurve_Q9BPW8_NIPSNAP1.pdf</t>
  </si>
  <si>
    <t>Melting_Curves/meltCurve_Q9BPX3_NCAPG.pdf</t>
  </si>
  <si>
    <t>Melting_Curves/meltCurve_Q9BPX5_ARPC5L.pdf</t>
  </si>
  <si>
    <t>Melting_Curves/meltCurve_Q9BPZ3_PAIP2.pdf</t>
  </si>
  <si>
    <t>Melting_Curves/meltCurve_Q9BQ52_ELAC2.pdf</t>
  </si>
  <si>
    <t>Melting_Curves/meltCurve_Q9BQ61_C19orf43.pdf</t>
  </si>
  <si>
    <t>Melting_Curves/meltCurve_Q9BQ67_GRWD1.pdf</t>
  </si>
  <si>
    <t>Melting_Curves/meltCurve_Q9BQ69_MACROD1.pdf</t>
  </si>
  <si>
    <t>Melting_Curves/meltCurve_Q9BQ70_TCF25.pdf</t>
  </si>
  <si>
    <t>Melting_Curves/meltCurve_Q9BQ90_KLHDC3.pdf</t>
  </si>
  <si>
    <t>Melting_Curves/meltCurve_Q9BQ95_ECSIT.pdf</t>
  </si>
  <si>
    <t>Melting_Curves/meltCurve_Q9BQA1_WDR77.pdf</t>
  </si>
  <si>
    <t>Melting_Curves/meltCurve_Q9BQA9_2_C17orf62.pdf</t>
  </si>
  <si>
    <t>Melting_Curves/meltCurve_Q9BQC3_DPH2.pdf</t>
  </si>
  <si>
    <t>Melting_Curves/meltCurve_Q9BQG2_NUDT12.pdf</t>
  </si>
  <si>
    <t>Melting_Curves/meltCurve_Q9BQI3_2_EIF2AK1.pdf</t>
  </si>
  <si>
    <t>Melting_Curves/meltCurve_Q9BQK8_2_LPIN3.pdf</t>
  </si>
  <si>
    <t>Melting_Curves/meltCurve_Q9BQP7_MGME1.pdf</t>
  </si>
  <si>
    <t>Melting_Curves/meltCurve_Q9BQQ3_GORASP1.pdf</t>
  </si>
  <si>
    <t>Melting_Curves/meltCurve_Q9BQS7_2_HEPH.pdf</t>
  </si>
  <si>
    <t>Melting_Curves/meltCurve_Q9BQS8_FYCO1.pdf</t>
  </si>
  <si>
    <t>Melting_Curves/meltCurve_Q9BQT8_2_SLC25A21.pdf</t>
  </si>
  <si>
    <t>Melting_Curves/meltCurve_Q9BQY4_RHOXF2.pdf</t>
  </si>
  <si>
    <t>Melting_Curves/meltCurve_Q9BR61_ACBD6.pdf</t>
  </si>
  <si>
    <t>Melting_Curves/meltCurve_Q9BR76_CORO1B.pdf</t>
  </si>
  <si>
    <t>Melting_Curves/meltCurve_Q9BRA2_TXNDC17.pdf</t>
  </si>
  <si>
    <t>Melting_Curves/meltCurve_Q9BRD0_BUD13.pdf</t>
  </si>
  <si>
    <t>Melting_Curves/meltCurve_Q9BRF8_CPPED1.pdf</t>
  </si>
  <si>
    <t>Melting_Curves/meltCurve_Q9BRG1_VPS25.pdf</t>
  </si>
  <si>
    <t>Melting_Curves/meltCurve_Q9BRJ2_MRPL45.pdf</t>
  </si>
  <si>
    <t>Melting_Curves/meltCurve_Q9BRK5_SDF4.pdf</t>
  </si>
  <si>
    <t>Melting_Curves/meltCurve_Q9BRL6_2_SRSF8.pdf</t>
  </si>
  <si>
    <t>Melting_Curves/meltCurve_Q9BRP1_PDCD2L.pdf</t>
  </si>
  <si>
    <t>Melting_Curves/meltCurve_Q9BRP4_PAAF1.pdf</t>
  </si>
  <si>
    <t>Melting_Curves/meltCurve_Q9BRP8_2_WIBG.pdf</t>
  </si>
  <si>
    <t>Melting_Curves/meltCurve_Q9BRQ8_AIFM2.pdf</t>
  </si>
  <si>
    <t>Melting_Curves/meltCurve_Q9BRR0_ZKSCAN3.pdf</t>
  </si>
  <si>
    <t>Melting_Curves/meltCurve_Q9BRR6_2_ADPGK.pdf</t>
  </si>
  <si>
    <t>Melting_Curves/meltCurve_Q9BRR8_GPATCH1.pdf</t>
  </si>
  <si>
    <t>Melting_Curves/meltCurve_Q9BRS2_RIOK1.pdf</t>
  </si>
  <si>
    <t>Melting_Curves/meltCurve_Q9BRT2_MNF1.pdf</t>
  </si>
  <si>
    <t>Melting_Curves/meltCurve_Q9BRT3_MIEN1.pdf</t>
  </si>
  <si>
    <t>Melting_Curves/meltCurve_Q9BRT9_GINS4.pdf</t>
  </si>
  <si>
    <t>Melting_Curves/meltCurve_Q9BRV8_SIKE1.pdf</t>
  </si>
  <si>
    <t>Melting_Curves/meltCurve_Q9BRX2_PELO.pdf</t>
  </si>
  <si>
    <t>Melting_Curves/meltCurve_Q9BRX5_GINS3.pdf</t>
  </si>
  <si>
    <t>Melting_Curves/meltCurve_Q9BRZ2_TRIM56.pdf</t>
  </si>
  <si>
    <t>Melting_Curves/meltCurve_Q9BS18_ANAPC13.pdf</t>
  </si>
  <si>
    <t>Melting_Curves/meltCurve_Q9BS26_ERP44.pdf</t>
  </si>
  <si>
    <t>Melting_Curves/meltCurve_Q9BSB4_ATG101.pdf</t>
  </si>
  <si>
    <t>Melting_Curves/meltCurve_Q9BSD7_NTPCR.pdf</t>
  </si>
  <si>
    <t>Melting_Curves/meltCurve_Q9BSF4_C19orf52.pdf</t>
  </si>
  <si>
    <t>Melting_Curves/meltCurve_Q9BSG0_PRADC1.pdf</t>
  </si>
  <si>
    <t>Melting_Curves/meltCurve_Q9BSH4_TACO1.pdf</t>
  </si>
  <si>
    <t>Melting_Curves/meltCurve_Q9BSH5_HDHD3.pdf</t>
  </si>
  <si>
    <t>Melting_Curves/meltCurve_Q9BSJ2_TUBGCP2.pdf</t>
  </si>
  <si>
    <t>Melting_Curves/meltCurve_Q9BSJ5_C17orf80.pdf</t>
  </si>
  <si>
    <t>Melting_Curves/meltCurve_Q9BSJ8_2_ESYT1.pdf</t>
  </si>
  <si>
    <t>Melting_Curves/meltCurve_Q9BSK2_SLC25A33.pdf</t>
  </si>
  <si>
    <t>Melting_Curves/meltCurve_Q9BSK4_FEM1A.pdf</t>
  </si>
  <si>
    <t>Melting_Curves/meltCurve_Q9BSL1_UBAC1.pdf</t>
  </si>
  <si>
    <t>Melting_Curves/meltCurve_Q9BSR8_YIPF4.pdf</t>
  </si>
  <si>
    <t>Melting_Curves/meltCurve_Q9BSU3_NAA11.pdf</t>
  </si>
  <si>
    <t>Melting_Curves/meltCurve_Q9BSV6_TSEN34.pdf</t>
  </si>
  <si>
    <t>Melting_Curves/meltCurve_Q9BSW2_2_EFCAB4B.pdf</t>
  </si>
  <si>
    <t>Melting_Curves/meltCurve_Q9BSY4_CHCHD5.pdf</t>
  </si>
  <si>
    <t>Melting_Curves/meltCurve_Q9BT09_CNPY3.pdf</t>
  </si>
  <si>
    <t>Melting_Curves/meltCurve_Q9BT22_ALG1.pdf</t>
  </si>
  <si>
    <t>Melting_Curves/meltCurve_Q9BT23_LIMD2.pdf</t>
  </si>
  <si>
    <t>Melting_Curves/meltCurve_Q9BT25_2_HAUS8.pdf</t>
  </si>
  <si>
    <t>Melting_Curves/meltCurve_Q9BT30_ALKBH7.pdf</t>
  </si>
  <si>
    <t>Melting_Curves/meltCurve_Q9BT67_NDFIP1.pdf</t>
  </si>
  <si>
    <t>Melting_Curves/meltCurve_Q9BT73_PSMG3.pdf</t>
  </si>
  <si>
    <t>Melting_Curves/meltCurve_Q9BT78_COPS4.pdf</t>
  </si>
  <si>
    <t>Melting_Curves/meltCurve_Q9BTA9_2_WAC.pdf</t>
  </si>
  <si>
    <t>Melting_Curves/meltCurve_Q9BTC0_DIDO1.pdf</t>
  </si>
  <si>
    <t>Melting_Curves/meltCurve_Q9BTE3_2_MCMBP.pdf</t>
  </si>
  <si>
    <t>Melting_Curves/meltCurve_Q9BTE7_DCUN1D5.pdf</t>
  </si>
  <si>
    <t>Melting_Curves/meltCurve_Q9BTF0_THUMPD2.pdf</t>
  </si>
  <si>
    <t>Melting_Curves/meltCurve_Q9BTL3_FAM103A1.pdf</t>
  </si>
  <si>
    <t>Melting_Curves/meltCurve_Q9BTT0_ANP32E.pdf</t>
  </si>
  <si>
    <t>Melting_Curves/meltCurve_Q9BTT4_MED10.pdf</t>
  </si>
  <si>
    <t>Melting_Curves/meltCurve_Q9BTU6_PI4K2A.pdf</t>
  </si>
  <si>
    <t>Melting_Curves/meltCurve_Q9BTV4_TMEM43.pdf</t>
  </si>
  <si>
    <t>Melting_Curves/meltCurve_Q9BTV6_WDR85.pdf</t>
  </si>
  <si>
    <t>Melting_Curves/meltCurve_Q9BTY2_FUCA2.pdf</t>
  </si>
  <si>
    <t>Melting_Curves/meltCurve_Q9BTY7_FAM203A.pdf</t>
  </si>
  <si>
    <t>Melting_Curves/meltCurve_Q9BTZ2_8_DHRS4.pdf</t>
  </si>
  <si>
    <t>Melting_Curves/meltCurve_Q9BU61_NDUFAF3.pdf</t>
  </si>
  <si>
    <t>Melting_Curves/meltCurve_Q9BU76_4_MMTAG2.pdf</t>
  </si>
  <si>
    <t>Melting_Curves/meltCurve_Q9BU89_DOHH.pdf</t>
  </si>
  <si>
    <t>Melting_Curves/meltCurve_Q9BUA3_C11orf84.pdf</t>
  </si>
  <si>
    <t>Melting_Curves/meltCurve_Q9BUB4_2_ADAT1.pdf</t>
  </si>
  <si>
    <t>Melting_Curves/meltCurve_Q9BUB5_2_MKNK1.pdf</t>
  </si>
  <si>
    <t>Melting_Curves/meltCurve_Q9BUE0_MED18.pdf</t>
  </si>
  <si>
    <t>Melting_Curves/meltCurve_Q9BUE6_ISCA1.pdf</t>
  </si>
  <si>
    <t>Melting_Curves/meltCurve_Q9BUF5_TUBB6.pdf</t>
  </si>
  <si>
    <t>Melting_Curves/meltCurve_Q9BUH6_C9orf142.pdf</t>
  </si>
  <si>
    <t>Melting_Curves/meltCurve_Q9BUI4_POLR3C.pdf</t>
  </si>
  <si>
    <t>Melting_Curves/meltCurve_Q9BUJ2_2_HNRNPUL1.pdf</t>
  </si>
  <si>
    <t>Melting_Curves/meltCurve_Q9BUK6_3_MSTO1.pdf</t>
  </si>
  <si>
    <t>Melting_Curves/meltCurve_Q9BUL9_RPP25.pdf</t>
  </si>
  <si>
    <t>Melting_Curves/meltCurve_Q9BUN5_CCDC28B.pdf</t>
  </si>
  <si>
    <t>Melting_Curves/meltCurve_Q9BUP3_3_HTATIP2.pdf</t>
  </si>
  <si>
    <t>Melting_Curves/meltCurve_Q9BUQ8_DDX23.pdf</t>
  </si>
  <si>
    <t>Melting_Curves/meltCurve_Q9BUR4_WRAP53.pdf</t>
  </si>
  <si>
    <t>Melting_Curves/meltCurve_Q9BUT1_BDH2.pdf</t>
  </si>
  <si>
    <t>Melting_Curves/meltCurve_Q9BUT9_FAM195A.pdf</t>
  </si>
  <si>
    <t>Melting_Curves/meltCurve_Q9BUW7_C9orf16.pdf</t>
  </si>
  <si>
    <t>Melting_Curves/meltCurve_Q9BUZ4_TRAF4.pdf</t>
  </si>
  <si>
    <t>Melting_Curves/meltCurve_Q9BV19_C1orf50.pdf</t>
  </si>
  <si>
    <t>Melting_Curves/meltCurve_Q9BV20_MRI1.pdf</t>
  </si>
  <si>
    <t>Melting_Curves/meltCurve_Q9BV23_ABHD6.pdf</t>
  </si>
  <si>
    <t>Melting_Curves/meltCurve_Q9BV38_WDR18.pdf</t>
  </si>
  <si>
    <t>Melting_Curves/meltCurve_Q9BV40_VAMP8.pdf</t>
  </si>
  <si>
    <t>Melting_Curves/meltCurve_Q9BV44_THUMPD3.pdf</t>
  </si>
  <si>
    <t>Melting_Curves/meltCurve_Q9BV57_ADI1.pdf</t>
  </si>
  <si>
    <t>Melting_Curves/meltCurve_Q9BV68_2_RNF126.pdf</t>
  </si>
  <si>
    <t>Melting_Curves/meltCurve_Q9BV73_2_CEP250.pdf</t>
  </si>
  <si>
    <t>Melting_Curves/meltCurve_Q9BV79_MECR.pdf</t>
  </si>
  <si>
    <t>Melting_Curves/meltCurve_Q9BV81_EMC6.pdf</t>
  </si>
  <si>
    <t>Melting_Curves/meltCurve_Q9BV86_NTMT1.pdf</t>
  </si>
  <si>
    <t>Melting_Curves/meltCurve_Q9BVA0_KATNB1.pdf</t>
  </si>
  <si>
    <t>Melting_Curves/meltCurve_Q9BVA1_TUBB2B.pdf</t>
  </si>
  <si>
    <t>Melting_Curves/meltCurve_Q9BVC3_DSCC1.pdf</t>
  </si>
  <si>
    <t>Melting_Curves/meltCurve_Q9BVC5_C2orf49.pdf</t>
  </si>
  <si>
    <t>Melting_Curves/meltCurve_Q9BVC6_TMEM109.pdf</t>
  </si>
  <si>
    <t>Melting_Curves/meltCurve_Q9BVG4_PBDC1.pdf</t>
  </si>
  <si>
    <t>Melting_Curves/meltCurve_Q9BVG9_PTDSS2.pdf</t>
  </si>
  <si>
    <t>Melting_Curves/meltCurve_Q9BVI4_NOC4L.pdf</t>
  </si>
  <si>
    <t>Melting_Curves/meltCurve_Q9BVJ6_3_UTP14A.pdf</t>
  </si>
  <si>
    <t>Melting_Curves/meltCurve_Q9BVJ7_DUSP23.pdf</t>
  </si>
  <si>
    <t>Melting_Curves/meltCurve_Q9BVK6_TMED9.pdf</t>
  </si>
  <si>
    <t>Melting_Curves/meltCurve_Q9BVL4_SELO.pdf</t>
  </si>
  <si>
    <t>Melting_Curves/meltCurve_Q9BVM2_DPCD.pdf</t>
  </si>
  <si>
    <t>Melting_Curves/meltCurve_Q9BVQ7_SPATA5L1.pdf</t>
  </si>
  <si>
    <t>Melting_Curves/meltCurve_Q9BVS4_RIOK2.pdf</t>
  </si>
  <si>
    <t>Melting_Curves/meltCurve_Q9BVS5_TRMT61B.pdf</t>
  </si>
  <si>
    <t>Melting_Curves/meltCurve_Q9BVV7_TIMM21.pdf</t>
  </si>
  <si>
    <t>Melting_Curves/meltCurve_Q9BW04_SARG.pdf</t>
  </si>
  <si>
    <t>Melting_Curves/meltCurve_Q9BW19_KIFC1.pdf</t>
  </si>
  <si>
    <t>Melting_Curves/meltCurve_Q9BW27_NUP85.pdf</t>
  </si>
  <si>
    <t>Melting_Curves/meltCurve_Q9BW60_ELOVL1.pdf</t>
  </si>
  <si>
    <t>Melting_Curves/meltCurve_Q9BW61_DDA1.pdf</t>
  </si>
  <si>
    <t>Melting_Curves/meltCurve_Q9BW71_2_HIRIP3.pdf</t>
  </si>
  <si>
    <t>Melting_Curves/meltCurve_Q9BW85_CCDC94.pdf</t>
  </si>
  <si>
    <t>Melting_Curves/meltCurve_Q9BW91_2_NUDT9.pdf</t>
  </si>
  <si>
    <t>Melting_Curves/meltCurve_Q9BW92_TARS2.pdf</t>
  </si>
  <si>
    <t>Melting_Curves/meltCurve_Q9BWD1_ACAT2.pdf</t>
  </si>
  <si>
    <t>Melting_Curves/meltCurve_Q9BWE0_REPIN1.pdf</t>
  </si>
  <si>
    <t>Melting_Curves/meltCurve_Q9BWF3_RBM4.pdf</t>
  </si>
  <si>
    <t>Melting_Curves/meltCurve_Q9BWG6_SCNM1.pdf</t>
  </si>
  <si>
    <t>Melting_Curves/meltCurve_Q9BWH2_FUNDC2.pdf</t>
  </si>
  <si>
    <t>Melting_Curves/meltCurve_Q9BWH6_RPAP1.pdf</t>
  </si>
  <si>
    <t>Melting_Curves/meltCurve_Q9BWJ5_SF3B5.pdf</t>
  </si>
  <si>
    <t>Melting_Curves/meltCurve_Q9BWM7_SFXN3.pdf</t>
  </si>
  <si>
    <t>Melting_Curves/meltCurve_Q9BWT3_PAPOLG.pdf</t>
  </si>
  <si>
    <t>Melting_Curves/meltCurve_Q9BWT6_MND1.pdf</t>
  </si>
  <si>
    <t>Melting_Curves/meltCurve_Q9BWU0_SLC4A1AP.pdf</t>
  </si>
  <si>
    <t>Melting_Curves/meltCurve_Q9BWW4_2_SSBP3.pdf</t>
  </si>
  <si>
    <t>Melting_Curves/meltCurve_Q9BWW5_SSDP4.pdf</t>
  </si>
  <si>
    <t>Melting_Curves/meltCurve_Q9BX10_2_GTPBP2.pdf</t>
  </si>
  <si>
    <t>Melting_Curves/meltCurve_Q9BX40_LSM14B.pdf</t>
  </si>
  <si>
    <t>Melting_Curves/meltCurve_Q9BX63_BRIP1.pdf</t>
  </si>
  <si>
    <t>Melting_Curves/meltCurve_Q9BX66_9_SORBS1.pdf</t>
  </si>
  <si>
    <t>Melting_Curves/meltCurve_Q9BX68_HINT2.pdf</t>
  </si>
  <si>
    <t>Melting_Curves/meltCurve_Q9BX69_CARD6.pdf</t>
  </si>
  <si>
    <t>Melting_Curves/meltCurve_Q9BX95_SGPP1.pdf</t>
  </si>
  <si>
    <t>Melting_Curves/meltCurve_Q9BXB4_OSBPL11.pdf</t>
  </si>
  <si>
    <t>Melting_Curves/meltCurve_Q9BXH1_BBC3.pdf</t>
  </si>
  <si>
    <t>Melting_Curves/meltCurve_Q9BXJ9_NAA15.pdf</t>
  </si>
  <si>
    <t>Melting_Curves/meltCurve_Q9BXK1_KLF16.pdf</t>
  </si>
  <si>
    <t>Melting_Curves/meltCurve_Q9BXK5_BCL2L13.pdf</t>
  </si>
  <si>
    <t>Melting_Curves/meltCurve_Q9BXL5_HEMGN.pdf</t>
  </si>
  <si>
    <t>Melting_Curves/meltCurve_Q9BXL7_CARD11.pdf</t>
  </si>
  <si>
    <t>Melting_Curves/meltCurve_Q9BXP2_SLC12A9.pdf</t>
  </si>
  <si>
    <t>Melting_Curves/meltCurve_Q9BXP5_4_SRRT.pdf</t>
  </si>
  <si>
    <t>Melting_Curves/meltCurve_Q9BXR0_QTRT1.pdf</t>
  </si>
  <si>
    <t>Melting_Curves/meltCurve_Q9BXS6_2_NUSAP1.pdf</t>
  </si>
  <si>
    <t>Melting_Curves/meltCurve_Q9BXV9_C14orf142.pdf</t>
  </si>
  <si>
    <t>Melting_Curves/meltCurve_Q9BXW7_2_CECR5.pdf</t>
  </si>
  <si>
    <t>Melting_Curves/meltCurve_Q9BXW9_2_FANCD2.pdf</t>
  </si>
  <si>
    <t>Melting_Curves/meltCurve_Q9BY32_ITPA.pdf</t>
  </si>
  <si>
    <t>Melting_Curves/meltCurve_Q9BY42_RTFDC1.pdf</t>
  </si>
  <si>
    <t>Melting_Curves/meltCurve_Q9BY43_CHMP4A.pdf</t>
  </si>
  <si>
    <t>Melting_Curves/meltCurve_Q9BY44_EIF2A.pdf</t>
  </si>
  <si>
    <t>Melting_Curves/meltCurve_Q9BY77_POLDIP3.pdf</t>
  </si>
  <si>
    <t>Melting_Curves/meltCurve_Q9BYB4_GNB1L.pdf</t>
  </si>
  <si>
    <t>Melting_Curves/meltCurve_Q9BYC5_2_FUT8.pdf</t>
  </si>
  <si>
    <t>Melting_Curves/meltCurve_Q9BYC8_MRPL32.pdf</t>
  </si>
  <si>
    <t>Melting_Curves/meltCurve_Q9BYD6_MRPL1.pdf</t>
  </si>
  <si>
    <t>Melting_Curves/meltCurve_Q9BYG5_PARD6B.pdf</t>
  </si>
  <si>
    <t>Melting_Curves/meltCurve_Q9BYI3_FAM126A.pdf</t>
  </si>
  <si>
    <t>Melting_Curves/meltCurve_Q9BYN0_SRXN1.pdf</t>
  </si>
  <si>
    <t>Melting_Curves/meltCurve_Q9BYT8_NLN.pdf</t>
  </si>
  <si>
    <t>Melting_Curves/meltCurve_Q9BYV8_CEP41.pdf</t>
  </si>
  <si>
    <t>Melting_Curves/meltCurve_Q9BYW2_SETD2.pdf</t>
  </si>
  <si>
    <t>Melting_Curves/meltCurve_Q9BYX2_4_TBC1D2.pdf</t>
  </si>
  <si>
    <t>Melting_Curves/meltCurve_Q9BZ23_3_PANK2.pdf</t>
  </si>
  <si>
    <t>Melting_Curves/meltCurve_Q9BZ67_2_FRMD8.pdf</t>
  </si>
  <si>
    <t>Melting_Curves/meltCurve_Q9BZ95_4_WHSC1L1.pdf</t>
  </si>
  <si>
    <t>Melting_Curves/meltCurve_Q9BZD3_GCOM2.pdf</t>
  </si>
  <si>
    <t>Melting_Curves/meltCurve_Q9BZD4_NUF2.pdf</t>
  </si>
  <si>
    <t>Melting_Curves/meltCurve_Q9BZE1_MRPL37.pdf</t>
  </si>
  <si>
    <t>Melting_Curves/meltCurve_Q9BZE2_PUS3.pdf</t>
  </si>
  <si>
    <t>Melting_Curves/meltCurve_Q9BZE9_ASPSCR1.pdf</t>
  </si>
  <si>
    <t>Melting_Curves/meltCurve_Q9BZF1_3_OSBPL8.pdf</t>
  </si>
  <si>
    <t>Melting_Curves/meltCurve_Q9BZF3_4_OSBPL6.pdf</t>
  </si>
  <si>
    <t>Melting_Curves/meltCurve_Q9BZH6_WDR11.pdf</t>
  </si>
  <si>
    <t>Melting_Curves/meltCurve_Q9BZI7_2_UPF3B.pdf</t>
  </si>
  <si>
    <t>Melting_Curves/meltCurve_Q9BZK7_TBL1XR1.pdf</t>
  </si>
  <si>
    <t>Melting_Curves/meltCurve_Q9BZL1_UBL5.pdf</t>
  </si>
  <si>
    <t>Melting_Curves/meltCurve_Q9BZM1_PLA2G12A.pdf</t>
  </si>
  <si>
    <t>Melting_Curves/meltCurve_Q9BZM5_ULBP2.pdf</t>
  </si>
  <si>
    <t>Melting_Curves/meltCurve_Q9BZM6_ULBP1.pdf</t>
  </si>
  <si>
    <t>Melting_Curves/meltCurve_Q9BZQ8_FAM129A.pdf</t>
  </si>
  <si>
    <t>Melting_Curves/meltCurve_Q9BZX2_UCK2.pdf</t>
  </si>
  <si>
    <t>Melting_Curves/meltCurve_Q9BZZ5_API5.pdf</t>
  </si>
  <si>
    <t>Melting_Curves/meltCurve_Q9BZZ5_2_API5.pdf</t>
  </si>
  <si>
    <t>Melting_Curves/meltCurve_Q9C004_SPRY4.pdf</t>
  </si>
  <si>
    <t>Melting_Curves/meltCurve_Q9C005_DPY30.pdf</t>
  </si>
  <si>
    <t>Melting_Curves/meltCurve_Q9C037_2_TRIM4.pdf</t>
  </si>
  <si>
    <t>Melting_Curves/meltCurve_Q9C073_FAM117A.pdf</t>
  </si>
  <si>
    <t>Melting_Curves/meltCurve_Q9C0B1_FTO.pdf</t>
  </si>
  <si>
    <t>Melting_Curves/meltCurve_Q9C0B5_2_ZDHHC5.pdf</t>
  </si>
  <si>
    <t>Melting_Curves/meltCurve_Q9C0B7_TANGO6.pdf</t>
  </si>
  <si>
    <t>Melting_Curves/meltCurve_Q9C0C2_TNKS1BP1.pdf</t>
  </si>
  <si>
    <t>Melting_Curves/meltCurve_Q9C0C4_SEMA4C.pdf</t>
  </si>
  <si>
    <t>Melting_Curves/meltCurve_Q9C0C7_4_AMBRA1.pdf</t>
  </si>
  <si>
    <t>Melting_Curves/meltCurve_Q9C0C9_UBE2O.pdf</t>
  </si>
  <si>
    <t>Melting_Curves/meltCurve_Q9C0D3_ZYG11B.pdf</t>
  </si>
  <si>
    <t>Melting_Curves/meltCurve_Q9C0F1_CEP44.pdf</t>
  </si>
  <si>
    <t>Melting_Curves/meltCurve_Q9C0I1_MTMR12.pdf</t>
  </si>
  <si>
    <t>Melting_Curves/meltCurve_Q9C0J8_WDR33.pdf</t>
  </si>
  <si>
    <t>Melting_Curves/meltCurve_Q9GZL7_WDR12.pdf</t>
  </si>
  <si>
    <t>Melting_Curves/meltCurve_Q9GZN1_ACTR6.pdf</t>
  </si>
  <si>
    <t>Melting_Curves/meltCurve_Q9GZN8_C20orf27.pdf</t>
  </si>
  <si>
    <t>Melting_Curves/meltCurve_Q9GZP1_NRSN2.pdf</t>
  </si>
  <si>
    <t>Melting_Curves/meltCurve_Q9GZP4_PITHD1.pdf</t>
  </si>
  <si>
    <t>Melting_Curves/meltCurve_Q9GZP9_DERL2.pdf</t>
  </si>
  <si>
    <t>Melting_Curves/meltCurve_Q9GZQ3_COMMD5.pdf</t>
  </si>
  <si>
    <t>Melting_Curves/meltCurve_Q9GZS1_2_POLR1E.pdf</t>
  </si>
  <si>
    <t>Melting_Curves/meltCurve_Q9GZS3_WDR61.pdf</t>
  </si>
  <si>
    <t>Melting_Curves/meltCurve_Q9GZT3_2_SLIRP.pdf</t>
  </si>
  <si>
    <t>Melting_Curves/meltCurve_Q9GZT4_SRR.pdf</t>
  </si>
  <si>
    <t>Melting_Curves/meltCurve_Q9GZT6_2_CCDC90B.pdf</t>
  </si>
  <si>
    <t>Melting_Curves/meltCurve_Q9GZT8_2_NIF3L1.pdf</t>
  </si>
  <si>
    <t>Melting_Curves/meltCurve_Q9GZT9_EGLN1.pdf</t>
  </si>
  <si>
    <t>Melting_Curves/meltCurve_Q9GZU8_FAM192A.pdf</t>
  </si>
  <si>
    <t>Melting_Curves/meltCurve_Q9GZX9_TWSG1.pdf</t>
  </si>
  <si>
    <t>Melting_Curves/meltCurve_Q9GZY4_COA1.pdf</t>
  </si>
  <si>
    <t>Melting_Curves/meltCurve_Q9GZY8_2_MFF.pdf</t>
  </si>
  <si>
    <t>Melting_Curves/meltCurve_Q9GZZ9_UBA5.pdf</t>
  </si>
  <si>
    <t>Melting_Curves/meltCurve_Q9H019_3_MTFR1L.pdf</t>
  </si>
  <si>
    <t>Melting_Curves/meltCurve_Q9H061_TMEM126A.pdf</t>
  </si>
  <si>
    <t>Melting_Curves/meltCurve_Q9H074_PAIP1.pdf</t>
  </si>
  <si>
    <t>Melting_Curves/meltCurve_Q9H078_2_CLPB.pdf</t>
  </si>
  <si>
    <t>Melting_Curves/meltCurve_Q9H081_MIS12.pdf</t>
  </si>
  <si>
    <t>Melting_Curves/meltCurve_Q9H082_RAB33B.pdf</t>
  </si>
  <si>
    <t>Melting_Curves/meltCurve_Q9H089_LSG1.pdf</t>
  </si>
  <si>
    <t>Melting_Curves/meltCurve_Q9H0B6_KLC2.pdf</t>
  </si>
  <si>
    <t>Melting_Curves/meltCurve_Q9H0C8_ILKAP.pdf</t>
  </si>
  <si>
    <t>Melting_Curves/meltCurve_Q9H0D6_XRN2.pdf</t>
  </si>
  <si>
    <t>Melting_Curves/meltCurve_Q9H0E2_TOLLIP.pdf</t>
  </si>
  <si>
    <t>Melting_Curves/meltCurve_Q9H0E9_2_BRD8.pdf</t>
  </si>
  <si>
    <t>Melting_Curves/meltCurve_Q9H0F6_2_SHARPIN.pdf</t>
  </si>
  <si>
    <t>Melting_Curves/meltCurve_Q9H0G5_NSRP1.pdf</t>
  </si>
  <si>
    <t>Melting_Curves/meltCurve_Q9H0H5_RACGAP1.pdf</t>
  </si>
  <si>
    <t>Melting_Curves/meltCurve_Q9H0J9_PARP12.pdf</t>
  </si>
  <si>
    <t>Melting_Curves/meltCurve_Q9H0K1_SIK2.pdf</t>
  </si>
  <si>
    <t>Melting_Curves/meltCurve_Q9H0K6_PUS7L.pdf</t>
  </si>
  <si>
    <t>Melting_Curves/meltCurve_Q9H0L4_CSTF2T.pdf</t>
  </si>
  <si>
    <t>Melting_Curves/meltCurve_Q9H0P0_NT5C3A.pdf</t>
  </si>
  <si>
    <t>Melting_Curves/meltCurve_Q9H0R4_HDHD2.pdf</t>
  </si>
  <si>
    <t>Melting_Curves/meltCurve_Q9H0R6_QRSL1.pdf</t>
  </si>
  <si>
    <t>Melting_Curves/meltCurve_Q9H0S4_2_DDX47.pdf</t>
  </si>
  <si>
    <t>Melting_Curves/meltCurve_Q9H0U3_MAGT1.pdf</t>
  </si>
  <si>
    <t>Melting_Curves/meltCurve_Q9H0U4_RAB1B.pdf</t>
  </si>
  <si>
    <t>Melting_Curves/meltCurve_Q9H0V1_TMEM168.pdf</t>
  </si>
  <si>
    <t>Melting_Curves/meltCurve_Q9H0V9_LMAN2L.pdf</t>
  </si>
  <si>
    <t>Melting_Curves/meltCurve_Q9H0W8_2_SMG9.pdf</t>
  </si>
  <si>
    <t>Melting_Curves/meltCurve_Q9H0W9_C11orf54.pdf</t>
  </si>
  <si>
    <t>Melting_Curves/meltCurve_Q9H0X4_ITFG3.pdf</t>
  </si>
  <si>
    <t>Melting_Curves/meltCurve_Q9H160_ING2.pdf</t>
  </si>
  <si>
    <t>Melting_Curves/meltCurve_Q9H173_SIL1.pdf</t>
  </si>
  <si>
    <t>Melting_Curves/meltCurve_Q9H1A3_2_METTL9.pdf</t>
  </si>
  <si>
    <t>Melting_Curves/meltCurve_Q9H1A4_ANAPC1.pdf</t>
  </si>
  <si>
    <t>Melting_Curves/meltCurve_Q9H1B7_IRF2BPL.pdf</t>
  </si>
  <si>
    <t>Melting_Curves/meltCurve_Q9H1D9_POLR3F.pdf</t>
  </si>
  <si>
    <t>Melting_Curves/meltCurve_Q9H1E3_NUCKS1.pdf</t>
  </si>
  <si>
    <t>Melting_Curves/meltCurve_Q9H1E5_TMX4.pdf</t>
  </si>
  <si>
    <t>Melting_Curves/meltCurve_Q9H1H9_3_KIF13A.pdf</t>
  </si>
  <si>
    <t>Melting_Curves/meltCurve_Q9H1K0_ZFYVE20.pdf</t>
  </si>
  <si>
    <t>Melting_Curves/meltCurve_Q9H1K1_ISCU.pdf</t>
  </si>
  <si>
    <t>Melting_Curves/meltCurve_Q9H1P3_2_OSBPL2.pdf</t>
  </si>
  <si>
    <t>Melting_Curves/meltCurve_Q9H1Y0_ATG5.pdf</t>
  </si>
  <si>
    <t>Melting_Curves/meltCurve_Q9H1Z4_WDR13.pdf</t>
  </si>
  <si>
    <t>Melting_Curves/meltCurve_Q9H223_EHD4.pdf</t>
  </si>
  <si>
    <t>Melting_Curves/meltCurve_Q9H257_2_CARD9.pdf</t>
  </si>
  <si>
    <t>Melting_Curves/meltCurve_Q9H267_VPS33B.pdf</t>
  </si>
  <si>
    <t>Melting_Curves/meltCurve_Q9H269_VPS16.pdf</t>
  </si>
  <si>
    <t>Melting_Curves/meltCurve_Q9H270_VPS11.pdf</t>
  </si>
  <si>
    <t>Melting_Curves/meltCurve_Q9H2C0_GAN.pdf</t>
  </si>
  <si>
    <t>Melting_Curves/meltCurve_Q9H2D1_SLC25A32.pdf</t>
  </si>
  <si>
    <t>Melting_Curves/meltCurve_Q9H2G2_2_SLK.pdf</t>
  </si>
  <si>
    <t>Melting_Curves/meltCurve_Q9H2J4_PDCL3.pdf</t>
  </si>
  <si>
    <t>Melting_Curves/meltCurve_Q9H2K8_TAOK3.pdf</t>
  </si>
  <si>
    <t>Melting_Curves/meltCurve_Q9H2M9_RAB3GAP2.pdf</t>
  </si>
  <si>
    <t>Melting_Curves/meltCurve_Q9H2P0_ADNP.pdf</t>
  </si>
  <si>
    <t>Melting_Curves/meltCurve_Q9H2P9_3_DPH5.pdf</t>
  </si>
  <si>
    <t>Melting_Curves/meltCurve_Q9H2U2_PPA2.pdf</t>
  </si>
  <si>
    <t>Melting_Curves/meltCurve_Q9H2W2_MIXL1.pdf</t>
  </si>
  <si>
    <t>Melting_Curves/meltCurve_Q9H2W6_MRPL46.pdf</t>
  </si>
  <si>
    <t>Melting_Curves/meltCurve_Q9H300_PARL.pdf</t>
  </si>
  <si>
    <t>Melting_Curves/meltCurve_Q9H307_PNN.pdf</t>
  </si>
  <si>
    <t>Melting_Curves/meltCurve_Q9H330_2_TMEM245.pdf</t>
  </si>
  <si>
    <t>Melting_Curves/meltCurve_Q9H3C7_GGNBP2.pdf</t>
  </si>
  <si>
    <t>Melting_Curves/meltCurve_Q9H3H1_4_TRIT1.pdf</t>
  </si>
  <si>
    <t>Melting_Curves/meltCurve_Q9H3H3_2_C11orf68.pdf</t>
  </si>
  <si>
    <t>Melting_Curves/meltCurve_Q9H3H5_2_DPAGT1.pdf</t>
  </si>
  <si>
    <t>Melting_Curves/meltCurve_Q9H3K6_BOLA2.pdf</t>
  </si>
  <si>
    <t>Melting_Curves/meltCurve_Q9H3M7_TXNIP.pdf</t>
  </si>
  <si>
    <t>Melting_Curves/meltCurve_Q9H3N1_TMX1.pdf</t>
  </si>
  <si>
    <t>Melting_Curves/meltCurve_Q9H3P2_NELFA.pdf</t>
  </si>
  <si>
    <t>Melting_Curves/meltCurve_Q9H3P7_ACBD3.pdf</t>
  </si>
  <si>
    <t>Melting_Curves/meltCurve_Q9H3Q1_CDC42EP4.pdf</t>
  </si>
  <si>
    <t>Melting_Curves/meltCurve_Q9H3R5_CENPH.pdf</t>
  </si>
  <si>
    <t>Melting_Curves/meltCurve_Q9H3S7_PTPN23.pdf</t>
  </si>
  <si>
    <t>Melting_Curves/meltCurve_Q9H3U1_UNC45A.pdf</t>
  </si>
  <si>
    <t>Melting_Curves/meltCurve_Q9H3U5_3_MFSD1.pdf</t>
  </si>
  <si>
    <t>Melting_Curves/meltCurve_Q9H3Z4_2_DNAJC5.pdf</t>
  </si>
  <si>
    <t>Melting_Curves/meltCurve_Q9H410_DSN1.pdf</t>
  </si>
  <si>
    <t>Melting_Curves/meltCurve_Q9H425_C1orf198.pdf</t>
  </si>
  <si>
    <t>Melting_Curves/meltCurve_Q9H444_CHMP4B.pdf</t>
  </si>
  <si>
    <t>Melting_Curves/meltCurve_Q9H467_CUEDC2.pdf</t>
  </si>
  <si>
    <t>Melting_Curves/meltCurve_Q9H469_FBXL15.pdf</t>
  </si>
  <si>
    <t>Melting_Curves/meltCurve_Q9H479_FN3K.pdf</t>
  </si>
  <si>
    <t>Melting_Curves/meltCurve_Q9H488_POFUT1.pdf</t>
  </si>
  <si>
    <t>Melting_Curves/meltCurve_Q9H496_IFRG15.pdf</t>
  </si>
  <si>
    <t>Melting_Curves/meltCurve_Q9H497_TOR3A.pdf</t>
  </si>
  <si>
    <t>Melting_Curves/meltCurve_Q9H4A4_RNPEP.pdf</t>
  </si>
  <si>
    <t>Melting_Curves/meltCurve_Q9H4A5_GOLPH3L.pdf</t>
  </si>
  <si>
    <t>Melting_Curves/meltCurve_Q9H4A6_GOLPH3.pdf</t>
  </si>
  <si>
    <t>Melting_Curves/meltCurve_Q9H4E7_DEF6.pdf</t>
  </si>
  <si>
    <t>Melting_Curves/meltCurve_Q9H4H8_FAM83D.pdf</t>
  </si>
  <si>
    <t>Melting_Curves/meltCurve_Q9H4L5_OSBPL3.pdf</t>
  </si>
  <si>
    <t>Melting_Curves/meltCurve_Q9H4L7_SMARCAD1.pdf</t>
  </si>
  <si>
    <t>Melting_Curves/meltCurve_Q9H4M9_EHD1.pdf</t>
  </si>
  <si>
    <t>Melting_Curves/meltCurve_Q9H4Z3_PCIF1.pdf</t>
  </si>
  <si>
    <t>Melting_Curves/meltCurve_Q9H501_ESF1.pdf</t>
  </si>
  <si>
    <t>Melting_Curves/meltCurve_Q9H553_ALG2.pdf</t>
  </si>
  <si>
    <t>Melting_Curves/meltCurve_Q9H5K3_SGK196.pdf</t>
  </si>
  <si>
    <t>Melting_Curves/meltCurve_Q9H5N1_RABEP2.pdf</t>
  </si>
  <si>
    <t>Melting_Curves/meltCurve_Q9H5Q4_TFB2M.pdf</t>
  </si>
  <si>
    <t>Melting_Curves/meltCurve_Q9H5V8_CDCP1.pdf</t>
  </si>
  <si>
    <t>Melting_Curves/meltCurve_Q9H5V9_3_CXorf56.pdf</t>
  </si>
  <si>
    <t>Melting_Curves/meltCurve_Q9H5X1_FAM96A.pdf</t>
  </si>
  <si>
    <t>Melting_Curves/meltCurve_Q9H6D7_HAUS4.pdf</t>
  </si>
  <si>
    <t>Melting_Curves/meltCurve_Q9H6E4_CCDC134.pdf</t>
  </si>
  <si>
    <t>Melting_Curves/meltCurve_Q9H6F5_CCDC86.pdf</t>
  </si>
  <si>
    <t>Melting_Curves/meltCurve_Q9H6H4_REEP4.pdf</t>
  </si>
  <si>
    <t>Melting_Curves/meltCurve_Q9H6K1_C6orf106.pdf</t>
  </si>
  <si>
    <t>Melting_Curves/meltCurve_Q9H6K4_OPA3.pdf</t>
  </si>
  <si>
    <t>Melting_Curves/meltCurve_Q9H6Q4_NARFL.pdf</t>
  </si>
  <si>
    <t>Melting_Curves/meltCurve_Q9H6R6_2_ZDHHC6.pdf</t>
  </si>
  <si>
    <t>Melting_Curves/meltCurve_Q9H6R7_2_C2orf44.pdf</t>
  </si>
  <si>
    <t>Melting_Curves/meltCurve_Q9H6S0_YTHDC2.pdf</t>
  </si>
  <si>
    <t>Melting_Curves/meltCurve_Q9H6S1_AZI2.pdf</t>
  </si>
  <si>
    <t>Melting_Curves/meltCurve_Q9H6S3_EPS8L2.pdf</t>
  </si>
  <si>
    <t>Melting_Curves/meltCurve_Q9H6T3_RPAP3.pdf</t>
  </si>
  <si>
    <t>Melting_Curves/meltCurve_Q9H6U8_ALG9.pdf</t>
  </si>
  <si>
    <t>Melting_Curves/meltCurve_Q9H6Y2_WDR55.pdf</t>
  </si>
  <si>
    <t>Melting_Curves/meltCurve_Q9H773_DCTPP1.pdf</t>
  </si>
  <si>
    <t>Melting_Curves/meltCurve_Q9H7B4_SMYD3.pdf</t>
  </si>
  <si>
    <t>Melting_Curves/meltCurve_Q9H7D7_2_WDR26.pdf</t>
  </si>
  <si>
    <t>Melting_Curves/meltCurve_Q9H7E2_3_TDRD3.pdf</t>
  </si>
  <si>
    <t>Melting_Curves/meltCurve_Q9H7E9_C8orf33.pdf</t>
  </si>
  <si>
    <t>Melting_Curves/meltCurve_Q9H7F0_ATP13A3.pdf</t>
  </si>
  <si>
    <t>Melting_Curves/meltCurve_Q9H7L9_SUDS3.pdf</t>
  </si>
  <si>
    <t>Melting_Curves/meltCurve_Q9H7N4_SCAF1.pdf</t>
  </si>
  <si>
    <t>Melting_Curves/meltCurve_Q9H7Z6_KAT8.pdf</t>
  </si>
  <si>
    <t>Melting_Curves/meltCurve_Q9H7Z7_PTGES2.pdf</t>
  </si>
  <si>
    <t>Melting_Curves/meltCurve_Q9H813_TMEM206.pdf</t>
  </si>
  <si>
    <t>Melting_Curves/meltCurve_Q9H814_PHAX.pdf</t>
  </si>
  <si>
    <t>Melting_Curves/meltCurve_Q9H832_UBE2Z.pdf</t>
  </si>
  <si>
    <t>Melting_Curves/meltCurve_Q9H840_GEMIN7.pdf</t>
  </si>
  <si>
    <t>Melting_Curves/meltCurve_Q9H845_ACAD9.pdf</t>
  </si>
  <si>
    <t>Melting_Curves/meltCurve_Q9H871_RMND5A.pdf</t>
  </si>
  <si>
    <t>Melting_Curves/meltCurve_Q9H875_PRKRIP1.pdf</t>
  </si>
  <si>
    <t>Melting_Curves/meltCurve_Q9H8G2_CAAP1.pdf</t>
  </si>
  <si>
    <t>Melting_Curves/meltCurve_Q9H8H0_NOL11.pdf</t>
  </si>
  <si>
    <t>Melting_Curves/meltCurve_Q9H8K7_C10orf88.pdf</t>
  </si>
  <si>
    <t>Melting_Curves/meltCurve_Q9H8M5_2_CNNM2.pdf</t>
  </si>
  <si>
    <t>Melting_Curves/meltCurve_Q9H8M7_FAM188A.pdf</t>
  </si>
  <si>
    <t>Melting_Curves/meltCurve_Q9H8S9_MOB1A.pdf</t>
  </si>
  <si>
    <t>Melting_Curves/meltCurve_Q9H8U3_ZFAND3.pdf</t>
  </si>
  <si>
    <t>Melting_Curves/meltCurve_Q9H8W4_PLEKHF2.pdf</t>
  </si>
  <si>
    <t>Melting_Curves/meltCurve_Q9H8Y5_ANKZF1.pdf</t>
  </si>
  <si>
    <t>Melting_Curves/meltCurve_Q9H8Y8_GORASP2.pdf</t>
  </si>
  <si>
    <t>Melting_Curves/meltCurve_Q9H900_ZWILCH.pdf</t>
  </si>
  <si>
    <t>Melting_Curves/meltCurve_Q9H910_2_HN1L.pdf</t>
  </si>
  <si>
    <t>Melting_Curves/meltCurve_Q9H936_SLC25A22.pdf</t>
  </si>
  <si>
    <t>Melting_Curves/meltCurve_Q9H939_PSTPIP2.pdf</t>
  </si>
  <si>
    <t>Melting_Curves/meltCurve_Q9H944_MED20.pdf</t>
  </si>
  <si>
    <t>Melting_Curves/meltCurve_Q9H974_QTRTD1.pdf</t>
  </si>
  <si>
    <t>Melting_Curves/meltCurve_Q9H981_ACTR8.pdf</t>
  </si>
  <si>
    <t>Melting_Curves/meltCurve_Q9H993_C6orf211.pdf</t>
  </si>
  <si>
    <t>Melting_Curves/meltCurve_Q9H999_PANK3.pdf</t>
  </si>
  <si>
    <t>Melting_Curves/meltCurve_Q9H9A5_2_CNOT10.pdf</t>
  </si>
  <si>
    <t>Melting_Curves/meltCurve_Q9H9A6_LRRC40.pdf</t>
  </si>
  <si>
    <t>Melting_Curves/meltCurve_Q9H9B1_EHMT1.pdf</t>
  </si>
  <si>
    <t>Melting_Curves/meltCurve_Q9H9B4_SFXN1.pdf</t>
  </si>
  <si>
    <t>Melting_Curves/meltCurve_Q9H9F9_ACTR5.pdf</t>
  </si>
  <si>
    <t>Melting_Curves/meltCurve_Q9H9H4_VPS37B.pdf</t>
  </si>
  <si>
    <t>Melting_Curves/meltCurve_Q9H9M6_DARS2.pdf</t>
  </si>
  <si>
    <t>Melting_Curves/meltCurve_Q9H9P8_L2HGDH.pdf</t>
  </si>
  <si>
    <t>Melting_Curves/meltCurve_Q9H9T3_2_ELP3.pdf</t>
  </si>
  <si>
    <t>Melting_Curves/meltCurve_Q9H9V9_2_JMJD4.pdf</t>
  </si>
  <si>
    <t>Melting_Curves/meltCurve_Q9H9Y4_GPN2.pdf</t>
  </si>
  <si>
    <t>Melting_Curves/meltCurve_Q9H9Y6_POLR1B.pdf</t>
  </si>
  <si>
    <t>Melting_Curves/meltCurve_Q9HA47_3_UCK1.pdf</t>
  </si>
  <si>
    <t>Melting_Curves/meltCurve_Q9HA64_FN3KRP.pdf</t>
  </si>
  <si>
    <t>Melting_Curves/meltCurve_Q9HA65_TBC1D17.pdf</t>
  </si>
  <si>
    <t>Melting_Curves/meltCurve_Q9HA77_CARS2.pdf</t>
  </si>
  <si>
    <t>Melting_Curves/meltCurve_Q9HAB8_PPCS.pdf</t>
  </si>
  <si>
    <t>Melting_Curves/meltCurve_Q9HAJ7_SAP30L.pdf</t>
  </si>
  <si>
    <t>Melting_Curves/meltCurve_Q9HAN9_NMNAT1.pdf</t>
  </si>
  <si>
    <t>Melting_Curves/meltCurve_Q9HAP2_MLXIP.pdf</t>
  </si>
  <si>
    <t>Melting_Curves/meltCurve_Q9HAP6_LIN7B.pdf</t>
  </si>
  <si>
    <t>Melting_Curves/meltCurve_Q9HAT2_2_SIAE.pdf</t>
  </si>
  <si>
    <t>Melting_Curves/meltCurve_Q9HAU0_PLEKHA5.pdf</t>
  </si>
  <si>
    <t>Melting_Curves/meltCurve_Q9HAU5_UPF2.pdf</t>
  </si>
  <si>
    <t>Melting_Curves/meltCurve_Q9HAV0_GNB4.pdf</t>
  </si>
  <si>
    <t>Melting_Curves/meltCurve_Q9HAV4_XPO5.pdf</t>
  </si>
  <si>
    <t>Melting_Curves/meltCurve_Q9HAV7_GRPEL1.pdf</t>
  </si>
  <si>
    <t>Melting_Curves/meltCurve_Q9HAW4_CLSPN.pdf</t>
  </si>
  <si>
    <t>Melting_Curves/meltCurve_Q9HB09_BCL2L12.pdf</t>
  </si>
  <si>
    <t>Melting_Curves/meltCurve_Q9HB19_PLEKHA2.pdf</t>
  </si>
  <si>
    <t>Melting_Curves/meltCurve_Q9HB40_SCPEP1.pdf</t>
  </si>
  <si>
    <t>Melting_Curves/meltCurve_Q9HB71_CACYBP.pdf</t>
  </si>
  <si>
    <t>Melting_Curves/meltCurve_Q9HB90_RRAGC.pdf</t>
  </si>
  <si>
    <t>Melting_Curves/meltCurve_Q9HBD4_SMARCA4.pdf</t>
  </si>
  <si>
    <t>Melting_Curves/meltCurve_Q9HBH1_PDF.pdf</t>
  </si>
  <si>
    <t>Melting_Curves/meltCurve_Q9HBH5_RDH14.pdf</t>
  </si>
  <si>
    <t>Melting_Curves/meltCurve_Q9HBI1_PARVB.pdf</t>
  </si>
  <si>
    <t>Melting_Curves/meltCurve_Q9HBL8_NMRAL1.pdf</t>
  </si>
  <si>
    <t>Melting_Curves/meltCurve_Q9HBM1_SPC25.pdf</t>
  </si>
  <si>
    <t>Melting_Curves/meltCurve_Q9HBM6_TAF9B.pdf</t>
  </si>
  <si>
    <t>Melting_Curves/meltCurve_Q9HBM8_AGPAT1.pdf</t>
  </si>
  <si>
    <t>Melting_Curves/meltCurve_Q9HC35_EML4.pdf</t>
  </si>
  <si>
    <t>Melting_Curves/meltCurve_Q9HC36_RNMTL1.pdf</t>
  </si>
  <si>
    <t>Melting_Curves/meltCurve_Q9HC38_2_GLOD4.pdf</t>
  </si>
  <si>
    <t>Melting_Curves/meltCurve_Q9HC44_GPBP1L1.pdf</t>
  </si>
  <si>
    <t>Melting_Curves/meltCurve_Q9HCC0_MCCC2.pdf</t>
  </si>
  <si>
    <t>Melting_Curves/meltCurve_Q9HCD5_NCOA5.pdf</t>
  </si>
  <si>
    <t>Melting_Curves/meltCurve_Q9HCE1_MOV10.pdf</t>
  </si>
  <si>
    <t>Melting_Curves/meltCurve_Q9HCE5_METTL14.pdf</t>
  </si>
  <si>
    <t>Melting_Curves/meltCurve_Q9HCK8_2_CHD8.pdf</t>
  </si>
  <si>
    <t>Melting_Curves/meltCurve_Q9HCN3_TMEM8A.pdf</t>
  </si>
  <si>
    <t>Melting_Curves/meltCurve_Q9HCN4_4_GPN1.pdf</t>
  </si>
  <si>
    <t>Melting_Curves/meltCurve_Q9HCN8_SDF2L1.pdf</t>
  </si>
  <si>
    <t>Melting_Curves/meltCurve_Q9HCP0_2_CSNK1G1.pdf</t>
  </si>
  <si>
    <t>Melting_Curves/meltCurve_Q9HCU5_PREB.pdf</t>
  </si>
  <si>
    <t>Melting_Curves/meltCurve_Q9HCU8_POLD4.pdf</t>
  </si>
  <si>
    <t>Melting_Curves/meltCurve_Q9HD15_SRA1.pdf</t>
  </si>
  <si>
    <t>Melting_Curves/meltCurve_Q9HD20_2_ATP13A1.pdf</t>
  </si>
  <si>
    <t>Melting_Curves/meltCurve_Q9HD23_MRS2.pdf</t>
  </si>
  <si>
    <t>Melting_Curves/meltCurve_Q9HD26_GOPC.pdf</t>
  </si>
  <si>
    <t>Melting_Curves/meltCurve_Q9HD40_3_SEPSECS.pdf</t>
  </si>
  <si>
    <t>Melting_Curves/meltCurve_Q9HD42_CHMP1A.pdf</t>
  </si>
  <si>
    <t>Melting_Curves/meltCurve_Q9HD45_TM9SF3.pdf</t>
  </si>
  <si>
    <t>Melting_Curves/meltCurve_Q9HD47_2_RANGRF.pdf</t>
  </si>
  <si>
    <t>Melting_Curves/meltCurve_Q9HD64_XAGE1A.pdf</t>
  </si>
  <si>
    <t>Melting_Curves/meltCurve_Q9HDC5_JPH1.pdf</t>
  </si>
  <si>
    <t>Melting_Curves/meltCurve_Q9HDC9_APMAP.pdf</t>
  </si>
  <si>
    <t>Melting_Curves/meltCurve_Q9NNW5_WDR6.pdf</t>
  </si>
  <si>
    <t>Melting_Curves/meltCurve_Q9NP31_3_SH2D2A.pdf</t>
  </si>
  <si>
    <t>Melting_Curves/meltCurve_Q9NP58_4_ABCB6.pdf</t>
  </si>
  <si>
    <t>Melting_Curves/meltCurve_Q9NP59_SLC40A1.pdf</t>
  </si>
  <si>
    <t>Melting_Curves/meltCurve_Q9NP66_HMG20A.pdf</t>
  </si>
  <si>
    <t>Melting_Curves/meltCurve_Q9NP72_RAB18.pdf</t>
  </si>
  <si>
    <t>Melting_Curves/meltCurve_Q9NP73_2_ALG13.pdf</t>
  </si>
  <si>
    <t>Melting_Curves/meltCurve_Q9NP74_3_PALMD.pdf</t>
  </si>
  <si>
    <t>Melting_Curves/meltCurve_Q9NP77_SSU72.pdf</t>
  </si>
  <si>
    <t>Melting_Curves/meltCurve_Q9NP79_VTA1.pdf</t>
  </si>
  <si>
    <t>Melting_Curves/meltCurve_Q9NP84_TNFRSF12A.pdf</t>
  </si>
  <si>
    <t>Melting_Curves/meltCurve_Q9NP92_MRPS30.pdf</t>
  </si>
  <si>
    <t>Melting_Curves/meltCurve_Q9NPA0_EMC7.pdf</t>
  </si>
  <si>
    <t>Melting_Curves/meltCurve_Q9NPA3_MID1IP1.pdf</t>
  </si>
  <si>
    <t>Melting_Curves/meltCurve_Q9NPA8_2_ENY2.pdf</t>
  </si>
  <si>
    <t>Melting_Curves/meltCurve_Q9NPB8_GPCPD1.pdf</t>
  </si>
  <si>
    <t>Melting_Curves/meltCurve_Q9NPD3_EXOSC4.pdf</t>
  </si>
  <si>
    <t>Melting_Curves/meltCurve_Q9NPD8_UBE2T.pdf</t>
  </si>
  <si>
    <t>Melting_Curves/meltCurve_Q9NPE2_NGRN.pdf</t>
  </si>
  <si>
    <t>Melting_Curves/meltCurve_Q9NPE3_NOP10.pdf</t>
  </si>
  <si>
    <t>Melting_Curves/meltCurve_Q9NPF0_CD320.pdf</t>
  </si>
  <si>
    <t>Melting_Curves/meltCurve_Q9NPF4_OSGEP.pdf</t>
  </si>
  <si>
    <t>Melting_Curves/meltCurve_Q9NPH2_ISYNA1.pdf</t>
  </si>
  <si>
    <t>Melting_Curves/meltCurve_Q9NPI6_DCP1A.pdf</t>
  </si>
  <si>
    <t>Melting_Curves/meltCurve_Q9NPJ3_ACOT13.pdf</t>
  </si>
  <si>
    <t>Melting_Curves/meltCurve_Q9NPJ6_MED4.pdf</t>
  </si>
  <si>
    <t>Melting_Curves/meltCurve_Q9NPL8_TIMMDC1.pdf</t>
  </si>
  <si>
    <t>Melting_Curves/meltCurve_Q9NPQ8_4_RIC8A.pdf</t>
  </si>
  <si>
    <t>Melting_Curves/meltCurve_Q9NPR9_GPR108.pdf</t>
  </si>
  <si>
    <t>Melting_Curves/meltCurve_Q9NQ11_3_ATP13A2.pdf</t>
  </si>
  <si>
    <t>Melting_Curves/meltCurve_Q9NQ29_LUC7L.pdf</t>
  </si>
  <si>
    <t>Melting_Curves/meltCurve_Q9NQ88_TIGAR.pdf</t>
  </si>
  <si>
    <t>Melting_Curves/meltCurve_Q9NQC3_RTN4.pdf</t>
  </si>
  <si>
    <t>Melting_Curves/meltCurve_Q9NQE9_HINT3.pdf</t>
  </si>
  <si>
    <t>Melting_Curves/meltCurve_Q9NQG1_MANBAL.pdf</t>
  </si>
  <si>
    <t>Melting_Curves/meltCurve_Q9NQG5_RPRD1B.pdf</t>
  </si>
  <si>
    <t>Melting_Curves/meltCurve_Q9NQG7_3_HPS4.pdf</t>
  </si>
  <si>
    <t>Melting_Curves/meltCurve_Q9NQH7_2_XPNPEP3.pdf</t>
  </si>
  <si>
    <t>Melting_Curves/meltCurve_Q9NQP4_PFDN4.pdf</t>
  </si>
  <si>
    <t>Melting_Curves/meltCurve_Q9NQR4_NIT2.pdf</t>
  </si>
  <si>
    <t>Melting_Curves/meltCurve_Q9NQS1_AVEN.pdf</t>
  </si>
  <si>
    <t>Melting_Curves/meltCurve_Q9NQT4_EXOSC5.pdf</t>
  </si>
  <si>
    <t>Melting_Curves/meltCurve_Q9NQT8_KIF13B.pdf</t>
  </si>
  <si>
    <t>Melting_Curves/meltCurve_Q9NQW6_ANLN.pdf</t>
  </si>
  <si>
    <t>Melting_Curves/meltCurve_Q9NQW7_3_XPNPEP1.pdf</t>
  </si>
  <si>
    <t>Melting_Curves/meltCurve_Q9NQX4_MYO5C.pdf</t>
  </si>
  <si>
    <t>Melting_Curves/meltCurve_Q9NQY0_BIN3.pdf</t>
  </si>
  <si>
    <t>Melting_Curves/meltCurve_Q9NQZ2_UTP3.pdf</t>
  </si>
  <si>
    <t>Melting_Curves/meltCurve_Q9NQZ5_STARD7.pdf</t>
  </si>
  <si>
    <t>Melting_Curves/meltCurve_Q9NR09_BIRC6.pdf</t>
  </si>
  <si>
    <t>Melting_Curves/meltCurve_Q9NR12_PDLIM7.pdf</t>
  </si>
  <si>
    <t>Melting_Curves/meltCurve_Q9NR19_ACSS2.pdf</t>
  </si>
  <si>
    <t>Melting_Curves/meltCurve_Q9NR28_2_DIABLO.pdf</t>
  </si>
  <si>
    <t>Melting_Curves/meltCurve_Q9NR30_DDX21.pdf</t>
  </si>
  <si>
    <t>Melting_Curves/meltCurve_Q9NR31_SAR1A.pdf</t>
  </si>
  <si>
    <t>Melting_Curves/meltCurve_Q9NR33_POLE4.pdf</t>
  </si>
  <si>
    <t>Melting_Curves/meltCurve_Q9NR45_NANS.pdf</t>
  </si>
  <si>
    <t>Melting_Curves/meltCurve_Q9NR50_EIF2B3.pdf</t>
  </si>
  <si>
    <t>Melting_Curves/meltCurve_Q9NRF2_3_SH2B1.pdf</t>
  </si>
  <si>
    <t>Melting_Curves/meltCurve_Q9NRF8_CTPS2.pdf</t>
  </si>
  <si>
    <t>Melting_Curves/meltCurve_Q9NRF9_POLE3.pdf</t>
  </si>
  <si>
    <t>Melting_Curves/meltCurve_Q9NRG0_CHRAC1.pdf</t>
  </si>
  <si>
    <t>Melting_Curves/meltCurve_Q9NRG1_PRTFDC1.pdf</t>
  </si>
  <si>
    <t>Melting_Curves/meltCurve_Q9NRG4_SMYD2.pdf</t>
  </si>
  <si>
    <t>Melting_Curves/meltCurve_Q9NRH1_YAE1D1.pdf</t>
  </si>
  <si>
    <t>Melting_Curves/meltCurve_Q9NRK6_ABCB10.pdf</t>
  </si>
  <si>
    <t>Melting_Curves/meltCurve_Q9NRL2_2_BAZ1A.pdf</t>
  </si>
  <si>
    <t>Melting_Curves/meltCurve_Q9NRL3_STRN4.pdf</t>
  </si>
  <si>
    <t>Melting_Curves/meltCurve_Q9NRN7_AASDHPPT.pdf</t>
  </si>
  <si>
    <t>Melting_Curves/meltCurve_Q9NRN9_METTL5.pdf</t>
  </si>
  <si>
    <t>Melting_Curves/meltCurve_Q9NRP2_CMC2.pdf</t>
  </si>
  <si>
    <t>Melting_Curves/meltCurve_Q9NRP4_ACN9.pdf</t>
  </si>
  <si>
    <t>Melting_Curves/meltCurve_Q9NRR5_UBQLN4.pdf</t>
  </si>
  <si>
    <t>Melting_Curves/meltCurve_Q9NRR8_CDC42SE1.pdf</t>
  </si>
  <si>
    <t>Melting_Curves/meltCurve_Q9NRS6_2_SNX15.pdf</t>
  </si>
  <si>
    <t>Melting_Curves/meltCurve_Q9NRV9_HEBP1.pdf</t>
  </si>
  <si>
    <t>Melting_Curves/meltCurve_Q9NRW1_RAB6B.pdf</t>
  </si>
  <si>
    <t>Melting_Curves/meltCurve_Q9NRW3_APOBEC3C.pdf</t>
  </si>
  <si>
    <t>Melting_Curves/meltCurve_Q9NRW4_DUSP22.pdf</t>
  </si>
  <si>
    <t>Melting_Curves/meltCurve_Q9NRW7_VPS45.pdf</t>
  </si>
  <si>
    <t>Melting_Curves/meltCurve_Q9NRX1_PNO1.pdf</t>
  </si>
  <si>
    <t>Melting_Curves/meltCurve_Q9NRX4_PHPT1.pdf</t>
  </si>
  <si>
    <t>Melting_Curves/meltCurve_Q9NRX5_SERINC1.pdf</t>
  </si>
  <si>
    <t>Melting_Curves/meltCurve_Q9NRY4_ARHGAP35.pdf</t>
  </si>
  <si>
    <t>Melting_Curves/meltCurve_Q9NRY5_FAM114A2.pdf</t>
  </si>
  <si>
    <t>Melting_Curves/meltCurve_Q9NRZ7_2_AGPAT3.pdf</t>
  </si>
  <si>
    <t>Melting_Curves/meltCurve_Q9NRZ9_4_HELLS.pdf</t>
  </si>
  <si>
    <t>Melting_Curves/meltCurve_Q9NS18_GLRX2.pdf</t>
  </si>
  <si>
    <t>Melting_Curves/meltCurve_Q9NS23_4_RASSF1.pdf</t>
  </si>
  <si>
    <t>Melting_Curves/meltCurve_Q9NS69_TOMM22.pdf</t>
  </si>
  <si>
    <t>Melting_Curves/meltCurve_Q9NS86_LANCL2.pdf</t>
  </si>
  <si>
    <t>Melting_Curves/meltCurve_Q9NS87_KIF15.pdf</t>
  </si>
  <si>
    <t>Melting_Curves/meltCurve_Q9NS91_RAD18.pdf</t>
  </si>
  <si>
    <t>Melting_Curves/meltCurve_Q9NS93_TM7SF3.pdf</t>
  </si>
  <si>
    <t>Melting_Curves/meltCurve_Q9NSA3_CTNNBIP1.pdf</t>
  </si>
  <si>
    <t>Melting_Curves/meltCurve_Q9NSD9_FARSB.pdf</t>
  </si>
  <si>
    <t>Melting_Curves/meltCurve_Q9NSE4_IARS2.pdf</t>
  </si>
  <si>
    <t>Melting_Curves/meltCurve_Q9NSG2_3_C1orf112.pdf</t>
  </si>
  <si>
    <t>Melting_Curves/meltCurve_Q9NSI2_2_FAM207A.pdf</t>
  </si>
  <si>
    <t>Melting_Curves/meltCurve_Q9NSI8_SAMSN1.pdf</t>
  </si>
  <si>
    <t>Melting_Curves/meltCurve_Q9NSK0_KLC4.pdf</t>
  </si>
  <si>
    <t>Melting_Curves/meltCurve_Q9NSY1_BMP2K.pdf</t>
  </si>
  <si>
    <t>Melting_Curves/meltCurve_Q9NT62_ATG3.pdf</t>
  </si>
  <si>
    <t>Melting_Curves/meltCurve_Q9NTG7_SIRT3.pdf</t>
  </si>
  <si>
    <t>Melting_Curves/meltCurve_Q9NTI5_2_PDS5B.pdf</t>
  </si>
  <si>
    <t>Melting_Curves/meltCurve_Q9NTJ3_SMC4.pdf</t>
  </si>
  <si>
    <t>Melting_Curves/meltCurve_Q9NTJ4_3_MAN2C1.pdf</t>
  </si>
  <si>
    <t>Melting_Curves/meltCurve_Q9NTJ5_SACM1L.pdf</t>
  </si>
  <si>
    <t>Melting_Curves/meltCurve_Q9NTM9_CUTC.pdf</t>
  </si>
  <si>
    <t>Melting_Curves/meltCurve_Q9NTX5_2_ECHDC1.pdf</t>
  </si>
  <si>
    <t>Melting_Curves/meltCurve_Q9NTX7_2_RNF146.pdf</t>
  </si>
  <si>
    <t>Melting_Curves/meltCurve_Q9NTZ6_RBM12.pdf</t>
  </si>
  <si>
    <t>Melting_Curves/meltCurve_Q9NU19_TBC1D22B.pdf</t>
  </si>
  <si>
    <t>Melting_Curves/meltCurve_Q9NU22_MDN1.pdf</t>
  </si>
  <si>
    <t>Melting_Curves/meltCurve_Q9NU23_LYRM2.pdf</t>
  </si>
  <si>
    <t>Melting_Curves/meltCurve_Q9NUD5_ZCCHC3.pdf</t>
  </si>
  <si>
    <t>Melting_Curves/meltCurve_Q9NUE0_ZDHHC18.pdf</t>
  </si>
  <si>
    <t>Melting_Curves/meltCurve_Q9NUG6_PDRG1.pdf</t>
  </si>
  <si>
    <t>Melting_Curves/meltCurve_Q9NUJ1_ABHD10.pdf</t>
  </si>
  <si>
    <t>Melting_Curves/meltCurve_Q9NUM4_TMEM106B.pdf</t>
  </si>
  <si>
    <t>Melting_Curves/meltCurve_Q9NUN5_3_LMBRD1.pdf</t>
  </si>
  <si>
    <t>Melting_Curves/meltCurve_Q9NUP1_BLOC1S4.pdf</t>
  </si>
  <si>
    <t>Melting_Curves/meltCurve_Q9NUP7_TRMT13.pdf</t>
  </si>
  <si>
    <t>Melting_Curves/meltCurve_Q9NUP9_LIN7C.pdf</t>
  </si>
  <si>
    <t>Melting_Curves/meltCurve_Q9NUQ2_AGPAT5.pdf</t>
  </si>
  <si>
    <t>Melting_Curves/meltCurve_Q9NUQ3_TXLNG.pdf</t>
  </si>
  <si>
    <t>Melting_Curves/meltCurve_Q9NUQ7_UFSP2.pdf</t>
  </si>
  <si>
    <t>Melting_Curves/meltCurve_Q9NUQ8_ABCF3.pdf</t>
  </si>
  <si>
    <t>Melting_Curves/meltCurve_Q9NUQ9_FAM49B.pdf</t>
  </si>
  <si>
    <t>Melting_Curves/meltCurve_Q9NUS5_AP5S1.pdf</t>
  </si>
  <si>
    <t>Melting_Curves/meltCurve_Q9NUU7_DDX19A.pdf</t>
  </si>
  <si>
    <t>Melting_Curves/meltCurve_Q9NUW8_TDP1.pdf</t>
  </si>
  <si>
    <t>Melting_Curves/meltCurve_Q9NUY8_TBC1D23.pdf</t>
  </si>
  <si>
    <t>Melting_Curves/meltCurve_Q9NV06_DCAF13.pdf</t>
  </si>
  <si>
    <t>Melting_Curves/meltCurve_Q9NV35_NUDT15.pdf</t>
  </si>
  <si>
    <t>Melting_Curves/meltCurve_Q9NV56_MRGBP.pdf</t>
  </si>
  <si>
    <t>Melting_Curves/meltCurve_Q9NV66_TYW1.pdf</t>
  </si>
  <si>
    <t>Melting_Curves/meltCurve_Q9NV70_2_EXOC1.pdf</t>
  </si>
  <si>
    <t>Melting_Curves/meltCurve_Q9NV96_2_TMEM30A.pdf</t>
  </si>
  <si>
    <t>Melting_Curves/meltCurve_Q9NVA1_2_UQCC.pdf</t>
  </si>
  <si>
    <t>Melting_Curves/meltCurve_Q9NVC6_MED17.pdf</t>
  </si>
  <si>
    <t>Melting_Curves/meltCurve_Q9NVE7_PANK4.pdf</t>
  </si>
  <si>
    <t>Melting_Curves/meltCurve_Q9NVF7_FBXO28.pdf</t>
  </si>
  <si>
    <t>Melting_Curves/meltCurve_Q9NVG8_TBC1D13.pdf</t>
  </si>
  <si>
    <t>Melting_Curves/meltCurve_Q9NVH0_2_EXD2.pdf</t>
  </si>
  <si>
    <t>Melting_Curves/meltCurve_Q9NVH1_3_DNAJC11.pdf</t>
  </si>
  <si>
    <t>Melting_Curves/meltCurve_Q9NVH2_4_INTS7.pdf</t>
  </si>
  <si>
    <t>Melting_Curves/meltCurve_Q9NVI1_FANCI.pdf</t>
  </si>
  <si>
    <t>Melting_Curves/meltCurve_Q9NVI7_2_ATAD3A.pdf</t>
  </si>
  <si>
    <t>Melting_Curves/meltCurve_Q9NVJ2_ARL8B.pdf</t>
  </si>
  <si>
    <t>Melting_Curves/meltCurve_Q9NVK5_FGFR1OP2.pdf</t>
  </si>
  <si>
    <t>Melting_Curves/meltCurve_Q9NVM1_EVA1B.pdf</t>
  </si>
  <si>
    <t>Melting_Curves/meltCurve_Q9NVM4_3_PRMT7.pdf</t>
  </si>
  <si>
    <t>Melting_Curves/meltCurve_Q9NVM6_DNAJC17.pdf</t>
  </si>
  <si>
    <t>Melting_Curves/meltCurve_Q9NVM9_ASUN.pdf</t>
  </si>
  <si>
    <t>Melting_Curves/meltCurve_Q9NVN8_GNL3L.pdf</t>
  </si>
  <si>
    <t>Melting_Curves/meltCurve_Q9NVP1_DDX18.pdf</t>
  </si>
  <si>
    <t>Melting_Curves/meltCurve_Q9NVP2_ASF1B.pdf</t>
  </si>
  <si>
    <t>Melting_Curves/meltCurve_Q9NVR0_KLHL11.pdf</t>
  </si>
  <si>
    <t>Melting_Curves/meltCurve_Q9NVR2_INTS10.pdf</t>
  </si>
  <si>
    <t>Melting_Curves/meltCurve_Q9NVR5_DNAAF2.pdf</t>
  </si>
  <si>
    <t>Melting_Curves/meltCurve_Q9NVU0_5_POLR3E.pdf</t>
  </si>
  <si>
    <t>Melting_Curves/meltCurve_Q9NVV0_TMEM38B.pdf</t>
  </si>
  <si>
    <t>Melting_Curves/meltCurve_Q9NVV4_MTPAP.pdf</t>
  </si>
  <si>
    <t>Melting_Curves/meltCurve_Q9NVW2_RLIM.pdf</t>
  </si>
  <si>
    <t>Melting_Curves/meltCurve_Q9NVX2_NLE1.pdf</t>
  </si>
  <si>
    <t>Melting_Curves/meltCurve_Q9NVX7_KBTBD4.pdf</t>
  </si>
  <si>
    <t>Melting_Curves/meltCurve_Q9NVZ3_NECAP2.pdf</t>
  </si>
  <si>
    <t>Melting_Curves/meltCurve_Q9NW08_2_POLR3B.pdf</t>
  </si>
  <si>
    <t>Melting_Curves/meltCurve_Q9NW15_ANO10.pdf</t>
  </si>
  <si>
    <t>Melting_Curves/meltCurve_Q9NW64_RBM22.pdf</t>
  </si>
  <si>
    <t>Melting_Curves/meltCurve_Q9NW82_WDR70.pdf</t>
  </si>
  <si>
    <t>Melting_Curves/meltCurve_Q9NWB6_ARGLU1.pdf</t>
  </si>
  <si>
    <t>Melting_Curves/meltCurve_Q9NWD8_TMEM248.pdf</t>
  </si>
  <si>
    <t>Melting_Curves/meltCurve_Q9NWD9_BEX4.pdf</t>
  </si>
  <si>
    <t>Melting_Curves/meltCurve_Q9NWH2_TMEM242.pdf</t>
  </si>
  <si>
    <t>Melting_Curves/meltCurve_Q9NWH9_SLTM.pdf</t>
  </si>
  <si>
    <t>Melting_Curves/meltCurve_Q9NWK9_ZNHIT6.pdf</t>
  </si>
  <si>
    <t>Melting_Curves/meltCurve_Q9NWM8_FKBP14.pdf</t>
  </si>
  <si>
    <t>Melting_Curves/meltCurve_Q9NWQ9_C14orf119.pdf</t>
  </si>
  <si>
    <t>Melting_Curves/meltCurve_Q9NWS0_PIH1D1.pdf</t>
  </si>
  <si>
    <t>Melting_Curves/meltCurve_Q9NWS6_FAM118A.pdf</t>
  </si>
  <si>
    <t>Melting_Curves/meltCurve_Q9NWS8_RMND1.pdf</t>
  </si>
  <si>
    <t>Melting_Curves/meltCurve_Q9NWT6_HIF1AN.pdf</t>
  </si>
  <si>
    <t>Melting_Curves/meltCurve_Q9NWT8_AURKAIP1.pdf</t>
  </si>
  <si>
    <t>Melting_Curves/meltCurve_Q9NWU1_OXSM.pdf</t>
  </si>
  <si>
    <t>Melting_Curves/meltCurve_Q9NWU2_GID8.pdf</t>
  </si>
  <si>
    <t>Melting_Curves/meltCurve_Q9NWV4_C1orf123.pdf</t>
  </si>
  <si>
    <t>Melting_Curves/meltCurve_Q9NWX6_THG1L.pdf</t>
  </si>
  <si>
    <t>Melting_Curves/meltCurve_Q9NWY4_C4orf27.pdf</t>
  </si>
  <si>
    <t>Melting_Curves/meltCurve_Q9NWZ3_IRAK4.pdf</t>
  </si>
  <si>
    <t>Melting_Curves/meltCurve_Q9NX00_TMEM160.pdf</t>
  </si>
  <si>
    <t>Melting_Curves/meltCurve_Q9NX01_TXNL4B.pdf</t>
  </si>
  <si>
    <t>Melting_Curves/meltCurve_Q9NX02_5_NLRP2.pdf</t>
  </si>
  <si>
    <t>Melting_Curves/meltCurve_Q9NX07_2_TRNAU1AP.pdf</t>
  </si>
  <si>
    <t>Melting_Curves/meltCurve_Q9NX08_COMMD8.pdf</t>
  </si>
  <si>
    <t>Melting_Curves/meltCurve_Q9NX09_DDIT4.pdf</t>
  </si>
  <si>
    <t>Melting_Curves/meltCurve_Q9NX14_NDUFB11.pdf</t>
  </si>
  <si>
    <t>Melting_Curves/meltCurve_Q9NX20_MRPL16.pdf</t>
  </si>
  <si>
    <t>Melting_Curves/meltCurve_Q9NX24_NHP2.pdf</t>
  </si>
  <si>
    <t>Melting_Curves/meltCurve_Q9NX38_FAM206A.pdf</t>
  </si>
  <si>
    <t>Melting_Curves/meltCurve_Q9NX40_OCIAD1.pdf</t>
  </si>
  <si>
    <t>Melting_Curves/meltCurve_Q9NX46_ADPRHL2.pdf</t>
  </si>
  <si>
    <t>Melting_Curves/meltCurve_Q9NX47_MARCH5.pdf</t>
  </si>
  <si>
    <t>Melting_Curves/meltCurve_Q9NX55_HYPK.pdf</t>
  </si>
  <si>
    <t>Melting_Curves/meltCurve_Q9NX58_LYAR.pdf</t>
  </si>
  <si>
    <t>Melting_Curves/meltCurve_Q9NX62_IMPAD1.pdf</t>
  </si>
  <si>
    <t>Melting_Curves/meltCurve_Q9NX70_MED29.pdf</t>
  </si>
  <si>
    <t>Melting_Curves/meltCurve_Q9NX74_DUS2L.pdf</t>
  </si>
  <si>
    <t>Melting_Curves/meltCurve_Q9NXA8_4_SIRT5.pdf</t>
  </si>
  <si>
    <t>Melting_Curves/meltCurve_Q9NXC5_MIOS.pdf</t>
  </si>
  <si>
    <t>Melting_Curves/meltCurve_Q9NXE8_CWC25.pdf</t>
  </si>
  <si>
    <t>Melting_Curves/meltCurve_Q9NXF1_2_TEX10.pdf</t>
  </si>
  <si>
    <t>Melting_Curves/meltCurve_Q9NXF7_DCAF16.pdf</t>
  </si>
  <si>
    <t>Melting_Curves/meltCurve_Q9NXF8_ZDHHC7.pdf</t>
  </si>
  <si>
    <t>Melting_Curves/meltCurve_Q9NXH8_TOR4A.pdf</t>
  </si>
  <si>
    <t>Melting_Curves/meltCurve_Q9NXH9_TRMT1.pdf</t>
  </si>
  <si>
    <t>Melting_Curves/meltCurve_Q9NXK8_2_FBXL12.pdf</t>
  </si>
  <si>
    <t>Melting_Curves/meltCurve_Q9NXN4_2_GDAP2.pdf</t>
  </si>
  <si>
    <t>Melting_Curves/meltCurve_Q9NXR1_2_NDE1.pdf</t>
  </si>
  <si>
    <t>Melting_Curves/meltCurve_Q9NXR7_BRE.pdf</t>
  </si>
  <si>
    <t>Melting_Curves/meltCurve_Q9NXS2_QPCTL.pdf</t>
  </si>
  <si>
    <t>Melting_Curves/meltCurve_Q9NXU5_ARL15.pdf</t>
  </si>
  <si>
    <t>Melting_Curves/meltCurve_Q9NXV2_KCTD5.pdf</t>
  </si>
  <si>
    <t>Melting_Curves/meltCurve_Q9NXV6_CDKN2AIP.pdf</t>
  </si>
  <si>
    <t>Melting_Curves/meltCurve_Q9NXW9_ALKBH4.pdf</t>
  </si>
  <si>
    <t>Melting_Curves/meltCurve_Q9NXX6_NSMCE4A.pdf</t>
  </si>
  <si>
    <t>Melting_Curves/meltCurve_Q9NY12_2_GAR1.pdf</t>
  </si>
  <si>
    <t>Melting_Curves/meltCurve_Q9NY27_PPP4R2.pdf</t>
  </si>
  <si>
    <t>Melting_Curves/meltCurve_Q9NY97_2_B3GNT2.pdf</t>
  </si>
  <si>
    <t>Melting_Curves/meltCurve_Q9NYA1_2_SPHK1.pdf</t>
  </si>
  <si>
    <t>Melting_Curves/meltCurve_Q9NYB0_TERF2IP.pdf</t>
  </si>
  <si>
    <t>Melting_Curves/meltCurve_Q9NYH9_UTP6.pdf</t>
  </si>
  <si>
    <t>Melting_Curves/meltCurve_Q9NYJ1_COA4.pdf</t>
  </si>
  <si>
    <t>Melting_Curves/meltCurve_Q9NYJ8_TAB2.pdf</t>
  </si>
  <si>
    <t>Melting_Curves/meltCurve_Q9NYK5_MRPL39.pdf</t>
  </si>
  <si>
    <t>Melting_Curves/meltCurve_Q9NYL2_MLTK.pdf</t>
  </si>
  <si>
    <t>Melting_Curves/meltCurve_Q9NYL2_2_MLTK.pdf</t>
  </si>
  <si>
    <t>Melting_Curves/meltCurve_Q9NYL9_TMOD3.pdf</t>
  </si>
  <si>
    <t>Melting_Curves/meltCurve_Q9NYP9_MIS18A.pdf</t>
  </si>
  <si>
    <t>Melting_Curves/meltCurve_Q9NYU2_2_UGGT1.pdf</t>
  </si>
  <si>
    <t>Melting_Curves/meltCurve_Q9NYV4_2_CDK12.pdf</t>
  </si>
  <si>
    <t>Melting_Curves/meltCurve_Q9NYY8_FASTKD2.pdf</t>
  </si>
  <si>
    <t>Melting_Curves/meltCurve_Q9NYZ2_4_SLC25A37.pdf</t>
  </si>
  <si>
    <t>Melting_Curves/meltCurve_Q9NYZ3_GTSE1.pdf</t>
  </si>
  <si>
    <t>Melting_Curves/meltCurve_Q9NZ01_TECR.pdf</t>
  </si>
  <si>
    <t>Melting_Curves/meltCurve_Q9NZ08_ERAP1.pdf</t>
  </si>
  <si>
    <t>Melting_Curves/meltCurve_Q9NZ09_2_UBAP1.pdf</t>
  </si>
  <si>
    <t>Melting_Curves/meltCurve_Q9NZ32_ACTR10.pdf</t>
  </si>
  <si>
    <t>Melting_Curves/meltCurve_Q9NZ43_USE1.pdf</t>
  </si>
  <si>
    <t>Melting_Curves/meltCurve_Q9NZ45_CISD1.pdf</t>
  </si>
  <si>
    <t>Melting_Curves/meltCurve_Q9NZ53_PODXL2.pdf</t>
  </si>
  <si>
    <t>Melting_Curves/meltCurve_Q9NZ63_C9orf78.pdf</t>
  </si>
  <si>
    <t>Melting_Curves/meltCurve_Q9NZA1_3_CLIC5.pdf</t>
  </si>
  <si>
    <t>Melting_Curves/meltCurve_Q9NZC3_GDE1.pdf</t>
  </si>
  <si>
    <t>Melting_Curves/meltCurve_Q9NZC7_5_WWOX.pdf</t>
  </si>
  <si>
    <t>Melting_Curves/meltCurve_Q9NZC9_SMARCAL1.pdf</t>
  </si>
  <si>
    <t>Melting_Curves/meltCurve_Q9NZD4_AHSP.pdf</t>
  </si>
  <si>
    <t>Melting_Curves/meltCurve_Q9NZD8_2_SPG21.pdf</t>
  </si>
  <si>
    <t>Melting_Curves/meltCurve_Q9NZI7_4_UBP1.pdf</t>
  </si>
  <si>
    <t>Melting_Curves/meltCurve_Q9NZI8_IGF2BP1.pdf</t>
  </si>
  <si>
    <t>Melting_Curves/meltCurve_Q9NZJ4_SACS.pdf</t>
  </si>
  <si>
    <t>Melting_Curves/meltCurve_Q9NZJ6_COQ3.pdf</t>
  </si>
  <si>
    <t>Melting_Curves/meltCurve_Q9NZJ7_2_MTCH1.pdf</t>
  </si>
  <si>
    <t>Melting_Curves/meltCurve_Q9NZJ9_NUDT4.pdf</t>
  </si>
  <si>
    <t>Melting_Curves/meltCurve_Q9NZL4_HSPBP1.pdf</t>
  </si>
  <si>
    <t>Melting_Curves/meltCurve_Q9NZL9_MAT2B.pdf</t>
  </si>
  <si>
    <t>Melting_Curves/meltCurve_Q9NZL9_2_MAT2B.pdf</t>
  </si>
  <si>
    <t>Melting_Curves/meltCurve_Q9NZM3_4_ITSN2.pdf</t>
  </si>
  <si>
    <t>Melting_Curves/meltCurve_Q9NZN4_EHD2.pdf</t>
  </si>
  <si>
    <t>Melting_Curves/meltCurve_Q9NZN5_2_ARHGEF12.pdf</t>
  </si>
  <si>
    <t>Melting_Curves/meltCurve_Q9NZQ3_3_NCKIPSD.pdf</t>
  </si>
  <si>
    <t>Melting_Curves/meltCurve_Q9NZT2_2_OGFR.pdf</t>
  </si>
  <si>
    <t>Melting_Curves/meltCurve_Q9NZW5_MPP6.pdf</t>
  </si>
  <si>
    <t>Melting_Curves/meltCurve_Q9NZZ3_CHMP5.pdf</t>
  </si>
  <si>
    <t>Melting_Curves/meltCurve_Q9P000_COMMD9.pdf</t>
  </si>
  <si>
    <t>Melting_Curves/meltCurve_Q9P013_CWC15.pdf</t>
  </si>
  <si>
    <t>Melting_Curves/meltCurve_Q9P016_THYN1.pdf</t>
  </si>
  <si>
    <t>Melting_Curves/meltCurve_Q9P021_CRIPT.pdf</t>
  </si>
  <si>
    <t>Melting_Curves/meltCurve_Q9P032_NDUFAF4.pdf</t>
  </si>
  <si>
    <t>Melting_Curves/meltCurve_Q9P035_PTPLAD1.pdf</t>
  </si>
  <si>
    <t>Melting_Curves/meltCurve_Q9P0B6_CCDC167.pdf</t>
  </si>
  <si>
    <t>Melting_Curves/meltCurve_Q9P0I2_EMC3.pdf</t>
  </si>
  <si>
    <t>Melting_Curves/meltCurve_Q9P0J7_KCMF1.pdf</t>
  </si>
  <si>
    <t>Melting_Curves/meltCurve_Q9P0L0_VAPA.pdf</t>
  </si>
  <si>
    <t>Melting_Curves/meltCurve_Q9P0N9_3_TBC1D7.pdf</t>
  </si>
  <si>
    <t>Melting_Curves/meltCurve_Q9P0P0_RNF181.pdf</t>
  </si>
  <si>
    <t>Melting_Curves/meltCurve_Q9P0R6_GSKIP.pdf</t>
  </si>
  <si>
    <t>Melting_Curves/meltCurve_Q9P0S2_COX16.pdf</t>
  </si>
  <si>
    <t>Melting_Curves/meltCurve_Q9P0U4_CXXC1.pdf</t>
  </si>
  <si>
    <t>Melting_Curves/meltCurve_Q9P0W2_HMG20B.pdf</t>
  </si>
  <si>
    <t>Melting_Curves/meltCurve_Q9P1U0_ZNRD1.pdf</t>
  </si>
  <si>
    <t>Melting_Curves/meltCurve_Q9P1U1_ACTR3B.pdf</t>
  </si>
  <si>
    <t>Melting_Curves/meltCurve_Q9P1W9_PIM2.pdf</t>
  </si>
  <si>
    <t>Melting_Curves/meltCurve_Q9P1Z2_2_CALCOCO1.pdf</t>
  </si>
  <si>
    <t>Melting_Curves/meltCurve_Q9P206_2_KIAA1522.pdf</t>
  </si>
  <si>
    <t>Melting_Curves/meltCurve_Q9P209_CEP72.pdf</t>
  </si>
  <si>
    <t>Melting_Curves/meltCurve_Q9P215_POGK.pdf</t>
  </si>
  <si>
    <t>Melting_Curves/meltCurve_Q9P253_VPS18.pdf</t>
  </si>
  <si>
    <t>Melting_Curves/meltCurve_Q9P258_RCC2.pdf</t>
  </si>
  <si>
    <t>Melting_Curves/meltCurve_Q9P265_DIP2B.pdf</t>
  </si>
  <si>
    <t>Melting_Curves/meltCurve_Q9P270_SLAIN2.pdf</t>
  </si>
  <si>
    <t>Melting_Curves/meltCurve_Q9P287_BCCIP.pdf</t>
  </si>
  <si>
    <t>Melting_Curves/meltCurve_Q9P2B2_PTGFRN.pdf</t>
  </si>
  <si>
    <t>Melting_Curves/meltCurve_Q9P2D3_3_HEATR5B.pdf</t>
  </si>
  <si>
    <t>Melting_Curves/meltCurve_Q9P2D7_5_DNAH1.pdf</t>
  </si>
  <si>
    <t>Melting_Curves/meltCurve_Q9P2E3_ZNFX1.pdf</t>
  </si>
  <si>
    <t>Melting_Curves/meltCurve_Q9P2E9_RRBP1.pdf</t>
  </si>
  <si>
    <t>Melting_Curves/meltCurve_Q9P2I0_CPSF2.pdf</t>
  </si>
  <si>
    <t>Melting_Curves/meltCurve_Q9P2J9_PDP2.pdf</t>
  </si>
  <si>
    <t>Melting_Curves/meltCurve_Q9P2K8_2_EIF2AK4.pdf</t>
  </si>
  <si>
    <t>Melting_Curves/meltCurve_Q9P2M4_TBC1D14.pdf</t>
  </si>
  <si>
    <t>Melting_Curves/meltCurve_Q9P2N5_RBM27.pdf</t>
  </si>
  <si>
    <t>Melting_Curves/meltCurve_Q9P2R3_ANKFY1.pdf</t>
  </si>
  <si>
    <t>Melting_Curves/meltCurve_Q9P2W1_PSMC3IP.pdf</t>
  </si>
  <si>
    <t>Melting_Curves/meltCurve_Q9P2X0_DPM3.pdf</t>
  </si>
  <si>
    <t>Melting_Curves/meltCurve_Q9P2Y5_UVRAG.pdf</t>
  </si>
  <si>
    <t>Melting_Curves/meltCurve_Q9UBB4_ATXN10.pdf</t>
  </si>
  <si>
    <t>Melting_Curves/meltCurve_Q9UBB5_MBD2.pdf</t>
  </si>
  <si>
    <t>Melting_Curves/meltCurve_Q9UBB6_NCDN.pdf</t>
  </si>
  <si>
    <t>Melting_Curves/meltCurve_Q9UBB9_TFIP11.pdf</t>
  </si>
  <si>
    <t>Melting_Curves/meltCurve_Q9UBC2_2_EPS15L1.pdf</t>
  </si>
  <si>
    <t>Melting_Curves/meltCurve_Q9UBC3_4_DNMT3B.pdf</t>
  </si>
  <si>
    <t>Melting_Curves/meltCurve_Q9UBD5_ORC3.pdf</t>
  </si>
  <si>
    <t>Melting_Curves/meltCurve_Q9UBE0_SAE1.pdf</t>
  </si>
  <si>
    <t>Melting_Curves/meltCurve_Q9UBF1_MAGEC2.pdf</t>
  </si>
  <si>
    <t>Melting_Curves/meltCurve_Q9UBF2_COPG2.pdf</t>
  </si>
  <si>
    <t>Melting_Curves/meltCurve_Q9UBF6_RNF7.pdf</t>
  </si>
  <si>
    <t>Melting_Curves/meltCurve_Q9UBF8_2_PI4KB.pdf</t>
  </si>
  <si>
    <t>Melting_Curves/meltCurve_Q9UBH6_2_XPR1.pdf</t>
  </si>
  <si>
    <t>Melting_Curves/meltCurve_Q9UBI6_GNG12.pdf</t>
  </si>
  <si>
    <t>Melting_Curves/meltCurve_Q9UBK8_2_MTRR.pdf</t>
  </si>
  <si>
    <t>Melting_Curves/meltCurve_Q9UBK9_UXT.pdf</t>
  </si>
  <si>
    <t>Melting_Curves/meltCurve_Q9UBL3_3_ASH2L.pdf</t>
  </si>
  <si>
    <t>Melting_Curves/meltCurve_Q9UBM7_DHCR7.pdf</t>
  </si>
  <si>
    <t>Melting_Curves/meltCurve_Q9UBP0_3_SPAST.pdf</t>
  </si>
  <si>
    <t>Melting_Curves/meltCurve_Q9UBP6_METTL1.pdf</t>
  </si>
  <si>
    <t>Melting_Curves/meltCurve_Q9UBP9_GULP1.pdf</t>
  </si>
  <si>
    <t>Melting_Curves/meltCurve_Q9UBQ7_GRHPR.pdf</t>
  </si>
  <si>
    <t>Melting_Curves/meltCurve_Q9UBR2_CTSZ.pdf</t>
  </si>
  <si>
    <t>Melting_Curves/meltCurve_Q9UBS0_RPS6KB2.pdf</t>
  </si>
  <si>
    <t>Melting_Curves/meltCurve_Q9UBS4_DNAJB11.pdf</t>
  </si>
  <si>
    <t>Melting_Curves/meltCurve_Q9UBS8_RNF14.pdf</t>
  </si>
  <si>
    <t>Melting_Curves/meltCurve_Q9UBT2_UBA2.pdf</t>
  </si>
  <si>
    <t>Melting_Curves/meltCurve_Q9UBT7_2_CTNNAL1.pdf</t>
  </si>
  <si>
    <t>Melting_Curves/meltCurve_Q9UBU6_FAM8A1.pdf</t>
  </si>
  <si>
    <t>Melting_Curves/meltCurve_Q9UBU9_NXF1.pdf</t>
  </si>
  <si>
    <t>Melting_Curves/meltCurve_Q9UBV2_SEL1L.pdf</t>
  </si>
  <si>
    <t>Melting_Curves/meltCurve_Q9UBV7_B4GALT7.pdf</t>
  </si>
  <si>
    <t>Melting_Curves/meltCurve_Q9UBV8_PEF1.pdf</t>
  </si>
  <si>
    <t>Melting_Curves/meltCurve_Q9UBW7_ZMYM2.pdf</t>
  </si>
  <si>
    <t>Melting_Curves/meltCurve_Q9UBW8_COPS7A.pdf</t>
  </si>
  <si>
    <t>Melting_Curves/meltCurve_Q9UBX3_SLC25A10.pdf</t>
  </si>
  <si>
    <t>Melting_Curves/meltCurve_Q9UDT6_2_CLIP2.pdf</t>
  </si>
  <si>
    <t>Melting_Curves/meltCurve_Q9UDX5_MTFP1.pdf</t>
  </si>
  <si>
    <t>Melting_Curves/meltCurve_Q9UDY2_TJP2.pdf</t>
  </si>
  <si>
    <t>Melting_Curves/meltCurve_Q9UDY4_DNAJB4.pdf</t>
  </si>
  <si>
    <t>Melting_Curves/meltCurve_Q9UEE9_CFDP1.pdf</t>
  </si>
  <si>
    <t>Melting_Curves/meltCurve_Q9UEG4_ZNF629.pdf</t>
  </si>
  <si>
    <t>Melting_Curves/meltCurve_Q9UEL6_MPZL1.pdf</t>
  </si>
  <si>
    <t>Melting_Curves/meltCurve_Q9UER7_2_DAXX.pdf</t>
  </si>
  <si>
    <t>Melting_Curves/meltCurve_Q9UET6_2_FTSJ1.pdf</t>
  </si>
  <si>
    <t>Melting_Curves/meltCurve_Q9UEU0_VTI1B.pdf</t>
  </si>
  <si>
    <t>Melting_Curves/meltCurve_Q9UEU5_GAGE2D.pdf</t>
  </si>
  <si>
    <t>Melting_Curves/meltCurve_Q9UEY8_2_ADD3.pdf</t>
  </si>
  <si>
    <t>Melting_Curves/meltCurve_Q9UFC0_LRWD1.pdf</t>
  </si>
  <si>
    <t>Melting_Curves/meltCurve_Q9UFG5_C19orf25.pdf</t>
  </si>
  <si>
    <t>Melting_Curves/meltCurve_Q9UFW8_CGGBP1.pdf</t>
  </si>
  <si>
    <t>Melting_Curves/meltCurve_Q9UG52_DKFZp564L232.pdf</t>
  </si>
  <si>
    <t>Melting_Curves/meltCurve_Q9UG63_ABCF2.pdf</t>
  </si>
  <si>
    <t>Melting_Curves/meltCurve_Q9UGC7_4_MTRF1L.pdf</t>
  </si>
  <si>
    <t>Melting_Curves/meltCurve_Q9UGI8_TES.pdf</t>
  </si>
  <si>
    <t>Melting_Curves/meltCurve_Q9UGJ1_2_TUBGCP4.pdf</t>
  </si>
  <si>
    <t>Melting_Curves/meltCurve_Q9UGM6_WARS2.pdf</t>
  </si>
  <si>
    <t>Melting_Curves/meltCurve_Q9UGP4_LIMD1.pdf</t>
  </si>
  <si>
    <t>Melting_Curves/meltCurve_Q9UGP8_SEC63.pdf</t>
  </si>
  <si>
    <t>Melting_Curves/meltCurve_Q9UGR2_2_ZC3H7B.pdf</t>
  </si>
  <si>
    <t>Melting_Curves/meltCurve_Q9UH62_ARMCX3.pdf</t>
  </si>
  <si>
    <t>Melting_Curves/meltCurve_Q9UH65_SWAP70.pdf</t>
  </si>
  <si>
    <t>Melting_Curves/meltCurve_Q9UH99_SUN2.pdf</t>
  </si>
  <si>
    <t>Melting_Curves/meltCurve_Q9UHA2_SS18L2.pdf</t>
  </si>
  <si>
    <t>Melting_Curves/meltCurve_Q9UHA4_LAMTOR3.pdf</t>
  </si>
  <si>
    <t>Melting_Curves/meltCurve_Q9UHB7_AFF4.pdf</t>
  </si>
  <si>
    <t>Melting_Curves/meltCurve_Q9UHB9_4_SRP68.pdf</t>
  </si>
  <si>
    <t>Melting_Curves/meltCurve_Q9UHD1_CHORDC1.pdf</t>
  </si>
  <si>
    <t>Melting_Curves/meltCurve_Q9UHD2_TBK1.pdf</t>
  </si>
  <si>
    <t>Melting_Curves/meltCurve_Q9UHD8_7_SEPT9.pdf</t>
  </si>
  <si>
    <t>Melting_Curves/meltCurve_Q9UHD9_UBQLN2.pdf</t>
  </si>
  <si>
    <t>Melting_Curves/meltCurve_Q9UHG3_PCYOX1.pdf</t>
  </si>
  <si>
    <t>Melting_Curves/meltCurve_Q9UHI6_DDX20.pdf</t>
  </si>
  <si>
    <t>Melting_Curves/meltCurve_Q9UHJ6_SHPK.pdf</t>
  </si>
  <si>
    <t>Melting_Curves/meltCurve_Q9UHK0_NUFIP1.pdf</t>
  </si>
  <si>
    <t>Melting_Curves/meltCurve_Q9UHL4_DPP7.pdf</t>
  </si>
  <si>
    <t>Melting_Curves/meltCurve_Q9UHN1_POLG2.pdf</t>
  </si>
  <si>
    <t>Melting_Curves/meltCurve_Q9UHN6_2_TMEM2.pdf</t>
  </si>
  <si>
    <t>Melting_Curves/meltCurve_Q9UHP3_USP25.pdf</t>
  </si>
  <si>
    <t>Melting_Curves/meltCurve_Q9UHQ1_NARF.pdf</t>
  </si>
  <si>
    <t>Melting_Curves/meltCurve_Q9UHQ4_BCAP29.pdf</t>
  </si>
  <si>
    <t>Melting_Curves/meltCurve_Q9UHQ9_CYB5R1.pdf</t>
  </si>
  <si>
    <t>Melting_Curves/meltCurve_Q9UHR4_BAIAP2L1.pdf</t>
  </si>
  <si>
    <t>Melting_Curves/meltCurve_Q9UHR6_ZNHIT2.pdf</t>
  </si>
  <si>
    <t>Melting_Curves/meltCurve_Q9UHV9_PFDN2.pdf</t>
  </si>
  <si>
    <t>Melting_Curves/meltCurve_Q9UHW5_GPN3.pdf</t>
  </si>
  <si>
    <t>Melting_Curves/meltCurve_Q9UHX1_4_PUF60.pdf</t>
  </si>
  <si>
    <t>Melting_Curves/meltCurve_Q9UHX3_5_EMR2.pdf</t>
  </si>
  <si>
    <t>Melting_Curves/meltCurve_Q9UHY1_NRBP1.pdf</t>
  </si>
  <si>
    <t>Melting_Curves/meltCurve_Q9UHY7_ENOPH1.pdf</t>
  </si>
  <si>
    <t>Melting_Curves/meltCurve_Q9UI09_NDUFA12.pdf</t>
  </si>
  <si>
    <t>Melting_Curves/meltCurve_Q9UI10_EIF2B4.pdf</t>
  </si>
  <si>
    <t>Melting_Curves/meltCurve_Q9UI10_3_EIF2B4.pdf</t>
  </si>
  <si>
    <t>Melting_Curves/meltCurve_Q9UI12_2_ATP6V1H.pdf</t>
  </si>
  <si>
    <t>Melting_Curves/meltCurve_Q9UI26_IPO11.pdf</t>
  </si>
  <si>
    <t>Melting_Curves/meltCurve_Q9UI30_TRMT112.pdf</t>
  </si>
  <si>
    <t>Melting_Curves/meltCurve_Q9UI43_FTSJ2.pdf</t>
  </si>
  <si>
    <t>Melting_Curves/meltCurve_Q9UIC8_LCMT1.pdf</t>
  </si>
  <si>
    <t>Melting_Curves/meltCurve_Q9UID3_VPS51.pdf</t>
  </si>
  <si>
    <t>Melting_Curves/meltCurve_Q9UIG0_2_BAZ1B.pdf</t>
  </si>
  <si>
    <t>Melting_Curves/meltCurve_Q9UII2_ATPIF1.pdf</t>
  </si>
  <si>
    <t>Melting_Curves/meltCurve_Q9UIJ7_AK3.pdf</t>
  </si>
  <si>
    <t>Melting_Curves/meltCurve_Q9UIL1_3_SCOC.pdf</t>
  </si>
  <si>
    <t>Melting_Curves/meltCurve_Q9UIM3_FKBPL.pdf</t>
  </si>
  <si>
    <t>Melting_Curves/meltCurve_Q9UIQ6_3_LNPEP.pdf</t>
  </si>
  <si>
    <t>Melting_Curves/meltCurve_Q9UIV1_2_CNOT7.pdf</t>
  </si>
  <si>
    <t>Melting_Curves/meltCurve_Q9UJ14_5_GGT7.pdf</t>
  </si>
  <si>
    <t>Melting_Curves/meltCurve_Q9UJA5_TRMT6.pdf</t>
  </si>
  <si>
    <t>Melting_Curves/meltCurve_Q9UJJ9_GNPTG.pdf</t>
  </si>
  <si>
    <t>Melting_Curves/meltCurve_Q9UJK0_TSR3.pdf</t>
  </si>
  <si>
    <t>Melting_Curves/meltCurve_Q9UJS0_SLC25A13.pdf</t>
  </si>
  <si>
    <t>Melting_Curves/meltCurve_Q9UJT0_TUBE1.pdf</t>
  </si>
  <si>
    <t>Melting_Curves/meltCurve_Q9UJU6_DBNL.pdf</t>
  </si>
  <si>
    <t>Melting_Curves/meltCurve_Q9UJU6_2_DBNL.pdf</t>
  </si>
  <si>
    <t>Melting_Curves/meltCurve_Q9UJW0_2_DCTN4.pdf</t>
  </si>
  <si>
    <t>Melting_Curves/meltCurve_Q9UJX2_CDC23.pdf</t>
  </si>
  <si>
    <t>Melting_Curves/meltCurve_Q9UJX3_2_ANAPC7.pdf</t>
  </si>
  <si>
    <t>Melting_Curves/meltCurve_Q9UJX5_ANAPC4.pdf</t>
  </si>
  <si>
    <t>Melting_Curves/meltCurve_Q9UJX6_2_ANAPC2.pdf</t>
  </si>
  <si>
    <t>Melting_Curves/meltCurve_Q9UJY4_GGA2.pdf</t>
  </si>
  <si>
    <t>Melting_Curves/meltCurve_Q9UJY5_4_GGA1.pdf</t>
  </si>
  <si>
    <t>Melting_Curves/meltCurve_Q9UJZ1_STOML2.pdf</t>
  </si>
  <si>
    <t>Melting_Curves/meltCurve_Q9UK23_2_NAGPA.pdf</t>
  </si>
  <si>
    <t>Melting_Curves/meltCurve_Q9UK39_CCRN4L.pdf</t>
  </si>
  <si>
    <t>Melting_Curves/meltCurve_Q9UK41_VPS28.pdf</t>
  </si>
  <si>
    <t>Melting_Curves/meltCurve_Q9UK45_LSM7.pdf</t>
  </si>
  <si>
    <t>Melting_Curves/meltCurve_Q9UK53_3_ING1.pdf</t>
  </si>
  <si>
    <t>Melting_Curves/meltCurve_Q9UK59_DBR1.pdf</t>
  </si>
  <si>
    <t>Melting_Curves/meltCurve_Q9UK61_2_FAM208A.pdf</t>
  </si>
  <si>
    <t>Melting_Curves/meltCurve_Q9UK73_FEM1B.pdf</t>
  </si>
  <si>
    <t>Melting_Curves/meltCurve_Q9UK97_3_FBXO9.pdf</t>
  </si>
  <si>
    <t>Melting_Curves/meltCurve_Q9UKA4_AKAP11.pdf</t>
  </si>
  <si>
    <t>Melting_Curves/meltCurve_Q9UKD2_MRTO4.pdf</t>
  </si>
  <si>
    <t>Melting_Curves/meltCurve_Q9UKE5_2_TNIK.pdf</t>
  </si>
  <si>
    <t>Melting_Curves/meltCurve_Q9UKE5_6_TNIK.pdf</t>
  </si>
  <si>
    <t>Melting_Curves/meltCurve_Q9UKF6_CPSF3.pdf</t>
  </si>
  <si>
    <t>Melting_Curves/meltCurve_Q9UKG1_APPL1.pdf</t>
  </si>
  <si>
    <t>Melting_Curves/meltCurve_Q9UKI8_TLK1.pdf</t>
  </si>
  <si>
    <t>Melting_Curves/meltCurve_Q9UKJ3_2_GPATCH8.pdf</t>
  </si>
  <si>
    <t>Melting_Curves/meltCurve_Q9UKL0_RCOR1.pdf</t>
  </si>
  <si>
    <t>Melting_Curves/meltCurve_Q9UKN8_GTF3C4.pdf</t>
  </si>
  <si>
    <t>Melting_Curves/meltCurve_Q9UKS6_PACSIN3.pdf</t>
  </si>
  <si>
    <t>Melting_Curves/meltCurve_Q9UKT4_2_FBXO5.pdf</t>
  </si>
  <si>
    <t>Melting_Curves/meltCurve_Q9UKT5_FBXO4.pdf</t>
  </si>
  <si>
    <t>Melting_Curves/meltCurve_Q9UKU7_ACAD8.pdf</t>
  </si>
  <si>
    <t>Melting_Curves/meltCurve_Q9UKV5_AMFR.pdf</t>
  </si>
  <si>
    <t>Melting_Curves/meltCurve_Q9UKV8_AGO2.pdf</t>
  </si>
  <si>
    <t>Melting_Curves/meltCurve_Q9UKX7_2_NUP50.pdf</t>
  </si>
  <si>
    <t>Melting_Curves/meltCurve_Q9UKY1_ZHX1.pdf</t>
  </si>
  <si>
    <t>Melting_Curves/meltCurve_Q9UKY7_CDV3.pdf</t>
  </si>
  <si>
    <t>Melting_Curves/meltCurve_Q9UKZ1_CNOT11.pdf</t>
  </si>
  <si>
    <t>Melting_Curves/meltCurve_Q9UL03_3_INTS6.pdf</t>
  </si>
  <si>
    <t>Melting_Curves/meltCurve_Q9UL15_BAG5.pdf</t>
  </si>
  <si>
    <t>Melting_Curves/meltCurve_Q9UL25_RAB21.pdf</t>
  </si>
  <si>
    <t>Melting_Curves/meltCurve_Q9UL26_RAB22A.pdf</t>
  </si>
  <si>
    <t>Melting_Curves/meltCurve_Q9UL33_2_TRAPPC2L.pdf</t>
  </si>
  <si>
    <t>Melting_Curves/meltCurve_Q9UL46_PSME2.pdf</t>
  </si>
  <si>
    <t>Melting_Curves/meltCurve_Q9UL54_2_TAOK2.pdf</t>
  </si>
  <si>
    <t>Melting_Curves/meltCurve_Q9UL62_TRPC5.pdf</t>
  </si>
  <si>
    <t>Melting_Curves/meltCurve_Q9ULC3_RAB23.pdf</t>
  </si>
  <si>
    <t>Melting_Curves/meltCurve_Q9ULC4_MCTS1.pdf</t>
  </si>
  <si>
    <t>Melting_Curves/meltCurve_Q9ULE0_WWC3.pdf</t>
  </si>
  <si>
    <t>Melting_Curves/meltCurve_Q9ULF5_SLC39A10.pdf</t>
  </si>
  <si>
    <t>Melting_Curves/meltCurve_Q9ULG6_4_CCPG1.pdf</t>
  </si>
  <si>
    <t>Melting_Curves/meltCurve_Q9ULH0_4_KIDINS220.pdf</t>
  </si>
  <si>
    <t>Melting_Curves/meltCurve_Q9ULH1_ASAP1.pdf</t>
  </si>
  <si>
    <t>Melting_Curves/meltCurve_Q9ULJ3_2_ZBTB21.pdf</t>
  </si>
  <si>
    <t>Melting_Curves/meltCurve_Q9ULJ6_ZMIZ1.pdf</t>
  </si>
  <si>
    <t>Melting_Curves/meltCurve_Q9ULJ7_ANKRD50.pdf</t>
  </si>
  <si>
    <t>Melting_Curves/meltCurve_Q9ULP9_2_TBC1D24.pdf</t>
  </si>
  <si>
    <t>Melting_Curves/meltCurve_Q9ULR0_ISY1.pdf</t>
  </si>
  <si>
    <t>Melting_Curves/meltCurve_Q9ULR3_PPM1H.pdf</t>
  </si>
  <si>
    <t>Melting_Curves/meltCurve_Q9ULT8_HECTD1.pdf</t>
  </si>
  <si>
    <t>Melting_Curves/meltCurve_Q9ULU4_9_ZMYND8.pdf</t>
  </si>
  <si>
    <t>Melting_Curves/meltCurve_Q9ULV4_CORO1C.pdf</t>
  </si>
  <si>
    <t>Melting_Curves/meltCurve_Q9ULW0_TPX2.pdf</t>
  </si>
  <si>
    <t>Melting_Curves/meltCurve_Q9ULX3_NOB1.pdf</t>
  </si>
  <si>
    <t>Melting_Curves/meltCurve_Q9ULX6_2_AKAP8L.pdf</t>
  </si>
  <si>
    <t>Melting_Curves/meltCurve_Q9ULZ3_2_PYCARD.pdf</t>
  </si>
  <si>
    <t>Melting_Curves/meltCurve_Q9UM13_ANAPC10.pdf</t>
  </si>
  <si>
    <t>Melting_Curves/meltCurve_Q9UMF0_ICAM5.pdf</t>
  </si>
  <si>
    <t>Melting_Curves/meltCurve_Q9UMS0_3_NFU1.pdf</t>
  </si>
  <si>
    <t>Melting_Curves/meltCurve_Q9UMS4_PRPF19.pdf</t>
  </si>
  <si>
    <t>Melting_Curves/meltCurve_Q9UMX0_UBQLN1.pdf</t>
  </si>
  <si>
    <t>Melting_Curves/meltCurve_Q9UMX5_NENF.pdf</t>
  </si>
  <si>
    <t>Melting_Curves/meltCurve_Q9UMY4_2_SNX12.pdf</t>
  </si>
  <si>
    <t>Melting_Curves/meltCurve_Q9UMZ2_6_SYNRG.pdf</t>
  </si>
  <si>
    <t>Melting_Curves/meltCurve_Q9UN36_2_NDRG2.pdf</t>
  </si>
  <si>
    <t>Melting_Curves/meltCurve_Q9UN37_VPS4A.pdf</t>
  </si>
  <si>
    <t>Melting_Curves/meltCurve_Q9UN86_2_G3BP2.pdf</t>
  </si>
  <si>
    <t>Melting_Curves/meltCurve_Q9UNE7_STUB1.pdf</t>
  </si>
  <si>
    <t>Melting_Curves/meltCurve_Q9UNF0_2_PACSIN2.pdf</t>
  </si>
  <si>
    <t>Melting_Curves/meltCurve_Q9UNF1_MAGED2.pdf</t>
  </si>
  <si>
    <t>Melting_Curves/meltCurve_Q9UNH7_SNX6.pdf</t>
  </si>
  <si>
    <t>Melting_Curves/meltCurve_Q9UNI6_DUSP12.pdf</t>
  </si>
  <si>
    <t>Melting_Curves/meltCurve_Q9UNK0_STX8.pdf</t>
  </si>
  <si>
    <t>Melting_Curves/meltCurve_Q9UNM6_PSMD13.pdf</t>
  </si>
  <si>
    <t>Melting_Curves/meltCurve_Q9UNN5_FAF1.pdf</t>
  </si>
  <si>
    <t>Melting_Curves/meltCurve_Q9UNN8_PROCR.pdf</t>
  </si>
  <si>
    <t>Melting_Curves/meltCurve_Q9UNP9_PPIE.pdf</t>
  </si>
  <si>
    <t>Melting_Curves/meltCurve_Q9UNQ2_DIMT1.pdf</t>
  </si>
  <si>
    <t>Melting_Curves/meltCurve_Q9UNS1_2_TIMELESS.pdf</t>
  </si>
  <si>
    <t>Melting_Curves/meltCurve_Q9UNS2_COPS3.pdf</t>
  </si>
  <si>
    <t>Melting_Curves/meltCurve_Q9UNW1_MINPP1.pdf</t>
  </si>
  <si>
    <t>Melting_Curves/meltCurve_Q9UNX4_WDR3.pdf</t>
  </si>
  <si>
    <t>Melting_Curves/meltCurve_Q9UNY4_TTF2.pdf</t>
  </si>
  <si>
    <t>Melting_Curves/meltCurve_Q9UNZ2_NSFL1C.pdf</t>
  </si>
  <si>
    <t>Melting_Curves/meltCurve_Q9UNZ5_C19orf53.pdf</t>
  </si>
  <si>
    <t>Melting_Curves/meltCurve_Q9UP52_3_TFR2.pdf</t>
  </si>
  <si>
    <t>Melting_Curves/meltCurve_Q9UP83_COG5.pdf</t>
  </si>
  <si>
    <t>Melting_Curves/meltCurve_Q9UP95_3_SLC12A4.pdf</t>
  </si>
  <si>
    <t>Melting_Curves/meltCurve_Q9UPM8_2_AP4E1.pdf</t>
  </si>
  <si>
    <t>Melting_Curves/meltCurve_Q9UPN3_MACF1.pdf</t>
  </si>
  <si>
    <t>Melting_Curves/meltCurve_Q9UPN4_2_AZI1.pdf</t>
  </si>
  <si>
    <t>Melting_Curves/meltCurve_Q9UPN6_SCAF8.pdf</t>
  </si>
  <si>
    <t>Melting_Curves/meltCurve_Q9UPN7_PPP6R1.pdf</t>
  </si>
  <si>
    <t>Melting_Curves/meltCurve_Q9UPN9_2_TRIM33.pdf</t>
  </si>
  <si>
    <t>Melting_Curves/meltCurve_Q9UPR3_SMG5.pdf</t>
  </si>
  <si>
    <t>Melting_Curves/meltCurve_Q9UPT5_2_EXOC7.pdf</t>
  </si>
  <si>
    <t>Melting_Curves/meltCurve_Q9UPT9_2_USP22.pdf</t>
  </si>
  <si>
    <t>Melting_Curves/meltCurve_Q9UPU5_USP24.pdf</t>
  </si>
  <si>
    <t>Melting_Curves/meltCurve_Q9UPY8_MAPRE3.pdf</t>
  </si>
  <si>
    <t>Melting_Curves/meltCurve_Q9UPY8_2_MAPRE3.pdf</t>
  </si>
  <si>
    <t>Melting_Curves/meltCurve_Q9UPZ3_2_HPS5.pdf</t>
  </si>
  <si>
    <t>Melting_Curves/meltCurve_Q9UQ13_2_SHOC2.pdf</t>
  </si>
  <si>
    <t>Melting_Curves/meltCurve_Q9UQ35_SRRM2.pdf</t>
  </si>
  <si>
    <t>Melting_Curves/meltCurve_Q9UQ53_2_MGAT4B.pdf</t>
  </si>
  <si>
    <t>Melting_Curves/meltCurve_Q9UQ80_PA2G4.pdf</t>
  </si>
  <si>
    <t>Melting_Curves/meltCurve_Q9UQ84_4_EXO1.pdf</t>
  </si>
  <si>
    <t>Melting_Curves/meltCurve_Q9UQ90_SPG7.pdf</t>
  </si>
  <si>
    <t>Melting_Curves/meltCurve_Q9UQB8_3_BAIAP2.pdf</t>
  </si>
  <si>
    <t>Melting_Curves/meltCurve_Q9UQC2_2_GAB2.pdf</t>
  </si>
  <si>
    <t>Melting_Curves/meltCurve_Q9UQE7_SMC3.pdf</t>
  </si>
  <si>
    <t>Melting_Curves/meltCurve_Q9UQL0_UBE2D4.pdf</t>
  </si>
  <si>
    <t>Melting_Curves/meltCurve_Q9UQQ2_SH2B3.pdf</t>
  </si>
  <si>
    <t>Melting_Curves/meltCurve_Q9UQR0_SCML2.pdf</t>
  </si>
  <si>
    <t>Melting_Curves/meltCurve_Q9Y217_MTMR6.pdf</t>
  </si>
  <si>
    <t>Melting_Curves/meltCurve_Q9Y219_JAG2.pdf</t>
  </si>
  <si>
    <t>Melting_Curves/meltCurve_Q9Y223_GNE.pdf</t>
  </si>
  <si>
    <t>Melting_Curves/meltCurve_Q9Y224_C14orf166.pdf</t>
  </si>
  <si>
    <t>Melting_Curves/meltCurve_Q9Y225_RNF24.pdf</t>
  </si>
  <si>
    <t>Melting_Curves/meltCurve_Q9Y230_RUVBL2.pdf</t>
  </si>
  <si>
    <t>Melting_Curves/meltCurve_Q9Y232_2_CDYL.pdf</t>
  </si>
  <si>
    <t>Melting_Curves/meltCurve_Q9Y237_PIN4.pdf</t>
  </si>
  <si>
    <t>Melting_Curves/meltCurve_Q9Y241_HIGD1A.pdf</t>
  </si>
  <si>
    <t>Melting_Curves/meltCurve_Q9Y244_POMP.pdf</t>
  </si>
  <si>
    <t>Melting_Curves/meltCurve_Q9Y248_GINS2.pdf</t>
  </si>
  <si>
    <t>Melting_Curves/meltCurve_Q9Y250_5_LZTS1.pdf</t>
  </si>
  <si>
    <t>Melting_Curves/meltCurve_Q9Y263_PLAA.pdf</t>
  </si>
  <si>
    <t>Melting_Curves/meltCurve_Q9Y265_RUVBL1.pdf</t>
  </si>
  <si>
    <t>Melting_Curves/meltCurve_Q9Y266_NUDC.pdf</t>
  </si>
  <si>
    <t>Melting_Curves/meltCurve_Q9Y276_BCS1L.pdf</t>
  </si>
  <si>
    <t>Melting_Curves/meltCurve_Q9Y277_VDAC3.pdf</t>
  </si>
  <si>
    <t>Melting_Curves/meltCurve_Q9Y281_CFL2.pdf</t>
  </si>
  <si>
    <t>Melting_Curves/meltCurve_Q9Y289_SLC5A6.pdf</t>
  </si>
  <si>
    <t>Melting_Curves/meltCurve_Q9Y294_ASF1A.pdf</t>
  </si>
  <si>
    <t>Melting_Curves/meltCurve_Q9Y295_DRG1.pdf</t>
  </si>
  <si>
    <t>Melting_Curves/meltCurve_Q9Y2A7_NCKAP1.pdf</t>
  </si>
  <si>
    <t>Melting_Curves/meltCurve_Q9Y2B0_CNPY2.pdf</t>
  </si>
  <si>
    <t>Melting_Curves/meltCurve_Q9Y2D8_2_SSX2IP.pdf</t>
  </si>
  <si>
    <t>Melting_Curves/meltCurve_Q9Y2G2_4_CARD8.pdf</t>
  </si>
  <si>
    <t>Melting_Curves/meltCurve_Q9Y2G3_ATP11B.pdf</t>
  </si>
  <si>
    <t>Melting_Curves/meltCurve_Q9Y2G5_POFUT2.pdf</t>
  </si>
  <si>
    <t>Melting_Curves/meltCurve_Q9Y2H0_3_DLGAP4.pdf</t>
  </si>
  <si>
    <t>Melting_Curves/meltCurve_Q9Y2H1_STK38L.pdf</t>
  </si>
  <si>
    <t>Melting_Curves/meltCurve_Q9Y2I1_NISCH.pdf</t>
  </si>
  <si>
    <t>Melting_Curves/meltCurve_Q9Y2I7_PIKFYVE.pdf</t>
  </si>
  <si>
    <t>Melting_Curves/meltCurve_Q9Y2I8_WDR37.pdf</t>
  </si>
  <si>
    <t>Melting_Curves/meltCurve_Q9Y2K6_USP20.pdf</t>
  </si>
  <si>
    <t>Melting_Curves/meltCurve_Q9Y2K7_KDM2A.pdf</t>
  </si>
  <si>
    <t>Melting_Curves/meltCurve_Q9Y2L1_DIS3.pdf</t>
  </si>
  <si>
    <t>Melting_Curves/meltCurve_Q9Y2P8_RCL1.pdf</t>
  </si>
  <si>
    <t>Melting_Curves/meltCurve_Q9Y2Q3_GSTK1.pdf</t>
  </si>
  <si>
    <t>Melting_Curves/meltCurve_Q9Y2Q5_LAMTOR2.pdf</t>
  </si>
  <si>
    <t>Melting_Curves/meltCurve_Q9Y2Q9_MRPS28.pdf</t>
  </si>
  <si>
    <t>Melting_Curves/meltCurve_Q9Y2R0_COA3.pdf</t>
  </si>
  <si>
    <t>Melting_Curves/meltCurve_Q9Y2S0_POLR1D.pdf</t>
  </si>
  <si>
    <t>Melting_Curves/meltCurve_Q9Y2S6_TMA7.pdf</t>
  </si>
  <si>
    <t>Melting_Curves/meltCurve_Q9Y2S7_POLDIP2.pdf</t>
  </si>
  <si>
    <t>Melting_Curves/meltCurve_Q9Y2T2_AP3M1.pdf</t>
  </si>
  <si>
    <t>Melting_Curves/meltCurve_Q9Y2U5_MAP3K2.pdf</t>
  </si>
  <si>
    <t>Melting_Curves/meltCurve_Q9Y2U8_LEMD3.pdf</t>
  </si>
  <si>
    <t>Melting_Curves/meltCurve_Q9Y2V2_CARHSP1.pdf</t>
  </si>
  <si>
    <t>Melting_Curves/meltCurve_Q9Y2V7_2_COG6.pdf</t>
  </si>
  <si>
    <t>Melting_Curves/meltCurve_Q9Y2W1_THRAP3.pdf</t>
  </si>
  <si>
    <t>Melting_Curves/meltCurve_Q9Y2X3_NOP58.pdf</t>
  </si>
  <si>
    <t>Melting_Curves/meltCurve_Q9Y2Y1_POLR3K.pdf</t>
  </si>
  <si>
    <t>Melting_Curves/meltCurve_Q9Y2Z0_2_SUGT1.pdf</t>
  </si>
  <si>
    <t>Melting_Curves/meltCurve_Q9Y2Z2_5_MTO1.pdf</t>
  </si>
  <si>
    <t>Melting_Curves/meltCurve_Q9Y2Z4_YARS2.pdf</t>
  </si>
  <si>
    <t>Melting_Curves/meltCurve_Q9Y2Z9_3_COQ6.pdf</t>
  </si>
  <si>
    <t>Melting_Curves/meltCurve_Q9Y303_AMDHD2.pdf</t>
  </si>
  <si>
    <t>Melting_Curves/meltCurve_Q9Y303_2_AMDHD2.pdf</t>
  </si>
  <si>
    <t>Melting_Curves/meltCurve_Q9Y305_ACOT9.pdf</t>
  </si>
  <si>
    <t>Melting_Curves/meltCurve_Q9Y314_NOSIP.pdf</t>
  </si>
  <si>
    <t>Melting_Curves/meltCurve_Q9Y316_MEMO1.pdf</t>
  </si>
  <si>
    <t>Melting_Curves/meltCurve_Q9Y320_2_TMX2.pdf</t>
  </si>
  <si>
    <t>Melting_Curves/meltCurve_Q9Y333_LSM2.pdf</t>
  </si>
  <si>
    <t>Melting_Curves/meltCurve_Q9Y371_SH3GLB1.pdf</t>
  </si>
  <si>
    <t>Melting_Curves/meltCurve_Q9Y375_NDUFAF1.pdf</t>
  </si>
  <si>
    <t>Melting_Curves/meltCurve_Q9Y376_CAB39.pdf</t>
  </si>
  <si>
    <t>Melting_Curves/meltCurve_Q9Y383_LUC7L2.pdf</t>
  </si>
  <si>
    <t>Melting_Curves/meltCurve_Q9Y385_UBE2J1.pdf</t>
  </si>
  <si>
    <t>Melting_Curves/meltCurve_Q9Y388_RBMX2.pdf</t>
  </si>
  <si>
    <t>Melting_Curves/meltCurve_Q9Y394_2_DHRS7.pdf</t>
  </si>
  <si>
    <t>Melting_Curves/meltCurve_Q9Y399_MRPS2.pdf</t>
  </si>
  <si>
    <t>Melting_Curves/meltCurve_Q9Y3A3_MOB4.pdf</t>
  </si>
  <si>
    <t>Melting_Curves/meltCurve_Q9Y3A5_SBDS.pdf</t>
  </si>
  <si>
    <t>Melting_Curves/meltCurve_Q9Y3A6_TMED5.pdf</t>
  </si>
  <si>
    <t>Melting_Curves/meltCurve_Q9Y3B3_TMED7.pdf</t>
  </si>
  <si>
    <t>Melting_Curves/meltCurve_Q9Y3B4_SF3B14.pdf</t>
  </si>
  <si>
    <t>Melting_Curves/meltCurve_Q9Y3B7_MRPL11.pdf</t>
  </si>
  <si>
    <t>Melting_Curves/meltCurve_Q9Y3B9_RRP15.pdf</t>
  </si>
  <si>
    <t>Melting_Curves/meltCurve_Q9Y3C1_NOP16.pdf</t>
  </si>
  <si>
    <t>Melting_Curves/meltCurve_Q9Y3C4_2_TPRKB.pdf</t>
  </si>
  <si>
    <t>Melting_Curves/meltCurve_Q9Y3C5_RNF11.pdf</t>
  </si>
  <si>
    <t>Melting_Curves/meltCurve_Q9Y3C6_PPIL1.pdf</t>
  </si>
  <si>
    <t>Melting_Curves/meltCurve_Q9Y3C8_UFC1.pdf</t>
  </si>
  <si>
    <t>Melting_Curves/meltCurve_Q9Y3D0_FAM96B.pdf</t>
  </si>
  <si>
    <t>Melting_Curves/meltCurve_Q9Y3D2_MSRB2.pdf</t>
  </si>
  <si>
    <t>Melting_Curves/meltCurve_Q9Y3D6_FIS1.pdf</t>
  </si>
  <si>
    <t>Melting_Curves/meltCurve_Q9Y3D8_2_TAF9.pdf</t>
  </si>
  <si>
    <t>Melting_Curves/meltCurve_Q9Y3D9_MRPS23.pdf</t>
  </si>
  <si>
    <t>Melting_Curves/meltCurve_Q9Y3E1_HDGFRP3.pdf</t>
  </si>
  <si>
    <t>Melting_Curves/meltCurve_Q9Y3E7_4_CHMP3.pdf</t>
  </si>
  <si>
    <t>Melting_Curves/meltCurve_Q9Y3F4_STRAP.pdf</t>
  </si>
  <si>
    <t>Melting_Curves/meltCurve_Q9Y3I0_C22orf28.pdf</t>
  </si>
  <si>
    <t>Melting_Curves/meltCurve_Q9Y3I1_FBXO7.pdf</t>
  </si>
  <si>
    <t>Melting_Curves/meltCurve_Q9Y3L3_SH3BP1.pdf</t>
  </si>
  <si>
    <t>Melting_Curves/meltCurve_Q9Y3L5_RAP2C.pdf</t>
  </si>
  <si>
    <t>Melting_Curves/meltCurve_Q9Y3P9_RABGAP1.pdf</t>
  </si>
  <si>
    <t>Melting_Curves/meltCurve_Q9Y3Q3_TMED3.pdf</t>
  </si>
  <si>
    <t>Melting_Curves/meltCurve_Q9Y3Q8_TSC22D4.pdf</t>
  </si>
  <si>
    <t>Melting_Curves/meltCurve_Q9Y3S2_ZNF330.pdf</t>
  </si>
  <si>
    <t>Melting_Curves/meltCurve_Q9Y3T6_R3HCC1.pdf</t>
  </si>
  <si>
    <t>Melting_Curves/meltCurve_Q9Y3T9_NOC2L.pdf</t>
  </si>
  <si>
    <t>Melting_Curves/meltCurve_Q9Y3X0_CCDC9.pdf</t>
  </si>
  <si>
    <t>Melting_Curves/meltCurve_Q9Y3Y2_4_CHTOP.pdf</t>
  </si>
  <si>
    <t>Melting_Curves/meltCurve_Q9Y3Z3_SAMHD1.pdf</t>
  </si>
  <si>
    <t>Melting_Curves/meltCurve_Q9Y426_2_C2CD2.pdf</t>
  </si>
  <si>
    <t>Melting_Curves/meltCurve_Q9Y446_PKP3.pdf</t>
  </si>
  <si>
    <t>Melting_Curves/meltCurve_Q9Y448_KNSTRN.pdf</t>
  </si>
  <si>
    <t>Melting_Curves/meltCurve_Q9Y450_4_HBS1L.pdf</t>
  </si>
  <si>
    <t>Melting_Curves/meltCurve_Q9Y478_PRKAB1.pdf</t>
  </si>
  <si>
    <t>Melting_Curves/meltCurve_Q9Y487_ATP6V0A2.pdf</t>
  </si>
  <si>
    <t>Melting_Curves/meltCurve_Q9Y490_TLN1.pdf</t>
  </si>
  <si>
    <t>Melting_Curves/meltCurve_Q9Y4B6_3_VPRBP.pdf</t>
  </si>
  <si>
    <t>Melting_Curves/meltCurve_Q9Y4C2_2_FAM115A.pdf</t>
  </si>
  <si>
    <t>Melting_Curves/meltCurve_Q9Y4E8_USP15.pdf</t>
  </si>
  <si>
    <t>Melting_Curves/meltCurve_Q9Y4G8_RAPGEF2.pdf</t>
  </si>
  <si>
    <t>Melting_Curves/meltCurve_Q9Y4K3_TRAF6.pdf</t>
  </si>
  <si>
    <t>Melting_Curves/meltCurve_Q9Y4K4_MAP4K5.pdf</t>
  </si>
  <si>
    <t>Melting_Curves/meltCurve_Q9Y4P1_6_ATG4B.pdf</t>
  </si>
  <si>
    <t>Melting_Curves/meltCurve_Q9Y4R8_TELO2.pdf</t>
  </si>
  <si>
    <t>Melting_Curves/meltCurve_Q9Y4W2_2_LAS1L.pdf</t>
  </si>
  <si>
    <t>Melting_Curves/meltCurve_Q9Y4W6_AFG3L2.pdf</t>
  </si>
  <si>
    <t>Melting_Curves/meltCurve_Q9Y4X0_AMMECR1.pdf</t>
  </si>
  <si>
    <t>Melting_Curves/meltCurve_Q9Y4X5_ARIH1.pdf</t>
  </si>
  <si>
    <t>Melting_Curves/meltCurve_Q9Y4Z0_LSM4.pdf</t>
  </si>
  <si>
    <t>Melting_Curves/meltCurve_Q9Y508_RNF114.pdf</t>
  </si>
  <si>
    <t>Melting_Curves/meltCurve_Q9Y512_SAMM50.pdf</t>
  </si>
  <si>
    <t>Melting_Curves/meltCurve_Q9Y546_LRRC42.pdf</t>
  </si>
  <si>
    <t>Melting_Curves/meltCurve_Q9Y570_PPME1.pdf</t>
  </si>
  <si>
    <t>Melting_Curves/meltCurve_Q9Y584_TIMM22.pdf</t>
  </si>
  <si>
    <t>Melting_Curves/meltCurve_Q9Y597_2_KCTD3.pdf</t>
  </si>
  <si>
    <t>Melting_Curves/meltCurve_Q9Y5A9_YTHDF2.pdf</t>
  </si>
  <si>
    <t>Melting_Curves/meltCurve_Q9Y5B0_CTDP1.pdf</t>
  </si>
  <si>
    <t>Melting_Curves/meltCurve_Q9Y5B6_PAXBP1.pdf</t>
  </si>
  <si>
    <t>Melting_Curves/meltCurve_Q9Y5B8_2_NME7.pdf</t>
  </si>
  <si>
    <t>Melting_Curves/meltCurve_Q9Y5B9_SUPT16H.pdf</t>
  </si>
  <si>
    <t>Melting_Curves/meltCurve_Q9Y5J1_UTP18.pdf</t>
  </si>
  <si>
    <t>Melting_Curves/meltCurve_Q9Y5J6_TIMM10B.pdf</t>
  </si>
  <si>
    <t>Melting_Curves/meltCurve_Q9Y5J7_TIMM9.pdf</t>
  </si>
  <si>
    <t>Melting_Curves/meltCurve_Q9Y5K5_2_UCHL5.pdf</t>
  </si>
  <si>
    <t>Melting_Curves/meltCurve_Q9Y5K6_CD2AP.pdf</t>
  </si>
  <si>
    <t>Melting_Curves/meltCurve_Q9Y5K8_ATP6V1D.pdf</t>
  </si>
  <si>
    <t>Melting_Curves/meltCurve_Q9Y5L0_TNPO3.pdf</t>
  </si>
  <si>
    <t>Melting_Curves/meltCurve_Q9Y5L4_TIMM13.pdf</t>
  </si>
  <si>
    <t>Melting_Curves/meltCurve_Q9Y5M8_SRPRB.pdf</t>
  </si>
  <si>
    <t>Melting_Curves/meltCurve_Q9Y5N5_N6AMT1.pdf</t>
  </si>
  <si>
    <t>Melting_Curves/meltCurve_Q9Y5N6_ORC6.pdf</t>
  </si>
  <si>
    <t>Melting_Curves/meltCurve_Q9Y5P4_2_COL4A3BP.pdf</t>
  </si>
  <si>
    <t>Melting_Curves/meltCurve_Q9Y5P6_GMPPB.pdf</t>
  </si>
  <si>
    <t>Melting_Curves/meltCurve_Q9Y5Q8_GTF3C5.pdf</t>
  </si>
  <si>
    <t>Melting_Curves/meltCurve_Q9Y5Q9_GTF3C3.pdf</t>
  </si>
  <si>
    <t>Melting_Curves/meltCurve_Q9Y5R8_TRAPPC1.pdf</t>
  </si>
  <si>
    <t>Melting_Curves/meltCurve_Q9Y5S1_TRPV2.pdf</t>
  </si>
  <si>
    <t>Melting_Curves/meltCurve_Q9Y5S2_CDC42BPB.pdf</t>
  </si>
  <si>
    <t>Melting_Curves/meltCurve_Q9Y5S9_RBM8A.pdf</t>
  </si>
  <si>
    <t>Melting_Curves/meltCurve_Q9Y5T4_DNAJC15.pdf</t>
  </si>
  <si>
    <t>Melting_Curves/meltCurve_Q9Y5T5_2_USP16.pdf</t>
  </si>
  <si>
    <t>Melting_Curves/meltCurve_Q9Y5U2_2_TSSC4.pdf</t>
  </si>
  <si>
    <t>Melting_Curves/meltCurve_Q9Y5U9_IER3IP1.pdf</t>
  </si>
  <si>
    <t>Melting_Curves/meltCurve_Q9Y5V0_ZNF706.pdf</t>
  </si>
  <si>
    <t>Melting_Curves/meltCurve_Q9Y5X1_SNX9.pdf</t>
  </si>
  <si>
    <t>Melting_Curves/meltCurve_Q9Y5X2_SNX8.pdf</t>
  </si>
  <si>
    <t>Melting_Curves/meltCurve_Q9Y5X3_SNX5.pdf</t>
  </si>
  <si>
    <t>Melting_Curves/meltCurve_Q9Y5Y0_FLVCR1.pdf</t>
  </si>
  <si>
    <t>Melting_Curves/meltCurve_Q9Y5Y2_NUBP2.pdf</t>
  </si>
  <si>
    <t>Melting_Curves/meltCurve_Q9Y5Z4_HEBP2.pdf</t>
  </si>
  <si>
    <t>Melting_Curves/meltCurve_Q9Y605_MRFAP1.pdf</t>
  </si>
  <si>
    <t>Melting_Curves/meltCurve_Q9Y608_LRRFIP2.pdf</t>
  </si>
  <si>
    <t>Melting_Curves/meltCurve_Q9Y608_4_LRRFIP2.pdf</t>
  </si>
  <si>
    <t>Melting_Curves/meltCurve_Q9Y613_FHOD1.pdf</t>
  </si>
  <si>
    <t>Melting_Curves/meltCurve_Q9Y617_PSAT1.pdf</t>
  </si>
  <si>
    <t>Melting_Curves/meltCurve_Q9Y619_SLC25A15.pdf</t>
  </si>
  <si>
    <t>Melting_Curves/meltCurve_Q9Y620_RAD54B.pdf</t>
  </si>
  <si>
    <t>Melting_Curves/meltCurve_Q9Y639_1_NPTN.pdf</t>
  </si>
  <si>
    <t>Melting_Curves/meltCurve_Q9Y646_CPQ.pdf</t>
  </si>
  <si>
    <t>Melting_Curves/meltCurve_Q9Y657_SPIN1.pdf</t>
  </si>
  <si>
    <t>Melting_Curves/meltCurve_Q9Y673_ALG5.pdf</t>
  </si>
  <si>
    <t>Melting_Curves/meltCurve_Q9Y676_MRPS18B.pdf</t>
  </si>
  <si>
    <t>Melting_Curves/meltCurve_Q9Y678_COPG1.pdf</t>
  </si>
  <si>
    <t>Melting_Curves/meltCurve_Q9Y679_2_AUP1.pdf</t>
  </si>
  <si>
    <t>Melting_Curves/meltCurve_Q9Y680_3_FKBP7.pdf</t>
  </si>
  <si>
    <t>Melting_Curves/meltCurve_Q9Y689_2_ARL5A.pdf</t>
  </si>
  <si>
    <t>Melting_Curves/meltCurve_Q9Y692_2_GMEB1.pdf</t>
  </si>
  <si>
    <t>Melting_Curves/meltCurve_Q9Y696_CLIC4.pdf</t>
  </si>
  <si>
    <t>Melting_Curves/meltCurve_Q9Y697_2_NFS1.pdf</t>
  </si>
  <si>
    <t>Melting_Curves/meltCurve_Q9Y6A4_C16orf80.pdf</t>
  </si>
  <si>
    <t>Melting_Curves/meltCurve_Q9Y6A5_TACC3.pdf</t>
  </si>
  <si>
    <t>Melting_Curves/meltCurve_Q9Y6B6_SAR1B.pdf</t>
  </si>
  <si>
    <t>Melting_Curves/meltCurve_Q9Y6B7_AP4B1.pdf</t>
  </si>
  <si>
    <t>Melting_Curves/meltCurve_Q9Y6C9_MTCH2.pdf</t>
  </si>
  <si>
    <t>Melting_Curves/meltCurve_Q9Y6D5_ARFGEF2.pdf</t>
  </si>
  <si>
    <t>Melting_Curves/meltCurve_Q9Y6D6_ARFGEF1.pdf</t>
  </si>
  <si>
    <t>Melting_Curves/meltCurve_Q9Y6D9_MAD1L1.pdf</t>
  </si>
  <si>
    <t>Melting_Curves/meltCurve_Q9Y6G9_DYNC1LI1.pdf</t>
  </si>
  <si>
    <t>Melting_Curves/meltCurve_Q9Y6H1_CHCHD2.pdf</t>
  </si>
  <si>
    <t>Melting_Curves/meltCurve_Q9Y6H3_XRCC6BP1.pdf</t>
  </si>
  <si>
    <t>Melting_Curves/meltCurve_Q9Y6I3_3_EPN1.pdf</t>
  </si>
  <si>
    <t>Melting_Curves/meltCurve_Q9Y6I9_TEX264.pdf</t>
  </si>
  <si>
    <t>Melting_Curves/meltCurve_Q9Y6J9_TAF6L.pdf</t>
  </si>
  <si>
    <t>Melting_Curves/meltCurve_Q9Y6K0_CEPT1.pdf</t>
  </si>
  <si>
    <t>Melting_Curves/meltCurve_Q9Y6K9_IKBKG.pdf</t>
  </si>
  <si>
    <t>Melting_Curves/meltCurve_Q9Y6M0_2_PRSS21.pdf</t>
  </si>
  <si>
    <t>Melting_Curves/meltCurve_Q9Y6M4_3_CSNK1G3.pdf</t>
  </si>
  <si>
    <t>Melting_Curves/meltCurve_Q9Y6M5_SLC30A1.pdf</t>
  </si>
  <si>
    <t>Melting_Curves/meltCurve_Q9Y6P5_3_SESN1.pdf</t>
  </si>
  <si>
    <t>Melting_Curves/meltCurve_Q9Y6Q9_2_NCOA3.pdf</t>
  </si>
  <si>
    <t>Melting_Curves/meltCurve_Q9Y6R0_NUMBL.pdf</t>
  </si>
  <si>
    <t>Melting_Curves/meltCurve_Q9Y6V7_DDX49.pdf</t>
  </si>
  <si>
    <t>Melting_Curves/meltCurve_Q9Y6W3_CAPN7.pdf</t>
  </si>
  <si>
    <t>Melting_Curves/meltCurve_Q9Y6W5_WASF2.pdf</t>
  </si>
  <si>
    <t>Melting_Curves/meltCurve_Q9Y6X9_MORC2.pdf</t>
  </si>
  <si>
    <t>Melting_Curves/meltCurve_Q9Y6Y0_IVNS1ABP.pdf</t>
  </si>
  <si>
    <t>Melting_Curves/meltCurve_R4GMN1_MOSPD2.pdf</t>
  </si>
  <si>
    <t>Melting_Curves/meltCurve_R4GMR5_PSMD8.pdf</t>
  </si>
  <si>
    <t>Melting_Curves/meltCurve_R4GMX3_BMI1.pdf</t>
  </si>
  <si>
    <t>Melting_Curves/meltCurve_R4GMX8_RANBP10.pdf</t>
  </si>
  <si>
    <t>Melting_Curves/meltCurve_R4GN33_MAPKAPK5.pdf</t>
  </si>
  <si>
    <t>Melting_Curves/meltCurve_R4GN55_YTHDF3.pdf</t>
  </si>
  <si>
    <t>Melting_Curves/meltCurve_R4GN98_S100A6.pdf</t>
  </si>
  <si>
    <t>Melting_Curves/meltCurve_R4GNB1_AASDH.pdf</t>
  </si>
  <si>
    <t>Melting_Curves/meltCurve_R4GNB2_DENND4C.pdf</t>
  </si>
  <si>
    <t>Melting_Curves/meltCurve_R4GND1_UBE2E3.pdf</t>
  </si>
  <si>
    <t>Melting_Curves/meltCurve_R4GNF5_TCP11L1.pdf</t>
  </si>
  <si>
    <t>Melting_Curves/meltCurve_R4GNH2_FBXO2.pdf</t>
  </si>
  <si>
    <t>Melting_Curves/meltCurve_R4GNH3_PSMC3.pdf</t>
  </si>
  <si>
    <t>Melting_Curves/meltCurve_R4GNJ5_ACD.pdf</t>
  </si>
  <si>
    <t>Yes</t>
  </si>
  <si>
    <t>No</t>
  </si>
  <si>
    <t>Ubiquitin-like modifier-activating enzyme 6</t>
  </si>
  <si>
    <t>Isoform 2 of Extended synaptotagmin-2</t>
  </si>
  <si>
    <t>UHRF1-binding protein 1-like</t>
  </si>
  <si>
    <t>Shootin-1</t>
  </si>
  <si>
    <t>Transmembrane protein 223</t>
  </si>
  <si>
    <t>KIAA0999 protein</t>
  </si>
  <si>
    <t>Acetolactate synthase-like protein</t>
  </si>
  <si>
    <t>Aconitate hydratase, mitochondrial</t>
  </si>
  <si>
    <t>Ral GTPase-activating protein subunit beta (Fragment)</t>
  </si>
  <si>
    <t>Protein AAR2 homolog</t>
  </si>
  <si>
    <t>Major prion protein (Fragment)</t>
  </si>
  <si>
    <t>Putative PIP5K1A and PSMD4-like protein</t>
  </si>
  <si>
    <t>Neuroblastoma-amplified sequence</t>
  </si>
  <si>
    <t>Isoform 2 of tRNA wybutosine-synthesizing protein 5</t>
  </si>
  <si>
    <t>Isoform 2 of Fucose mutarotase</t>
  </si>
  <si>
    <t>Isoform 3 of Protein strawberry notch homolog 1</t>
  </si>
  <si>
    <t>Isoprenoid synthase domain-containing protein</t>
  </si>
  <si>
    <t>GTP-binding protein 10</t>
  </si>
  <si>
    <t>DKFZP586J0619 protein</t>
  </si>
  <si>
    <t>Metallo-beta-lactamase domain-containing protein 1</t>
  </si>
  <si>
    <t>Isoform 2 of Xin actin-binding repeat-containing protein 2</t>
  </si>
  <si>
    <t>CCR4-NOT transcription complex subunit 1</t>
  </si>
  <si>
    <t>Serologically defined colon cancer antigen 8</t>
  </si>
  <si>
    <t>28S ribosomal protein S16, mitochondrial</t>
  </si>
  <si>
    <t>Isoform 2 of Protein FAM83G</t>
  </si>
  <si>
    <t>Paralemmin-3</t>
  </si>
  <si>
    <t>Phosphoglycolate phosphatase</t>
  </si>
  <si>
    <t>Putative Rab-43-like protein ENSP00000330714</t>
  </si>
  <si>
    <t>UPF0600 protein C5orf51</t>
  </si>
  <si>
    <t>RCC1 domain-containing protein 1</t>
  </si>
  <si>
    <t>HCF N-terminal chain 5</t>
  </si>
  <si>
    <t>GPI-anchor transamidase</t>
  </si>
  <si>
    <t>Oral-facial-digital syndrome 1 protein</t>
  </si>
  <si>
    <t>Zinc finger protein 316</t>
  </si>
  <si>
    <t>Isoform 3 of Protein FAM115C</t>
  </si>
  <si>
    <t>ADP-sugar pyrophosphatase</t>
  </si>
  <si>
    <t>Charged multivesicular body protein 1a</t>
  </si>
  <si>
    <t>Spectrin alpha chain, non-erythrocytic 1</t>
  </si>
  <si>
    <t>Proline-rich protein PRCC</t>
  </si>
  <si>
    <t>WAS/WASL-interacting protein family member 3</t>
  </si>
  <si>
    <t>Coiled-coil domain-containing protein 160</t>
  </si>
  <si>
    <t>Hematological and neurological-expressed 1-like protein</t>
  </si>
  <si>
    <t>Putative gamma-glutamyltranspeptidase 3</t>
  </si>
  <si>
    <t>Isoform 2 of Tubulin alpha chain-like 3</t>
  </si>
  <si>
    <t>Zinc finger MYM-type protein 3</t>
  </si>
  <si>
    <t>Structural maintenance of chromosomes flexible hinge domain-containing protein 1</t>
  </si>
  <si>
    <t>Protein unc-119 homolog B</t>
  </si>
  <si>
    <t>Dedicator of cytokinesis protein 11</t>
  </si>
  <si>
    <t>Nuclear distribution protein nudE-like 1</t>
  </si>
  <si>
    <t>Probable methyltransferase-like protein 15</t>
  </si>
  <si>
    <t>Coiled-coil-helix-coiled-coil-helix domain-containing protein 1</t>
  </si>
  <si>
    <t>Cyclin-dependent kinase inhibitor 1C</t>
  </si>
  <si>
    <t>Coiled-coil domain-containing protein 85C</t>
  </si>
  <si>
    <t>Putative Golgi pH regulator C</t>
  </si>
  <si>
    <t>N-acylglucosamine 2-epimerase</t>
  </si>
  <si>
    <t>Protein cornichon homolog 4</t>
  </si>
  <si>
    <t>Septin-8</t>
  </si>
  <si>
    <t>DNA polymerase</t>
  </si>
  <si>
    <t>Protein Shroom1</t>
  </si>
  <si>
    <t>Serine/threonine-protein phosphatase 2A activator</t>
  </si>
  <si>
    <t>Phosphatidylinositol 4-phosphate 5-kinase type-1 alpha (Fragment)</t>
  </si>
  <si>
    <t>Protein archease</t>
  </si>
  <si>
    <t>Selenoprotein K</t>
  </si>
  <si>
    <t>Putative ATP-dependent RNA helicase DDX11-like protein 8</t>
  </si>
  <si>
    <t>UPF0249 protein ydjC homolog</t>
  </si>
  <si>
    <t>Protein S100-B</t>
  </si>
  <si>
    <t>Small nuclear ribonucleoprotein-associated proteins B and B</t>
  </si>
  <si>
    <t>Pyruvate dehydrogenase phosphatase regulatory subunit, mitochondrial</t>
  </si>
  <si>
    <t>Phenylethanolamine N-methyltransferase</t>
  </si>
  <si>
    <t>POT1 protection of telomeres 1 homolog (S. pombe), isoform CRA_a</t>
  </si>
  <si>
    <t>Probable ATP-dependent RNA helicase DDX52</t>
  </si>
  <si>
    <t>Down syndrome critical region protein 3</t>
  </si>
  <si>
    <t>S100P-binding protein</t>
  </si>
  <si>
    <t>SMT3 suppressor of mif two 3 homolog 3 (Yeast), isoform CRA_d</t>
  </si>
  <si>
    <t>Tubulin alpha-4A chain</t>
  </si>
  <si>
    <t>Hemoglobin subunit epsilon (Fragment)</t>
  </si>
  <si>
    <t>Protein TSSC1</t>
  </si>
  <si>
    <t>Nitrogen permease regulator 3-like protein</t>
  </si>
  <si>
    <t>Diacylglycerol kinase zeta</t>
  </si>
  <si>
    <t>BICD1 protein</t>
  </si>
  <si>
    <t>Pleiotropic regulator 1</t>
  </si>
  <si>
    <t>UPF0577 protein KIAA1324-like</t>
  </si>
  <si>
    <t>Sulfatase-modifying factor 2</t>
  </si>
  <si>
    <t>Retinoic acid-induced protein 1 (Fragment)</t>
  </si>
  <si>
    <t>Matrin-3</t>
  </si>
  <si>
    <t>Pituitary tumor-transforming gene 1 protein-interacting protein</t>
  </si>
  <si>
    <t>Nucleoside diphosphate-linked moiety X motif 19, mitochondrial</t>
  </si>
  <si>
    <t>MIF4G domain-containing protein</t>
  </si>
  <si>
    <t>Serine/arginine repetitive matrix protein 1</t>
  </si>
  <si>
    <t>6-phosphofructo-2-kinase/fructose-2, 6-bisphosphatase 2 transcript variant 3</t>
  </si>
  <si>
    <t>Dynein light chain 4, axonemal</t>
  </si>
  <si>
    <t>Eukaryotic translation initiation factor 3 subunit L</t>
  </si>
  <si>
    <t>Mitochondrial dynamic protein MID51</t>
  </si>
  <si>
    <t>TBC1 domain family member 22A</t>
  </si>
  <si>
    <t>RNA-binding protein EWS</t>
  </si>
  <si>
    <t>HLA-B associated transcript 3, isoform CRA_a</t>
  </si>
  <si>
    <t>Abhydrolase domain-containing protein 16A</t>
  </si>
  <si>
    <t>Histone-lysine N-methyltransferase EHMT2</t>
  </si>
  <si>
    <t>Apolipoprotein C-III</t>
  </si>
  <si>
    <t>Putative peripheral benzodiazepine receptor-related protein (Fragment)</t>
  </si>
  <si>
    <t>NHP2-like protein 1</t>
  </si>
  <si>
    <t>26S proteasome non-ATPase regulatory subunit 10</t>
  </si>
  <si>
    <t>3-hydroxymethyl-3-methylglutaryl-Coenzyme A lyase (Hydroxymethylglutaricaciduria), isoform CRA_b</t>
  </si>
  <si>
    <t>Mitotic spindle assembly checkpoint protein MAD2B</t>
  </si>
  <si>
    <t>Rootletin (Fragment)</t>
  </si>
  <si>
    <t>Nardilysin</t>
  </si>
  <si>
    <t>Oxysterol-binding protein</t>
  </si>
  <si>
    <t>Eukaryotic translation initiation factor 4E transporter</t>
  </si>
  <si>
    <t>Hsp90 co-chaperone Cdc37-like 1</t>
  </si>
  <si>
    <t>Transmembrane protein 9</t>
  </si>
  <si>
    <t>Ubiquitin-conjugating enzyme E2 J2 (Fragment)</t>
  </si>
  <si>
    <t>Septin 6, isoform CRA_b</t>
  </si>
  <si>
    <t>Exosome complex component CSL4 (Fragment)</t>
  </si>
  <si>
    <t>CD58 antigen, (Lymphocyte function-associated antigen 3), isoform CRA_c</t>
  </si>
  <si>
    <t>Trypsin-3 (Fragment)</t>
  </si>
  <si>
    <t>Guanylate kinase (Fragment)</t>
  </si>
  <si>
    <t>Sterol O-acyltransferase 1 (Fragment)</t>
  </si>
  <si>
    <t>Upstream stimulatory factor 1</t>
  </si>
  <si>
    <t>Mucin-1 subunit alpha</t>
  </si>
  <si>
    <t>Fibroblast growth factor 13 (Fragment)</t>
  </si>
  <si>
    <t>Bifunctional arginine demethylase and lysyl-hydroxylase JMJD6</t>
  </si>
  <si>
    <t>Polyhomeotic-like protein 2</t>
  </si>
  <si>
    <t>Proteasome activator complex subunit 3</t>
  </si>
  <si>
    <t>Endoplasmic reticulum mannosyl-oligosaccharide 1,2-alpha-mannosidase</t>
  </si>
  <si>
    <t>Eukaryotic translation initiation factor 3 subunit H</t>
  </si>
  <si>
    <t>Eukaryotic translation initiation factor 3 subunit F</t>
  </si>
  <si>
    <t>Leucine zipper transcription factor-like 1, isoform CRA_b</t>
  </si>
  <si>
    <t>Negative elongation factor A</t>
  </si>
  <si>
    <t>Matrix-remodeling-associated protein 8</t>
  </si>
  <si>
    <t>Superoxide dismutase</t>
  </si>
  <si>
    <t>PHD finger protein 23</t>
  </si>
  <si>
    <t>Pyridine nucleotide-disulfide oxidoreductase domain-containing protein 1</t>
  </si>
  <si>
    <t>Solute carrier family 12 member 6</t>
  </si>
  <si>
    <t>Retinoic acid receptor RXR-alpha</t>
  </si>
  <si>
    <t>ADP-ribosylation factor-like protein 6-interacting protein 4</t>
  </si>
  <si>
    <t>Calponin-2</t>
  </si>
  <si>
    <t>Mitotic checkpoint protein BUB3</t>
  </si>
  <si>
    <t>Histidyl-tRNA synthetase-like, isoform CRA_a</t>
  </si>
  <si>
    <t>UDP-galactose translocator</t>
  </si>
  <si>
    <t>Beta-catenin-like protein 1</t>
  </si>
  <si>
    <t>Ornithine aminotransferase-like 1, isoform CRA_b</t>
  </si>
  <si>
    <t>MAP kinase-interacting serine/threonine-protein kinase 2</t>
  </si>
  <si>
    <t>ERI1 exoribonuclease 3</t>
  </si>
  <si>
    <t>NADH dehydrogenase [ubiquinone] 1 alpha subcomplex subunit 13</t>
  </si>
  <si>
    <t>HAUS augmin-like complex subunit 3</t>
  </si>
  <si>
    <t>Sialin</t>
  </si>
  <si>
    <t>Checkpoint protein HUS1</t>
  </si>
  <si>
    <t>COMM domain-containing protein 1</t>
  </si>
  <si>
    <t>Dynein light chain roadblock-type 1</t>
  </si>
  <si>
    <t>SWI/SNF-related matrix-associated actin-dependent regulator of chromatin subfamily E member 1</t>
  </si>
  <si>
    <t>Phosphatidylinositol 5-phosphate 4-kinase type-2 alpha</t>
  </si>
  <si>
    <t>MAP1S light chain</t>
  </si>
  <si>
    <t>F-box/WD repeat-containing protein 11</t>
  </si>
  <si>
    <t>Transmembrane protein 165</t>
  </si>
  <si>
    <t>Phosphatidylinositol 4-phosphate 5-kinase type-1 beta</t>
  </si>
  <si>
    <t>Ras-related protein Rab-5A</t>
  </si>
  <si>
    <t>Small nuclear ribonucleoprotein Sm D3</t>
  </si>
  <si>
    <t>Citrate synthase</t>
  </si>
  <si>
    <t>Beta-soluble NSF attachment protein</t>
  </si>
  <si>
    <t>Zinc finger protein 286A</t>
  </si>
  <si>
    <t>Lipolysis-stimulated lipoprotein receptor</t>
  </si>
  <si>
    <t>Protein CHURC1-FNTB</t>
  </si>
  <si>
    <t>Kinesin-like protein KIF20A</t>
  </si>
  <si>
    <t>Chromosome 2 open reading frame 18, isoform CRA_c</t>
  </si>
  <si>
    <t>Mitochondrial dicarboxylate carrier</t>
  </si>
  <si>
    <t>NAD(P)H dehydrogenase [quinone] 1</t>
  </si>
  <si>
    <t>Ribosomal protein S6 kinase beta-1</t>
  </si>
  <si>
    <t>E3 ubiquitin-protein ligase RNF220</t>
  </si>
  <si>
    <t>3-ketodihydrosphingosine reductase</t>
  </si>
  <si>
    <t>39S ribosomal protein L48, mitochondrial</t>
  </si>
  <si>
    <t>DnaJ homolog subfamily B member 6</t>
  </si>
  <si>
    <t>Zinc finger protein 460</t>
  </si>
  <si>
    <t>Prostaglandin E synthase 3</t>
  </si>
  <si>
    <t>Sorting nexin-11</t>
  </si>
  <si>
    <t>TOX high mobility group box family member 4</t>
  </si>
  <si>
    <t>Transformer-2 protein homolog alpha</t>
  </si>
  <si>
    <t>6-phosphogluconate dehydrogenase, decarboxylating</t>
  </si>
  <si>
    <t>Histone H2B</t>
  </si>
  <si>
    <t>Protein transport protein Sec61 subunit alpha isoform 1</t>
  </si>
  <si>
    <t>Serine/threonine-protein kinase 24 12 kDa subunit</t>
  </si>
  <si>
    <t>Rab proteins geranylgeranyltransferase component A 1</t>
  </si>
  <si>
    <t>SH2 domain-containing protein 3A</t>
  </si>
  <si>
    <t>UPF0586 protein C9orf41</t>
  </si>
  <si>
    <t>1-acyl-sn-glycerol-3-phosphate acyltransferase delta</t>
  </si>
  <si>
    <t>Uncharacterized protein KIAA0513</t>
  </si>
  <si>
    <t>Polypyrimidine tract-binding protein 2</t>
  </si>
  <si>
    <t>WD repeat-containing protein 41</t>
  </si>
  <si>
    <t>Annexin</t>
  </si>
  <si>
    <t>Solute carrier family 25 member 46</t>
  </si>
  <si>
    <t>DNA ligase</t>
  </si>
  <si>
    <t>Serine incorporator 3</t>
  </si>
  <si>
    <t>3(2),5-bisphosphate nucleotidase 1</t>
  </si>
  <si>
    <t>cDNA FLJ50705</t>
  </si>
  <si>
    <t>Eukaryotic translation initiation factor 3 subunit D</t>
  </si>
  <si>
    <t>Forkhead box protein O3</t>
  </si>
  <si>
    <t>2-hydroxyacyl-CoA lyase 1</t>
  </si>
  <si>
    <t>Fragile X mental retardation syndrome-related protein 1</t>
  </si>
  <si>
    <t>Nucleolar GTP-binding protein 1</t>
  </si>
  <si>
    <t>TGF-beta receptor type-1</t>
  </si>
  <si>
    <t>Nucleoporin NUP53</t>
  </si>
  <si>
    <t>Methylglutaconyl-CoA hydratase, mitochondrial</t>
  </si>
  <si>
    <t>Nuclear receptor coactivator 4</t>
  </si>
  <si>
    <t>ADP-ribosylation factor-like protein 1</t>
  </si>
  <si>
    <t>Histone deacetylase 6</t>
  </si>
  <si>
    <t>Peroxisomal targeting signal 1 receptor</t>
  </si>
  <si>
    <t>Leucine-rich repeat and calponin homology domain-containing protein 3</t>
  </si>
  <si>
    <t>Pyridoxine-5-phosphate oxidase</t>
  </si>
  <si>
    <t>Arginyl-tRNA--protein transferase 1</t>
  </si>
  <si>
    <t>Pre-B-cell leukemia transcription factor-interacting protein 1</t>
  </si>
  <si>
    <t>Serine/threonine-protein kinase RIO3</t>
  </si>
  <si>
    <t>Serine/arginine-rich-splicing factor 3</t>
  </si>
  <si>
    <t>Pumilio homolog 2</t>
  </si>
  <si>
    <t>Erythrocyte band 7 integral membrane protein</t>
  </si>
  <si>
    <t>3-ketoacyl-CoA thiolase</t>
  </si>
  <si>
    <t>Methyltransferase-like protein 13</t>
  </si>
  <si>
    <t>Segment polarity protein dishevelled homolog DVL-3</t>
  </si>
  <si>
    <t>Coiled-coil-helix-coiled-coil-helix domain-containing protein 10, mitochondrial</t>
  </si>
  <si>
    <t>Sororin</t>
  </si>
  <si>
    <t>Uncharacterized protein C6orf1</t>
  </si>
  <si>
    <t>Epithelial cell adhesion molecule</t>
  </si>
  <si>
    <t>Pescadillo homolog</t>
  </si>
  <si>
    <t>Sterol regulatory element-binding protein 1</t>
  </si>
  <si>
    <t>Protein RFT1 homolog</t>
  </si>
  <si>
    <t>GTP-binding nuclear protein Ran</t>
  </si>
  <si>
    <t>UPF0554 protein C2orf43</t>
  </si>
  <si>
    <t>Methyltransferase-like protein 8 (Fragment)</t>
  </si>
  <si>
    <t>Erythroid transcription factor</t>
  </si>
  <si>
    <t>Pre-mRNA-splicing factor CWC22 homolog</t>
  </si>
  <si>
    <t>Echinoderm microtubule associated protein like 3, isoform CRA_e</t>
  </si>
  <si>
    <t>Heterogeneous nuclear ribonucleoprotein L-like</t>
  </si>
  <si>
    <t>Synembryn-B</t>
  </si>
  <si>
    <t>Protein disulfide-isomerase A6</t>
  </si>
  <si>
    <t>Major facilitator superfamily domain-containing protein 8</t>
  </si>
  <si>
    <t>Ribosomal protein S6 kinase</t>
  </si>
  <si>
    <t>Delta-aminolevulinic acid dehydratase</t>
  </si>
  <si>
    <t>Tubulin-specific chaperone E</t>
  </si>
  <si>
    <t>Two pore calcium channel protein 1</t>
  </si>
  <si>
    <t>Puromycin-sensitive aminopeptidase</t>
  </si>
  <si>
    <t>Deoxyribonuclease-2-alpha</t>
  </si>
  <si>
    <t>ETS domain-containing transcription factor ERF</t>
  </si>
  <si>
    <t>Cysteine conjugate-beta lyase cytoplasmic (Glutamine transaminase K, kyneurenine aminotransferase), isoform CRA_b</t>
  </si>
  <si>
    <t>Transporter</t>
  </si>
  <si>
    <t>Stathmin</t>
  </si>
  <si>
    <t>Junctional adhesion molecule A</t>
  </si>
  <si>
    <t>Armadillo repeat containing 8, isoform CRA_g</t>
  </si>
  <si>
    <t>2,4-dienoyl-CoA reductase, mitochondrial</t>
  </si>
  <si>
    <t>Testin</t>
  </si>
  <si>
    <t>BTB/POZ domain-containing adapter for CUL3-mediated RhoA degradation protein 2</t>
  </si>
  <si>
    <t>Ran-binding protein 3</t>
  </si>
  <si>
    <t>Ubiquitin carboxyl-terminal hydrolase</t>
  </si>
  <si>
    <t>Delta(24)-sterol reductase</t>
  </si>
  <si>
    <t>cDNA FLJ52038, highly similar to DNA (cytosine-5)-methyltransferase-like protein 2</t>
  </si>
  <si>
    <t>SH3 and PX domain-containing protein 2A</t>
  </si>
  <si>
    <t>Renin receptor</t>
  </si>
  <si>
    <t>Sodium/potassium-transporting ATPase subunit beta-1</t>
  </si>
  <si>
    <t>CCR4-NOT transcription complex subunit 8</t>
  </si>
  <si>
    <t>Endophilin-B2</t>
  </si>
  <si>
    <t>PPP2R5E protein</t>
  </si>
  <si>
    <t>SCARB1 protein</t>
  </si>
  <si>
    <t>CapZ-interacting protein</t>
  </si>
  <si>
    <t>COX18 protein</t>
  </si>
  <si>
    <t>Probable threonine--tRNA ligase 2, cytoplasmic</t>
  </si>
  <si>
    <t>ER degradation-enhancing alpha-mannosidase-like protein 3</t>
  </si>
  <si>
    <t>CARMIL2b</t>
  </si>
  <si>
    <t>Tax1-binding protein 1</t>
  </si>
  <si>
    <t>Small ubiquitin-related modifier 1</t>
  </si>
  <si>
    <t>Thymosin alpha-1</t>
  </si>
  <si>
    <t>Sorting nexin 13, isoform CRA_g</t>
  </si>
  <si>
    <t>Cyclic AMP-dependent transcription factor ATF-2</t>
  </si>
  <si>
    <t>Arf-GAP domain and FG repeat-containing protein 1</t>
  </si>
  <si>
    <t>U4/U6.U5 tri-snRNP-associated protein 2</t>
  </si>
  <si>
    <t>Rhomboid-related protein 4</t>
  </si>
  <si>
    <t>Islet cell autoantigen 1 (Fragment)</t>
  </si>
  <si>
    <t>BAK1 protein</t>
  </si>
  <si>
    <t>ATG12 autophagy related 12 homolog (S. cerevisiae), isoform CRA_b</t>
  </si>
  <si>
    <t>Mediator of RNA polymerase II transcription subunit 30</t>
  </si>
  <si>
    <t>Asparagine synthetase domain-containing protein 1 (Fragment)</t>
  </si>
  <si>
    <t>E3 ubiquitin-protein ligase makorin-1 (Fragment)</t>
  </si>
  <si>
    <t>Charged multivesicular body protein 2b</t>
  </si>
  <si>
    <t>Nuclear-interacting partner of ALK</t>
  </si>
  <si>
    <t>Sorcin</t>
  </si>
  <si>
    <t>Zinc finger protein 655</t>
  </si>
  <si>
    <t>Uncharacterized protein</t>
  </si>
  <si>
    <t>Activated CDC42 kinase 1</t>
  </si>
  <si>
    <t>NEDD8-conjugating enzyme UBE2F</t>
  </si>
  <si>
    <t>Ubiquitin-conjugating enzyme E2 E1 (Fragment)</t>
  </si>
  <si>
    <t>E3 ubiquitin-protein ligase Hakai (Fragment)</t>
  </si>
  <si>
    <t>Chromosome 3 open reading frame 31, isoform CRA_f</t>
  </si>
  <si>
    <t>NF-kappa-B essential modulator (Fragment)</t>
  </si>
  <si>
    <t>DNA-directed RNA polymerase</t>
  </si>
  <si>
    <t>Motile sperm domain-containing protein 3 (Fragment)</t>
  </si>
  <si>
    <t>Mitochondrial inner membrane protein</t>
  </si>
  <si>
    <t>Solute carrier family 22 member 23</t>
  </si>
  <si>
    <t>60S ribosomal protein L37a</t>
  </si>
  <si>
    <t>Programmed cell death protein 10 (Fragment)</t>
  </si>
  <si>
    <t>Protein lin-9 homolog</t>
  </si>
  <si>
    <t>Protein PTGES3L-AARSD1</t>
  </si>
  <si>
    <t>Insulin-like growth factor 1 receptor</t>
  </si>
  <si>
    <t>Kinesin-like protein KIF20B</t>
  </si>
  <si>
    <t>3-beta-hydroxysteroid-Delta(8),Delta(7)-isomerase (Fragment)</t>
  </si>
  <si>
    <t>Muskelin</t>
  </si>
  <si>
    <t>L-lactate dehydrogenase B chain (Fragment)</t>
  </si>
  <si>
    <t>Phospholipid scramblase 1</t>
  </si>
  <si>
    <t>tRNA-splicing endonuclease subunit Sen2 (Fragment)</t>
  </si>
  <si>
    <t>Apolipoprotein B receptor</t>
  </si>
  <si>
    <t>Succinate-semialdehyde dehydrogenase, mitochondrial</t>
  </si>
  <si>
    <t>40S ribosomal protein SA (Fragment)</t>
  </si>
  <si>
    <t>60S ribosomal export protein NMD3</t>
  </si>
  <si>
    <t>Translocon-associated protein subunit gamma</t>
  </si>
  <si>
    <t>Serine/arginine-rich-splicing factor 7</t>
  </si>
  <si>
    <t>Frataxin, mitochondrial</t>
  </si>
  <si>
    <t>BSD domain-containing protein 1</t>
  </si>
  <si>
    <t>Tissue factor pathway inhibitor (Fragment)</t>
  </si>
  <si>
    <t>Signal peptidase complex subunit 1</t>
  </si>
  <si>
    <t>UPF0452 protein C7orf41 (Fragment)</t>
  </si>
  <si>
    <t>Transport and Golgi organization 2 homolog</t>
  </si>
  <si>
    <t>Dr1-associated corepressor</t>
  </si>
  <si>
    <t>Protein diaphanous homolog 3</t>
  </si>
  <si>
    <t>Transmembrane and ubiquitin-like domain-containing protein 1 (Fragment)</t>
  </si>
  <si>
    <t>Nuclear receptor corepressor 2</t>
  </si>
  <si>
    <t>Eukaryotic translation initiation factor 4E type 2 (Fragment)</t>
  </si>
  <si>
    <t>Protein YIPF1 (Fragment)</t>
  </si>
  <si>
    <t>COP9 signalosome complex subunit 1</t>
  </si>
  <si>
    <t>Cytochrome c (Fragment)</t>
  </si>
  <si>
    <t>Integral membrane protein 2C (Fragment)</t>
  </si>
  <si>
    <t>Sprouty-related, EVH1 domain-containing protein 2 (Fragment)</t>
  </si>
  <si>
    <t>Angio-associated migratory cell protein</t>
  </si>
  <si>
    <t>Polypeptide N-acetylgalactosaminyltransferase 10</t>
  </si>
  <si>
    <t>Synemin</t>
  </si>
  <si>
    <t>Acylamino-acid-releasing enzyme</t>
  </si>
  <si>
    <t>Pulmonary surfactant-associated protein A2</t>
  </si>
  <si>
    <t>Vacuolar protein sorting-associated protein 8 homolog</t>
  </si>
  <si>
    <t>Myeloid-associated differentiation marker (Fragment)</t>
  </si>
  <si>
    <t>Solute carrier family 35 member E1 (Fragment)</t>
  </si>
  <si>
    <t>Modulator of retrovirus infection homolog</t>
  </si>
  <si>
    <t>NADH dehydrogenase [ubiquinone] 1 beta subcomplex subunit 3 (Fragment)</t>
  </si>
  <si>
    <t>Phosphoribosylformylglycinamidine cyclo-ligase (Fragment)</t>
  </si>
  <si>
    <t>DNA-directed RNA polymerases I, II, and III subunit RPABC3 (Fragment)</t>
  </si>
  <si>
    <t>Apoptotic protease-activating factor 1</t>
  </si>
  <si>
    <t>Uncharacterized protein C7orf43</t>
  </si>
  <si>
    <t>O-acetyl-ADP-ribose deacetylase 1 (Fragment)</t>
  </si>
  <si>
    <t>Muscleblind-like protein 1</t>
  </si>
  <si>
    <t>Cartilage-associated protein</t>
  </si>
  <si>
    <t>NF-kappa-B inhibitor-interacting Ras-like protein 2</t>
  </si>
  <si>
    <t>Coiled-coil domain-containing protein 58</t>
  </si>
  <si>
    <t>Nucleoside diphosphate kinase</t>
  </si>
  <si>
    <t>Serine/threonine-protein kinase 11-interacting protein</t>
  </si>
  <si>
    <t>DNA-binding protein SATB2</t>
  </si>
  <si>
    <t>Vesicle-trafficking protein SEC22a (Fragment)</t>
  </si>
  <si>
    <t>Coiled-coil-helix-coiled-coil-helix domain-containing protein 3, mitochondrial</t>
  </si>
  <si>
    <t>Dipeptidyl peptidase 8</t>
  </si>
  <si>
    <t>Solute carrier family 25 member 38 (Fragment)</t>
  </si>
  <si>
    <t>Actin, cytoplasmic 2 (Fragment)</t>
  </si>
  <si>
    <t>Transitional endoplasmic reticulum ATPase (Fragment)</t>
  </si>
  <si>
    <t>Interferon alpha/beta receptor 1</t>
  </si>
  <si>
    <t>Tetratricopeptide repeat protein 32 (Fragment)</t>
  </si>
  <si>
    <t>Forkhead box J3, isoform CRA_b (Fragment)</t>
  </si>
  <si>
    <t>Proline-rich protein 24</t>
  </si>
  <si>
    <t>60S ribosomal protein L24</t>
  </si>
  <si>
    <t>Nucleoside diphosphate-linked moiety X motif 22</t>
  </si>
  <si>
    <t>BAG family molecular chaperone regulator 1 (Fragment)</t>
  </si>
  <si>
    <t>Synaptophysin-like protein 1</t>
  </si>
  <si>
    <t>Inositol polyphosphate 5-phosphatase K (Fragment)</t>
  </si>
  <si>
    <t>ADP-ribosylation factor GTPase-activating protein 3</t>
  </si>
  <si>
    <t>Ubiquitin-conjugating enzyme E2 H (Fragment)</t>
  </si>
  <si>
    <t>Testis-specific serine kinase substrate</t>
  </si>
  <si>
    <t>Snurportin-1</t>
  </si>
  <si>
    <t>Suppressor of Ty 4 homolog 1 (S. cerevisiae), isoform CRA_b</t>
  </si>
  <si>
    <t>Phosphatidylcholine:ceramide cholinephosphotransferase 1</t>
  </si>
  <si>
    <t>60S ribosomal protein L32 (Fragment)</t>
  </si>
  <si>
    <t>Interleukin-1 receptor-associated kinase 1</t>
  </si>
  <si>
    <t>NADPH-dependent diflavin oxidoreductase 1</t>
  </si>
  <si>
    <t>Tapasin</t>
  </si>
  <si>
    <t>28S ribosomal protein S36, mitochondrial</t>
  </si>
  <si>
    <t>NEDD4-binding protein 2-like 2 (Fragment)</t>
  </si>
  <si>
    <t>Heterogeneous nuclear ribonucleoprotein A/B</t>
  </si>
  <si>
    <t>DNA-directed RNA polymerase III subunit RPC7 (Fragment)</t>
  </si>
  <si>
    <t>Cytochrome c oxidase subunit 7C, mitochondrial</t>
  </si>
  <si>
    <t>Complexin-1 (Fragment)</t>
  </si>
  <si>
    <t>Docking protein 3</t>
  </si>
  <si>
    <t>Transmembrane protein 161B</t>
  </si>
  <si>
    <t>ELMO domain-containing protein 2 (Fragment)</t>
  </si>
  <si>
    <t>Eukaryotic translation initiation factor 4E</t>
  </si>
  <si>
    <t>Estradiol 17-beta-dehydrogenase 11</t>
  </si>
  <si>
    <t>Tumor necrosis factor alpha-induced protein 8</t>
  </si>
  <si>
    <t>CXXC-type zinc finger protein 5 (Fragment)</t>
  </si>
  <si>
    <t>Eukaryotic translation elongation factor 1 epsilon-1 (Fragment)</t>
  </si>
  <si>
    <t>Phosphoacetylglucosamine mutase (Fragment)</t>
  </si>
  <si>
    <t>PRELI domain-containing protein 1, mitochondrial</t>
  </si>
  <si>
    <t>OCIA domain-containing protein 1 (Fragment)</t>
  </si>
  <si>
    <t>Ubiquitin-like-conjugating enzyme ATG10</t>
  </si>
  <si>
    <t>Glutamyl-tRNA(Gln) amidotransferase subunit B, mitochondrial</t>
  </si>
  <si>
    <t>CDC42 small effector protein 2</t>
  </si>
  <si>
    <t>Casein kinase I isoform alpha</t>
  </si>
  <si>
    <t>Putative sodium-coupled neutral amino acid transporter 9 (Fragment)</t>
  </si>
  <si>
    <t>Protein transport protein Sec31A</t>
  </si>
  <si>
    <t>Centrosomal protein of 120 kDa (Fragment)</t>
  </si>
  <si>
    <t>Syntaxin-18</t>
  </si>
  <si>
    <t>Phosphoribosylaminoimidazole carboxylase</t>
  </si>
  <si>
    <t>Deoxycytidine kinase</t>
  </si>
  <si>
    <t>Cytochrome b5 type B</t>
  </si>
  <si>
    <t>Septin 11, isoform CRA_b</t>
  </si>
  <si>
    <t>CCR4-NOT transcription complex subunit 6-like (Fragment)</t>
  </si>
  <si>
    <t>Centromere protein K</t>
  </si>
  <si>
    <t>Cyclin-H</t>
  </si>
  <si>
    <t>Ribonuclease T2 (Fragment)</t>
  </si>
  <si>
    <t>Cytochrome c oxidase subunit 7A2, mitochondrial</t>
  </si>
  <si>
    <t>Claudin domain-containing protein 1 (Fragment)</t>
  </si>
  <si>
    <t>Major facilitator superfamily domain-containing protein 10</t>
  </si>
  <si>
    <t>Zinc finger protein 346</t>
  </si>
  <si>
    <t>COMM domain containing 10, isoform CRA_b</t>
  </si>
  <si>
    <t>von Willebrand factor A domain-containing protein 8</t>
  </si>
  <si>
    <t>Protein MMS22-like</t>
  </si>
  <si>
    <t>Geminin (Fragment)</t>
  </si>
  <si>
    <t>E3 SUMO-protein ligase NSE2</t>
  </si>
  <si>
    <t>Inositol monophosphatase 1 (Fragment)</t>
  </si>
  <si>
    <t>Putative deoxyribonuclease TATDN1 (Fragment)</t>
  </si>
  <si>
    <t>RWD domain-containing protein 1 (Fragment)</t>
  </si>
  <si>
    <t>FCH and double SH3 domains protein 1</t>
  </si>
  <si>
    <t>Derlin-1</t>
  </si>
  <si>
    <t>Indoleamine 2,3-dioxygenase 1 (Fragment)</t>
  </si>
  <si>
    <t>RELT-like protein 2</t>
  </si>
  <si>
    <t>Serine/threonine-protein phosphatase (Fragment)</t>
  </si>
  <si>
    <t>Transcription elongation factor B polypeptide 1 (Fragment)</t>
  </si>
  <si>
    <t>Cytochrome b-c1 complex subunit 7</t>
  </si>
  <si>
    <t>Presenilin-2 CTF subunit (Fragment)</t>
  </si>
  <si>
    <t>Ankyrin repeat domain-containing protein 46 (Fragment)</t>
  </si>
  <si>
    <t>60S ribosomal protein L30 (Fragment)</t>
  </si>
  <si>
    <t>Vinexin (Fragment)</t>
  </si>
  <si>
    <t>TELO2-interacting protein 2</t>
  </si>
  <si>
    <t>DNA polymerase beta</t>
  </si>
  <si>
    <t>Transmembrane protein 55A</t>
  </si>
  <si>
    <t>Coiled-coil-helix-coiled-coil-helix domain-containing protein 7 (Fragment)</t>
  </si>
  <si>
    <t>Armadillo repeat-containing protein 1 (Fragment)</t>
  </si>
  <si>
    <t>Zinc finger transcription factor Trps1</t>
  </si>
  <si>
    <t>AN1-type zinc finger protein 1</t>
  </si>
  <si>
    <t>2,4-dienoyl-CoA reductase, mitochondrial (Fragment)</t>
  </si>
  <si>
    <t>39S ribosomal protein L13, mitochondrial (Fragment)</t>
  </si>
  <si>
    <t>S-phase kinase-associated protein 1</t>
  </si>
  <si>
    <t>SPARC (Fragment)</t>
  </si>
  <si>
    <t>Centrin-3</t>
  </si>
  <si>
    <t>GPI ethanolamine phosphate transferase 2</t>
  </si>
  <si>
    <t>COP9 signalosome complex subunit 6</t>
  </si>
  <si>
    <t>E3 ubiquitin-protein ligase RNF5</t>
  </si>
  <si>
    <t>Aspartyl aminopeptidase</t>
  </si>
  <si>
    <t>Acid ceramidase</t>
  </si>
  <si>
    <t>Ankycorbin</t>
  </si>
  <si>
    <t>Menin</t>
  </si>
  <si>
    <t>Dyslexia-associated protein KIAA0319-like protein (Fragment)</t>
  </si>
  <si>
    <t>Zinc finger protein 143</t>
  </si>
  <si>
    <t>Nicastrin</t>
  </si>
  <si>
    <t>Calcium-binding and coiled-coil domain-containing protein 2</t>
  </si>
  <si>
    <t>Nesprin-1</t>
  </si>
  <si>
    <t>Double-stranded RNA-specific adenosine deaminase</t>
  </si>
  <si>
    <t>Leucine-rich repeat and fibronectin type-III domain-containing protein 4</t>
  </si>
  <si>
    <t>UPF0449 protein C19orf25</t>
  </si>
  <si>
    <t>60S ribosomal protein L14</t>
  </si>
  <si>
    <t>Target of Myb protein 1</t>
  </si>
  <si>
    <t>Pyridoxal-dependent decarboxylase domain-containing protein 1</t>
  </si>
  <si>
    <t>Protein PRRC2C</t>
  </si>
  <si>
    <t>Syntaxin-binding protein 4</t>
  </si>
  <si>
    <t>NADH dehydrogenase [ubiquinone] flavoprotein 2, mitochondrial</t>
  </si>
  <si>
    <t>Alpha-synuclein</t>
  </si>
  <si>
    <t>Suppressor of tumorigenicity 7 protein</t>
  </si>
  <si>
    <t>TNFAIP3-interacting protein 1</t>
  </si>
  <si>
    <t>DNA-directed RNA polymerase I subunit RPA34</t>
  </si>
  <si>
    <t>Beta-galactosidase</t>
  </si>
  <si>
    <t>N-alpha-acetyltransferase 50</t>
  </si>
  <si>
    <t>Atrial natriuretic peptide-converting enzyme, 180 kDa soluble fragment</t>
  </si>
  <si>
    <t>WASH complex subunit strumpellin</t>
  </si>
  <si>
    <t>Heterogeneous nuclear ribonucleoprotein H (Fragment)</t>
  </si>
  <si>
    <t>Sentrin-specific protease 6</t>
  </si>
  <si>
    <t>Protein YIPF3</t>
  </si>
  <si>
    <t>Dystrophin</t>
  </si>
  <si>
    <t>Methylcytosine dioxygenase TET2</t>
  </si>
  <si>
    <t>Apoptotic chromatin condensation inducer in the nucleus</t>
  </si>
  <si>
    <t>Ribosomal protein L15 (Fragment)</t>
  </si>
  <si>
    <t>Protein FAM91A1</t>
  </si>
  <si>
    <t>Endoplasmic reticulum metallopeptidase 1</t>
  </si>
  <si>
    <t>GEM-interacting protein</t>
  </si>
  <si>
    <t>Calcium-transporting ATPase type 2C member 1</t>
  </si>
  <si>
    <t>Microtubule-associated serine/threonine-protein kinase 2</t>
  </si>
  <si>
    <t>Zinc finger CCCH domain-containing protein 18</t>
  </si>
  <si>
    <t>Transcription cofactor vestigial-like protein 4 (Fragment)</t>
  </si>
  <si>
    <t>Heat shock 70 kDa protein 4L</t>
  </si>
  <si>
    <t>Presenilin-1</t>
  </si>
  <si>
    <t>Exportin-7</t>
  </si>
  <si>
    <t>WASH complex subunit FAM21A</t>
  </si>
  <si>
    <t>N-acetyltransferase 10</t>
  </si>
  <si>
    <t>C-terminal-binding protein 1 (Fragment)</t>
  </si>
  <si>
    <t>NADH dehydrogenase [ubiquinone] 1 alpha subcomplex subunit 10, mitochondrial</t>
  </si>
  <si>
    <t>U2 snRNP-associated SURP motif-containing protein</t>
  </si>
  <si>
    <t>Nuclear pore complex protein Nup205</t>
  </si>
  <si>
    <t>Sn1-specific diacylglycerol lipase beta</t>
  </si>
  <si>
    <t>Probable E3 ubiquitin-protein ligase DTX2</t>
  </si>
  <si>
    <t>Uncharacterized protein C1orf112</t>
  </si>
  <si>
    <t>40S ribosomal protein S24</t>
  </si>
  <si>
    <t>Protein SYS1 homolog</t>
  </si>
  <si>
    <t>Serine/threonine-protein kinase MARK2</t>
  </si>
  <si>
    <t>Basic leucine zipper and W2 domain-containing protein 2 (Fragment)</t>
  </si>
  <si>
    <t>Helicase ARIP4</t>
  </si>
  <si>
    <t>Rab GDP dissociation inhibitor beta</t>
  </si>
  <si>
    <t>Protein CBFA2T3</t>
  </si>
  <si>
    <t>Casein kinase II subunit alpha</t>
  </si>
  <si>
    <t>UTP--glucose-1-phosphate uridylyltransferase</t>
  </si>
  <si>
    <t>Condensin-2 complex subunit G2</t>
  </si>
  <si>
    <t>Sperm-specific antigen 2</t>
  </si>
  <si>
    <t>Nucleoporin p54</t>
  </si>
  <si>
    <t>Arf-GAP with GTPase, ANK repeat and PH domain-containing protein 1</t>
  </si>
  <si>
    <t>Latent-transforming growth factor beta-binding protein 4</t>
  </si>
  <si>
    <t>Propionyl-CoA carboxylase beta chain, mitochondrial</t>
  </si>
  <si>
    <t>RWD domain-containing protein 4</t>
  </si>
  <si>
    <t>PiggyBac transposable element-derived protein 3</t>
  </si>
  <si>
    <t>Methyl-CpG-binding domain protein 1</t>
  </si>
  <si>
    <t>Alpha-adducin</t>
  </si>
  <si>
    <t>Microtubule-associated protein</t>
  </si>
  <si>
    <t>Autophagy-related protein 16-1</t>
  </si>
  <si>
    <t>Kinesin light chain 1</t>
  </si>
  <si>
    <t>Pseudouridine-5-monophosphatase (Fragment)</t>
  </si>
  <si>
    <t>Mitochondrial GTPase 1</t>
  </si>
  <si>
    <t>T-cell acute lymphocytic leukemia protein 1</t>
  </si>
  <si>
    <t>14-3-3 protein zeta/delta (Fragment)</t>
  </si>
  <si>
    <t>Protein SDA1 homolog</t>
  </si>
  <si>
    <t>Unconventional myosin-VI</t>
  </si>
  <si>
    <t>Vacuolar fusion protein MON1 homolog B</t>
  </si>
  <si>
    <t>NADH dehydrogenase [ubiquinone] 1 beta subcomplex subunit 5, mitochondrial</t>
  </si>
  <si>
    <t>Microtubule-associated serine/threonine-protein kinase 4</t>
  </si>
  <si>
    <t>Eukaryotic translation initiation factor 4B</t>
  </si>
  <si>
    <t>Eukaryotic translation initiation factor 4 gamma 1</t>
  </si>
  <si>
    <t>Dynactin subunit 1</t>
  </si>
  <si>
    <t>DENN domain-containing protein 4B (Fragment)</t>
  </si>
  <si>
    <t>5-nucleotidase domain-containing protein 2</t>
  </si>
  <si>
    <t>Ribonucleoprotein PTB-binding 1</t>
  </si>
  <si>
    <t>Pyruvate dehydrogenase protein X component, mitochondrial</t>
  </si>
  <si>
    <t>THO complex subunit 4</t>
  </si>
  <si>
    <t>Acylglycerol kinase, mitochondrial</t>
  </si>
  <si>
    <t>Mitotic checkpoint serine/threonine-protein kinase BUB1</t>
  </si>
  <si>
    <t>Receptor-type tyrosine-protein phosphatase C</t>
  </si>
  <si>
    <t>Translation initiation factor eIF-2B subunit epsilon</t>
  </si>
  <si>
    <t>Folliculin-interacting protein 1</t>
  </si>
  <si>
    <t>Beta-glucuronidase</t>
  </si>
  <si>
    <t>Golgi SNAP receptor complex member 1</t>
  </si>
  <si>
    <t>Heterogeneous nuclear ribonucleoprotein H</t>
  </si>
  <si>
    <t>Glycophorin-A</t>
  </si>
  <si>
    <t>Protein SMG7</t>
  </si>
  <si>
    <t>PX domain-containing protein kinase-like protein</t>
  </si>
  <si>
    <t>Cytoskeleton-associated protein 2</t>
  </si>
  <si>
    <t>Neuromedin-U</t>
  </si>
  <si>
    <t>Rho guanine nucleotide exchange factor 7</t>
  </si>
  <si>
    <t>Integrin beta</t>
  </si>
  <si>
    <t>3-phosphoinositide-dependent protein kinase 1</t>
  </si>
  <si>
    <t>Protein diaphanous homolog 1</t>
  </si>
  <si>
    <t>Nuclear pore complex protein Nup155</t>
  </si>
  <si>
    <t>Hydroxyacyl-coenzyme A dehydrogenase, mitochondrial</t>
  </si>
  <si>
    <t>Transducin beta-like protein 2</t>
  </si>
  <si>
    <t>Mitochondrial thiamine pyrophosphate carrier</t>
  </si>
  <si>
    <t>Rab5 GDP/GTP exchange factor</t>
  </si>
  <si>
    <t>Serine/threonine-protein phosphatase 2A 56 kDa regulatory subunit delta isoform</t>
  </si>
  <si>
    <t>Uncharacterized protein C3orf38</t>
  </si>
  <si>
    <t>Centrosomal protein of 97 kDa</t>
  </si>
  <si>
    <t>Solute carrier family 25 member 44</t>
  </si>
  <si>
    <t>Translin</t>
  </si>
  <si>
    <t>COP9 signalosome complex subunit 8</t>
  </si>
  <si>
    <t>Mediator of RNA polymerase II transcription subunit 22 (Fragment)</t>
  </si>
  <si>
    <t>Thioredoxin-dependent peroxide reductase, mitochondrial</t>
  </si>
  <si>
    <t>NADH dehydrogenase [ubiquinone] 1 beta subcomplex subunit 9</t>
  </si>
  <si>
    <t>Zinc finger protein 451</t>
  </si>
  <si>
    <t>Methylcrotonoyl-CoA carboxylase subunit alpha, mitochondrial</t>
  </si>
  <si>
    <t>Cytochrome P450 20A1</t>
  </si>
  <si>
    <t>Probable leucine--tRNA ligase, mitochondrial</t>
  </si>
  <si>
    <t>Bromodomain and PHD finger-containing protein 3</t>
  </si>
  <si>
    <t>Zinc finger protein GLI1 (Fragment)</t>
  </si>
  <si>
    <t>Mitochondrial carrier homolog 2 (Fragment)</t>
  </si>
  <si>
    <t>Thioredoxin reductase 1, cytoplasmic</t>
  </si>
  <si>
    <t>Myomegalin</t>
  </si>
  <si>
    <t>UBX domain-containing protein 1 (Fragment)</t>
  </si>
  <si>
    <t>Selenoprotein S</t>
  </si>
  <si>
    <t>Cysteine and histidine-rich protein 1</t>
  </si>
  <si>
    <t>Breast cancer metastasis-suppressor 1 (Fragment)</t>
  </si>
  <si>
    <t>CD81 antigen</t>
  </si>
  <si>
    <t>F-box only protein 3</t>
  </si>
  <si>
    <t>Bcl-2-associated transcription factor 1</t>
  </si>
  <si>
    <t>CAAX prenyl protease 2</t>
  </si>
  <si>
    <t>Protein arginine N-methyltransferase 1</t>
  </si>
  <si>
    <t>Nucleolar transcription factor 1</t>
  </si>
  <si>
    <t>Porimin</t>
  </si>
  <si>
    <t>39S ribosomal protein L17, mitochondrial (Fragment)</t>
  </si>
  <si>
    <t>Tetratricopeptide repeat protein 9C (Fragment)</t>
  </si>
  <si>
    <t>60S ribosomal protein L8 (Fragment)</t>
  </si>
  <si>
    <t>Signal peptidase complex subunit 2</t>
  </si>
  <si>
    <t>Collectin-12</t>
  </si>
  <si>
    <t>Hypoxia up-regulated protein 1</t>
  </si>
  <si>
    <t>Etoposide-induced protein 2.4 homolog (Fragment)</t>
  </si>
  <si>
    <t>Protein NEDD8-MDP1 (Fragment)</t>
  </si>
  <si>
    <t>Ribonucleoside-diphosphate reductase large subunit</t>
  </si>
  <si>
    <t>Acidic mammalian chitinase (Fragment)</t>
  </si>
  <si>
    <t>60S ribosomal protein L27a</t>
  </si>
  <si>
    <t>RING finger protein 141 (Fragment)</t>
  </si>
  <si>
    <t>Microtubule-actin cross-linking factor 1, isoforms 1/2/3/5 (Fragment)</t>
  </si>
  <si>
    <t>Tyrosine-protein kinase</t>
  </si>
  <si>
    <t>Small acidic protein (Fragment)</t>
  </si>
  <si>
    <t>Protein FAM118B (Fragment)</t>
  </si>
  <si>
    <t>Heat shock factor protein 1</t>
  </si>
  <si>
    <t>CD151 antigen</t>
  </si>
  <si>
    <t>Peroxisomal membrane protein PEX16</t>
  </si>
  <si>
    <t>LIM domain only protein 7</t>
  </si>
  <si>
    <t>Heat shock cognate 71 kDa protein (Fragment)</t>
  </si>
  <si>
    <t>Receptor-binding cancer antigen-expressed on SiSo cells</t>
  </si>
  <si>
    <t>Tumor protein D53</t>
  </si>
  <si>
    <t>6-pyruvoyl tetrahydrobiopterin synthase</t>
  </si>
  <si>
    <t>Mth938 domain-containing protein</t>
  </si>
  <si>
    <t>Rho GTPase-activating protein 27</t>
  </si>
  <si>
    <t>CD59 glycoprotein</t>
  </si>
  <si>
    <t>Putative deoxyribose-phosphate aldolase</t>
  </si>
  <si>
    <t>Glycosylphosphatidylinositol anchor attachment 1 protein (Fragment)</t>
  </si>
  <si>
    <t>Nuclear factor-related to kappa-B-binding protein (Fragment)</t>
  </si>
  <si>
    <t>Lysosomal acid phosphatase</t>
  </si>
  <si>
    <t>40S ribosomal protein S30</t>
  </si>
  <si>
    <t>Repressor of RNA polymerase III transcription MAF1 homolog (Fragment)</t>
  </si>
  <si>
    <t>Putative deoxyribonuclease TATDN3 (Fragment)</t>
  </si>
  <si>
    <t>Probable RNA-binding protein EIF1AD</t>
  </si>
  <si>
    <t>Elongation factor 1-delta</t>
  </si>
  <si>
    <t>Fatty acid desaturase 3</t>
  </si>
  <si>
    <t>N-terminal kinase-like protein</t>
  </si>
  <si>
    <t>Protein NEDD8-MDP1</t>
  </si>
  <si>
    <t>Transmembrane 9 superfamily member 1</t>
  </si>
  <si>
    <t>6-phosphofructo-2-kinase</t>
  </si>
  <si>
    <t>tRNA (guanine(10)-N2)-methyltransferase homolog</t>
  </si>
  <si>
    <t>Myosin-14</t>
  </si>
  <si>
    <t>Copine-1 (Fragment)</t>
  </si>
  <si>
    <t>tRNA (uracil-5-)-methyltransferase homolog A</t>
  </si>
  <si>
    <t>Exportin-4</t>
  </si>
  <si>
    <t>Rab-like protein 2B</t>
  </si>
  <si>
    <t>General transcription factor IIH subunit 3 (Fragment)</t>
  </si>
  <si>
    <t>Transmembrane protein 258</t>
  </si>
  <si>
    <t>Adenosine deaminase</t>
  </si>
  <si>
    <t>WASH complex subunit CCDC53</t>
  </si>
  <si>
    <t>PCTP-like protein (Fragment)</t>
  </si>
  <si>
    <t>Serine/threonine-protein kinase WNK1</t>
  </si>
  <si>
    <t>Serpin B11</t>
  </si>
  <si>
    <t>Mothers against decapentaplegic homolog 5</t>
  </si>
  <si>
    <t>Chromodomain-helicase-DNA-binding protein 4</t>
  </si>
  <si>
    <t>Protein FAM76B</t>
  </si>
  <si>
    <t>Cytosine-specific methyltransferase</t>
  </si>
  <si>
    <t>Protein furry homolog-like</t>
  </si>
  <si>
    <t>Succinyl-CoA ligase [ADP-forming] subunit beta, mitochondrial</t>
  </si>
  <si>
    <t>AF4/FMR2 family member 1</t>
  </si>
  <si>
    <t>DnaJ homolog subfamily B member 11</t>
  </si>
  <si>
    <t>Dolichyl-diphosphooligosaccharide--protein glycosyltransferase subunit DAD1</t>
  </si>
  <si>
    <t>Spindle assembly abnormal protein 6 homolog</t>
  </si>
  <si>
    <t>Vasculin</t>
  </si>
  <si>
    <t>Polypeptide N-acetylgalactosaminyltransferase 1 soluble form</t>
  </si>
  <si>
    <t>ATP-binding cassette sub-family D member 3</t>
  </si>
  <si>
    <t>MAP7 domain-containing protein 2</t>
  </si>
  <si>
    <t>Ubiquitin thioesterase OTUB1</t>
  </si>
  <si>
    <t>V-type proton ATPase subunit d 1</t>
  </si>
  <si>
    <t>Homeobox protein Meis1</t>
  </si>
  <si>
    <t>Denticleless protein homolog</t>
  </si>
  <si>
    <t>Ras-related protein Rap-1b (Fragment)</t>
  </si>
  <si>
    <t>Probable ATP-dependent RNA helicase DHX36</t>
  </si>
  <si>
    <t>4F2 cell-surface antigen heavy chain</t>
  </si>
  <si>
    <t>Rho GTPase-activating protein 4</t>
  </si>
  <si>
    <t>Constitutive coactivator of peroxisome proliferator-activated receptor gamma</t>
  </si>
  <si>
    <t>Alpha-ketoglutarate-dependent dioxygenase alkB homolog 2 (Fragment)</t>
  </si>
  <si>
    <t>E3 ubiquitin-protein ligase TRIM21</t>
  </si>
  <si>
    <t>Lysine-specific demethylase 3A</t>
  </si>
  <si>
    <t>Anaphase-promoting complex subunit 5</t>
  </si>
  <si>
    <t>Transcription factor SOX-5</t>
  </si>
  <si>
    <t>Kinase suppressor of Ras 1</t>
  </si>
  <si>
    <t>SEC23-interacting protein</t>
  </si>
  <si>
    <t>CLK4-associating serine/arginine-rich protein</t>
  </si>
  <si>
    <t>Speckle targeted PIP5K1A-regulated poly(A) polymerase</t>
  </si>
  <si>
    <t>Glycolipid transfer protein</t>
  </si>
  <si>
    <t>Coiled-coil domain-containing protein 180</t>
  </si>
  <si>
    <t>Zinc finger protein 562</t>
  </si>
  <si>
    <t>Abl interactor 1</t>
  </si>
  <si>
    <t>Thioredoxin reductase 2, mitochondrial</t>
  </si>
  <si>
    <t>Lipopolysaccharide-responsive and beige-like anchor protein</t>
  </si>
  <si>
    <t>RAD51-associated protein 1</t>
  </si>
  <si>
    <t>Transmembrane protein 135</t>
  </si>
  <si>
    <t>Phosphatidylinositol 4-phosphate 3-kinase C2 domain-containing subunit alpha</t>
  </si>
  <si>
    <t>Ankyrin repeat and LEM domain-containing protein 2</t>
  </si>
  <si>
    <t>Vacuole membrane protein 1</t>
  </si>
  <si>
    <t>Protein lunapark</t>
  </si>
  <si>
    <t>Dynactin subunit 2</t>
  </si>
  <si>
    <t>Serine/threonine-protein kinase PRP4 homolog</t>
  </si>
  <si>
    <t>Cip1-interacting zinc finger protein</t>
  </si>
  <si>
    <t>Pre-mRNA-splicing factor SYF1</t>
  </si>
  <si>
    <t>Protein transport protein Sec23A</t>
  </si>
  <si>
    <t>Carbohydrate sulfotransferase 10</t>
  </si>
  <si>
    <t>Tumor susceptibility gene 101 protein</t>
  </si>
  <si>
    <t>Frizzled-10</t>
  </si>
  <si>
    <t>Cell cycle checkpoint control protein RAD9A</t>
  </si>
  <si>
    <t>Melanoma antigen preferentially-expressed in tumors</t>
  </si>
  <si>
    <t>Importin subunit alpha</t>
  </si>
  <si>
    <t>Vacuolar protein sorting-associated protein 37C (Fragment)</t>
  </si>
  <si>
    <t>Ecotropic viral integration site 5 protein homolog</t>
  </si>
  <si>
    <t>Nuclear factor of-activated T-cells, cytoplasmic 1</t>
  </si>
  <si>
    <t>Programmed cell death protein 2</t>
  </si>
  <si>
    <t>Proteasome inhibitor PI31 subunit</t>
  </si>
  <si>
    <t>G/T mismatch-specific thymine DNA glycosylase (Fragment)</t>
  </si>
  <si>
    <t>Eukaryotic translation initiation factor 4 gamma 3</t>
  </si>
  <si>
    <t>V-type proton ATPase 116 kDa subunit a isoform 1</t>
  </si>
  <si>
    <t>Protein BRICK1</t>
  </si>
  <si>
    <t>Nuclear pore complex protein Nup133</t>
  </si>
  <si>
    <t>Tubulin alpha-1C chain</t>
  </si>
  <si>
    <t>Calsyntenin-3 (Fragment)</t>
  </si>
  <si>
    <t>G-rich sequence factor 1</t>
  </si>
  <si>
    <t>Interferon gamma receptor 1</t>
  </si>
  <si>
    <t>Serine/threonine-protein kinase MRCK alpha</t>
  </si>
  <si>
    <t>NADH dehydrogenase [ubiquinone] iron-sulfur protein 7, mitochondrial</t>
  </si>
  <si>
    <t>2-oxoisovalerate dehydrogenase subunit alpha, mitochondrial</t>
  </si>
  <si>
    <t>Probable sodium-coupled neutral amino acid transporter 6</t>
  </si>
  <si>
    <t>ATP-dependent RNA helicase DDX55</t>
  </si>
  <si>
    <t>Lysine-specific demethylase 6A</t>
  </si>
  <si>
    <t>CLIP-associating protein 2</t>
  </si>
  <si>
    <t>Oxidoreductase NAD-binding domain-containing protein 1</t>
  </si>
  <si>
    <t>C-type lectin domain family 2 member B</t>
  </si>
  <si>
    <t>YY1-associated protein 1</t>
  </si>
  <si>
    <t>Antigen peptide transporter 1</t>
  </si>
  <si>
    <t>Leucine--tRNA ligase, cytoplasmic</t>
  </si>
  <si>
    <t>BTB/POZ domain-containing adapter for CUL3-mediated RhoA degradation protein 3 (Fragment)</t>
  </si>
  <si>
    <t>Cyclin-dependent kinase 17</t>
  </si>
  <si>
    <t>Axin interactor, dorsalization-associated protein</t>
  </si>
  <si>
    <t>WW domain-binding protein 11</t>
  </si>
  <si>
    <t>Coiled-coil domain-containing protein 82 (Fragment)</t>
  </si>
  <si>
    <t>Microsomal glutathione S-transferase 1 (Fragment)</t>
  </si>
  <si>
    <t>GA-binding protein subunit beta-1</t>
  </si>
  <si>
    <t>Regulatory-associated protein of mTOR</t>
  </si>
  <si>
    <t>Maltase-glucoamylase, intestinal</t>
  </si>
  <si>
    <t>EF-hand calcium-binding domain-containing protein 14</t>
  </si>
  <si>
    <t>Lactadherin short form</t>
  </si>
  <si>
    <t>Non-lysosomal glucosylceramidase</t>
  </si>
  <si>
    <t>2-oxoglutarate dehydrogenase, mitochondrial</t>
  </si>
  <si>
    <t>Protein O-linked-mannose beta-1,2-N-acetylglucosaminyltransferase 1</t>
  </si>
  <si>
    <t>Type I inositol 3,4-bisphosphate 4-phosphatase</t>
  </si>
  <si>
    <t>Mediator of RNA polymerase II transcription subunit 21</t>
  </si>
  <si>
    <t>Heat shock protein 75 kDa, mitochondrial</t>
  </si>
  <si>
    <t>DNA repair protein XRCC1</t>
  </si>
  <si>
    <t>Mevalonate kinase</t>
  </si>
  <si>
    <t>Cleft lip and palate transmembrane protein 1</t>
  </si>
  <si>
    <t>Rab GTPase-activating protein 1-like</t>
  </si>
  <si>
    <t>Epsin-2 (Fragment)</t>
  </si>
  <si>
    <t>ELM2 and SANT domain-containing protein 1 (Fragment)</t>
  </si>
  <si>
    <t>2,5-phosphodiesterase 12</t>
  </si>
  <si>
    <t>Large proline-rich protein BAG6 (Fragment)</t>
  </si>
  <si>
    <t>Calcineurin subunit B type 1</t>
  </si>
  <si>
    <t>Eukaryotic translation initiation factor 4B (Fragment)</t>
  </si>
  <si>
    <t>DNA fragmentation factor subunit beta</t>
  </si>
  <si>
    <t>Spliceosome RNA helicase DDX39B</t>
  </si>
  <si>
    <t>LIM domain and actin-binding protein 1</t>
  </si>
  <si>
    <t>Cysteine and glycine-rich protein 2</t>
  </si>
  <si>
    <t>Methyltransferase-like protein 7A (Fragment)</t>
  </si>
  <si>
    <t>Methionine aminopeptidase</t>
  </si>
  <si>
    <t>Poly(rC)-binding protein 2 (Fragment)</t>
  </si>
  <si>
    <t>Nuclear transcription factor Y subunit beta (Fragment)</t>
  </si>
  <si>
    <t>Plexin-A1</t>
  </si>
  <si>
    <t>Protein POC1B-GALNT4</t>
  </si>
  <si>
    <t>Sodium-coupled neutral amino acid transporter 2</t>
  </si>
  <si>
    <t>CCR4-NOT transcription complex subunit 2 (Fragment)</t>
  </si>
  <si>
    <t>Nucleosome assembly protein 1-like 1</t>
  </si>
  <si>
    <t>Coatomer subunit zeta-1</t>
  </si>
  <si>
    <t>Transmembrane protein 106C</t>
  </si>
  <si>
    <t>2-methoxy-6-polyprenyl-1,4-benzoquinol methylase, mitochondrial (Fragment)</t>
  </si>
  <si>
    <t>Tetraspanin-31 (Fragment)</t>
  </si>
  <si>
    <t>Protein MON2 homolog</t>
  </si>
  <si>
    <t>Putative Dol-P-Glc:Glc(2)Man(9)GlcNAc(2)-PP-Dol alpha-1,2-glucosyltransferase</t>
  </si>
  <si>
    <t>Protein SCAF11</t>
  </si>
  <si>
    <t>ARF GTPase-activating protein GIT2</t>
  </si>
  <si>
    <t>Vacuolar protein sorting-associated protein 29</t>
  </si>
  <si>
    <t>Nucleosome assembly protein 1-like 1 (Fragment)</t>
  </si>
  <si>
    <t>Serine/threonine-protein phosphatase</t>
  </si>
  <si>
    <t>Aladin</t>
  </si>
  <si>
    <t>Protein unc-13 homolog A</t>
  </si>
  <si>
    <t>Nascent polypeptide-associated complex subunit alpha</t>
  </si>
  <si>
    <t>Periphilin-1</t>
  </si>
  <si>
    <t>AT-rich interactive domain-containing protein 2</t>
  </si>
  <si>
    <t>Transcription factor NF-E2 45 kDa subunit (Fragment)</t>
  </si>
  <si>
    <t>DNA-binding protein RFX5 (Fragment)</t>
  </si>
  <si>
    <t>Heterogeneous nuclear ribonucleoprotein A1</t>
  </si>
  <si>
    <t>Palmitoyltransferase ZDHHC3</t>
  </si>
  <si>
    <t>Membrane-associated guanylate kinase, WW and PDZ domain-containing protein 1</t>
  </si>
  <si>
    <t>Tripartite motif-containing protein 5</t>
  </si>
  <si>
    <t>Adiponectin receptor protein 1</t>
  </si>
  <si>
    <t>Coiled-coil domain-containing protein 178</t>
  </si>
  <si>
    <t>Molybdopterin molybdenumtransferase</t>
  </si>
  <si>
    <t>Ugl-Y3</t>
  </si>
  <si>
    <t>Protein FAM162A</t>
  </si>
  <si>
    <t>KAT8 regulatory NSL complex subunit 3</t>
  </si>
  <si>
    <t>Vezatin (Fragment)</t>
  </si>
  <si>
    <t>Histone RNA hairpin-binding protein</t>
  </si>
  <si>
    <t>Ras-related protein Rab-24</t>
  </si>
  <si>
    <t>Nucleolysin TIA-1 isoform p40</t>
  </si>
  <si>
    <t>Insulin-like growth factor 2 mRNA-binding protein 2</t>
  </si>
  <si>
    <t>Inositol hexakisphosphate and diphosphoinositol-pentakisphosphate kinase 1</t>
  </si>
  <si>
    <t>Synaptotagmin-like protein 4</t>
  </si>
  <si>
    <t>Afadin (Fragment)</t>
  </si>
  <si>
    <t>Leukocyte receptor cluster member 8</t>
  </si>
  <si>
    <t>Coiled-coil domain-containing protein 93</t>
  </si>
  <si>
    <t>Myotubularin-related protein 1</t>
  </si>
  <si>
    <t>Uridine kinase</t>
  </si>
  <si>
    <t>Cohesin subunit SA-2</t>
  </si>
  <si>
    <t>39S ribosomal protein L40, mitochondrial</t>
  </si>
  <si>
    <t>PIN2/TERF1-interacting telomerase inhibitor 1</t>
  </si>
  <si>
    <t>GTP-binding protein 8</t>
  </si>
  <si>
    <t>Decapping and exoribonuclease protein</t>
  </si>
  <si>
    <t>SAC3 domain-containing protein 1</t>
  </si>
  <si>
    <t>E3 ubiquitin-protein ligase RNF149</t>
  </si>
  <si>
    <t>Kinesin-like protein KIF21A</t>
  </si>
  <si>
    <t>Probable ATP-dependent RNA helicase DDX56</t>
  </si>
  <si>
    <t>DNA-directed RNA polymerase III subunit RPC8</t>
  </si>
  <si>
    <t>Nuclease EXOG, mitochondrial</t>
  </si>
  <si>
    <t>DNA (cytosine-5)-methyltransferase 3A</t>
  </si>
  <si>
    <t>Methylmalonic aciduria and homocystinuria type D protein, mitochondrial</t>
  </si>
  <si>
    <t>AN1-type zinc finger protein 2B</t>
  </si>
  <si>
    <t>COBW domain-containing protein 2</t>
  </si>
  <si>
    <t>Interferon-inducible double stranded RNA-dependent protein kinase activator A</t>
  </si>
  <si>
    <t>Translocation protein SEC62</t>
  </si>
  <si>
    <t>Dol-P-Man:Man(5)GlcNAc(2)-PP-Dol alpha-1,3-mannosyltransferase</t>
  </si>
  <si>
    <t>NADH dehydrogenase (Ubiquinone) flavoprotein 1, 51kDa, isoform CRA_c</t>
  </si>
  <si>
    <t>OTU domain containing 4, isoform CRA_f</t>
  </si>
  <si>
    <t>Poly (ADP-ribose) polymerase family, member 2, isoform CRA_a</t>
  </si>
  <si>
    <t>Apoptosis inhibitor 5</t>
  </si>
  <si>
    <t>Dipeptidyl peptidase 3</t>
  </si>
  <si>
    <t>Paraoxonase 2, isoform CRA_a</t>
  </si>
  <si>
    <t>Tight junction protein 1 (Zona occludens 1), isoform CRA_a</t>
  </si>
  <si>
    <t>HCG1745306, isoform CRA_a</t>
  </si>
  <si>
    <t>Ubiquitin carboxyl-terminal hydrolase 28</t>
  </si>
  <si>
    <t>Loss of heterozygosity 12 chromosomal region 1 protein</t>
  </si>
  <si>
    <t>Leprecan-like 2, isoform CRA_c</t>
  </si>
  <si>
    <t>Septin 7, isoform CRA_a</t>
  </si>
  <si>
    <t>Polyamine modulated factor 1 binding protein 1, isoform CRA_b</t>
  </si>
  <si>
    <t>Acyl-CoA synthetase long-chain family member 6, isoform CRA_c</t>
  </si>
  <si>
    <t>Golgi transport 1 homolog B (S. cerevisiae), isoform CRA_c</t>
  </si>
  <si>
    <t>Family with sequence similarity 112, member B, isoform CRA_b</t>
  </si>
  <si>
    <t>YY1 associated factor 2, isoform CRA_g</t>
  </si>
  <si>
    <t>60S ribosomal protein L18</t>
  </si>
  <si>
    <t>Methyltransferase-like protein 10</t>
  </si>
  <si>
    <t>C-1-tetrahydrofolate synthase, cytoplasmic</t>
  </si>
  <si>
    <t>HCG2044781</t>
  </si>
  <si>
    <t>Acylphosphatase</t>
  </si>
  <si>
    <t>Pentatricopeptide repeat-containing protein 1, mitochondrial</t>
  </si>
  <si>
    <t>Fermitin family homolog 2</t>
  </si>
  <si>
    <t>DDB1- and CUL4-associated factor 8</t>
  </si>
  <si>
    <t>A-kinase anchor protein 6</t>
  </si>
  <si>
    <t>NF-kappa-B inhibitor alpha</t>
  </si>
  <si>
    <t>DNA repair protein XRCC3</t>
  </si>
  <si>
    <t>Ataxin-3 (Fragment)</t>
  </si>
  <si>
    <t>Mediator of RNA polymerase II transcription subunit 6</t>
  </si>
  <si>
    <t>Ectonucleoside triphosphate diphosphohydrolase 5</t>
  </si>
  <si>
    <t>AP-4 complex subunit sigma-1 (Fragment)</t>
  </si>
  <si>
    <t>Heterogeneous nuclear ribonucleoproteins C1/C2 (Fragment)</t>
  </si>
  <si>
    <t>Protein FAM177A1 (Fragment)</t>
  </si>
  <si>
    <t>Acylphosphatase-1</t>
  </si>
  <si>
    <t>cTAGE family member 5</t>
  </si>
  <si>
    <t>Zinc finger FYVE domain-containing protein 1</t>
  </si>
  <si>
    <t>Maleylacetoacetate isomerase</t>
  </si>
  <si>
    <t>Cyclin-dependent kinase 2</t>
  </si>
  <si>
    <t>T1-TrpRS (Fragment)</t>
  </si>
  <si>
    <t>Proteasome subunit alpha type</t>
  </si>
  <si>
    <t>Nucleoporin NDC1</t>
  </si>
  <si>
    <t>AT rich interactive domain 1B (SWI1-like), isoform CRA_a</t>
  </si>
  <si>
    <t>Tetratricopeptide repeat domain 17, isoform CRA_c</t>
  </si>
  <si>
    <t>Solute carrier family 26 member 6</t>
  </si>
  <si>
    <t>HCG2002594, isoform CRA_c</t>
  </si>
  <si>
    <t>Laminin subunit beta-1</t>
  </si>
  <si>
    <t>Protein FAM133B</t>
  </si>
  <si>
    <t>Nuclear receptor coactivator 3</t>
  </si>
  <si>
    <t>Mitochondrial import inner membrane translocase subunit Tim8 B</t>
  </si>
  <si>
    <t>ATP-binding cassette sub-family B member 8, mitochondrial</t>
  </si>
  <si>
    <t>Myotubularin-related protein 5</t>
  </si>
  <si>
    <t>Mitogen-activated protein kinase kinase kinase kinase 4</t>
  </si>
  <si>
    <t>Myotubularin related protein 3, isoform CRA_e</t>
  </si>
  <si>
    <t>SWI/SNF related, matrix associated, actin dependent regulator of chromatin, subfamily b, member 1, isoform CRA_c</t>
  </si>
  <si>
    <t>G protein-coupled receptor 107, isoform CRA_c</t>
  </si>
  <si>
    <t>Son of sevenless homolog 1</t>
  </si>
  <si>
    <t>Epithelial cell transforming sequence 2 oncogene, isoform CRA_b</t>
  </si>
  <si>
    <t>Ectonucleoside triphosphate diphosphohydrolase 3</t>
  </si>
  <si>
    <t>Inositol 1,4,5-triphosphate receptor, type 1, isoform CRA_d</t>
  </si>
  <si>
    <t>Golgi SNAP receptor complex member 1 (Fragment)</t>
  </si>
  <si>
    <t>28S ribosomal protein S22, mitochondrial</t>
  </si>
  <si>
    <t>Syndecan binding protein (Syntenin), isoform CRA_a</t>
  </si>
  <si>
    <t>CUG triplet repeat, RNA binding protein 1, isoform CRA_c</t>
  </si>
  <si>
    <t>Protein disulfide isomerase family A, member 3, isoform CRA_b</t>
  </si>
  <si>
    <t>Myosin light polypeptide 6</t>
  </si>
  <si>
    <t>tRNA pseudouridine synthase (Fragment)</t>
  </si>
  <si>
    <t>ELKS/Rab6-interacting/CAST family member 1</t>
  </si>
  <si>
    <t>TIMELESS-interacting protein</t>
  </si>
  <si>
    <t>WD repeat domain phosphoinositide-interacting protein 4</t>
  </si>
  <si>
    <t>Transforming acidic coiled-coil-containing protein 1</t>
  </si>
  <si>
    <t>Nucleolar protein 6</t>
  </si>
  <si>
    <t>Lysosomal thioesterase PPT2 (Fragment)</t>
  </si>
  <si>
    <t>Transcription initiation factor TFIID subunit 6</t>
  </si>
  <si>
    <t>Meiosis arrest female protein 1</t>
  </si>
  <si>
    <t>Negative elongation factor C/D</t>
  </si>
  <si>
    <t>Uncharacterized protein (Fragment)</t>
  </si>
  <si>
    <t>AMP deaminase 2 (Fragment)</t>
  </si>
  <si>
    <t>Zinc transporter 7 (Fragment)</t>
  </si>
  <si>
    <t>Outer dense fiber protein 2 (Fragment)</t>
  </si>
  <si>
    <t>Disabled homolog 2-interacting protein (Fragment)</t>
  </si>
  <si>
    <t>Eukaryotic translation initiation factor 4 gamma 2</t>
  </si>
  <si>
    <t>Myeloid differentiation primary response protein MyD88 (Fragment)</t>
  </si>
  <si>
    <t>Inosine-5-monophosphate dehydrogenase 2 (Fragment)</t>
  </si>
  <si>
    <t>Transmembrane protein 201 (Fragment)</t>
  </si>
  <si>
    <t>Transformation/transcription domain-associated protein (Fragment)</t>
  </si>
  <si>
    <t>Probable phospholipid-transporting ATPase IH (Fragment)</t>
  </si>
  <si>
    <t>Prolyl endopeptidase (Fragment)</t>
  </si>
  <si>
    <t>Ubiquitin-fold modifier 1 (Fragment)</t>
  </si>
  <si>
    <t>Sushi domain-containing protein 1 (Fragment)</t>
  </si>
  <si>
    <t>Zinc fingers and homeoboxes protein 3 (Fragment)</t>
  </si>
  <si>
    <t>Bromodomain-containing protein 2 (Fragment)</t>
  </si>
  <si>
    <t>Transcription factor Sp3</t>
  </si>
  <si>
    <t>SUN domain-containing protein 1 (Fragment)</t>
  </si>
  <si>
    <t>Tetratricopeptide repeat protein 5 (Fragment)</t>
  </si>
  <si>
    <t>39S ribosomal protein L43, mitochondrial (Fragment)</t>
  </si>
  <si>
    <t>SCL-interrupting locus protein (Fragment)</t>
  </si>
  <si>
    <t>Trinucleotide repeat-containing gene 6B protein (Fragment)</t>
  </si>
  <si>
    <t>Calmodulin (Fragment)</t>
  </si>
  <si>
    <t>ATP-binding cassette sub-family D member 1 (Fragment)</t>
  </si>
  <si>
    <t>Phosphatidylserine decarboxylase alpha chain (Fragment)</t>
  </si>
  <si>
    <t>Transmembrane protein 222 (Fragment)</t>
  </si>
  <si>
    <t>Transforming acidic coiled-coil-containing protein 3 (Fragment)</t>
  </si>
  <si>
    <t>Cysteine-rich hydrophobic domain 2 protein (Fragment)</t>
  </si>
  <si>
    <t>U3 small nucleolar RNA-associated protein 15 homolog (Fragment)</t>
  </si>
  <si>
    <t>2-deoxynucleoside 5-phosphate N-hydrolase 1 (Fragment)</t>
  </si>
  <si>
    <t>39S ribosomal protein L3, mitochondrial (Fragment)</t>
  </si>
  <si>
    <t>Histone-lysine N-methyltransferase NSD2 (Fragment)</t>
  </si>
  <si>
    <t>Inositol hexakisphosphate and diphosphoinositol-pentakisphosphate kinase 2 (Fragment)</t>
  </si>
  <si>
    <t>m7GpppN-mRNA hydrolase (Fragment)</t>
  </si>
  <si>
    <t>Translation machinery-associated protein 16 (Fragment)</t>
  </si>
  <si>
    <t>Pterin-4-alpha-carbinolamine dehydratase 2 (Fragment)</t>
  </si>
  <si>
    <t>RNA-binding protein 24 (Fragment)</t>
  </si>
  <si>
    <t>Ubiquitin-conjugating enzyme E2 B (Fragment)</t>
  </si>
  <si>
    <t>Mediator of RNA polymerase II transcription subunit 28 (Fragment)</t>
  </si>
  <si>
    <t>Polyadenylate-binding protein 1 (Fragment)</t>
  </si>
  <si>
    <t>Steroidogenic acute regulatory protein, mitochondrial (Fragment)</t>
  </si>
  <si>
    <t>Focal adhesion kinase 1 (Fragment)</t>
  </si>
  <si>
    <t>Integrator complex subunit 8 (Fragment)</t>
  </si>
  <si>
    <t>Mitochondrial fission regulator 1 (Fragment)</t>
  </si>
  <si>
    <t>Homeobox-containing protein 1</t>
  </si>
  <si>
    <t>Activating signal cointegrator 1 complex subunit 1 (Fragment)</t>
  </si>
  <si>
    <t>CD44 antigen (Fragment)</t>
  </si>
  <si>
    <t>Dihydrolipoyllysine-residue acetyltransferase component of pyruvate dehydrogenase complex, mitochondrial (Fragment)</t>
  </si>
  <si>
    <t>Long-chain fatty acid transport protein 3 (Fragment)</t>
  </si>
  <si>
    <t>Probable dolichyl pyrophosphate Glc1Man9GlcNAc2 alpha-1,3-glucosyltransferase (Fragment)</t>
  </si>
  <si>
    <t>Single Ig IL-1-related receptor (Fragment)</t>
  </si>
  <si>
    <t>Sjoegren syndrome/scleroderma autoantigen 1 (Fragment)</t>
  </si>
  <si>
    <t>Ribonuclease H2 subunit C (Fragment)</t>
  </si>
  <si>
    <t>Remodeling and spacing factor 1 (Fragment)</t>
  </si>
  <si>
    <t>UPF0598 protein C8orf82 (Fragment)</t>
  </si>
  <si>
    <t>Oligoribonuclease, mitochondrial (Fragment)</t>
  </si>
  <si>
    <t>Ethanolamine kinase 1 (Fragment)</t>
  </si>
  <si>
    <t>F-box only protein 21 (Fragment)</t>
  </si>
  <si>
    <t>KAT8 regulatory NSL complex subunit 2 (Fragment)</t>
  </si>
  <si>
    <t>Dehydrogenase/reductase SDR family member 2 (Fragment)</t>
  </si>
  <si>
    <t>Tropomyosin alpha-1 chain</t>
  </si>
  <si>
    <t>ER membrane protein complex subunit 4</t>
  </si>
  <si>
    <t>EP300-interacting inhibitor of differentiation 1</t>
  </si>
  <si>
    <t>Tetraspanin-3</t>
  </si>
  <si>
    <t>Annexin (Fragment)</t>
  </si>
  <si>
    <t>Transducin-like enhancer protein 3</t>
  </si>
  <si>
    <t>POU domain, class 2, transcription factor 1</t>
  </si>
  <si>
    <t>Alpha-mannosidase 2x (Fragment)</t>
  </si>
  <si>
    <t>Beta-2-microglobulin form pI 5.3 (Fragment)</t>
  </si>
  <si>
    <t>AP-3 complex subunit sigma-2</t>
  </si>
  <si>
    <t>Transient receptor potential cation channel subfamily M member 7</t>
  </si>
  <si>
    <t>Protein FAM63B (Fragment)</t>
  </si>
  <si>
    <t>DNA-binding protein RFX7</t>
  </si>
  <si>
    <t>Phosphatidylinositol N-acetylglucosaminyltransferase subunit H</t>
  </si>
  <si>
    <t>GMP reductase 2</t>
  </si>
  <si>
    <t>60S ribosomal protein L28</t>
  </si>
  <si>
    <t>Mortality factor 4-like protein 1 (Fragment)</t>
  </si>
  <si>
    <t>Uncharacterized protein C15orf57 (Fragment)</t>
  </si>
  <si>
    <t>Proteasome activator complex subunit 1</t>
  </si>
  <si>
    <t>Signal peptidase complex catalytic subunit SEC11A</t>
  </si>
  <si>
    <t>Serine/threonine-protein phosphatase 2A 56 kDa regulatory subunit gamma isoform</t>
  </si>
  <si>
    <t>Bloom syndrome protein</t>
  </si>
  <si>
    <t>Baculoviral IAP repeat-containing protein 5</t>
  </si>
  <si>
    <t>Aflatoxin B1 aldehyde reductase member 2 (Fragment)</t>
  </si>
  <si>
    <t>Complement decay-accelerating factor (Fragment)</t>
  </si>
  <si>
    <t>SRSF protein kinase 1 (Fragment)</t>
  </si>
  <si>
    <t>Transmembrane protein 63B (Fragment)</t>
  </si>
  <si>
    <t>Dysbindin domain-containing protein 1</t>
  </si>
  <si>
    <t>Probable ATP-dependent RNA helicase DDX17</t>
  </si>
  <si>
    <t>NEDD8 ultimate buster 1</t>
  </si>
  <si>
    <t>Nucleolar protein 3 (Fragment)</t>
  </si>
  <si>
    <t>Protein FAM219B (Fragment)</t>
  </si>
  <si>
    <t>COMM domain-containing protein 4 (Fragment)</t>
  </si>
  <si>
    <t>cAMP-regulated phosphoprotein 19</t>
  </si>
  <si>
    <t>Protein spinster homolog 1</t>
  </si>
  <si>
    <t>Cleavage and polyadenylation-specificity factor subunit 5 (Fragment)</t>
  </si>
  <si>
    <t>Calcium-regulated heat stable protein 1 (Fragment)</t>
  </si>
  <si>
    <t>Beta-hexosaminidase</t>
  </si>
  <si>
    <t>Ubiquinone biosynthesis protein COQ7 homolog</t>
  </si>
  <si>
    <t>Mannose-6-phosphate isomerase</t>
  </si>
  <si>
    <t>SUMO-conjugating enzyme UBC9 (Fragment)</t>
  </si>
  <si>
    <t>Endonuclease III-like protein 1 (Fragment)</t>
  </si>
  <si>
    <t>Microtubule-actin cross-linking factor 1, isoforms 1/2/3/5</t>
  </si>
  <si>
    <t>Transcription factor 4</t>
  </si>
  <si>
    <t>Hydroxyacylglutathione hydrolase, mitochondrial (Fragment)</t>
  </si>
  <si>
    <t>Battenin (Fragment)</t>
  </si>
  <si>
    <t>Fructose-bisphosphate aldolase A (Fragment)</t>
  </si>
  <si>
    <t>snRNA-activating protein complex subunit 5</t>
  </si>
  <si>
    <t>UPF0420 protein C16orf58</t>
  </si>
  <si>
    <t>Dynactin subunit 5</t>
  </si>
  <si>
    <t>Biogenesis of lysosome-related organelles complex 1 subunit 6</t>
  </si>
  <si>
    <t>E3 ubiquitin-protein ligase ZNRF1</t>
  </si>
  <si>
    <t>Zinc finger FYVE domain-containing protein 19</t>
  </si>
  <si>
    <t>Ubiquitin domain-containing protein UBFD1</t>
  </si>
  <si>
    <t>Phosphopantothenoylcysteine decarboxylase</t>
  </si>
  <si>
    <t>Peroxisomal coenzyme A diphosphatase NUDT7</t>
  </si>
  <si>
    <t>Nuclear factor of-activated T-cells, cytoplasmic 3 (Fragment)</t>
  </si>
  <si>
    <t>Eukaryotic translation initiation factor 3 subunit C</t>
  </si>
  <si>
    <t>Uncharacterized protein C15orf41</t>
  </si>
  <si>
    <t>Small integral membrane protein 1</t>
  </si>
  <si>
    <t>M-phase phosphoprotein 6</t>
  </si>
  <si>
    <t>Cirhin (Fragment)</t>
  </si>
  <si>
    <t>Cytoplasmic tRNA 2-thiolation protein 2</t>
  </si>
  <si>
    <t>Target of rapamycin complex subunit LST8 (Fragment)</t>
  </si>
  <si>
    <t>Microtubule-associated protein 1 light chain 3 beta, isoform CRA_f</t>
  </si>
  <si>
    <t>Pyruvate kinase (Fragment)</t>
  </si>
  <si>
    <t>RING finger protein 166</t>
  </si>
  <si>
    <t>ADP-ribosylation factor-like protein 2-binding protein</t>
  </si>
  <si>
    <t>Ataxin-2-like protein</t>
  </si>
  <si>
    <t>2-oxoglutarate and iron-dependent oxygenase domain-containing protein 1</t>
  </si>
  <si>
    <t>Esophageal cancer associated protein, isoform CRA_a</t>
  </si>
  <si>
    <t>RNA-binding protein with serine-rich domain 1</t>
  </si>
  <si>
    <t>F-box/LRR-repeat protein 19</t>
  </si>
  <si>
    <t>Kunitz-type protease inhibitor 1 (Fragment)</t>
  </si>
  <si>
    <t>Sphingomyelin phosphodiesterase 4</t>
  </si>
  <si>
    <t>Histone deacetylase complex subunit SAP130</t>
  </si>
  <si>
    <t>Serine/threonine-protein phosphatase 6 regulatory subunit 3</t>
  </si>
  <si>
    <t>Protein-lysine methyltransferase METTL21A</t>
  </si>
  <si>
    <t>Extended synaptotagmin-2 (Fragment)</t>
  </si>
  <si>
    <t>Endoplasmic reticulum-Golgi intermediate compartment protein 3</t>
  </si>
  <si>
    <t>Transmembrane protein 41A</t>
  </si>
  <si>
    <t>BET1-like protein</t>
  </si>
  <si>
    <t>Mitochondrial pyruvate carrier 1</t>
  </si>
  <si>
    <t>Putative ATP-dependent RNA helicase DHX30</t>
  </si>
  <si>
    <t>Protein-L-isoaspartate O-methyltransferase</t>
  </si>
  <si>
    <t>Tail-anchored protein insertion receptor WRB (Fragment)</t>
  </si>
  <si>
    <t>Integrator complex subunit 9</t>
  </si>
  <si>
    <t>Interferon-induced transmembrane protein 2 (Fragment)</t>
  </si>
  <si>
    <t>Tropomyosin 1 (Alpha), isoform CRA_m</t>
  </si>
  <si>
    <t>Peptidyl-prolyl cis-trans isomerase (Fragment)</t>
  </si>
  <si>
    <t>Protein disulfide-isomerase</t>
  </si>
  <si>
    <t>Thioredoxin (Fragment)</t>
  </si>
  <si>
    <t>Ubiquitin carboxyl-terminal hydrolase 46</t>
  </si>
  <si>
    <t>Non-homologous end-joining factor 1 (Fragment)</t>
  </si>
  <si>
    <t>Steroidogenic factor 1 (Fragment)</t>
  </si>
  <si>
    <t>Reticulon-4 receptor (Fragment)</t>
  </si>
  <si>
    <t>IQ motif and SEC7 domain-containing protein 1 (Fragment)</t>
  </si>
  <si>
    <t>Protein THEMIS2 (Fragment)</t>
  </si>
  <si>
    <t>Ran-specific GTPase-activating protein (Fragment)</t>
  </si>
  <si>
    <t>RAF proto-oncogene serine/threonine-protein kinase (Fragment)</t>
  </si>
  <si>
    <t>Mitotic-spindle organizing protein 2B (Fragment)</t>
  </si>
  <si>
    <t>Deoxynucleotidyltransferase terminal-interacting protein 1 (Fragment)</t>
  </si>
  <si>
    <t>BET1 homolog (Fragment)</t>
  </si>
  <si>
    <t>Coiled-coil and C2 domain-containing protein 1B (Fragment)</t>
  </si>
  <si>
    <t>Apolipoprotein O (Fragment)</t>
  </si>
  <si>
    <t>Putative deoxyribonuclease TATDN2 (Fragment)</t>
  </si>
  <si>
    <t>Major facilitator superfamily domain-containing protein 6 (Fragment)</t>
  </si>
  <si>
    <t>Nucleolar protein 7 (Fragment)</t>
  </si>
  <si>
    <t>EBNA1 binding protein 2, isoform CRA_d</t>
  </si>
  <si>
    <t>Serologically defined colon cancer antigen 3 (Fragment)</t>
  </si>
  <si>
    <t>Probable protein phosphatase 1N (Fragment)</t>
  </si>
  <si>
    <t>Protein FAM134A (Fragment)</t>
  </si>
  <si>
    <t>N-acetyl-D-glucosamine kinase (Fragment)</t>
  </si>
  <si>
    <t>Glucosamine (N-acetyl)-6-sulfatase (Sanfilippo disease IIID), isoform CRA_b</t>
  </si>
  <si>
    <t>Autophagy-related protein 2 homolog A (Fragment)</t>
  </si>
  <si>
    <t>Protein ARV1 (Fragment)</t>
  </si>
  <si>
    <t>Serine/threonine-protein kinase 19 (Fragment)</t>
  </si>
  <si>
    <t>Rho GTPase-activating protein 25 (Fragment)</t>
  </si>
  <si>
    <t>NEDD4 family-interacting protein 2 (Fragment)</t>
  </si>
  <si>
    <t>Mitofusin-1 (Fragment)</t>
  </si>
  <si>
    <t>HEAT repeat-containing protein 5A (Fragment)</t>
  </si>
  <si>
    <t>Protein EFR3 homolog A</t>
  </si>
  <si>
    <t>Kinesin-like protein KIF18B</t>
  </si>
  <si>
    <t>Calcium uptake protein 1, mitochondrial</t>
  </si>
  <si>
    <t>WAS protein family homolog 6</t>
  </si>
  <si>
    <t>Serine/threonine-protein kinase SMG1</t>
  </si>
  <si>
    <t>C-terminal 80 kDa form</t>
  </si>
  <si>
    <t>Golgi SNAP receptor complex member 2 (Fragment)</t>
  </si>
  <si>
    <t>E3 ubiquitin-protein ligase RNF167</t>
  </si>
  <si>
    <t>Vesicle-fusing ATPase</t>
  </si>
  <si>
    <t>Coiled-coil domain-containing protein 137 (Fragment)</t>
  </si>
  <si>
    <t>Diphthamide biosynthesis protein 1 (Fragment)</t>
  </si>
  <si>
    <t>Myb-binding protein 1A (Fragment)</t>
  </si>
  <si>
    <t>Mitochondrial 2-oxoglutarate/malate carrier protein (Fragment)</t>
  </si>
  <si>
    <t>B-cell CLL/lymphoma 7 protein family member C (Fragment)</t>
  </si>
  <si>
    <t>Elongator complex protein 5 (Fragment)</t>
  </si>
  <si>
    <t>Clustered mitochondria protein homolog</t>
  </si>
  <si>
    <t>Protein FAM195B</t>
  </si>
  <si>
    <t>Phosphatidylcholine transfer protein</t>
  </si>
  <si>
    <t>Segment polarity protein dishevelled homolog DVL-2 (Fragment)</t>
  </si>
  <si>
    <t>TOM1-like protein 1 (Fragment)</t>
  </si>
  <si>
    <t>Proline-, glutamic acid- and leucine-rich protein 1</t>
  </si>
  <si>
    <t>40S ribosomal protein S15a</t>
  </si>
  <si>
    <t>G1/S-specific cyclin-E1 (Fragment)</t>
  </si>
  <si>
    <t>ATP synthase mitochondrial F1 complex assembly factor 1</t>
  </si>
  <si>
    <t>Pigment epithelium-derived factor (Fragment)</t>
  </si>
  <si>
    <t>Multidrug resistance-associated protein 1 (Fragment)</t>
  </si>
  <si>
    <t>Phospholipid scramblase 3 (Fragment)</t>
  </si>
  <si>
    <t>E3 ubiquitin-protein ligase UBR5</t>
  </si>
  <si>
    <t>Cactin</t>
  </si>
  <si>
    <t>SWI/SNF-related matrix-associated actin-dependent regulator of chromatin subfamily D member 2</t>
  </si>
  <si>
    <t>Epididymal secretory protein E1</t>
  </si>
  <si>
    <t>Integrator complex subunit 2</t>
  </si>
  <si>
    <t>Zinc finger protein ubi-d4</t>
  </si>
  <si>
    <t>Low-density lipoprotein receptor (Fragment)</t>
  </si>
  <si>
    <t>Afadin</t>
  </si>
  <si>
    <t>Phosphatidylinositol 4-kinase alpha</t>
  </si>
  <si>
    <t>Proteasome-associated protein ECM29 homolog</t>
  </si>
  <si>
    <t>Fibrosin-1-like protein</t>
  </si>
  <si>
    <t>26S proteasome non-ATPase regulatory subunit 9</t>
  </si>
  <si>
    <t>BCL2/adenovirus E1B 19 kDa protein-interacting protein 2</t>
  </si>
  <si>
    <t>Torsin-1A-interacting protein 1</t>
  </si>
  <si>
    <t>Tropomyosin alpha-3 chain</t>
  </si>
  <si>
    <t>Arylacetamide deacetylase-like 1</t>
  </si>
  <si>
    <t>Methylthioribulose-1-phosphate dehydratase</t>
  </si>
  <si>
    <t>Mitochondrial inner membrane protein OXA1L</t>
  </si>
  <si>
    <t>Mitogen-activated protein kinase kinase kinase 4</t>
  </si>
  <si>
    <t>Protein SAAL1</t>
  </si>
  <si>
    <t>RanBP2-like and GRIP domain-containing protein 3</t>
  </si>
  <si>
    <t>Copper chaperone for superoxide dismutase</t>
  </si>
  <si>
    <t>Conserved oligomeric Golgi complex subunit 4</t>
  </si>
  <si>
    <t>Chitinase domain-containing protein 1</t>
  </si>
  <si>
    <t>Protein transport protein Sec16A</t>
  </si>
  <si>
    <t>Phosphorylase b kinase gamma catalytic chain, liver/testis isoform</t>
  </si>
  <si>
    <t>Probable ATP-dependent RNA helicase DDX41 (Fragment)</t>
  </si>
  <si>
    <t>BRCA1-associated protein</t>
  </si>
  <si>
    <t>Semaphorin-4B</t>
  </si>
  <si>
    <t>MAP/microtubule affinity-regulating kinase 3</t>
  </si>
  <si>
    <t>Phosphatidylserine synthase 1</t>
  </si>
  <si>
    <t>Zinc finger protein 385, isoform CRA_a</t>
  </si>
  <si>
    <t>Methylmalonate-semialdehyde dehydrogenase [acylating], mitochondrial</t>
  </si>
  <si>
    <t>FCH domain only protein 2</t>
  </si>
  <si>
    <t>Four and a half LIM domains protein 2</t>
  </si>
  <si>
    <t>Unconventional myosin-XVIIIa</t>
  </si>
  <si>
    <t>Probable fibrosin-1</t>
  </si>
  <si>
    <t>Serine/arginine-rich-splicing factor 2 (Fragment)</t>
  </si>
  <si>
    <t>Tyrosine-protein kinase receptor</t>
  </si>
  <si>
    <t>Receptor-type tyrosine-protein phosphatase alpha</t>
  </si>
  <si>
    <t>Trafficking protein particle complex subunit 4</t>
  </si>
  <si>
    <t>WASH complex subunit FAM21C</t>
  </si>
  <si>
    <t>Phosphatase and actin regulator 2</t>
  </si>
  <si>
    <t>RAP1, GTPase activating protein 1, isoform CRA_e</t>
  </si>
  <si>
    <t>RNA binding motif protein 7, isoform CRA_c</t>
  </si>
  <si>
    <t>Probable E3 ubiquitin-protein ligase HECTD4</t>
  </si>
  <si>
    <t>Kinesin-like protein KIF3A</t>
  </si>
  <si>
    <t>Calcium/calmodulin-dependent protein kinase kinase 1</t>
  </si>
  <si>
    <t>Synaptojanin-1</t>
  </si>
  <si>
    <t>Lysine-specific histone demethylase 1B</t>
  </si>
  <si>
    <t>Calcineurin B homologous protein 3</t>
  </si>
  <si>
    <t>Beta-arrestin-1</t>
  </si>
  <si>
    <t>DnaJ (Hsp40) homolog, subfamily B, member 12, isoform CRA_c</t>
  </si>
  <si>
    <t>TraB domain-containing protein</t>
  </si>
  <si>
    <t>Sulfurtransferase</t>
  </si>
  <si>
    <t>Histone deacetylase 2</t>
  </si>
  <si>
    <t>Prohibitin-2</t>
  </si>
  <si>
    <t>MAP1 light chain LC2</t>
  </si>
  <si>
    <t>Anthrax toxin receptor 2</t>
  </si>
  <si>
    <t>DNA-binding protein RFXANK</t>
  </si>
  <si>
    <t>Obg-like ATPase 1</t>
  </si>
  <si>
    <t>COP9 signalosome complex subunit 7b</t>
  </si>
  <si>
    <t>Trans-Golgi network integral membrane protein 2</t>
  </si>
  <si>
    <t>Peptidyl-tRNA hydrolase 2, mitochondrial</t>
  </si>
  <si>
    <t>F-box only protein 6 (Fragment)</t>
  </si>
  <si>
    <t>Uncharacterized protein C6orf203</t>
  </si>
  <si>
    <t>THUMP domain-containing protein 1</t>
  </si>
  <si>
    <t>Glucosylceramidase</t>
  </si>
  <si>
    <t>von Willebrand factor D and EGF domain-containing protein</t>
  </si>
  <si>
    <t>Apolipoprotein L2</t>
  </si>
  <si>
    <t>Cell division cycle 7-related protein kinase</t>
  </si>
  <si>
    <t>BRISC and BRCA1-A complex member 1</t>
  </si>
  <si>
    <t>Ephrin type-B receptor 6</t>
  </si>
  <si>
    <t>AP-1 complex subunit gamma-1</t>
  </si>
  <si>
    <t>Coiled-coil domain containing 12, isoform CRA_a</t>
  </si>
  <si>
    <t>Tyrosine-protein phosphatase non-receptor type 7 (Fragment)</t>
  </si>
  <si>
    <t>Selenide, water dikinase 2</t>
  </si>
  <si>
    <t>Tubulin-specific chaperone D</t>
  </si>
  <si>
    <t>Uncharacterized protein C16orf55 (Fragment)</t>
  </si>
  <si>
    <t>Mitogen-activated protein kinase kinase kinase 3</t>
  </si>
  <si>
    <t>Protein SSXT</t>
  </si>
  <si>
    <t>N-acetylglucosaminyl-phosphatidylinositol de-N-acetylase (Fragment)</t>
  </si>
  <si>
    <t>Transmembrane protein 199</t>
  </si>
  <si>
    <t>Probable ATP-dependent RNA helicase DDX5 (Fragment)</t>
  </si>
  <si>
    <t>Chromobox protein homolog 1 (Fragment)</t>
  </si>
  <si>
    <t>Peptidyl-tRNA hydrolase ICT1, mitochondrial (Fragment)</t>
  </si>
  <si>
    <t>Archaemetzincin-2 (Fragment)</t>
  </si>
  <si>
    <t>Retinoic acid receptor alpha (Fragment)</t>
  </si>
  <si>
    <t>ADP-ribosylation factor-binding protein GGA3</t>
  </si>
  <si>
    <t>Myosin phosphatase Rho-interacting protein (Fragment)</t>
  </si>
  <si>
    <t>5(3)-deoxyribonucleotidase, cytosolic type</t>
  </si>
  <si>
    <t>Hematological and neurological-expressed 1 protein</t>
  </si>
  <si>
    <t>F-box and leucine-rich repeat protein 20, isoform CRA_a</t>
  </si>
  <si>
    <t>Mediator of RNA polymerase II transcription subunit 9</t>
  </si>
  <si>
    <t>Serine/arginine-rich-splicing factor 1</t>
  </si>
  <si>
    <t>Calcium homeostasis endoplasmic reticulum protein</t>
  </si>
  <si>
    <t>Proteasome subunit beta type-3 (Fragment)</t>
  </si>
  <si>
    <t>Intercellular adhesion molecule 2</t>
  </si>
  <si>
    <t>Protein SCO1 homolog, mitochondrial</t>
  </si>
  <si>
    <t>Secernin-2</t>
  </si>
  <si>
    <t>Zinc transporter ZIP11 (Fragment)</t>
  </si>
  <si>
    <t>Flotillin-2</t>
  </si>
  <si>
    <t>StAR-related lipid transfer protein 3</t>
  </si>
  <si>
    <t>Protein UBBP4</t>
  </si>
  <si>
    <t>28S ribosomal protein S7, mitochondrial</t>
  </si>
  <si>
    <t>SAP30-binding protein (Fragment)</t>
  </si>
  <si>
    <t>Trafficking protein particle complex subunit 8</t>
  </si>
  <si>
    <t>60S ribosomal protein L17 (Fragment)</t>
  </si>
  <si>
    <t>Polycomb protein SUZ12</t>
  </si>
  <si>
    <t>NADPH:adrenodoxin oxidoreductase, mitochondrial</t>
  </si>
  <si>
    <t>Male-specific lethal 1 homolog</t>
  </si>
  <si>
    <t>YTH domain-containing protein 1</t>
  </si>
  <si>
    <t>Ribosomal protein L19</t>
  </si>
  <si>
    <t>ORM1-like protein 3 (Fragment)</t>
  </si>
  <si>
    <t>Myosin regulatory light chain 12A</t>
  </si>
  <si>
    <t>Zinc finger protein 207</t>
  </si>
  <si>
    <t>Tyrosine-protein kinase Yes</t>
  </si>
  <si>
    <t>Vesicle-associated membrane protein 2</t>
  </si>
  <si>
    <t>ARF GTPase-activating protein GIT1</t>
  </si>
  <si>
    <t>Coordinator of PRMT5 and differentiation stimulator (Fragment)</t>
  </si>
  <si>
    <t>Zinc finger protein 207 (Fragment)</t>
  </si>
  <si>
    <t>Probable helicase with zinc finger domain</t>
  </si>
  <si>
    <t>Ribosomal L1 domain-containing protein 1 (Fragment)</t>
  </si>
  <si>
    <t>Huntingtin-interacting protein K</t>
  </si>
  <si>
    <t>Protein cereblon (Fragment)</t>
  </si>
  <si>
    <t>Protein Njmu-R1</t>
  </si>
  <si>
    <t>Lamin B2, isoform CRA_a</t>
  </si>
  <si>
    <t>Transmembrane and coiled-coil domain-containing protein 1</t>
  </si>
  <si>
    <t>RWD domain containing 4A</t>
  </si>
  <si>
    <t>WW domain-binding protein 2 (Fragment)</t>
  </si>
  <si>
    <t>Protein YIPF2 (Fragment)</t>
  </si>
  <si>
    <t>Mothers against decapentaplegic homolog 4</t>
  </si>
  <si>
    <t>Protein FAM32A</t>
  </si>
  <si>
    <t>SEC14-like protein 1 (Fragment)</t>
  </si>
  <si>
    <t>40S ribosomal protein S15 (Fragment)</t>
  </si>
  <si>
    <t>Calreticulin (Fragment)</t>
  </si>
  <si>
    <t>Kinetochore protein Spc24 (Fragment)</t>
  </si>
  <si>
    <t>AP-1 complex subunit mu-1</t>
  </si>
  <si>
    <t>Signal peptidase complex catalytic subunit SEC11C</t>
  </si>
  <si>
    <t>Protein FAM210A (Fragment)</t>
  </si>
  <si>
    <t>Histone H3 (Fragment)</t>
  </si>
  <si>
    <t>Signal transducer and activator of transcription 5A</t>
  </si>
  <si>
    <t>Protein lin-37 homolog</t>
  </si>
  <si>
    <t>Lon protease homolog, mitochondrial</t>
  </si>
  <si>
    <t>Ataxin-7-like protein 3 (Fragment)</t>
  </si>
  <si>
    <t>Transmembrane and ubiquitin-like domain-containing protein 2 (Fragment)</t>
  </si>
  <si>
    <t>Hsp90 co-chaperone Cdc37 (Fragment)</t>
  </si>
  <si>
    <t>Protein phosphatase 1 regulatory subunit 12C (Fragment)</t>
  </si>
  <si>
    <t>Amino-terminal enhancer of split (Fragment)</t>
  </si>
  <si>
    <t>R3H domain-containing protein 4</t>
  </si>
  <si>
    <t>Glucosidase 2 subunit beta</t>
  </si>
  <si>
    <t>Dynein heavy chain 17, axonemal (Fragment)</t>
  </si>
  <si>
    <t>Polypyrimidine tract-binding protein 1 (Fragment)</t>
  </si>
  <si>
    <t>Syntaxin-10 (Fragment)</t>
  </si>
  <si>
    <t>Katanin p60 ATPase-containing subunit A-like 2 (Fragment)</t>
  </si>
  <si>
    <t>Transmembrane protein 205 (Fragment)</t>
  </si>
  <si>
    <t>Ectopic P granules protein 5 homolog</t>
  </si>
  <si>
    <t>Transcription elongation factor 1 homolog</t>
  </si>
  <si>
    <t>HCG2039718, isoform CRA_g</t>
  </si>
  <si>
    <t>Asparagine--tRNA ligase, cytoplasmic</t>
  </si>
  <si>
    <t>Proteasome activator complex subunit 3 (Fragment)</t>
  </si>
  <si>
    <t>Uncharacterized protein C18orf8</t>
  </si>
  <si>
    <t>ATP synthase subunit s-like protein</t>
  </si>
  <si>
    <t>UBX domain-containing protein 6 (Fragment)</t>
  </si>
  <si>
    <t>E3 ubiquitin-protein ligase MGRN1 (Fragment)</t>
  </si>
  <si>
    <t>Transmembrane protein 161A (Fragment)</t>
  </si>
  <si>
    <t>Protein unc-13 homolog D (Fragment)</t>
  </si>
  <si>
    <t>NADH dehydrogenase [ubiquinone] 1 alpha subcomplex subunit 11</t>
  </si>
  <si>
    <t>Protein FAM98C (Fragment)</t>
  </si>
  <si>
    <t>Ribonuclease P protein subunit p29 (Fragment)</t>
  </si>
  <si>
    <t>Tropomyosin alpha-4 chain (Fragment)</t>
  </si>
  <si>
    <t>Matrix-remodeling-associated protein 7</t>
  </si>
  <si>
    <t>Phenylalanine--tRNA ligase alpha subunit</t>
  </si>
  <si>
    <t>DNA excision repair protein ERCC-1 (Fragment)</t>
  </si>
  <si>
    <t>Uncharacterized protein C19orf55</t>
  </si>
  <si>
    <t>Eukaryotic translation initiation factor 3 subunit K</t>
  </si>
  <si>
    <t>Protein YIF1B (Fragment)</t>
  </si>
  <si>
    <t>Thymidine kinase</t>
  </si>
  <si>
    <t>Bleomycin hydrolase (Fragment)</t>
  </si>
  <si>
    <t>Ubiquitin-conjugating enzyme E2 O (Fragment)</t>
  </si>
  <si>
    <t>Protein FAM86A</t>
  </si>
  <si>
    <t>Dedicator of cytokinesis protein 6 (Fragment)</t>
  </si>
  <si>
    <t>UV excision repair protein RAD23 homolog A</t>
  </si>
  <si>
    <t>Glucose-6-phosphatase 3 (Fragment)</t>
  </si>
  <si>
    <t>Dephospho-CoA kinase domain-containing protein (Fragment)</t>
  </si>
  <si>
    <t>Serine--tRNA ligase, mitochondrial</t>
  </si>
  <si>
    <t>Paf1, RNA polymerase II associated factor, homolog (S. cerevisiae), isoform CRA_c</t>
  </si>
  <si>
    <t>Protein Wiz</t>
  </si>
  <si>
    <t>Coatomer protein complex, subunit epsilon, isoform CRA_g</t>
  </si>
  <si>
    <t>rRNA 2-O-methyltransferase fibrillarin (Fragment)</t>
  </si>
  <si>
    <t>Upstream stimulatory factor 2</t>
  </si>
  <si>
    <t>Zinc finger protein 428 (Fragment)</t>
  </si>
  <si>
    <t>Epidermal growth factor receptor substrate 15-like 1 (Fragment)</t>
  </si>
  <si>
    <t>Zinc finger CCCH domain-containing protein 4 (Fragment)</t>
  </si>
  <si>
    <t>Tubulin beta-4A chain (Fragment)</t>
  </si>
  <si>
    <t>60S ribosomal protein L13a (Fragment)</t>
  </si>
  <si>
    <t>NAD-dependent protein deacetylase sirtuin-6 (Fragment)</t>
  </si>
  <si>
    <t>GRAM domain-containing protein 1A</t>
  </si>
  <si>
    <t>Sarcoplasmic reticulum histidine-rich calcium-binding protein</t>
  </si>
  <si>
    <t>FCH domain only protein 1</t>
  </si>
  <si>
    <t>Rho guanine nucleotide exchange factor 1</t>
  </si>
  <si>
    <t>Serine/threonine-protein kinase D</t>
  </si>
  <si>
    <t>KxDL motif-containing protein 1 (Fragment)</t>
  </si>
  <si>
    <t>40S ribosomal protein S5 (Fragment)</t>
  </si>
  <si>
    <t>AP-2 complex subunit sigma</t>
  </si>
  <si>
    <t>Small integral membrane protein 7</t>
  </si>
  <si>
    <t>Pleckstrin homology domain-containing family A member 4 (Fragment)</t>
  </si>
  <si>
    <t>Ribosomal protein L34</t>
  </si>
  <si>
    <t>ER membrane protein complex subunit 10</t>
  </si>
  <si>
    <t>Lipolysis-stimulated lipoprotein receptor (Fragment)</t>
  </si>
  <si>
    <t>Unconventional myosin-IXb (Fragment)</t>
  </si>
  <si>
    <t>Prenylated Rab acceptor protein 1</t>
  </si>
  <si>
    <t>Alkyldihydroxyacetonephosphate synthase, peroxisomal</t>
  </si>
  <si>
    <t>Isoform 3 of UBX domain-containing protein 8</t>
  </si>
  <si>
    <t>Isoform 1 of Kinesin-like protein KIF2A</t>
  </si>
  <si>
    <t>Isoform 2 of Kinesin-like protein KIF2A</t>
  </si>
  <si>
    <t>ATP-dependent RNA helicase DDX39A</t>
  </si>
  <si>
    <t>PDZ and LIM domain protein 1</t>
  </si>
  <si>
    <t>Isoform 4 of Cytosolic acyl coenzyme A thioester hydrolase</t>
  </si>
  <si>
    <t>Unconventional myosin-Ic</t>
  </si>
  <si>
    <t>Synaptosomal-associated protein 23</t>
  </si>
  <si>
    <t>Isoform 5 of HCLS1-associated protein X-1</t>
  </si>
  <si>
    <t>AH receptor-interacting protein</t>
  </si>
  <si>
    <t>GTP-binding protein 1</t>
  </si>
  <si>
    <t>Potassium channel subfamily K member 1</t>
  </si>
  <si>
    <t>Syntaxin-binding protein 3</t>
  </si>
  <si>
    <t>AP-3 complex subunit beta-1</t>
  </si>
  <si>
    <t>Isoform 2 of Galectin-8</t>
  </si>
  <si>
    <t>NADH dehydrogenase [ubiquinone] iron-sulfur protein 8, mitochondrial</t>
  </si>
  <si>
    <t>Tumor necrosis factor receptor superfamily member 10A</t>
  </si>
  <si>
    <t>NF-kappa-B inhibitor epsilon</t>
  </si>
  <si>
    <t>26S proteasome non-ATPase regulatory subunit 11</t>
  </si>
  <si>
    <t>26S proteasome non-ATPase regulatory subunit 12</t>
  </si>
  <si>
    <t>Copper transport protein ATOX1</t>
  </si>
  <si>
    <t>Membrane-associated progesterone receptor component 1</t>
  </si>
  <si>
    <t>Isoform 2 of Transcription elongation factor SPT5</t>
  </si>
  <si>
    <t>DNA fragmentation factor subunit alpha</t>
  </si>
  <si>
    <t>Isoform DFF35 of DNA fragmentation factor subunit alpha</t>
  </si>
  <si>
    <t>Regulatory factor X-associated protein</t>
  </si>
  <si>
    <t>Huntingtin-interacting protein 1</t>
  </si>
  <si>
    <t>Chloride intracellular channel protein 1</t>
  </si>
  <si>
    <t>NEDD4-like E3 ubiquitin-protein ligase WWP2</t>
  </si>
  <si>
    <t>Prostaglandin E receptor 3 (Subtype EP3), isoform CRA_g</t>
  </si>
  <si>
    <t>Dynactin subunit 6</t>
  </si>
  <si>
    <t>Acetyl-coenzyme A transporter 1</t>
  </si>
  <si>
    <t>Neural Wiskott-Aldrich syndrome protein</t>
  </si>
  <si>
    <t>Importin-5</t>
  </si>
  <si>
    <t>Eukaryotic elongation factor 2 kinase</t>
  </si>
  <si>
    <t>Histone deacetylase complex subunit SAP18</t>
  </si>
  <si>
    <t>Insulin-like growth factor 2 mRNA-binding protein 3</t>
  </si>
  <si>
    <t>Isoform 2 of Dynamin-1-like protein</t>
  </si>
  <si>
    <t>Isoform 3 of Dynamin-1-like protein</t>
  </si>
  <si>
    <t>RNA 3-terminal phosphate cyclase</t>
  </si>
  <si>
    <t>Phosphatidylinositol 3-kinase regulatory subunit beta</t>
  </si>
  <si>
    <t>Golgi integral membrane protein 4</t>
  </si>
  <si>
    <t>Beta-mannosidase</t>
  </si>
  <si>
    <t>Isoform 2 of Agrin</t>
  </si>
  <si>
    <t>Exocyst complex component 5</t>
  </si>
  <si>
    <t>High mobility group nucleosome-binding domain-containing protein 4</t>
  </si>
  <si>
    <t>NADH dehydrogenase [ubiquinone] 1 alpha subcomplex subunit 4</t>
  </si>
  <si>
    <t>26S proteasome non-ATPase regulatory subunit 14</t>
  </si>
  <si>
    <t>Zinc finger protein 593</t>
  </si>
  <si>
    <t>Importin subunit alpha-3</t>
  </si>
  <si>
    <t>Serine/threonine-protein kinase 25</t>
  </si>
  <si>
    <t>B-cell CLL/lymphoma 9 protein</t>
  </si>
  <si>
    <t>Krev interaction trapped protein 1</t>
  </si>
  <si>
    <t>Syntenin-1</t>
  </si>
  <si>
    <t>Isoform 2 of Membrane-associated phosphatidylinositol transfer protein 1</t>
  </si>
  <si>
    <t>U3 small nucleolar ribonucleoprotein protein MPP10</t>
  </si>
  <si>
    <t>Nucleolar protein 56</t>
  </si>
  <si>
    <t>ATP-dependent RNA helicase DDX3X</t>
  </si>
  <si>
    <t>Pirin</t>
  </si>
  <si>
    <t>Importin subunit alpha-4</t>
  </si>
  <si>
    <t>Tripartite motif-containing protein 38</t>
  </si>
  <si>
    <t>Serine/threonine-protein phosphatase 6 catalytic subunit</t>
  </si>
  <si>
    <t>Cocaine esterase</t>
  </si>
  <si>
    <t>Isoform 2 of Lysosomal alpha-mannosidase</t>
  </si>
  <si>
    <t>Pyridoxal kinase</t>
  </si>
  <si>
    <t>Isoform 3 of Pyridoxal kinase</t>
  </si>
  <si>
    <t>Acyl-CoA desaturase</t>
  </si>
  <si>
    <t>AT-rich interactive domain-containing protein 1A</t>
  </si>
  <si>
    <t>Suppressor of cytokine signaling 2</t>
  </si>
  <si>
    <t>Isoform 2 of Cyclin-dependent kinase 2-associated protein 1</t>
  </si>
  <si>
    <t>C2 domain-containing protein 2-like</t>
  </si>
  <si>
    <t>Isoform 2 of Transmembrane protein 194A</t>
  </si>
  <si>
    <t>TRAF-type zinc finger domain-containing protein 1</t>
  </si>
  <si>
    <t>Cytochrome c oxidase subunit 7A-related protein, mitochondrial</t>
  </si>
  <si>
    <t>Acyl carrier protein, mitochondrial</t>
  </si>
  <si>
    <t>Citron Rho-interacting kinase</t>
  </si>
  <si>
    <t>AP-3 complex subunit delta-1</t>
  </si>
  <si>
    <t>Isoform 2 of Chromodomain-helicase-DNA-binding protein 1</t>
  </si>
  <si>
    <t>Torsin-1A</t>
  </si>
  <si>
    <t>Torsin-1B</t>
  </si>
  <si>
    <t>Isoform A of Syntaxin-16</t>
  </si>
  <si>
    <t>Disintegrin and metalloproteinase domain-containing protein 10</t>
  </si>
  <si>
    <t>Histone-lysine N-methyltransferase MLL2</t>
  </si>
  <si>
    <t>Isoform 3 of Dual specificity mitogen-activated protein kinase kinase 7</t>
  </si>
  <si>
    <t>Acyl-coenzyme A thioesterase 8</t>
  </si>
  <si>
    <t>Programmed cell death protein 5</t>
  </si>
  <si>
    <t>Protein arginine N-methyltransferase 5</t>
  </si>
  <si>
    <t>Na(+)/H(+) exchange regulatory cofactor NHE-RF1</t>
  </si>
  <si>
    <t>Serine/threonine-protein kinase Chk1</t>
  </si>
  <si>
    <t>Isoform Short of Tumor necrosis factor receptor superfamily member 10B</t>
  </si>
  <si>
    <t>Isoform 5 of Fucose-1-phosphate guanylyltransferase</t>
  </si>
  <si>
    <t>Tripeptidyl-peptidase 1</t>
  </si>
  <si>
    <t>Isoform 2 of Transcription elongation regulator 1</t>
  </si>
  <si>
    <t>Kinetochore protein NDC80 homolog</t>
  </si>
  <si>
    <t>Isoform 2 of Transportin-2</t>
  </si>
  <si>
    <t>DNA-directed RNA polymerase III subunit RPC1</t>
  </si>
  <si>
    <t>Proteasome subunit alpha type-7</t>
  </si>
  <si>
    <t>Secretory carrier-associated membrane protein 3</t>
  </si>
  <si>
    <t>5-oxoprolinase</t>
  </si>
  <si>
    <t>Transcription regulator protein BACH1</t>
  </si>
  <si>
    <t>[3-methyl-2-oxobutanoate dehydrogenase [lipoamide]] kinase, mitochondrial</t>
  </si>
  <si>
    <t>Isoform 2 of Gem-associated protein 2</t>
  </si>
  <si>
    <t>PDZ domain-containing protein GIPC1</t>
  </si>
  <si>
    <t>Inhibitor of nuclear factor kappa-B kinase subunit beta</t>
  </si>
  <si>
    <t>Mitochondrial import inner membrane translocase subunit Tim23</t>
  </si>
  <si>
    <t>Histone acetyltransferase type B catalytic subunit</t>
  </si>
  <si>
    <t>Proepiregulin</t>
  </si>
  <si>
    <t>Cytochrome b-c1 complex subunit 8</t>
  </si>
  <si>
    <t>Hepatocyte growth factor-regulated tyrosine kinase substrate</t>
  </si>
  <si>
    <t>Aurora kinase A</t>
  </si>
  <si>
    <t>Isoform 4 of Protein phosphatase 1 regulatory subunit 12A</t>
  </si>
  <si>
    <t>Isoform 2 of Very long-chain acyl-CoA synthetase</t>
  </si>
  <si>
    <t>Cyclin-G-associated kinase</t>
  </si>
  <si>
    <t>Isoform 3 of Heterogeneous nuclear ribonucleoprotein D-like</t>
  </si>
  <si>
    <t>Exportin-1</t>
  </si>
  <si>
    <t>TATA-binding protein-associated factor 172</t>
  </si>
  <si>
    <t>Zinc finger protein 609</t>
  </si>
  <si>
    <t>Isoform 2 of Spectrin beta chain, non-erythrocytic 2</t>
  </si>
  <si>
    <t>Plexin-B2</t>
  </si>
  <si>
    <t>Histone-lysine N-methyltransferase SETD1A</t>
  </si>
  <si>
    <t>Synaptojanin-2</t>
  </si>
  <si>
    <t>Kinesin-like protein KIF3B</t>
  </si>
  <si>
    <t>Phosphoribosylformylglycinamidine synthase</t>
  </si>
  <si>
    <t>Serine/threonine-protein phosphatase 6 regulatory ankyrin repeat subunit A</t>
  </si>
  <si>
    <t>Rho guanine nucleotide exchange factor 11</t>
  </si>
  <si>
    <t>Isoform 4 of Mitochondrial ribonuclease P protein 3</t>
  </si>
  <si>
    <t>Inhibitor of nuclear factor kappa-B kinase subunit alpha</t>
  </si>
  <si>
    <t>U6 snRNA-associated Sm-like protein LSm1</t>
  </si>
  <si>
    <t>FYN-binding protein</t>
  </si>
  <si>
    <t>Niemann-Pick C1 protein</t>
  </si>
  <si>
    <t>1-acyl-sn-glycerol-3-phosphate acyltransferase beta</t>
  </si>
  <si>
    <t>Sphingolipid delta(4)-desaturase DES1</t>
  </si>
  <si>
    <t>Secretory carrier-associated membrane protein 1</t>
  </si>
  <si>
    <t>Secretory carrier-associated membrane protein 2</t>
  </si>
  <si>
    <t>Actin-related protein 2/3 complex subunit 1B</t>
  </si>
  <si>
    <t>Actin-related protein 2/3 complex subunit 2</t>
  </si>
  <si>
    <t>Actin-related protein 2/3 complex subunit 3</t>
  </si>
  <si>
    <t>Zinc finger and BTB domain-containing protein 7B</t>
  </si>
  <si>
    <t>DNA-directed RNA polymerases I and III subunit RPAC1</t>
  </si>
  <si>
    <t>Isoform Short of Transcription intermediary factor 1-alpha</t>
  </si>
  <si>
    <t>Isoform 2 of Axin-1</t>
  </si>
  <si>
    <t>Membrane-associated progesterone receptor component 2</t>
  </si>
  <si>
    <t>Prefoldin subunit 6</t>
  </si>
  <si>
    <t>Dihydroxyacetone phosphate acyltransferase</t>
  </si>
  <si>
    <t>Protein CASC3</t>
  </si>
  <si>
    <t>28S ribosomal protein S12, mitochondrial</t>
  </si>
  <si>
    <t>Neurosecretory protein VGF</t>
  </si>
  <si>
    <t>Chloride intracellular channel protein 2</t>
  </si>
  <si>
    <t>Protein RER1</t>
  </si>
  <si>
    <t>Serine palmitoyltransferase 1</t>
  </si>
  <si>
    <t>Serine palmitoyltransferase 2</t>
  </si>
  <si>
    <t>Isoform 1 of UDP-N-acetylglucosamine--peptide N-acetylglucosaminyltransferase 110 kDa subunit</t>
  </si>
  <si>
    <t>Phosphomannomutase 2</t>
  </si>
  <si>
    <t>High mobility group protein B3</t>
  </si>
  <si>
    <t>Protein phosphatase 1G</t>
  </si>
  <si>
    <t>Phosphatidylinositol 3,4,5-trisphosphate 5-phosphatase 2</t>
  </si>
  <si>
    <t>Histone deacetylase 3</t>
  </si>
  <si>
    <t>Branched-chain-amino-acid aminotransferase, mitochondrial</t>
  </si>
  <si>
    <t>Transcription factor YY2</t>
  </si>
  <si>
    <t>Importin-8</t>
  </si>
  <si>
    <t>Isoform 2 of Syntaxin-7</t>
  </si>
  <si>
    <t>High affinity copper uptake protein 1</t>
  </si>
  <si>
    <t>Isoform 2 of Multidrug resistance-associated protein 4</t>
  </si>
  <si>
    <t>Next to BRCA1 gene 2 protein</t>
  </si>
  <si>
    <t>Isoform IIa of Prolyl 4-hydroxylase subunit alpha-2</t>
  </si>
  <si>
    <t>Melanoma-associated antigen B2</t>
  </si>
  <si>
    <t>Synaptobrevin homolog YKT6</t>
  </si>
  <si>
    <t>Insulin-induced gene 1 protein</t>
  </si>
  <si>
    <t>Actin-related protein 2/3 complex subunit 5</t>
  </si>
  <si>
    <t>DNA-directed RNA polymerase II subunit RPB4</t>
  </si>
  <si>
    <t>RING finger protein 113A</t>
  </si>
  <si>
    <t>Putative pre-mRNA-splicing factor ATP-dependent RNA helicase DHX15</t>
  </si>
  <si>
    <t>mRNA cap guanine-N7 methyltransferase</t>
  </si>
  <si>
    <t>TELO2-interacting protein 1 homolog</t>
  </si>
  <si>
    <t>Isoform 2 of Plexin-B1</t>
  </si>
  <si>
    <t>Isoform 2 of E3 ubiquitin-protein ligase Praja-2</t>
  </si>
  <si>
    <t>Isoform 2 of U4/U6 small nuclear ribonucleoprotein Prp4</t>
  </si>
  <si>
    <t>D-3-phosphoglycerate dehydrogenase</t>
  </si>
  <si>
    <t>NADH dehydrogenase [ubiquinone] iron-sulfur protein 4, mitochondrial</t>
  </si>
  <si>
    <t>Isoform 4 of Rho GTPase-activating protein 6</t>
  </si>
  <si>
    <t>Cytoplasmic dynein 1 light intermediate chain 2</t>
  </si>
  <si>
    <t>26S proteasome non-ATPase regulatory subunit 3</t>
  </si>
  <si>
    <t>Bifunctional 3-phosphoadenosine 5-phosphosulfate synthase 1</t>
  </si>
  <si>
    <t>Zinc finger HIT domain-containing protein 1</t>
  </si>
  <si>
    <t>Centromere/kinetochore protein zw10 homolog</t>
  </si>
  <si>
    <t>U4/U6.U5 tri-snRNP-associated protein 1</t>
  </si>
  <si>
    <t>Death-associated protein kinase 3</t>
  </si>
  <si>
    <t>AP-5 complex subunit zeta-1</t>
  </si>
  <si>
    <t>Heat shock 70 kDa protein 12A</t>
  </si>
  <si>
    <t>CBP80/20-dependent translation initiation factor</t>
  </si>
  <si>
    <t>Isoform 2 of Inositol hexakisphosphate and diphosphoinositol-pentakisphosphate kinase 2</t>
  </si>
  <si>
    <t>Mitogen-activated protein kinase kinase kinase 7</t>
  </si>
  <si>
    <t>Receptor-interacting serine/threonine-protein kinase 2</t>
  </si>
  <si>
    <t>WD repeat-containing protein 62</t>
  </si>
  <si>
    <t>Heterogeneous nuclear ribonucleoprotein R</t>
  </si>
  <si>
    <t>U4/U6 small nuclear ribonucleoprotein Prp3</t>
  </si>
  <si>
    <t>Thioredoxin-like protein 1</t>
  </si>
  <si>
    <t>Tumor protein D54</t>
  </si>
  <si>
    <t>ER membrane protein complex subunit 8</t>
  </si>
  <si>
    <t>Isoform Short of Acidic fibroblast growth factor intracellular-binding protein</t>
  </si>
  <si>
    <t>Isoform C of T-box transcription factor TBX1</t>
  </si>
  <si>
    <t>Peptidyl-prolyl cis-trans isomerase H</t>
  </si>
  <si>
    <t>Isoform 3 of Serine protease HTRA2, mitochondrial</t>
  </si>
  <si>
    <t>Protein Mis18-beta</t>
  </si>
  <si>
    <t>Band 4.1-like protein 2</t>
  </si>
  <si>
    <t>DNA repair protein RAD51 homolog 3</t>
  </si>
  <si>
    <t>Ragulator complex protein LAMTOR5</t>
  </si>
  <si>
    <t>N-acetyllactosaminide beta-1,3-N-acetylglucosaminyltransferase</t>
  </si>
  <si>
    <t>Mediator of RNA polymerase II transcription subunit 7</t>
  </si>
  <si>
    <t>WAS/WASL-interacting protein family member 1</t>
  </si>
  <si>
    <t>DNA repair protein XRCC2</t>
  </si>
  <si>
    <t>Density-regulated protein</t>
  </si>
  <si>
    <t>Exportin-T</t>
  </si>
  <si>
    <t>2-deoxynucleoside 5-phosphate N-hydrolase 1</t>
  </si>
  <si>
    <t>Mitochondrial import inner membrane translocase subunit TIM44</t>
  </si>
  <si>
    <t>Trafficking protein particle complex subunit 3</t>
  </si>
  <si>
    <t>Charged multivesicular body protein 2a</t>
  </si>
  <si>
    <t>Cytoplasmic protein NCK2</t>
  </si>
  <si>
    <t>Protein regulator of cytokinesis 1</t>
  </si>
  <si>
    <t>Isoform 2 of Regulator of G-protein signaling 10</t>
  </si>
  <si>
    <t>NADH dehydrogenase [ubiquinone] 1 alpha subcomplex subunit 2</t>
  </si>
  <si>
    <t>ATPase ASNA1</t>
  </si>
  <si>
    <t>Alpha-actinin-4</t>
  </si>
  <si>
    <t>Uncharacterized methyltransferase WBSCR22</t>
  </si>
  <si>
    <t>TP53-regulated inhibitor of apoptosis 1</t>
  </si>
  <si>
    <t>HIV Tat-specific factor 1</t>
  </si>
  <si>
    <t>Isoform 5 of Adapter protein CIKS</t>
  </si>
  <si>
    <t>Isoform 2 of Integral membrane protein 2A</t>
  </si>
  <si>
    <t>Syntaxin-6</t>
  </si>
  <si>
    <t>Synaptogyrin-2</t>
  </si>
  <si>
    <t>Small glutamine-rich tetratricopeptide repeat-containing protein alpha</t>
  </si>
  <si>
    <t>Isoform 2 of Lipoyl synthase, mitochondrial</t>
  </si>
  <si>
    <t>Isoform 2 of Alpha-endosulfine</t>
  </si>
  <si>
    <t>Mitochondrial carnitine/acylcarnitine carrier protein</t>
  </si>
  <si>
    <t>Sjoegren syndrome nuclear autoantigen 1</t>
  </si>
  <si>
    <t>Cleavage and polyadenylation specificity factor subunit 5</t>
  </si>
  <si>
    <t>LanC-like protein 1</t>
  </si>
  <si>
    <t>Striatin</t>
  </si>
  <si>
    <t>U3 small nucleolar RNA-interacting protein 2</t>
  </si>
  <si>
    <t>Protein SCO2 homolog, mitochondrial</t>
  </si>
  <si>
    <t>Isoform 4 of Hyaluronidase-3</t>
  </si>
  <si>
    <t>A-kinase anchor protein 8</t>
  </si>
  <si>
    <t>Putative GTP-binding protein 6</t>
  </si>
  <si>
    <t>Glucose-6-phosphate translocase</t>
  </si>
  <si>
    <t>Zinc finger and BTB domain-containing protein 14</t>
  </si>
  <si>
    <t>Isocitrate dehydrogenase [NAD] subunit beta, mitochondrial</t>
  </si>
  <si>
    <t>Calumenin</t>
  </si>
  <si>
    <t>Putative adenosylhomocysteinase 2</t>
  </si>
  <si>
    <t>Kinesin-like protein KIF1C</t>
  </si>
  <si>
    <t>Origin recognition complex subunit 5</t>
  </si>
  <si>
    <t>NADH dehydrogenase [ubiquinone] iron-sulfur protein 5</t>
  </si>
  <si>
    <t>Retinal rod rhodopsin-sensitive cGMP 3,5-cyclic phosphodiesterase subunit delta</t>
  </si>
  <si>
    <t>Putative serine/threonine-protein kinase PRKY</t>
  </si>
  <si>
    <t>Peroxisome biogenesis factor 1</t>
  </si>
  <si>
    <t>Double-strand-break repair protein rad21 homolog</t>
  </si>
  <si>
    <t>Mitochondrial import inner membrane translocase subunit Tim8 A</t>
  </si>
  <si>
    <t>Putative pre-mRNA-splicing factor ATP-dependent RNA helicase DHX16</t>
  </si>
  <si>
    <t>Glia maturation factor gamma</t>
  </si>
  <si>
    <t>Phosphoribosyl pyrophosphate synthase-associated protein 2</t>
  </si>
  <si>
    <t>SWI/SNF-related matrix-associated actin-dependent regulator of chromatin subfamily A member 5</t>
  </si>
  <si>
    <t>Isoform 4 of C-Jun-amino-terminal kinase-interacting protein 4</t>
  </si>
  <si>
    <t>Isoform 2 of Zinc finger C3H1 domain-containing protein</t>
  </si>
  <si>
    <t>Leucine carboxyl methyltransferase 2</t>
  </si>
  <si>
    <t>Intron-binding protein aquarius</t>
  </si>
  <si>
    <t>Microtubule-associated serine/threonine-protein kinase 3</t>
  </si>
  <si>
    <t>Isoform 3 of Centrosomal protein of 104 kDa</t>
  </si>
  <si>
    <t>Isoform 2 of Dynamin-like 120 kDa protein, mitochondrial</t>
  </si>
  <si>
    <t>Isoform 2 of Zinc finger E-box-binding homeobox 2</t>
  </si>
  <si>
    <t>Isoform 2 of Kinesin-like protein KIF1B</t>
  </si>
  <si>
    <t>Isoform 2 of E3 ubiquitin-protein ligase MARCH6</t>
  </si>
  <si>
    <t>Lysine-specific histone demethylase 1A</t>
  </si>
  <si>
    <t>Isoform 2 of TBC1 domain family member 4</t>
  </si>
  <si>
    <t>Isoform D of Endothelin-converting enzyme 2</t>
  </si>
  <si>
    <t>Fatty acid desaturase 1</t>
  </si>
  <si>
    <t>Mannosyl-oligosaccharide 1,2-alpha-mannosidase IB</t>
  </si>
  <si>
    <t>Isoform Short of Long-chain-fatty-acid--CoA ligase 4</t>
  </si>
  <si>
    <t>Sorting nexin-3</t>
  </si>
  <si>
    <t>Bifunctional protein NCOAT</t>
  </si>
  <si>
    <t>Isoform 3 of Heterogeneous nuclear ribonucleoprotein Q</t>
  </si>
  <si>
    <t>Beta-1,4-galactosyltransferase 3</t>
  </si>
  <si>
    <t>Ran-binding protein 6</t>
  </si>
  <si>
    <t>Isoform 4 of Nuclear export mediator factor NEMF</t>
  </si>
  <si>
    <t>Isoform 2 of GDP-mannose 4,6 dehydratase</t>
  </si>
  <si>
    <t>Cyclin-T1</t>
  </si>
  <si>
    <t>Mitotic checkpoint serine/threonine-protein kinase BUB1 beta</t>
  </si>
  <si>
    <t>Procollagen-lysine,2-oxoglutarate 5-dioxygenase 3</t>
  </si>
  <si>
    <t>15 kDa selenoprotein</t>
  </si>
  <si>
    <t>Isoform 3 of Exocyst complex component 3</t>
  </si>
  <si>
    <t>Perilipin-3</t>
  </si>
  <si>
    <t>Cell cycle checkpoint protein RAD1</t>
  </si>
  <si>
    <t>Protein arginine N-methyltransferase 3</t>
  </si>
  <si>
    <t>UDP-glucose 6-dehydrogenase</t>
  </si>
  <si>
    <t>Protein-tyrosine sulfotransferase 2</t>
  </si>
  <si>
    <t>Isoform 1A of Catenin delta-1</t>
  </si>
  <si>
    <t>Protein-S-isoprenylcysteine O-methyltransferase</t>
  </si>
  <si>
    <t>Melanoma-associated antigen C1</t>
  </si>
  <si>
    <t>Eukaryotic translation initiation factor 1b</t>
  </si>
  <si>
    <t>Sorting nexin-2</t>
  </si>
  <si>
    <t>General vesicular transport factor p115</t>
  </si>
  <si>
    <t>Coiled-coil domain-containing protein 22</t>
  </si>
  <si>
    <t>Polyglutamine-binding protein 1</t>
  </si>
  <si>
    <t>P antigen family member 4</t>
  </si>
  <si>
    <t>Mitochondrial import inner membrane translocase subunit Tim17-B</t>
  </si>
  <si>
    <t>H/ACA ribonucleoprotein complex subunit 4</t>
  </si>
  <si>
    <t>Eukaryotic translation initiation factor 5B</t>
  </si>
  <si>
    <t>Endothelial differentiation-related factor 1</t>
  </si>
  <si>
    <t>DNA/RNA-binding protein KIN17</t>
  </si>
  <si>
    <t>DnaJ homolog subfamily A member 2</t>
  </si>
  <si>
    <t>Bromodomain-containing protein 4</t>
  </si>
  <si>
    <t>Isoform C of Protein CutA</t>
  </si>
  <si>
    <t>Cathepsin L2</t>
  </si>
  <si>
    <t>Prefoldin subunit 1</t>
  </si>
  <si>
    <t>Protein phosphatase 1 regulatory subunit 11</t>
  </si>
  <si>
    <t>Ribonuclease H1</t>
  </si>
  <si>
    <t>Nibrin</t>
  </si>
  <si>
    <t>mRNA-capping enzyme</t>
  </si>
  <si>
    <t>ATP-binding cassette sub-family B member 7, mitochondrial</t>
  </si>
  <si>
    <t>SLIT-ROBO Rho GTPase-activating protein 2</t>
  </si>
  <si>
    <t>Immunoglobulin superfamily member 3</t>
  </si>
  <si>
    <t>Isoform 4 of Putative tyrosine-protein phosphatase auxilin</t>
  </si>
  <si>
    <t>Glycosaminoglycan xylosylkinase</t>
  </si>
  <si>
    <t>WD repeat-containing protein 1</t>
  </si>
  <si>
    <t>NEDD4-binding protein 1</t>
  </si>
  <si>
    <t>Rho-associated protein kinase 2</t>
  </si>
  <si>
    <t>Copine-3</t>
  </si>
  <si>
    <t>Isoform 3 of Autophagy-related protein 13</t>
  </si>
  <si>
    <t>Huntingtin-interacting protein 1-related protein</t>
  </si>
  <si>
    <t>E3 ubiquitin-protein ligase BRE1B</t>
  </si>
  <si>
    <t>Zinc finger CCCH domain-containing protein 11A</t>
  </si>
  <si>
    <t>Cullin-associated NEDD8-dissociated protein 2</t>
  </si>
  <si>
    <t>Isoform 2 of TSC22 domain family protein 2</t>
  </si>
  <si>
    <t>Lysine-specific demethylase 4A</t>
  </si>
  <si>
    <t>DnaJ homolog subfamily C member 13</t>
  </si>
  <si>
    <t>Isoform 2 of Serine/threonine-protein phosphatase 6 regulatory subunit 2</t>
  </si>
  <si>
    <t>CCR4-NOT transcription complex subunit 3</t>
  </si>
  <si>
    <t>Isoform 2 of Ankyrin repeat domain-containing protein 17</t>
  </si>
  <si>
    <t>Xylulose kinase</t>
  </si>
  <si>
    <t>Ubiquinone biosynthesis protein COQ9, mitochondrial</t>
  </si>
  <si>
    <t>Gamma-glutamylcyclotransferase</t>
  </si>
  <si>
    <t>NADH dehydrogenase [ubiquinone] iron-sulfur protein 2, mitochondrial</t>
  </si>
  <si>
    <t>Zinc finger protein ZPR1</t>
  </si>
  <si>
    <t>Protein NipSnap homolog 2</t>
  </si>
  <si>
    <t>Isoform 2 of Hyaluronan mediated motility receptor</t>
  </si>
  <si>
    <t>Programmed cell death protein 6</t>
  </si>
  <si>
    <t>Tubulin-specific chaperone A</t>
  </si>
  <si>
    <t>V-type proton ATPase subunit G 1</t>
  </si>
  <si>
    <t>Vacuolar protein sorting-associated protein 4B</t>
  </si>
  <si>
    <t>Zinc finger protein 217</t>
  </si>
  <si>
    <t>SH3 domain-binding glutamic acid-rich-like protein</t>
  </si>
  <si>
    <t>Isoform 8 of Filamin-B</t>
  </si>
  <si>
    <t>Nuclear receptor corepressor 1</t>
  </si>
  <si>
    <t>Vesicle-associated membrane protein 4</t>
  </si>
  <si>
    <t>NADH dehydrogenase [ubiquinone] iron-sulfur protein 6, mitochondrial</t>
  </si>
  <si>
    <t>Isoform 2 of Peroxisomal membrane protein PEX14</t>
  </si>
  <si>
    <t>Large neutral amino acids transporter small subunit 3</t>
  </si>
  <si>
    <t>Sperm-associated antigen 7</t>
  </si>
  <si>
    <t>Vesicle-trafficking protein SEC22b</t>
  </si>
  <si>
    <t>Pre-mRNA-processing factor 40 homolog A</t>
  </si>
  <si>
    <t>Isoform 2 of Cell division control protein 45 homolog</t>
  </si>
  <si>
    <t>PERQ amino acid-rich with GYF domain-containing protein 1</t>
  </si>
  <si>
    <t>Leucine-rich repeat and calponin homology domain-containing protein 4</t>
  </si>
  <si>
    <t>Vacuolar protein sorting-associated protein 26A</t>
  </si>
  <si>
    <t>NADH dehydrogenase [ubiquinone] 1 beta subcomplex subunit 1</t>
  </si>
  <si>
    <t>Mitochondrial-processing peptidase subunit beta</t>
  </si>
  <si>
    <t>Histone deacetylase complex subunit SAP30</t>
  </si>
  <si>
    <t>Katanin p60 ATPase-containing subunit A1</t>
  </si>
  <si>
    <t>Retinol dehydrogenase 16</t>
  </si>
  <si>
    <t>P antigen family member 1</t>
  </si>
  <si>
    <t>PC4 and SFRS1-interacting protein</t>
  </si>
  <si>
    <t>Isoform 3 of PC4 and SFRS1-interacting protein</t>
  </si>
  <si>
    <t>Erlin-1</t>
  </si>
  <si>
    <t>NADH dehydrogenase [ubiquinone] iron-sulfur protein 3, mitochondrial</t>
  </si>
  <si>
    <t>Ceroid-lipofuscinosis neuronal protein 5</t>
  </si>
  <si>
    <t>Heat shock factor-binding protein 1</t>
  </si>
  <si>
    <t>Isoform 2 of Enoyl-CoA delta isomerase 2, mitochondrial</t>
  </si>
  <si>
    <t>Transcriptional adapter 3</t>
  </si>
  <si>
    <t>Isoform 3 of Polycomb protein EED</t>
  </si>
  <si>
    <t>Barrier-to-autointegration factor</t>
  </si>
  <si>
    <t>Splicing factor 3B subunit 1</t>
  </si>
  <si>
    <t>Cold shock domain-containing protein E1</t>
  </si>
  <si>
    <t>WW domain-binding protein 4</t>
  </si>
  <si>
    <t>Peptide chain release factor 1, mitochondrial</t>
  </si>
  <si>
    <t>2-amino-3-ketobutyrate coenzyme A ligase, mitochondrial</t>
  </si>
  <si>
    <t>Nucleoplasmin-3</t>
  </si>
  <si>
    <t>Isoform 2 of Acyl-protein thioesterase 1</t>
  </si>
  <si>
    <t>GTPase Era, mitochondrial</t>
  </si>
  <si>
    <t>Protein CREG1</t>
  </si>
  <si>
    <t>Isoform 2 of Serpin B7</t>
  </si>
  <si>
    <t>U5 small nuclear ribonucleoprotein 200 kDa helicase</t>
  </si>
  <si>
    <t>Mitochondrial tRNA-specific 2-thiouridylase 1</t>
  </si>
  <si>
    <t>TIP41-like protein</t>
  </si>
  <si>
    <t>Protein phosphatase 1B</t>
  </si>
  <si>
    <t>Small subunit processome component 20 homolog</t>
  </si>
  <si>
    <t>Protein XRP2</t>
  </si>
  <si>
    <t>WD repeat and HMG-box DNA-binding protein 1</t>
  </si>
  <si>
    <t>Calcium-binding mitochondrial carrier protein Aralar1</t>
  </si>
  <si>
    <t>Paralemmin-1</t>
  </si>
  <si>
    <t>GRB2-related adapter protein 2</t>
  </si>
  <si>
    <t>Ribonuclease H2 subunit A</t>
  </si>
  <si>
    <t>Cell division cycle protein 123 homolog</t>
  </si>
  <si>
    <t>Calpain-15</t>
  </si>
  <si>
    <t>Isoform 2 of Ribonuclease P protein subunit p40</t>
  </si>
  <si>
    <t>Eukaryotic translation initiation factor 3 subunit G</t>
  </si>
  <si>
    <t>Eukaryotic translation initiation factor 3 subunit J</t>
  </si>
  <si>
    <t>Carbonyl reductase [NADPH] 3</t>
  </si>
  <si>
    <t>CAAX prenyl protease 1 homolog</t>
  </si>
  <si>
    <t>Isocitrate dehydrogenase [NADP] cytoplasmic</t>
  </si>
  <si>
    <t>Isoform 3 of Attractin</t>
  </si>
  <si>
    <t>Signal transducing adapter molecule 2</t>
  </si>
  <si>
    <t>Tumor suppressor candidate 2</t>
  </si>
  <si>
    <t>Cyclin-K</t>
  </si>
  <si>
    <t>Short-chain dehydrogenase/reductase 3</t>
  </si>
  <si>
    <t>PRA1 family protein 3</t>
  </si>
  <si>
    <t>Isoform PIAS2-alpha of E3 SUMO-protein ligase PIAS2</t>
  </si>
  <si>
    <t>Pre-mRNA-splicing factor SPF27</t>
  </si>
  <si>
    <t>Isoform 3 of Dynactin subunit 3</t>
  </si>
  <si>
    <t>DnaJ homolog subfamily C member 8</t>
  </si>
  <si>
    <t>Survival of motor neuron-related-splicing factor 30</t>
  </si>
  <si>
    <t>Isoform 4 of Cell cycle checkpoint protein RAD17</t>
  </si>
  <si>
    <t>ATP synthase subunit d, mitochondrial</t>
  </si>
  <si>
    <t>Flotillin-1</t>
  </si>
  <si>
    <t>ATP synthase subunit g, mitochondrial</t>
  </si>
  <si>
    <t>Carboxypeptidase D</t>
  </si>
  <si>
    <t>Glutaredoxin-3</t>
  </si>
  <si>
    <t>ATP-dependent Clp protease ATP-binding subunit clpX-like, mitochondrial</t>
  </si>
  <si>
    <t>Isoform 2 of Nebulette</t>
  </si>
  <si>
    <t>Gamma-synuclein</t>
  </si>
  <si>
    <t>Probable cytosolic iron-sulfur protein assembly protein CIAO1</t>
  </si>
  <si>
    <t>Isoform Beta of DNA fragmentation factor subunit beta</t>
  </si>
  <si>
    <t>AN1-type zinc finger protein 5</t>
  </si>
  <si>
    <t>Signal recognition particle subunit SRP72</t>
  </si>
  <si>
    <t>Isoform 2 of Protein JTB</t>
  </si>
  <si>
    <t>ATP-dependent DNA helicase Q5</t>
  </si>
  <si>
    <t>Unconventional prefoldin RPB5 interactor 1</t>
  </si>
  <si>
    <t>Galactosylgalactosylxylosylprotein 3-beta-glucuronosyltransferase 3</t>
  </si>
  <si>
    <t>Metastasis-associated protein MTA2</t>
  </si>
  <si>
    <t>Ubiquitin carboxyl-terminal hydrolase 1</t>
  </si>
  <si>
    <t>Retinal dehydrogenase 2</t>
  </si>
  <si>
    <t>Serine/threonine-protein kinase 10</t>
  </si>
  <si>
    <t>E3 ubiquitin-protein ligase listerin</t>
  </si>
  <si>
    <t>Mitochondrial import receptor subunit TOM70</t>
  </si>
  <si>
    <t>Importin-13</t>
  </si>
  <si>
    <t>Phospholipase DDHD2</t>
  </si>
  <si>
    <t>Unconventional myosin-Id</t>
  </si>
  <si>
    <t>Isoform 5 of Protein-methionine sulfoxide oxidase MICAL2</t>
  </si>
  <si>
    <t>Isoform 2 of Uncharacterized protein KIAA0754</t>
  </si>
  <si>
    <t>Protein transport protein Sec24D</t>
  </si>
  <si>
    <t>Isoform 2 of STAGA complex 65 subunit gamma</t>
  </si>
  <si>
    <t>E3 UFM1-protein ligase 1</t>
  </si>
  <si>
    <t>PHD finger protein 14</t>
  </si>
  <si>
    <t>SAM and SH3 domain-containing protein 1</t>
  </si>
  <si>
    <t>Transmembrane protein 63A</t>
  </si>
  <si>
    <t>UBX domain-containing protein 7</t>
  </si>
  <si>
    <t>Kelch-like protein 18</t>
  </si>
  <si>
    <t>Leucine-rich repeats and immunoglobulin-like domains protein 2</t>
  </si>
  <si>
    <t>Proline synthase co-transcribed bacterial homolog protein</t>
  </si>
  <si>
    <t>Erlin-2</t>
  </si>
  <si>
    <t>Isoform 2 of Pre-mRNA-processing factor 6</t>
  </si>
  <si>
    <t>Pre-mRNA cleavage complex 2 protein Pcf11</t>
  </si>
  <si>
    <t>Nuclear factor of activated T-cells 5</t>
  </si>
  <si>
    <t>Endonuclease domain-containing 1 protein</t>
  </si>
  <si>
    <t>Isoform 3 of Glutaminase kidney isoform, mitochondrial</t>
  </si>
  <si>
    <t>HAUS augmin-like complex subunit 5</t>
  </si>
  <si>
    <t>Isoform 7 of Ubiquitin carboxyl-terminal hydrolase 19</t>
  </si>
  <si>
    <t>Isoform 2 of WD repeat-containing protein 47</t>
  </si>
  <si>
    <t>AP-2 complex subunit alpha-2</t>
  </si>
  <si>
    <t>Isoform 2 of AP-2 complex subunit alpha-2</t>
  </si>
  <si>
    <t>Protein HEXIM1</t>
  </si>
  <si>
    <t>G2/mitotic-specific cyclin-B2</t>
  </si>
  <si>
    <t>Arf-GAP domain and FG repeat-containing protein 2</t>
  </si>
  <si>
    <t>Isoform 3 of Splicing factor, arginine/serine-rich 15</t>
  </si>
  <si>
    <t>NADH dehydrogenase [ubiquinone] 1 beta subcomplex subunit 6</t>
  </si>
  <si>
    <t>Mitofusin-2</t>
  </si>
  <si>
    <t>Isoform 2 of Ubiquitin conjugation factor E4 B</t>
  </si>
  <si>
    <t>Zinc finger protein-like 1</t>
  </si>
  <si>
    <t>Elongator complex protein 1</t>
  </si>
  <si>
    <t>NADH dehydrogenase [ubiquinone] 1 alpha subcomplex subunit 3</t>
  </si>
  <si>
    <t>NADH dehydrogenase [ubiquinone] 1 beta subcomplex subunit 4</t>
  </si>
  <si>
    <t>NADH dehydrogenase [ubiquinone] 1 alpha subcomplex subunit 7</t>
  </si>
  <si>
    <t>Isoform 2 of Reticulon-3</t>
  </si>
  <si>
    <t>LETM1 and EF-hand domain-containing protein 1, mitochondrial</t>
  </si>
  <si>
    <t>Isoform 2 of Zinc finger Ran-binding domain-containing protein 2</t>
  </si>
  <si>
    <t>ZW10 interactor</t>
  </si>
  <si>
    <t>Homeobox protein VENTX</t>
  </si>
  <si>
    <t>Luc7-like protein 3</t>
  </si>
  <si>
    <t>Chromosome-associated kinesin KIF4A</t>
  </si>
  <si>
    <t>Isoform 2 of Histone acetyltransferase KAT7</t>
  </si>
  <si>
    <t>Cyclin-D1-binding protein 1</t>
  </si>
  <si>
    <t>Vesicle-associated membrane protein-associated protein B/C</t>
  </si>
  <si>
    <t>SNARE-associated protein Snapin</t>
  </si>
  <si>
    <t>Isoform 2 of Myelin protein zero-like protein 1</t>
  </si>
  <si>
    <t>Isoform 4 of NADH dehydrogenase [ubiquinone] 1 subunit C2</t>
  </si>
  <si>
    <t>Peptidyl-prolyl cis-trans isomerase FKBP9</t>
  </si>
  <si>
    <t>6-phosphogluconolactonase</t>
  </si>
  <si>
    <t>Structural maintenance of chromosomes protein 2</t>
  </si>
  <si>
    <t>Ubiquitin-like modifier-activating enzyme ATG7</t>
  </si>
  <si>
    <t>Phenylalanine--tRNA ligase, mitochondrial</t>
  </si>
  <si>
    <t>Zinc finger and BTB domain-containing protein 7A</t>
  </si>
  <si>
    <t>Acyl-protein thioesterase 2</t>
  </si>
  <si>
    <t>Importin-7</t>
  </si>
  <si>
    <t>E3 ubiquitin-protein ligase ARIH2</t>
  </si>
  <si>
    <t>Pre-mRNA-splicing factor SLU7</t>
  </si>
  <si>
    <t>Phosphoacetylglucosamine mutase</t>
  </si>
  <si>
    <t>Adenylyltransferase and sulfurtransferase MOCS3</t>
  </si>
  <si>
    <t>CD2 antigen cytoplasmic tail-binding protein 2</t>
  </si>
  <si>
    <t>Mediator of RNA polymerase II transcription subunit 26</t>
  </si>
  <si>
    <t>Isoform 2 of Zinc finger FYVE domain-containing protein 9</t>
  </si>
  <si>
    <t>Isoform 2 of BAG family molecular chaperone regulator 4</t>
  </si>
  <si>
    <t>Activator of 90 kDa heat shock protein ATPase homolog 1</t>
  </si>
  <si>
    <t>Isoform 2 of Poly(A)-specific ribonuclease PARN</t>
  </si>
  <si>
    <t>dTDP-D-glucose 4,6-dehydratase</t>
  </si>
  <si>
    <t>Isoform 2 of Proteasome assembly chaperone 1</t>
  </si>
  <si>
    <t>Isoform 2 of Formin-like protein 1</t>
  </si>
  <si>
    <t>Sphingosine-1-phosphate lyase 1</t>
  </si>
  <si>
    <t>Protein transport protein Sec24A</t>
  </si>
  <si>
    <t>Isoform 2 of Protein transport protein Sec24B</t>
  </si>
  <si>
    <t>NAD kinase</t>
  </si>
  <si>
    <t>Tyrosyl-DNA phosphodiesterase 2</t>
  </si>
  <si>
    <t>Protein ETHE1, mitochondrial</t>
  </si>
  <si>
    <t>Long-chain-fatty-acid--CoA ligase 3</t>
  </si>
  <si>
    <t>DNA-directed RNA polymerase I subunit RPA1</t>
  </si>
  <si>
    <t>Isoform 2 of Pericentrin</t>
  </si>
  <si>
    <t>YEATS domain-containing protein 4</t>
  </si>
  <si>
    <t>tRNA-dihydrouridine(20a/20b) synthase [NAD(P)+]-like</t>
  </si>
  <si>
    <t>Isoform 3 of CCR4-NOT transcription complex subunit 4</t>
  </si>
  <si>
    <t>STAM-binding protein</t>
  </si>
  <si>
    <t>Isoform 2 of N-acetylserotonin O-methyltransferase-like protein</t>
  </si>
  <si>
    <t>FGFR1 oncogene partner</t>
  </si>
  <si>
    <t>Synaptosomal-associated protein 29</t>
  </si>
  <si>
    <t>Serine/threonine-protein kinase OSR1</t>
  </si>
  <si>
    <t>Geranylgeranyl pyrophosphate synthase</t>
  </si>
  <si>
    <t>Isoform 1 of Polypyrimidine tract-binding protein 3</t>
  </si>
  <si>
    <t>N-alpha-acetyltransferase 38, NatC auxiliary subunit</t>
  </si>
  <si>
    <t>Isoform B of AP-2 complex subunit alpha-1</t>
  </si>
  <si>
    <t>Tetratricopeptide repeat protein 4</t>
  </si>
  <si>
    <t>Transmembrane protein 50A</t>
  </si>
  <si>
    <t>Serum deprivation-response protein</t>
  </si>
  <si>
    <t>BAG family molecular chaperone regulator 2</t>
  </si>
  <si>
    <t>BAG family molecular chaperone regulator 3</t>
  </si>
  <si>
    <t>Quinone oxidoreductase-like protein 1</t>
  </si>
  <si>
    <t>Isoform 3 of Apoptosis-inducing factor 1, mitochondrial</t>
  </si>
  <si>
    <t>Echinoderm microtubule-associated protein-like 2</t>
  </si>
  <si>
    <t>Serine/threonine-protein kinase LATS1</t>
  </si>
  <si>
    <t>Tetraspanin-13</t>
  </si>
  <si>
    <t>N(G),N(G)-dimethylarginine dimethylaminohydrolase 2</t>
  </si>
  <si>
    <t>Uncharacterized protein C6orf47</t>
  </si>
  <si>
    <t>Thioredoxin domain-containing protein 12</t>
  </si>
  <si>
    <t>Protein SGT1</t>
  </si>
  <si>
    <t>Pre-mRNA-splicing factor SYF2</t>
  </si>
  <si>
    <t>Isoform 2 of Methyl-CpG-binding domain protein 3</t>
  </si>
  <si>
    <t>DNA topoisomerase 3-beta-1</t>
  </si>
  <si>
    <t>Diphosphoinositol polyphosphate phosphohydrolase 1</t>
  </si>
  <si>
    <t>Securin</t>
  </si>
  <si>
    <t>B-cell lymphoma/leukemia 10</t>
  </si>
  <si>
    <t>NADH dehydrogenase [ubiquinone] 1 beta subcomplex subunit 10</t>
  </si>
  <si>
    <t>Molybdopterin synthase catalytic subunit</t>
  </si>
  <si>
    <t>Mitochondrial import receptor subunit TOM40 homolog</t>
  </si>
  <si>
    <t>Isoform 2 of Peroxisomal membrane protein 11B</t>
  </si>
  <si>
    <t>Serine/threonine-protein kinase PAK 4</t>
  </si>
  <si>
    <t>Serine/threonine-protein kinase Chk2</t>
  </si>
  <si>
    <t>Actin-like protein 6A</t>
  </si>
  <si>
    <t>Molybdopterin synthase sulfur carrier subunit</t>
  </si>
  <si>
    <t>L-lactate dehydrogenase A chain</t>
  </si>
  <si>
    <t>Retinal dehydrogenase 1</t>
  </si>
  <si>
    <t>Glutamate dehydrogenase 1, mitochondrial</t>
  </si>
  <si>
    <t>Dihydrofolate reductase</t>
  </si>
  <si>
    <t>Isoform 2 of NADH-cytochrome b5 reductase 3</t>
  </si>
  <si>
    <t>Isoform 4 of Glutathione reductase, mitochondrial</t>
  </si>
  <si>
    <t>Cytochrome c oxidase subunit 2</t>
  </si>
  <si>
    <t>Superoxide dismutase [Cu-Zn]</t>
  </si>
  <si>
    <t>Purine nucleoside phosphorylase</t>
  </si>
  <si>
    <t>Hypoxanthine-guanine phosphoribosyltransferase</t>
  </si>
  <si>
    <t>Aspartate aminotransferase, mitochondrial</t>
  </si>
  <si>
    <t>Tyrosine-protein kinase ABL1</t>
  </si>
  <si>
    <t>Phosphoglycerate kinase 1</t>
  </si>
  <si>
    <t>Cystatin-C</t>
  </si>
  <si>
    <t>GTPase NRas</t>
  </si>
  <si>
    <t>GTPase HRas</t>
  </si>
  <si>
    <t>GTPase KRas</t>
  </si>
  <si>
    <t>Isoform 2B of GTPase KRas</t>
  </si>
  <si>
    <t>Transforming growth factor beta-1</t>
  </si>
  <si>
    <t>Hemoglobin subunit zeta</t>
  </si>
  <si>
    <t>Hemoglobin subunit delta</t>
  </si>
  <si>
    <t>Hemoglobin subunit epsilon</t>
  </si>
  <si>
    <t>Prelamin-A/C</t>
  </si>
  <si>
    <t>Isoform C of Prelamin-A/C</t>
  </si>
  <si>
    <t>Spectrin alpha chain, erythrocytic 1</t>
  </si>
  <si>
    <t>Apolipoprotein E</t>
  </si>
  <si>
    <t>Band 3 anion transport protein</t>
  </si>
  <si>
    <t>Transferrin receptor protein 1</t>
  </si>
  <si>
    <t>Ferritin light chain</t>
  </si>
  <si>
    <t>Ferritin heavy chain</t>
  </si>
  <si>
    <t>ATP synthase protein 8</t>
  </si>
  <si>
    <t>3-hydroxy-3-methylglutaryl-coenzyme A reductase</t>
  </si>
  <si>
    <t>Catalase</t>
  </si>
  <si>
    <t>Tissue alpha-L-fucosidase</t>
  </si>
  <si>
    <t>Fructose-bisphosphate aldolase A</t>
  </si>
  <si>
    <t>Cystatin-B</t>
  </si>
  <si>
    <t>Annexin A1</t>
  </si>
  <si>
    <t>Apolipoprotein B-100</t>
  </si>
  <si>
    <t>Isoform GR-A beta of Glucocorticoid receptor</t>
  </si>
  <si>
    <t>Ornithine aminotransferase, mitochondrial</t>
  </si>
  <si>
    <t>Thymidine kinase, cytosolic</t>
  </si>
  <si>
    <t>Glyceraldehyde-3-phosphate dehydrogenase</t>
  </si>
  <si>
    <t>Isoform 2 of Glyceraldehyde-3-phosphate dehydrogenase</t>
  </si>
  <si>
    <t>Isoform 2 of Argininosuccinate lyase</t>
  </si>
  <si>
    <t>Calpain small subunit 1</t>
  </si>
  <si>
    <t>Heat shock protein beta-1</t>
  </si>
  <si>
    <t>Thymidylate synthase</t>
  </si>
  <si>
    <t>Dolichyl-diphosphooligosaccharide--protein glycosyltransferase subunit 1</t>
  </si>
  <si>
    <t>Isoform 2 of Dolichyl-diphosphooligosaccharide--protein glycosyltransferase subunit 2</t>
  </si>
  <si>
    <t>Guanine nucleotide-binding protein G(i) subunit alpha-2</t>
  </si>
  <si>
    <t>Isoform B1 of Anion exchange protein 2</t>
  </si>
  <si>
    <t>Isoform Glycophorin-D of Glycophorin-C</t>
  </si>
  <si>
    <t>Isoform 4 of Sodium/potassium-transporting ATPase subunit alpha-1</t>
  </si>
  <si>
    <t>Aldehyde dehydrogenase, mitochondrial</t>
  </si>
  <si>
    <t>Non-histone chromosomal protein HMG-14</t>
  </si>
  <si>
    <t>ADP/ATP translocase 2</t>
  </si>
  <si>
    <t>Ubiquitin-like protein ISG15</t>
  </si>
  <si>
    <t>Isoform 3 of Propionyl-CoA carboxylase alpha chain, mitochondrial</t>
  </si>
  <si>
    <t>Eukaryotic translation initiation factor 2 subunit 1</t>
  </si>
  <si>
    <t>Non-histone chromosomal protein HMG-17</t>
  </si>
  <si>
    <t>Intercellular adhesion molecule 1</t>
  </si>
  <si>
    <t>60S acidic ribosomal protein P1</t>
  </si>
  <si>
    <t>60S acidic ribosomal protein P2</t>
  </si>
  <si>
    <t>60S acidic ribosomal protein P0</t>
  </si>
  <si>
    <t>Transcription factor AP-1</t>
  </si>
  <si>
    <t>DNA-directed RNA polymerase III subunit RPC4</t>
  </si>
  <si>
    <t>Lupus La protein</t>
  </si>
  <si>
    <t>Integrin beta-1</t>
  </si>
  <si>
    <t>Isoform Beta-II of Protein kinase C beta type</t>
  </si>
  <si>
    <t>Keratin, type I cytoskeletal 18</t>
  </si>
  <si>
    <t>Calbindin</t>
  </si>
  <si>
    <t>Uroporphyrinogen decarboxylase</t>
  </si>
  <si>
    <t>Alpha-galactosidase A</t>
  </si>
  <si>
    <t>Retinoblastoma-associated protein</t>
  </si>
  <si>
    <t>Cyclin-dependent kinase 1</t>
  </si>
  <si>
    <t>ATP synthase subunit beta, mitochondrial</t>
  </si>
  <si>
    <t>Alpha-enolase</t>
  </si>
  <si>
    <t>Isoform MBP-1 of Alpha-enolase</t>
  </si>
  <si>
    <t>Glucose-6-phosphate isomerase</t>
  </si>
  <si>
    <t>Nucleophosmin</t>
  </si>
  <si>
    <t>Isoform 3 of Nucleophosmin</t>
  </si>
  <si>
    <t>Isoform 2 of Tropomyosin alpha-3 chain</t>
  </si>
  <si>
    <t>Isoform 3 of Tropomyosin alpha-3 chain</t>
  </si>
  <si>
    <t>Isoform 3 of Integrin alpha-V</t>
  </si>
  <si>
    <t>Epoxide hydrolase 1</t>
  </si>
  <si>
    <t>Acyl-CoA-binding protein</t>
  </si>
  <si>
    <t>L-lactate dehydrogenase B chain</t>
  </si>
  <si>
    <t>Phosphoglycerate kinase 2</t>
  </si>
  <si>
    <t>Vitamin K-dependent protein S</t>
  </si>
  <si>
    <t>Cathepsin D</t>
  </si>
  <si>
    <t>Annexin A2</t>
  </si>
  <si>
    <t>Calpain-1 catalytic subunit</t>
  </si>
  <si>
    <t>Beta-hexosaminidase subunit beta</t>
  </si>
  <si>
    <t>Cathepsin L1</t>
  </si>
  <si>
    <t>Profilin-1</t>
  </si>
  <si>
    <t>Bisphosphoglycerate mutase</t>
  </si>
  <si>
    <t>Adenine phosphoribosyltransferase</t>
  </si>
  <si>
    <t>Bifunctional glutamate/proline--tRNA ligase</t>
  </si>
  <si>
    <t>Cathepsin B</t>
  </si>
  <si>
    <t>Heat shock protein HSP 90-alpha</t>
  </si>
  <si>
    <t>Galactose-1-phosphate uridylyltransferase</t>
  </si>
  <si>
    <t>Cytochrome b-c1 complex subunit 6, mitochondrial</t>
  </si>
  <si>
    <t>Isoform 2 of Tyrosine-protein kinase Lyn</t>
  </si>
  <si>
    <t>Isoform Cytoplasmic of Fumarate hydratase, mitochondrial</t>
  </si>
  <si>
    <t>Transcription factor Sp1</t>
  </si>
  <si>
    <t>Heat shock 70 kDa protein 1A/1B</t>
  </si>
  <si>
    <t>Collagen alpha-2(I) chain</t>
  </si>
  <si>
    <t>Isoform 2 of Annexin A6</t>
  </si>
  <si>
    <t>6-phosphofructokinase, muscle type</t>
  </si>
  <si>
    <t>Heat shock protein HSP 90-beta</t>
  </si>
  <si>
    <t>Signal recognition particle receptor subunit alpha</t>
  </si>
  <si>
    <t>Isoform 2 of Asparagine synthetase [glutamine-hydrolyzing]</t>
  </si>
  <si>
    <t>Isoform 2 of Porphobilinogen deaminase</t>
  </si>
  <si>
    <t>Isoform 3 of Pyruvate dehydrogenase E1 component subunit alpha, somatic form, mitochondrial</t>
  </si>
  <si>
    <t>Cytochrome c1, heme protein, mitochondrial</t>
  </si>
  <si>
    <t>U2 small nuclear ribonucleoprotein B</t>
  </si>
  <si>
    <t>Myosin light chain 3</t>
  </si>
  <si>
    <t>Complement factor H</t>
  </si>
  <si>
    <t>U1 small nuclear ribonucleoprotein 70 kDa</t>
  </si>
  <si>
    <t>Integrin alpha-5</t>
  </si>
  <si>
    <t>Isoform 3 of Nuclear factor 1 C-type</t>
  </si>
  <si>
    <t>Vimentin</t>
  </si>
  <si>
    <t>Guanine nucleotide-binding protein G(k) subunit alpha</t>
  </si>
  <si>
    <t>Annexin A5</t>
  </si>
  <si>
    <t>U1 small nuclear ribonucleoprotein A</t>
  </si>
  <si>
    <t>Isoform 3 of Fibroblast growth factor 2</t>
  </si>
  <si>
    <t>Gamma-enolase</t>
  </si>
  <si>
    <t>Hemoglobin subunit theta-1</t>
  </si>
  <si>
    <t>3-ketoacyl-CoA thiolase, peroxisomal</t>
  </si>
  <si>
    <t>Signal recognition particle 19 kDa protein</t>
  </si>
  <si>
    <t>Glutathione S-transferase P</t>
  </si>
  <si>
    <t>U1 small nuclear ribonucleoprotein C</t>
  </si>
  <si>
    <t>Galectin-1</t>
  </si>
  <si>
    <t>Dihydropteridine reductase</t>
  </si>
  <si>
    <t>High mobility group protein B1</t>
  </si>
  <si>
    <t>Isoform 8 of Tropomyosin alpha-1 chain</t>
  </si>
  <si>
    <t>Isoform Non-brain of Clathrin light chain A</t>
  </si>
  <si>
    <t>Isoform Non-brain of Clathrin light chain B</t>
  </si>
  <si>
    <t>Annexin A4</t>
  </si>
  <si>
    <t>Isoform CNPI of 2,3-cyclic-nucleotide 3-phosphodiesterase</t>
  </si>
  <si>
    <t>Dihydrolipoyl dehydrogenase, mitochondrial</t>
  </si>
  <si>
    <t>U2 small nuclear ribonucleoprotein A</t>
  </si>
  <si>
    <t>Pro-cathepsin H</t>
  </si>
  <si>
    <t>Cytochrome c oxidase subunit 6C</t>
  </si>
  <si>
    <t>Poly [ADP-ribose] polymerase 1</t>
  </si>
  <si>
    <t>Furin</t>
  </si>
  <si>
    <t>Leukotriene A-4 hydrolase</t>
  </si>
  <si>
    <t>Fructose-bisphosphate aldolase C</t>
  </si>
  <si>
    <t>F-box/SPRY domain-containing protein 1</t>
  </si>
  <si>
    <t>CDGSH iron-sulfur domain-containing protein 3, mitochondrial</t>
  </si>
  <si>
    <t>Putative cytochrome b-c1 complex subunit Rieske-like protein 1</t>
  </si>
  <si>
    <t>Ataxin-1-like</t>
  </si>
  <si>
    <t>Isoform 3 of Cytosolic phospholipase A2 beta</t>
  </si>
  <si>
    <t>Chromosome transmission fidelity protein 8 homolog isoform 2</t>
  </si>
  <si>
    <t>40S ribosomal protein S17-like</t>
  </si>
  <si>
    <t>Small integral membrane protein 13</t>
  </si>
  <si>
    <t>Adrenodoxin, mitochondrial</t>
  </si>
  <si>
    <t>Serglycin</t>
  </si>
  <si>
    <t>60 kDa SS-A/Ro ribonucleoprotein</t>
  </si>
  <si>
    <t>Myb-related protein B</t>
  </si>
  <si>
    <t>Ras-related protein R-Ras</t>
  </si>
  <si>
    <t>Serine/threonine-protein kinase A-Raf</t>
  </si>
  <si>
    <t>Histone H1.4</t>
  </si>
  <si>
    <t>Isoform 2 of Receptor-type tyrosine-protein phosphatase F</t>
  </si>
  <si>
    <t>Nuclear receptor subfamily 2 group F member 6</t>
  </si>
  <si>
    <t>Thioredoxin</t>
  </si>
  <si>
    <t>Cytochrome c oxidase subunit 5B, mitochondrial</t>
  </si>
  <si>
    <t>Lysosomal protective protein</t>
  </si>
  <si>
    <t>cAMP-dependent protein kinase type I-alpha regulatory subunit</t>
  </si>
  <si>
    <t>Uroporphyrinogen-III synthase</t>
  </si>
  <si>
    <t>S-formylglutathione hydrolase</t>
  </si>
  <si>
    <t>60 kDa heat shock protein, mitochondrial</t>
  </si>
  <si>
    <t>78 kDa glucose-regulated protein</t>
  </si>
  <si>
    <t>Heat shock cognate 71 kDa protein</t>
  </si>
  <si>
    <t>Solute carrier family 2, facilitated glucose transporter member 1</t>
  </si>
  <si>
    <t>Solute carrier family 2, facilitated glucose transporter member 3</t>
  </si>
  <si>
    <t>Protein 4.1</t>
  </si>
  <si>
    <t>Uridine 5-monophosphate synthase</t>
  </si>
  <si>
    <t>Isoform 3 of Pyruvate dehydrogenase E1 component subunit beta, mitochondrial</t>
  </si>
  <si>
    <t>Lipoamide acyltransferase component of branched-chain alpha-keto acid dehydrogenase complex, mitochondrial</t>
  </si>
  <si>
    <t>Glycogen phosphorylase, brain form</t>
  </si>
  <si>
    <t>Ras-related protein Ral-A</t>
  </si>
  <si>
    <t>Ras-related protein Ral-B</t>
  </si>
  <si>
    <t>Isoform 2 of Breakpoint cluster region protein</t>
  </si>
  <si>
    <t>Isoform 3 of Spectrin beta chain, erythrocytic</t>
  </si>
  <si>
    <t>Lysosome-associated membrane glycoprotein 1</t>
  </si>
  <si>
    <t>DNA topoisomerase 1</t>
  </si>
  <si>
    <t>DNA topoisomerase 2-alpha</t>
  </si>
  <si>
    <t>Glucose-6-phosphate 1-dehydrogenase</t>
  </si>
  <si>
    <t>Ubiquitin-like protein 4A</t>
  </si>
  <si>
    <t>Isoform 2 of Steroid hormone receptor ERR1</t>
  </si>
  <si>
    <t>Pyruvate carboxylase, mitochondrial</t>
  </si>
  <si>
    <t>Cation-independent mannose-6-phosphate receptor</t>
  </si>
  <si>
    <t>Alcohol dehydrogenase class-3</t>
  </si>
  <si>
    <t>Cyclin-dependent kinase 4</t>
  </si>
  <si>
    <t>Ribose-phosphate pyrophosphokinase 2</t>
  </si>
  <si>
    <t>Polyadenylate-binding protein 1</t>
  </si>
  <si>
    <t>Proliferating cell nuclear antigen</t>
  </si>
  <si>
    <t>Isoform 2 of Neurofilament heavy polypeptide</t>
  </si>
  <si>
    <t>Histidine--tRNA ligase, cytoplasmic</t>
  </si>
  <si>
    <t>ADP/ATP translocase 1</t>
  </si>
  <si>
    <t>ADP/ATP translocase 3</t>
  </si>
  <si>
    <t>Nucleoprotein TPR</t>
  </si>
  <si>
    <t>Creatine kinase B-type</t>
  </si>
  <si>
    <t>Isoform 2 of Low affinity immunoglobulin gamma Fc region receptor II-a</t>
  </si>
  <si>
    <t>Annexin A3</t>
  </si>
  <si>
    <t>Creatine kinase U-type, mitochondrial</t>
  </si>
  <si>
    <t>Ski oncogene</t>
  </si>
  <si>
    <t>Isoform 2 of Alpha-actinin-1</t>
  </si>
  <si>
    <t>Myosin light chain 4</t>
  </si>
  <si>
    <t>Myosin-1</t>
  </si>
  <si>
    <t>Proto-oncogene tyrosine-protein kinase Src</t>
  </si>
  <si>
    <t>X-ray repair cross-complementing protein 6</t>
  </si>
  <si>
    <t>X-ray repair cross-complementing protein 5</t>
  </si>
  <si>
    <t>Nuclear receptor subfamily 2 group C member 1</t>
  </si>
  <si>
    <t>Cytochrome c oxidase subunit 4 isoform 1, mitochondrial</t>
  </si>
  <si>
    <t>5-aminolevulinate synthase, nonspecific, mitochondrial</t>
  </si>
  <si>
    <t>Platelet glycoprotein Ib beta chain</t>
  </si>
  <si>
    <t>Gamma-interferon-inducible lysosomal thiol reductase</t>
  </si>
  <si>
    <t>Isoform LAMP-2B of Lysosome-associated membrane glycoprotein 2</t>
  </si>
  <si>
    <t>Ribonuclease inhibitor</t>
  </si>
  <si>
    <t>Cytochrome b-245 light chain</t>
  </si>
  <si>
    <t>Myosin-6</t>
  </si>
  <si>
    <t>Elongation factor 2</t>
  </si>
  <si>
    <t>Protein disulfide-isomerase A4</t>
  </si>
  <si>
    <t>Isoform 2 of Prolyl 4-hydroxylase subunit alpha-1</t>
  </si>
  <si>
    <t>Translationally-controlled tumor protein</t>
  </si>
  <si>
    <t>Plastin-2</t>
  </si>
  <si>
    <t>Electron transfer flavoprotein subunit alpha, mitochondrial</t>
  </si>
  <si>
    <t>cAMP-dependent protein kinase type II-alpha regulatory subunit</t>
  </si>
  <si>
    <t>Isoform 2 of Beta-enolase</t>
  </si>
  <si>
    <t>General transcription factor IIF subunit 2</t>
  </si>
  <si>
    <t>Macrophage migration inhibitory factor</t>
  </si>
  <si>
    <t>Isoform 3 of CD99 antigen</t>
  </si>
  <si>
    <t>Isoform 2 of Interferon regulatory factor 2</t>
  </si>
  <si>
    <t>Hematopoietic lineage cell-specific protein</t>
  </si>
  <si>
    <t>Isoform 2 of Farnesyl pyrophosphate synthase</t>
  </si>
  <si>
    <t>Sodium/potassium-transporting ATPase subunit beta-2</t>
  </si>
  <si>
    <t>Alcohol dehydrogenase [NADP(+)]</t>
  </si>
  <si>
    <t>Pyruvate kinase isozymes M1/M2</t>
  </si>
  <si>
    <t>Isoform M1 of Pyruvate kinase isozymes M1/M2</t>
  </si>
  <si>
    <t>Endoplasmin</t>
  </si>
  <si>
    <t>G2/mitotic-specific cyclin-B1</t>
  </si>
  <si>
    <t>Myosin light chain 6B</t>
  </si>
  <si>
    <t>Isoform SM-B of Small nuclear ribonucleoprotein-associated proteins B and B</t>
  </si>
  <si>
    <t>Insulin-degrading enzyme</t>
  </si>
  <si>
    <t>Cytochrome c oxidase subunit 6B1</t>
  </si>
  <si>
    <t>Heterogeneous nuclear ribonucleoprotein L</t>
  </si>
  <si>
    <t>Aspartate--tRNA ligase, cytoplasmic</t>
  </si>
  <si>
    <t>Junction plakoglobin</t>
  </si>
  <si>
    <t>Serine/threonine-protein kinase B-raf</t>
  </si>
  <si>
    <t>Glutamine synthetase</t>
  </si>
  <si>
    <t>Aldose reductase</t>
  </si>
  <si>
    <t>Isoform Gamma of Poliovirus receptor</t>
  </si>
  <si>
    <t>Ras-related C3 botulinum toxin substrate 2</t>
  </si>
  <si>
    <t>Isoform 2 of Eukaryotic peptide chain release factor GTP-binding subunit ERF3A</t>
  </si>
  <si>
    <t>Isoform 2 of Arylsulfatase A</t>
  </si>
  <si>
    <t>Isoform Short of Beta-1,4-galactosyltransferase 1</t>
  </si>
  <si>
    <t>Ezrin</t>
  </si>
  <si>
    <t>Ubiquitin carboxyl-terminal hydrolase isozyme L3</t>
  </si>
  <si>
    <t>Fos-related antigen 1</t>
  </si>
  <si>
    <t>Isoform 3 of Membrane cofactor protein</t>
  </si>
  <si>
    <t>Nucleoside diphosphate kinase A</t>
  </si>
  <si>
    <t>Arylsulfatase B</t>
  </si>
  <si>
    <t>40S ribosomal protein S2</t>
  </si>
  <si>
    <t>Beta-galactoside alpha-2,6-sialyltransferase 1</t>
  </si>
  <si>
    <t>Transcription factor E2-alpha</t>
  </si>
  <si>
    <t>Isoform E47 of Transcription factor E2-alpha</t>
  </si>
  <si>
    <t>Replication protein A 32 kDa subunit</t>
  </si>
  <si>
    <t>Leukosialin</t>
  </si>
  <si>
    <t>Carbonyl reductase [NADPH] 1</t>
  </si>
  <si>
    <t>Isoform Er9 of Ankyrin-1</t>
  </si>
  <si>
    <t>Short-chain specific acyl-CoA dehydrogenase, mitochondrial</t>
  </si>
  <si>
    <t>Isoform CREB-B of Cyclic AMP-responsive element-binding protein 1</t>
  </si>
  <si>
    <t>Isoform Delta13 of Platelet endothelial cell adhesion molecule</t>
  </si>
  <si>
    <t>Serine/threonine-protein phosphatase 2B catalytic subunit beta isoform</t>
  </si>
  <si>
    <t>Cytoplasmic protein NCK1</t>
  </si>
  <si>
    <t>GC-rich sequence DNA-binding factor 2</t>
  </si>
  <si>
    <t>Histone H1.5</t>
  </si>
  <si>
    <t>NADPH--cytochrome P450 reductase</t>
  </si>
  <si>
    <t>Isoform 3 of Tyrosine-protein kinase Fer</t>
  </si>
  <si>
    <t>Sarcoplasmic/endoplasmic reticulum calcium ATPase 2</t>
  </si>
  <si>
    <t>Fumarylacetoacetase</t>
  </si>
  <si>
    <t>Y-box-binding protein 3</t>
  </si>
  <si>
    <t>Zinc finger protein 14</t>
  </si>
  <si>
    <t>Zinc finger protein 24</t>
  </si>
  <si>
    <t>Alpha-N-acetylgalactosaminidase</t>
  </si>
  <si>
    <t>Heat shock 70 kDa protein 6</t>
  </si>
  <si>
    <t>Isoform HMG-Y of High mobility group protein HMG-I/HMG-Y</t>
  </si>
  <si>
    <t>Transmembrane protein 11, mitochondrial</t>
  </si>
  <si>
    <t>Aspartate aminotransferase, cytoplasmic</t>
  </si>
  <si>
    <t>Protein kinase C alpha type</t>
  </si>
  <si>
    <t>Transcription factor jun-B</t>
  </si>
  <si>
    <t>Homeobox protein Hox-B9</t>
  </si>
  <si>
    <t>Homeobox protein Hox-B4</t>
  </si>
  <si>
    <t>Transcription factor jun-D</t>
  </si>
  <si>
    <t>Isoform 4 of Cyclic AMP-dependent transcription factor ATF-7</t>
  </si>
  <si>
    <t>NADH dehydrogenase [ubiquinone] 1 beta subcomplex subunit 7</t>
  </si>
  <si>
    <t>cAMP-dependent protein kinase catalytic subunit alpha</t>
  </si>
  <si>
    <t>Calpain-2 catalytic subunit</t>
  </si>
  <si>
    <t>CCAAT/enhancer-binding protein beta</t>
  </si>
  <si>
    <t>Isoform PTPA of Tyrosine-protein phosphatase non-receptor type 2</t>
  </si>
  <si>
    <t>CTP synthase 1</t>
  </si>
  <si>
    <t>Probable ATP-dependent RNA helicase DDX5</t>
  </si>
  <si>
    <t>6-phosphofructokinase, liver type</t>
  </si>
  <si>
    <t>T-complex protein 1 subunit alpha</t>
  </si>
  <si>
    <t>Tyrosine-protein phosphatase non-receptor type 1</t>
  </si>
  <si>
    <t>TFIIH basal transcription factor complex helicase XPD subunit</t>
  </si>
  <si>
    <t>Integrin beta-5</t>
  </si>
  <si>
    <t>ADP-ribosylation factor 4</t>
  </si>
  <si>
    <t>60S ribosomal protein L7</t>
  </si>
  <si>
    <t>Early growth response protein 1</t>
  </si>
  <si>
    <t>Isoform 1 of Vinculin</t>
  </si>
  <si>
    <t>Isoform E of Protein SON</t>
  </si>
  <si>
    <t>Negative elongation factor E</t>
  </si>
  <si>
    <t>Phosphoglycerate mutase 1</t>
  </si>
  <si>
    <t>Isoform 2 of Regulator of chromosome condensation</t>
  </si>
  <si>
    <t>Cyclic AMP-dependent transcription factor ATF-1</t>
  </si>
  <si>
    <t>Cyclic AMP-dependent transcription factor ATF-6 alpha</t>
  </si>
  <si>
    <t>ATP synthase-coupling factor 6, mitochondrial</t>
  </si>
  <si>
    <t>Isoform 2 of 1-phosphatidylinositol 4,5-bisphosphate phosphodiesterase gamma-1</t>
  </si>
  <si>
    <t>Nucleolin</t>
  </si>
  <si>
    <t>Isoform 2 of Hexokinase-1</t>
  </si>
  <si>
    <t>DNA-directed RNA polymerase II subunit RPB3</t>
  </si>
  <si>
    <t>DNA-directed RNA polymerases I, II, and III subunit RPABC1</t>
  </si>
  <si>
    <t>ETS domain-containing protein Elk-1</t>
  </si>
  <si>
    <t>TFIIH basal transcription factor complex helicase XPB subunit</t>
  </si>
  <si>
    <t>Isoform 2 of Interferon-induced, double-stranded RNA-activated protein kinase</t>
  </si>
  <si>
    <t>Transcription factor E3</t>
  </si>
  <si>
    <t>Spermidine synthase</t>
  </si>
  <si>
    <t>Nuclear factor NF-kappa-B p105 subunit</t>
  </si>
  <si>
    <t>Isoform K of Plasma membrane calcium-transporting ATPase 1</t>
  </si>
  <si>
    <t>Eukaryotic translation initiation factor 2 subunit 2</t>
  </si>
  <si>
    <t>Isoform 2 of Myeloid cell surface antigen CD33</t>
  </si>
  <si>
    <t>Cyclin-A2</t>
  </si>
  <si>
    <t>Transcription factor BTF3</t>
  </si>
  <si>
    <t>Isoform 2 of Transcription factor BTF3</t>
  </si>
  <si>
    <t>Tumor necrosis factor receptor superfamily member 1B</t>
  </si>
  <si>
    <t>Ras-related protein Rab-3A</t>
  </si>
  <si>
    <t>Ras-related protein Rab-4A</t>
  </si>
  <si>
    <t>Ras-related protein Rab-6A</t>
  </si>
  <si>
    <t>Isoform 2 of Ras-related protein Rab-6A</t>
  </si>
  <si>
    <t>DNA mismatch repair protein Msh3</t>
  </si>
  <si>
    <t>Proteasome subunit beta type-1</t>
  </si>
  <si>
    <t>Cation-dependent mannose-6-phosphate receptor</t>
  </si>
  <si>
    <t>Cytochrome c oxidase subunit 5A, mitochondrial</t>
  </si>
  <si>
    <t>Lamin-B1</t>
  </si>
  <si>
    <t>N(4)-(beta-N-acetylglucosaminyl)-L-asparaginase</t>
  </si>
  <si>
    <t>Parathymosin</t>
  </si>
  <si>
    <t>Isoform 8 of Cyclin-dependent kinase 11B</t>
  </si>
  <si>
    <t>V-type proton ATPase subunit B, brain isoform</t>
  </si>
  <si>
    <t>V-type proton ATPase subunit C 1</t>
  </si>
  <si>
    <t>Cysteine and glycine-rich protein 1</t>
  </si>
  <si>
    <t>Isoform 2 of Filamin-A</t>
  </si>
  <si>
    <t>Cytoplasmic aconitate hydratase</t>
  </si>
  <si>
    <t>Tumor necrosis factor alpha-induced protein 3</t>
  </si>
  <si>
    <t>Isoform 2 of Glycerol-3-phosphate dehydrogenase [NAD(+)], cytoplasmic</t>
  </si>
  <si>
    <t>Thromboxane A2 receptor</t>
  </si>
  <si>
    <t>Voltage-dependent anion-selective channel protein 1</t>
  </si>
  <si>
    <t>Succinate dehydrogenase [ubiquinone] iron-sulfur subunit, mitochondrial</t>
  </si>
  <si>
    <t>Isoform Soluble of Catechol O-methyltransferase</t>
  </si>
  <si>
    <t>Protein-glutamine gamma-glutamyltransferase 2</t>
  </si>
  <si>
    <t>Methylmalonyl-CoA mutase, mitochondrial</t>
  </si>
  <si>
    <t>Oxysterol-binding protein 1</t>
  </si>
  <si>
    <t>Trifunctional purine biosynthetic protein adenosine-3</t>
  </si>
  <si>
    <t>Multifunctional protein ADE2</t>
  </si>
  <si>
    <t>Non-specific lipid-transfer protein</t>
  </si>
  <si>
    <t>Isoform SCP2 of Non-specific lipid-transfer protein</t>
  </si>
  <si>
    <t>Ubiquitin-like modifier-activating enzyme 1</t>
  </si>
  <si>
    <t>Galanin peptides</t>
  </si>
  <si>
    <t>Small proline-rich protein 2D</t>
  </si>
  <si>
    <t>Isoform A2 of Heterogeneous nuclear ribonucleoproteins A2/B1</t>
  </si>
  <si>
    <t>MHC class II regulatory factor RFX1</t>
  </si>
  <si>
    <t>E3 ubiquitin-protein ligase CBL</t>
  </si>
  <si>
    <t>Insulin-like growth factor-binding protein 4</t>
  </si>
  <si>
    <t>Cytochrome b-c1 complex subunit 2, mitochondrial</t>
  </si>
  <si>
    <t>Ferrochelatase, mitochondrial</t>
  </si>
  <si>
    <t>DNA repair protein complementing XP-A cells</t>
  </si>
  <si>
    <t>Transcription elongation factor A protein 1</t>
  </si>
  <si>
    <t>Splicing factor, proline- and glutamine-rich</t>
  </si>
  <si>
    <t>Tubulin gamma-1 chain</t>
  </si>
  <si>
    <t>Peptidyl-prolyl cis-trans isomerase B</t>
  </si>
  <si>
    <t>NAD-dependent malic enzyme, mitochondrial</t>
  </si>
  <si>
    <t>Tryptophan--tRNA ligase, cytoplasmic</t>
  </si>
  <si>
    <t>40S ribosomal protein S3</t>
  </si>
  <si>
    <t>Glycine cleavage system H protein, mitochondrial</t>
  </si>
  <si>
    <t>Nuclear autoantigen Sp-100</t>
  </si>
  <si>
    <t>Isoform Short of Nuclear transcription factor Y subunit alpha</t>
  </si>
  <si>
    <t>Adenosylhomocysteinase</t>
  </si>
  <si>
    <t>Cofilin-1</t>
  </si>
  <si>
    <t>Isoform ZB of Plasma membrane calcium-transporting ATPase 4</t>
  </si>
  <si>
    <t>Inositol-trisphosphate 3-kinase A</t>
  </si>
  <si>
    <t>Diacylglycerol kinase alpha</t>
  </si>
  <si>
    <t>Carnitine O-palmitoyltransferase 2, mitochondrial</t>
  </si>
  <si>
    <t>Thymidylate kinase</t>
  </si>
  <si>
    <t>COUP transcription factor 2</t>
  </si>
  <si>
    <t>Elongation factor 1-beta</t>
  </si>
  <si>
    <t>Low molecular weight phosphotyrosine protein phosphatase</t>
  </si>
  <si>
    <t>Isoform 2 of Low molecular weight phosphotyrosine protein phosphatase</t>
  </si>
  <si>
    <t>Acetyl-CoA acetyltransferase, mitochondrial</t>
  </si>
  <si>
    <t>DNA-directed RNA polymerase II subunit RPB1</t>
  </si>
  <si>
    <t>Beta-adrenergic receptor kinase 1</t>
  </si>
  <si>
    <t>Proteinase-activated receptor 1</t>
  </si>
  <si>
    <t>DNA replication licensing factor MCM3</t>
  </si>
  <si>
    <t>40S ribosomal protein S12</t>
  </si>
  <si>
    <t>Transcriptional repressor protein YY1</t>
  </si>
  <si>
    <t>DnaJ homolog subfamily B member 1</t>
  </si>
  <si>
    <t>ATP synthase subunit alpha, mitochondrial</t>
  </si>
  <si>
    <t>Isoform 2 of Cathepsin S</t>
  </si>
  <si>
    <t>Proteasome subunit alpha type-1</t>
  </si>
  <si>
    <t>Proteasome subunit alpha type-2</t>
  </si>
  <si>
    <t>Isoform 2 of Proteasome subunit alpha type-3</t>
  </si>
  <si>
    <t>Proteasome subunit alpha type-4</t>
  </si>
  <si>
    <t>Rhombotin-2</t>
  </si>
  <si>
    <t>Protein S100-P</t>
  </si>
  <si>
    <t>Moesin</t>
  </si>
  <si>
    <t>Probable ATP-dependent RNA helicase DDX6</t>
  </si>
  <si>
    <t>DNA (cytosine-5)-methyltransferase 1</t>
  </si>
  <si>
    <t>Isoform 2 of DNA (cytosine-5)-methyltransferase 1</t>
  </si>
  <si>
    <t>Isoform 2 of Splicing factor U2AF 65 kDa subunit</t>
  </si>
  <si>
    <t>60S ribosomal protein L13</t>
  </si>
  <si>
    <t>Rab proteins geranylgeranyltransferase component A 2</t>
  </si>
  <si>
    <t>Protein S100-A4</t>
  </si>
  <si>
    <t>Alpha-1,3-mannosyl-glycoprotein 2-beta-N-acetylglucosaminyltransferase</t>
  </si>
  <si>
    <t>High mobility group protein B2</t>
  </si>
  <si>
    <t>Polypyrimidine tract-binding protein 1</t>
  </si>
  <si>
    <t>Threonine--tRNA ligase, cytoplasmic</t>
  </si>
  <si>
    <t>Valine--tRNA ligase</t>
  </si>
  <si>
    <t>Elongation factor 1-gamma</t>
  </si>
  <si>
    <t>Peptidyl-prolyl cis-trans isomerase FKBP2</t>
  </si>
  <si>
    <t>GTP:AMP phosphotransferase AK4, mitochondrial</t>
  </si>
  <si>
    <t>14-3-3 protein theta</t>
  </si>
  <si>
    <t>Mitogen-activated protein kinase 3</t>
  </si>
  <si>
    <t>Isoform 2 of Aryl hydrocarbon receptor nuclear translocator</t>
  </si>
  <si>
    <t>60S ribosomal protein L10</t>
  </si>
  <si>
    <t>Replication protein A 70 kDa DNA-binding subunit</t>
  </si>
  <si>
    <t>DNA-(apurinic or apyrimidinic site) lyase</t>
  </si>
  <si>
    <t>Calreticulin</t>
  </si>
  <si>
    <t>Isoform 6 of cAMP-specific 3,5-cyclic phosphodiesterase 4A</t>
  </si>
  <si>
    <t>Isoform 5 of Microtubule-associated protein 4</t>
  </si>
  <si>
    <t>Calnexin</t>
  </si>
  <si>
    <t>Phosphatidylinositol 3-kinase regulatory subunit alpha</t>
  </si>
  <si>
    <t>Proteasome subunit beta type-9</t>
  </si>
  <si>
    <t>Proteasome subunit alpha type-5</t>
  </si>
  <si>
    <t>Proteasome subunit beta type-4</t>
  </si>
  <si>
    <t>Proteasome subunit beta type-6</t>
  </si>
  <si>
    <t>Proteasome subunit beta type-5</t>
  </si>
  <si>
    <t>Tropomodulin-1</t>
  </si>
  <si>
    <t>NADH-ubiquinone oxidoreductase 75 kDa subunit, mitochondrial</t>
  </si>
  <si>
    <t>Mitogen-activated protein kinase 1</t>
  </si>
  <si>
    <t>Retinoic acid receptor RXR-beta</t>
  </si>
  <si>
    <t>DNA repair protein complementing XP-G cells</t>
  </si>
  <si>
    <t>Granulins</t>
  </si>
  <si>
    <t>Isoform 2 of Cytosol aminopeptidase</t>
  </si>
  <si>
    <t>Tumor necrosis factor receptor superfamily member 8</t>
  </si>
  <si>
    <t>General transcription factor IIE subunit 1</t>
  </si>
  <si>
    <t>Transcription initiation factor IIE subunit beta</t>
  </si>
  <si>
    <t>Inositol monophosphatase 1</t>
  </si>
  <si>
    <t>Tyrosine-protein phosphatase non-receptor type 6</t>
  </si>
  <si>
    <t>Isoform 7 of SHC-transforming protein 1</t>
  </si>
  <si>
    <t>Isoform 4 of DNA-3-methyladenine glycosylase</t>
  </si>
  <si>
    <t>Cellular retinoic acid-binding protein 2</t>
  </si>
  <si>
    <t>Transketolase</t>
  </si>
  <si>
    <t>Isoform PML-5 of Protein PML</t>
  </si>
  <si>
    <t>Isoform 3 of Elongation factor 1-delta</t>
  </si>
  <si>
    <t>Myristoylated alanine-rich C-kinase substrate</t>
  </si>
  <si>
    <t>Guanine nucleotide-binding protein subunit alpha-11</t>
  </si>
  <si>
    <t>Delta-1-pyrroline-5-carboxylate dehydrogenase, mitochondrial</t>
  </si>
  <si>
    <t>Endoplasmic reticulum resident protein 29</t>
  </si>
  <si>
    <t>Peroxiredoxin-6</t>
  </si>
  <si>
    <t>ES1 protein homolog, mitochondrial</t>
  </si>
  <si>
    <t>Flavin reductase (NADPH)</t>
  </si>
  <si>
    <t>Isoform Cytoplasmic+peroxisomal of Peroxiredoxin-5, mitochondrial</t>
  </si>
  <si>
    <t>D-dopachrome decarboxylase</t>
  </si>
  <si>
    <t>ATP synthase subunit delta, mitochondrial</t>
  </si>
  <si>
    <t>60S ribosomal protein L12</t>
  </si>
  <si>
    <t>Enoyl-CoA hydratase, mitochondrial</t>
  </si>
  <si>
    <t>UMP-CMP kinase</t>
  </si>
  <si>
    <t>Phosphatidylethanolamine-binding protein 1</t>
  </si>
  <si>
    <t>Serine/threonine-protein phosphatase 2A 65 kDa regulatory subunit A alpha isoform</t>
  </si>
  <si>
    <t>Serine/threonine-protein phosphatase 2A 65 kDa regulatory subunit A beta isoform</t>
  </si>
  <si>
    <t>Cell division cycle protein 27 homolog</t>
  </si>
  <si>
    <t>Wee1-like protein kinase</t>
  </si>
  <si>
    <t>M-phase inducer phosphatase 3</t>
  </si>
  <si>
    <t>Peptidyl-prolyl cis-trans isomerase F, mitochondrial</t>
  </si>
  <si>
    <t>Glycylpeptide N-tetradecanoyltransferase 1</t>
  </si>
  <si>
    <t>Heme oxygenase 2</t>
  </si>
  <si>
    <t>Adenylosuccinate synthetase isozyme 2</t>
  </si>
  <si>
    <t>Alpha-2-macroglobulin receptor-associated protein</t>
  </si>
  <si>
    <t>Adenylosuccinate lyase</t>
  </si>
  <si>
    <t>Pyruvate kinase isozymes R/L</t>
  </si>
  <si>
    <t>Isoform 2 of CAP-Gly domain-containing linker protein 1</t>
  </si>
  <si>
    <t>Glutathione S-transferase theta-1</t>
  </si>
  <si>
    <t>Leukocyte elastase inhibitor</t>
  </si>
  <si>
    <t>High affinity cationic amino acid transporter 1</t>
  </si>
  <si>
    <t>Aldehyde dehydrogenase X, mitochondrial</t>
  </si>
  <si>
    <t>Succinate dehydrogenase [ubiquinone] flavoprotein subunit, mitochondrial</t>
  </si>
  <si>
    <t>Coronin-1A</t>
  </si>
  <si>
    <t>Rab GDP dissociation inhibitor alpha</t>
  </si>
  <si>
    <t>S-adenosylmethionine synthase isoform type-2</t>
  </si>
  <si>
    <t>cAMP-dependent protein kinase type I-beta regulatory subunit</t>
  </si>
  <si>
    <t>cAMP-dependent protein kinase type II-beta regulatory subunit</t>
  </si>
  <si>
    <t>Ribonucleoside-diphosphate reductase subunit M2</t>
  </si>
  <si>
    <t>DnaJ homolog subfamily A member 1</t>
  </si>
  <si>
    <t>RAC-alpha serine/threonine-protein kinase</t>
  </si>
  <si>
    <t>RAC-beta serine/threonine-protein kinase</t>
  </si>
  <si>
    <t>Cytochrome b-c1 complex subunit 1, mitochondrial</t>
  </si>
  <si>
    <t>3-hydroxyisobutyrate dehydrogenase, mitochondrial</t>
  </si>
  <si>
    <t>Bifunctional purine biosynthesis protein PURH</t>
  </si>
  <si>
    <t>Isoform 2 of Heterogeneous nuclear ribonucleoprotein H3</t>
  </si>
  <si>
    <t>14-3-3 protein beta/alpha</t>
  </si>
  <si>
    <t>Isoform 2 of 14-3-3 protein sigma</t>
  </si>
  <si>
    <t>Stress-induced-phosphoprotein 1</t>
  </si>
  <si>
    <t>Protein S100-A11</t>
  </si>
  <si>
    <t>Isoform 2 of Type II inositol 1,4,5-trisphosphate 5-phosphatase</t>
  </si>
  <si>
    <t>Peroxiredoxin-2</t>
  </si>
  <si>
    <t>Isoform 5 of Beta-arrestin-2</t>
  </si>
  <si>
    <t>Isoform 1 of Glycerol kinase</t>
  </si>
  <si>
    <t>Deoxycytidylate deaminase</t>
  </si>
  <si>
    <t>Pyrroline-5-carboxylate reductase 1, mitochondrial</t>
  </si>
  <si>
    <t>Isoform 2 of ETS-related transcription factor Elf-1</t>
  </si>
  <si>
    <t>General transcription factor IIH subunit 1</t>
  </si>
  <si>
    <t>Isoform 2 of Syntaxin-2</t>
  </si>
  <si>
    <t>Cystathionine gamma-lyase</t>
  </si>
  <si>
    <t>60S ribosomal protein L9</t>
  </si>
  <si>
    <t>Isoform 2 of Long-chain-fatty-acid--CoA ligase 1</t>
  </si>
  <si>
    <t>Kinesin-1 heavy chain</t>
  </si>
  <si>
    <t>Isoform 2 of Cleavage stimulation factor subunit 2</t>
  </si>
  <si>
    <t>Deoxyuridine 5-triphosphate nucleotidohydrolase, mitochondrial</t>
  </si>
  <si>
    <t>Isoform 2 of Deoxyuridine 5-triphosphate nucleotidohydrolase, mitochondrial</t>
  </si>
  <si>
    <t>Cyclin-dependent kinases regulatory subunit 2</t>
  </si>
  <si>
    <t>Mannosyl-oligosaccharide 1,2-alpha-mannosidase IA</t>
  </si>
  <si>
    <t>Isoform 2 of Dual specificity protein kinase TTK</t>
  </si>
  <si>
    <t>DNA replication licensing factor MCM4</t>
  </si>
  <si>
    <t>DNA replication licensing factor MCM5</t>
  </si>
  <si>
    <t>DNA replication licensing factor MCM7</t>
  </si>
  <si>
    <t>N-acetylgalactosamine-6-sulfatase</t>
  </si>
  <si>
    <t>Isoform 2 of Serine hydroxymethyltransferase, cytosolic</t>
  </si>
  <si>
    <t>Isoform 3 of Serine hydroxymethyltransferase, mitochondrial</t>
  </si>
  <si>
    <t>Bifunctional epoxide hydrolase 2</t>
  </si>
  <si>
    <t>Heat shock 70 kDa protein 1-like</t>
  </si>
  <si>
    <t>Heat shock 70 kDa protein 4</t>
  </si>
  <si>
    <t>Carbonic anhydrase-related protein</t>
  </si>
  <si>
    <t>Catenin alpha-1</t>
  </si>
  <si>
    <t>Prohibitin</t>
  </si>
  <si>
    <t>Serpin B6</t>
  </si>
  <si>
    <t>Isoform 4 of Merlin</t>
  </si>
  <si>
    <t>Radixin</t>
  </si>
  <si>
    <t>Replication protein A 14 kDa subunit</t>
  </si>
  <si>
    <t>Replication factor C subunit 4</t>
  </si>
  <si>
    <t>Replication factor C subunit 2</t>
  </si>
  <si>
    <t>Isoform 2 of Replication factor C subunit 1</t>
  </si>
  <si>
    <t>60S ribosomal protein L22</t>
  </si>
  <si>
    <t>General transcription factor IIF subunit 1</t>
  </si>
  <si>
    <t>Sepiapterin reductase</t>
  </si>
  <si>
    <t>Cystathionine beta-synthase</t>
  </si>
  <si>
    <t>Glycogen debranching enzyme</t>
  </si>
  <si>
    <t>Myosin-9</t>
  </si>
  <si>
    <t>Myosin-10</t>
  </si>
  <si>
    <t>Coatomer subunit beta</t>
  </si>
  <si>
    <t>Beta-adducin</t>
  </si>
  <si>
    <t>Isoform 2 of Basigin</t>
  </si>
  <si>
    <t>Isoform Short of RNA-binding protein FUS</t>
  </si>
  <si>
    <t>Isoform 2 of Nuclear pore complex protein Nup214</t>
  </si>
  <si>
    <t>Protein DEK</t>
  </si>
  <si>
    <t>Isoform 4 of Myosin-11</t>
  </si>
  <si>
    <t>Glutaredoxin-1</t>
  </si>
  <si>
    <t>Isoform 2 of Choline kinase alpha</t>
  </si>
  <si>
    <t>Protein phosphatase 1A</t>
  </si>
  <si>
    <t>26S protease regulatory subunit 7</t>
  </si>
  <si>
    <t>ADP-ribosylation factor-like protein 2</t>
  </si>
  <si>
    <t>ADP-ribosylation factor-like protein 3</t>
  </si>
  <si>
    <t>Isoform Gamma of E3 ubiquitin-protein ligase TRIM23</t>
  </si>
  <si>
    <t>Dual specificity mitogen-activated protein kinase kinase 2</t>
  </si>
  <si>
    <t>ATP synthase subunit gamma, mitochondrial</t>
  </si>
  <si>
    <t>V-type proton ATPase subunit E 1</t>
  </si>
  <si>
    <t>Coproporphyrinogen-III oxidase, mitochondrial</t>
  </si>
  <si>
    <t>60S ribosomal protein L4</t>
  </si>
  <si>
    <t>Isoform p18 of 7,8-dihydro-8-oxoguanine triphosphatase</t>
  </si>
  <si>
    <t>Guanine nucleotide-binding protein-like 1</t>
  </si>
  <si>
    <t>DNA-directed RNA polymerase II subunit RPB9</t>
  </si>
  <si>
    <t>Dihydrolipoyllysine-residue succinyltransferase component of 2-oxoglutarate dehydrogenase complex, mitochondrial</t>
  </si>
  <si>
    <t>GMP reductase 1</t>
  </si>
  <si>
    <t>Isoform Cytoplasmic of Phospholipid hydroperoxide glutathione peroxidase, mitochondrial</t>
  </si>
  <si>
    <t>Signal recognition particle 14 kDa protein</t>
  </si>
  <si>
    <t>Nuclear pore glycoprotein p62</t>
  </si>
  <si>
    <t>Hippocalcin-like protein 1</t>
  </si>
  <si>
    <t>Squalene synthase</t>
  </si>
  <si>
    <t>Isoform 3 of Phosphatidylinositol N-acetylglucosaminyltransferase subunit A</t>
  </si>
  <si>
    <t>Transgelin-2</t>
  </si>
  <si>
    <t>Transaldolase</t>
  </si>
  <si>
    <t>Electron transfer flavoprotein subunit beta</t>
  </si>
  <si>
    <t>RNA-binding motif protein, X chromosome</t>
  </si>
  <si>
    <t>Coilin</t>
  </si>
  <si>
    <t>Vitamin K-dependent gamma-carboxylase</t>
  </si>
  <si>
    <t>V-type proton ATPase catalytic subunit A</t>
  </si>
  <si>
    <t>Stress-70 protein, mitochondrial</t>
  </si>
  <si>
    <t>Eukaryotic initiation factor 4A-III</t>
  </si>
  <si>
    <t>DNA-binding protein SMUBP-2</t>
  </si>
  <si>
    <t>40S ribosomal protein S19</t>
  </si>
  <si>
    <t>60S ribosomal protein L3</t>
  </si>
  <si>
    <t>Isoform 3 of Collagen alpha-1(XVIII) chain</t>
  </si>
  <si>
    <t>Dolichyl-diphosphooligosaccharide--protein glycosyltransferase 48 kDa subunit</t>
  </si>
  <si>
    <t>Acidic leucine-rich nuclear phosphoprotein 32 family member A</t>
  </si>
  <si>
    <t>Flap endonuclease 1</t>
  </si>
  <si>
    <t>Isoform 2 of Homeobox protein cut-like 1</t>
  </si>
  <si>
    <t>Macrophage-capping protein</t>
  </si>
  <si>
    <t>Alpha-taxilin</t>
  </si>
  <si>
    <t>T-complex protein 1 subunit zeta</t>
  </si>
  <si>
    <t>Nicotinamide N-methyltransferase</t>
  </si>
  <si>
    <t>Isoform 3 of Von Hippel-Lindau disease tumor suppressor</t>
  </si>
  <si>
    <t>Pre-B-cell leukemia transcription factor 2</t>
  </si>
  <si>
    <t>DNA mismatch repair protein Mlh1</t>
  </si>
  <si>
    <t>Signal transducer and activator of transcription 3</t>
  </si>
  <si>
    <t>Isoform Del-701 of Signal transducer and activator of transcription 3</t>
  </si>
  <si>
    <t>Ubiquitin carboxyl-terminal hydrolase 8</t>
  </si>
  <si>
    <t>Malate dehydrogenase, cytoplasmic</t>
  </si>
  <si>
    <t>Malate dehydrogenase, mitochondrial</t>
  </si>
  <si>
    <t>Replication factor C subunit 5</t>
  </si>
  <si>
    <t>Replication factor C subunit 3</t>
  </si>
  <si>
    <t>Trifunctional enzyme subunit alpha, mitochondrial</t>
  </si>
  <si>
    <t>Eukaryotic translation initiation factor 2 subunit 3</t>
  </si>
  <si>
    <t>Isoform ID-B of DNA-binding protein inhibitor ID-1</t>
  </si>
  <si>
    <t>Centrin-2</t>
  </si>
  <si>
    <t>Eukaryotic translation initiation factor 2D</t>
  </si>
  <si>
    <t>Protein BUD31 homolog</t>
  </si>
  <si>
    <t>N-alpha-acetyltransferase 10</t>
  </si>
  <si>
    <t>Isoform 2 of Lysine-specific demethylase 5C</t>
  </si>
  <si>
    <t>Protein phosphatase inhibitor 2</t>
  </si>
  <si>
    <t>Tyrosine-protein kinase CSK</t>
  </si>
  <si>
    <t>Patatin-like phospholipase domain-containing protein 4</t>
  </si>
  <si>
    <t>Glycine--tRNA ligase</t>
  </si>
  <si>
    <t>Isoleucine--tRNA ligase, cytoplasmic</t>
  </si>
  <si>
    <t>Folate transporter 1</t>
  </si>
  <si>
    <t>Eukaryotic translation initiation factor 1</t>
  </si>
  <si>
    <t>Protein kinase C iota type</t>
  </si>
  <si>
    <t>Beta-centractin</t>
  </si>
  <si>
    <t>Isoform 2 of Enoyl-CoA delta isomerase 1, mitochondrial</t>
  </si>
  <si>
    <t>Lamina-associated polypeptide 2, isoform alpha</t>
  </si>
  <si>
    <t>Lamina-associated polypeptide 2, isoforms beta/gamma</t>
  </si>
  <si>
    <t>Signal transducer and activator of transcription 1-alpha/beta</t>
  </si>
  <si>
    <t>Isoform 3 of Signal transducer and activator of transcription 6</t>
  </si>
  <si>
    <t>Superkiller viralicidic activity 2-like 2</t>
  </si>
  <si>
    <t>Aldo-keto reductase family 1 member C3</t>
  </si>
  <si>
    <t>Phosphatidylinositol 4,5-bisphosphate 3-kinase catalytic subunit alpha isoform</t>
  </si>
  <si>
    <t>Phosphatidylinositol 4,5-bisphosphate 3-kinase catalytic subunit beta isoform</t>
  </si>
  <si>
    <t>Serine/threonine-protein kinase mTOR</t>
  </si>
  <si>
    <t>Epidermal growth factor receptor substrate 15</t>
  </si>
  <si>
    <t>Caspase-3</t>
  </si>
  <si>
    <t>Caspase-2</t>
  </si>
  <si>
    <t>40S ribosomal protein S27</t>
  </si>
  <si>
    <t>Tyrosine-protein kinase Tec</t>
  </si>
  <si>
    <t>Isoform 6 of Abelson tyrosine-protein kinase 2</t>
  </si>
  <si>
    <t>Condensin-2 complex subunit D3</t>
  </si>
  <si>
    <t>Leucine-rich PPR motif-containing protein, mitochondrial</t>
  </si>
  <si>
    <t>3-ketoacyl-CoA thiolase, mitochondrial</t>
  </si>
  <si>
    <t>60S ribosomal protein L35</t>
  </si>
  <si>
    <t>Cyclin-dependent kinase 4 inhibitor C</t>
  </si>
  <si>
    <t>Lysosomal Pro-X carboxypeptidase</t>
  </si>
  <si>
    <t>Neutral amino acid transporter A</t>
  </si>
  <si>
    <t>Platelet-activating factor acetylhydrolase IB subunit alpha</t>
  </si>
  <si>
    <t>Cell surface glycoprotein MUC18</t>
  </si>
  <si>
    <t>DNA mismatch repair protein Msh2</t>
  </si>
  <si>
    <t>Isoform GRK6B of G protein-coupled receptor kinase 6</t>
  </si>
  <si>
    <t>Glycerol-3-phosphate dehydrogenase, mitochondrial</t>
  </si>
  <si>
    <t>Translocon-associated protein subunit alpha</t>
  </si>
  <si>
    <t>Melanoma-associated antigen 1</t>
  </si>
  <si>
    <t>Melanoma-associated antigen 3</t>
  </si>
  <si>
    <t>Melanoma-associated antigen B1</t>
  </si>
  <si>
    <t>Tyrosine-protein phosphatase non-receptor type 9</t>
  </si>
  <si>
    <t>Isoform Short of Tyrosine-protein kinase SYK</t>
  </si>
  <si>
    <t>Ran-specific GTPase-activating protein</t>
  </si>
  <si>
    <t>Nicotinamide phosphoribosyltransferase</t>
  </si>
  <si>
    <t>26S protease regulatory subunit 6B</t>
  </si>
  <si>
    <t>Elongation factor Ts, mitochondrial</t>
  </si>
  <si>
    <t>Voltage-dependent anion-selective channel protein 2</t>
  </si>
  <si>
    <t>Short/branched chain specific acyl-CoA dehydrogenase, mitochondrial</t>
  </si>
  <si>
    <t>Chromobox protein homolog 5</t>
  </si>
  <si>
    <t>Isoform Short of Ubiquitin carboxyl-terminal hydrolase 5</t>
  </si>
  <si>
    <t>Isoform 3 of Mitogen-activated protein kinase 8</t>
  </si>
  <si>
    <t>Isoform Beta-1 of Mitogen-activated protein kinase 9</t>
  </si>
  <si>
    <t>Dual specificity mitogen-activated protein kinase kinase 4</t>
  </si>
  <si>
    <t>Antigen KI-67</t>
  </si>
  <si>
    <t>Phosphorylase b kinase regulatory subunit alpha, liver isoform</t>
  </si>
  <si>
    <t>Ran GTPase-activating protein 1</t>
  </si>
  <si>
    <t>ATP-dependent DNA helicase Q1</t>
  </si>
  <si>
    <t>Isoform 2 of Putative ribosomal RNA methyltransferase NOP2</t>
  </si>
  <si>
    <t>Isoform 6 of Transcriptional regulator ATRX</t>
  </si>
  <si>
    <t>Adapter molecule crk</t>
  </si>
  <si>
    <t>Crk-like protein</t>
  </si>
  <si>
    <t>Translation initiation factor IF-2, mitochondrial</t>
  </si>
  <si>
    <t>Cyclin-dependent kinase inhibitor 1B</t>
  </si>
  <si>
    <t>Neurogenic locus notch homolog protein 1</t>
  </si>
  <si>
    <t>Dual specificity mitogen-activated protein kinase kinase 3</t>
  </si>
  <si>
    <t>Isoform 1 of Lys-63-specific deubiquitinase BRCC36</t>
  </si>
  <si>
    <t>60S ribosomal protein L5</t>
  </si>
  <si>
    <t>60S ribosomal protein L21</t>
  </si>
  <si>
    <t>40S ribosomal protein S9</t>
  </si>
  <si>
    <t>40S ribosomal protein S10</t>
  </si>
  <si>
    <t>Microtubule-associated protein 1B</t>
  </si>
  <si>
    <t>Glucosamine-6-phosphate isomerase 1</t>
  </si>
  <si>
    <t>Isoform 4 of E3 ubiquitin-protein ligase NEDD4</t>
  </si>
  <si>
    <t>Ras GTPase-activating-like protein IQGAP1</t>
  </si>
  <si>
    <t>Isoform GN-1 of Glycogenin-1</t>
  </si>
  <si>
    <t>Dolichyl-diphosphooligosaccharide--protein glycosyltransferase subunit STT3A</t>
  </si>
  <si>
    <t>Guanine nucleotide exchange factor MSS4</t>
  </si>
  <si>
    <t>F-actin-capping protein subunit alpha-2</t>
  </si>
  <si>
    <t>Isoform 2 of F-actin-capping protein subunit beta</t>
  </si>
  <si>
    <t>Eukaryotic translation initiation factor 1A, X-chromosomal</t>
  </si>
  <si>
    <t>Glutamine--tRNA ligase</t>
  </si>
  <si>
    <t>60S ribosomal protein L29</t>
  </si>
  <si>
    <t>Zinc finger protein 36, C3H1 type-like 2</t>
  </si>
  <si>
    <t>Cytochrome b-c1 complex subunit Rieske, mitochondrial</t>
  </si>
  <si>
    <t>Sodium- and chloride-dependent creatine transporter 1</t>
  </si>
  <si>
    <t>ATP synthase subunit O, mitochondrial</t>
  </si>
  <si>
    <t>Isoform 3 of LIM and senescent cell antigen-like-containing domain protein 1</t>
  </si>
  <si>
    <t>Prolyl endopeptidase</t>
  </si>
  <si>
    <t>NADP-dependent malic enzyme</t>
  </si>
  <si>
    <t>Iron-responsive element-binding protein 2</t>
  </si>
  <si>
    <t>Isoform A of Leptin receptor</t>
  </si>
  <si>
    <t>Coatomer subunit delta</t>
  </si>
  <si>
    <t>Lanosterol synthase</t>
  </si>
  <si>
    <t>Serine/threonine-protein phosphatase 2B catalytic subunit gamma isoform</t>
  </si>
  <si>
    <t>Glutamate--cysteine ligase catalytic subunit</t>
  </si>
  <si>
    <t>Glutamate--cysteine ligase regulatory subunit</t>
  </si>
  <si>
    <t>Protein PRRC2A</t>
  </si>
  <si>
    <t>Glutathione synthetase</t>
  </si>
  <si>
    <t>T-complex protein 1 subunit epsilon</t>
  </si>
  <si>
    <t>Nestin</t>
  </si>
  <si>
    <t>Heat shock 70 kDa protein 13</t>
  </si>
  <si>
    <t>Casein kinase I isoform delta</t>
  </si>
  <si>
    <t>Isocitrate dehydrogenase [NADP], mitochondrial</t>
  </si>
  <si>
    <t>Phosphatidylinositol 4,5-bisphosphate 3-kinase catalytic subunit gamma isoform</t>
  </si>
  <si>
    <t>Phosphatidylinositol transfer protein beta isoform</t>
  </si>
  <si>
    <t>Isoform 2 of CD97 antigen</t>
  </si>
  <si>
    <t>DNA polymerase delta subunit 2</t>
  </si>
  <si>
    <t>MARCKS-related protein</t>
  </si>
  <si>
    <t>Isoform Alpha of Paxillin</t>
  </si>
  <si>
    <t>Calcium signal-modulating cyclophilin ligand</t>
  </si>
  <si>
    <t>Nuclear receptor subfamily 2 group C member 2</t>
  </si>
  <si>
    <t>MAP kinase-activated protein kinase 2</t>
  </si>
  <si>
    <t>4-trimethylaminobutyraldehyde dehydrogenase</t>
  </si>
  <si>
    <t>60S ribosomal protein L34</t>
  </si>
  <si>
    <t>Ribose-5-phosphate isomerase</t>
  </si>
  <si>
    <t>Protein ERGIC-53</t>
  </si>
  <si>
    <t>Isoform 5 of Natural resistance-associated macrophage protein 2</t>
  </si>
  <si>
    <t>Nuclear autoantigenic sperm protein</t>
  </si>
  <si>
    <t>Fatty acid synthase</t>
  </si>
  <si>
    <t>Protein farnesyltransferase/geranylgeranyltransferase type-1 subunit alpha</t>
  </si>
  <si>
    <t>Deoxyhypusine synthase</t>
  </si>
  <si>
    <t>T-complex protein 1 subunit gamma</t>
  </si>
  <si>
    <t>39S ribosomal protein L19, mitochondrial</t>
  </si>
  <si>
    <t>Elongation factor Tu, mitochondrial</t>
  </si>
  <si>
    <t>Ubiquitin-conjugating enzyme E2 R1</t>
  </si>
  <si>
    <t>Inositol polyphosphate 1-phosphatase</t>
  </si>
  <si>
    <t>Glutamate dehydrogenase 2, mitochondrial</t>
  </si>
  <si>
    <t>Centromere protein F</t>
  </si>
  <si>
    <t>Signal recognition particle 9 kDa protein</t>
  </si>
  <si>
    <t>Ubiquitin-conjugating enzyme E2 A</t>
  </si>
  <si>
    <t>Choline-phosphate cytidylyltransferase A</t>
  </si>
  <si>
    <t>Alanine--tRNA ligase, cytoplasmic</t>
  </si>
  <si>
    <t>Isoform 3 of Cysteine--tRNA ligase, cytoplasmic</t>
  </si>
  <si>
    <t>Protein phosphatase 1F</t>
  </si>
  <si>
    <t>DNA primase small subunit</t>
  </si>
  <si>
    <t>DNA primase large subunit</t>
  </si>
  <si>
    <t>Casein kinase I isoform epsilon</t>
  </si>
  <si>
    <t>Transcriptional repressor CTCF</t>
  </si>
  <si>
    <t>Proteasome subunit beta type-2</t>
  </si>
  <si>
    <t>DNA replication licensing factor MCM2</t>
  </si>
  <si>
    <t>Isoform 2 of Very long-chain specific acyl-CoA dehydrogenase, mitochondrial</t>
  </si>
  <si>
    <t>YLP motif-containing protein 1</t>
  </si>
  <si>
    <t>Transmembrane emp24 domain-containing protein 10</t>
  </si>
  <si>
    <t>RNA-binding protein 25</t>
  </si>
  <si>
    <t>Isoform 4 of Protein numb homolog</t>
  </si>
  <si>
    <t>Translation initiation factor eIF-2B subunit beta</t>
  </si>
  <si>
    <t>Histidine triad nucleotide-binding protein 1</t>
  </si>
  <si>
    <t>Nuclear pore complex protein Nup153</t>
  </si>
  <si>
    <t>E3 SUMO-protein ligase RanBP2</t>
  </si>
  <si>
    <t>Glycogen synthase kinase-3 alpha</t>
  </si>
  <si>
    <t>Glycogen synthase kinase-3 beta</t>
  </si>
  <si>
    <t>Cytosolic purine 5-nucleotidase</t>
  </si>
  <si>
    <t>Selenide, water dikinase 1</t>
  </si>
  <si>
    <t>Isoform 3 of Selenide, water dikinase 1</t>
  </si>
  <si>
    <t>5-formyltetrahydrofolate cyclo-ligase</t>
  </si>
  <si>
    <t>GMP synthase [glutamine-hydrolyzing]</t>
  </si>
  <si>
    <t>DNA ligase 3</t>
  </si>
  <si>
    <t>DNA ligase 4</t>
  </si>
  <si>
    <t>Double-strand break repair protein MRE11A</t>
  </si>
  <si>
    <t>Ketohexokinase</t>
  </si>
  <si>
    <t>Histamine N-methyltransferase</t>
  </si>
  <si>
    <t>Guanine nucleotide-binding protein G(q) subunit alpha</t>
  </si>
  <si>
    <t>Isocitrate dehydrogenase [NAD] subunit alpha, mitochondrial</t>
  </si>
  <si>
    <t>Sulfotransferase 1A3/1A4</t>
  </si>
  <si>
    <t>Sulfotransferase 1A1</t>
  </si>
  <si>
    <t>Protoporphyrinogen oxidase</t>
  </si>
  <si>
    <t>Emerin</t>
  </si>
  <si>
    <t>Carnitine O-palmitoyltransferase 1, liver isoform</t>
  </si>
  <si>
    <t>Sulfate transporter</t>
  </si>
  <si>
    <t>Serpin B9</t>
  </si>
  <si>
    <t>Serpin H1</t>
  </si>
  <si>
    <t>PDZ and LIM domain protein 4</t>
  </si>
  <si>
    <t>Hsc70-interacting protein</t>
  </si>
  <si>
    <t>Vasodilator-stimulated phosphoprotein</t>
  </si>
  <si>
    <t>Dynamin-2</t>
  </si>
  <si>
    <t>Methionine aminopeptidase 2</t>
  </si>
  <si>
    <t>Bis(5-nucleosyl)-tetraphosphatase [asymmetrical]</t>
  </si>
  <si>
    <t>Cyclin-dependent kinase 7</t>
  </si>
  <si>
    <t>Biotin--protein ligase</t>
  </si>
  <si>
    <t>Kinetochore-associated protein 1</t>
  </si>
  <si>
    <t>Cyclin-dependent kinase 9</t>
  </si>
  <si>
    <t>Palmitoyl-protein thioesterase 1</t>
  </si>
  <si>
    <t>T-complex protein 1 subunit theta</t>
  </si>
  <si>
    <t>T-complex protein 1 subunit delta</t>
  </si>
  <si>
    <t>Poly(A) polymerase alpha</t>
  </si>
  <si>
    <t>Fragile X mental retardation syndrome-related protein 2</t>
  </si>
  <si>
    <t>Ras-related protein Rab-5C</t>
  </si>
  <si>
    <t>Ras-related protein Rab-7a</t>
  </si>
  <si>
    <t>Ras-related protein Rab-9A</t>
  </si>
  <si>
    <t>Ras-related protein Rab-13</t>
  </si>
  <si>
    <t>Ras-related protein Rab-28</t>
  </si>
  <si>
    <t>Ras-related protein Rab-27A</t>
  </si>
  <si>
    <t>1-phosphatidylinositol 4,5-bisphosphate phosphodiesterase delta-1</t>
  </si>
  <si>
    <t>Death-associated protein 1</t>
  </si>
  <si>
    <t>Isoform 2 of 28S ribosomal protein S29, mitochondrial</t>
  </si>
  <si>
    <t>Dual specificity protein phosphatase 3</t>
  </si>
  <si>
    <t>Isoform Short of Probable global transcription activator SNF2L2</t>
  </si>
  <si>
    <t>Isocitrate dehydrogenase [NAD] subunit gamma, mitochondrial</t>
  </si>
  <si>
    <t>Galactokinase</t>
  </si>
  <si>
    <t>Translocon-associated protein subunit delta</t>
  </si>
  <si>
    <t>B-cell receptor-associated protein 31</t>
  </si>
  <si>
    <t>Thiopurine S-methyltransferase</t>
  </si>
  <si>
    <t>Methyl-CpG-binding protein 2</t>
  </si>
  <si>
    <t>Isoform 2 of Host cell factor 1</t>
  </si>
  <si>
    <t>Peroxisomal multifunctional enzyme type 2</t>
  </si>
  <si>
    <t>26S proteasome non-ATPase regulatory subunit 7</t>
  </si>
  <si>
    <t>Sulfite oxidase, mitochondrial</t>
  </si>
  <si>
    <t>Signal transducer and activator of transcription 5B</t>
  </si>
  <si>
    <t>Isoform 3 of H(+)/Cl(-) exchange transporter 3</t>
  </si>
  <si>
    <t>H(+)/Cl(-) exchange transporter 5</t>
  </si>
  <si>
    <t>Isoform 2 of H(+)/Cl(-) exchange transporter 7</t>
  </si>
  <si>
    <t>Vesicle-associated membrane protein 7</t>
  </si>
  <si>
    <t>Membrane transport protein XK</t>
  </si>
  <si>
    <t>Ribosomal protein S6 kinase alpha-3</t>
  </si>
  <si>
    <t>Isoform 2 of 3-oxo-5-beta-steroid 4-dehydrogenase</t>
  </si>
  <si>
    <t>Hepatoma-derived growth factor</t>
  </si>
  <si>
    <t>CDK-activating kinase assembly factor MAT1</t>
  </si>
  <si>
    <t>NADH dehydrogenase [ubiquinone] 1 alpha subcomplex subunit 8</t>
  </si>
  <si>
    <t>Heterogeneous nuclear ribonucleoprotein A3</t>
  </si>
  <si>
    <t>Isoform 2 of Heterogeneous nuclear ribonucleoprotein M</t>
  </si>
  <si>
    <t>Importin subunit alpha-2</t>
  </si>
  <si>
    <t>Importin subunit alpha-1</t>
  </si>
  <si>
    <t>Nuclear cap-binding protein subunit 2</t>
  </si>
  <si>
    <t>Rap1 GTPase-GDP dissociation stimulator 1</t>
  </si>
  <si>
    <t>Rho GDP-dissociation inhibitor 1</t>
  </si>
  <si>
    <t>Rho GDP-dissociation inhibitor 2</t>
  </si>
  <si>
    <t>Heterogeneous nuclear ribonucleoprotein F</t>
  </si>
  <si>
    <t>Isoform 2 of Signal transducer and activator of transcription 2</t>
  </si>
  <si>
    <t>Transcription initiation factor IIA subunit 1</t>
  </si>
  <si>
    <t>Transcription initiation factor IIA subunit 2</t>
  </si>
  <si>
    <t>DNA mismatch repair protein Msh6</t>
  </si>
  <si>
    <t>Kinesin-like protein KIF11</t>
  </si>
  <si>
    <t>Isoform 2 of Zinc finger protein 131</t>
  </si>
  <si>
    <t>Ribonuclease UK114</t>
  </si>
  <si>
    <t>Spermine synthase</t>
  </si>
  <si>
    <t>Hexokinase-2</t>
  </si>
  <si>
    <t>39S ribosomal protein L12, mitochondrial</t>
  </si>
  <si>
    <t>Thimet oligopeptidase</t>
  </si>
  <si>
    <t>F-actin-capping protein subunit alpha-1</t>
  </si>
  <si>
    <t>Cysteine-rich protein 2</t>
  </si>
  <si>
    <t>Isoform 6 of Nuclear pore complex protein Nup98-Nup96</t>
  </si>
  <si>
    <t>Biliverdin reductase A</t>
  </si>
  <si>
    <t>Tricarboxylate transport protein, mitochondrial</t>
  </si>
  <si>
    <t>Serine/threonine-protein kinase PLK1</t>
  </si>
  <si>
    <t>Arfaptin-2</t>
  </si>
  <si>
    <t>Arfaptin-1</t>
  </si>
  <si>
    <t>Isoform A of Arfaptin-1</t>
  </si>
  <si>
    <t>Isoform 2 of Cytosolic Fe-S cluster assembly factor NUBP1</t>
  </si>
  <si>
    <t>ATP-citrate synthase</t>
  </si>
  <si>
    <t>Methionine aminopeptidase 1</t>
  </si>
  <si>
    <t>Succinyl-CoA ligase [ADP/GDP-forming] subunit alpha, mitochondrial</t>
  </si>
  <si>
    <t>Diphosphomevalonate decarboxylase</t>
  </si>
  <si>
    <t>Geranylgeranyl transferase type-1 subunit beta</t>
  </si>
  <si>
    <t>Coatomer subunit alpha</t>
  </si>
  <si>
    <t>Dipeptidyl peptidase 1</t>
  </si>
  <si>
    <t>Cytochrome c-type heme lyase</t>
  </si>
  <si>
    <t>Mitogen-activated protein kinase 12</t>
  </si>
  <si>
    <t>Sodium/myo-inositol cotransporter</t>
  </si>
  <si>
    <t>DNA-directed RNA polymerases I, II, and III subunit RPABC4</t>
  </si>
  <si>
    <t>Isoform B2 of Smoothelin</t>
  </si>
  <si>
    <t>Monocarboxylate transporter 1</t>
  </si>
  <si>
    <t>Isoform 2 of IST1 homolog</t>
  </si>
  <si>
    <t>Protein transport protein Sec24C</t>
  </si>
  <si>
    <t>Activated RNA polymerase II transcriptional coactivator p15</t>
  </si>
  <si>
    <t>DNA polymerase subunit gamma-1</t>
  </si>
  <si>
    <t>Methylosome subunit pICln</t>
  </si>
  <si>
    <t>Arginine--tRNA ligase, cytoplasmic</t>
  </si>
  <si>
    <t>Isoform Monomeric of Arginine--tRNA ligase, cytoplasmic</t>
  </si>
  <si>
    <t>Atrophin-1</t>
  </si>
  <si>
    <t>Mismatch repair endonuclease PMS2</t>
  </si>
  <si>
    <t>Tyrosine--tRNA ligase, cytoplasmic</t>
  </si>
  <si>
    <t>Isoform 2 of Ubiquitin carboxyl-terminal hydrolase 14</t>
  </si>
  <si>
    <t>Isoform 2 of 5-AMP-activated protein kinase subunit gamma-1</t>
  </si>
  <si>
    <t>Branched-chain-amino-acid aminotransferase, cytosolic</t>
  </si>
  <si>
    <t>Sodium/potassium-transporting ATPase subunit beta-3</t>
  </si>
  <si>
    <t>UV excision repair protein RAD23 homolog B</t>
  </si>
  <si>
    <t>Ephrin type-B receptor 4</t>
  </si>
  <si>
    <t>Alpha-N-acetylglucosaminidase</t>
  </si>
  <si>
    <t>Adenylate kinase 2, mitochondrial</t>
  </si>
  <si>
    <t>Isoform Short of Delta-1-pyrroline-5-carboxylate synthase</t>
  </si>
  <si>
    <t>Alpha-soluble NSF attachment protein</t>
  </si>
  <si>
    <t>Eukaryotic translation initiation factor 5</t>
  </si>
  <si>
    <t>Isoform 2 of Solute carrier family 12 member 2</t>
  </si>
  <si>
    <t>26S proteasome non-ATPase regulatory subunit 4</t>
  </si>
  <si>
    <t>Developmentally-regulated GTP-binding protein 2</t>
  </si>
  <si>
    <t>Isoform 3 of Exportin-2</t>
  </si>
  <si>
    <t>Transitional endoplasmic reticulum ATPase</t>
  </si>
  <si>
    <t>Microfibrillar-associated protein 1</t>
  </si>
  <si>
    <t>Mesencephalic astrocyte-derived neurotrophic factor</t>
  </si>
  <si>
    <t>Isoform 3 of Afadin</t>
  </si>
  <si>
    <t>RNA polymerase II elongation factor ELL</t>
  </si>
  <si>
    <t>Isoform 2 of Caspase-9</t>
  </si>
  <si>
    <t>Caspase-6</t>
  </si>
  <si>
    <t>Adenosine kinase</t>
  </si>
  <si>
    <t>Cyclin-dependent kinase 4 inhibitor D</t>
  </si>
  <si>
    <t>Protein SEC13 homolog</t>
  </si>
  <si>
    <t>FAD-linked sulfhydryl oxidase ALR</t>
  </si>
  <si>
    <t>Heterogeneous nuclear ribonucleoprotein H2</t>
  </si>
  <si>
    <t>Succinyl-CoA:3-ketoacid coenzyme A transferase 1, mitochondrial</t>
  </si>
  <si>
    <t>Eukaryotic translation initiation factor 3 subunit B</t>
  </si>
  <si>
    <t>BH3-interacting domain death agonist</t>
  </si>
  <si>
    <t>Isoform 2 of NADH dehydrogenase [ubiquinone] flavoprotein 3, mitochondrial</t>
  </si>
  <si>
    <t>Ribosomal RNA processing protein 1 homolog A</t>
  </si>
  <si>
    <t>Methionine--tRNA ligase, cytoplasmic</t>
  </si>
  <si>
    <t>Isoform 2 of Myc-associated zinc finger protein</t>
  </si>
  <si>
    <t>Cx9C motif-containing protein 4</t>
  </si>
  <si>
    <t>AP-1 complex subunit sigma-2</t>
  </si>
  <si>
    <t>ATP synthase subunit epsilon, mitochondrial</t>
  </si>
  <si>
    <t>ATP synthase subunit e, mitochondrial</t>
  </si>
  <si>
    <t>Histone deacetylase 4</t>
  </si>
  <si>
    <t>Eukaryotic translation initiation factor 6</t>
  </si>
  <si>
    <t>NADH dehydrogenase [ubiquinone] 1 alpha subcomplex subunit 6</t>
  </si>
  <si>
    <t>Peroxisomal biogenesis factor 3</t>
  </si>
  <si>
    <t>Period circadian protein homolog 3</t>
  </si>
  <si>
    <t>Isoform 3 of 3-keto-steroid reductase</t>
  </si>
  <si>
    <t>Isoform 4 of Breast cancer anti-estrogen resistance protein 1</t>
  </si>
  <si>
    <t>Syntaxin-17</t>
  </si>
  <si>
    <t>RWD domain-containing protein 2B</t>
  </si>
  <si>
    <t>Uncharacterized protein C21orf59</t>
  </si>
  <si>
    <t>Isoform 2 of tRNA (guanine-N(7)-)-methyltransferase subunit WDR4</t>
  </si>
  <si>
    <t>Transmembrane protein 33</t>
  </si>
  <si>
    <t>Synaptojanin-2-binding protein</t>
  </si>
  <si>
    <t>Krueppel-like factor 3</t>
  </si>
  <si>
    <t>Isoform 3 of Coronin-7</t>
  </si>
  <si>
    <t>Nuclear pore complex protein Nup107</t>
  </si>
  <si>
    <t>Selenocysteine-specific elongation factor</t>
  </si>
  <si>
    <t>Sestrin-2</t>
  </si>
  <si>
    <t>Epiplakin</t>
  </si>
  <si>
    <t>Myotrophin</t>
  </si>
  <si>
    <t>Isoform D of Putative ribonuclease</t>
  </si>
  <si>
    <t>Actin-related protein 2/3 complex subunit 4</t>
  </si>
  <si>
    <t>Protein transport protein Sec61 subunit gamma</t>
  </si>
  <si>
    <t>Isoform 2 of Triosephosphate isomerase</t>
  </si>
  <si>
    <t>Eukaryotic translation initiation factor 3 subunit E</t>
  </si>
  <si>
    <t>Protein transport protein Sec61 subunit beta</t>
  </si>
  <si>
    <t>Serine/threonine-protein phosphatase 4 catalytic subunit</t>
  </si>
  <si>
    <t>Gamma-aminobutyric acid receptor-associated protein-like 2</t>
  </si>
  <si>
    <t>Reactive oxygen species modulator 1</t>
  </si>
  <si>
    <t>Isoform 2 of Ubiquitin-conjugating enzyme E2 G2</t>
  </si>
  <si>
    <t>Actin, cytoplasmic 1</t>
  </si>
  <si>
    <t>Ras-related C3 botulinum toxin substrate 3</t>
  </si>
  <si>
    <t>Eukaryotic initiation factor 4A-I</t>
  </si>
  <si>
    <t>40S ribosomal protein S20</t>
  </si>
  <si>
    <t>Ribose-phosphate pyrophosphokinase 1</t>
  </si>
  <si>
    <t>26S proteasome complex subunit DSS1</t>
  </si>
  <si>
    <t>Cell division control protein 42 homolog</t>
  </si>
  <si>
    <t>Destrin</t>
  </si>
  <si>
    <t>Glia maturation factor beta</t>
  </si>
  <si>
    <t>Ras-related protein Rab-8A</t>
  </si>
  <si>
    <t>Signal peptidase complex subunit 3</t>
  </si>
  <si>
    <t>Signal recognition particle 54 kDa protein</t>
  </si>
  <si>
    <t>Ras-related protein Rab-2A</t>
  </si>
  <si>
    <t>Ras-related protein Rab-5B</t>
  </si>
  <si>
    <t>Ras-related protein Rab-10</t>
  </si>
  <si>
    <t>Ubiquitin-conjugating enzyme E2 D3</t>
  </si>
  <si>
    <t>NEDD8-conjugating enzyme Ubc12</t>
  </si>
  <si>
    <t>Ubiquitin-conjugating enzyme E2 K</t>
  </si>
  <si>
    <t>Ubiquitin-conjugating enzyme E2 N</t>
  </si>
  <si>
    <t>Ras-related protein Rab-14</t>
  </si>
  <si>
    <t>Zinc finger CCCH domain-containing protein 6</t>
  </si>
  <si>
    <t>Actin-related protein 3</t>
  </si>
  <si>
    <t>Actin-related protein 2</t>
  </si>
  <si>
    <t>Alpha-centractin</t>
  </si>
  <si>
    <t>COP9 signalosome complex subunit 2</t>
  </si>
  <si>
    <t>DNA-directed RNA polymerases I, II, and III subunit RPABC2</t>
  </si>
  <si>
    <t>ATP-binding cassette sub-family E member 1</t>
  </si>
  <si>
    <t>Ras-related protein Rap-1b</t>
  </si>
  <si>
    <t>Ras-related protein Rap-2b</t>
  </si>
  <si>
    <t>Isoform 2 of Protein max</t>
  </si>
  <si>
    <t>40S ribosomal protein S3a</t>
  </si>
  <si>
    <t>60S ribosomal protein L26</t>
  </si>
  <si>
    <t>Protein mago nashi homolog</t>
  </si>
  <si>
    <t>60S ribosomal protein L27</t>
  </si>
  <si>
    <t>Pterin-4-alpha-carbinolamine dehydratase</t>
  </si>
  <si>
    <t>Transforming protein RhoA</t>
  </si>
  <si>
    <t>N-alpha-acetyltransferase 20</t>
  </si>
  <si>
    <t>Neurocalcin-delta</t>
  </si>
  <si>
    <t>10 kDa heat shock protein, mitochondrial</t>
  </si>
  <si>
    <t>Prefoldin subunit 3</t>
  </si>
  <si>
    <t>Syntaxin-binding protein 1</t>
  </si>
  <si>
    <t>DDB1- and CUL4-associated factor 7</t>
  </si>
  <si>
    <t>WD repeat-containing protein 5</t>
  </si>
  <si>
    <t>AP-1 complex subunit sigma-1A</t>
  </si>
  <si>
    <t>Nuclear transport factor 2</t>
  </si>
  <si>
    <t>Isoform 2 of Heterogeneous nuclear ribonucleoprotein K</t>
  </si>
  <si>
    <t>Isoform 3 of Heterogeneous nuclear ribonucleoprotein K</t>
  </si>
  <si>
    <t>14-3-3 protein gamma</t>
  </si>
  <si>
    <t>Ras-related protein R-Ras2</t>
  </si>
  <si>
    <t>Mitochondrial import inner membrane translocase subunit Tim10</t>
  </si>
  <si>
    <t>40S ribosomal protein S7</t>
  </si>
  <si>
    <t>Serine/threonine-protein phosphatase PP1-alpha catalytic subunit</t>
  </si>
  <si>
    <t>Serine/threonine-protein phosphatase PP1-beta catalytic subunit</t>
  </si>
  <si>
    <t>Neuronal calcium sensor 1</t>
  </si>
  <si>
    <t>26S protease regulatory subunit 4</t>
  </si>
  <si>
    <t>Isoform 2 of 26S protease regulatory subunit 8</t>
  </si>
  <si>
    <t>40S ribosomal protein S8</t>
  </si>
  <si>
    <t>40S ribosomal protein S16</t>
  </si>
  <si>
    <t>Ubiquitin-conjugating enzyme E2 G1</t>
  </si>
  <si>
    <t>14-3-3 protein epsilon</t>
  </si>
  <si>
    <t>40S ribosomal protein S14</t>
  </si>
  <si>
    <t>40S ribosomal protein S23</t>
  </si>
  <si>
    <t>40S ribosomal protein S18</t>
  </si>
  <si>
    <t>40S ribosomal protein S29</t>
  </si>
  <si>
    <t>40S ribosomal protein S13</t>
  </si>
  <si>
    <t>40S ribosomal protein S11</t>
  </si>
  <si>
    <t>Small nuclear ribonucleoprotein E</t>
  </si>
  <si>
    <t>Small nuclear ribonucleoprotein F</t>
  </si>
  <si>
    <t>Small nuclear ribonucleoprotein G</t>
  </si>
  <si>
    <t>U6 snRNA-associated Sm-like protein LSm3</t>
  </si>
  <si>
    <t>U6 snRNA-associated Sm-like protein LSm6</t>
  </si>
  <si>
    <t>Small nuclear ribonucleoprotein Sm D1</t>
  </si>
  <si>
    <t>Small nuclear ribonucleoprotein Sm D2</t>
  </si>
  <si>
    <t>Thymosin beta-4</t>
  </si>
  <si>
    <t>ADP-ribosylation factor 6</t>
  </si>
  <si>
    <t>26S protease regulatory subunit 10B</t>
  </si>
  <si>
    <t>60S ribosomal protein L7a</t>
  </si>
  <si>
    <t>DNA-directed RNA polymerase II subunit RPB7</t>
  </si>
  <si>
    <t>Eukaryotic peptide chain release factor subunit 1</t>
  </si>
  <si>
    <t>Isoform 2 of Cellular nucleic acid-binding protein</t>
  </si>
  <si>
    <t>Isoform 4 of Cellular nucleic acid-binding protein</t>
  </si>
  <si>
    <t>Protein yippee-like 5</t>
  </si>
  <si>
    <t>40S ribosomal protein S4, X isoform</t>
  </si>
  <si>
    <t>Serine/threonine-protein phosphatase 2A catalytic subunit beta isoform</t>
  </si>
  <si>
    <t>60S ribosomal protein L23a</t>
  </si>
  <si>
    <t>40S ribosomal protein S6</t>
  </si>
  <si>
    <t>Histone H4</t>
  </si>
  <si>
    <t>Ras-related protein Rab-1A</t>
  </si>
  <si>
    <t>60S ribosomal protein L23</t>
  </si>
  <si>
    <t>Ras-related protein Rap-1A</t>
  </si>
  <si>
    <t>Ubiquitin-conjugating enzyme E2 D2</t>
  </si>
  <si>
    <t>40S ribosomal protein S25</t>
  </si>
  <si>
    <t>40S ribosomal protein S26</t>
  </si>
  <si>
    <t>40S ribosomal protein S28</t>
  </si>
  <si>
    <t>Guanine nucleotide-binding protein G(I)/G(S)/G(T) subunit beta-1</t>
  </si>
  <si>
    <t>DNA-directed RNA polymerases I, II, and III subunit RPABC5</t>
  </si>
  <si>
    <t>E3 ubiquitin-protein ligase RBX1</t>
  </si>
  <si>
    <t>Guanine nucleotide-binding protein G(I)/G(S)/G(T) subunit beta-2</t>
  </si>
  <si>
    <t>60S ribosomal protein L31</t>
  </si>
  <si>
    <t>60S ribosomal protein L10a</t>
  </si>
  <si>
    <t>Isoform 2 of 60S ribosomal protein L11</t>
  </si>
  <si>
    <t>Peptidyl-prolyl cis-trans isomerase A</t>
  </si>
  <si>
    <t>Peptidyl-prolyl cis-trans isomerase FKBP1A</t>
  </si>
  <si>
    <t>Ubiquitin-40S ribosomal protein S27a</t>
  </si>
  <si>
    <t>Growth factor receptor-bound protein 2</t>
  </si>
  <si>
    <t>Isoform 3 of Transformer-2 protein homolog beta</t>
  </si>
  <si>
    <t>Ras-related C3 botulinum toxin substrate 1</t>
  </si>
  <si>
    <t>AP-2 complex subunit beta</t>
  </si>
  <si>
    <t>Guanine nucleotide-binding protein G(s) subunit alpha isoforms short</t>
  </si>
  <si>
    <t>14-3-3 protein zeta/delta</t>
  </si>
  <si>
    <t>Serine/threonine-protein phosphatase 2A 55 kDa regulatory subunit B alpha isoform</t>
  </si>
  <si>
    <t>Dynein light chain 1, cytoplasmic</t>
  </si>
  <si>
    <t>60S ribosomal protein L38</t>
  </si>
  <si>
    <t>Guanine nucleotide-binding protein G(I)/G(S)/G(O) subunit gamma-5</t>
  </si>
  <si>
    <t>Eukaryotic translation initiation factor 5A-1</t>
  </si>
  <si>
    <t>Guanine nucleotide-binding protein subunit beta-2-like 1</t>
  </si>
  <si>
    <t>Serine/threonine-protein phosphatase 2A catalytic subunit alpha isoform</t>
  </si>
  <si>
    <t>Nuclease-sensitive element-binding protein 1</t>
  </si>
  <si>
    <t>Tropomyosin alpha-4 chain</t>
  </si>
  <si>
    <t>Ubiquitin-conjugating enzyme E2 L3</t>
  </si>
  <si>
    <t>Elongation factor 1-alpha 1</t>
  </si>
  <si>
    <t>Actin, alpha skeletal muscle</t>
  </si>
  <si>
    <t>Tubulin alpha-1B chain</t>
  </si>
  <si>
    <t>Tubulin beta-4B chain</t>
  </si>
  <si>
    <t>Platelet-activating factor acetylhydrolase IB subunit beta</t>
  </si>
  <si>
    <t>Hemoglobin subunit beta</t>
  </si>
  <si>
    <t>Hemoglobin subunit gamma-1</t>
  </si>
  <si>
    <t>Hemoglobin subunit gamma-2</t>
  </si>
  <si>
    <t>Hemoglobin subunit alpha</t>
  </si>
  <si>
    <t>Nucleolar protein 14</t>
  </si>
  <si>
    <t>Immunoglobulin-binding protein 1</t>
  </si>
  <si>
    <t>Phosphoserine phosphatase</t>
  </si>
  <si>
    <t>RNA-binding protein 6</t>
  </si>
  <si>
    <t>Ribonuclease P protein subunit p38</t>
  </si>
  <si>
    <t>Ribonuclease P protein subunit p30</t>
  </si>
  <si>
    <t>Isoform 2 of General transcription factor II-I</t>
  </si>
  <si>
    <t>Phosphatidylinositol 5-phosphate 4-kinase type-2 beta</t>
  </si>
  <si>
    <t>SRSF protein kinase 2</t>
  </si>
  <si>
    <t>Casein kinase I isoform gamma-2</t>
  </si>
  <si>
    <t>T-complex protein 1 subunit beta</t>
  </si>
  <si>
    <t>mRNA export factor</t>
  </si>
  <si>
    <t>Glutathione S-transferase omega-1</t>
  </si>
  <si>
    <t>DNA-dependent protein kinase catalytic subunit</t>
  </si>
  <si>
    <t>Disintegrin and metalloproteinase domain-containing protein 17</t>
  </si>
  <si>
    <t>Biogenesis of lysosome-related organelles complex 1 subunit 1</t>
  </si>
  <si>
    <t>Arginase-2, mitochondrial</t>
  </si>
  <si>
    <t>Death domain-containing protein CRADD</t>
  </si>
  <si>
    <t>Interferon-induced 35 kDa protein</t>
  </si>
  <si>
    <t>Nucleobindin-2</t>
  </si>
  <si>
    <t>Isoform 4 of Single-stranded DNA-binding protein 2</t>
  </si>
  <si>
    <t>TATA element modulatory factor</t>
  </si>
  <si>
    <t>28S ribosomal protein S35, mitochondrial</t>
  </si>
  <si>
    <t>28S ribosomal protein S5, mitochondrial</t>
  </si>
  <si>
    <t>Isoform 2 of 28S ribosomal protein S11, mitochondrial</t>
  </si>
  <si>
    <t>28S ribosomal protein S34, mitochondrial</t>
  </si>
  <si>
    <t>28S ribosomal protein S6, mitochondrial</t>
  </si>
  <si>
    <t>28S ribosomal protein S9, mitochondrial</t>
  </si>
  <si>
    <t>SAP domain-containing ribonucleoprotein</t>
  </si>
  <si>
    <t>Retinol-binding protein 5</t>
  </si>
  <si>
    <t>Serine beta-lactamase-like protein LACTB, mitochondrial</t>
  </si>
  <si>
    <t>Conserved oligomeric Golgi complex subunit 7</t>
  </si>
  <si>
    <t>Mothers against decapentaplegic homolog 3</t>
  </si>
  <si>
    <t>ADP-ribosylation factor 1</t>
  </si>
  <si>
    <t>ADP-ribosylation factor 5</t>
  </si>
  <si>
    <t>Enhancer of rudimentary homolog</t>
  </si>
  <si>
    <t>Rho-related GTP-binding protein RhoG</t>
  </si>
  <si>
    <t>Isoform 4 of Small EDRK-rich factor 2</t>
  </si>
  <si>
    <t>Forkhead box protein K1</t>
  </si>
  <si>
    <t>Hydroxyacyl-thioester dehydratase type 2, mitochondrial</t>
  </si>
  <si>
    <t>Vacuolar fusion protein CCZ1 homolog</t>
  </si>
  <si>
    <t>Isoform 2 of Integral membrane protein DGCR2/IDD</t>
  </si>
  <si>
    <t>Basement membrane-specific heparan sulfate proteoglycan core protein</t>
  </si>
  <si>
    <t>E3 ubiquitin-protein ligase XIAP</t>
  </si>
  <si>
    <t>Ephrin-B1</t>
  </si>
  <si>
    <t>Isoform 3 of Protein FAM3A</t>
  </si>
  <si>
    <t>Isoform 2 of RNA-binding protein 10</t>
  </si>
  <si>
    <t>Putative RNA-binding protein 3</t>
  </si>
  <si>
    <t>55 kDa erythrocyte membrane protein</t>
  </si>
  <si>
    <t>Transcription factor A, mitochondrial</t>
  </si>
  <si>
    <t>Phosphatidylinositol transfer protein alpha isoform</t>
  </si>
  <si>
    <t>Isoform B of Phosphate carrier protein, mitochondrial</t>
  </si>
  <si>
    <t>Vigilin</t>
  </si>
  <si>
    <t>Transcription initiation factor IIB</t>
  </si>
  <si>
    <t>Cyclin-dependent kinase 6</t>
  </si>
  <si>
    <t>Cyclin-dependent kinase 5</t>
  </si>
  <si>
    <t>Cyclin-dependent kinase 16</t>
  </si>
  <si>
    <t>Isoform 2 of Clathrin heavy chain 1</t>
  </si>
  <si>
    <t>Isoform 4 of Nuclear factor NF-kappa-B p100 subunit</t>
  </si>
  <si>
    <t>Peptidyl-prolyl cis-trans isomerase FKBP3</t>
  </si>
  <si>
    <t>Receptor expression-enhancing protein 5</t>
  </si>
  <si>
    <t>Sorbitol dehydrogenase</t>
  </si>
  <si>
    <t>Isoform Short of Heterogeneous nuclear ribonucleoprotein U</t>
  </si>
  <si>
    <t>Beta-1,4 N-acetylgalactosaminyltransferase 1</t>
  </si>
  <si>
    <t>Splicing factor U2AF 35 kDa subunit</t>
  </si>
  <si>
    <t>Spectrin beta chain, non-erythrocytic 1</t>
  </si>
  <si>
    <t>Isoform 2 of Spectrin beta chain, non-erythrocytic 1</t>
  </si>
  <si>
    <t>Isoform 2 of Nucleolysin TIAR</t>
  </si>
  <si>
    <t>Isoform 2 of Protein SET</t>
  </si>
  <si>
    <t>Isoform 2 of Forkhead box protein K2</t>
  </si>
  <si>
    <t>Runt-related transcription factor 1</t>
  </si>
  <si>
    <t>N-acetylgalactosamine kinase</t>
  </si>
  <si>
    <t>AMP deaminase 3</t>
  </si>
  <si>
    <t>Fatty acid-binding protein, epidermal</t>
  </si>
  <si>
    <t>Isoform 2 of Adenylyl cyclase-associated protein 1</t>
  </si>
  <si>
    <t>Hydroxymethylglutaryl-CoA synthase, cytoplasmic</t>
  </si>
  <si>
    <t>Large neutral amino acids transporter small subunit 1</t>
  </si>
  <si>
    <t>Protein Dr1</t>
  </si>
  <si>
    <t>Isoform 2 of Exosome component 10</t>
  </si>
  <si>
    <t>6-phosphofructokinase type C</t>
  </si>
  <si>
    <t>Inositol polyphosphate 5-phosphatase OCRL-1</t>
  </si>
  <si>
    <t>1-phosphatidylinositol 4,5-bisphosphate phosphodiesterase beta-3</t>
  </si>
  <si>
    <t>Tyrosine-protein kinase transmembrane receptor ROR2</t>
  </si>
  <si>
    <t>A-kinase anchor protein 17A</t>
  </si>
  <si>
    <t>Isoform 2 of Transcription factor Sp2</t>
  </si>
  <si>
    <t>Dihydroorotate dehydrogenase (quinone), mitochondrial</t>
  </si>
  <si>
    <t>Isoform 3 of Centromere-associated protein E</t>
  </si>
  <si>
    <t>Kinesin-like protein KIF23</t>
  </si>
  <si>
    <t>Transcription factor Sp4</t>
  </si>
  <si>
    <t>60S ribosomal protein L18a</t>
  </si>
  <si>
    <t>Dual specificity mitogen-activated protein kinase kinase 1</t>
  </si>
  <si>
    <t>Isoform 2 of Angiopoietin-1 receptor</t>
  </si>
  <si>
    <t>Peptidyl-prolyl cis-trans isomerase FKBP4</t>
  </si>
  <si>
    <t>Procollagen-lysine,2-oxoglutarate 5-dioxygenase 1</t>
  </si>
  <si>
    <t>Nucleobindin-1</t>
  </si>
  <si>
    <t>Isoform 3 of Ras association domain-containing protein 7</t>
  </si>
  <si>
    <t>60S ribosomal protein L6</t>
  </si>
  <si>
    <t>Isoform Beta-1 of DNA topoisomerase 2-beta</t>
  </si>
  <si>
    <t>Isoform 3 of A-kinase anchor protein 12</t>
  </si>
  <si>
    <t>Isoform 2 of Glutathione S-transferase Mu 4</t>
  </si>
  <si>
    <t>Hematopoietically-expressed homeobox protein HHEX</t>
  </si>
  <si>
    <t>Isoform 7 of cAMP-responsive element modulator</t>
  </si>
  <si>
    <t>Protein ENL</t>
  </si>
  <si>
    <t>Aminoacylase-1</t>
  </si>
  <si>
    <t>Isoform 2 of Transforming growth factor beta receptor type 3</t>
  </si>
  <si>
    <t>Tumor necrosis factor alpha-induced protein 2</t>
  </si>
  <si>
    <t>1,4-alpha-glucan-branching enzyme</t>
  </si>
  <si>
    <t>Isoform 5 of Copper-transporting ATPase 1</t>
  </si>
  <si>
    <t>Protein kinase C theta type</t>
  </si>
  <si>
    <t>Lactoylglutathione lyase</t>
  </si>
  <si>
    <t>Activin receptor type-1</t>
  </si>
  <si>
    <t>Aldo-keto reductase family 1 member C1</t>
  </si>
  <si>
    <t>Single-stranded DNA-binding protein, mitochondrial</t>
  </si>
  <si>
    <t>14-3-3 protein eta</t>
  </si>
  <si>
    <t>Proteolipid protein 2</t>
  </si>
  <si>
    <t>Cleavage stimulation factor subunit 1</t>
  </si>
  <si>
    <t>Isoform III of Ubiquitin-protein ligase E3A</t>
  </si>
  <si>
    <t>Isoform 5 of Dynamin-1</t>
  </si>
  <si>
    <t>Tyrosine-protein phosphatase non-receptor type 12</t>
  </si>
  <si>
    <t>Isoform 2 of Serine/arginine-rich splicing factor 11</t>
  </si>
  <si>
    <t>Elongation factor 1-alpha 2</t>
  </si>
  <si>
    <t>Protein kinase C delta type</t>
  </si>
  <si>
    <t>2-5A-dependent ribonuclease</t>
  </si>
  <si>
    <t>Isoform 3 of Folylpolyglutamate synthase, mitochondrial</t>
  </si>
  <si>
    <t>Isoform 2 of CTD small phosphatase-like protein 2</t>
  </si>
  <si>
    <t>Tyrosine-protein phosphatase non-receptor type 11</t>
  </si>
  <si>
    <t>Tyrosine-protein kinase BTK</t>
  </si>
  <si>
    <t>Amidophosphoribosyltransferase</t>
  </si>
  <si>
    <t>Isoform 2 of Glutamine--fructose-6-phosphate aminotransferase [isomerizing] 1</t>
  </si>
  <si>
    <t>Exosome complex component RRP45</t>
  </si>
  <si>
    <t>Isoform 5 of Recombining binding protein suppressor of hairless</t>
  </si>
  <si>
    <t>Isoform 5 of Myocyte-specific enhancer factor 2C</t>
  </si>
  <si>
    <t>Amyloid-like protein 2</t>
  </si>
  <si>
    <t>GA-binding protein alpha chain</t>
  </si>
  <si>
    <t>E3 ubiquitin-protein ligase RING1</t>
  </si>
  <si>
    <t>Isoform 3 of DNA repair protein RAD51 homolog 1</t>
  </si>
  <si>
    <t>Peroxiredoxin-1</t>
  </si>
  <si>
    <t>Complement component 1 Q subcomponent-binding protein, mitochondrial</t>
  </si>
  <si>
    <t>Early activation antigen CD69</t>
  </si>
  <si>
    <t>Trichohyalin</t>
  </si>
  <si>
    <t>KH domain-containing, RNA-binding, signal transduction-associated protein 1</t>
  </si>
  <si>
    <t>Isoform Epsilon of Apoptosis regulator BAX</t>
  </si>
  <si>
    <t>Induced myeloid leukemia cell differentiation protein Mcl-1</t>
  </si>
  <si>
    <t>DNA polymerase epsilon catalytic subunit A</t>
  </si>
  <si>
    <t>Isoform N of Kinesin light chain 1</t>
  </si>
  <si>
    <t>Rho GTPase-activating protein 1</t>
  </si>
  <si>
    <t>Isoform 2 of Serine/threonine-protein phosphatase 2B catalytic subunit alpha isoform</t>
  </si>
  <si>
    <t>ATP-dependent RNA helicase A</t>
  </si>
  <si>
    <t>Quinone oxidoreductase</t>
  </si>
  <si>
    <t>Sodium-dependent phosphate transporter 2</t>
  </si>
  <si>
    <t>Golgin subfamily A member 3</t>
  </si>
  <si>
    <t>Golgin subfamily A member 2</t>
  </si>
  <si>
    <t>Peroxisomal bifunctional enzyme</t>
  </si>
  <si>
    <t>Dematin</t>
  </si>
  <si>
    <t>Leukocyte surface antigen CD47</t>
  </si>
  <si>
    <t>Peptidyl-prolyl cis-trans isomerase D</t>
  </si>
  <si>
    <t>FACT complex subunit SSRP1</t>
  </si>
  <si>
    <t>Isoform 2 of Protein spire homolog 1</t>
  </si>
  <si>
    <t>Mitotic-spindle organizing protein 1</t>
  </si>
  <si>
    <t>Protein VAC14 homolog</t>
  </si>
  <si>
    <t>KIAA0100 protein</t>
  </si>
  <si>
    <t>Protein ZNF365</t>
  </si>
  <si>
    <t>tRNA (cytosine(34)-C(5))-methyltransferase</t>
  </si>
  <si>
    <t>Isoform 3 of Histone-binding protein RBBP4</t>
  </si>
  <si>
    <t>Nuclear cap-binding protein subunit 1</t>
  </si>
  <si>
    <t>Alpha-1,6-mannosylglycoprotein 6-beta-N-acetylglucosaminyltransferase A</t>
  </si>
  <si>
    <t>Histone acetyltransferase p300</t>
  </si>
  <si>
    <t>Neuroblast differentiation-associated protein AHNAK</t>
  </si>
  <si>
    <t>Elongator complex protein 6</t>
  </si>
  <si>
    <t>Heat shock 70 kDa protein 14</t>
  </si>
  <si>
    <t>Secernin-3</t>
  </si>
  <si>
    <t>Isoform 3 of Fanconi anemia-associated protein of 100 kDa</t>
  </si>
  <si>
    <t>Alpha-1,6-mannosyl-glycoprotein 2-beta-N-acetylglucosaminyltransferase</t>
  </si>
  <si>
    <t>Polypeptide N-acetylgalactosaminyltransferase 2</t>
  </si>
  <si>
    <t>Isoform B of AP-1 complex subunit beta-1</t>
  </si>
  <si>
    <t>Isoform C of AP-1 complex subunit beta-1</t>
  </si>
  <si>
    <t>Cleavage and polyadenylation specificity factor subunit 1</t>
  </si>
  <si>
    <t>Bone marrow stromal antigen 2</t>
  </si>
  <si>
    <t>Mitochondrial-processing peptidase subunit alpha</t>
  </si>
  <si>
    <t>Nuclear pore complex protein Nup160</t>
  </si>
  <si>
    <t>Sterol regulatory element-binding protein cleavage-activating protein</t>
  </si>
  <si>
    <t>Transducin beta-like protein 3</t>
  </si>
  <si>
    <t>Twinfilin-1</t>
  </si>
  <si>
    <t>Isoform 10 of Aspartyl/asparaginyl beta-hydroxylase</t>
  </si>
  <si>
    <t>Isoform 2 of Alpha-globin transcription factor CP2</t>
  </si>
  <si>
    <t>Isoform 4 of Nucleosome-remodeling factor subunit BPTF</t>
  </si>
  <si>
    <t>Cell division cycle protein 20 homolog</t>
  </si>
  <si>
    <t>Kinesin heavy chain isoform 5A</t>
  </si>
  <si>
    <t>Syntaxin-4</t>
  </si>
  <si>
    <t>Splicing factor, suppressor of white-apricot homolog</t>
  </si>
  <si>
    <t>Splicing factor 3A subunit 3</t>
  </si>
  <si>
    <t>Tumor suppressor p53-binding protein 1</t>
  </si>
  <si>
    <t>Transmembrane protein 115</t>
  </si>
  <si>
    <t>Interferon-related developmental regulator 2</t>
  </si>
  <si>
    <t>Aminoacyl tRNA synthase complex-interacting multifunctional protein 1</t>
  </si>
  <si>
    <t>Interleukin enhancer-binding factor 2</t>
  </si>
  <si>
    <t>Interleukin enhancer-binding factor 3</t>
  </si>
  <si>
    <t>Vesicular integral-membrane protein VIP36</t>
  </si>
  <si>
    <t>Isoform 3 of TNF receptor-associated factor 2</t>
  </si>
  <si>
    <t>Ankyrin-3</t>
  </si>
  <si>
    <t>Isoform 5 of Disks large homolog 1</t>
  </si>
  <si>
    <t>Transcription initiation factor TFIID subunit 10</t>
  </si>
  <si>
    <t>Nuclear inhibitor of protein phosphatase 1</t>
  </si>
  <si>
    <t>Protein tyrosine phosphatase type IVA 2</t>
  </si>
  <si>
    <t>Vesicle transport protein SEC20</t>
  </si>
  <si>
    <t>Transcriptional repressor NF-X1</t>
  </si>
  <si>
    <t>Cleavage stimulation factor subunit 3</t>
  </si>
  <si>
    <t>Delta(3,5)-Delta(2,4)-dienoyl-CoA isomerase, mitochondrial</t>
  </si>
  <si>
    <t>Protein AF1q</t>
  </si>
  <si>
    <t>Isoform 2 of Rho GTPase-activating protein 5</t>
  </si>
  <si>
    <t>Isoform Alpha of Striatin-3</t>
  </si>
  <si>
    <t>Isoform 3 of Cell division cycle protein 16 homolog</t>
  </si>
  <si>
    <t>Serine/threonine-protein kinase 4</t>
  </si>
  <si>
    <t>Protein flightless-1 homolog</t>
  </si>
  <si>
    <t>Isoform 2 of Protein flightless-1 homolog</t>
  </si>
  <si>
    <t>Bifunctional coenzyme A synthase</t>
  </si>
  <si>
    <t>G antigen 4</t>
  </si>
  <si>
    <t>G antigen 6</t>
  </si>
  <si>
    <t>Isoform 3 of Acetyl-CoA carboxylase 1</t>
  </si>
  <si>
    <t>Lymphocyte cytosolic protein 2</t>
  </si>
  <si>
    <t>Isoform 2 of Ubiquitin carboxyl-terminal hydrolase 4</t>
  </si>
  <si>
    <t>Chromatin assembly factor 1 subunit A</t>
  </si>
  <si>
    <t>Chromatin assembly factor 1 subunit B</t>
  </si>
  <si>
    <t>Protein Red</t>
  </si>
  <si>
    <t>5-AMP-activated protein kinase catalytic subunit alpha-1</t>
  </si>
  <si>
    <t>Liprin-alpha-1</t>
  </si>
  <si>
    <t>TAR DNA-binding protein 43</t>
  </si>
  <si>
    <t>Heterogeneous nuclear ribonucleoprotein A0</t>
  </si>
  <si>
    <t>Aminoacyl tRNA synthase complex-interacting multifunctional protein 2</t>
  </si>
  <si>
    <t>Protein FADD</t>
  </si>
  <si>
    <t>Peroxiredoxin-4</t>
  </si>
  <si>
    <t>Mitogen-activated protein kinase 7</t>
  </si>
  <si>
    <t>Serine/threonine-protein kinase PAK 2</t>
  </si>
  <si>
    <t>Chromobox protein homolog 3</t>
  </si>
  <si>
    <t>Serine/threonine-protein kinase 3</t>
  </si>
  <si>
    <t>Isoform 3 of Syntaxin-5</t>
  </si>
  <si>
    <t>26S proteasome non-ATPase regulatory subunit 2</t>
  </si>
  <si>
    <t>Probable ATP-dependent RNA helicase DDX10</t>
  </si>
  <si>
    <t>DnaJ homolog subfamily C member 3</t>
  </si>
  <si>
    <t>Selenium-binding protein 1</t>
  </si>
  <si>
    <t>Nucleoside diphosphate kinase 3</t>
  </si>
  <si>
    <t>Mitogen-activated protein kinase kinase kinase 1</t>
  </si>
  <si>
    <t>Serine/arginine-rich splicing factor 9</t>
  </si>
  <si>
    <t>Serine/arginine-rich splicing factor 5</t>
  </si>
  <si>
    <t>Isoform SRP55-3 of Serine/arginine-rich splicing factor 6</t>
  </si>
  <si>
    <t>Mitotic spindle assembly checkpoint protein MAD2A</t>
  </si>
  <si>
    <t>Transcription intermediary factor 1-beta</t>
  </si>
  <si>
    <t>Isoform B of Syntaxin-3</t>
  </si>
  <si>
    <t>Ras GTPase-activating protein-binding protein 1</t>
  </si>
  <si>
    <t>N-myc-interactor</t>
  </si>
  <si>
    <t>Isoform 3 of Inactive tyrosine-protein kinase 7</t>
  </si>
  <si>
    <t>S-phase kinase-associated protein 2</t>
  </si>
  <si>
    <t>Isoform 3 of Polyadenylate-binding protein 4</t>
  </si>
  <si>
    <t>Serine-protein kinase ATM</t>
  </si>
  <si>
    <t>Isoform 1 of Growth factor receptor-bound protein 10</t>
  </si>
  <si>
    <t>Isoform 3 of Metastasis-associated protein MTA1</t>
  </si>
  <si>
    <t>Eukaryotic translation initiation factor 3 subunit I</t>
  </si>
  <si>
    <t>Peptidyl-prolyl cis-trans isomerase-like 2</t>
  </si>
  <si>
    <t>Isoform 4 of Serine/threonine-protein phosphatase 2A 56 kDa regulatory subunit gamma isoform</t>
  </si>
  <si>
    <t>Isoform 2 of C-terminal-binding protein 1</t>
  </si>
  <si>
    <t>Phosducin-like protein</t>
  </si>
  <si>
    <t>Isoform PLD1B of Phospholipase D1</t>
  </si>
  <si>
    <t>Probable methyltransferase TARBP1</t>
  </si>
  <si>
    <t>Isoform 2F of Cytoplasmic dynein 1 intermediate chain 2</t>
  </si>
  <si>
    <t>Origin recognition complex subunit 2</t>
  </si>
  <si>
    <t>Integrin-linked protein kinase</t>
  </si>
  <si>
    <t>Isoform Ik7 of DNA-binding protein Ikaros</t>
  </si>
  <si>
    <t>NAD(P) transhydrogenase, mitochondrial</t>
  </si>
  <si>
    <t>Alpha-1-syntrophin</t>
  </si>
  <si>
    <t>Beta-2-syntrophin</t>
  </si>
  <si>
    <t>Isoform 3 of DNA repair protein XRCC4</t>
  </si>
  <si>
    <t>Peptidyl-prolyl cis-trans isomerase G</t>
  </si>
  <si>
    <t>Isoform 3 of Treacle protein</t>
  </si>
  <si>
    <t>Insulin-like growth factor I (Fragment)</t>
  </si>
  <si>
    <t>Isoform B of Protein unc-119 homolog A</t>
  </si>
  <si>
    <t>Splicing factor 3B subunit 2</t>
  </si>
  <si>
    <t>Isoform 4 of Protein OS-9</t>
  </si>
  <si>
    <t>Isoform 3 of Golgin subfamily A member 4</t>
  </si>
  <si>
    <t>28 kDa heat- and acid-stable phosphoprotein</t>
  </si>
  <si>
    <t>Disintegrin and metalloproteinase domain-containing protein 9</t>
  </si>
  <si>
    <t>Isoform 8 of Disintegrin and metalloproteinase domain-containing protein 15</t>
  </si>
  <si>
    <t>Transmembrane emp24 domain-containing protein 1</t>
  </si>
  <si>
    <t>Peptidyl-prolyl cis-trans isomerase FKBP5</t>
  </si>
  <si>
    <t>Rho-associated protein kinase 1</t>
  </si>
  <si>
    <t>Frizzled-5</t>
  </si>
  <si>
    <t>Isoform 3 of Nuclear factor of activated T-cells, cytoplasmic 2</t>
  </si>
  <si>
    <t>Isoform 2 of GRB2-associated-binding protein 1</t>
  </si>
  <si>
    <t>V-type proton ATPase 116 kDa subunit a isoform 3</t>
  </si>
  <si>
    <t>Isoform 3 of Phosphatidylinositol-binding clathrin assembly protein</t>
  </si>
  <si>
    <t>Myotubularin</t>
  </si>
  <si>
    <t>Sequestosome-1</t>
  </si>
  <si>
    <t>Isoform 3 of Metaxin-1</t>
  </si>
  <si>
    <t>NGFI-A-binding protein 1</t>
  </si>
  <si>
    <t>Tubulin beta-3 chain</t>
  </si>
  <si>
    <t>Peptidyl-prolyl cis-trans isomerase NIMA-interacting 1</t>
  </si>
  <si>
    <t>Serine/threonine-protein kinase ATR</t>
  </si>
  <si>
    <t>Eukaryotic translation initiation factor 4E-binding protein 1</t>
  </si>
  <si>
    <t>Eukaryotic translation initiation factor 4E-binding protein 2</t>
  </si>
  <si>
    <t>Receptor-interacting serine/threonine-protein kinase 1</t>
  </si>
  <si>
    <t>Histone deacetylase 1</t>
  </si>
  <si>
    <t>Isoform 2 of NEDD8-activating enzyme E1 regulatory subunit</t>
  </si>
  <si>
    <t>Inositol-tetrakisphosphate 1-kinase</t>
  </si>
  <si>
    <t>SNW domain-containing protein 1</t>
  </si>
  <si>
    <t>Ras GTPase-activating-like protein IQGAP2</t>
  </si>
  <si>
    <t>Stromal interaction molecule 1</t>
  </si>
  <si>
    <t>Sorting nexin-1</t>
  </si>
  <si>
    <t>Peroxisome assembly factor 2</t>
  </si>
  <si>
    <t>Myotubularin-related protein 2</t>
  </si>
  <si>
    <t>Cullin-1</t>
  </si>
  <si>
    <t>Cullin-2</t>
  </si>
  <si>
    <t>Cullin-3</t>
  </si>
  <si>
    <t>Cullin-4A</t>
  </si>
  <si>
    <t>Isoform 2 of Cullin-4B</t>
  </si>
  <si>
    <t>Isoform 2 of Apoptosis-stimulating of p53 protein 2</t>
  </si>
  <si>
    <t>Isoform 1 of Dual specificity tyrosine-phosphorylation-regulated kinase 1A</t>
  </si>
  <si>
    <t>GDP-L-fucose synthase</t>
  </si>
  <si>
    <t>Ras-related protein Rab-31</t>
  </si>
  <si>
    <t>Ras-related protein Rab-32</t>
  </si>
  <si>
    <t>Four and a half LIM domains protein 3</t>
  </si>
  <si>
    <t>Alkylated DNA repair protein alkB homolog 1</t>
  </si>
  <si>
    <t>Mannosyl-oligosaccharide glucosidase</t>
  </si>
  <si>
    <t>THO complex subunit 5 homolog</t>
  </si>
  <si>
    <t>ADP-ribosylation factor-related protein 1</t>
  </si>
  <si>
    <t>Exosome complex component RRP4</t>
  </si>
  <si>
    <t>Tubulin beta-2A chain</t>
  </si>
  <si>
    <t>Bystin</t>
  </si>
  <si>
    <t>Isopentenyl-diphosphate Delta-isomerase 1</t>
  </si>
  <si>
    <t>Core-binding factor subunit beta</t>
  </si>
  <si>
    <t>Isoform 2 of Core-binding factor subunit beta</t>
  </si>
  <si>
    <t>Isoform 2 of Nuclear transcription factor Y subunit gamma</t>
  </si>
  <si>
    <t>Isoform 2 of Cytoskeleton-associated protein 5</t>
  </si>
  <si>
    <t>Cold-inducible RNA-binding protein</t>
  </si>
  <si>
    <t>Coactosin-like protein</t>
  </si>
  <si>
    <t>Cytochrome c oxidase copper chaperone</t>
  </si>
  <si>
    <t>Isoform 3 of Heterogeneous nuclear ribonucleoprotein D0</t>
  </si>
  <si>
    <t>Lysosome membrane protein 2</t>
  </si>
  <si>
    <t>Isoform 4 of Low-density lipoprotein receptor-related protein 8</t>
  </si>
  <si>
    <t>Isoform 2 of Interleukin-18</t>
  </si>
  <si>
    <t>Dystroglycan</t>
  </si>
  <si>
    <t>Desmoglein-2</t>
  </si>
  <si>
    <t>Ribosome biogenesis protein BOP1</t>
  </si>
  <si>
    <t>Ubiquitin conjugation factor E4 A</t>
  </si>
  <si>
    <t>Kelch-like ECH-associated protein 1</t>
  </si>
  <si>
    <t>Probable ATP-dependent RNA helicase DHX34</t>
  </si>
  <si>
    <t>MORC family CW-type zinc finger protein 3</t>
  </si>
  <si>
    <t>Scaffold attachment factor B2</t>
  </si>
  <si>
    <t>Eukaryotic translation initiation factor 3 subunit A</t>
  </si>
  <si>
    <t>Isoform 2 of Protein FAM53B</t>
  </si>
  <si>
    <t>Ubiquitin-associated protein 2-like</t>
  </si>
  <si>
    <t>Isoform 2 of Ubiquitin-associated protein 2-like</t>
  </si>
  <si>
    <t>Protein scribble homolog</t>
  </si>
  <si>
    <t>Malectin</t>
  </si>
  <si>
    <t>Tubulin--tyrosine ligase-like protein 12</t>
  </si>
  <si>
    <t>DNA polymerase alpha subunit B</t>
  </si>
  <si>
    <t>Werner syndrome ATP-dependent helicase</t>
  </si>
  <si>
    <t>Cytoplasmic dynein 1 heavy chain 1</t>
  </si>
  <si>
    <t>Translation initiation factor eIF-2B subunit alpha</t>
  </si>
  <si>
    <t>Eukaryotic initiation factor 4A-II</t>
  </si>
  <si>
    <t>Transcription elongation factor B polypeptide 3</t>
  </si>
  <si>
    <t>Ensconsin</t>
  </si>
  <si>
    <t>Src substrate cortactin</t>
  </si>
  <si>
    <t>Isoform 3 of Src substrate cortactin</t>
  </si>
  <si>
    <t>Endonuclease G, mitochondrial</t>
  </si>
  <si>
    <t>Reticulocalbin-2</t>
  </si>
  <si>
    <t>E3 ubiquitin/ISG15 ligase TRIM25</t>
  </si>
  <si>
    <t>Isoform 2 of Protein-tyrosine kinase 2-beta</t>
  </si>
  <si>
    <t>Filamin-C</t>
  </si>
  <si>
    <t>Isoform 2 of Peptidyl-prolyl cis-trans isomerase FKBP8</t>
  </si>
  <si>
    <t>Protein FAM50A</t>
  </si>
  <si>
    <t>Protein FRG1</t>
  </si>
  <si>
    <t>Guanine nucleotide-binding protein subunit alpha-13</t>
  </si>
  <si>
    <t>Guanidinoacetate N-methyltransferase</t>
  </si>
  <si>
    <t>UDP-glucose 4-epimerase</t>
  </si>
  <si>
    <t>Isoform 2 of Caprin-1</t>
  </si>
  <si>
    <t>Beclin-1</t>
  </si>
  <si>
    <t>Transcription factor HES-1</t>
  </si>
  <si>
    <t>Isoform 2 of Histone RNA hairpin-binding protein</t>
  </si>
  <si>
    <t>Isoform 2 of RNA-binding protein 39</t>
  </si>
  <si>
    <t>Protocadherin Fat 1</t>
  </si>
  <si>
    <t>Isoform 2 of Hyaluronan-binding protein 2</t>
  </si>
  <si>
    <t>Helicase-like transcription factor</t>
  </si>
  <si>
    <t>Squalene monooxygenase</t>
  </si>
  <si>
    <t>Isoform 3 of Equilibrative nucleoside transporter 2</t>
  </si>
  <si>
    <t>Protein disulfide-isomerase A5</t>
  </si>
  <si>
    <t>Phosphoribosyl pyrophosphate synthase-associated protein 1</t>
  </si>
  <si>
    <t>ATP-dependent RNA helicase DHX8</t>
  </si>
  <si>
    <t>DNA replication licensing factor MCM6</t>
  </si>
  <si>
    <t>Inositol 1,4,5-trisphosphate receptor type 3</t>
  </si>
  <si>
    <t>Ras GTPase-activating protein 3</t>
  </si>
  <si>
    <t>Plastin-1</t>
  </si>
  <si>
    <t>Interferon regulatory factor 3</t>
  </si>
  <si>
    <t>L antigen family member 3</t>
  </si>
  <si>
    <t>Isoform 3 of E3 ubiquitin-protein ligase TRIP12</t>
  </si>
  <si>
    <t>Pumilio homolog 1</t>
  </si>
  <si>
    <t>Separin</t>
  </si>
  <si>
    <t>Mediator of DNA damage checkpoint protein 1</t>
  </si>
  <si>
    <t>Clathrin interactor 1</t>
  </si>
  <si>
    <t>Isoform 3 of Maternal embryonic leucine zipper kinase</t>
  </si>
  <si>
    <t>BTB/POZ domain-containing protein KCTD2</t>
  </si>
  <si>
    <t>Structural maintenance of chromosomes protein 1A</t>
  </si>
  <si>
    <t>Isoform 2 of Ribosomal RNA processing protein 1 homolog B</t>
  </si>
  <si>
    <t>Nuclear receptor coactivator 6</t>
  </si>
  <si>
    <t>Isoform 2 of Genetic suppressor element 1</t>
  </si>
  <si>
    <t>Protein RRP5 homolog</t>
  </si>
  <si>
    <t>DNA replication complex GINS protein PSF1</t>
  </si>
  <si>
    <t>Ribosome biogenesis protein BMS1 homolog</t>
  </si>
  <si>
    <t>Ubiquitin carboxyl-terminal hydrolase 10</t>
  </si>
  <si>
    <t>LDLR chaperone MESD</t>
  </si>
  <si>
    <t>Neutral alpha-glucosidase AB</t>
  </si>
  <si>
    <t>Isoform 2 of Neutral alpha-glucosidase AB</t>
  </si>
  <si>
    <t>Membrane-bound transcription factor site-1 protease</t>
  </si>
  <si>
    <t>Lamin-B receptor</t>
  </si>
  <si>
    <t>Isoform 2 of Conserved oligomeric Golgi complex subunit 2</t>
  </si>
  <si>
    <t>Chromobox protein homolog 2</t>
  </si>
  <si>
    <t>Isoform 2 of Golgin subfamily B member 1</t>
  </si>
  <si>
    <t>Caspase-8</t>
  </si>
  <si>
    <t>N-alpha-acetyltransferase 30</t>
  </si>
  <si>
    <t>Kinesin-like protein KIF22</t>
  </si>
  <si>
    <t>LIM and SH3 domain protein 1</t>
  </si>
  <si>
    <t>Ras-related protein Rab-39A</t>
  </si>
  <si>
    <t>Isoform 3 of Zinc finger protein 638</t>
  </si>
  <si>
    <t>Importin subunit beta-1</t>
  </si>
  <si>
    <t>Isoform Beta of Nucleolar and coiled-body phosphoprotein 1</t>
  </si>
  <si>
    <t>Nuclear mitotic apparatus protein 1</t>
  </si>
  <si>
    <t>Proteasome activator complex subunit 4</t>
  </si>
  <si>
    <t>Sarcolemmal membrane-associated protein</t>
  </si>
  <si>
    <t>Isoform 6 of GTPase-activating protein and VPS9 domain-containing protein 1</t>
  </si>
  <si>
    <t>N-alpha-acetyltransferase 25, NatB auxiliary subunit</t>
  </si>
  <si>
    <t>FAST kinase domain-containing protein 3</t>
  </si>
  <si>
    <t>Condensin complex subunit 2</t>
  </si>
  <si>
    <t>PCNA-associated factor</t>
  </si>
  <si>
    <t>ER membrane protein complex subunit 2</t>
  </si>
  <si>
    <t>Pre-mRNA-splicing regulator WTAP</t>
  </si>
  <si>
    <t>26S proteasome non-ATPase regulatory subunit 6</t>
  </si>
  <si>
    <t>Isoform 3 of Homocysteine-responsive endoplasmic reticulum-resident ubiquitin-like domain member 1 protein</t>
  </si>
  <si>
    <t>Lysosomal-associated transmembrane protein 4A</t>
  </si>
  <si>
    <t>MAD2L1-binding protein</t>
  </si>
  <si>
    <t>BRISC complex subunit Abro1</t>
  </si>
  <si>
    <t>Septin-2</t>
  </si>
  <si>
    <t>Squamous cell carcinoma antigen recognized by T-cells 3</t>
  </si>
  <si>
    <t>Condensin complex subunit 1</t>
  </si>
  <si>
    <t>Exosome complex component RRP42</t>
  </si>
  <si>
    <t>Isoform 2 of 116 kDa U5 small nuclear ribonucleoprotein component</t>
  </si>
  <si>
    <t>Isoform 2 of R3H domain-containing protein 1</t>
  </si>
  <si>
    <t>Isoform 2 of Sorting nexin-17</t>
  </si>
  <si>
    <t>Rab3 GTPase-activating protein catalytic subunit</t>
  </si>
  <si>
    <t>Isoform 2 of Zinc transporter ZIP14</t>
  </si>
  <si>
    <t>Lysine--tRNA ligase</t>
  </si>
  <si>
    <t>Isoform 3 of Histone-lysine N-methyltransferase SETDB1</t>
  </si>
  <si>
    <t>Leucine-rich repeat-containing protein 14</t>
  </si>
  <si>
    <t>Eukaryotic translation initiation factor 4H</t>
  </si>
  <si>
    <t>Isoform Short of Eukaryotic translation initiation factor 4H</t>
  </si>
  <si>
    <t>Arf-GAP with coiled-coil, ANK repeat and PH domain-containing protein 2</t>
  </si>
  <si>
    <t>Kinesin-like protein KIF14</t>
  </si>
  <si>
    <t>Bromodomain-containing protein 3</t>
  </si>
  <si>
    <t>WD repeat-containing protein 43</t>
  </si>
  <si>
    <t>Isoform 2 of Peroxisomal acyl-coenzyme A oxidase 1</t>
  </si>
  <si>
    <t>Early endosome antigen 1</t>
  </si>
  <si>
    <t>Platelet-activating factor acetylhydrolase IB subunit gamma</t>
  </si>
  <si>
    <t>Inactive phospholipase C-like protein 1</t>
  </si>
  <si>
    <t>[Pyruvate dehydrogenase [lipoamide]] kinase isozyme 1, mitochondrial</t>
  </si>
  <si>
    <t>Astrocytic phosphoprotein PEA-15</t>
  </si>
  <si>
    <t>Phosphomevalonate kinase</t>
  </si>
  <si>
    <t>Cyclin-dependent kinase 10</t>
  </si>
  <si>
    <t>Isoform 4 of Plectin</t>
  </si>
  <si>
    <t>Nodal modulator 1</t>
  </si>
  <si>
    <t>Transcription elongation factor A protein-like 1</t>
  </si>
  <si>
    <t>Serine/threonine-protein phosphatase 2A 56 kDa regulatory subunit alpha isoform</t>
  </si>
  <si>
    <t>Isoform Beta-2 of Serine/threonine-protein phosphatase 2A 56 kDa regulatory subunit beta isoform</t>
  </si>
  <si>
    <t>Inorganic pyrophosphatase</t>
  </si>
  <si>
    <t>Serine/threonine-protein kinase 38</t>
  </si>
  <si>
    <t>Non-POU domain-containing octamer-binding protein</t>
  </si>
  <si>
    <t>Periodic tryptophan protein 2 homolog</t>
  </si>
  <si>
    <t>Nicotinate-nucleotide pyrophosphorylase [carboxylating]</t>
  </si>
  <si>
    <t>Rab GTPase-binding effector protein 1</t>
  </si>
  <si>
    <t>Isoform 2 of Ras GTPase-activating protein 2</t>
  </si>
  <si>
    <t>Ras-related protein Rab-35</t>
  </si>
  <si>
    <t>Retinoblastoma-binding protein 5</t>
  </si>
  <si>
    <t>Reticulocalbin-1</t>
  </si>
  <si>
    <t>RalA-binding protein 1</t>
  </si>
  <si>
    <t>Lethal(2) giant larvae protein homolog 1</t>
  </si>
  <si>
    <t>Isoform 3 of Leucine-rich repeat-containing protein 41</t>
  </si>
  <si>
    <t>Transmembrane emp24 domain-containing protein 2</t>
  </si>
  <si>
    <t>Poly(rC)-binding protein 1</t>
  </si>
  <si>
    <t>Isoform 3 of Poly(rC)-binding protein 2</t>
  </si>
  <si>
    <t>Isoform 6 of Poly(rC)-binding protein 2</t>
  </si>
  <si>
    <t>Transcription elongation factor B polypeptide 2</t>
  </si>
  <si>
    <t>GTP-binding protein Rheb</t>
  </si>
  <si>
    <t>Ubiquitin-protein ligase E3C</t>
  </si>
  <si>
    <t>Splicing factor 3B subunit 3</t>
  </si>
  <si>
    <t>Isoform 3 of Disks large-associated protein 5</t>
  </si>
  <si>
    <t>Ras suppressor protein 1</t>
  </si>
  <si>
    <t>Isoform 2 of Scaffold attachment factor B1</t>
  </si>
  <si>
    <t>Splicing factor 3A subunit 2</t>
  </si>
  <si>
    <t>Protein phosphatase 1 regulatory subunit 7</t>
  </si>
  <si>
    <t>Protein transport protein Sec23B</t>
  </si>
  <si>
    <t>Splicing factor 3A subunit 1</t>
  </si>
  <si>
    <t>Isoform 2 of SH2 domain-containing adapter protein B</t>
  </si>
  <si>
    <t>Sperm surface protein Sp17</t>
  </si>
  <si>
    <t>Isoform 2 of Surfeit locus protein 1</t>
  </si>
  <si>
    <t>Surfeit locus protein 2</t>
  </si>
  <si>
    <t>Isoform Short of Transcription initiation factor TFIID subunit 5</t>
  </si>
  <si>
    <t>Transcription initiation factor TFIID subunit 13</t>
  </si>
  <si>
    <t>Transcription initiation factor TFIID subunit 7</t>
  </si>
  <si>
    <t>Isoform 3 of Telomeric repeat-binding factor 2</t>
  </si>
  <si>
    <t>Microtubule-associated protein RP/EB family member 2</t>
  </si>
  <si>
    <t>Isoform 2 of Na(+)/H(+) exchange regulatory cofactor NHE-RF2</t>
  </si>
  <si>
    <t>Tumor necrosis factor receptor type 1-associated DEATH domain protein</t>
  </si>
  <si>
    <t>Isoform 5 of Splicing factor 1</t>
  </si>
  <si>
    <t>Isoform 2 of Cdc42-interacting protein 4</t>
  </si>
  <si>
    <t>Thyroid receptor-interacting protein 11</t>
  </si>
  <si>
    <t>Pachytene checkpoint protein 2 homolog</t>
  </si>
  <si>
    <t>Mediator of RNA polymerase II transcription subunit 1</t>
  </si>
  <si>
    <t>Zinc finger HIT domain-containing protein 3</t>
  </si>
  <si>
    <t>Activating signal cointegrator 1</t>
  </si>
  <si>
    <t>High mobility group nucleosome-binding domain-containing protein 3</t>
  </si>
  <si>
    <t>Isoform 3 of Probable JmjC domain-containing histone demethylation protein 2C</t>
  </si>
  <si>
    <t>NF-kappa-B inhibitor beta</t>
  </si>
  <si>
    <t>Thyroid receptor-interacting protein 6</t>
  </si>
  <si>
    <t>Microtubule-associated protein RP/EB family member 1</t>
  </si>
  <si>
    <t>Isoform 2 of TSC22 domain family protein 1</t>
  </si>
  <si>
    <t>ELAV-like protein 1</t>
  </si>
  <si>
    <t>Sterol-4-alpha-carboxylate 3-dehydrogenase, decarboxylating</t>
  </si>
  <si>
    <t>Isoform 3 of NGFI-A-binding protein 2</t>
  </si>
  <si>
    <t>Ovarian cancer G-protein coupled receptor 1</t>
  </si>
  <si>
    <t>Isoform 3B of Myosin light chain kinase, smooth muscle</t>
  </si>
  <si>
    <t>TGF-beta-activated kinase 1 and MAP3K7-binding protein 1</t>
  </si>
  <si>
    <t>Probable E3 ubiquitin-protein ligase HERC1</t>
  </si>
  <si>
    <t>Neutral amino acid transporter B(0)</t>
  </si>
  <si>
    <t>Mitogen-activated protein kinase 11</t>
  </si>
  <si>
    <t>Myeloid leukemia factor 2</t>
  </si>
  <si>
    <t>Mitochondrial import receptor subunit TOM34</t>
  </si>
  <si>
    <t>Isoform Short of Mothers against decapentaplegic homolog 2</t>
  </si>
  <si>
    <t>Isoform 2 of Methylsterol monooxygenase 1</t>
  </si>
  <si>
    <t>Tubulin-specific chaperone C</t>
  </si>
  <si>
    <t>Ubiquitin-conjugating enzyme E2 variant 2</t>
  </si>
  <si>
    <t>Serine/threonine-protein kinase STK11</t>
  </si>
  <si>
    <t>Syntaxin-binding protein 2</t>
  </si>
  <si>
    <t>Vesicle-associated membrane protein 3</t>
  </si>
  <si>
    <t>V-type proton ATPase subunit S1</t>
  </si>
  <si>
    <t>Vacuolar protein sorting-associated protein 72 homolog</t>
  </si>
  <si>
    <t>Ras-related protein Rab-11B</t>
  </si>
  <si>
    <t>Isoform 3 of Histone-lysine N-methyltransferase EZH2</t>
  </si>
  <si>
    <t>Zyxin</t>
  </si>
  <si>
    <t>Electron transfer flavoprotein-ubiquinone oxidoreductase, mitochondrial</t>
  </si>
  <si>
    <t>Septin-7</t>
  </si>
  <si>
    <t>Proteasomal ubiquitin receptor ADRM1</t>
  </si>
  <si>
    <t>Coiled-coil domain-containing protein 6</t>
  </si>
  <si>
    <t>Isoform AGX1 of UDP-N-acetylhexosamine pyrophosphorylase</t>
  </si>
  <si>
    <t>Transcription factor E2F4</t>
  </si>
  <si>
    <t>Isoform 2 of Laminin subunit alpha-4</t>
  </si>
  <si>
    <t>Protein SSX1</t>
  </si>
  <si>
    <t>Isoform 2 of 26S proteasome non-ATPase regulatory subunit 5</t>
  </si>
  <si>
    <t>Serine/threonine-protein kinase N1</t>
  </si>
  <si>
    <t>Isoform 2 of Serine/threonine-protein kinase N2</t>
  </si>
  <si>
    <t>Isoform TAFII15 of Transcription initiation factor TFIID subunit 12</t>
  </si>
  <si>
    <t>Cryptochrome-1</t>
  </si>
  <si>
    <t>DNA damage-binding protein 1</t>
  </si>
  <si>
    <t>Mitogen-activated protein kinase 14</t>
  </si>
  <si>
    <t>Isoform CSBP1 of Mitogen-activated protein kinase 14</t>
  </si>
  <si>
    <t>Hsp90 co-chaperone Cdc37</t>
  </si>
  <si>
    <t>Isoform 2 of Dihydropyrimidinase-related protein 2</t>
  </si>
  <si>
    <t>Histone-binding protein RBBP7</t>
  </si>
  <si>
    <t>Isoform 5 of Zinc finger protein 74</t>
  </si>
  <si>
    <t>Transcription initiation factor TFIID subunit 9</t>
  </si>
  <si>
    <t>Zinc finger protein 239</t>
  </si>
  <si>
    <t>Extracellular matrix protein 1</t>
  </si>
  <si>
    <t>Male-enhanced antigen 1</t>
  </si>
  <si>
    <t>Cleavage and polyadenylation specificity factor subunit 6</t>
  </si>
  <si>
    <t>Isoform 2 of Drebrin</t>
  </si>
  <si>
    <t>MAP kinase-activated protein kinase 3</t>
  </si>
  <si>
    <t>Isoform Short of Nuclear respiratory factor 1</t>
  </si>
  <si>
    <t>Fascin</t>
  </si>
  <si>
    <t>Isoform 2 of Zinc finger and SCAN domain-containing protein 26</t>
  </si>
  <si>
    <t>Alpha-mannosidase 2</t>
  </si>
  <si>
    <t>NADH dehydrogenase [ubiquinone] 1 alpha subcomplex subunit 5</t>
  </si>
  <si>
    <t>Isoform ZG of Plasma membrane calcium-transporting ATPase 3</t>
  </si>
  <si>
    <t>Ceramide glucosyltransferase</t>
  </si>
  <si>
    <t>Putative ATP-dependent Clp protease proteolytic subunit, mitochondrial</t>
  </si>
  <si>
    <t>Thiosulfate sulfurtransferase</t>
  </si>
  <si>
    <t>Ubiquitin-conjugating enzyme E2 S</t>
  </si>
  <si>
    <t>Histone H2B type 2-E</t>
  </si>
  <si>
    <t>NADH dehydrogenase [ubiquinone] 1 alpha subcomplex subunit 9, mitochondrial</t>
  </si>
  <si>
    <t>Phosphoenolpyruvate carboxykinase [GTP], mitochondrial</t>
  </si>
  <si>
    <t>CMP-N-acetylneuraminate-beta-galactosamide-alpha-2,3-sialyltransferase 2</t>
  </si>
  <si>
    <t>Lanosterol 14-alpha demethylase</t>
  </si>
  <si>
    <t>Deoxyguanosine kinase, mitochondrial</t>
  </si>
  <si>
    <t>V-type proton ATPase subunit F</t>
  </si>
  <si>
    <t>2-hydroxyacylsphingosine 1-beta-galactosyltransferase</t>
  </si>
  <si>
    <t>Isoform 2 of Mitochondrial inner membrane protein</t>
  </si>
  <si>
    <t>Proto-oncogene c-Rel</t>
  </si>
  <si>
    <t>Lysine-rich nucleolar protein 1</t>
  </si>
  <si>
    <t>Heterogeneous nuclear ribonucleoprotein U-like protein 2</t>
  </si>
  <si>
    <t>LON peptidase N-terminal domain and RING finger protein 2</t>
  </si>
  <si>
    <t>Isoform 1 of Centrosome and spindle pole-associated protein 1</t>
  </si>
  <si>
    <t>Isoform 2 of Inverted formin-2</t>
  </si>
  <si>
    <t>MHC class I polypeptide-related sequence B</t>
  </si>
  <si>
    <t>Sister chromatid cohesion protein PDS5 homolog A</t>
  </si>
  <si>
    <t>Isoform 2 of Glutamine and serine-rich protein 1</t>
  </si>
  <si>
    <t>Protein CLEC16A</t>
  </si>
  <si>
    <t>Isoform 2 of AP2-associated protein kinase 1</t>
  </si>
  <si>
    <t>WASH complex subunit 7</t>
  </si>
  <si>
    <t>Exocyst complex component 3-like protein 2</t>
  </si>
  <si>
    <t>DNA excision repair protein ERCC-6-like</t>
  </si>
  <si>
    <t>Isoform 2 of UPF0561 protein C2orf68</t>
  </si>
  <si>
    <t>Pre-rRNA-processing protein TSR1 homolog</t>
  </si>
  <si>
    <t>Probable C-mannosyltransferase DPY19L1</t>
  </si>
  <si>
    <t>GDP-Man:Man(3)GlcNAc(2)-PP-Dol alpha-1,2-mannosyltransferase</t>
  </si>
  <si>
    <t>Glutamine-rich protein 1</t>
  </si>
  <si>
    <t>RELA protein</t>
  </si>
  <si>
    <t>WD40 repeat-containing protein SMU1</t>
  </si>
  <si>
    <t>Putative hexokinase HKDC1</t>
  </si>
  <si>
    <t>CWF19-like protein 2</t>
  </si>
  <si>
    <t>Isoform 3 of Leucine-rich repeat flightless-interacting protein 1</t>
  </si>
  <si>
    <t>DNA polymerase delta subunit 3</t>
  </si>
  <si>
    <t>CDP-diacylglycerol--glycerol-3-phosphate 3-phosphatidyltransferase, mitochondrial</t>
  </si>
  <si>
    <t>Prolyl 3-hydroxylase 1</t>
  </si>
  <si>
    <t>tRNA (guanine(37)-N1)-methyltransferase</t>
  </si>
  <si>
    <t>DNA-directed RNA polymerase I subunit RPA43</t>
  </si>
  <si>
    <t>PMS1 protein homolog 1</t>
  </si>
  <si>
    <t>Isoform 2 of MAP7 domain-containing protein 1</t>
  </si>
  <si>
    <t>UDP-N-acetylhexosamine pyrophosphorylase-like protein 1</t>
  </si>
  <si>
    <t>Alpha-ketoglutarate-dependent dioxygenase alkB homolog 6</t>
  </si>
  <si>
    <t>Bifunctional ATP-dependent dihydroxyacetone kinase/FAD-AMP lyase (cyclizing)</t>
  </si>
  <si>
    <t>Protein LSM12 homolog</t>
  </si>
  <si>
    <t>Putative tRNA pseudouridine synthase Pus10</t>
  </si>
  <si>
    <t>Inactive hydroxysteroid dehydrogenase-like protein 1</t>
  </si>
  <si>
    <t>Transcription factor Sp6</t>
  </si>
  <si>
    <t>N-acetylglucosamine-1-phosphotransferase subunits alpha/beta</t>
  </si>
  <si>
    <t>Isoform 2 of Girdin</t>
  </si>
  <si>
    <t>Rab-like protein 6</t>
  </si>
  <si>
    <t>Vacuolar ATPase assembly integral membrane protein VMA21</t>
  </si>
  <si>
    <t>Tubulin beta-8 chain</t>
  </si>
  <si>
    <t>Mitochondrial import inner membrane translocase subunit TIM50</t>
  </si>
  <si>
    <t>Isoform 2 of Alpha-(1,3)-fucosyltransferase 11</t>
  </si>
  <si>
    <t>mTERF domain-containing protein 3, mitochondrial</t>
  </si>
  <si>
    <t>Cryptochrome-2</t>
  </si>
  <si>
    <t>UPF0489 protein C5orf22</t>
  </si>
  <si>
    <t>Cytochrome c oxidase assembly protein COX19</t>
  </si>
  <si>
    <t>Vacuolar protein sorting-associated protein 26B</t>
  </si>
  <si>
    <t>Protein CCSMST1</t>
  </si>
  <si>
    <t>La-related protein 7</t>
  </si>
  <si>
    <t>NAD kinase domain-containing protein 1, mitochondrial</t>
  </si>
  <si>
    <t>Isoform 2 of Glucoside xylosyltransferase 1</t>
  </si>
  <si>
    <t>Acyl-CoA synthetase family member 3, mitochondrial</t>
  </si>
  <si>
    <t>Isoform 4 of Prolyl endopeptidase-like</t>
  </si>
  <si>
    <t>TBC1 domain family member 10B</t>
  </si>
  <si>
    <t>Isoform 3 of Anoctamin-6</t>
  </si>
  <si>
    <t>Isoform 3 of 1-phosphatidylinositol 4,5-bisphosphate phosphodiesterase eta-1</t>
  </si>
  <si>
    <t>Dynein light chain 1, axonemal</t>
  </si>
  <si>
    <t>Isoform 2 of AT-rich interactive domain-containing protein 4B</t>
  </si>
  <si>
    <t>GRIP1-associated protein 1</t>
  </si>
  <si>
    <t>Isoform 2 of B-cell CLL/lymphoma 7 protein family member A</t>
  </si>
  <si>
    <t>Peroxisomal 2,4-dienoyl-CoA reductase</t>
  </si>
  <si>
    <t>Isoform 2 of Membralin</t>
  </si>
  <si>
    <t>Uncharacterized protein C4orf46</t>
  </si>
  <si>
    <t>Isoform 2 of Protein FAM98B</t>
  </si>
  <si>
    <t>Isoform 2 of Programmed cell death protein 4</t>
  </si>
  <si>
    <t>Glycerol-3-phosphate acyltransferase 3</t>
  </si>
  <si>
    <t>Isoform 2 of Centrosomal protein of 55 kDa</t>
  </si>
  <si>
    <t>Quinone oxidoreductase PIG3</t>
  </si>
  <si>
    <t>Protein Hikeshi</t>
  </si>
  <si>
    <t>Acyl-coenzyme A synthetase ACSM3, mitochondrial</t>
  </si>
  <si>
    <t>Estradiol 17-beta-dehydrogenase 12</t>
  </si>
  <si>
    <t>Histone-lysine N-methyltransferase SETMAR</t>
  </si>
  <si>
    <t>tRNA wybutosine-synthesizing protein 2 homolog</t>
  </si>
  <si>
    <t>Beta-lactamase-like protein 2</t>
  </si>
  <si>
    <t>Pyrroline-5-carboxylate reductase 3</t>
  </si>
  <si>
    <t>Single-strand selective monofunctional uracil DNA glycosylase</t>
  </si>
  <si>
    <t>Rho GTPase-activating protein 15</t>
  </si>
  <si>
    <t>FAST kinase domain-containing protein 1</t>
  </si>
  <si>
    <t>BolA-like protein 3</t>
  </si>
  <si>
    <t>Transmembrane protein 177</t>
  </si>
  <si>
    <t>HCLS1-binding protein 3</t>
  </si>
  <si>
    <t>Isoform 3 of Cytochrome b reductase 1</t>
  </si>
  <si>
    <t>Isoform 2 of Mpv17-like protein 2</t>
  </si>
  <si>
    <t>Vesicle transport protein SFT2C</t>
  </si>
  <si>
    <t>PAB-dependent poly(A)-specific ribonuclease subunit 3</t>
  </si>
  <si>
    <t>Putative heat shock protein HSP 90-beta-3</t>
  </si>
  <si>
    <t>Putative heat shock protein HSP 90-beta 2</t>
  </si>
  <si>
    <t>Putative heat shock protein HSP 90-alpha A4</t>
  </si>
  <si>
    <t>DDB1- and CUL4-associated factor 6</t>
  </si>
  <si>
    <t>Oxidoreductase-like domain-containing protein 1</t>
  </si>
  <si>
    <t>Isoform 3 of UPF0692 protein C19orf54</t>
  </si>
  <si>
    <t>Nucleolar MIF4G domain-containing protein 1</t>
  </si>
  <si>
    <t>Ribonuclease ZC3H12A</t>
  </si>
  <si>
    <t>Costimulatory factor CD80 type 1</t>
  </si>
  <si>
    <t>RILP-like protein 1</t>
  </si>
  <si>
    <t>PDZ domain-containing protein 11</t>
  </si>
  <si>
    <t>UMP-CMP kinase 2, mitochondrial</t>
  </si>
  <si>
    <t>DnaJ homolog subfamily C member 21</t>
  </si>
  <si>
    <t>Isoform 3 of Probable E3 ubiquitin-protein ligase HERC4</t>
  </si>
  <si>
    <t>Urotensin-2</t>
  </si>
  <si>
    <t>cAMP-dependent protein kinase inhibitor gamma</t>
  </si>
  <si>
    <t>Metalloproteinase inhibitor 1</t>
  </si>
  <si>
    <t>Rab-like protein 3</t>
  </si>
  <si>
    <t>WD repeat-containing protein 46 (Fragment)</t>
  </si>
  <si>
    <t>Ecto-ADP-ribosyltransferase 3 (Fragment)</t>
  </si>
  <si>
    <t>Tubulin beta chain</t>
  </si>
  <si>
    <t>Isoform 2 of Nodal modulator 2</t>
  </si>
  <si>
    <t>Probable glutamate--tRNA ligase, mitochondrial</t>
  </si>
  <si>
    <t>Elongation factor 1-alpha 1 (Fragment)</t>
  </si>
  <si>
    <t>Rho-related GTP-binding protein RhoC (Fragment)</t>
  </si>
  <si>
    <t>Melanoma inhibitory activity protein 3</t>
  </si>
  <si>
    <t>Nucleoporin p58/p45 (Fragment)</t>
  </si>
  <si>
    <t>Serine/arginine-rich-splicing factor 10</t>
  </si>
  <si>
    <t>Putative G antigen family E member 3</t>
  </si>
  <si>
    <t>Presequence protease, mitochondrial</t>
  </si>
  <si>
    <t>Proteasome assembly chaperone 4</t>
  </si>
  <si>
    <t>Isoform 2 of WD repeat-containing protein 44</t>
  </si>
  <si>
    <t>High mobility group nucleosome-binding domain-containing protein 5 (Fragment)</t>
  </si>
  <si>
    <t>Protein PRRC2B</t>
  </si>
  <si>
    <t>Isoform 2 of Tight junction-associated protein 1</t>
  </si>
  <si>
    <t>Isoform 2 of RRP12-like protein</t>
  </si>
  <si>
    <t>Isoform 3 of Cytochrome c oxidase assembly factor 6 homolog</t>
  </si>
  <si>
    <t>Glucocorticoid modulatory element binding protein 2, isoform CRA_a</t>
  </si>
  <si>
    <t>Alanine--tRNA ligase, mitochondrial</t>
  </si>
  <si>
    <t>Isoform 3 of IQ motif and SEC7 domain-containing protein 2</t>
  </si>
  <si>
    <t>Rap guanine nucleotide exchange factor 1 (Fragment)</t>
  </si>
  <si>
    <t>Protein FAM78A</t>
  </si>
  <si>
    <t>Testis-expressed sequence 30 protein</t>
  </si>
  <si>
    <t>Discs, large homolog 3 (Neuroendocrine-dlg, Drosophila), isoform CRA_b</t>
  </si>
  <si>
    <t>Isoform 3 of PCI domain-containing protein 2</t>
  </si>
  <si>
    <t>Engulfment and cell motility protein 2</t>
  </si>
  <si>
    <t>Double-stranded RNA-binding protein Staufen homolog 1</t>
  </si>
  <si>
    <t>Transmembrane protein 230 (Fragment)</t>
  </si>
  <si>
    <t>Mediator of RNA polymerase II transcription subunit 23</t>
  </si>
  <si>
    <t>Migration and invasion-inhibitory protein</t>
  </si>
  <si>
    <t>Mortality factor 4-like protein 2 (Fragment)</t>
  </si>
  <si>
    <t>Crooked neck-like protein 1</t>
  </si>
  <si>
    <t>Uncharacterized protein C20orf112</t>
  </si>
  <si>
    <t>Ubiquitin carboxyl-terminal hydrolase isozyme L5</t>
  </si>
  <si>
    <t>Cytospin-B</t>
  </si>
  <si>
    <t>Isoform 3 of Serine/threonine-protein phosphatase 4 regulatory subunit 3B</t>
  </si>
  <si>
    <t>WD repeat domain phosphoinositide-interacting protein 3</t>
  </si>
  <si>
    <t>EGF domain-specific O-linked N-acetylglucosamine transferase</t>
  </si>
  <si>
    <t>Deoxynucleotidyltransferase terminal-interacting protein 2</t>
  </si>
  <si>
    <t>Peroxisomal biogenesis factor 19 (Fragment)</t>
  </si>
  <si>
    <t>ATP synthase subunit b, mitochondrial</t>
  </si>
  <si>
    <t>Bcl-2-like protein 1 (Fragment)</t>
  </si>
  <si>
    <t>Isoform 2 of DDB1- and CUL4-associated factor 10</t>
  </si>
  <si>
    <t>28S ribosomal protein S18a, mitochondrial (Fragment)</t>
  </si>
  <si>
    <t>Alpha-tocopherol transfer protein-like (Fragment)</t>
  </si>
  <si>
    <t>Dolichol-phosphate mannosyltransferase</t>
  </si>
  <si>
    <t>Isoform 4 of Rab GTPase-activating protein 1-like</t>
  </si>
  <si>
    <t>Mitochondrial pyruvate carrier 2 (Fragment)</t>
  </si>
  <si>
    <t>Tetratricopeptide repeat protein 38</t>
  </si>
  <si>
    <t>Cytochrome c oxidase protein 20 homolog</t>
  </si>
  <si>
    <t>Exosome complex component MTR3</t>
  </si>
  <si>
    <t>Methylenetetrahydrofolate reductase</t>
  </si>
  <si>
    <t>Phosphatidylinositol 4,5-bisphosphate 3-kinase catalytic subunit delta isoform</t>
  </si>
  <si>
    <t>Hippocampus abundant transcript-like protein 1</t>
  </si>
  <si>
    <t>Nucleoporin NUP188 homolog</t>
  </si>
  <si>
    <t>Pre-mRNA-processing factor 17</t>
  </si>
  <si>
    <t>Casein kinase 2, beta polypeptide, isoform CRA_d</t>
  </si>
  <si>
    <t>Heterochromatin protein 1-binding protein 3</t>
  </si>
  <si>
    <t>Valine--tRNA ligase, mitochondrial</t>
  </si>
  <si>
    <t>Dynamin-binding protein</t>
  </si>
  <si>
    <t>Centrosomal protein of 170 kDa</t>
  </si>
  <si>
    <t>Low density lipoprotein receptor adapter protein 1</t>
  </si>
  <si>
    <t>Isoform 2 of Protein odr-4 homolog</t>
  </si>
  <si>
    <t>Rab GDP dissociation inhibitor beta (Fragment)</t>
  </si>
  <si>
    <t>DNL-type zinc finger protein</t>
  </si>
  <si>
    <t>Polynucleotide 5-hydroxyl-kinase NOL9</t>
  </si>
  <si>
    <t>Ceramide synthase 2 (Fragment)</t>
  </si>
  <si>
    <t>Tudor and KH domain containing, isoform CRA_a</t>
  </si>
  <si>
    <t>Utrophin</t>
  </si>
  <si>
    <t>cAMP-dependent protein kinase inhibitor beta</t>
  </si>
  <si>
    <t>Chromosome 9 open reading frame 156, isoform CRA_b</t>
  </si>
  <si>
    <t>SH3 domain-binding glutamic acid-rich-like protein 3</t>
  </si>
  <si>
    <t>Probable arginine--tRNA ligase, mitochondrial</t>
  </si>
  <si>
    <t>Pygopus homolog 2</t>
  </si>
  <si>
    <t>Cyclin-dependent kinases regulatory subunit 1</t>
  </si>
  <si>
    <t>Acyl-coenzyme A thioesterase THEM4</t>
  </si>
  <si>
    <t>FK506-binding protein 15</t>
  </si>
  <si>
    <t>Probable ATP-dependent RNA helicase DDX59</t>
  </si>
  <si>
    <t>Phospholysine phosphohistidine inorganic pyrophosphate phosphatase</t>
  </si>
  <si>
    <t>Zinc finger CCCH domain-containing protein 13</t>
  </si>
  <si>
    <t>Uncharacterized protein C9orf114</t>
  </si>
  <si>
    <t>OTU domain-containing protein 3</t>
  </si>
  <si>
    <t>2-oxoisovalerate dehydrogenase subunit beta, mitochondrial</t>
  </si>
  <si>
    <t>Isoform 3 of Decaprenyl-diphosphate synthase subunit 1</t>
  </si>
  <si>
    <t>Isoform 2 of Ligand-dependent nuclear receptor-interacting factor 1</t>
  </si>
  <si>
    <t>HEAT repeat-containing protein 1</t>
  </si>
  <si>
    <t>Isoform 2 of Multidrug resistance-associated protein 7</t>
  </si>
  <si>
    <t>Putative transferase CAF17, mitochondrial</t>
  </si>
  <si>
    <t>E3 ubiquitin-protein ligase HECTD3</t>
  </si>
  <si>
    <t>Ubiquinone biosynthesis protein COQ4 homolog, mitochondrial</t>
  </si>
  <si>
    <t>Isoform 7 of Protrudin</t>
  </si>
  <si>
    <t>Isoform 3 of E3 ubiquitin-protein ligase UBR4</t>
  </si>
  <si>
    <t>Acyl-Coenzyme A dehydrogenase, C-4 to C-12 straight chain, isoform CRA_a</t>
  </si>
  <si>
    <t>Geranylgeranyl transferase type-2 subunit beta</t>
  </si>
  <si>
    <t>Isoform 3 of Syntaxin-binding protein 5</t>
  </si>
  <si>
    <t>Serine--tRNA ligase, cytoplasmic</t>
  </si>
  <si>
    <t>Rho GTPase-activating protein 21</t>
  </si>
  <si>
    <t>BEN domain-containing protein 3</t>
  </si>
  <si>
    <t>Calmodulin-regulated spectrin-associated protein 1</t>
  </si>
  <si>
    <t>Ubiquitin-associated protein 2</t>
  </si>
  <si>
    <t>PHD finger protein 19</t>
  </si>
  <si>
    <t>UPF0553 protein C9orf64</t>
  </si>
  <si>
    <t>Transmembrane protein 59</t>
  </si>
  <si>
    <t>Chaperone activity of bc1 complex-like, mitochondrial</t>
  </si>
  <si>
    <t>RAB6-interacting golgin</t>
  </si>
  <si>
    <t>Isoform 4 of Acyl-CoA-binding domain-containing protein 5</t>
  </si>
  <si>
    <t>Protein COX6A1P2</t>
  </si>
  <si>
    <t>Isoform 2 of Protein FAM102B</t>
  </si>
  <si>
    <t>Isoform 2 of RNA-binding protein 26</t>
  </si>
  <si>
    <t>Surfeit 4</t>
  </si>
  <si>
    <t>ATPase family AAA domain-containing protein 3B</t>
  </si>
  <si>
    <t>Adenylate kinase isoenzyme 1</t>
  </si>
  <si>
    <t>Heat shock protein HSP 90-beta (Fragment)</t>
  </si>
  <si>
    <t>Glutathione S-transferase omega-1 (Fragment)</t>
  </si>
  <si>
    <t>E3 ubiquitin-protein ligase RNF187</t>
  </si>
  <si>
    <t>Isoform 2 of Integrator complex subunit 11</t>
  </si>
  <si>
    <t>Glycolipid transfer protein domain-containing protein 1</t>
  </si>
  <si>
    <t>Protein argonaute-1</t>
  </si>
  <si>
    <t>Hermansky-Pudlak syndrome 1 protein (Fragment)</t>
  </si>
  <si>
    <t>Calcium-binding protein 39-like (Fragment)</t>
  </si>
  <si>
    <t>Terminal uridylyltransferase 4</t>
  </si>
  <si>
    <t>Ribonuclease H2 subunit B</t>
  </si>
  <si>
    <t>Transcription initiation factor TFIID subunit 4 (Fragment)</t>
  </si>
  <si>
    <t>Protein LSM14 homolog B (Fragment)</t>
  </si>
  <si>
    <t>Isoform 2 of Probable E3 ubiquitin-protein ligase Roquin</t>
  </si>
  <si>
    <t>Isoform 3 of Membrane-associated guanylate kinase, WW and PDZ domain-containing protein 3</t>
  </si>
  <si>
    <t>Ribosyldihydronicotinamide dehydrogenase [quinone]</t>
  </si>
  <si>
    <t>DnaJ (Hsp40) homolog, subfamily C, member 16, isoform CRA_a</t>
  </si>
  <si>
    <t>Protein DDI1 homolog 2</t>
  </si>
  <si>
    <t>NADH dehydrogenase [ubiquinone] 1 alpha subcomplex assembly factor 5</t>
  </si>
  <si>
    <t>5-nucleotidase domain-containing protein 1</t>
  </si>
  <si>
    <t>Transmembrane protein 189</t>
  </si>
  <si>
    <t>NDRG family member 3, isoform CRA_c</t>
  </si>
  <si>
    <t>Isoform 2 of Vacuolar protein sorting-associated protein 13D</t>
  </si>
  <si>
    <t>Isoform 3 of Protein PRR14L</t>
  </si>
  <si>
    <t>Histidine protein methyltransferase 1 homolog (Fragment)</t>
  </si>
  <si>
    <t>Thiamine transporter 1</t>
  </si>
  <si>
    <t>Vesicle transport protein SFT2B</t>
  </si>
  <si>
    <t>Complex III assembly factor LYRM7</t>
  </si>
  <si>
    <t>Telomere-associated protein RIF1</t>
  </si>
  <si>
    <t>Isoform 4 of Vacuolar protein sorting-associated protein 53 homolog</t>
  </si>
  <si>
    <t>Striatin-interacting protein 1</t>
  </si>
  <si>
    <t>Regulation of nuclear pre-mRNA domain-containing protein 2</t>
  </si>
  <si>
    <t>Growth hormone-inducible transmembrane protein</t>
  </si>
  <si>
    <t>Isoform 2 of Zinc finger protein Gfi-1b</t>
  </si>
  <si>
    <t>Pre-mRNA-splicing factor 38B</t>
  </si>
  <si>
    <t>E3 ubiquitin-protein ligase BRE1A</t>
  </si>
  <si>
    <t>Dynein light chain Tctex-type 1</t>
  </si>
  <si>
    <t>Tropomyosin 3, isoform CRA_b</t>
  </si>
  <si>
    <t>Glycylpeptide N-tetradecanoyltransferase</t>
  </si>
  <si>
    <t>Threonylcarbamoyladenosine tRNA methylthiotransferase</t>
  </si>
  <si>
    <t>Zinc finger protein 691</t>
  </si>
  <si>
    <t>Pleckstrin homology domain-containing family M member 2</t>
  </si>
  <si>
    <t>Isoform 2 of Histone H2A deubiquitinase MYSM1</t>
  </si>
  <si>
    <t>Ubiquitin thioesterase OTU1</t>
  </si>
  <si>
    <t>BRO1 domain-containing protein BROX</t>
  </si>
  <si>
    <t>Glycerol-3-phosphate acyltransferase 1, mitochondrial</t>
  </si>
  <si>
    <t>Sorting nexin-30</t>
  </si>
  <si>
    <t>Protein FAM46C</t>
  </si>
  <si>
    <t>Round spermatid basic protein 1</t>
  </si>
  <si>
    <t>Partitioning defective 3 homolog</t>
  </si>
  <si>
    <t>Lysophospholipase-like protein 1</t>
  </si>
  <si>
    <t>Rho guanine nucleotide exchange factor 2</t>
  </si>
  <si>
    <t>N-alpha-acetyltransferase 35, NatC auxiliary subunit</t>
  </si>
  <si>
    <t>Isoform 2 of Transmembrane protein C9orf91</t>
  </si>
  <si>
    <t>Isoform 4 of Zinc finger MYM-type protein 4</t>
  </si>
  <si>
    <t>Golgi-associated plant pathogenesis-related protein 1</t>
  </si>
  <si>
    <t>Tripeptidyl-peptidase 2</t>
  </si>
  <si>
    <t>CUGBP Elav-like family member 2</t>
  </si>
  <si>
    <t>BRI2, membrane form</t>
  </si>
  <si>
    <t>Protein FAM160B1</t>
  </si>
  <si>
    <t>Isoform 2 of SPRY domain-containing protein 7</t>
  </si>
  <si>
    <t>NADH dehydrogenase (Ubiquinone) 1 beta subcomplex, 8, 19kDa, isoform CRA_a</t>
  </si>
  <si>
    <t>Protein QIL1</t>
  </si>
  <si>
    <t>E3 ubiquitin-protein ligase RNF123</t>
  </si>
  <si>
    <t>Isoform 3 of F-box/WD repeat-containing protein 9</t>
  </si>
  <si>
    <t>E3 ubiquitin-protein ligase RNF213</t>
  </si>
  <si>
    <t>Lysophospholipid acyltransferase LPCAT4</t>
  </si>
  <si>
    <t>Isoform 3 of Metalloreductase STEAP3</t>
  </si>
  <si>
    <t>Centrosomal protein of 135 kDa</t>
  </si>
  <si>
    <t>Isoform 2 of TBC1 domain family member 9B</t>
  </si>
  <si>
    <t>DDB1- and CUL4-associated factor 15</t>
  </si>
  <si>
    <t>Serine/threonine-protein phosphatase 2A 55 kDa regulatory subunit B delta isoform</t>
  </si>
  <si>
    <t>6-phosphofructo-2-kinase/fructose-2, 6-biphosphatase 4 isoform 1</t>
  </si>
  <si>
    <t>Isoform 3 of Kazrin</t>
  </si>
  <si>
    <t>Digestive organ expansion factor homolog</t>
  </si>
  <si>
    <t>Isoform 2 of Protein SPT2 homolog</t>
  </si>
  <si>
    <t>Natural cytotoxicity triggering receptor 3 ligand 1</t>
  </si>
  <si>
    <t>Metallo-beta-lactamase domain-containing protein 2</t>
  </si>
  <si>
    <t>LMBR1 domain-containing protein 2</t>
  </si>
  <si>
    <t>Putative uncharacterized protein DKFZp781L1143</t>
  </si>
  <si>
    <t>Isoform 2 of Integrator complex subunit 3</t>
  </si>
  <si>
    <t>Isoform 6 of Rho GTPase-activating protein 17</t>
  </si>
  <si>
    <t>Cell division cycle-associated protein 2</t>
  </si>
  <si>
    <t>Uncharacterized protein DKFZp762I1415</t>
  </si>
  <si>
    <t>Putative uncharacterized protein DKFZp762C0813 (Fragment)</t>
  </si>
  <si>
    <t>CWF19-like protein 1</t>
  </si>
  <si>
    <t>Isoform 3 of Protein virilizer homolog</t>
  </si>
  <si>
    <t>Isoform 2 of Cytospin-A</t>
  </si>
  <si>
    <t>Uncharacterized protein C12orf73</t>
  </si>
  <si>
    <t>HEAT repeat-containing protein 6</t>
  </si>
  <si>
    <t>Ankyrin repeat domain-containing protein 40</t>
  </si>
  <si>
    <t>Isoform 2 of NADH-cytochrome b5 reductase 2</t>
  </si>
  <si>
    <t>UHRF1-binding protein 1</t>
  </si>
  <si>
    <t>Zinc finger protein 787</t>
  </si>
  <si>
    <t>Atlastin-3</t>
  </si>
  <si>
    <t>Adenosine deaminase-like protein</t>
  </si>
  <si>
    <t>Tetratricopeptide repeat protein 19, mitochondrial</t>
  </si>
  <si>
    <t>Serine/threonine-protein kinase MRCK gamma</t>
  </si>
  <si>
    <t>Isoform 5 of DNA-directed RNA polymerase II subunit GRINL1A, isoforms 4/5</t>
  </si>
  <si>
    <t>Vasorin</t>
  </si>
  <si>
    <t>Anamorsin</t>
  </si>
  <si>
    <t>Isoform 2 of AN1-type zinc finger protein 6</t>
  </si>
  <si>
    <t>SET and MYND domain-containing protein 5</t>
  </si>
  <si>
    <t>Putative peptidyl-tRNA hydrolase PTRHD1</t>
  </si>
  <si>
    <t>OTU domain-containing protein 7B</t>
  </si>
  <si>
    <t>THO complex subunit 7 homolog</t>
  </si>
  <si>
    <t>Glutamine-dependent NAD(+) synthetase</t>
  </si>
  <si>
    <t>Isoform 3 of Elongator complex protein 2</t>
  </si>
  <si>
    <t>Ragulator complex protein LAMTOR1</t>
  </si>
  <si>
    <t>Dehydrogenase/reductase SDR family member 7B</t>
  </si>
  <si>
    <t>Twinfilin-2</t>
  </si>
  <si>
    <t>Isoform 2 of Condensin-2 complex subunit H2</t>
  </si>
  <si>
    <t>GRAM domain-containing protein 4</t>
  </si>
  <si>
    <t>Desumoylating isopeptidase 1</t>
  </si>
  <si>
    <t>rRNA methyltransferase 1, mitochondrial</t>
  </si>
  <si>
    <t>Serine/threonine-protein phosphatase 4 regulatory subunit 3A</t>
  </si>
  <si>
    <t>tRNA wybutosine-synthesizing protein 3 homolog</t>
  </si>
  <si>
    <t>Ras-related protein Rab-12</t>
  </si>
  <si>
    <t>Isoform 2 of Protein SDE2 homolog</t>
  </si>
  <si>
    <t>Metabotropic glutamate receptor 5</t>
  </si>
  <si>
    <t>Isoform 2 of Nipped-B-like protein</t>
  </si>
  <si>
    <t>Calcium-binding mitochondrial carrier protein SCaMC-2</t>
  </si>
  <si>
    <t>2-oxoglutarate and iron-dependent oxygenase domain-containing protein 2</t>
  </si>
  <si>
    <t>N-alpha-acetyltransferase 16, NatA auxiliary subunit</t>
  </si>
  <si>
    <t>Cancer/testis antigen family 45 member A5</t>
  </si>
  <si>
    <t>MFS-type transporter SLC18B1</t>
  </si>
  <si>
    <t>UPF0544 protein C5orf45</t>
  </si>
  <si>
    <t>Calcium-binding mitochondrial carrier protein SCaMC-1</t>
  </si>
  <si>
    <t>Isoform 2 of Receptor expression-enhancing protein 3</t>
  </si>
  <si>
    <t>All-trans-retinol 13,14-reductase</t>
  </si>
  <si>
    <t>RAD50-interacting protein 1</t>
  </si>
  <si>
    <t>Isoform 2 of Transmembrane protein 214</t>
  </si>
  <si>
    <t>ATPase SWSAP1</t>
  </si>
  <si>
    <t>3-hydroxyisobutyryl-CoA hydrolase, mitochondrial</t>
  </si>
  <si>
    <t>Isoform 2 of Armadillo repeat-containing protein 6</t>
  </si>
  <si>
    <t>Ankyrin repeat domain-containing protein 54</t>
  </si>
  <si>
    <t>Transmembrane anterior posterior transformation protein 1 homolog</t>
  </si>
  <si>
    <t>Phostensin</t>
  </si>
  <si>
    <t>Polymerase I and transcript release factor</t>
  </si>
  <si>
    <t>Zinc finger CCHC domain-containing protein 8</t>
  </si>
  <si>
    <t>Isoform 2 of RNA pseudouridylate synthase domain-containing protein 3</t>
  </si>
  <si>
    <t>39S ribosomal protein L54, mitochondrial</t>
  </si>
  <si>
    <t>Parafibromin</t>
  </si>
  <si>
    <t>Isoform 4 of Polyamine-modulated factor 1</t>
  </si>
  <si>
    <t>General transcription factor IIH subunit 2-like protein</t>
  </si>
  <si>
    <t>39S ribosomal protein L14, mitochondrial</t>
  </si>
  <si>
    <t>Long-chain fatty acid transport protein 4</t>
  </si>
  <si>
    <t>Isoform 2 of Coiled-coil and C2 domain-containing protein 1A</t>
  </si>
  <si>
    <t>Methyltransferase-like protein 2B</t>
  </si>
  <si>
    <t>tRNA-dihydrouridine(16/17) synthase [NAD(P)(+)]-like</t>
  </si>
  <si>
    <t>Isoform 2 of Mediator of RNA polymerase II transcription subunit 27</t>
  </si>
  <si>
    <t>Enhancer of mRNA-decapping protein 4</t>
  </si>
  <si>
    <t>Isoform 2 of Centrosomal protein of 85 kDa</t>
  </si>
  <si>
    <t>Putative protein arginine N-methyltransferase 10</t>
  </si>
  <si>
    <t>Pre-mRNA-processing-splicing factor 8</t>
  </si>
  <si>
    <t>Isoform 5 of DENN domain-containing protein 1B</t>
  </si>
  <si>
    <t>F-box only protein 42</t>
  </si>
  <si>
    <t>SCY1-like protein 2</t>
  </si>
  <si>
    <t>Tetratricopeptide repeat protein 27</t>
  </si>
  <si>
    <t>Mitochondrial fission regulator 2</t>
  </si>
  <si>
    <t>Sideroflexin-4</t>
  </si>
  <si>
    <t>Phospholipase B-like 1</t>
  </si>
  <si>
    <t>Protein CASC4</t>
  </si>
  <si>
    <t>Adrenodoxin-like protein, mitochondrial</t>
  </si>
  <si>
    <t>WD repeat-containing protein 73</t>
  </si>
  <si>
    <t>Mitotic-spindle organizing protein 2A</t>
  </si>
  <si>
    <t>Acylpyruvase FAHD1, mitochondrial</t>
  </si>
  <si>
    <t>UPF0545 protein C22orf39</t>
  </si>
  <si>
    <t>Serine/threonine-protein kinase N3</t>
  </si>
  <si>
    <t>Isoform 2 of Ankyrin repeat domain-containing protein 16</t>
  </si>
  <si>
    <t>Isoform 3 of RNA demethylase ALKBH5</t>
  </si>
  <si>
    <t>TLD domain-containing protein KIAA1609</t>
  </si>
  <si>
    <t>Integrator complex subunit 5</t>
  </si>
  <si>
    <t>Leucine-rich repeat-containing protein 8B</t>
  </si>
  <si>
    <t>Round spermatid basic protein 1-like protein</t>
  </si>
  <si>
    <t>Glucose 1,6-bisphosphate synthase</t>
  </si>
  <si>
    <t>RNA polymerase-associated protein CTR9 homolog</t>
  </si>
  <si>
    <t>Alpha- and gamma-adaptin-binding protein p34</t>
  </si>
  <si>
    <t>Isoform A of Proline/serine-rich coiled-coil protein 1</t>
  </si>
  <si>
    <t>Isoform 3 of Serine/threonine-protein kinase ULK3</t>
  </si>
  <si>
    <t>Aspartate--tRNA ligase, mitochondrial</t>
  </si>
  <si>
    <t>Coiled-coil domain-containing protein 174</t>
  </si>
  <si>
    <t>Isoform 2 of Hydroxyacylglutathione hydrolase-like protein</t>
  </si>
  <si>
    <t>Isoform 2 of F-box only protein 38</t>
  </si>
  <si>
    <t>Isoform 2 of Fidgetin-like protein 1</t>
  </si>
  <si>
    <t>F-box only protein 46</t>
  </si>
  <si>
    <t>Tripartite motif-containing protein 65</t>
  </si>
  <si>
    <t>BRCA1-associated ATM activator 1</t>
  </si>
  <si>
    <t>Isoform 5 of Zinc finger CCCH domain-containing protein 14</t>
  </si>
  <si>
    <t>Consortin</t>
  </si>
  <si>
    <t>2-oxoglutarate and iron-dependent oxygenase domain-containing protein 3</t>
  </si>
  <si>
    <t>Isoform 2 of Thioredoxin domain-containing protein 11</t>
  </si>
  <si>
    <t>La-related protein 1</t>
  </si>
  <si>
    <t>Protein TMED8</t>
  </si>
  <si>
    <t>Zinc transporter 9</t>
  </si>
  <si>
    <t>Biogenesis of lysosome-related organelles complex 1 subunit 3</t>
  </si>
  <si>
    <t>Biogenesis of lysosome-related organelles complex 1 subunit 2</t>
  </si>
  <si>
    <t>Rapamycin-insensitive companion of mTOR</t>
  </si>
  <si>
    <t>Isoform 2 of WD repeat-containing protein 74</t>
  </si>
  <si>
    <t>Type-1 angiotensin II receptor-associated protein</t>
  </si>
  <si>
    <t>Atherin</t>
  </si>
  <si>
    <t>Methionine aminopeptidase 1D, mitochondrial</t>
  </si>
  <si>
    <t>Monofunctional C1-tetrahydrofolate synthase, mitochondrial</t>
  </si>
  <si>
    <t>Isoform 5 of Aftiphilin</t>
  </si>
  <si>
    <t>Isoform 5 of Pre-mRNA 3-end-processing factor FIP1</t>
  </si>
  <si>
    <t>All-trans retinoic acid-induced differentiation factor</t>
  </si>
  <si>
    <t>KDEL motif-containing protein 1</t>
  </si>
  <si>
    <t>UPF0723 protein C11orf83</t>
  </si>
  <si>
    <t>Interleukin-27 receptor subunit alpha</t>
  </si>
  <si>
    <t>E3 ubiquitin-protein ligase LRSAM1</t>
  </si>
  <si>
    <t>Dehydrogenase/reductase SDR family member 11</t>
  </si>
  <si>
    <t>Isoform 3 of Lysocardiolipin acyltransferase 1</t>
  </si>
  <si>
    <t>Protein PET117 homolog, mitochondrial</t>
  </si>
  <si>
    <t>Bombesin receptor-activated protein C6orf89</t>
  </si>
  <si>
    <t>Peptidyl-prolyl cis-trans isomerase CWC27 homolog</t>
  </si>
  <si>
    <t>Dehydrogenase/reductase SDR family member 13</t>
  </si>
  <si>
    <t>Isoform 4 of Cysteine-rich with EGF-like domain protein 2</t>
  </si>
  <si>
    <t>WD repeat-containing protein 82</t>
  </si>
  <si>
    <t>Apolipoprotein O-like</t>
  </si>
  <si>
    <t>Isoform 2 of ADAMTS-like protein 4</t>
  </si>
  <si>
    <t>Isoform 2 of Activating transcription factor 7-interacting protein 1</t>
  </si>
  <si>
    <t>Phosphofurin acidic cluster sorting protein 1</t>
  </si>
  <si>
    <t>Isoform 4 of BCL-6 corepressor</t>
  </si>
  <si>
    <t>Rab11 family-interacting protein 1</t>
  </si>
  <si>
    <t>Nicotinate phosphoribosyltransferase</t>
  </si>
  <si>
    <t>Zinc transporter 10</t>
  </si>
  <si>
    <t>Isoform 3 of PERQ amino acid-rich with GYF domain-containing protein 2</t>
  </si>
  <si>
    <t>Isoform 3 of Thyroid adenoma-associated protein</t>
  </si>
  <si>
    <t>Hydroxysteroid dehydrogenase-like protein 2</t>
  </si>
  <si>
    <t>Isoform 3 of Kynurenine--oxoglutarate transaminase 3</t>
  </si>
  <si>
    <t>RNA-binding protein MEX3B</t>
  </si>
  <si>
    <t>Protein lin-28 homolog B</t>
  </si>
  <si>
    <t>Isoform 2 of Zinc finger protein AEBP2</t>
  </si>
  <si>
    <t>Ferric-chelate reductase 1</t>
  </si>
  <si>
    <t>NF-X1-type zinc finger protein NFXL1</t>
  </si>
  <si>
    <t>Isoform 2 of Neurobeachin-like protein 2</t>
  </si>
  <si>
    <t>GDP-D-glucose phosphorylase 1</t>
  </si>
  <si>
    <t>Probable C-mannosyltransferase DPY19L3</t>
  </si>
  <si>
    <t>Sulfhydryl oxidase 2</t>
  </si>
  <si>
    <t>Isoform 3 of Helicase SRCAP</t>
  </si>
  <si>
    <t>Isoform 2 of Protein FAM65A</t>
  </si>
  <si>
    <t>Uncharacterized protein C1orf122</t>
  </si>
  <si>
    <t>E3 ubiquitin-protein ligase UBR3</t>
  </si>
  <si>
    <t>SH3 domain-binding protein 1</t>
  </si>
  <si>
    <t>Isoform 2 of LanC-like protein 3</t>
  </si>
  <si>
    <t>Isoform 5 of PAX-interacting protein 1</t>
  </si>
  <si>
    <t>Lysophospholipid acyltransferase 2</t>
  </si>
  <si>
    <t>Isoform 2 of Transmembrane and TPR repeat-containing protein 3</t>
  </si>
  <si>
    <t>General transcription factor IIH subunit 5</t>
  </si>
  <si>
    <t>Isoform 3 of Vacuolar protein sorting-associated protein 13C</t>
  </si>
  <si>
    <t>Ubiquitin carboxyl-terminal hydrolase 34</t>
  </si>
  <si>
    <t>MOB kinase activator 2</t>
  </si>
  <si>
    <t>Protein unc-13 homolog D</t>
  </si>
  <si>
    <t>Inhibitor of nuclear factor kappa-B kinase-interacting protein</t>
  </si>
  <si>
    <t>Isoform 4 of Inhibitor of nuclear factor kappa-B kinase-interacting protein</t>
  </si>
  <si>
    <t>Isoform 2 of Protein FRA10AC1</t>
  </si>
  <si>
    <t>Ubiquitin-conjugating enzyme E2 R2</t>
  </si>
  <si>
    <t>Isoform 5 of La-related protein 4</t>
  </si>
  <si>
    <t>Isoform 5 of Mediator of RNA polymerase II transcription subunit 25</t>
  </si>
  <si>
    <t>Casein kinase 1, alpha 1, isoform CRA_g</t>
  </si>
  <si>
    <t>Histone H2A.V</t>
  </si>
  <si>
    <t>MTSS1-like protein</t>
  </si>
  <si>
    <t>Isoform 5 of Butyrophilin subfamily 2 member A1</t>
  </si>
  <si>
    <t>Transcription elongation factor SPT6</t>
  </si>
  <si>
    <t>Isoform 2 of Transcription elongation factor SPT6</t>
  </si>
  <si>
    <t>Staphylococcal nuclease domain-containing protein 1</t>
  </si>
  <si>
    <t>Isoform 2 of Cytochrome c oxidase assembly protein COX15 homolog</t>
  </si>
  <si>
    <t>Probable ATP-dependent RNA helicase DDX46</t>
  </si>
  <si>
    <t>Isoform 2 of Protein RUFY3</t>
  </si>
  <si>
    <t>Isoform 4 of Protein RUFY3</t>
  </si>
  <si>
    <t>Mitochondrial ribonuclease P protein 1</t>
  </si>
  <si>
    <t>Basic leucine zipper and W2 domain-containing protein 1</t>
  </si>
  <si>
    <t>Cytochrome b5 reductase 4</t>
  </si>
  <si>
    <t>Leucine-rich repeat-containing protein 8D</t>
  </si>
  <si>
    <t>Isoaspartyl peptidase/L-asparaginase</t>
  </si>
  <si>
    <t>BTB/POZ domain-containing protein KCTD9</t>
  </si>
  <si>
    <t>Eukaryotic translation initiation factor 3 subunit M</t>
  </si>
  <si>
    <t>7SK snRNA methylphosphate capping enzyme</t>
  </si>
  <si>
    <t>Protein Bop</t>
  </si>
  <si>
    <t>Arginine/serine-rich coiled-coil protein 2</t>
  </si>
  <si>
    <t>Ras-related GTP-binding protein A</t>
  </si>
  <si>
    <t>Cytoplasmic FMR1-interacting protein 1</t>
  </si>
  <si>
    <t>NADH dehydrogenase [ubiquinone] complex I, assembly factor 7</t>
  </si>
  <si>
    <t>Golgi to ER traffic protein 4 homolog</t>
  </si>
  <si>
    <t>Mitochondrial enolase superfamily member 1</t>
  </si>
  <si>
    <t>Macrophage erythroblast attacher</t>
  </si>
  <si>
    <t>EPM2A-interacting protein 1</t>
  </si>
  <si>
    <t>Serine/threonine-protein kinase TAO1</t>
  </si>
  <si>
    <t>SH3 domain-binding protein 5-like</t>
  </si>
  <si>
    <t>FAST kinase domain-containing protein 5</t>
  </si>
  <si>
    <t>Diphthine--ammonia ligase</t>
  </si>
  <si>
    <t>Lysine-specific demethylase 3B</t>
  </si>
  <si>
    <t>Charged multivesicular body protein 1b</t>
  </si>
  <si>
    <t>Ribonucleoside-diphosphate reductase subunit M2 B</t>
  </si>
  <si>
    <t>Heparan sulfate 2-O-sulfotransferase 1</t>
  </si>
  <si>
    <t>Protein-methionine sulfoxide oxidase MICAL3</t>
  </si>
  <si>
    <t>PHD finger-like domain-containing protein 5A</t>
  </si>
  <si>
    <t>Isoform 3 of Aprataxin</t>
  </si>
  <si>
    <t>G protein-regulated inducer of neurite outgrowth 1</t>
  </si>
  <si>
    <t>TRMT1-like protein</t>
  </si>
  <si>
    <t>Zinc finger CCCH-type antiviral protein 1</t>
  </si>
  <si>
    <t>Elongation factor Tu GTP-binding domain-containing protein 1</t>
  </si>
  <si>
    <t>Isoform 3 of Probable helicase senataxin</t>
  </si>
  <si>
    <t>Microspherule protein 1</t>
  </si>
  <si>
    <t>Isoform 4 of Trafficking protein particle complex subunit 11</t>
  </si>
  <si>
    <t>KAT8 regulatory NSL complex subunit 1</t>
  </si>
  <si>
    <t>Isoform 2 of Autophagy-related protein 9A</t>
  </si>
  <si>
    <t>LysM and putative peptidoglycan-binding domain-containing protein 3</t>
  </si>
  <si>
    <t>Uncharacterized protein C10orf118</t>
  </si>
  <si>
    <t>Isoform 5 of Pogo transposable element with ZNF domain</t>
  </si>
  <si>
    <t>Zinc finger FYVE domain-containing protein 16</t>
  </si>
  <si>
    <t>Transmembrane channel-like protein 6</t>
  </si>
  <si>
    <t>Nuclear fragile X mental retardation-interacting protein 2</t>
  </si>
  <si>
    <t>Isoform 2 of SUZ domain-containing protein 1</t>
  </si>
  <si>
    <t>Mitochondrial antiviral-signaling protein</t>
  </si>
  <si>
    <t>CLIP-associating protein 1</t>
  </si>
  <si>
    <t>ATP-dependent RNA helicase DHX29</t>
  </si>
  <si>
    <t>Low-density lipoprotein receptor-related protein 10</t>
  </si>
  <si>
    <t>COMM domain-containing protein 6</t>
  </si>
  <si>
    <t>HD domain-containing protein 2</t>
  </si>
  <si>
    <t>Isoform 3 of HAUS augmin-like complex subunit 6</t>
  </si>
  <si>
    <t>KDEL motif-containing protein 2</t>
  </si>
  <si>
    <t>HEAT repeat-containing protein 3</t>
  </si>
  <si>
    <t>Hepatoma-derived growth factor-related protein 2</t>
  </si>
  <si>
    <t>L-xylulose reductase</t>
  </si>
  <si>
    <t>Golgin subfamily A member 7</t>
  </si>
  <si>
    <t>Isoform 3 of Rho GTPase-activating protein 22</t>
  </si>
  <si>
    <t>Wings apart-like protein homolog</t>
  </si>
  <si>
    <t>Isoform 2 of Interferon regulatory factor 2-binding protein 2</t>
  </si>
  <si>
    <t>WD repeat-containing protein 53</t>
  </si>
  <si>
    <t>BTB/POZ domain-containing protein KCTD20</t>
  </si>
  <si>
    <t>TMEM9 domain family, member B, isoform CRA_b</t>
  </si>
  <si>
    <t>Bifunctional methylenetetrahydrofolate dehydrogenase/cyclohydrolase, mitochondrial</t>
  </si>
  <si>
    <t>Isoform 2 of Coiled-coil domain-containing protein 91</t>
  </si>
  <si>
    <t>E3 ubiquitin-protein ligase RBBP6</t>
  </si>
  <si>
    <t>UPF0461 protein C5orf24</t>
  </si>
  <si>
    <t>E3 ubiquitin-protein ligase E3D</t>
  </si>
  <si>
    <t>tRNA-splicing endonuclease subunit Sen54</t>
  </si>
  <si>
    <t>Protein prenyltransferase alpha subunit repeat-containing protein 1</t>
  </si>
  <si>
    <t>Tectonin beta-propeller repeat-containing protein 1</t>
  </si>
  <si>
    <t>Rab9 effector protein with kelch motifs</t>
  </si>
  <si>
    <t>mTERF domain-containing protein 2</t>
  </si>
  <si>
    <t>TATA box-binding protein-like protein 1 (Fragment)</t>
  </si>
  <si>
    <t>Isoform 2 of tRNA-specific adenosine deaminase 2</t>
  </si>
  <si>
    <t>Isoform 2 of E3 ubiquitin-protein ligase HUWE1</t>
  </si>
  <si>
    <t>Isoform 5 of Centriolin</t>
  </si>
  <si>
    <t>Cytoplasmic tRNA 2-thiolation protein 1</t>
  </si>
  <si>
    <t>Transcription initiation factor TFIID subunit 8</t>
  </si>
  <si>
    <t>Ubiquitin-conjugating enzyme E2 Q1</t>
  </si>
  <si>
    <t>Isoform 2 of UPF0469 protein KIAA0907</t>
  </si>
  <si>
    <t>39S ribosomal protein L55, mitochondrial</t>
  </si>
  <si>
    <t>Isoform 2 of Vacuolar protein sorting-associated protein 13B</t>
  </si>
  <si>
    <t>Isoform 3 of Transmembrane emp24 domain-containing protein 4</t>
  </si>
  <si>
    <t>COX assembly mitochondrial protein homolog</t>
  </si>
  <si>
    <t>Isoform 3 of Centromere protein V</t>
  </si>
  <si>
    <t>Polypeptide N-acetylgalactosaminyltransferase 5</t>
  </si>
  <si>
    <t>Transmembrane protein 179B</t>
  </si>
  <si>
    <t>N-acetylgalactosaminyltransferase 7</t>
  </si>
  <si>
    <t>Isoform 3 of Dehydrodolichyl diphosphate synthase</t>
  </si>
  <si>
    <t>Glutaredoxin-related protein 5, mitochondrial</t>
  </si>
  <si>
    <t>Isoform 2 of Trafficking protein particle complex subunit 6B</t>
  </si>
  <si>
    <t>Transmembrane protein 55B</t>
  </si>
  <si>
    <t>MOB kinase activator 3B</t>
  </si>
  <si>
    <t>Isoform 4 of Protein PAT1 homolog 1</t>
  </si>
  <si>
    <t>Dipeptidyl peptidase 9</t>
  </si>
  <si>
    <t>tRNA 2-phosphotransferase 1</t>
  </si>
  <si>
    <t>Protein prune homolog</t>
  </si>
  <si>
    <t>Histone-lysine N-methyltransferase setd3</t>
  </si>
  <si>
    <t>Tetratricopeptide repeat protein 7B</t>
  </si>
  <si>
    <t>Isoform 4 of Probable RNA-binding protein 23</t>
  </si>
  <si>
    <t>Iron-sulfur cluster assembly 2 homolog, mitochondrial</t>
  </si>
  <si>
    <t>Nucleolar protein 9</t>
  </si>
  <si>
    <t>N6-adenosine-methyltransferase 70 kDa subunit</t>
  </si>
  <si>
    <t>Isoform 2 of LIM domain-binding protein 1</t>
  </si>
  <si>
    <t>YrdC domain-containing protein, mitochondrial</t>
  </si>
  <si>
    <t>Pre-mRNA-processing factor 39</t>
  </si>
  <si>
    <t>Suppressor APC domain-containing protein 2</t>
  </si>
  <si>
    <t>Protein LYRIC</t>
  </si>
  <si>
    <t>Isoform 2 of Serine/threonine-protein kinase tousled-like 2</t>
  </si>
  <si>
    <t>Isoform 2 of Zinc finger protein 598</t>
  </si>
  <si>
    <t>Glycerol-3-phosphate acyltransferase 4</t>
  </si>
  <si>
    <t>Kinectin</t>
  </si>
  <si>
    <t>Telomerase-binding protein EST1A</t>
  </si>
  <si>
    <t>Isoform 3 of B-cell CLL/lymphoma 9-like protein</t>
  </si>
  <si>
    <t>Isoform 2 of Pleckstrin homology-like domain family B member 1</t>
  </si>
  <si>
    <t>Ubiquitin carboxyl-terminal hydrolase 48</t>
  </si>
  <si>
    <t>ATP-binding cassette C5 splicing variant A</t>
  </si>
  <si>
    <t>Isoform 2 of Fermitin family homolog 3</t>
  </si>
  <si>
    <t>TXNDC5 protein</t>
  </si>
  <si>
    <t>Protein FAM83A</t>
  </si>
  <si>
    <t>N-alpha-acetyltransferase 40</t>
  </si>
  <si>
    <t>Isoform 2 of 5-nucleotidase domain-containing protein 3</t>
  </si>
  <si>
    <t>Acetoacetyl-CoA synthetase</t>
  </si>
  <si>
    <t>Leucine zipper protein 1</t>
  </si>
  <si>
    <t>Ras GTPase-activating-like protein IQGAP3</t>
  </si>
  <si>
    <t>Isoform 2 of Vacuolar protein-sorting-associated protein 36</t>
  </si>
  <si>
    <t>Cullin-associated NEDD8-dissociated protein 1</t>
  </si>
  <si>
    <t>Glucocorticoid-induced transcript 1 protein</t>
  </si>
  <si>
    <t>Isoform 2 of Thioredoxin domain-containing protein 2</t>
  </si>
  <si>
    <t>Protein FAM134C</t>
  </si>
  <si>
    <t>Protein Hook homolog 3</t>
  </si>
  <si>
    <t>Catechol O-methyltransferase domain-containing protein 1</t>
  </si>
  <si>
    <t>Vacuolar fusion protein MON1 homolog A</t>
  </si>
  <si>
    <t>THO complex subunit 6 homolog</t>
  </si>
  <si>
    <t>Methyltransferase-like protein 16</t>
  </si>
  <si>
    <t>Poly(ADP-ribose) glycohydrolase</t>
  </si>
  <si>
    <t>Isoform 2 of Valacyclovir hydrolase</t>
  </si>
  <si>
    <t>Lon protease homolog 2, peroxisomal</t>
  </si>
  <si>
    <t>Ras association domain-containing protein 3</t>
  </si>
  <si>
    <t>Chromodomain-helicase-DNA-binding protein 1-like</t>
  </si>
  <si>
    <t>Nuclear receptor 2C2-associated protein</t>
  </si>
  <si>
    <t>Coiled-coil domain-containing protein 25</t>
  </si>
  <si>
    <t>Proline and serine-rich protein 2</t>
  </si>
  <si>
    <t>Stimulator of interferon genes protein</t>
  </si>
  <si>
    <t>CCDC43 protein</t>
  </si>
  <si>
    <t>Active regulator of SIRT1</t>
  </si>
  <si>
    <t>Cerebellar degeneration-related protein 2-like</t>
  </si>
  <si>
    <t>Isoform 3 of Lipolysis-stimulated lipoprotein receptor</t>
  </si>
  <si>
    <t>Glutamate-rich protein 1</t>
  </si>
  <si>
    <t>Isoform 1 of Histone-arginine methyltransferase CARM1</t>
  </si>
  <si>
    <t>Isoform 1 of Nitrilase homolog 1</t>
  </si>
  <si>
    <t>COMM domain-containing protein 2</t>
  </si>
  <si>
    <t>ATP-dependent RNA helicase DDX42</t>
  </si>
  <si>
    <t>Spermatogenesis-associated serine-rich protein 2</t>
  </si>
  <si>
    <t>Serine/threonine-protein kinase VRK2</t>
  </si>
  <si>
    <t>Isoform 4 of CDK2-associated and cullin domain-containing protein 1</t>
  </si>
  <si>
    <t>HEAT repeat-containing protein 2</t>
  </si>
  <si>
    <t>Probable peptidyl-tRNA hydrolase</t>
  </si>
  <si>
    <t>Syntaxin-12</t>
  </si>
  <si>
    <t>Zinc finger protein 280B</t>
  </si>
  <si>
    <t>Decaprenyl-diphosphate synthase subunit 2</t>
  </si>
  <si>
    <t>Homer protein homolog 1</t>
  </si>
  <si>
    <t>Isoform 2 of Dolichyldiphosphatase 1</t>
  </si>
  <si>
    <t>Transcriptional repressor p66-alpha</t>
  </si>
  <si>
    <t>Copine-8</t>
  </si>
  <si>
    <t>Rab11 family-interacting protein 4</t>
  </si>
  <si>
    <t>C2 domain-containing protein 5</t>
  </si>
  <si>
    <t>E3 ubiquitin-protein ligase MIB1</t>
  </si>
  <si>
    <t>Interferon regulatory factor 2-binding protein 1</t>
  </si>
  <si>
    <t>Bifunctional lysine-specific demethylase and histidyl-hydroxylase MINA</t>
  </si>
  <si>
    <t>Isoform 3 of RNA-binding protein 45</t>
  </si>
  <si>
    <t>Cytokine receptor-like factor 3</t>
  </si>
  <si>
    <t>Trafficking protein particle complex subunit 5</t>
  </si>
  <si>
    <t>Isoform 4 of Transmembrane protein 126B</t>
  </si>
  <si>
    <t>Phospholipase D3</t>
  </si>
  <si>
    <t>Ankyrin repeat and MYND domain-containing protein 2</t>
  </si>
  <si>
    <t>3-5 exoribonuclease 1</t>
  </si>
  <si>
    <t>LysM and putative peptidoglycan-binding domain-containing protein 2</t>
  </si>
  <si>
    <t>Isoform 3 of Inactive serine/threonine-protein kinase VRK3</t>
  </si>
  <si>
    <t>LIX1-like protein</t>
  </si>
  <si>
    <t>NudC domain-containing protein 3</t>
  </si>
  <si>
    <t>Isoform 3 of Mitogen-activated protein kinase kinase kinase kinase 3</t>
  </si>
  <si>
    <t>Coiled-coil domain-containing protein 50</t>
  </si>
  <si>
    <t>Isoform 2 of Coiled-coil domain-containing protein 50</t>
  </si>
  <si>
    <t>Malonyl-CoA-acyl carrier protein transacylase, mitochondrial</t>
  </si>
  <si>
    <t>Isoform 4 of AT-rich interactive domain-containing protein 3B</t>
  </si>
  <si>
    <t>ATP-dependent (S)-NAD(P)H-hydrate dehydratase</t>
  </si>
  <si>
    <t>WD repeat-containing protein 75</t>
  </si>
  <si>
    <t>Inositol 1,4,5-trisphosphate receptor-interacting protein</t>
  </si>
  <si>
    <t>WD repeat and FYVE domain-containing protein 1</t>
  </si>
  <si>
    <t>Testis-expressed sequence 2 protein</t>
  </si>
  <si>
    <t>Isoform 2 of MAP7 domain-containing protein 3</t>
  </si>
  <si>
    <t>Coiled-coil domain-containing protein 117</t>
  </si>
  <si>
    <t>DCN1-like protein 3</t>
  </si>
  <si>
    <t>Protein DENND6A</t>
  </si>
  <si>
    <t>GRIP and coiled-coil domain-containing protein 2</t>
  </si>
  <si>
    <t>Iron-sulfur cluster co-chaperone protein HscB, mitochondrial</t>
  </si>
  <si>
    <t>Coiled-coil domain-containing protein 28A</t>
  </si>
  <si>
    <t>Zinc finger CCCH domain-containing protein 7A</t>
  </si>
  <si>
    <t>PHD finger protein 6</t>
  </si>
  <si>
    <t>Leucine-rich repeat-containing protein 8A</t>
  </si>
  <si>
    <t>Serine/threonine-protein kinase LMTK2</t>
  </si>
  <si>
    <t>E3 ubiquitin-protein ligase UBR1</t>
  </si>
  <si>
    <t>Isoform 4 of E3 ubiquitin-protein ligase UBR2</t>
  </si>
  <si>
    <t>Isoform 2 of Rho GTPase-activating protein 12</t>
  </si>
  <si>
    <t>Isoform 1 of Codanin-1</t>
  </si>
  <si>
    <t>Ankyrin repeat and KH domain-containing protein 1</t>
  </si>
  <si>
    <t>SURP and G-patch domain-containing protein 1</t>
  </si>
  <si>
    <t>Zinc finger protein ZFPM1</t>
  </si>
  <si>
    <t>Isoform 2 of Cell division cycle and apoptosis regulator protein 1</t>
  </si>
  <si>
    <t>Homeobox and leucine zipper protein Homez</t>
  </si>
  <si>
    <t>Isoform 3 of Probable ATP-dependent RNA helicase DHX40</t>
  </si>
  <si>
    <t>Spindle and kinetochore-associated protein 3</t>
  </si>
  <si>
    <t>DnaJ homolog subfamily C member 10</t>
  </si>
  <si>
    <t>Mitochondrial Rho GTPase 2</t>
  </si>
  <si>
    <t>Isoform 2 of Mitochondrial Rho GTPase 1</t>
  </si>
  <si>
    <t>Isoform 2 of NAD-dependent protein deacetylase sirtuin-2</t>
  </si>
  <si>
    <t>Isoform 2 of Putative Polycomb group protein ASXL1</t>
  </si>
  <si>
    <t>Polypeptide N-acetylgalactosaminyltransferase 12</t>
  </si>
  <si>
    <t>Isoform 2 of Nurim</t>
  </si>
  <si>
    <t>Uncharacterized protein C9orf40</t>
  </si>
  <si>
    <t>Uncharacterized protein KIAA1704</t>
  </si>
  <si>
    <t>Protein FAM126B</t>
  </si>
  <si>
    <t>Putative RNA polymerase II subunit B1 CTD phosphatase RPAP2</t>
  </si>
  <si>
    <t>Isoform 3 of Neuropathy target esterase</t>
  </si>
  <si>
    <t>Structural maintenance of chromosomes protein 5</t>
  </si>
  <si>
    <t>Isoform 3 of C-Maf-inducing protein</t>
  </si>
  <si>
    <t>MICAL-like protein 2</t>
  </si>
  <si>
    <t>Probable ATP-dependent RNA helicase DHX37</t>
  </si>
  <si>
    <t>Kelch repeat and BTB domain-containing protein 2</t>
  </si>
  <si>
    <t>Isoform 2 of Angiomotin-like protein 1</t>
  </si>
  <si>
    <t>Isoform 2 of Transmembrane protein 192</t>
  </si>
  <si>
    <t>Isoform 3 of Stromal membrane-associated protein 1</t>
  </si>
  <si>
    <t>DIS3-like exonuclease 2</t>
  </si>
  <si>
    <t>ATP-dependent RNA helicase SUPV3L1, mitochondrial</t>
  </si>
  <si>
    <t>Zinc finger protein 595</t>
  </si>
  <si>
    <t>Eukaryotic peptide chain release factor GTP-binding subunit ERF3B</t>
  </si>
  <si>
    <t>Isoform 4 of ZZ-type zinc finger-containing protein 3</t>
  </si>
  <si>
    <t>Exocyst complex component 8</t>
  </si>
  <si>
    <t>Procollagen galactosyltransferase 2</t>
  </si>
  <si>
    <t>UPF0688 protein C1orf174</t>
  </si>
  <si>
    <t>Transcription elongation factor A protein-like 8</t>
  </si>
  <si>
    <t>Threonine synthase-like 1</t>
  </si>
  <si>
    <t>Uncharacterized protein KIAA2013</t>
  </si>
  <si>
    <t>FtsJ methyltransferase domain-containing protein 1</t>
  </si>
  <si>
    <t>Calcium uptake protein 2, mitochondrial</t>
  </si>
  <si>
    <t>Ankyrin repeat domain-containing protein 13A</t>
  </si>
  <si>
    <t>Isoform 3 of Phosphatase and actin regulator 4</t>
  </si>
  <si>
    <t>Chondroitin sulfate synthase 2</t>
  </si>
  <si>
    <t>Metaxin 2</t>
  </si>
  <si>
    <t>RNA pseudouridylate synthase domain-containing protein 2</t>
  </si>
  <si>
    <t>Aldehyde dehydrogenase family 16 member A1</t>
  </si>
  <si>
    <t>Isoform 2 of Protein-associating with the carboxyl-terminal domain of ezrin</t>
  </si>
  <si>
    <t>Isoform 2 of 5-3 exoribonuclease 1</t>
  </si>
  <si>
    <t>Selenoprotein H</t>
  </si>
  <si>
    <t>Isoform 3 of CKLF-like MARVEL transmembrane domain-containing protein 4</t>
  </si>
  <si>
    <t>Retinol dehydrogenase 10</t>
  </si>
  <si>
    <t>Uncharacterized protein C8orf59</t>
  </si>
  <si>
    <t>Vitamin K epoxide reductase complex subunit 1-like protein 1</t>
  </si>
  <si>
    <t>L-fucose kinase</t>
  </si>
  <si>
    <t>Spartin</t>
  </si>
  <si>
    <t>Isoform 7 of Mesoderm induction early response protein 1</t>
  </si>
  <si>
    <t>Protein canopy homolog 4</t>
  </si>
  <si>
    <t>Isoform 4 of Centrobin</t>
  </si>
  <si>
    <t>Adenylosuccinate synthetase isozyme 1</t>
  </si>
  <si>
    <t>Isoform 2 of Jouberin</t>
  </si>
  <si>
    <t>DBIRD complex subunit KIAA1967</t>
  </si>
  <si>
    <t>Mimitin, mitochondrial</t>
  </si>
  <si>
    <t>Vacuolar protein sorting-associated protein 52 homolog</t>
  </si>
  <si>
    <t>Nuclear pore complex protein Nup93</t>
  </si>
  <si>
    <t>Zinc finger protein 687</t>
  </si>
  <si>
    <t>RNA exonuclease 1 homolog</t>
  </si>
  <si>
    <t>Cap-specific mRNA (nucleoside-2-O-)-methyltransferase 1</t>
  </si>
  <si>
    <t>Leucine-rich repeat-containing protein 47</t>
  </si>
  <si>
    <t>Carbonic anhydrase 13</t>
  </si>
  <si>
    <t>Mitochondrial cardiolipin hydrolase</t>
  </si>
  <si>
    <t>Isoform 3 of Armadillo repeat-containing protein 10</t>
  </si>
  <si>
    <t>Isoform 3 of GH3 domain-containing protein</t>
  </si>
  <si>
    <t>Isoform 3 of Serine/threonine-protein kinase 40</t>
  </si>
  <si>
    <t>Monoacylglycerol lipase ABHD12</t>
  </si>
  <si>
    <t>E3 SUMO-protein ligase PIAS4</t>
  </si>
  <si>
    <t>Centromere protein S</t>
  </si>
  <si>
    <t>Coiled-coil domain-containing protein 23</t>
  </si>
  <si>
    <t>Isoform 2 of Angiogenic factor with G patch and FHA domains 1</t>
  </si>
  <si>
    <t>Glycerol-3-phosphate dehydrogenase 1-like protein</t>
  </si>
  <si>
    <t>Lysine-specific demethylase 8</t>
  </si>
  <si>
    <t>Rho GTPase-activating protein 18</t>
  </si>
  <si>
    <t>Activating signal cointegrator 1 complex subunit 3</t>
  </si>
  <si>
    <t>EH domain-binding protein 1-like protein 1</t>
  </si>
  <si>
    <t>MICAL-like protein 1</t>
  </si>
  <si>
    <t>Formin-binding protein 4</t>
  </si>
  <si>
    <t>Translation factor GUF1, mitochondrial</t>
  </si>
  <si>
    <t>D-2-hydroxyglutarate dehydrogenase, mitochondrial</t>
  </si>
  <si>
    <t>RING1 and YY1-binding protein</t>
  </si>
  <si>
    <t>Isoform 2 of Probable hydrolase PNKD</t>
  </si>
  <si>
    <t>Isoform 4 of Probable hydrolase PNKD</t>
  </si>
  <si>
    <t>Isoform 2 of Sesquipedalian-1</t>
  </si>
  <si>
    <t>Isoform 5 of Misshapen-like kinase 1</t>
  </si>
  <si>
    <t>Mitochondrial import receptor subunit TOM5 homolog</t>
  </si>
  <si>
    <t>Isoform 2 of Kelch-like protein 36</t>
  </si>
  <si>
    <t>Guanosine-3,5-bis(diphosphate) 3-pyrophosphohydrolase MESH1</t>
  </si>
  <si>
    <t>Zinc-binding alcohol dehydrogenase domain-containing protein 2</t>
  </si>
  <si>
    <t>Mitochondrial intermembrane space import and assembly protein 40</t>
  </si>
  <si>
    <t>Membrane magnesium transporter 1</t>
  </si>
  <si>
    <t>Zinc finger CCHC domain-containing protein 9</t>
  </si>
  <si>
    <t>Isoform 2 of Oxidation resistance protein 1</t>
  </si>
  <si>
    <t>Isoform 8 of Oxidation resistance protein 1</t>
  </si>
  <si>
    <t>Isoform 3 of Zinc finger CCCH-type with G patch domain-containing protein</t>
  </si>
  <si>
    <t>S1 RNA-binding domain-containing protein 1</t>
  </si>
  <si>
    <t>DTW domain-containing protein 1</t>
  </si>
  <si>
    <t>Isoform 4 of WD and tetratricopeptide repeats protein 1</t>
  </si>
  <si>
    <t>NF-kappa-B-activating protein</t>
  </si>
  <si>
    <t>Isoform 2 of Small integral membrane protein 20</t>
  </si>
  <si>
    <t>Macoilin</t>
  </si>
  <si>
    <t>Arrestin domain-containing protein 1</t>
  </si>
  <si>
    <t>Uncharacterized protein C12orf45</t>
  </si>
  <si>
    <t>CDGSH iron-sulfur domain-containing protein 2</t>
  </si>
  <si>
    <t>Ribonuclease P protein subunit p25-like protein</t>
  </si>
  <si>
    <t>ATP synthase mitochondrial F1 complex assembly factor 2</t>
  </si>
  <si>
    <t>Protein jagunal homolog 1</t>
  </si>
  <si>
    <t>39S ribosomal protein L50, mitochondrial</t>
  </si>
  <si>
    <t>Zinc finger CCCH domain-containing protein 8</t>
  </si>
  <si>
    <t>Protein FAM101B</t>
  </si>
  <si>
    <t>FTS and Hook-interacting protein</t>
  </si>
  <si>
    <t>Leucine-zipper-like transcriptional regulator 1</t>
  </si>
  <si>
    <t>Isoform 2 of Cleavage and polyadenylation specificity factor subunit 7</t>
  </si>
  <si>
    <t>Solute carrier family 15 member 4</t>
  </si>
  <si>
    <t>ADP-ribosylation factor GTPase-activating protein 2</t>
  </si>
  <si>
    <t>OTU domain-containing protein 6B</t>
  </si>
  <si>
    <t>UPF0690 protein C1orf52</t>
  </si>
  <si>
    <t>ADP-ribosylation factor-like protein 6-interacting protein 6</t>
  </si>
  <si>
    <t>ADP-ribosylation factor GTPase-activating protein 1</t>
  </si>
  <si>
    <t>Isoform 3 of ER membrane protein complex subunit 1</t>
  </si>
  <si>
    <t>Putative E3 ubiquitin-protein ligase UBR7</t>
  </si>
  <si>
    <t>Uncharacterized protein C4orf32</t>
  </si>
  <si>
    <t>Prostaglandin reductase 2</t>
  </si>
  <si>
    <t>UPF0565 protein C2orf69</t>
  </si>
  <si>
    <t>ARL14 effector protein</t>
  </si>
  <si>
    <t>G patch domain-containing protein 11</t>
  </si>
  <si>
    <t>Isoform 3 of Uncharacterized protein C12orf29</t>
  </si>
  <si>
    <t>Glycerophosphodiester phosphodiesterase domain-containing protein 1</t>
  </si>
  <si>
    <t>Isoform 3 of Uncharacterized protein C19orf47</t>
  </si>
  <si>
    <t>Leucine-rich repeat-containing protein 57</t>
  </si>
  <si>
    <t>Protein SREK1IP1</t>
  </si>
  <si>
    <t>Isoform 2 of WD repeat, SAM and U-box domain-containing protein 1</t>
  </si>
  <si>
    <t>Coiled-coil domain-containing protein 71L</t>
  </si>
  <si>
    <t>Isoform 2 of IQ and ubiquitin-like domain-containing protein</t>
  </si>
  <si>
    <t>Zinc finger protein 579</t>
  </si>
  <si>
    <t>Glycosyltransferase-like domain-containing protein 2</t>
  </si>
  <si>
    <t>Pre-mRNA-splicing factor 38A</t>
  </si>
  <si>
    <t>Isoform 2 of Zinc finger protein 511</t>
  </si>
  <si>
    <t>Parkinson disease 7 domain-containing protein 1</t>
  </si>
  <si>
    <t>Serine/threonine-protein phosphatase 6 regulatory ankyrin repeat subunit C</t>
  </si>
  <si>
    <t>Isoform 3 of Probable phospholipid-transporting ATPase IG</t>
  </si>
  <si>
    <t>Spermatogenesis-associated protein 5</t>
  </si>
  <si>
    <t>DTW domain-containing protein 2</t>
  </si>
  <si>
    <t>NHL repeat-containing protein 2</t>
  </si>
  <si>
    <t>Late secretory pathway protein AVL9 homolog</t>
  </si>
  <si>
    <t>Solute carrier family 43 member 3</t>
  </si>
  <si>
    <t>Xyloside xylosyltransferase 1</t>
  </si>
  <si>
    <t>Procollagen galactosyltransferase 1</t>
  </si>
  <si>
    <t>Isoform 4 of Sulfatase-modifying factor 1</t>
  </si>
  <si>
    <t>Protein O-glucosyltransferase 1</t>
  </si>
  <si>
    <t>Isoform 4 of Ubiquitin-associated domain-containing protein 2</t>
  </si>
  <si>
    <t>Prenylcysteine oxidase-like</t>
  </si>
  <si>
    <t>Transmembrane protein 87A</t>
  </si>
  <si>
    <t>Retinol dehydrogenase 13</t>
  </si>
  <si>
    <t>ATPase family AAA domain-containing protein 1</t>
  </si>
  <si>
    <t>Saccharopine dehydrogenase-like oxidoreductase</t>
  </si>
  <si>
    <t>Serine/threonine-protein kinase MST4</t>
  </si>
  <si>
    <t>Isoform 2 of Plasminogen activator inhibitor 1 RNA-binding protein</t>
  </si>
  <si>
    <t>LEM domain-containing protein 2</t>
  </si>
  <si>
    <t>Nitric oxide-associated protein 1</t>
  </si>
  <si>
    <t>Adaptin ear-binding coat-associated protein 1</t>
  </si>
  <si>
    <t>Isoform 2 of Protein FAM98A</t>
  </si>
  <si>
    <t>Group XV phospholipase A2</t>
  </si>
  <si>
    <t>Isoform 3 of Myotubularin-related protein 14</t>
  </si>
  <si>
    <t>NFATC2-interacting protein</t>
  </si>
  <si>
    <t>Carbohydrate sulfotransferase 14</t>
  </si>
  <si>
    <t>Polypeptide N-acetylgalactosaminyltransferase 6</t>
  </si>
  <si>
    <t>E3 ubiquitin-protein ligase RNF169</t>
  </si>
  <si>
    <t>NAD(P)H-hydrate epimerase</t>
  </si>
  <si>
    <t>Protein SMG8</t>
  </si>
  <si>
    <t>RING finger protein 214</t>
  </si>
  <si>
    <t>Isoform 2 of Protein LSM14 homolog A</t>
  </si>
  <si>
    <t>Cyclin-Y</t>
  </si>
  <si>
    <t>MAPK-interacting and spindle-stabilizing protein-like</t>
  </si>
  <si>
    <t>Isoform 2 of Uncharacterized protein C1orf131</t>
  </si>
  <si>
    <t>Isoform 3 of Uncharacterized protein C1orf131</t>
  </si>
  <si>
    <t>Isoform 3 of EH domain-binding protein 1</t>
  </si>
  <si>
    <t>Deleted in autism protein 1</t>
  </si>
  <si>
    <t>Isoform 2 of Metal transporter CNNM3</t>
  </si>
  <si>
    <t>ATP-binding cassette sub-family F member 1</t>
  </si>
  <si>
    <t>Isoform 3 of Calcium uniporter protein, mitochondrial</t>
  </si>
  <si>
    <t>Phosphatidylinositol 3-kinase catalytic subunit type 3</t>
  </si>
  <si>
    <t>Glutathione S-transferase C-terminal domain-containing protein</t>
  </si>
  <si>
    <t>Serum response factor-binding protein 1</t>
  </si>
  <si>
    <t>Isoform 2 of Neuroguidin</t>
  </si>
  <si>
    <t>Isoform 2 of Microcephalin</t>
  </si>
  <si>
    <t>SHC SH2 domain-binding protein 1</t>
  </si>
  <si>
    <t>PDZ domain-containing protein 8</t>
  </si>
  <si>
    <t>Isoform 7 of Neuron navigator 1</t>
  </si>
  <si>
    <t>Isoform 2 of Vacuolar protein sorting-associated protein 37A</t>
  </si>
  <si>
    <t>Histone-lysine N-methyltransferase MLL3</t>
  </si>
  <si>
    <t>F-box only protein 22</t>
  </si>
  <si>
    <t>Lysophosphatidylcholine acyltransferase 1</t>
  </si>
  <si>
    <t>Isoform 4 of Dedicator of cytokinesis protein 8</t>
  </si>
  <si>
    <t>Ubiquitin carboxyl-terminal hydrolase 32</t>
  </si>
  <si>
    <t>Biorientation of chromosomes in cell division protein 1-like 1</t>
  </si>
  <si>
    <t>Isoform 2 of FAD synthase</t>
  </si>
  <si>
    <t>Folliculin</t>
  </si>
  <si>
    <t>Nucleoporin Nup43</t>
  </si>
  <si>
    <t>Nucleoporin Nup37</t>
  </si>
  <si>
    <t>Cytosolic endo-beta-N-acetylglucosaminidase</t>
  </si>
  <si>
    <t>Torsin-1A-interacting protein 2</t>
  </si>
  <si>
    <t>Alpha/beta hydrolase domain-containing protein 11</t>
  </si>
  <si>
    <t>N-acylneuraminate cytidylyltransferase</t>
  </si>
  <si>
    <t>Kelch repeat and BTB domain-containing protein 8</t>
  </si>
  <si>
    <t>F-box only protein 18</t>
  </si>
  <si>
    <t>DNA helicase B</t>
  </si>
  <si>
    <t>Isoform 2 of Tetraspanin-14</t>
  </si>
  <si>
    <t>Tubulin--tyrosine ligase</t>
  </si>
  <si>
    <t>Olfactory receptor 10G3</t>
  </si>
  <si>
    <t>Small VCP/p97-interacting protein</t>
  </si>
  <si>
    <t>E3 ubiquitin-protein ligase ZNRF2</t>
  </si>
  <si>
    <t>Atlastin-2</t>
  </si>
  <si>
    <t>Putative phospholipase B-like 2</t>
  </si>
  <si>
    <t>Isoform 2 of Tudor domain-containing protein 7</t>
  </si>
  <si>
    <t>GTPase IMAP family member 7</t>
  </si>
  <si>
    <t>Isoform 2 of Protein NEDD1</t>
  </si>
  <si>
    <t>Anaphase-promoting complex subunit CDC26</t>
  </si>
  <si>
    <t>Isoform 2 of Multiple coagulation factor deficiency protein 2</t>
  </si>
  <si>
    <t>THO complex subunit 2</t>
  </si>
  <si>
    <t>WD repeat-containing protein 36</t>
  </si>
  <si>
    <t>Retinitis pigmentosa 9 protein</t>
  </si>
  <si>
    <t>GrpE protein homolog 2, mitochondrial</t>
  </si>
  <si>
    <t>Isoform 2 of Vang-like protein 1</t>
  </si>
  <si>
    <t>Rieske domain-containing protein</t>
  </si>
  <si>
    <t>Smad nuclear-interacting protein 1</t>
  </si>
  <si>
    <t>Growth arrest and DNA damage-inducible proteins-interacting protein 1</t>
  </si>
  <si>
    <t>WD repeat-containing protein 48</t>
  </si>
  <si>
    <t>Exocyst complex component 6</t>
  </si>
  <si>
    <t>Isoform 2 of Centrosomal protein of 76 kDa</t>
  </si>
  <si>
    <t>Protein phosphatase 1 regulatory subunit 35</t>
  </si>
  <si>
    <t>M-phase-specific PLK1-interacting protein</t>
  </si>
  <si>
    <t>SWI/SNF complex subunit SMARCC2</t>
  </si>
  <si>
    <t>Nuclear protein localization protein 4 homolog</t>
  </si>
  <si>
    <t>Protein FAM76A</t>
  </si>
  <si>
    <t>Uncharacterized protein CXorf38</t>
  </si>
  <si>
    <t>Isoform 2 of Ganglioside-induced differentiation-associated protein 1</t>
  </si>
  <si>
    <t>Iron-sulfur protein NUBPL</t>
  </si>
  <si>
    <t>F-box only protein 30</t>
  </si>
  <si>
    <t>Isoform 3 of Adenosine 3-phospho 5-phosphosulfate transporter 1</t>
  </si>
  <si>
    <t>TXNDC9 protein</t>
  </si>
  <si>
    <t>Isoform 2 of Golgin subfamily A member 5</t>
  </si>
  <si>
    <t>Isoform 3 of Kelch domain-containing protein 4</t>
  </si>
  <si>
    <t>NEDD8-activating enzyme E1 catalytic subunit</t>
  </si>
  <si>
    <t>Isoform 3 of Bromo adjacent homology domain-containing 1 protein</t>
  </si>
  <si>
    <t>N-acylneuraminate-9-phosphatase</t>
  </si>
  <si>
    <t>Isoform 2 of DnaJ homolog subfamily B member 14</t>
  </si>
  <si>
    <t>Guanine nucleotide exchange factor for Rab-3A</t>
  </si>
  <si>
    <t>Solute carrier family 25 member 40</t>
  </si>
  <si>
    <t>Phosphatidylinositol 5-phosphate 4-kinase type-2 gamma</t>
  </si>
  <si>
    <t>WD repeat-containing protein 20</t>
  </si>
  <si>
    <t>tRNA methyltransferase 10 homolog A</t>
  </si>
  <si>
    <t>Isoform 2 of TBC1 domain family member 15</t>
  </si>
  <si>
    <t>Retinol dehydrogenase 11</t>
  </si>
  <si>
    <t>Leucine-rich repeat-containing protein 20</t>
  </si>
  <si>
    <t>UPF0729 protein C18orf32</t>
  </si>
  <si>
    <t>Protein CIP2A</t>
  </si>
  <si>
    <t>Phosphatidylinositol 4-kinase type 2-beta</t>
  </si>
  <si>
    <t>Dolichyl-diphosphooligosaccharide--protein glycosyltransferase subunit STT3B</t>
  </si>
  <si>
    <t>Polyribonucleotide nucleotidyltransferase 1, mitochondrial</t>
  </si>
  <si>
    <t>Signal peptide peptidase-like 2A</t>
  </si>
  <si>
    <t>Isoform 5 of Minor histocompatibility antigen H13</t>
  </si>
  <si>
    <t>Cytoplasmic dynein 2 light intermediate chain 1</t>
  </si>
  <si>
    <t>Up-regulator of cell proliferation</t>
  </si>
  <si>
    <t>Isoform 2 of Mitogen-activated protein kinase 15</t>
  </si>
  <si>
    <t>Protein bicaudal D homolog 2</t>
  </si>
  <si>
    <t>Serine/threonine-protein kinase Nek9</t>
  </si>
  <si>
    <t>Alanine aminotransferase 2</t>
  </si>
  <si>
    <t>ATP-dependent RNA helicase DDX54</t>
  </si>
  <si>
    <t>Biogenesis of lysosome-related organelles complex 1 subunit 5</t>
  </si>
  <si>
    <t>Ribosome biogenesis protein BRX1 homolog</t>
  </si>
  <si>
    <t>Isoform 3 of Glucosamine-6-phosphate isomerase 2</t>
  </si>
  <si>
    <t>Leucine-rich repeat-containing protein 8C</t>
  </si>
  <si>
    <t>Serine/threonine-protein kinase Nek7</t>
  </si>
  <si>
    <t>Isoform 2 of RB1-inducible coiled-coil protein 1</t>
  </si>
  <si>
    <t>Protein-methionine sulfoxide oxidase MICAL1</t>
  </si>
  <si>
    <t>Putative methyltransferase NSUN6</t>
  </si>
  <si>
    <t>D-tyrosyl-tRNA(Tyr) deacylase 1</t>
  </si>
  <si>
    <t>Isoform 2 of DDB1- and CUL4-associated factor 11</t>
  </si>
  <si>
    <t>DENN domain-containing protein 1A</t>
  </si>
  <si>
    <t>Nuclear pore membrane glycoprotein 210</t>
  </si>
  <si>
    <t>Gem-associated protein 5</t>
  </si>
  <si>
    <t>Importin-4</t>
  </si>
  <si>
    <t>Isoform 3 of Ubiquitin carboxyl-terminal hydrolase 33</t>
  </si>
  <si>
    <t>Arginine/serine-rich protein PNISR</t>
  </si>
  <si>
    <t>Isoform 2 of Serine/threonine-protein phosphatase 4 regulatory subunit 1</t>
  </si>
  <si>
    <t>Isoform 2 of DIS3-like exonuclease 1</t>
  </si>
  <si>
    <t>PDZ domain-containing protein GIPC3</t>
  </si>
  <si>
    <t>WAS/WASL-interacting protein family member 2</t>
  </si>
  <si>
    <t>1-acylglycerol-3-phosphate O-acyltransferase ABHD5</t>
  </si>
  <si>
    <t>Conserved oligomeric Golgi complex subunit 1</t>
  </si>
  <si>
    <t>CAMK2G protein (Fragment)</t>
  </si>
  <si>
    <t>Isoform 2 of Sec1 family domain-containing protein 2</t>
  </si>
  <si>
    <t>Stromal membrane-associated protein 2</t>
  </si>
  <si>
    <t>Zinc finger CCCH domain-containing protein 15</t>
  </si>
  <si>
    <t>Peptidyl-prolyl cis-trans isomerase-like 4</t>
  </si>
  <si>
    <t>Isoform 2 of General transcription factor 3C polypeptide 2</t>
  </si>
  <si>
    <t>Isoform 3 of PHD finger protein 10</t>
  </si>
  <si>
    <t>Ras-related protein Rab-2B</t>
  </si>
  <si>
    <t>Cholinephosphotransferase 1</t>
  </si>
  <si>
    <t>Uncharacterized protein CXorf48</t>
  </si>
  <si>
    <t>Protein Churchill</t>
  </si>
  <si>
    <t>Transforming growth factor-beta receptor-associated protein 1</t>
  </si>
  <si>
    <t>UPF0444 transmembrane protein C12orf23</t>
  </si>
  <si>
    <t>Isoform 3 of Histone deacetylase 7</t>
  </si>
  <si>
    <t>Serine/threonine/tyrosine-interacting protein</t>
  </si>
  <si>
    <t>Isoform 2 of Phosphatidylglycerophosphatase and protein-tyrosine phosphatase 1</t>
  </si>
  <si>
    <t>Programmed cell death 6-interacting protein</t>
  </si>
  <si>
    <t>Sodium-dependent phosphate transporter 1</t>
  </si>
  <si>
    <t>UPF0235 protein C15orf40</t>
  </si>
  <si>
    <t>Sodium-coupled neutral amino acid transporter 5</t>
  </si>
  <si>
    <t>Cation transport regulator-like protein 2</t>
  </si>
  <si>
    <t>Charged multivesicular body protein 7</t>
  </si>
  <si>
    <t>Protein THEM6</t>
  </si>
  <si>
    <t>N-acetyltransferase 14</t>
  </si>
  <si>
    <t>Oral cancer-overexpressed protein 1</t>
  </si>
  <si>
    <t>Non-structural maintenance of chromosomes element 1 homolog</t>
  </si>
  <si>
    <t>Sorting nexin-33</t>
  </si>
  <si>
    <t>Pentatricopeptide repeat-containing protein 2, mitochondrial</t>
  </si>
  <si>
    <t>MIT domain-containing protein 1</t>
  </si>
  <si>
    <t>Lactation elevated protein 1</t>
  </si>
  <si>
    <t>Chromosome transmission fidelity protein 18 homolog</t>
  </si>
  <si>
    <t>RNA polymerase-associated protein LEO1</t>
  </si>
  <si>
    <t>40S ribosomal protein S21</t>
  </si>
  <si>
    <t>E3 ubiquitin-protein ligase RNF138</t>
  </si>
  <si>
    <t>NudC domain-containing protein 2</t>
  </si>
  <si>
    <t>U4/U6.U5 small nuclear ribonucleoprotein 27 kDa protein</t>
  </si>
  <si>
    <t>Spindle and kinetochore-associated protein 2</t>
  </si>
  <si>
    <t>Ankyrin repeat domain-containing protein 49</t>
  </si>
  <si>
    <t>Dimethyladenosine transferase 1, mitochondrial</t>
  </si>
  <si>
    <t>Sec1 family domain-containing protein 1</t>
  </si>
  <si>
    <t>Soluble calcium-activated nucleotidase 1</t>
  </si>
  <si>
    <t>Trafficking protein particle complex subunit 12</t>
  </si>
  <si>
    <t>Fatty acyl-CoA reductase 1</t>
  </si>
  <si>
    <t>Ubiquitin-like domain-containing CTD phosphatase 1</t>
  </si>
  <si>
    <t>tRNA-splicing endonuclease subunit Sen15</t>
  </si>
  <si>
    <t>PEST proteolytic signal-containing nuclear protein</t>
  </si>
  <si>
    <t>SPRY domain-containing protein 4</t>
  </si>
  <si>
    <t>Isoform 2 of Lysosomal protein NCU-G1</t>
  </si>
  <si>
    <t>Uncharacterized protein C2orf47, mitochondrial</t>
  </si>
  <si>
    <t>Probable tRNA pseudouridine synthase 1</t>
  </si>
  <si>
    <t>G2/mitotic-specific cyclin-B3</t>
  </si>
  <si>
    <t>Reticulon-4-interacting protein 1, mitochondrial</t>
  </si>
  <si>
    <t>Isoform 3 of Ras association domain-containing protein 5</t>
  </si>
  <si>
    <t>Selenoprotein M</t>
  </si>
  <si>
    <t>U4/U6 small nuclear ribonucleoprotein Prp31</t>
  </si>
  <si>
    <t>Negative elongation factor B</t>
  </si>
  <si>
    <t>Isoform 2 of Splicing regulatory glutamine/lysine-rich protein 1</t>
  </si>
  <si>
    <t>Secretogranin-3</t>
  </si>
  <si>
    <t>Gem-associated protein 6</t>
  </si>
  <si>
    <t>Isoform 4 of ATR-interacting protein</t>
  </si>
  <si>
    <t>Paraspeckle component 1</t>
  </si>
  <si>
    <t>Isoform 7 of MAP kinase-activating death domain protein</t>
  </si>
  <si>
    <t>Transcriptional repressor p66-beta</t>
  </si>
  <si>
    <t>Progesterone-induced-blocking factor 1</t>
  </si>
  <si>
    <t>DnaJ homolog subfamily C member 9</t>
  </si>
  <si>
    <t>BRI3-binding protein</t>
  </si>
  <si>
    <t>Isoform 2 of Protein phosphatase 1E</t>
  </si>
  <si>
    <t>THAP domain-containing protein 4</t>
  </si>
  <si>
    <t>Isoform 11 of Titin</t>
  </si>
  <si>
    <t>Ovarian cancer-associated gene 2 protein</t>
  </si>
  <si>
    <t>Protein LZIC</t>
  </si>
  <si>
    <t>Immunity-related GTPase family Q protein</t>
  </si>
  <si>
    <t>ATP-dependent RNA helicase DDX1</t>
  </si>
  <si>
    <t>Zinc transporter SLC39A7</t>
  </si>
  <si>
    <t>Estradiol 17-beta-dehydrogenase 8</t>
  </si>
  <si>
    <t>Piezo-type mechanosensitive ion channel component 1</t>
  </si>
  <si>
    <t>Protein FAM3C</t>
  </si>
  <si>
    <t>Histone H1x</t>
  </si>
  <si>
    <t>T-complex protein 1 subunit zeta-2</t>
  </si>
  <si>
    <t>Golgi-specific brefeldin A-resistance guanine nucleotide exchange factor 1</t>
  </si>
  <si>
    <t>RNA polymerase-associated protein RTF1 homolog</t>
  </si>
  <si>
    <t>Transmembrane 9 superfamily member 4</t>
  </si>
  <si>
    <t>DNA topoisomerase 2-binding protein 1</t>
  </si>
  <si>
    <t>Inositol hexakisphosphate kinase 1</t>
  </si>
  <si>
    <t>28S ribosomal protein S27, mitochondrial</t>
  </si>
  <si>
    <t>Engulfment and cell motility protein 1</t>
  </si>
  <si>
    <t>AP-3 complex subunit sigma-1</t>
  </si>
  <si>
    <t>UBX domain-containing protein 4</t>
  </si>
  <si>
    <t>Isoform 2 of PHD finger protein 3</t>
  </si>
  <si>
    <t>Isoform 3 of Sodium/hydrogen exchanger 6</t>
  </si>
  <si>
    <t>Isoform Beta of Heat shock protein 105 kDa</t>
  </si>
  <si>
    <t>Cell differentiation protein RCD1 homolog</t>
  </si>
  <si>
    <t>TBC1 domain family member 5</t>
  </si>
  <si>
    <t>La-related protein 4B</t>
  </si>
  <si>
    <t>Translational activator GCN1</t>
  </si>
  <si>
    <t>Minor histocompatibility protein HA-1</t>
  </si>
  <si>
    <t>Pre-mRNA-splicing factor ATP-dependent RNA helicase PRP16</t>
  </si>
  <si>
    <t>Ankyrin repeat and SAM domain-containing protein 1A</t>
  </si>
  <si>
    <t>Protein FAN</t>
  </si>
  <si>
    <t>28S ribosomal protein S31, mitochondrial</t>
  </si>
  <si>
    <t>A-kinase anchor protein 1, mitochondrial</t>
  </si>
  <si>
    <t>Neurogranin</t>
  </si>
  <si>
    <t>Isoform 2 of Acidic leucine-rich nuclear phosphoprotein 32 family member B</t>
  </si>
  <si>
    <t>Poliovirus receptor-related protein 2</t>
  </si>
  <si>
    <t>Isoform Alpha of Poliovirus receptor-related protein 2</t>
  </si>
  <si>
    <t>Geranylgeranyl transferase type-2 subunit alpha</t>
  </si>
  <si>
    <t>DNA repair and recombination protein RAD54-like</t>
  </si>
  <si>
    <t>Isoform 2 of Protein TFG</t>
  </si>
  <si>
    <t>Actin-related protein 2/3 complex subunit 1A</t>
  </si>
  <si>
    <t>General transcription factor IIH subunit 4</t>
  </si>
  <si>
    <t>Ras-responsive element-binding protein 1</t>
  </si>
  <si>
    <t>Isoform 2 of Signal transducing adapter molecule 1</t>
  </si>
  <si>
    <t>Isoform 2 of CREB-binding protein</t>
  </si>
  <si>
    <t>Symplekin</t>
  </si>
  <si>
    <t>Isoform Short of TATA-binding protein-associated factor 2N</t>
  </si>
  <si>
    <t>Golgin subfamily A member 1</t>
  </si>
  <si>
    <t>Gamma-glutamyl hydrolase</t>
  </si>
  <si>
    <t>Isoform 3 of Bcl-2-like protein 2</t>
  </si>
  <si>
    <t>Isoform B of Caspase-10</t>
  </si>
  <si>
    <t>Phosphomannomutase 1</t>
  </si>
  <si>
    <t>DNA repair protein RAD50</t>
  </si>
  <si>
    <t>Osteoclast-stimulating factor 1</t>
  </si>
  <si>
    <t>DNA repair endonuclease XPF</t>
  </si>
  <si>
    <t>Ubiquitin fusion degradation protein 1 homolog</t>
  </si>
  <si>
    <t>Golgi apparatus protein 1</t>
  </si>
  <si>
    <t>Regulator of nonsense transcripts 1</t>
  </si>
  <si>
    <t>COP9 signalosome complex subunit 5</t>
  </si>
  <si>
    <t>G patch domain and KOW motifs-containing protein</t>
  </si>
  <si>
    <t>SWI/SNF complex subunit SMARCC1</t>
  </si>
  <si>
    <t>Ras-related protein Rab-8B</t>
  </si>
  <si>
    <t>Bcl2 antagonist of cell death</t>
  </si>
  <si>
    <t>Far upstream element-binding protein 2</t>
  </si>
  <si>
    <t>Glutaryl-CoA dehydrogenase, mitochondrial</t>
  </si>
  <si>
    <t>Peroxisomal membrane protein PEX13</t>
  </si>
  <si>
    <t>Isoform 2 of Transportin-1</t>
  </si>
  <si>
    <t>Ribosomal RNA small subunit methyltransferase NEP1</t>
  </si>
  <si>
    <t>Glomulin</t>
  </si>
  <si>
    <t>Probable ubiquitin carboxyl-terminal hydrolase FAF-X</t>
  </si>
  <si>
    <t>N-acetyltransferase 6</t>
  </si>
  <si>
    <t>Cullin-5</t>
  </si>
  <si>
    <t>Exostosin-2</t>
  </si>
  <si>
    <t>Isoform 3 of Mediator of RNA polymerase II transcription subunit 12</t>
  </si>
  <si>
    <t>Histone H2A type 1-C</t>
  </si>
  <si>
    <t>Isoform SERCA3G of Sarcoplasmic/endoplasmic reticulum calcium ATPase 3</t>
  </si>
  <si>
    <t>Isoform 4 of Phosphorylase b kinase regulatory subunit beta</t>
  </si>
  <si>
    <t>Isoform 2 of Secretory carrier-associated membrane protein 4</t>
  </si>
  <si>
    <t>Pre-rRNA-processing protein TSR2 homolog</t>
  </si>
  <si>
    <t>General transcription factor 3C polypeptide 6</t>
  </si>
  <si>
    <t>KiSS-1 receptor</t>
  </si>
  <si>
    <t>Riboflavin kinase</t>
  </si>
  <si>
    <t>Isoform 2 of Ribonuclease P/MRP protein subunit POP5</t>
  </si>
  <si>
    <t>UPF0556 protein C19orf10</t>
  </si>
  <si>
    <t>E3 ubiquitin-protein ligase RNF34</t>
  </si>
  <si>
    <t>Protein YIPF5</t>
  </si>
  <si>
    <t>Isoform 4 of GPI transamidase component PIG-T</t>
  </si>
  <si>
    <t>Isoform 3 of Immunoglobulin superfamily member 8</t>
  </si>
  <si>
    <t>Integrin-alpha FG-GAP repeat-containing protein 2</t>
  </si>
  <si>
    <t>Zinc finger protein 622</t>
  </si>
  <si>
    <t>Isoform 2 of Ribosome-releasing factor 2, mitochondrial</t>
  </si>
  <si>
    <t>Isoform 2 of 7-methylguanosine phosphate-specific 5-nucleotidase</t>
  </si>
  <si>
    <t>Proteasome assembly chaperone 2</t>
  </si>
  <si>
    <t>Isoform 2 of Nicalin</t>
  </si>
  <si>
    <t>Mitochondrial ubiquitin ligase activator of NFKB 1</t>
  </si>
  <si>
    <t>Isoform 2 of Endoplasmic reticulum-Golgi intermediate compartment protein 1</t>
  </si>
  <si>
    <t>Isoform 3 of tRNA modification GTPase GTPBP3, mitochondrial</t>
  </si>
  <si>
    <t>Protein TBRG4</t>
  </si>
  <si>
    <t>Protein phosphatase 1 regulatory subunit 14A</t>
  </si>
  <si>
    <t>Coiled-coil domain-containing protein 102A</t>
  </si>
  <si>
    <t>Coiled-coil domain-containing protein 47</t>
  </si>
  <si>
    <t>Insulin gene enhancer protein ISL-2</t>
  </si>
  <si>
    <t>Synapse-associated protein 1</t>
  </si>
  <si>
    <t>Exocyst complex component 4</t>
  </si>
  <si>
    <t>Isoform 2 of Putative monooxygenase p33MONOX</t>
  </si>
  <si>
    <t>Isochorismatase domain-containing protein 2, mitochondrial</t>
  </si>
  <si>
    <t>Patatin-like phospholipase domain-containing protein 2</t>
  </si>
  <si>
    <t>Far upstream element-binding protein 1</t>
  </si>
  <si>
    <t>Isoform 2 of Far upstream element-binding protein 1</t>
  </si>
  <si>
    <t>Leucine-rich repeat-containing protein 59</t>
  </si>
  <si>
    <t>Isoform 1 of Vesicle transport through interaction with t-SNAREs homolog 1A</t>
  </si>
  <si>
    <t>Mitochondrial calcium uniporter regulator 1</t>
  </si>
  <si>
    <t>Uncharacterized protein KIAA1143</t>
  </si>
  <si>
    <t>Ribulose-phosphate 3-epimerase</t>
  </si>
  <si>
    <t>Vacuolar protein sorting-associated protein 33A</t>
  </si>
  <si>
    <t>Isoform 2 of Uncharacterized protein C18orf25</t>
  </si>
  <si>
    <t>Exosome complex component RRP43</t>
  </si>
  <si>
    <t>Proline-rich AKT1 substrate 1</t>
  </si>
  <si>
    <t>UPF0693 protein C10orf32</t>
  </si>
  <si>
    <t>Mitochondrial import receptor subunit TOM6 homolog</t>
  </si>
  <si>
    <t>Spindle and kinetochore-associated protein 1</t>
  </si>
  <si>
    <t>E3 ubiquitin-protein ligase RNF25</t>
  </si>
  <si>
    <t>ADP-ribosylation factor-like protein 8A</t>
  </si>
  <si>
    <t>Protein FAM105B</t>
  </si>
  <si>
    <t>Peptidylprolyl isomerase domain and WD repeat-containing protein 1</t>
  </si>
  <si>
    <t>Coiled-coil domain-containing protein 127</t>
  </si>
  <si>
    <t>Sel1 repeat-containing protein 1</t>
  </si>
  <si>
    <t>Alkylated DNA repair protein alkB homolog 8</t>
  </si>
  <si>
    <t>Isoform 3 of Uracil phosphoribosyltransferase homolog</t>
  </si>
  <si>
    <t>Isoform 2 of Phosphotriesterase-related protein</t>
  </si>
  <si>
    <t>MOB kinase activator 3A</t>
  </si>
  <si>
    <t>Autophagy-related protein 2 homolog B</t>
  </si>
  <si>
    <t>Leukocyte receptor cluster member 1</t>
  </si>
  <si>
    <t>TBC1 domain family member 20</t>
  </si>
  <si>
    <t>Protein FAM136A</t>
  </si>
  <si>
    <t>EF-hand domain-containing protein D2</t>
  </si>
  <si>
    <t>Aldose 1-epimerase</t>
  </si>
  <si>
    <t>Pyrroline-5-carboxylate reductase 2</t>
  </si>
  <si>
    <t>Uncharacterized protein C12orf43</t>
  </si>
  <si>
    <t>m7GpppX diphosphatase</t>
  </si>
  <si>
    <t>Protein phosphatase 1 regulatory subunit 14B</t>
  </si>
  <si>
    <t>Isoform 4 of 5-methylcytosine rRNA methyltransferase NSUN4</t>
  </si>
  <si>
    <t>Charged multivesicular body protein 4c</t>
  </si>
  <si>
    <t>Isoform 2 of RNA pseudouridylate synthase domain-containing protein 4</t>
  </si>
  <si>
    <t>Isochorismatase domain-containing protein 1</t>
  </si>
  <si>
    <t>GRIP and coiled-coil domain-containing protein 1</t>
  </si>
  <si>
    <t>FLYWCH family member 2</t>
  </si>
  <si>
    <t>HAUS augmin-like complex subunit 1</t>
  </si>
  <si>
    <t>FAS-associated factor 2</t>
  </si>
  <si>
    <t>Coiled-coil domain-containing protein 124</t>
  </si>
  <si>
    <t>FAD-dependent oxidoreductase domain-containing protein 1</t>
  </si>
  <si>
    <t>Isoform 2 of AP-2 complex subunit mu</t>
  </si>
  <si>
    <t>Probable RNA polymerase II nuclear localization protein SLC7A6OS</t>
  </si>
  <si>
    <t>Leucine-rich repeat-containing protein 58</t>
  </si>
  <si>
    <t>Uncharacterized protein C10orf35</t>
  </si>
  <si>
    <t>Reticulocalbin-3</t>
  </si>
  <si>
    <t>Isoform beta of Calcium release-activated calcium channel protein 1</t>
  </si>
  <si>
    <t>Isoform 3 of RalBP1-associated Eps domain-containing protein 1</t>
  </si>
  <si>
    <t>Isoform 2 of Mitochondrial import inner membrane translocase subunit TIM14</t>
  </si>
  <si>
    <t>Regulator of microtubule dynamics protein 1</t>
  </si>
  <si>
    <t>U8 snoRNA-decapping enzyme</t>
  </si>
  <si>
    <t>Anaphase-promoting complex subunit 16</t>
  </si>
  <si>
    <t>Protein DGCR14</t>
  </si>
  <si>
    <t>Carboxymethylenebutenolidase homolog</t>
  </si>
  <si>
    <t>U5 small nuclear ribonucleoprotein 40 kDa protein</t>
  </si>
  <si>
    <t>Cysteine protease ATG4C</t>
  </si>
  <si>
    <t>Inositol-trisphosphate 3-kinase C</t>
  </si>
  <si>
    <t>39S ribosomal protein L38, mitochondrial</t>
  </si>
  <si>
    <t>RING finger and SPRY domain-containing protein 1</t>
  </si>
  <si>
    <t>Tripartite motif-containing protein 44</t>
  </si>
  <si>
    <t>IQ domain-containing protein D</t>
  </si>
  <si>
    <t>Isoform 2 of Endoplasmic reticulum lectin 1</t>
  </si>
  <si>
    <t>Protein FAM122A</t>
  </si>
  <si>
    <t>Isoform 3 of Ribosome-recycling factor, mitochondrial</t>
  </si>
  <si>
    <t>RecQ-mediated genome instability protein 2</t>
  </si>
  <si>
    <t>Nogo-B receptor</t>
  </si>
  <si>
    <t>Metalloendopeptidase OMA1, mitochondrial</t>
  </si>
  <si>
    <t>Protein Spindly</t>
  </si>
  <si>
    <t>Elongator complex protein 4</t>
  </si>
  <si>
    <t>NAD-dependent protein deacetylase sirtuin-1</t>
  </si>
  <si>
    <t>Protein YIPF6</t>
  </si>
  <si>
    <t>Isoform 2 of Protein Hook homolog 2</t>
  </si>
  <si>
    <t>Nucleoporin SEH1</t>
  </si>
  <si>
    <t>Zinc fingers and homeoboxes protein 1, isoform 2</t>
  </si>
  <si>
    <t>Mitochondrial assembly of ribosomal large subunit protein 1</t>
  </si>
  <si>
    <t>KIF1-binding protein</t>
  </si>
  <si>
    <t>Glucosamine 6-phosphate N-acetyltransferase</t>
  </si>
  <si>
    <t>Protein KTI12 homolog</t>
  </si>
  <si>
    <t>28S ribosomal protein S24, mitochondrial</t>
  </si>
  <si>
    <t>39S ribosomal protein L53, mitochondrial</t>
  </si>
  <si>
    <t>Trans-L-3-hydroxyproline dehydratase</t>
  </si>
  <si>
    <t>Molybdenum cofactor sulfurase</t>
  </si>
  <si>
    <t>Isoform 5 of E3 ubiquitin-protein ligase CHFR</t>
  </si>
  <si>
    <t>DAZ-associated protein 1</t>
  </si>
  <si>
    <t>Sodium/bile acid cotransporter 4</t>
  </si>
  <si>
    <t>Small glutamine-rich tetratricopeptide repeat-containing protein beta</t>
  </si>
  <si>
    <t>Coiled-coil domain-containing protein 51</t>
  </si>
  <si>
    <t>SAGA-associated factor 29 homolog</t>
  </si>
  <si>
    <t>Isoform 2 of Ribosomal RNA processing protein 36 homolog</t>
  </si>
  <si>
    <t>C1GALT1-specific chaperone 1</t>
  </si>
  <si>
    <t>RNA-binding protein 33</t>
  </si>
  <si>
    <t>Dysbindin</t>
  </si>
  <si>
    <t>Small integral membrane protein 12</t>
  </si>
  <si>
    <t>WD repeat-containing protein 34</t>
  </si>
  <si>
    <t>DnaJ homolog subfamily A member 3, mitochondrial</t>
  </si>
  <si>
    <t>Multivesicular body subunit 12A</t>
  </si>
  <si>
    <t>Pentatricopeptide repeat domain-containing protein 3, mitochondrial</t>
  </si>
  <si>
    <t>Cob(I)yrinic acid a,c-diamide adenosyltransferase, mitochondrial</t>
  </si>
  <si>
    <t>Probable inactive tRNA-specific adenosine deaminase-like protein 3</t>
  </si>
  <si>
    <t>Isoform 2 of Nuclear receptor-binding factor 2</t>
  </si>
  <si>
    <t>Isoform 3 of E3 ubiquitin-protein ligase TRIM11</t>
  </si>
  <si>
    <t>Interleukin-17 receptor A</t>
  </si>
  <si>
    <t>Coiled-coil domain-containing protein 97</t>
  </si>
  <si>
    <t>Enhancer of mRNA-decapping protein 3</t>
  </si>
  <si>
    <t>Protein RRNAD1</t>
  </si>
  <si>
    <t>Isoform 4 of Probable ATP-dependent RNA helicase DDX11</t>
  </si>
  <si>
    <t>Isoform 2 of Protein MEF2BNB</t>
  </si>
  <si>
    <t>Dynein light chain 2, cytoplasmic</t>
  </si>
  <si>
    <t>WD repeat-containing protein 89</t>
  </si>
  <si>
    <t>Putative uncharacterized protein encoded LINC00526</t>
  </si>
  <si>
    <t>Signal-induced proliferation-associated protein 1</t>
  </si>
  <si>
    <t>THO complex subunit 1</t>
  </si>
  <si>
    <t>DPH3 homolog</t>
  </si>
  <si>
    <t>tRNA (adenine(58)-N(1))-methyltransferase catalytic subunit TRMT61A</t>
  </si>
  <si>
    <t>UPF0361 protein C3orf37</t>
  </si>
  <si>
    <t>Charged multivesicular body protein 6</t>
  </si>
  <si>
    <t>Phosphoglucomutase-2</t>
  </si>
  <si>
    <t>Mediator of RNA polymerase II transcription subunit 8</t>
  </si>
  <si>
    <t>Coiled-coil domain-containing protein 104</t>
  </si>
  <si>
    <t>tRNA-dihydrouridine(47) synthase [NAD(P)(+)]-like</t>
  </si>
  <si>
    <t>Isoform 3 of OTU domain-containing protein 5</t>
  </si>
  <si>
    <t>Protein LTV1 homolog</t>
  </si>
  <si>
    <t>Serine dehydratase-like</t>
  </si>
  <si>
    <t>Pyridoxal phosphate phosphatase</t>
  </si>
  <si>
    <t>E3 ubiquitin-protein ligase RNF185</t>
  </si>
  <si>
    <t>DCN1-like protein 1</t>
  </si>
  <si>
    <t>Fumarylacetoacetate hydrolase domain-containing protein 2A</t>
  </si>
  <si>
    <t>SWI/SNF-related matrix-associated actin-dependent regulator of chromatin subfamily D member 1</t>
  </si>
  <si>
    <t>Target of EGR1 protein 1</t>
  </si>
  <si>
    <t>Probable ATP-dependent RNA helicase DDX27</t>
  </si>
  <si>
    <t>Uncharacterized protein C17orf59</t>
  </si>
  <si>
    <t>Isoform 2 of P antigen family member 5</t>
  </si>
  <si>
    <t>UNC119-binding protein C5orf30</t>
  </si>
  <si>
    <t>Methionine--tRNA ligase, mitochondrial</t>
  </si>
  <si>
    <t>Putative ataxin-7-like protein 3B</t>
  </si>
  <si>
    <t>Isoform 2 of Serine/threonine-protein kinase greatwall</t>
  </si>
  <si>
    <t>Vacuolar-sorting protein SNF8</t>
  </si>
  <si>
    <t>Isoform 2 of Unconventional myosin-XIX</t>
  </si>
  <si>
    <t>Isoform 4 of Uncharacterized protein C1orf159</t>
  </si>
  <si>
    <t>Isoform 2 of Tonsoku-like protein</t>
  </si>
  <si>
    <t>PDZ and LIM domain protein 5</t>
  </si>
  <si>
    <t>Cysteine-rich with EGF-like domain protein 1</t>
  </si>
  <si>
    <t>ERO1-like protein alpha</t>
  </si>
  <si>
    <t>UPF0562 protein C7orf55</t>
  </si>
  <si>
    <t>Receptor expression-enhancing protein 6</t>
  </si>
  <si>
    <t>Serine/threonine-protein phosphatase PGAM5, mitochondrial</t>
  </si>
  <si>
    <t>Integrator complex subunit 4</t>
  </si>
  <si>
    <t>DDRGK domain-containing protein 1</t>
  </si>
  <si>
    <t>Selenocysteine lyase</t>
  </si>
  <si>
    <t>Far upstream element-binding protein 3</t>
  </si>
  <si>
    <t>Splicing factor 45</t>
  </si>
  <si>
    <t>Protein phosphatase 1 regulatory subunit 16A</t>
  </si>
  <si>
    <t>Cytochrome c oxidase assembly protein COX14</t>
  </si>
  <si>
    <t>Williams-Beuren syndrome chromosomal region 16 protein</t>
  </si>
  <si>
    <t>Probable asparagine--tRNA ligase, mitochondrial</t>
  </si>
  <si>
    <t>Succinyl-CoA ligase [GDP-forming] subunit beta, mitochondrial</t>
  </si>
  <si>
    <t>Mannose-1-phosphate guanyltransferase alpha</t>
  </si>
  <si>
    <t>Zinc finger protein 414</t>
  </si>
  <si>
    <t>Alpha/beta hydrolase domain-containing protein 14B</t>
  </si>
  <si>
    <t>Peptide-N(4)-(N-acetyl-beta-glucosaminyl)asparagine amidase</t>
  </si>
  <si>
    <t>Up-regulated during skeletal muscle growth protein 5</t>
  </si>
  <si>
    <t>Kinetochore-associated protein NSL1 homolog</t>
  </si>
  <si>
    <t>Isoform 2 of Serine/Arginine-related protein 53</t>
  </si>
  <si>
    <t>THO complex subunit 3</t>
  </si>
  <si>
    <t>Isoform 2 of E3 ubiquitin-protein ligase Itchy homolog</t>
  </si>
  <si>
    <t>Leucine-rich repeats and immunoglobulin-like domains protein 1</t>
  </si>
  <si>
    <t>Conserved oligomeric Golgi complex subunit 3</t>
  </si>
  <si>
    <t>Isoform 2 of Hypermethylated in cancer 2 protein</t>
  </si>
  <si>
    <t>Isoform 2 of CDK5 regulatory subunit-associated protein 3</t>
  </si>
  <si>
    <t>Isoform 2 of Vam6/Vps39-like protein</t>
  </si>
  <si>
    <t>ELL-associated factor 1</t>
  </si>
  <si>
    <t>Coiled-coil domain-containing protein 132</t>
  </si>
  <si>
    <t>Deubiquitinating protein VCIP135</t>
  </si>
  <si>
    <t>Protein disulfide-isomerase TMX3</t>
  </si>
  <si>
    <t>Chromosome alignment-maintaining phosphoprotein 1</t>
  </si>
  <si>
    <t>Isoform 2 of E3 ubiquitin-protein ligase ZFP91</t>
  </si>
  <si>
    <t>Transcription factor BTF3 homolog 4</t>
  </si>
  <si>
    <t>Isoform 2 of E3 ubiquitin-protein ligase RNF170</t>
  </si>
  <si>
    <t>Isoform 2 of Cleft lip and palate transmembrane protein 1-like protein</t>
  </si>
  <si>
    <t>Lymphokine-activated killer T-cell-originated protein kinase</t>
  </si>
  <si>
    <t>DnaJ homolog subfamily C member 1</t>
  </si>
  <si>
    <t>Small integral membrane protein 8</t>
  </si>
  <si>
    <t>Zinc finger protein 512B</t>
  </si>
  <si>
    <t>Exocyst complex component 2</t>
  </si>
  <si>
    <t>Cytosolic non-specific dipeptidase</t>
  </si>
  <si>
    <t>Zinc finger RNA-binding protein</t>
  </si>
  <si>
    <t>Isoform 3 of E1A-binding protein p400</t>
  </si>
  <si>
    <t>Isoform 2 of Sorting nexin-27</t>
  </si>
  <si>
    <t>Isoform 2 of Protein arginine N-methyltransferase 6</t>
  </si>
  <si>
    <t>Intraflagellar transport protein 74 homolog</t>
  </si>
  <si>
    <t>Tripartite motif-containing protein 47</t>
  </si>
  <si>
    <t>Dehydrogenase/reductase SDR family member 1</t>
  </si>
  <si>
    <t>UBX domain-containing protein 10</t>
  </si>
  <si>
    <t>Protein C9orf72</t>
  </si>
  <si>
    <t>Isoform 2 of Cyclic nucleotide-binding domain-containing protein 2</t>
  </si>
  <si>
    <t>Protein PRRC1</t>
  </si>
  <si>
    <t>Putative nuclease HARBI1</t>
  </si>
  <si>
    <t>Hippocampus abundant transcript 1 protein</t>
  </si>
  <si>
    <t>Isoform 4 of F-box/LRR-repeat protein 18</t>
  </si>
  <si>
    <t>Melanoma-associated antigen G1</t>
  </si>
  <si>
    <t>Protein HEXIM2</t>
  </si>
  <si>
    <t>Isoform 2 of Transmembrane protein 68</t>
  </si>
  <si>
    <t>WD repeat-containing protein 92</t>
  </si>
  <si>
    <t>Isoform 2 of Uncharacterized protein C7orf26</t>
  </si>
  <si>
    <t>Isoform 2 of AP-4 complex accessory subunit tepsin</t>
  </si>
  <si>
    <t>Tetratricopeptide repeat protein 14</t>
  </si>
  <si>
    <t>Isoform 2 of Lysophospholipid acyltransferase 7</t>
  </si>
  <si>
    <t>Isoform 4 of Dedicator of cytokinesis protein 7</t>
  </si>
  <si>
    <t>Rab-interacting lysosomal protein</t>
  </si>
  <si>
    <t>LisH domain-containing protein FOPNL</t>
  </si>
  <si>
    <t>Sideroflexin-2</t>
  </si>
  <si>
    <t>Zinc finger protein 830</t>
  </si>
  <si>
    <t>Zinc finger matrin-type protein 2</t>
  </si>
  <si>
    <t>Sodium channel and clathrin linker 1</t>
  </si>
  <si>
    <t>Coiled-coil domain-containing protein 115</t>
  </si>
  <si>
    <t>Nucleosome assembly protein 1-like 5</t>
  </si>
  <si>
    <t>Ankyrin repeat domain-containing protein 27</t>
  </si>
  <si>
    <t>Isoform 2 of Putative methyltransferase NSUN5</t>
  </si>
  <si>
    <t>Isoform 2 of Regulation of nuclear pre-mRNA domain-containing protein 1A</t>
  </si>
  <si>
    <t>Arf-GAP with GTPase, ANK repeat and PH domain-containing protein 3</t>
  </si>
  <si>
    <t>Isoform 3 of Arf-GAP with Rho-GAP domain, ANK repeat and PH domain-containing protein 1</t>
  </si>
  <si>
    <t>Importin-9</t>
  </si>
  <si>
    <t>Discoidin, CUB and LCCL domain-containing protein 2</t>
  </si>
  <si>
    <t>Methylmalonyl-CoA epimerase, mitochondrial</t>
  </si>
  <si>
    <t>Isoform 3 of Bcl-2-binding component 3</t>
  </si>
  <si>
    <t>RNA-binding protein 14</t>
  </si>
  <si>
    <t>Erythroid membrane-associated protein</t>
  </si>
  <si>
    <t>RING finger and CHY zinc finger domain-containing protein 1</t>
  </si>
  <si>
    <t>Isoform 2 of E3 ubiquitin-protein ligase NEDD4-like</t>
  </si>
  <si>
    <t>Isoform 3 of Protein quaking</t>
  </si>
  <si>
    <t>Isoform 6 of Protein quaking</t>
  </si>
  <si>
    <t>Isoform 4 of Serine/threonine-protein kinase Nek1</t>
  </si>
  <si>
    <t>Pseudouridylate synthase 7 homolog</t>
  </si>
  <si>
    <t>Isoform 2 of CCA tRNA nucleotidyltransferase 1, mitochondrial</t>
  </si>
  <si>
    <t>Isoform 2 of Transmembrane protein 237</t>
  </si>
  <si>
    <t>Alpha-ketoglutarate-dependent dioxygenase alkB homolog 3</t>
  </si>
  <si>
    <t>Serine/threonine-protein phosphatase 1 regulatory subunit 10</t>
  </si>
  <si>
    <t>MHC class I polypeptide-related sequence A</t>
  </si>
  <si>
    <t>Isoform 2 of DEP domain-containing protein 7</t>
  </si>
  <si>
    <t>Myotubularin-related protein 9</t>
  </si>
  <si>
    <t>Vacuolar protein sorting-associated protein 35</t>
  </si>
  <si>
    <t>Transcriptional activator protein Pur-beta</t>
  </si>
  <si>
    <t>Exportin-6</t>
  </si>
  <si>
    <t>Isoform 6 of Membrane-associated guanylate kinase, WW and PDZ domain-containing protein 1</t>
  </si>
  <si>
    <t>Sperm-associated antigen 5</t>
  </si>
  <si>
    <t>Nucleus accumbens-associated protein 1</t>
  </si>
  <si>
    <t>Isoform 3 of Sorting nexin-18</t>
  </si>
  <si>
    <t>BRCA1-A complex subunit RAP80</t>
  </si>
  <si>
    <t>Isoform 4 of Vacuolar protein sorting-associated protein 13A</t>
  </si>
  <si>
    <t>Isoform 3 of Mediator of RNA polymerase II transcription subunit 15</t>
  </si>
  <si>
    <t>Elongation factor G, mitochondrial</t>
  </si>
  <si>
    <t>Twinkle protein, mitochondrial</t>
  </si>
  <si>
    <t>Isoform 6 of Calcium/calmodulin-dependent protein kinase kinase 2</t>
  </si>
  <si>
    <t>Trimethylguanosine synthase</t>
  </si>
  <si>
    <t>NudC domain-containing protein 1</t>
  </si>
  <si>
    <t>Isoform 9 of Protein LAP2</t>
  </si>
  <si>
    <t>Isoform 4 of Formin-binding protein 1</t>
  </si>
  <si>
    <t>Isoform 3 of UPF0585 protein C16orf13</t>
  </si>
  <si>
    <t>Ribosomal protein S6 kinase delta-1</t>
  </si>
  <si>
    <t>TP53-regulating kinase</t>
  </si>
  <si>
    <t>GPI transamidase component PIG-S</t>
  </si>
  <si>
    <t>Isoform 2 of ATPase WRNIP1</t>
  </si>
  <si>
    <t>Ran-binding protein 9</t>
  </si>
  <si>
    <t>Chloride channel CLIC-like protein 1</t>
  </si>
  <si>
    <t>Ubiquitin-like protein 7</t>
  </si>
  <si>
    <t>Cyclin-L2</t>
  </si>
  <si>
    <t>Pleckstrin homology domain-containing family F member 1</t>
  </si>
  <si>
    <t>Structural maintenance of chromosomes protein 6</t>
  </si>
  <si>
    <t>BTB/POZ domain-containing protein KCTD15</t>
  </si>
  <si>
    <t>Isoform 2 of Transmembrane protein 209</t>
  </si>
  <si>
    <t>Cytochrome P450 2S1</t>
  </si>
  <si>
    <t>Isoform 3 of Protein IWS1 homolog</t>
  </si>
  <si>
    <t>Paired amphipathic helix protein Sin3a</t>
  </si>
  <si>
    <t>2-aminoethanethiol dioxygenase</t>
  </si>
  <si>
    <t>Isoform 2 of CDK5 regulatory subunit-associated protein 1</t>
  </si>
  <si>
    <t>Isoform 2 of Putative RNA-binding protein 15</t>
  </si>
  <si>
    <t>RUN and FYVE domain-containing protein 1</t>
  </si>
  <si>
    <t>Msx2-interacting protein</t>
  </si>
  <si>
    <t>Bifunctional polynucleotide phosphatase/kinase</t>
  </si>
  <si>
    <t>MMS19 nucleotide excision repair protein homolog</t>
  </si>
  <si>
    <t>E3 ubiquitin-protein ligase UHRF1</t>
  </si>
  <si>
    <t>Isoform 2 of Niban-like protein 1</t>
  </si>
  <si>
    <t>Isoform 3 of ATP-dependent zinc metalloprotease YME1L1</t>
  </si>
  <si>
    <t>Regulator of microtubule dynamics protein 3</t>
  </si>
  <si>
    <t>Transcription factor 12</t>
  </si>
  <si>
    <t>C-Myc-binding protein</t>
  </si>
  <si>
    <t>Tubulin-folding cofactor B</t>
  </si>
  <si>
    <t>Proteasome subunit beta type-7</t>
  </si>
  <si>
    <t>Ethanolamine-phosphate cytidylyltransferase</t>
  </si>
  <si>
    <t>Cell division cycle 5-like protein</t>
  </si>
  <si>
    <t>26S proteasome non-ATPase regulatory subunit 1</t>
  </si>
  <si>
    <t>Stromal cell-derived factor 2</t>
  </si>
  <si>
    <t>Prefoldin subunit 5</t>
  </si>
  <si>
    <t>Platelet-activating factor acetylhydrolase 2, cytoplasmic</t>
  </si>
  <si>
    <t>E3 ubiquitin-protein ligase RING2</t>
  </si>
  <si>
    <t>Protein DJ-1</t>
  </si>
  <si>
    <t>GAS2-like protein 1</t>
  </si>
  <si>
    <t>Isoform 2 of Eyes absent homolog 3</t>
  </si>
  <si>
    <t>Sialidase-1</t>
  </si>
  <si>
    <t>Sortilin</t>
  </si>
  <si>
    <t>Synaptic vesicle membrane protein VAT-1 homolog</t>
  </si>
  <si>
    <t>Perilipin-2</t>
  </si>
  <si>
    <t>DnaJ homolog subfamily C member 2</t>
  </si>
  <si>
    <t>Isoform 2 of DnaJ homolog subfamily C member 2</t>
  </si>
  <si>
    <t>M-phase phosphoprotein 8</t>
  </si>
  <si>
    <t>Nuclear pore complex protein Nup88</t>
  </si>
  <si>
    <t>Isoform 2 of Plakophilin-4</t>
  </si>
  <si>
    <t>Phosphoinositide 3-kinase regulatory subunit 4</t>
  </si>
  <si>
    <t>Ribonucleases P/MRP protein subunit POP1</t>
  </si>
  <si>
    <t>Max-binding protein MNT</t>
  </si>
  <si>
    <t>Protein S100-A13</t>
  </si>
  <si>
    <t>Translin-associated protein X</t>
  </si>
  <si>
    <t>Tetratricopeptide repeat protein 1</t>
  </si>
  <si>
    <t>DnaJ homolog subfamily C member 7</t>
  </si>
  <si>
    <t>Cell division cycle-associated protein 3</t>
  </si>
  <si>
    <t>Protein C10</t>
  </si>
  <si>
    <t>Pre-mRNA-splicing factor 18</t>
  </si>
  <si>
    <t>Isoform 4 of Membrane-associated tyrosine- and threonine-specific cdc2-inhibitory kinase</t>
  </si>
  <si>
    <t>Calcineurin B homologous protein 1</t>
  </si>
  <si>
    <t>Kinesin-like protein KIF2C</t>
  </si>
  <si>
    <t>Isoform 4 of Ataxin-2</t>
  </si>
  <si>
    <t>Docking protein 1</t>
  </si>
  <si>
    <t>Methionine synthase</t>
  </si>
  <si>
    <t>3-hydroxyacyl-CoA dehydrogenase type-2</t>
  </si>
  <si>
    <t>Isoform 4 of Sigma non-opioid intracellular receptor 1</t>
  </si>
  <si>
    <t>Nucleosome assembly protein 1-like 4</t>
  </si>
  <si>
    <t>Isoform 2 of Microsomal glutathione S-transferase 2</t>
  </si>
  <si>
    <t>Gamma-soluble NSF attachment protein</t>
  </si>
  <si>
    <t>Thioredoxin, mitochondrial</t>
  </si>
  <si>
    <t>ATP synthase subunit s, mitochondrial</t>
  </si>
  <si>
    <t>Isoform 2 of Amyloid beta A4 precursor protein-binding family A member 2</t>
  </si>
  <si>
    <t>Mitochondrial intermediate peptidase</t>
  </si>
  <si>
    <t>Transmembrane 9 superfamily member 2</t>
  </si>
  <si>
    <t>Equilibrative nucleoside transporter 1</t>
  </si>
  <si>
    <t>Calcium and integrin-binding protein 1</t>
  </si>
  <si>
    <t>T-complex protein 1 subunit eta</t>
  </si>
  <si>
    <t>AT-rich interactive domain-containing protein 3A</t>
  </si>
  <si>
    <t>Isoform 3 of HAUS augmin-like complex subunit 7</t>
  </si>
  <si>
    <t>Histone H2A type 1-J</t>
  </si>
  <si>
    <t>Tyrosine-protein phosphatase non-receptor type 18</t>
  </si>
  <si>
    <t>Dual specificity protein phosphatase 9</t>
  </si>
  <si>
    <t>Endophilin-A2</t>
  </si>
  <si>
    <t>Isoform 4 of Endophilin-A3</t>
  </si>
  <si>
    <t>Serine/threonine-protein kinase VRK1</t>
  </si>
  <si>
    <t>Growth/differentiation factor 15</t>
  </si>
  <si>
    <t>Isoform 4 of A-kinase anchor protein 9</t>
  </si>
  <si>
    <t>Protein NipSnap homolog 1</t>
  </si>
  <si>
    <t>Condensin complex subunit 3</t>
  </si>
  <si>
    <t>Actin-related protein 2/3 complex subunit 5-like protein</t>
  </si>
  <si>
    <t>Polyadenylate-binding protein-interacting protein 2</t>
  </si>
  <si>
    <t>Zinc phosphodiesterase ELAC protein 2</t>
  </si>
  <si>
    <t>Uncharacterized protein C19orf43</t>
  </si>
  <si>
    <t>Glutamate-rich WD repeat-containing protein 1</t>
  </si>
  <si>
    <t>O-acetyl-ADP-ribose deacetylase MACROD1</t>
  </si>
  <si>
    <t>Transcription factor 25</t>
  </si>
  <si>
    <t>Kelch domain-containing protein 3</t>
  </si>
  <si>
    <t>Evolutionarily conserved signaling intermediate in Toll pathway, mitochondrial</t>
  </si>
  <si>
    <t>Methylosome protein 50</t>
  </si>
  <si>
    <t>Isoform 2 of Uncharacterized protein C17orf62</t>
  </si>
  <si>
    <t>Diphthamide biosynthesis protein 2</t>
  </si>
  <si>
    <t>Peroxisomal NADH pyrophosphatase NUDT12</t>
  </si>
  <si>
    <t>Isoform 2 of Eukaryotic translation initiation factor 2-alpha kinase 1</t>
  </si>
  <si>
    <t>Isoform 2 of Phosphatidate phosphatase LPIN3</t>
  </si>
  <si>
    <t>Mitochondrial genome maintenance exonuclease 1</t>
  </si>
  <si>
    <t>Golgi reassembly-stacking protein 1</t>
  </si>
  <si>
    <t>Isoform 2 of Hephaestin</t>
  </si>
  <si>
    <t>FYVE and coiled-coil domain-containing protein 1</t>
  </si>
  <si>
    <t>Isoform 2 of Mitochondrial 2-oxodicarboxylate carrier</t>
  </si>
  <si>
    <t>Rhox homeobox family member 2</t>
  </si>
  <si>
    <t>Acyl-CoA-binding domain-containing protein 6</t>
  </si>
  <si>
    <t>Coronin-1B</t>
  </si>
  <si>
    <t>Thioredoxin domain-containing protein 17</t>
  </si>
  <si>
    <t>BUD13 homolog</t>
  </si>
  <si>
    <t>Calcineurin-like phosphoesterase domain-containing protein 1</t>
  </si>
  <si>
    <t>Vacuolar protein-sorting-associated protein 25</t>
  </si>
  <si>
    <t>39S ribosomal protein L45, mitochondrial</t>
  </si>
  <si>
    <t>45 kDa calcium-binding protein</t>
  </si>
  <si>
    <t>Isoform 2 of Serine/arginine-rich splicing factor 8</t>
  </si>
  <si>
    <t>Programmed cell death protein 2-like</t>
  </si>
  <si>
    <t>Proteasomal ATPase-associated factor 1</t>
  </si>
  <si>
    <t>Isoform 2 of Partner of Y14 and mago</t>
  </si>
  <si>
    <t>Apoptosis-inducing factor 2</t>
  </si>
  <si>
    <t>Zinc finger protein with KRAB and SCAN domains 3</t>
  </si>
  <si>
    <t>Isoform 2 of ADP-dependent glucokinase</t>
  </si>
  <si>
    <t>G patch domain-containing protein 1</t>
  </si>
  <si>
    <t>Serine/threonine-protein kinase RIO1</t>
  </si>
  <si>
    <t>Mitochondrial nucleoid factor 1</t>
  </si>
  <si>
    <t>Migration and invasion enhancer 1</t>
  </si>
  <si>
    <t>DNA replication complex GINS protein SLD5</t>
  </si>
  <si>
    <t>Suppressor of IKBKE 1</t>
  </si>
  <si>
    <t>Protein pelota homolog</t>
  </si>
  <si>
    <t>DNA replication complex GINS protein PSF3</t>
  </si>
  <si>
    <t>E3 ubiquitin-protein ligase TRIM56</t>
  </si>
  <si>
    <t>Anaphase-promoting complex subunit 13</t>
  </si>
  <si>
    <t>Endoplasmic reticulum resident protein 44</t>
  </si>
  <si>
    <t>Autophagy-related protein 101</t>
  </si>
  <si>
    <t>Cancer-related nucleoside-triphosphatase</t>
  </si>
  <si>
    <t>Uncharacterized protein C19orf52</t>
  </si>
  <si>
    <t>Protease-associated domain-containing protein 1</t>
  </si>
  <si>
    <t>Translational activator of cytochrome c oxidase 1</t>
  </si>
  <si>
    <t>Haloacid dehalogenase-like hydrolase domain-containing protein 3</t>
  </si>
  <si>
    <t>Gamma-tubulin complex component 2</t>
  </si>
  <si>
    <t>Uncharacterized protein C17orf80</t>
  </si>
  <si>
    <t>Isoform 2 of Extended synaptotagmin-1</t>
  </si>
  <si>
    <t>Solute carrier family 25 member 33</t>
  </si>
  <si>
    <t>Protein fem-1 homolog A</t>
  </si>
  <si>
    <t>Ubiquitin-associated domain-containing protein 1</t>
  </si>
  <si>
    <t>Protein YIPF4</t>
  </si>
  <si>
    <t>N-alpha-acetyltransferase 11</t>
  </si>
  <si>
    <t>tRNA-splicing endonuclease subunit Sen34</t>
  </si>
  <si>
    <t>Isoform 2 of EF-hand calcium-binding domain-containing protein 4B</t>
  </si>
  <si>
    <t>Coiled-coil-helix-coiled-coil-helix domain-containing protein 5</t>
  </si>
  <si>
    <t>Protein canopy homolog 3</t>
  </si>
  <si>
    <t>Chitobiosyldiphosphodolichol beta-mannosyltransferase</t>
  </si>
  <si>
    <t>LIM domain-containing protein 2</t>
  </si>
  <si>
    <t>Isoform 2 of HAUS augmin-like complex subunit 8</t>
  </si>
  <si>
    <t>Alpha-ketoglutarate-dependent dioxygenase alkB homolog 7</t>
  </si>
  <si>
    <t>NEDD4 family-interacting protein 1</t>
  </si>
  <si>
    <t>Proteasome assembly chaperone 3</t>
  </si>
  <si>
    <t>COP9 signalosome complex subunit 4</t>
  </si>
  <si>
    <t>Isoform 2 of WW domain-containing adapter protein with coiled-coil</t>
  </si>
  <si>
    <t>Death-inducer obliterator 1</t>
  </si>
  <si>
    <t>Isoform 2 of Mini-chromosome maintenance complex-binding protein</t>
  </si>
  <si>
    <t>DCN1-like protein 5</t>
  </si>
  <si>
    <t>THUMP domain-containing protein 2</t>
  </si>
  <si>
    <t>RNMT-activating mini protein</t>
  </si>
  <si>
    <t>Acidic leucine-rich nuclear phosphoprotein 32 family member E</t>
  </si>
  <si>
    <t>Mediator of RNA polymerase II transcription subunit 10</t>
  </si>
  <si>
    <t>Phosphatidylinositol 4-kinase type 2-alpha</t>
  </si>
  <si>
    <t>Transmembrane protein 43</t>
  </si>
  <si>
    <t>WD repeat-containing protein 85</t>
  </si>
  <si>
    <t>Plasma alpha-L-fucosidase</t>
  </si>
  <si>
    <t>Protein FAM203A</t>
  </si>
  <si>
    <t>Isoform 8 of Dehydrogenase/reductase SDR family member 4</t>
  </si>
  <si>
    <t>NADH dehydrogenase [ubiquinone] 1 alpha subcomplex assembly factor 3</t>
  </si>
  <si>
    <t>Isoform 4 of Multiple myeloma tumor-associated protein 2</t>
  </si>
  <si>
    <t>Deoxyhypusine hydroxylase</t>
  </si>
  <si>
    <t>Uncharacterized protein C11orf84</t>
  </si>
  <si>
    <t>Isoform 2 of tRNA-specific adenosine deaminase 1</t>
  </si>
  <si>
    <t>Isoform 2 of MAP kinase-interacting serine/threonine-protein kinase 1</t>
  </si>
  <si>
    <t>Mediator of RNA polymerase II transcription subunit 18</t>
  </si>
  <si>
    <t>Iron-sulfur cluster assembly 1 homolog, mitochondrial</t>
  </si>
  <si>
    <t>Tubulin beta-6 chain</t>
  </si>
  <si>
    <t>Uncharacterized protein C9orf142</t>
  </si>
  <si>
    <t>DNA-directed RNA polymerase III subunit RPC3</t>
  </si>
  <si>
    <t>Isoform 2 of Heterogeneous nuclear ribonucleoprotein U-like protein 1</t>
  </si>
  <si>
    <t>Isoform 3 of Protein misato homolog 1</t>
  </si>
  <si>
    <t>Ribonuclease P protein subunit p25</t>
  </si>
  <si>
    <t>Coiled-coil domain-containing protein 28B</t>
  </si>
  <si>
    <t>Isoform 3 of Oxidoreductase HTATIP2</t>
  </si>
  <si>
    <t>Probable ATP-dependent RNA helicase DDX23</t>
  </si>
  <si>
    <t>Telomerase Cajal body protein 1</t>
  </si>
  <si>
    <t>3-hydroxybutyrate dehydrogenase type 2</t>
  </si>
  <si>
    <t>Protein FAM195A</t>
  </si>
  <si>
    <t>UPF0184 protein C9orf16</t>
  </si>
  <si>
    <t>TNF receptor-associated factor 4</t>
  </si>
  <si>
    <t>Uncharacterized protein C1orf50</t>
  </si>
  <si>
    <t>Methylthioribose-1-phosphate isomerase</t>
  </si>
  <si>
    <t>Monoacylglycerol lipase ABHD6</t>
  </si>
  <si>
    <t>WD repeat-containing protein 18</t>
  </si>
  <si>
    <t>Vesicle-associated membrane protein 8</t>
  </si>
  <si>
    <t>THUMP domain-containing protein 3</t>
  </si>
  <si>
    <t>1,2-dihydroxy-3-keto-5-methylthiopentene dioxygenase</t>
  </si>
  <si>
    <t>Isoform 2 of RING finger protein 126</t>
  </si>
  <si>
    <t>Isoform 2 of Centrosome-associated protein CEP250</t>
  </si>
  <si>
    <t>Trans-2-enoyl-CoA reductase, mitochondrial</t>
  </si>
  <si>
    <t>ER membrane protein complex subunit 6</t>
  </si>
  <si>
    <t>N-terminal Xaa-Pro-Lys N-methyltransferase 1</t>
  </si>
  <si>
    <t>Katanin p80 WD40 repeat-containing subunit B1</t>
  </si>
  <si>
    <t>Tubulin beta-2B chain</t>
  </si>
  <si>
    <t>Sister chromatid cohesion protein DCC1</t>
  </si>
  <si>
    <t>Ashwin</t>
  </si>
  <si>
    <t>Transmembrane protein 109</t>
  </si>
  <si>
    <t>Protein PBDC1</t>
  </si>
  <si>
    <t>Phosphatidylserine synthase 2</t>
  </si>
  <si>
    <t>Nucleolar complex protein 4 homolog</t>
  </si>
  <si>
    <t>Isoform 3 of U3 small nucleolar RNA-associated protein 14 homolog A</t>
  </si>
  <si>
    <t>Dual specificity protein phosphatase 23</t>
  </si>
  <si>
    <t>Transmembrane emp24 domain-containing protein 9</t>
  </si>
  <si>
    <t>Selenoprotein O</t>
  </si>
  <si>
    <t>Protein DPCD</t>
  </si>
  <si>
    <t>Spermatogenesis-associated protein 5-like protein 1</t>
  </si>
  <si>
    <t>Serine/threonine-protein kinase RIO2</t>
  </si>
  <si>
    <t>tRNA (adenine(58)-N(1))-methyltransferase, mitochondrial</t>
  </si>
  <si>
    <t>Mitochondrial import inner membrane translocase subunit Tim21</t>
  </si>
  <si>
    <t>Specifically androgen-regulated gene protein</t>
  </si>
  <si>
    <t>Kinesin-like protein KIFC1</t>
  </si>
  <si>
    <t>Nuclear pore complex protein Nup85</t>
  </si>
  <si>
    <t>Elongation of very long chain fatty acids protein 1</t>
  </si>
  <si>
    <t>DET1- and DDB1-associated protein 1</t>
  </si>
  <si>
    <t>Isoform 2 of HIRA-interacting protein 3</t>
  </si>
  <si>
    <t>Coiled-coil domain-containing protein 94</t>
  </si>
  <si>
    <t>Isoform 2 of ADP-ribose pyrophosphatase, mitochondrial</t>
  </si>
  <si>
    <t>Threonine--tRNA ligase, mitochondrial</t>
  </si>
  <si>
    <t>Acetyl-CoA acetyltransferase, cytosolic</t>
  </si>
  <si>
    <t>Replication initiator 1</t>
  </si>
  <si>
    <t>RNA-binding protein 4</t>
  </si>
  <si>
    <t>Sodium channel modifier 1</t>
  </si>
  <si>
    <t>FUN14 domain-containing protein 2</t>
  </si>
  <si>
    <t>RNA polymerase II-associated protein 1</t>
  </si>
  <si>
    <t>Splicing factor 3B subunit 5</t>
  </si>
  <si>
    <t>Sideroflexin-3</t>
  </si>
  <si>
    <t>Poly(A) polymerase gamma</t>
  </si>
  <si>
    <t>Meiotic nuclear division protein 1 homolog</t>
  </si>
  <si>
    <t>Kanadaptin</t>
  </si>
  <si>
    <t>Isoform 2 of Single-stranded DNA-binding protein 3</t>
  </si>
  <si>
    <t>Single stranded DNA binding protein-4</t>
  </si>
  <si>
    <t>Isoform 2 of GTP-binding protein 2</t>
  </si>
  <si>
    <t>Protein LSM14 homolog B</t>
  </si>
  <si>
    <t>Fanconi anemia group J protein</t>
  </si>
  <si>
    <t>Isoform 9 of Sorbin and SH3 domain-containing protein 1</t>
  </si>
  <si>
    <t>Histidine triad nucleotide-binding protein 2, mitochondrial</t>
  </si>
  <si>
    <t>Caspase recruitment domain-containing protein 6</t>
  </si>
  <si>
    <t>Sphingosine-1-phosphate phosphatase 1</t>
  </si>
  <si>
    <t>Oxysterol-binding protein-related protein 11</t>
  </si>
  <si>
    <t>Bcl-2-binding component 3</t>
  </si>
  <si>
    <t>N-alpha-acetyltransferase 15, NatA auxiliary subunit</t>
  </si>
  <si>
    <t>Krueppel-like factor 16</t>
  </si>
  <si>
    <t>Bcl-2-like protein 13</t>
  </si>
  <si>
    <t>Hemogen</t>
  </si>
  <si>
    <t>Caspase recruitment domain-containing protein 11</t>
  </si>
  <si>
    <t>Solute carrier family 12 member 9</t>
  </si>
  <si>
    <t>Isoform 4 of Serrate RNA effector molecule homolog</t>
  </si>
  <si>
    <t>Queuine tRNA-ribosyltransferase</t>
  </si>
  <si>
    <t>Isoform 2 of Nucleolar and spindle-associated protein 1</t>
  </si>
  <si>
    <t>Uncharacterized protein C14orf142</t>
  </si>
  <si>
    <t>Isoform 1 of Cat eye syndrome critical region protein 5</t>
  </si>
  <si>
    <t>Isoform 2 of Fanconi anemia group D2 protein</t>
  </si>
  <si>
    <t>Inosine triphosphate pyrophosphatase</t>
  </si>
  <si>
    <t>Protein RTF2 homolog</t>
  </si>
  <si>
    <t>Charged multivesicular body protein 4a</t>
  </si>
  <si>
    <t>Eukaryotic translation initiation factor 2A</t>
  </si>
  <si>
    <t>Polymerase delta-interacting protein 3</t>
  </si>
  <si>
    <t>Guanine nucleotide-binding protein subunit beta-like protein 1</t>
  </si>
  <si>
    <t>Isoform 2 of Alpha-(1,6)-fucosyltransferase</t>
  </si>
  <si>
    <t>39S ribosomal protein L32, mitochondrial</t>
  </si>
  <si>
    <t>39S ribosomal protein L1, mitochondrial</t>
  </si>
  <si>
    <t>Partitioning defective 6 homolog beta</t>
  </si>
  <si>
    <t>Hyccin</t>
  </si>
  <si>
    <t>Sulfiredoxin-1</t>
  </si>
  <si>
    <t>Neurolysin, mitochondrial</t>
  </si>
  <si>
    <t>Centrosomal protein of 41 kDa</t>
  </si>
  <si>
    <t>Histone-lysine N-methyltransferase SETD2</t>
  </si>
  <si>
    <t>Isoform 4 of TBC1 domain family member 2A</t>
  </si>
  <si>
    <t>Isoform 2 of Pantothenate kinase 2, mitochondrial</t>
  </si>
  <si>
    <t>Isoform 2 of FERM domain-containing protein 8</t>
  </si>
  <si>
    <t>Isoform 4 of Histone-lysine N-methyltransferase NSD3</t>
  </si>
  <si>
    <t>Putative GRINL1B complex locus protein 2</t>
  </si>
  <si>
    <t>Kinetochore protein Nuf2</t>
  </si>
  <si>
    <t>39S ribosomal protein L37, mitochondrial</t>
  </si>
  <si>
    <t>tRNA pseudouridine(38/39) synthase</t>
  </si>
  <si>
    <t>Tether containing UBX domain for GLUT4</t>
  </si>
  <si>
    <t>Isoform 3 of Oxysterol-binding protein-related protein 8</t>
  </si>
  <si>
    <t>Isoform 4 of Oxysterol-binding protein-related protein 6</t>
  </si>
  <si>
    <t>WD repeat-containing protein 11</t>
  </si>
  <si>
    <t>Isoform 2 of Regulator of nonsense transcripts 3B</t>
  </si>
  <si>
    <t>F-box-like/WD repeat-containing protein TBL1XR1</t>
  </si>
  <si>
    <t>Ubiquitin-like protein 5</t>
  </si>
  <si>
    <t>Group XIIA secretory phospholipase A2</t>
  </si>
  <si>
    <t>NKG2D ligand 2</t>
  </si>
  <si>
    <t>NKG2D ligand 1</t>
  </si>
  <si>
    <t>Protein Niban</t>
  </si>
  <si>
    <t>Uridine-cytidine kinase 2</t>
  </si>
  <si>
    <t>Isoform 2 of Apoptosis inhibitor 5</t>
  </si>
  <si>
    <t>Protein sprouty homolog 4</t>
  </si>
  <si>
    <t>Protein dpy-30 homolog</t>
  </si>
  <si>
    <t>Isoform Beta of Tripartite motif-containing protein 4</t>
  </si>
  <si>
    <t>Protein FAM117A</t>
  </si>
  <si>
    <t>Alpha-ketoglutarate-dependent dioxygenase FTO</t>
  </si>
  <si>
    <t>Isoform 2 of Palmitoyltransferase ZDHHC5</t>
  </si>
  <si>
    <t>Transport and Golgi organization 6 homolog</t>
  </si>
  <si>
    <t>182 kDa tankyrase-1-binding protein</t>
  </si>
  <si>
    <t>Semaphorin-4C</t>
  </si>
  <si>
    <t>Isoform 4 of Activating molecule in BECN1-regulated autophagy protein 1</t>
  </si>
  <si>
    <t>Ubiquitin-conjugating enzyme E2 O</t>
  </si>
  <si>
    <t>Protein zyg-11 homolog B</t>
  </si>
  <si>
    <t>Centrosomal protein of 44 kDa</t>
  </si>
  <si>
    <t>Myotubularin-related protein 12</t>
  </si>
  <si>
    <t>pre-mRNA 3 end processing protein WDR33</t>
  </si>
  <si>
    <t>Ribosome biogenesis protein WDR12</t>
  </si>
  <si>
    <t>Actin-related protein 6</t>
  </si>
  <si>
    <t>UPF0687 protein C20orf27</t>
  </si>
  <si>
    <t>Neurensin-2</t>
  </si>
  <si>
    <t>PITH domain-containing protein 1</t>
  </si>
  <si>
    <t>Derlin-2</t>
  </si>
  <si>
    <t>COMM domain-containing protein 5</t>
  </si>
  <si>
    <t>Isoform 2 of DNA-directed RNA polymerase I subunit RPA49</t>
  </si>
  <si>
    <t>WD repeat-containing protein 61</t>
  </si>
  <si>
    <t>Isoform 2 of SRA stem-loop-interacting RNA-binding protein, mitochondrial</t>
  </si>
  <si>
    <t>Serine racemase</t>
  </si>
  <si>
    <t>Isoform 2 of Coiled-coil domain-containing protein 90B, mitochondrial</t>
  </si>
  <si>
    <t>Isoform 2 of NIF3-like protein 1</t>
  </si>
  <si>
    <t>Egl nine homolog 1</t>
  </si>
  <si>
    <t>Protein FAM192A</t>
  </si>
  <si>
    <t>Twisted gastrulation protein homolog 1</t>
  </si>
  <si>
    <t>Cytochrome c oxidase assembly protein 1 homolog</t>
  </si>
  <si>
    <t>Isoform 2 of Mitochondrial fission factor</t>
  </si>
  <si>
    <t>Ubiquitin-like modifier-activating enzyme 5</t>
  </si>
  <si>
    <t>Isoform 3 of Mitochondrial fission regulator 1-like</t>
  </si>
  <si>
    <t>Transmembrane protein 126A</t>
  </si>
  <si>
    <t>Polyadenylate-binding protein-interacting protein 1</t>
  </si>
  <si>
    <t>Isoform 2 of Caseinolytic peptidase B protein homolog</t>
  </si>
  <si>
    <t>Protein MIS12 homolog</t>
  </si>
  <si>
    <t>Ras-related protein Rab-33B</t>
  </si>
  <si>
    <t>Large subunit GTPase 1 homolog</t>
  </si>
  <si>
    <t>Kinesin light chain 2</t>
  </si>
  <si>
    <t>Integrin-linked kinase-associated serine/threonine phosphatase 2C</t>
  </si>
  <si>
    <t>5-3 exoribonuclease 2</t>
  </si>
  <si>
    <t>Toll-interacting protein</t>
  </si>
  <si>
    <t>Isoform 2 of Bromodomain-containing protein 8</t>
  </si>
  <si>
    <t>Isoform 2 of Sharpin</t>
  </si>
  <si>
    <t>Nuclear speckle splicing regulatory protein 1</t>
  </si>
  <si>
    <t>Rac GTPase-activating protein 1</t>
  </si>
  <si>
    <t>Poly [ADP-ribose] polymerase 12</t>
  </si>
  <si>
    <t>Serine/threonine-protein kinase SIK2</t>
  </si>
  <si>
    <t>Pseudouridylate synthase 7 homolog-like protein</t>
  </si>
  <si>
    <t>Cleavage stimulation factor subunit 2 tau variant</t>
  </si>
  <si>
    <t>Cytosolic 5-nucleotidase 3A</t>
  </si>
  <si>
    <t>Haloacid dehalogenase-like hydrolase domain-containing protein 2</t>
  </si>
  <si>
    <t>Glutamyl-tRNA(Gln) amidotransferase subunit A, mitochondrial</t>
  </si>
  <si>
    <t>Isoform 2 of Probable ATP-dependent RNA helicase DDX47</t>
  </si>
  <si>
    <t>Magnesium transporter protein 1</t>
  </si>
  <si>
    <t>Ras-related protein Rab-1B</t>
  </si>
  <si>
    <t>Transmembrane protein 168</t>
  </si>
  <si>
    <t>VIP36-like protein</t>
  </si>
  <si>
    <t>Isoform 2 of Protein SMG9</t>
  </si>
  <si>
    <t>Ester hydrolase C11orf54</t>
  </si>
  <si>
    <t>Protein ITFG3</t>
  </si>
  <si>
    <t>Inhibitor of growth protein 2</t>
  </si>
  <si>
    <t>Nucleotide exchange factor SIL1</t>
  </si>
  <si>
    <t>Isoform 2 of Methyltransferase-like protein 9</t>
  </si>
  <si>
    <t>Anaphase-promoting complex subunit 1</t>
  </si>
  <si>
    <t>Interferon regulatory factor 2-binding protein-like</t>
  </si>
  <si>
    <t>DNA-directed RNA polymerase III subunit RPC6</t>
  </si>
  <si>
    <t>Nuclear ubiquitous casein and cyclin-dependent kinase substrate 1</t>
  </si>
  <si>
    <t>Thioredoxin-related transmembrane protein 4</t>
  </si>
  <si>
    <t>Isoform 3 of Kinesin-like protein KIF13A</t>
  </si>
  <si>
    <t>Rabenosyn-5</t>
  </si>
  <si>
    <t>Iron-sulfur cluster assembly enzyme ISCU, mitochondrial</t>
  </si>
  <si>
    <t>Isoform 2 of Oxysterol-binding protein-related protein 2</t>
  </si>
  <si>
    <t>Autophagy protein 5</t>
  </si>
  <si>
    <t>WD repeat-containing protein 13</t>
  </si>
  <si>
    <t>EH domain-containing protein 4</t>
  </si>
  <si>
    <t>Isoform 2 of Caspase recruitment domain-containing protein 9</t>
  </si>
  <si>
    <t>Vacuolar protein sorting-associated protein 33B</t>
  </si>
  <si>
    <t>Vacuolar protein sorting-associated protein 16 homolog</t>
  </si>
  <si>
    <t>Vacuolar protein sorting-associated protein 11 homolog</t>
  </si>
  <si>
    <t>Gigaxonin</t>
  </si>
  <si>
    <t>Mitochondrial folate transporter/carrier</t>
  </si>
  <si>
    <t>Isoform 2 of STE20-like serine/threonine-protein kinase</t>
  </si>
  <si>
    <t>Phosducin-like protein 3</t>
  </si>
  <si>
    <t>Serine/threonine-protein kinase TAO3</t>
  </si>
  <si>
    <t>Rab3 GTPase-activating protein non-catalytic subunit</t>
  </si>
  <si>
    <t>Activity-dependent neuroprotector homeobox protein</t>
  </si>
  <si>
    <t>Isoform 3 of Diphthine synthase</t>
  </si>
  <si>
    <t>Inorganic pyrophosphatase 2, mitochondrial</t>
  </si>
  <si>
    <t>Homeobox protein MIXL1</t>
  </si>
  <si>
    <t>39S ribosomal protein L46, mitochondrial</t>
  </si>
  <si>
    <t>Presenilins-associated rhomboid-like protein, mitochondrial</t>
  </si>
  <si>
    <t>Pinin</t>
  </si>
  <si>
    <t>Isoform 2 of Transmembrane protein 245</t>
  </si>
  <si>
    <t>Gametogenetin-binding protein 2</t>
  </si>
  <si>
    <t>Isoform 4 of tRNA dimethylallyltransferase, mitochondrial</t>
  </si>
  <si>
    <t>Isoform 2 of UPF0696 protein C11orf68</t>
  </si>
  <si>
    <t>Isoform 2 of UDP-N-acetylglucosamine--dolichyl-phosphate N-acetylglucosaminephosphotransferase</t>
  </si>
  <si>
    <t>BolA-like protein 2</t>
  </si>
  <si>
    <t>Thioredoxin-interacting protein</t>
  </si>
  <si>
    <t>Thioredoxin-related transmembrane protein 1</t>
  </si>
  <si>
    <t>Golgi resident protein GCP60</t>
  </si>
  <si>
    <t>Cdc42 effector protein 4</t>
  </si>
  <si>
    <t>Centromere protein H</t>
  </si>
  <si>
    <t>Tyrosine-protein phosphatase non-receptor type 23</t>
  </si>
  <si>
    <t>Protein unc-45 homolog A</t>
  </si>
  <si>
    <t>Isoform 3 of Major facilitator superfamily domain-containing protein 1</t>
  </si>
  <si>
    <t>Isoform 2 of DnaJ homolog subfamily C member 5</t>
  </si>
  <si>
    <t>Kinetochore-associated protein DSN1 homolog</t>
  </si>
  <si>
    <t>Uncharacterized protein C1orf198</t>
  </si>
  <si>
    <t>Charged multivesicular body protein 4b</t>
  </si>
  <si>
    <t>CUE domain-containing protein 2</t>
  </si>
  <si>
    <t>F-box/LRR-repeat protein 15</t>
  </si>
  <si>
    <t>Fructosamine-3-kinase</t>
  </si>
  <si>
    <t>GDP-fucose protein O-fucosyltransferase 1</t>
  </si>
  <si>
    <t>15 kDa interferon-responsive protein</t>
  </si>
  <si>
    <t>Torsin-3A</t>
  </si>
  <si>
    <t>Aminopeptidase B</t>
  </si>
  <si>
    <t>Golgi phosphoprotein 3-like</t>
  </si>
  <si>
    <t>Golgi phosphoprotein 3</t>
  </si>
  <si>
    <t>Differentially expressed in FDCP 6 homolog</t>
  </si>
  <si>
    <t>Protein FAM83D</t>
  </si>
  <si>
    <t>Oxysterol-binding protein-related protein 3</t>
  </si>
  <si>
    <t>SWI/SNF-related matrix-associated actin-dependent regulator of chromatin subfamily A containing DEAD/H box 1</t>
  </si>
  <si>
    <t>EH domain-containing protein 1</t>
  </si>
  <si>
    <t>Phosphorylated CTD-interacting factor 1</t>
  </si>
  <si>
    <t>ESF1 homolog</t>
  </si>
  <si>
    <t>Alpha-1,3/1,6-mannosyltransferase ALG2</t>
  </si>
  <si>
    <t>Probable inactive protein kinase-like protein SgK196</t>
  </si>
  <si>
    <t>Rab GTPase-binding effector protein 2</t>
  </si>
  <si>
    <t>Dimethyladenosine transferase 2, mitochondrial</t>
  </si>
  <si>
    <t>CUB domain-containing protein 1</t>
  </si>
  <si>
    <t>Isoform 3 of UPF0428 protein CXorf56</t>
  </si>
  <si>
    <t>MIP18 family protein FAM96A</t>
  </si>
  <si>
    <t>HAUS augmin-like complex subunit 4</t>
  </si>
  <si>
    <t>Coiled-coil domain-containing protein 134</t>
  </si>
  <si>
    <t>Coiled-coil domain-containing protein 86</t>
  </si>
  <si>
    <t>Receptor expression-enhancing protein 4</t>
  </si>
  <si>
    <t>Uncharacterized protein C6orf106</t>
  </si>
  <si>
    <t>Optic atrophy 3 protein</t>
  </si>
  <si>
    <t>Cytosolic Fe-S cluster assembly factor NARFL</t>
  </si>
  <si>
    <t>Isoform 2 of Palmitoyltransferase ZDHHC6</t>
  </si>
  <si>
    <t>Isoform 2 of WD repeat-containing protein C2orf44</t>
  </si>
  <si>
    <t>Probable ATP-dependent RNA helicase YTHDC2</t>
  </si>
  <si>
    <t>5-azacytidine-induced protein 2</t>
  </si>
  <si>
    <t>Epidermal growth factor receptor kinase substrate 8-like protein 2</t>
  </si>
  <si>
    <t>RNA polymerase II-associated protein 3</t>
  </si>
  <si>
    <t>Alpha-1,2-mannosyltransferase ALG9</t>
  </si>
  <si>
    <t>WD repeat-containing protein 55</t>
  </si>
  <si>
    <t>dCTP pyrophosphatase 1</t>
  </si>
  <si>
    <t>Histone-lysine N-methyltransferase SMYD3</t>
  </si>
  <si>
    <t>Isoform 2 of WD repeat-containing protein 26</t>
  </si>
  <si>
    <t>Isoform 3 of Tudor domain-containing protein 3</t>
  </si>
  <si>
    <t>UPF0488 protein C8orf33</t>
  </si>
  <si>
    <t>Probable cation-transporting ATPase 13A3</t>
  </si>
  <si>
    <t>Sin3 histone deacetylase corepressor complex component SDS3</t>
  </si>
  <si>
    <t>Splicing factor, arginine/serine-rich 19</t>
  </si>
  <si>
    <t>Histone acetyltransferase KAT8</t>
  </si>
  <si>
    <t>Prostaglandin E synthase 2</t>
  </si>
  <si>
    <t>Transmembrane protein 206</t>
  </si>
  <si>
    <t>Phosphorylated adapter RNA export protein</t>
  </si>
  <si>
    <t>Ubiquitin-conjugating enzyme E2 Z</t>
  </si>
  <si>
    <t>Gem-associated protein 7</t>
  </si>
  <si>
    <t>Acyl-CoA dehydrogenase family member 9, mitochondrial</t>
  </si>
  <si>
    <t>Protein RMD5 homolog A</t>
  </si>
  <si>
    <t>PRKR-interacting protein 1</t>
  </si>
  <si>
    <t>Caspase activity and apoptosis inhibitor 1</t>
  </si>
  <si>
    <t>Nucleolar protein 11</t>
  </si>
  <si>
    <t>Uncharacterized protein C10orf88</t>
  </si>
  <si>
    <t>Isoform 2 of Metal transporter CNNM2</t>
  </si>
  <si>
    <t>Protein FAM188A</t>
  </si>
  <si>
    <t>MOB kinase activator 1A</t>
  </si>
  <si>
    <t>AN1-type zinc finger protein 3</t>
  </si>
  <si>
    <t>Pleckstrin homology domain-containing family F member 2</t>
  </si>
  <si>
    <t>Ankyrin repeat and zinc finger domain-containing protein 1</t>
  </si>
  <si>
    <t>Golgi reassembly-stacking protein 2</t>
  </si>
  <si>
    <t>Protein zwilch homolog</t>
  </si>
  <si>
    <t>Isoform 2 of Hematological and neurological expressed 1-like protein</t>
  </si>
  <si>
    <t>Mitochondrial glutamate carrier 1</t>
  </si>
  <si>
    <t>Proline-serine-threonine phosphatase-interacting protein 2</t>
  </si>
  <si>
    <t>Mediator of RNA polymerase II transcription subunit 20</t>
  </si>
  <si>
    <t>Queuine tRNA-ribosyltransferase subunit QTRTD1</t>
  </si>
  <si>
    <t>Actin-related protein 8</t>
  </si>
  <si>
    <t>UPF0364 protein C6orf211</t>
  </si>
  <si>
    <t>Pantothenate kinase 3</t>
  </si>
  <si>
    <t>Isoform 2 of CCR4-NOT transcription complex subunit 10</t>
  </si>
  <si>
    <t>Leucine-rich repeat-containing protein 40</t>
  </si>
  <si>
    <t>Histone-lysine N-methyltransferase EHMT1</t>
  </si>
  <si>
    <t>Sideroflexin-1</t>
  </si>
  <si>
    <t>Actin-related protein 5</t>
  </si>
  <si>
    <t>Vacuolar protein sorting-associated protein 37B</t>
  </si>
  <si>
    <t>L-2-hydroxyglutarate dehydrogenase, mitochondrial</t>
  </si>
  <si>
    <t>Isoform 2 of Elongator complex protein 3</t>
  </si>
  <si>
    <t>Isoform 2 of JmjC domain-containing protein 4</t>
  </si>
  <si>
    <t>GPN-loop GTPase 2</t>
  </si>
  <si>
    <t>DNA-directed RNA polymerase I subunit RPA2</t>
  </si>
  <si>
    <t>Isoform 3 of Uridine-cytidine kinase 1</t>
  </si>
  <si>
    <t>Ketosamine-3-kinase</t>
  </si>
  <si>
    <t>TBC1 domain family member 17</t>
  </si>
  <si>
    <t>Probable cysteine--tRNA ligase, mitochondrial</t>
  </si>
  <si>
    <t>Phosphopantothenate--cysteine ligase</t>
  </si>
  <si>
    <t>Histone deacetylase complex subunit SAP30L</t>
  </si>
  <si>
    <t>Nicotinamide mononucleotide adenylyltransferase 1</t>
  </si>
  <si>
    <t>MLX-interacting protein</t>
  </si>
  <si>
    <t>Protein lin-7 homolog B</t>
  </si>
  <si>
    <t>Isoform 2 of Sialate O-acetylesterase</t>
  </si>
  <si>
    <t>Pleckstrin homology domain-containing family A member 5</t>
  </si>
  <si>
    <t>Regulator of nonsense transcripts 2</t>
  </si>
  <si>
    <t>Guanine nucleotide-binding protein subunit beta-4</t>
  </si>
  <si>
    <t>Exportin-5</t>
  </si>
  <si>
    <t>GrpE protein homolog 1, mitochondrial</t>
  </si>
  <si>
    <t>Claspin</t>
  </si>
  <si>
    <t>Bcl-2-like protein 12</t>
  </si>
  <si>
    <t>Pleckstrin homology domain-containing family A member 2</t>
  </si>
  <si>
    <t>Retinoid-inducible serine carboxypeptidase</t>
  </si>
  <si>
    <t>Calcyclin-binding protein</t>
  </si>
  <si>
    <t>Ras-related GTP-binding protein C</t>
  </si>
  <si>
    <t>SMARCA4 isoform 2</t>
  </si>
  <si>
    <t>Peptide deformylase, mitochondrial</t>
  </si>
  <si>
    <t>Retinol dehydrogenase 14</t>
  </si>
  <si>
    <t>Beta-parvin</t>
  </si>
  <si>
    <t>NmrA-like family domain-containing protein 1</t>
  </si>
  <si>
    <t>Kinetochore protein Spc25</t>
  </si>
  <si>
    <t>Transcription initiation factor TFIID subunit 9B</t>
  </si>
  <si>
    <t>1-acyl-sn-glycerol-3-phosphate acyltransferase alpha</t>
  </si>
  <si>
    <t>Echinoderm microtubule-associated protein-like 4</t>
  </si>
  <si>
    <t>RNA methyltransferase-like protein 1</t>
  </si>
  <si>
    <t>Isoform 2 of Glyoxalase domain-containing protein 4</t>
  </si>
  <si>
    <t>Vasculin-like protein 1</t>
  </si>
  <si>
    <t>Methylcrotonoyl-CoA carboxylase beta chain, mitochondrial</t>
  </si>
  <si>
    <t>Nuclear receptor coactivator 5</t>
  </si>
  <si>
    <t>Putative helicase MOV-10</t>
  </si>
  <si>
    <t>Methyltransferase-like protein 14</t>
  </si>
  <si>
    <t>Isoform 2 of Chromodomain-helicase-DNA-binding protein 8</t>
  </si>
  <si>
    <t>Transmembrane protein 8A</t>
  </si>
  <si>
    <t>Isoform 4 of GPN-loop GTPase 1</t>
  </si>
  <si>
    <t>Stromal cell-derived factor 2-like protein 1</t>
  </si>
  <si>
    <t>Isoform 1S of Casein kinase I isoform gamma-1</t>
  </si>
  <si>
    <t>Prolactin regulatory element-binding protein</t>
  </si>
  <si>
    <t>DNA polymerase delta subunit 4</t>
  </si>
  <si>
    <t>Steroid receptor RNA activator 1</t>
  </si>
  <si>
    <t>Isoform B of Probable cation-transporting ATPase 13A1</t>
  </si>
  <si>
    <t>Magnesium transporter MRS2 homolog, mitochondrial</t>
  </si>
  <si>
    <t>Golgi-associated PDZ and coiled-coil motif-containing protein</t>
  </si>
  <si>
    <t>Isoform 3 of O-phosphoseryl-tRNA(Sec) selenium transferase</t>
  </si>
  <si>
    <t>Transmembrane 9 superfamily member 3</t>
  </si>
  <si>
    <t>Isoform 2 of Ran guanine nucleotide release factor</t>
  </si>
  <si>
    <t>X antigen family member 1</t>
  </si>
  <si>
    <t>Junctophilin-1</t>
  </si>
  <si>
    <t>Adipocyte plasma membrane-associated protein</t>
  </si>
  <si>
    <t>WD repeat-containing protein 6</t>
  </si>
  <si>
    <t>Isoform 3 of SH2 domain-containing protein 2A</t>
  </si>
  <si>
    <t>Isoform 2 of ATP-binding cassette sub-family B member 6, mitochondrial</t>
  </si>
  <si>
    <t>Solute carrier family 40 member 1</t>
  </si>
  <si>
    <t>High mobility group protein 20A</t>
  </si>
  <si>
    <t>Ras-related protein Rab-18</t>
  </si>
  <si>
    <t>Isoform 2 of UDP-N-acetylglucosamine transferase subunit ALG13 homolog</t>
  </si>
  <si>
    <t>Isoform 3 of Palmdelphin</t>
  </si>
  <si>
    <t>RNA polymerase II subunit A C-terminal domain phosphatase SSU72</t>
  </si>
  <si>
    <t>Vacuolar protein sorting-associated protein VTA1 homolog</t>
  </si>
  <si>
    <t>Tumor necrosis factor receptor superfamily member 12A</t>
  </si>
  <si>
    <t>28S ribosomal protein S30, mitochondrial</t>
  </si>
  <si>
    <t>ER membrane protein complex subunit 7</t>
  </si>
  <si>
    <t>Mid1-interacting protein 1</t>
  </si>
  <si>
    <t>Isoform 2 of Enhancer of yellow 2 transcription factor homolog</t>
  </si>
  <si>
    <t>Glycerophosphocholine phosphodiesterase GPCPD1</t>
  </si>
  <si>
    <t>Exosome complex component RRP41</t>
  </si>
  <si>
    <t>Ubiquitin-conjugating enzyme E2 T</t>
  </si>
  <si>
    <t>Neugrin</t>
  </si>
  <si>
    <t>H/ACA ribonucleoprotein complex subunit 3</t>
  </si>
  <si>
    <t>CD320 antigen</t>
  </si>
  <si>
    <t>Probable tRNA threonylcarbamoyladenosine biosynthesis protein OSGEP</t>
  </si>
  <si>
    <t>Inositol-3-phosphate synthase 1</t>
  </si>
  <si>
    <t>mRNA-decapping enzyme 1A</t>
  </si>
  <si>
    <t>Acyl-coenzyme A thioesterase 13</t>
  </si>
  <si>
    <t>Mediator of RNA polymerase II transcription subunit 4</t>
  </si>
  <si>
    <t>Translocase of inner mitochondrial membrane domain-containing protein 1</t>
  </si>
  <si>
    <t>Isoform 4 of Synembryn-A</t>
  </si>
  <si>
    <t>Protein GPR108</t>
  </si>
  <si>
    <t>Isoform 3 of Probable cation-transporting ATPase 13A2</t>
  </si>
  <si>
    <t>Putative RNA-binding protein Luc7-like 1</t>
  </si>
  <si>
    <t>Fructose-2,6-bisphosphatase TIGAR</t>
  </si>
  <si>
    <t>Reticulon-4</t>
  </si>
  <si>
    <t>Histidine triad nucleotide-binding protein 3</t>
  </si>
  <si>
    <t>Protein MANBAL</t>
  </si>
  <si>
    <t>Regulation of nuclear pre-mRNA domain-containing protein 1B</t>
  </si>
  <si>
    <t>Isoform 3 of Hermansky-Pudlak syndrome 4 protein</t>
  </si>
  <si>
    <t>Isoform 2 of Probable Xaa-Pro aminopeptidase 3</t>
  </si>
  <si>
    <t>Prefoldin subunit 4</t>
  </si>
  <si>
    <t>Omega-amidase NIT2</t>
  </si>
  <si>
    <t>Cell death regulator Aven</t>
  </si>
  <si>
    <t>Exosome complex component RRP46</t>
  </si>
  <si>
    <t>Kinesin-like protein KIF13B</t>
  </si>
  <si>
    <t>Actin-binding protein anillin</t>
  </si>
  <si>
    <t>Isoform 3 of Xaa-Pro aminopeptidase 1</t>
  </si>
  <si>
    <t>Unconventional myosin-Vc</t>
  </si>
  <si>
    <t>Bridging integrator 3</t>
  </si>
  <si>
    <t>Something about silencing protein 10</t>
  </si>
  <si>
    <t>StAR-related lipid transfer protein 7, mitochondrial</t>
  </si>
  <si>
    <t>Baculoviral IAP repeat-containing protein 6</t>
  </si>
  <si>
    <t>PDZ and LIM domain protein 7</t>
  </si>
  <si>
    <t>Acetyl-coenzyme A synthetase, cytoplasmic</t>
  </si>
  <si>
    <t>Isoform 2 of Diablo homolog, mitochondrial</t>
  </si>
  <si>
    <t>Nucleolar RNA helicase 2</t>
  </si>
  <si>
    <t>GTP-binding protein SAR1a</t>
  </si>
  <si>
    <t>DNA polymerase epsilon subunit 4</t>
  </si>
  <si>
    <t>Sialic acid synthase</t>
  </si>
  <si>
    <t>Translation initiation factor eIF-2B subunit gamma</t>
  </si>
  <si>
    <t>Isoform 3 of SH2B adapter protein 1</t>
  </si>
  <si>
    <t>CTP synthase 2</t>
  </si>
  <si>
    <t>DNA polymerase epsilon subunit 3</t>
  </si>
  <si>
    <t>Chromatin accessibility complex protein 1</t>
  </si>
  <si>
    <t>Phosphoribosyltransferase domain-containing protein 1</t>
  </si>
  <si>
    <t>N-lysine methyltransferase SMYD2</t>
  </si>
  <si>
    <t>Yae1 domain-containing protein 1</t>
  </si>
  <si>
    <t>ATP-binding cassette sub-family B member 10, mitochondrial</t>
  </si>
  <si>
    <t>Isoform 2 of Bromodomain adjacent to zinc finger domain protein 1A</t>
  </si>
  <si>
    <t>Striatin-4</t>
  </si>
  <si>
    <t>L-aminoadipate-semialdehyde dehydrogenase-phosphopantetheinyl transferase</t>
  </si>
  <si>
    <t>Methyltransferase-like protein 5</t>
  </si>
  <si>
    <t>COX assembly mitochondrial protein 2 homolog</t>
  </si>
  <si>
    <t>Protein ACN9 homolog, mitochondrial</t>
  </si>
  <si>
    <t>Ubiquilin-4</t>
  </si>
  <si>
    <t>CDC42 small effector protein 1</t>
  </si>
  <si>
    <t>Isoform 2 of Sorting nexin-15</t>
  </si>
  <si>
    <t>Heme-binding protein 1</t>
  </si>
  <si>
    <t>Ras-related protein Rab-6B</t>
  </si>
  <si>
    <t>DNA dC-&gt;dU-editing enzyme APOBEC-3C</t>
  </si>
  <si>
    <t>Dual specificity protein phosphatase 22</t>
  </si>
  <si>
    <t>Vacuolar protein sorting-associated protein 45</t>
  </si>
  <si>
    <t>RNA-binding protein PNO1</t>
  </si>
  <si>
    <t>14 kDa phosphohistidine phosphatase</t>
  </si>
  <si>
    <t>Serine incorporator 1</t>
  </si>
  <si>
    <t>Rho GTPase-activating protein 35</t>
  </si>
  <si>
    <t>Protein FAM114A2</t>
  </si>
  <si>
    <t>Isoform 2 of 1-acyl-sn-glycerol-3-phosphate acyltransferase gamma</t>
  </si>
  <si>
    <t>Isoform 4 of Lymphoid-specific helicase</t>
  </si>
  <si>
    <t>Glutaredoxin-2, mitochondrial</t>
  </si>
  <si>
    <t>Isoform C of Ras association domain-containing protein 1</t>
  </si>
  <si>
    <t>Mitochondrial import receptor subunit TOM22 homolog</t>
  </si>
  <si>
    <t>LanC-like protein 2</t>
  </si>
  <si>
    <t>Kinesin-like protein KIF15</t>
  </si>
  <si>
    <t>E3 ubiquitin-protein ligase RAD18</t>
  </si>
  <si>
    <t>Transmembrane 7 superfamily member 3</t>
  </si>
  <si>
    <t>Beta-catenin-interacting protein 1</t>
  </si>
  <si>
    <t>Phenylalanine--tRNA ligase beta subunit</t>
  </si>
  <si>
    <t>Isoleucine--tRNA ligase, mitochondrial</t>
  </si>
  <si>
    <t>Isoform 3 of Uncharacterized protein C1orf112</t>
  </si>
  <si>
    <t>Isoform B of Protein FAM207A</t>
  </si>
  <si>
    <t>SAM domain-containing protein SAMSN-1</t>
  </si>
  <si>
    <t>Kinesin light chain 4</t>
  </si>
  <si>
    <t>BMP-2-inducible protein kinase</t>
  </si>
  <si>
    <t>Ubiquitin-like-conjugating enzyme ATG3</t>
  </si>
  <si>
    <t>NAD-dependent protein deacetylase sirtuin-3, mitochondrial</t>
  </si>
  <si>
    <t>Isoform 2 of Sister chromatid cohesion protein PDS5 homolog B</t>
  </si>
  <si>
    <t>Structural maintenance of chromosomes protein 4</t>
  </si>
  <si>
    <t>Isoform 3 of Alpha-mannosidase 2C1</t>
  </si>
  <si>
    <t>Phosphatidylinositide phosphatase SAC1</t>
  </si>
  <si>
    <t>Copper homeostasis protein cutC homolog</t>
  </si>
  <si>
    <t>Isoform 2 of Ethylmalonyl-CoA decarboxylase</t>
  </si>
  <si>
    <t>Isoform 2 of E3 ubiquitin-protein ligase RNF146</t>
  </si>
  <si>
    <t>RNA-binding protein 12</t>
  </si>
  <si>
    <t>TBC1 domain family member 22B</t>
  </si>
  <si>
    <t>Midasin</t>
  </si>
  <si>
    <t>LYR motif-containing protein 2</t>
  </si>
  <si>
    <t>Zinc finger CCHC domain-containing protein 3</t>
  </si>
  <si>
    <t>Palmitoyltransferase ZDHHC18</t>
  </si>
  <si>
    <t>p53 and DNA damage-regulated protein 1</t>
  </si>
  <si>
    <t>Mycophenolic acid acyl-glucuronide esterase, mitochondrial</t>
  </si>
  <si>
    <t>Transmembrane protein 106B</t>
  </si>
  <si>
    <t>Isoform 3 of Probable lysosomal cobalamin transporter</t>
  </si>
  <si>
    <t>Biogenesis of lysosome-related organelles complex 1 subunit 4</t>
  </si>
  <si>
    <t>tRNA:m(4)X modification enzyme TRM13 homolog</t>
  </si>
  <si>
    <t>Protein lin-7 homolog C</t>
  </si>
  <si>
    <t>1-acyl-sn-glycerol-3-phosphate acyltransferase epsilon</t>
  </si>
  <si>
    <t>Gamma-taxilin</t>
  </si>
  <si>
    <t>Ufm1-specific protease 2</t>
  </si>
  <si>
    <t>ATP-binding cassette sub-family F member 3</t>
  </si>
  <si>
    <t>Protein FAM49B</t>
  </si>
  <si>
    <t>AP-5 complex subunit sigma-1</t>
  </si>
  <si>
    <t>ATP-dependent RNA helicase DDX19A</t>
  </si>
  <si>
    <t>Tyrosyl-DNA phosphodiesterase 1</t>
  </si>
  <si>
    <t>TBC1 domain family member 23</t>
  </si>
  <si>
    <t>DDB1- and CUL4-associated factor 13</t>
  </si>
  <si>
    <t>Probable 8-oxo-dGTP diphosphatase NUDT15</t>
  </si>
  <si>
    <t>MRG/MORF4L-binding protein</t>
  </si>
  <si>
    <t>tRNA wybutosine-synthesizing protein 1 homolog</t>
  </si>
  <si>
    <t>Isoform 2 of Exocyst complex component 1</t>
  </si>
  <si>
    <t>Isoform 2 of Cell cycle control protein 50A</t>
  </si>
  <si>
    <t>Isoform 2 of Ubiquinol-cytochrome c reductase complex chaperone CBP3 homolog</t>
  </si>
  <si>
    <t>Mediator of RNA polymerase II transcription subunit 17</t>
  </si>
  <si>
    <t>Pantothenate kinase 4</t>
  </si>
  <si>
    <t>F-box only protein 28</t>
  </si>
  <si>
    <t>TBC1 domain family member 13</t>
  </si>
  <si>
    <t>Isoform 2 of Exonuclease 3-5 domain-containing protein 2</t>
  </si>
  <si>
    <t>Isoform 3 of DnaJ homolog subfamily C member 11</t>
  </si>
  <si>
    <t>Isoform 4 of Integrator complex subunit 7</t>
  </si>
  <si>
    <t>Fanconi anemia group I protein</t>
  </si>
  <si>
    <t>Isoform 2 of ATPase family AAA domain-containing protein 3A</t>
  </si>
  <si>
    <t>ADP-ribosylation factor-like protein 8B</t>
  </si>
  <si>
    <t>FGFR1 oncogene partner 2</t>
  </si>
  <si>
    <t>Protein eva-1 homolog B</t>
  </si>
  <si>
    <t>Isoform 3 of Protein arginine N-methyltransferase 7</t>
  </si>
  <si>
    <t>DnaJ homolog subfamily C member 17</t>
  </si>
  <si>
    <t>Protein asunder homolog</t>
  </si>
  <si>
    <t>Guanine nucleotide-binding protein-like 3-like protein</t>
  </si>
  <si>
    <t>ATP-dependent RNA helicase DDX18</t>
  </si>
  <si>
    <t>Histone chaperone ASF1B</t>
  </si>
  <si>
    <t>Kelch-like protein 11</t>
  </si>
  <si>
    <t>Integrator complex subunit 10</t>
  </si>
  <si>
    <t>Protein kintoun</t>
  </si>
  <si>
    <t>Isoform 5 of DNA-directed RNA polymerase III subunit RPC5</t>
  </si>
  <si>
    <t>Trimeric intracellular cation channel type B</t>
  </si>
  <si>
    <t>Poly(A) RNA polymerase, mitochondrial</t>
  </si>
  <si>
    <t>E3 ubiquitin-protein ligase RLIM</t>
  </si>
  <si>
    <t>Notchless protein homolog 1</t>
  </si>
  <si>
    <t>Kelch repeat and BTB domain-containing protein 4</t>
  </si>
  <si>
    <t>Adaptin ear-binding coat-associated protein 2</t>
  </si>
  <si>
    <t>Isoform 2 of DNA-directed RNA polymerase III subunit RPC2</t>
  </si>
  <si>
    <t>Anoctamin-10</t>
  </si>
  <si>
    <t>Pre-mRNA-splicing factor RBM22</t>
  </si>
  <si>
    <t>WD repeat-containing protein 70</t>
  </si>
  <si>
    <t>Arginine and glutamate-rich protein 1</t>
  </si>
  <si>
    <t>Transmembrane protein 248</t>
  </si>
  <si>
    <t>Protein BEX4</t>
  </si>
  <si>
    <t>Transmembrane protein 242</t>
  </si>
  <si>
    <t>SAFB-like transcription modulator</t>
  </si>
  <si>
    <t>Box C/D snoRNA protein 1</t>
  </si>
  <si>
    <t>Peptidyl-prolyl cis-trans isomerase FKBP14</t>
  </si>
  <si>
    <t>Uncharacterized protein C14orf119</t>
  </si>
  <si>
    <t>PIH1 domain-containing protein 1</t>
  </si>
  <si>
    <t>Protein FAM118A</t>
  </si>
  <si>
    <t>Required for meiotic nuclear division protein 1 homolog</t>
  </si>
  <si>
    <t>Hypoxia-inducible factor 1-alpha inhibitor</t>
  </si>
  <si>
    <t>Aurora kinase A-interacting protein</t>
  </si>
  <si>
    <t>3-oxoacyl-[acyl-carrier-protein] synthase, mitochondrial</t>
  </si>
  <si>
    <t>Glucose-induced degradation protein 8 homolog</t>
  </si>
  <si>
    <t>UPF0587 protein C1orf123</t>
  </si>
  <si>
    <t>Probable tRNA(His) guanylyltransferase</t>
  </si>
  <si>
    <t>UPF0609 protein C4orf27</t>
  </si>
  <si>
    <t>Interleukin-1 receptor-associated kinase 4</t>
  </si>
  <si>
    <t>Transmembrane protein 160</t>
  </si>
  <si>
    <t>Thioredoxin-like protein 4B</t>
  </si>
  <si>
    <t>Isoform 5 of NACHT, LRR and PYD domains-containing protein 2</t>
  </si>
  <si>
    <t>Isoform 2 of tRNA selenocysteine 1-associated protein 1</t>
  </si>
  <si>
    <t>COMM domain-containing protein 8</t>
  </si>
  <si>
    <t>DNA damage-inducible transcript 4 protein</t>
  </si>
  <si>
    <t>NADH dehydrogenase [ubiquinone] 1 beta subcomplex subunit 11, mitochondrial</t>
  </si>
  <si>
    <t>39S ribosomal protein L16, mitochondrial</t>
  </si>
  <si>
    <t>H/ACA ribonucleoprotein complex subunit 2</t>
  </si>
  <si>
    <t>Protein FAM206A</t>
  </si>
  <si>
    <t>OCIA domain-containing protein 1</t>
  </si>
  <si>
    <t>Poly(ADP-ribose) glycohydrolase ARH3</t>
  </si>
  <si>
    <t>E3 ubiquitin-protein ligase MARCH5</t>
  </si>
  <si>
    <t>Cell growth-regulating nucleolar protein</t>
  </si>
  <si>
    <t>Inositol monophosphatase 3</t>
  </si>
  <si>
    <t>Mediator of RNA polymerase II transcription subunit 29</t>
  </si>
  <si>
    <t>tRNA-dihydrouridine(20) synthase [NAD(P)+]-like</t>
  </si>
  <si>
    <t>Isoform 4 of NAD-dependent protein deacylase sirtuin-5, mitochondrial</t>
  </si>
  <si>
    <t>WD repeat-containing protein mio</t>
  </si>
  <si>
    <t>Pre-mRNA-splicing factor CWC25 homolog</t>
  </si>
  <si>
    <t>Isoform 2 of Testis-expressed sequence 10 protein</t>
  </si>
  <si>
    <t>DDB1- and CUL4-associated factor 16</t>
  </si>
  <si>
    <t>Palmitoyltransferase ZDHHC7</t>
  </si>
  <si>
    <t>Torsin-4A</t>
  </si>
  <si>
    <t>tRNA (guanine(26)-N(2))-dimethyltransferase</t>
  </si>
  <si>
    <t>Isoform 2 of F-box/LRR-repeat protein 12</t>
  </si>
  <si>
    <t>Isoform 2 of Ganglioside-induced differentiation-associated protein 2</t>
  </si>
  <si>
    <t>Isoform 2 of Nuclear distribution protein nudE homolog 1</t>
  </si>
  <si>
    <t>BRCA1-A complex subunit BRE</t>
  </si>
  <si>
    <t>Glutaminyl-peptide cyclotransferase-like protein</t>
  </si>
  <si>
    <t>ADP-ribosylation factor-like protein 15</t>
  </si>
  <si>
    <t>BTB/POZ domain-containing protein KCTD5</t>
  </si>
  <si>
    <t>CDKN2A-interacting protein</t>
  </si>
  <si>
    <t>Alpha-ketoglutarate-dependent dioxygenase alkB homolog 4</t>
  </si>
  <si>
    <t>Non-structural maintenance of chromosomes element 4 homolog A</t>
  </si>
  <si>
    <t>Isoform 2 of H/ACA ribonucleoprotein complex subunit 1</t>
  </si>
  <si>
    <t>Serine/threonine-protein phosphatase 4 regulatory subunit 2</t>
  </si>
  <si>
    <t>Isoform 2 of UDP-GlcNAc:betaGal beta-1,3-N-acetylglucosaminyltransferase 2</t>
  </si>
  <si>
    <t>Isoform 2 of Sphingosine kinase 1</t>
  </si>
  <si>
    <t>Telomeric repeat-binding factor 2-interacting protein 1</t>
  </si>
  <si>
    <t>U3 small nucleolar RNA-associated protein 6 homolog</t>
  </si>
  <si>
    <t>Cytochrome c oxidase assembly factor 4 homolog, mitochondrial</t>
  </si>
  <si>
    <t>TGF-beta-activated kinase 1 and MAP3K7-binding protein 2</t>
  </si>
  <si>
    <t>39S ribosomal protein L39, mitochondrial</t>
  </si>
  <si>
    <t>Mitogen-activated protein kinase kinase kinase MLT</t>
  </si>
  <si>
    <t>Isoform 2 of Mitogen-activated protein kinase kinase kinase MLT</t>
  </si>
  <si>
    <t>Tropomodulin-3</t>
  </si>
  <si>
    <t>Protein Mis18-alpha</t>
  </si>
  <si>
    <t>Isoform 2 of UDP-glucose:glycoprotein glucosyltransferase 1</t>
  </si>
  <si>
    <t>Isoform 2 of Cyclin-dependent kinase 12</t>
  </si>
  <si>
    <t>FAST kinase domain-containing protein 2</t>
  </si>
  <si>
    <t>Isoform 4 of Mitoferrin-1</t>
  </si>
  <si>
    <t>G2 and S phase-expressed protein 1</t>
  </si>
  <si>
    <t>Very-long-chain enoyl-CoA reductase</t>
  </si>
  <si>
    <t>Endoplasmic reticulum aminopeptidase 1</t>
  </si>
  <si>
    <t>Isoform 2 of Ubiquitin-associated protein 1</t>
  </si>
  <si>
    <t>Actin-related protein 10</t>
  </si>
  <si>
    <t>Vesicle transport protein USE1</t>
  </si>
  <si>
    <t>CDGSH iron-sulfur domain-containing protein 1</t>
  </si>
  <si>
    <t>Podocalyxin-like protein 2</t>
  </si>
  <si>
    <t>Uncharacterized protein C9orf78</t>
  </si>
  <si>
    <t>Isoform 3 of Chloride intracellular channel protein 5</t>
  </si>
  <si>
    <t>Glycerophosphodiester phosphodiesterase 1</t>
  </si>
  <si>
    <t>Isoform 5 of WW domain-containing oxidoreductase</t>
  </si>
  <si>
    <t>SWI/SNF-related matrix-associated actin-dependent regulator of chromatin subfamily A-like protein 1</t>
  </si>
  <si>
    <t>Alpha-hemoglobin-stabilizing protein</t>
  </si>
  <si>
    <t>Isoform 2 of Maspardin</t>
  </si>
  <si>
    <t>Isoform 2 of Upstream-binding protein 1</t>
  </si>
  <si>
    <t>Insulin-like growth factor 2 mRNA-binding protein 1</t>
  </si>
  <si>
    <t>Sacsin</t>
  </si>
  <si>
    <t>Hexaprenyldihydroxybenzoate methyltransferase, mitochondrial</t>
  </si>
  <si>
    <t>Isoform 2 of Mitochondrial carrier homolog 1</t>
  </si>
  <si>
    <t>Diphosphoinositol polyphosphate phosphohydrolase 2</t>
  </si>
  <si>
    <t>Hsp70-binding protein 1</t>
  </si>
  <si>
    <t>Methionine adenosyltransferase 2 subunit beta</t>
  </si>
  <si>
    <t>Isoform 2 of Methionine adenosyltransferase 2 subunit beta</t>
  </si>
  <si>
    <t>Isoform 4 of Intersectin-2</t>
  </si>
  <si>
    <t>EH domain-containing protein 2</t>
  </si>
  <si>
    <t>Isoform 2 of Rho guanine nucleotide exchange factor 12</t>
  </si>
  <si>
    <t>Isoform 3 of NCK-interacting protein with SH3 domain</t>
  </si>
  <si>
    <t>Isoform 2 of Opioid growth factor receptor</t>
  </si>
  <si>
    <t>MAGUK p55 subfamily member 6</t>
  </si>
  <si>
    <t>Charged multivesicular body protein 5</t>
  </si>
  <si>
    <t>COMM domain-containing protein 9</t>
  </si>
  <si>
    <t>Spliceosome-associated protein CWC15 homolog</t>
  </si>
  <si>
    <t>Thymocyte nuclear protein 1</t>
  </si>
  <si>
    <t>Cysteine-rich PDZ-binding protein</t>
  </si>
  <si>
    <t>NADH dehydrogenase [ubiquinone] 1 alpha subcomplex assembly factor 4</t>
  </si>
  <si>
    <t>Very-long-chain (3R)-3-hydroxyacyl-[acyl-carrier protein] dehydratase 3</t>
  </si>
  <si>
    <t>Coiled-coil domain-containing protein 167</t>
  </si>
  <si>
    <t>ER membrane protein complex subunit 3</t>
  </si>
  <si>
    <t>E3 ubiquitin-protein ligase KCMF1</t>
  </si>
  <si>
    <t>Vesicle-associated membrane protein-associated protein A</t>
  </si>
  <si>
    <t>Isoform 3 of TBC1 domain family member 7</t>
  </si>
  <si>
    <t>E3 ubiquitin-protein ligase RNF181</t>
  </si>
  <si>
    <t>GSK3-beta interaction protein</t>
  </si>
  <si>
    <t>Cytochrome c oxidase assembly protein COX16 homolog, mitochondrial</t>
  </si>
  <si>
    <t>CpG-binding protein</t>
  </si>
  <si>
    <t>SWI/SNF-related matrix-associated actin-dependent regulator of chromatin subfamily E member 1-related</t>
  </si>
  <si>
    <t>DNA-directed RNA polymerase I subunit RPA12</t>
  </si>
  <si>
    <t>Actin-related protein 3B</t>
  </si>
  <si>
    <t>Serine/threonine-protein kinase pim-2</t>
  </si>
  <si>
    <t>Isoform 2 of Calcium-binding and coiled-coil domain-containing protein 1</t>
  </si>
  <si>
    <t>Isoform 2 of Uncharacterized protein KIAA1522</t>
  </si>
  <si>
    <t>Centrosomal protein of 72 kDa</t>
  </si>
  <si>
    <t>Pogo transposable element with KRAB domain</t>
  </si>
  <si>
    <t>Vacuolar protein sorting-associated protein 18 homolog</t>
  </si>
  <si>
    <t>Protein RCC2</t>
  </si>
  <si>
    <t>Disco-interacting protein 2 homolog B</t>
  </si>
  <si>
    <t>SLAIN motif-containing protein 2</t>
  </si>
  <si>
    <t>BRCA2 and CDKN1A-interacting protein</t>
  </si>
  <si>
    <t>Prostaglandin F2 receptor negative regulator</t>
  </si>
  <si>
    <t>Isoform 3 of HEAT repeat-containing protein 5B</t>
  </si>
  <si>
    <t>Isoform 5 of Dynein heavy chain 1, axonemal</t>
  </si>
  <si>
    <t>NFX1-type zinc finger-containing protein 1</t>
  </si>
  <si>
    <t>Ribosome-binding protein 1</t>
  </si>
  <si>
    <t>Cleavage and polyadenylation specificity factor subunit 2</t>
  </si>
  <si>
    <t>[Pyruvate dehydrogenase [acetyl-transferring]]-phosphatase 2, mitochondrial</t>
  </si>
  <si>
    <t>Isoform 2 of Eukaryotic translation initiation factor 2-alpha kinase 4</t>
  </si>
  <si>
    <t>TBC1 domain family member 14</t>
  </si>
  <si>
    <t>RNA-binding protein 27</t>
  </si>
  <si>
    <t>Ankyrin repeat and FYVE domain-containing protein 1</t>
  </si>
  <si>
    <t>Homologous-pairing protein 2 homolog</t>
  </si>
  <si>
    <t>Dolichol-phosphate mannosyltransferase subunit 3</t>
  </si>
  <si>
    <t>UV radiation resistance-associated gene protein</t>
  </si>
  <si>
    <t>Ataxin-10</t>
  </si>
  <si>
    <t>Methyl-CpG-binding domain protein 2</t>
  </si>
  <si>
    <t>Neurochondrin</t>
  </si>
  <si>
    <t>Tuftelin-interacting protein 11</t>
  </si>
  <si>
    <t>Isoform 2 of Epidermal growth factor receptor substrate 15-like 1</t>
  </si>
  <si>
    <t>Isoform 4 of DNA (cytosine-5)-methyltransferase 3B</t>
  </si>
  <si>
    <t>Origin recognition complex subunit 3</t>
  </si>
  <si>
    <t>SUMO-activating enzyme subunit 1</t>
  </si>
  <si>
    <t>Melanoma-associated antigen C2</t>
  </si>
  <si>
    <t>Coatomer subunit gamma-2</t>
  </si>
  <si>
    <t>RING-box protein 2</t>
  </si>
  <si>
    <t>Isoform 2 of Phosphatidylinositol 4-kinase beta</t>
  </si>
  <si>
    <t>Isoform 2 of Xenotropic and polytropic retrovirus receptor 1</t>
  </si>
  <si>
    <t>Guanine nucleotide-binding protein G(I)/G(S)/G(O) subunit gamma-12</t>
  </si>
  <si>
    <t>Isoform B of Methionine synthase reductase</t>
  </si>
  <si>
    <t>Protein UXT</t>
  </si>
  <si>
    <t>Isoform 3 of Set1/Ash2 histone methyltransferase complex subunit ASH2</t>
  </si>
  <si>
    <t>7-dehydrocholesterol reductase</t>
  </si>
  <si>
    <t>Isoform 3 of Spastin</t>
  </si>
  <si>
    <t>tRNA (guanine-N(7)-)-methyltransferase</t>
  </si>
  <si>
    <t>PTB domain-containing engulfment adapter protein 1</t>
  </si>
  <si>
    <t>Glyoxylate reductase/hydroxypyruvate reductase</t>
  </si>
  <si>
    <t>Cathepsin Z</t>
  </si>
  <si>
    <t>Ribosomal protein S6 kinase beta-2</t>
  </si>
  <si>
    <t>E3 ubiquitin-protein ligase RNF14</t>
  </si>
  <si>
    <t>SUMO-activating enzyme subunit 2</t>
  </si>
  <si>
    <t>Isoform 2 of Alpha-catulin</t>
  </si>
  <si>
    <t>Protein FAM8A1</t>
  </si>
  <si>
    <t>Nuclear RNA export factor 1</t>
  </si>
  <si>
    <t>Protein sel-1 homolog 1</t>
  </si>
  <si>
    <t>Beta-1,4-galactosyltransferase 7</t>
  </si>
  <si>
    <t>Peflin</t>
  </si>
  <si>
    <t>Zinc finger MYM-type protein 2</t>
  </si>
  <si>
    <t>COP9 signalosome complex subunit 7a</t>
  </si>
  <si>
    <t>Isoform 2 of CAP-Gly domain-containing linker protein 2</t>
  </si>
  <si>
    <t>Mitochondrial fission process protein 1</t>
  </si>
  <si>
    <t>Tight junction protein ZO-2</t>
  </si>
  <si>
    <t>DnaJ homolog subfamily B member 4</t>
  </si>
  <si>
    <t>Craniofacial development protein 1</t>
  </si>
  <si>
    <t>Zinc finger protein 629</t>
  </si>
  <si>
    <t>Myelin protein zero-like protein 1 (Fragment)</t>
  </si>
  <si>
    <t>Isoform 2 of Death domain-associated protein 6</t>
  </si>
  <si>
    <t>Isoform 2 of Putative tRNA (cytidine(32)/guanosine(34)-2-O)-methyltransferase</t>
  </si>
  <si>
    <t>Vesicle transport through interaction with t-SNAREs homolog 1B</t>
  </si>
  <si>
    <t>G antigen 2D</t>
  </si>
  <si>
    <t>Isoform 1 of Gamma-adducin</t>
  </si>
  <si>
    <t>Leucine-rich repeat and WD repeat-containing protein 1</t>
  </si>
  <si>
    <t>CGG triplet repeat-binding protein 1</t>
  </si>
  <si>
    <t>Intraflagellar transport protein 140 homolog</t>
  </si>
  <si>
    <t>ATP-binding cassette sub-family F member 2</t>
  </si>
  <si>
    <t>Isoform 4 of Peptide chain release factor 1-like, mitochondrial</t>
  </si>
  <si>
    <t>Isoform 2 of Gamma-tubulin complex component 4</t>
  </si>
  <si>
    <t>Tryptophan--tRNA ligase, mitochondrial</t>
  </si>
  <si>
    <t>LIM domain-containing protein 1</t>
  </si>
  <si>
    <t>Translocation protein SEC63 homolog</t>
  </si>
  <si>
    <t>Isoform 2 of Zinc finger CCCH domain-containing protein 7B</t>
  </si>
  <si>
    <t>Armadillo repeat-containing X-linked protein 3</t>
  </si>
  <si>
    <t>Switch-associated protein 70</t>
  </si>
  <si>
    <t>SUN domain-containing protein 2</t>
  </si>
  <si>
    <t>SS18-like protein 2</t>
  </si>
  <si>
    <t>Ragulator complex protein LAMTOR3</t>
  </si>
  <si>
    <t>AF4/FMR2 family member 4</t>
  </si>
  <si>
    <t>Isoform 4 of Signal recognition particle subunit SRP68</t>
  </si>
  <si>
    <t>Cysteine and histidine-rich domain-containing protein 1</t>
  </si>
  <si>
    <t>Serine/threonine-protein kinase TBK1</t>
  </si>
  <si>
    <t>Isoform 7 of Septin-9</t>
  </si>
  <si>
    <t>Ubiquilin-2</t>
  </si>
  <si>
    <t>Prenylcysteine oxidase 1</t>
  </si>
  <si>
    <t>Probable ATP-dependent RNA helicase DDX20</t>
  </si>
  <si>
    <t>Sedoheptulokinase</t>
  </si>
  <si>
    <t>Nuclear fragile X mental retardation-interacting protein 1</t>
  </si>
  <si>
    <t>Dipeptidyl peptidase 2</t>
  </si>
  <si>
    <t>DNA polymerase subunit gamma-2, mitochondrial</t>
  </si>
  <si>
    <t>Isoform 2 of Transmembrane protein 2</t>
  </si>
  <si>
    <t>Ubiquitin carboxyl-terminal hydrolase 25</t>
  </si>
  <si>
    <t>Nuclear prelamin A recognition factor</t>
  </si>
  <si>
    <t>B-cell receptor-associated protein 29</t>
  </si>
  <si>
    <t>NADH-cytochrome b5 reductase 1</t>
  </si>
  <si>
    <t>Brain-specific angiogenesis inhibitor 1-associated protein 2-like protein 1</t>
  </si>
  <si>
    <t>Zinc finger HIT domain-containing protein 2</t>
  </si>
  <si>
    <t>Prefoldin subunit 2</t>
  </si>
  <si>
    <t>GPN-loop GTPase 3</t>
  </si>
  <si>
    <t>Isoform 4 of Poly(U)-binding-splicing factor PUF60</t>
  </si>
  <si>
    <t>Isoform 5 of EGF-like module-containing mucin-like hormone receptor-like 2</t>
  </si>
  <si>
    <t>Nuclear receptor-binding protein</t>
  </si>
  <si>
    <t>Enolase-phosphatase E1</t>
  </si>
  <si>
    <t>NADH dehydrogenase [ubiquinone] 1 alpha subcomplex subunit 12</t>
  </si>
  <si>
    <t>Translation initiation factor eIF-2B subunit delta</t>
  </si>
  <si>
    <t>Isoform 3 of Translation initiation factor eIF-2B subunit delta</t>
  </si>
  <si>
    <t>Isoform 2 of V-type proton ATPase subunit H</t>
  </si>
  <si>
    <t>Importin-11</t>
  </si>
  <si>
    <t>tRNA methyltransferase 112 homolog</t>
  </si>
  <si>
    <t>Putative ribosomal RNA methyltransferase 2</t>
  </si>
  <si>
    <t>Leucine carboxyl methyltransferase 1</t>
  </si>
  <si>
    <t>Vacuolar protein sorting-associated protein 51 homolog</t>
  </si>
  <si>
    <t>Isoform 2 of Tyrosine-protein kinase BAZ1B</t>
  </si>
  <si>
    <t>ATPase inhibitor, mitochondrial</t>
  </si>
  <si>
    <t>GTP:AMP phosphotransferase AK3, mitochondrial</t>
  </si>
  <si>
    <t>Isoform 3 of Short coiled-coil protein</t>
  </si>
  <si>
    <t>FK506-binding protein-like</t>
  </si>
  <si>
    <t>Isoform 3 of Leucyl-cystinyl aminopeptidase</t>
  </si>
  <si>
    <t>Isoform 2 of CCR4-NOT transcription complex subunit 7</t>
  </si>
  <si>
    <t>Isoform 3 of Gamma-glutamyltransferase 7</t>
  </si>
  <si>
    <t>tRNA (adenine(58)-N(1))-methyltransferase non-catalytic subunit TRM6</t>
  </si>
  <si>
    <t>N-acetylglucosamine-1-phosphotransferase subunit gamma</t>
  </si>
  <si>
    <t>Ribosome biogenesis protein TSR3 homolog</t>
  </si>
  <si>
    <t>Calcium-binding mitochondrial carrier protein Aralar2</t>
  </si>
  <si>
    <t>Tubulin epsilon chain</t>
  </si>
  <si>
    <t>Drebrin-like protein</t>
  </si>
  <si>
    <t>Isoform 2 of Drebrin-like protein</t>
  </si>
  <si>
    <t>Isoform 2 of Dynactin subunit 4</t>
  </si>
  <si>
    <t>Cell division cycle protein 23 homolog</t>
  </si>
  <si>
    <t>Isoform 2 of Anaphase-promoting complex subunit 7</t>
  </si>
  <si>
    <t>Anaphase-promoting complex subunit 4</t>
  </si>
  <si>
    <t>Isoform 2 of Anaphase-promoting complex subunit 2</t>
  </si>
  <si>
    <t>ADP-ribosylation factor-binding protein GGA2</t>
  </si>
  <si>
    <t>Isoform 4 of ADP-ribosylation factor-binding protein GGA1</t>
  </si>
  <si>
    <t>Stomatin-like protein 2, mitochondrial</t>
  </si>
  <si>
    <t>Isoform 2 of N-acetylglucosamine-1-phosphodiester alpha-N-acetylglucosaminidase</t>
  </si>
  <si>
    <t>Nocturnin</t>
  </si>
  <si>
    <t>Vacuolar protein sorting-associated protein 28 homolog</t>
  </si>
  <si>
    <t>U6 snRNA-associated Sm-like protein LSm7</t>
  </si>
  <si>
    <t>Isoform 3 of Inhibitor of growth protein 1</t>
  </si>
  <si>
    <t>Lariat debranching enzyme</t>
  </si>
  <si>
    <t>Isoform 2 of Protein FAM208A</t>
  </si>
  <si>
    <t>Protein fem-1 homolog B</t>
  </si>
  <si>
    <t>Isoform 3 of F-box only protein 9</t>
  </si>
  <si>
    <t>A-kinase anchor protein 11</t>
  </si>
  <si>
    <t>mRNA turnover protein 4 homolog</t>
  </si>
  <si>
    <t>Isoform 2 of TRAF2 and NCK-interacting protein kinase</t>
  </si>
  <si>
    <t>Isoform 6 of TRAF2 and NCK-interacting protein kinase</t>
  </si>
  <si>
    <t>Cleavage and polyadenylation specificity factor subunit 3</t>
  </si>
  <si>
    <t>DCC-interacting protein 13-alpha</t>
  </si>
  <si>
    <t>Serine/threonine-protein kinase tousled-like 1</t>
  </si>
  <si>
    <t>Isoform 2 of G patch domain-containing protein 8</t>
  </si>
  <si>
    <t>REST corepressor 1</t>
  </si>
  <si>
    <t>General transcription factor 3C polypeptide 4</t>
  </si>
  <si>
    <t>Protein kinase C and casein kinase substrate in neurons protein 3</t>
  </si>
  <si>
    <t>Isoform 2 of F-box only protein 5</t>
  </si>
  <si>
    <t>F-box only protein 4</t>
  </si>
  <si>
    <t>Isobutyryl-CoA dehydrogenase, mitochondrial</t>
  </si>
  <si>
    <t>E3 ubiquitin-protein ligase AMFR</t>
  </si>
  <si>
    <t>Protein argonaute-2</t>
  </si>
  <si>
    <t>Isoform 2 of Nuclear pore complex protein Nup50</t>
  </si>
  <si>
    <t>Zinc fingers and homeoboxes protein 1</t>
  </si>
  <si>
    <t>Protein CDV3 homolog</t>
  </si>
  <si>
    <t>CCR4-NOT transcription complex subunit 11</t>
  </si>
  <si>
    <t>Isoform 3 of Integrator complex subunit 6</t>
  </si>
  <si>
    <t>BAG family molecular chaperone regulator 5</t>
  </si>
  <si>
    <t>Ras-related protein Rab-21</t>
  </si>
  <si>
    <t>Ras-related protein Rab-22A</t>
  </si>
  <si>
    <t>Isoform 2 of Trafficking protein particle complex subunit 2-like protein</t>
  </si>
  <si>
    <t>Proteasome activator complex subunit 2</t>
  </si>
  <si>
    <t>Isoform 2 of Serine/threonine-protein kinase TAO2</t>
  </si>
  <si>
    <t>Short transient receptor potential channel 5</t>
  </si>
  <si>
    <t>Ras-related protein Rab-23</t>
  </si>
  <si>
    <t>Malignant T-cell-amplified sequence 1</t>
  </si>
  <si>
    <t>Protein WWC3</t>
  </si>
  <si>
    <t>Zinc transporter ZIP10</t>
  </si>
  <si>
    <t>Isoform 4 of Cell cycle progression protein 1</t>
  </si>
  <si>
    <t>Isoform 4 of Kinase D-interacting substrate of 220 kDa</t>
  </si>
  <si>
    <t>Arf-GAP with SH3 domain, ANK repeat and PH domain-containing protein 1</t>
  </si>
  <si>
    <t>Isoform 2 of Zinc finger and BTB domain-containing protein 21</t>
  </si>
  <si>
    <t>Zinc finger MIZ domain-containing protein 1</t>
  </si>
  <si>
    <t>Ankyrin repeat domain-containing protein 50</t>
  </si>
  <si>
    <t>Isoform 2 of TBC1 domain family member 24</t>
  </si>
  <si>
    <t>Pre-mRNA-splicing factor ISY1 homolog</t>
  </si>
  <si>
    <t>Protein phosphatase 1H</t>
  </si>
  <si>
    <t>E3 ubiquitin-protein ligase HECTD1</t>
  </si>
  <si>
    <t>Isoform 9 of Protein kinase C-binding protein 1</t>
  </si>
  <si>
    <t>Coronin-1C</t>
  </si>
  <si>
    <t>Targeting protein for Xklp2</t>
  </si>
  <si>
    <t>RNA-binding protein NOB1</t>
  </si>
  <si>
    <t>Isoform 2 of A-kinase anchor protein 8-like</t>
  </si>
  <si>
    <t>Isoform 2 of Apoptosis-associated speck-like protein containing a CARD</t>
  </si>
  <si>
    <t>Anaphase-promoting complex subunit 10</t>
  </si>
  <si>
    <t>Intercellular adhesion molecule 5</t>
  </si>
  <si>
    <t>Isoform 3 of NFU1 iron-sulfur cluster scaffold homolog, mitochondrial</t>
  </si>
  <si>
    <t>Pre-mRNA-processing factor 19</t>
  </si>
  <si>
    <t>Ubiquilin-1</t>
  </si>
  <si>
    <t>Neudesin</t>
  </si>
  <si>
    <t>Isoform 2 of Sorting nexin-12</t>
  </si>
  <si>
    <t>Isoform 5 of Synergin gamma</t>
  </si>
  <si>
    <t>Isoform 2 of Protein NDRG2</t>
  </si>
  <si>
    <t>Vacuolar protein sorting-associated protein 4A</t>
  </si>
  <si>
    <t>Isoform B of Ras GTPase-activating protein-binding protein 2</t>
  </si>
  <si>
    <t>E3 ubiquitin-protein ligase CHIP</t>
  </si>
  <si>
    <t>Isoform 2 of Protein kinase C and casein kinase substrate in neurons protein 2</t>
  </si>
  <si>
    <t>Melanoma-associated antigen D2</t>
  </si>
  <si>
    <t>Sorting nexin-6</t>
  </si>
  <si>
    <t>Dual specificity protein phosphatase 12</t>
  </si>
  <si>
    <t>Syntaxin-8</t>
  </si>
  <si>
    <t>26S proteasome non-ATPase regulatory subunit 13</t>
  </si>
  <si>
    <t>FAS-associated factor 1</t>
  </si>
  <si>
    <t>Endothelial protein C receptor</t>
  </si>
  <si>
    <t>Peptidyl-prolyl cis-trans isomerase E</t>
  </si>
  <si>
    <t>Probable dimethyladenosine transferase</t>
  </si>
  <si>
    <t>Isoform 2 of Protein timeless homolog</t>
  </si>
  <si>
    <t>COP9 signalosome complex subunit 3</t>
  </si>
  <si>
    <t>Multiple inositol polyphosphate phosphatase 1</t>
  </si>
  <si>
    <t>WD repeat-containing protein 3</t>
  </si>
  <si>
    <t>Transcription termination factor 2</t>
  </si>
  <si>
    <t>NSFL1 cofactor p47</t>
  </si>
  <si>
    <t>Leydig cell tumor 10 kDa protein homolog</t>
  </si>
  <si>
    <t>Isoform Gamma of Transferrin receptor protein 2</t>
  </si>
  <si>
    <t>Conserved oligomeric Golgi complex subunit 5</t>
  </si>
  <si>
    <t>Isoform 3 of Solute carrier family 12 member 4</t>
  </si>
  <si>
    <t>Isoform 2 of AP-4 complex subunit epsilon-1</t>
  </si>
  <si>
    <t>Isoform 2 of 5-azacytidine-induced protein 1</t>
  </si>
  <si>
    <t>Protein SCAF8</t>
  </si>
  <si>
    <t>Serine/threonine-protein phosphatase 6 regulatory subunit 1</t>
  </si>
  <si>
    <t>Isoform Beta of E3 ubiquitin-protein ligase TRIM33</t>
  </si>
  <si>
    <t>Protein SMG5</t>
  </si>
  <si>
    <t>Isoform 2 of Exocyst complex component 7</t>
  </si>
  <si>
    <t>Isoform 2 of Ubiquitin carboxyl-terminal hydrolase 22</t>
  </si>
  <si>
    <t>Ubiquitin carboxyl-terminal hydrolase 24</t>
  </si>
  <si>
    <t>Microtubule-associated protein RP/EB family member 3</t>
  </si>
  <si>
    <t>Isoform 2 of Microtubule-associated protein RP/EB family member 3</t>
  </si>
  <si>
    <t>Isoform 2 of Hermansky-Pudlak syndrome 5 protein</t>
  </si>
  <si>
    <t>Isoform 2 of Leucine-rich repeat protein SHOC-2</t>
  </si>
  <si>
    <t>Serine/arginine repetitive matrix protein 2</t>
  </si>
  <si>
    <t>Isoform 2 of Alpha-1,3-mannosyl-glycoprotein 4-beta-N-acetylglucosaminyltransferase B</t>
  </si>
  <si>
    <t>Proliferation-associated protein 2G4</t>
  </si>
  <si>
    <t>Isoform 2 of Exonuclease 1</t>
  </si>
  <si>
    <t>Paraplegin</t>
  </si>
  <si>
    <t>Isoform 3 of Brain-specific angiogenesis inhibitor 1-associated protein 2</t>
  </si>
  <si>
    <t>Isoform 2 of GRB2-associated-binding protein 2</t>
  </si>
  <si>
    <t>Structural maintenance of chromosomes protein 3</t>
  </si>
  <si>
    <t>Ubiquitin-conjugating enzyme 1 isoform</t>
  </si>
  <si>
    <t>SH2B adapter protein 3</t>
  </si>
  <si>
    <t>Sex comb on midleg-like protein 2</t>
  </si>
  <si>
    <t>Myotubularin-related protein 6</t>
  </si>
  <si>
    <t>Protein jagged-2</t>
  </si>
  <si>
    <t>Bifunctional UDP-N-acetylglucosamine 2-epimerase/N-acetylmannosamine kinase</t>
  </si>
  <si>
    <t>UPF0568 protein C14orf166</t>
  </si>
  <si>
    <t>RING finger protein 24</t>
  </si>
  <si>
    <t>RuvB-like 2</t>
  </si>
  <si>
    <t>Isoform 2 of Chromodomain Y-like protein</t>
  </si>
  <si>
    <t>Peptidyl-prolyl cis-trans isomerase NIMA-interacting 4</t>
  </si>
  <si>
    <t>HIG1 domain family member 1A, mitochondrial</t>
  </si>
  <si>
    <t>Proteasome maturation protein</t>
  </si>
  <si>
    <t>DNA replication complex GINS protein PSF2</t>
  </si>
  <si>
    <t>Isoform 5 of Leucine zipper putative tumor suppressor 1</t>
  </si>
  <si>
    <t>Phospholipase A-2-activating protein</t>
  </si>
  <si>
    <t>RuvB-like 1</t>
  </si>
  <si>
    <t>Nuclear migration protein nudC</t>
  </si>
  <si>
    <t>Mitochondrial chaperone BCS1</t>
  </si>
  <si>
    <t>Voltage-dependent anion-selective channel protein 3</t>
  </si>
  <si>
    <t>Cofilin-2</t>
  </si>
  <si>
    <t>Sodium-dependent multivitamin transporter</t>
  </si>
  <si>
    <t>Histone chaperone ASF1A</t>
  </si>
  <si>
    <t>Developmentally-regulated GTP-binding protein 1</t>
  </si>
  <si>
    <t>Nck-associated protein 1</t>
  </si>
  <si>
    <t>Protein canopy homolog 2</t>
  </si>
  <si>
    <t>Isoform 2 of Afadin- and alpha-actinin-binding protein</t>
  </si>
  <si>
    <t>Isoform 4 of Caspase recruitment domain-containing protein 8</t>
  </si>
  <si>
    <t>Probable phospholipid-transporting ATPase IF</t>
  </si>
  <si>
    <t>GDP-fucose protein O-fucosyltransferase 2</t>
  </si>
  <si>
    <t>Isoform 3 of Disks large-associated protein 4</t>
  </si>
  <si>
    <t>Serine/threonine-protein kinase 38-like</t>
  </si>
  <si>
    <t>Nischarin</t>
  </si>
  <si>
    <t>1-phosphatidylinositol 3-phosphate 5-kinase</t>
  </si>
  <si>
    <t>WD repeat-containing protein 37</t>
  </si>
  <si>
    <t>Ubiquitin carboxyl-terminal hydrolase 20</t>
  </si>
  <si>
    <t>Lysine-specific demethylase 2A</t>
  </si>
  <si>
    <t>Exosome complex exonuclease RRP44</t>
  </si>
  <si>
    <t>RNA 3-terminal phosphate cyclase-like protein</t>
  </si>
  <si>
    <t>Glutathione S-transferase kappa 1</t>
  </si>
  <si>
    <t>Ragulator complex protein LAMTOR2</t>
  </si>
  <si>
    <t>28S ribosomal protein S28, mitochondrial</t>
  </si>
  <si>
    <t>Cytochrome c oxidase assembly protein 3 homolog, mitochondrial</t>
  </si>
  <si>
    <t>DNA-directed RNA polymerases I and III subunit RPAC2</t>
  </si>
  <si>
    <t>Translation machinery-associated protein 7</t>
  </si>
  <si>
    <t>Polymerase delta-interacting protein 2</t>
  </si>
  <si>
    <t>AP-3 complex subunit mu-1</t>
  </si>
  <si>
    <t>Mitogen-activated protein kinase kinase kinase 2</t>
  </si>
  <si>
    <t>Inner nuclear membrane protein Man1</t>
  </si>
  <si>
    <t>Calcium-regulated heat stable protein 1</t>
  </si>
  <si>
    <t>Isoform 2 of Conserved oligomeric Golgi complex subunit 6</t>
  </si>
  <si>
    <t>Thyroid hormone receptor-associated protein 3</t>
  </si>
  <si>
    <t>Nucleolar protein 58</t>
  </si>
  <si>
    <t>DNA-directed RNA polymerase III subunit RPC10</t>
  </si>
  <si>
    <t>Isoform 2 of Suppressor of G2 allele of SKP1 homolog</t>
  </si>
  <si>
    <t>Isoform 6 of Protein MTO1 homolog, mitochondrial</t>
  </si>
  <si>
    <t>Tyrosine--tRNA ligase, mitochondrial</t>
  </si>
  <si>
    <t>Isoform 3 of Ubiquinone biosynthesis monooxygenase COQ6</t>
  </si>
  <si>
    <t>Putative N-acetylglucosamine-6-phosphate deacetylase</t>
  </si>
  <si>
    <t>Isoform 2 of Putative N-acetylglucosamine-6-phosphate deacetylase</t>
  </si>
  <si>
    <t>Acyl-coenzyme A thioesterase 9, mitochondrial</t>
  </si>
  <si>
    <t>Nitric oxide synthase-interacting protein</t>
  </si>
  <si>
    <t>Protein MEMO1</t>
  </si>
  <si>
    <t>Isoform 2 of Thioredoxin-related transmembrane protein 2</t>
  </si>
  <si>
    <t>U6 snRNA-associated Sm-like protein LSm2</t>
  </si>
  <si>
    <t>Endophilin-B1</t>
  </si>
  <si>
    <t>Complex I intermediate-associated protein 30, mitochondrial</t>
  </si>
  <si>
    <t>Calcium-binding protein 39</t>
  </si>
  <si>
    <t>Putative RNA-binding protein Luc7-like 2</t>
  </si>
  <si>
    <t>Ubiquitin-conjugating enzyme E2 J1</t>
  </si>
  <si>
    <t>RNA-binding motif protein, X-linked 2</t>
  </si>
  <si>
    <t>Isoform 2 of Dehydrogenase/reductase SDR family member 7</t>
  </si>
  <si>
    <t>28S ribosomal protein S2, mitochondrial</t>
  </si>
  <si>
    <t>MOB-like protein phocein</t>
  </si>
  <si>
    <t>Ribosome maturation protein SBDS</t>
  </si>
  <si>
    <t>Transmembrane emp24 domain-containing protein 5</t>
  </si>
  <si>
    <t>Transmembrane emp24 domain-containing protein 7</t>
  </si>
  <si>
    <t>Pre-mRNA branch site protein p14</t>
  </si>
  <si>
    <t>39S ribosomal protein L11, mitochondrial</t>
  </si>
  <si>
    <t>RRP15-like protein</t>
  </si>
  <si>
    <t>Nucleolar protein 16</t>
  </si>
  <si>
    <t>Isoform 2 of TP53RK-binding protein</t>
  </si>
  <si>
    <t>RING finger protein 11</t>
  </si>
  <si>
    <t>Peptidyl-prolyl cis-trans isomerase-like 1</t>
  </si>
  <si>
    <t>Ubiquitin-fold modifier-conjugating enzyme 1</t>
  </si>
  <si>
    <t>Mitotic spindle-associated MMXD complex subunit MIP18</t>
  </si>
  <si>
    <t>Methionine-R-sulfoxide reductase B2, mitochondrial</t>
  </si>
  <si>
    <t>Mitochondrial fission 1 protein</t>
  </si>
  <si>
    <t>Isoform 3 of Adenylate kinase isoenzyme 6</t>
  </si>
  <si>
    <t>28S ribosomal protein S23, mitochondrial</t>
  </si>
  <si>
    <t>Hepatoma-derived growth factor-related protein 3</t>
  </si>
  <si>
    <t>Isoform 4 of Charged multivesicular body protein 3</t>
  </si>
  <si>
    <t>Serine-threonine kinase receptor-associated protein</t>
  </si>
  <si>
    <t>tRNA-splicing ligase RtcB homolog</t>
  </si>
  <si>
    <t>F-box only protein 7</t>
  </si>
  <si>
    <t>Ras-related protein Rap-2c</t>
  </si>
  <si>
    <t>Rab GTPase-activating protein 1</t>
  </si>
  <si>
    <t>Transmembrane emp24 domain-containing protein 3</t>
  </si>
  <si>
    <t>TSC22 domain family protein 4</t>
  </si>
  <si>
    <t>Zinc finger protein 330</t>
  </si>
  <si>
    <t>R3H and coiled-coil domain-containing protein 1</t>
  </si>
  <si>
    <t>Nucleolar complex protein 2 homolog</t>
  </si>
  <si>
    <t>Coiled-coil domain-containing protein 9</t>
  </si>
  <si>
    <t>Isoform 3 of Chromatin target of PRMT1 protein</t>
  </si>
  <si>
    <t>Deoxynucleoside triphosphate triphosphohydrolase SAMHD1</t>
  </si>
  <si>
    <t>Isoform 2 of C2 domain-containing protein 2</t>
  </si>
  <si>
    <t>Plakophilin-3</t>
  </si>
  <si>
    <t>Small kinetochore-associated protein</t>
  </si>
  <si>
    <t>Isoform 3 of HBS1-like protein</t>
  </si>
  <si>
    <t>5-AMP-activated protein kinase subunit beta-1</t>
  </si>
  <si>
    <t>V-type proton ATPase 116 kDa subunit a isoform 2</t>
  </si>
  <si>
    <t>Talin-1</t>
  </si>
  <si>
    <t>Isoform 3 of Protein VPRBP</t>
  </si>
  <si>
    <t>Isoform 2 of Protein FAM115A</t>
  </si>
  <si>
    <t>Ubiquitin carboxyl-terminal hydrolase 15</t>
  </si>
  <si>
    <t>Rap guanine nucleotide exchange factor 2</t>
  </si>
  <si>
    <t>TNF receptor-associated factor 6</t>
  </si>
  <si>
    <t>Mitogen-activated protein kinase kinase kinase kinase 5</t>
  </si>
  <si>
    <t>Isoform 6 of Cysteine protease ATG4B</t>
  </si>
  <si>
    <t>Telomere length regulation protein TEL2 homolog</t>
  </si>
  <si>
    <t>Isoform 2 of Ribosomal biogenesis protein LAS1L</t>
  </si>
  <si>
    <t>AFG3-like protein 2</t>
  </si>
  <si>
    <t>AMME syndrome candidate gene 1 protein</t>
  </si>
  <si>
    <t>E3 ubiquitin-protein ligase ARIH1</t>
  </si>
  <si>
    <t>U6 snRNA-associated Sm-like protein LSm4</t>
  </si>
  <si>
    <t>RING finger protein 114</t>
  </si>
  <si>
    <t>Sorting and assembly machinery component 50 homolog</t>
  </si>
  <si>
    <t>Leucine-rich repeat-containing protein 42</t>
  </si>
  <si>
    <t>Protein phosphatase methylesterase 1</t>
  </si>
  <si>
    <t>Mitochondrial import inner membrane translocase subunit Tim22</t>
  </si>
  <si>
    <t>Isoform 2 of BTB/POZ domain-containing protein KCTD3</t>
  </si>
  <si>
    <t>YTH domain family protein 2</t>
  </si>
  <si>
    <t>RNA polymerase II subunit A C-terminal domain phosphatase</t>
  </si>
  <si>
    <t>PAX3- and PAX7-binding protein 1</t>
  </si>
  <si>
    <t>Isoform 2 of Nucleoside diphosphate kinase 7</t>
  </si>
  <si>
    <t>FACT complex subunit SPT16</t>
  </si>
  <si>
    <t>U3 small nucleolar RNA-associated protein 18 homolog</t>
  </si>
  <si>
    <t>Mitochondrial import inner membrane translocase subunit Tim10 B</t>
  </si>
  <si>
    <t>Mitochondrial import inner membrane translocase subunit Tim9</t>
  </si>
  <si>
    <t>Isoform 2 of Ubiquitin carboxyl-terminal hydrolase isozyme L5</t>
  </si>
  <si>
    <t>CD2-associated protein</t>
  </si>
  <si>
    <t>V-type proton ATPase subunit D</t>
  </si>
  <si>
    <t>Transportin-3</t>
  </si>
  <si>
    <t>Mitochondrial import inner membrane translocase subunit Tim13</t>
  </si>
  <si>
    <t>Signal recognition particle receptor subunit beta</t>
  </si>
  <si>
    <t>HemK methyltransferase family member 2</t>
  </si>
  <si>
    <t>Origin recognition complex subunit 6</t>
  </si>
  <si>
    <t>Isoform 2 of Collagen type IV alpha-3-binding protein</t>
  </si>
  <si>
    <t>Mannose-1-phosphate guanyltransferase beta</t>
  </si>
  <si>
    <t>General transcription factor 3C polypeptide 5</t>
  </si>
  <si>
    <t>General transcription factor 3C polypeptide 3</t>
  </si>
  <si>
    <t>Trafficking protein particle complex subunit 1</t>
  </si>
  <si>
    <t>Transient receptor potential cation channel subfamily V member 2</t>
  </si>
  <si>
    <t>Serine/threonine-protein kinase MRCK beta</t>
  </si>
  <si>
    <t>RNA-binding protein 8A</t>
  </si>
  <si>
    <t>DnaJ homolog subfamily C member 15</t>
  </si>
  <si>
    <t>Isoform 2 of Ubiquitin carboxyl-terminal hydrolase 16</t>
  </si>
  <si>
    <t>Isoform 2 of Protein TSSC4</t>
  </si>
  <si>
    <t>Immediate early response 3-interacting protein 1</t>
  </si>
  <si>
    <t>Zinc finger protein 706</t>
  </si>
  <si>
    <t>Sorting nexin-9</t>
  </si>
  <si>
    <t>Sorting nexin-8</t>
  </si>
  <si>
    <t>Sorting nexin-5</t>
  </si>
  <si>
    <t>Feline leukemia virus subgroup C receptor-related protein 1</t>
  </si>
  <si>
    <t>Cytosolic Fe-S cluster assembly factor NUBP2</t>
  </si>
  <si>
    <t>Heme-binding protein 2</t>
  </si>
  <si>
    <t>MORF4 family-associated protein 1</t>
  </si>
  <si>
    <t>Leucine-rich repeat flightless-interacting protein 2</t>
  </si>
  <si>
    <t>Isoform 4 of Leucine-rich repeat flightless-interacting protein 2</t>
  </si>
  <si>
    <t>FH1/FH2 domain-containing protein 1</t>
  </si>
  <si>
    <t>Phosphoserine aminotransferase</t>
  </si>
  <si>
    <t>Mitochondrial ornithine transporter 1</t>
  </si>
  <si>
    <t>DNA repair and recombination protein RAD54B</t>
  </si>
  <si>
    <t>Isoform 1 of Neuroplastin</t>
  </si>
  <si>
    <t>Carboxypeptidase Q</t>
  </si>
  <si>
    <t>Spindlin-1</t>
  </si>
  <si>
    <t>Dolichyl-phosphate beta-glucosyltransferase</t>
  </si>
  <si>
    <t>28S ribosomal protein S18b, mitochondrial</t>
  </si>
  <si>
    <t>Coatomer subunit gamma-1</t>
  </si>
  <si>
    <t>Isoform Short of Ancient ubiquitous protein 1</t>
  </si>
  <si>
    <t>Isoform 3 of Peptidyl-prolyl cis-trans isomerase FKBP7</t>
  </si>
  <si>
    <t>Isoform 2 of ADP-ribosylation factor-like protein 5A</t>
  </si>
  <si>
    <t>Isoform 2 of Glucocorticoid modulatory element-binding protein 1</t>
  </si>
  <si>
    <t>Chloride intracellular channel protein 4</t>
  </si>
  <si>
    <t>Isoform Cytoplasmic of Cysteine desulfurase, mitochondrial</t>
  </si>
  <si>
    <t>UPF0468 protein C16orf80</t>
  </si>
  <si>
    <t>Transforming acidic coiled-coil-containing protein 3</t>
  </si>
  <si>
    <t>GTP-binding protein SAR1b</t>
  </si>
  <si>
    <t>AP-4 complex subunit beta-1</t>
  </si>
  <si>
    <t>Mitochondrial carrier homolog 2</t>
  </si>
  <si>
    <t>Brefeldin A-inhibited guanine nucleotide-exchange protein 2</t>
  </si>
  <si>
    <t>Brefeldin A-inhibited guanine nucleotide-exchange protein 1</t>
  </si>
  <si>
    <t>Mitotic spindle assembly checkpoint protein MAD1</t>
  </si>
  <si>
    <t>Cytoplasmic dynein 1 light intermediate chain 1</t>
  </si>
  <si>
    <t>Coiled-coil-helix-coiled-coil-helix domain-containing protein 2, mitochondrial</t>
  </si>
  <si>
    <t>Mitochondrial inner membrane protease ATP23 homolog</t>
  </si>
  <si>
    <t>Isoform 3 of Epsin-1</t>
  </si>
  <si>
    <t>Testis-expressed sequence 264 protein</t>
  </si>
  <si>
    <t>TAF6-like RNA polymerase II p300/CBP-associated factor-associated factor 65 kDa subunit 6L</t>
  </si>
  <si>
    <t>Choline/ethanolaminephosphotransferase 1</t>
  </si>
  <si>
    <t>NF-kappa-B essential modulator</t>
  </si>
  <si>
    <t>Isoform 2 of Testisin</t>
  </si>
  <si>
    <t>Isoform 3 of Casein kinase I isoform gamma-3</t>
  </si>
  <si>
    <t>Zinc transporter 1</t>
  </si>
  <si>
    <t>Isoform T3 of Sestrin-1</t>
  </si>
  <si>
    <t>Isoform 2 of Nuclear receptor coactivator 3</t>
  </si>
  <si>
    <t>Numb-like protein</t>
  </si>
  <si>
    <t>Probable ATP-dependent RNA helicase DDX49</t>
  </si>
  <si>
    <t>Calpain-7</t>
  </si>
  <si>
    <t>Wiskott-Aldrich syndrome protein family member 2</t>
  </si>
  <si>
    <t>MORC family CW-type zinc finger protein 2</t>
  </si>
  <si>
    <t>Influenza virus NS1A-binding protein</t>
  </si>
  <si>
    <t>Motile sperm domain-containing protein 2</t>
  </si>
  <si>
    <t>26S proteasome non-ATPase regulatory subunit 8</t>
  </si>
  <si>
    <t>Polycomb complex protein BMI-1</t>
  </si>
  <si>
    <t>Ran-binding protein 10</t>
  </si>
  <si>
    <t>MAP kinase-activated protein kinase 5 (Fragment)</t>
  </si>
  <si>
    <t>YTH domain family protein 3</t>
  </si>
  <si>
    <t>Protein S100-A6 (Fragment)</t>
  </si>
  <si>
    <t>Acyl-CoA synthetase family member 4</t>
  </si>
  <si>
    <t>DENN domain-containing protein 4C</t>
  </si>
  <si>
    <t>Ubiquitin-conjugating enzyme E2 E3</t>
  </si>
  <si>
    <t>T-complex protein 11-like protein 1 (Fragment)</t>
  </si>
  <si>
    <t>F-box only protein 2 (Fragment)</t>
  </si>
  <si>
    <t>26S protease regulatory subunit 6A</t>
  </si>
  <si>
    <t>Adrenocortical dysplasia protein homolog (Fragment)</t>
  </si>
  <si>
    <t>UBA6</t>
  </si>
  <si>
    <t>ESYT2</t>
  </si>
  <si>
    <t>UHRF1BP1L</t>
  </si>
  <si>
    <t>KIAA1598</t>
  </si>
  <si>
    <t>TMEM223</t>
  </si>
  <si>
    <t>KIAA0999</t>
  </si>
  <si>
    <t>ILVBL</t>
  </si>
  <si>
    <t>ACO2</t>
  </si>
  <si>
    <t>RALGAPB</t>
  </si>
  <si>
    <t>AAR2</t>
  </si>
  <si>
    <t>PRNP</t>
  </si>
  <si>
    <t>PIPSL</t>
  </si>
  <si>
    <t>NBAS</t>
  </si>
  <si>
    <t>TYW5</t>
  </si>
  <si>
    <t>FUOM</t>
  </si>
  <si>
    <t>SBNO1</t>
  </si>
  <si>
    <t>ISPD</t>
  </si>
  <si>
    <t>GTPBP10</t>
  </si>
  <si>
    <t>DKFZP586J0619</t>
  </si>
  <si>
    <t>MBLAC1</t>
  </si>
  <si>
    <t>XIRP2</t>
  </si>
  <si>
    <t>CNOT1</t>
  </si>
  <si>
    <t>SDCCAG8</t>
  </si>
  <si>
    <t>MRPS16</t>
  </si>
  <si>
    <t>FAM83G</t>
  </si>
  <si>
    <t>PALM3</t>
  </si>
  <si>
    <t>PGP</t>
  </si>
  <si>
    <t>C5orf51</t>
  </si>
  <si>
    <t>RCCD1</t>
  </si>
  <si>
    <t>HCFC1</t>
  </si>
  <si>
    <t>PIGK</t>
  </si>
  <si>
    <t>OFD1</t>
  </si>
  <si>
    <t>ZNF316</t>
  </si>
  <si>
    <t>FAM115C</t>
  </si>
  <si>
    <t>NUDT5</t>
  </si>
  <si>
    <t>CHMP1A</t>
  </si>
  <si>
    <t>SPTAN1</t>
  </si>
  <si>
    <t>PRCC</t>
  </si>
  <si>
    <t>WIPF3</t>
  </si>
  <si>
    <t>CCDC160</t>
  </si>
  <si>
    <t>HN1L</t>
  </si>
  <si>
    <t>GGT3P</t>
  </si>
  <si>
    <t>TUBAL3</t>
  </si>
  <si>
    <t>ZMYM3</t>
  </si>
  <si>
    <t>SMCHD1</t>
  </si>
  <si>
    <t>UNC119B</t>
  </si>
  <si>
    <t>DOCK11</t>
  </si>
  <si>
    <t>NDEL1</t>
  </si>
  <si>
    <t>METTL15</t>
  </si>
  <si>
    <t>CHCHD1</t>
  </si>
  <si>
    <t>CDKN1C</t>
  </si>
  <si>
    <t>CCDC85C</t>
  </si>
  <si>
    <t>GPR89C</t>
  </si>
  <si>
    <t>RENBP</t>
  </si>
  <si>
    <t>CNIH4</t>
  </si>
  <si>
    <t>SEPT8</t>
  </si>
  <si>
    <t>POLA1</t>
  </si>
  <si>
    <t>SHROOM1</t>
  </si>
  <si>
    <t>PPP2R4</t>
  </si>
  <si>
    <t>PIP5K1A</t>
  </si>
  <si>
    <t>ZBTB8OS</t>
  </si>
  <si>
    <t>SELK</t>
  </si>
  <si>
    <t>DDX11L8</t>
  </si>
  <si>
    <t>YDJC</t>
  </si>
  <si>
    <t>S100B</t>
  </si>
  <si>
    <t>SNRPB</t>
  </si>
  <si>
    <t>PDPR</t>
  </si>
  <si>
    <t>PNMT</t>
  </si>
  <si>
    <t>POT1</t>
  </si>
  <si>
    <t>DDX52</t>
  </si>
  <si>
    <t>DSCR3</t>
  </si>
  <si>
    <t>S100PBP</t>
  </si>
  <si>
    <t>SUMO3</t>
  </si>
  <si>
    <t>TUBA4A</t>
  </si>
  <si>
    <t>HBE1</t>
  </si>
  <si>
    <t>TSSC1</t>
  </si>
  <si>
    <t>NPRL3</t>
  </si>
  <si>
    <t>DGKZ</t>
  </si>
  <si>
    <t>BICD1</t>
  </si>
  <si>
    <t>PLRG1</t>
  </si>
  <si>
    <t>KIAA1324L</t>
  </si>
  <si>
    <t>SUMF2</t>
  </si>
  <si>
    <t>RAI1</t>
  </si>
  <si>
    <t>MATR3</t>
  </si>
  <si>
    <t>PTTG1IP</t>
  </si>
  <si>
    <t>NUDT19</t>
  </si>
  <si>
    <t>MIF4GD</t>
  </si>
  <si>
    <t>SRRM1</t>
  </si>
  <si>
    <t>PFKFB2</t>
  </si>
  <si>
    <t>DNAL4</t>
  </si>
  <si>
    <t>EIF3L</t>
  </si>
  <si>
    <t>SMCR7L</t>
  </si>
  <si>
    <t>TBC1D22A</t>
  </si>
  <si>
    <t>EWSR1</t>
  </si>
  <si>
    <t>BAG6</t>
  </si>
  <si>
    <t>ABHD16A</t>
  </si>
  <si>
    <t>EHMT2</t>
  </si>
  <si>
    <t>APOC3</t>
  </si>
  <si>
    <t>TSPO</t>
  </si>
  <si>
    <t>NHP2L1</t>
  </si>
  <si>
    <t>PSMD10</t>
  </si>
  <si>
    <t>HMGCL</t>
  </si>
  <si>
    <t>MAD2L2</t>
  </si>
  <si>
    <t>CROCC</t>
  </si>
  <si>
    <t>NRD1</t>
  </si>
  <si>
    <t>OSBPL9</t>
  </si>
  <si>
    <t>EIF4ENIF1</t>
  </si>
  <si>
    <t>CDC37L1</t>
  </si>
  <si>
    <t>TMEM9</t>
  </si>
  <si>
    <t>UBE2J2</t>
  </si>
  <si>
    <t>SEPT6</t>
  </si>
  <si>
    <t>EXOSC1</t>
  </si>
  <si>
    <t>CD58</t>
  </si>
  <si>
    <t>PRSS3</t>
  </si>
  <si>
    <t>GUK1</t>
  </si>
  <si>
    <t>SOAT1</t>
  </si>
  <si>
    <t>USF1</t>
  </si>
  <si>
    <t>MUC1</t>
  </si>
  <si>
    <t>FGF13</t>
  </si>
  <si>
    <t>JMJD6</t>
  </si>
  <si>
    <t>PHC2</t>
  </si>
  <si>
    <t>PSME3</t>
  </si>
  <si>
    <t>MAN1B1</t>
  </si>
  <si>
    <t>EIF3S3</t>
  </si>
  <si>
    <t>EIF3F</t>
  </si>
  <si>
    <t>LZTFL1</t>
  </si>
  <si>
    <t>WHSC2</t>
  </si>
  <si>
    <t>MXRA8</t>
  </si>
  <si>
    <t>SOD2</t>
  </si>
  <si>
    <t>PHF23</t>
  </si>
  <si>
    <t>PYROXD1</t>
  </si>
  <si>
    <t>SLC12A6</t>
  </si>
  <si>
    <t>RXRA</t>
  </si>
  <si>
    <t>ARL6IP4</t>
  </si>
  <si>
    <t>CNN2</t>
  </si>
  <si>
    <t>BUB3</t>
  </si>
  <si>
    <t>HARS2</t>
  </si>
  <si>
    <t>SLC35A2</t>
  </si>
  <si>
    <t>CTNNBL1</t>
  </si>
  <si>
    <t>TBC1D25</t>
  </si>
  <si>
    <t>MKNK2</t>
  </si>
  <si>
    <t>PRNPIP</t>
  </si>
  <si>
    <t>NDUFA13</t>
  </si>
  <si>
    <t>HAUS3</t>
  </si>
  <si>
    <t>SLC17A5</t>
  </si>
  <si>
    <t>HUS1</t>
  </si>
  <si>
    <t>COMMD1</t>
  </si>
  <si>
    <t>DYNLRB1</t>
  </si>
  <si>
    <t>SMARCE1</t>
  </si>
  <si>
    <t>PIP4K2A</t>
  </si>
  <si>
    <t>MAP1S</t>
  </si>
  <si>
    <t>FBXW11</t>
  </si>
  <si>
    <t>TMEM165</t>
  </si>
  <si>
    <t>PIP5K1B</t>
  </si>
  <si>
    <t>RAB5A</t>
  </si>
  <si>
    <t>SNRPD3</t>
  </si>
  <si>
    <t>CS</t>
  </si>
  <si>
    <t>NAPB</t>
  </si>
  <si>
    <t>ZNF286A</t>
  </si>
  <si>
    <t>LSR</t>
  </si>
  <si>
    <t>CHURC1-FNTB</t>
  </si>
  <si>
    <t>KIF20A</t>
  </si>
  <si>
    <t>C2orf18</t>
  </si>
  <si>
    <t>SLC25A10</t>
  </si>
  <si>
    <t>NQO1</t>
  </si>
  <si>
    <t>RPS6KB1</t>
  </si>
  <si>
    <t>RNF220</t>
  </si>
  <si>
    <t>KDSR</t>
  </si>
  <si>
    <t>MRPL48</t>
  </si>
  <si>
    <t>DNAJB6</t>
  </si>
  <si>
    <t>ZNF460</t>
  </si>
  <si>
    <t>PTGES3</t>
  </si>
  <si>
    <t>SNX11</t>
  </si>
  <si>
    <t>TOX4</t>
  </si>
  <si>
    <t>TRA2A</t>
  </si>
  <si>
    <t>PGD</t>
  </si>
  <si>
    <t>HIST2H2BF</t>
  </si>
  <si>
    <t>SEC61A1</t>
  </si>
  <si>
    <t>STK24</t>
  </si>
  <si>
    <t>CHM</t>
  </si>
  <si>
    <t>SH2D3A</t>
  </si>
  <si>
    <t>C9orf41</t>
  </si>
  <si>
    <t>AGPAT4</t>
  </si>
  <si>
    <t>KIAA0513</t>
  </si>
  <si>
    <t>PTBP2</t>
  </si>
  <si>
    <t>WDR41</t>
  </si>
  <si>
    <t>ANXA7</t>
  </si>
  <si>
    <t>SLC25A46</t>
  </si>
  <si>
    <t>LIG1</t>
  </si>
  <si>
    <t>SERINC3</t>
  </si>
  <si>
    <t>BPNT1</t>
  </si>
  <si>
    <t>ANXA11</t>
  </si>
  <si>
    <t>VWA9</t>
  </si>
  <si>
    <t>EIF3D</t>
  </si>
  <si>
    <t>FOXO3</t>
  </si>
  <si>
    <t>HACL1</t>
  </si>
  <si>
    <t>FXR1</t>
  </si>
  <si>
    <t>GTPBP4</t>
  </si>
  <si>
    <t>TGFBR1</t>
  </si>
  <si>
    <t>NUP35</t>
  </si>
  <si>
    <t>AUH</t>
  </si>
  <si>
    <t>NCOA4</t>
  </si>
  <si>
    <t>ARL1</t>
  </si>
  <si>
    <t>HDAC6</t>
  </si>
  <si>
    <t>PEX5</t>
  </si>
  <si>
    <t>LRCH3</t>
  </si>
  <si>
    <t>PNPO</t>
  </si>
  <si>
    <t>ATE1</t>
  </si>
  <si>
    <t>PBXIP1</t>
  </si>
  <si>
    <t>RIOK3</t>
  </si>
  <si>
    <t>SFRS3</t>
  </si>
  <si>
    <t>PUM2</t>
  </si>
  <si>
    <t>STOM</t>
  </si>
  <si>
    <t>HADHB</t>
  </si>
  <si>
    <t>METTL13</t>
  </si>
  <si>
    <t>DVL3</t>
  </si>
  <si>
    <t>CHCHD10</t>
  </si>
  <si>
    <t>CDCA5</t>
  </si>
  <si>
    <t>LBH</t>
  </si>
  <si>
    <t>EPCAM</t>
  </si>
  <si>
    <t>PES1</t>
  </si>
  <si>
    <t>SREBF1</t>
  </si>
  <si>
    <t>RFT1</t>
  </si>
  <si>
    <t>RAN</t>
  </si>
  <si>
    <t>C2orf43</t>
  </si>
  <si>
    <t>METTL8</t>
  </si>
  <si>
    <t>GATA1</t>
  </si>
  <si>
    <t>CWC22</t>
  </si>
  <si>
    <t>EML3</t>
  </si>
  <si>
    <t>HNRPLL</t>
  </si>
  <si>
    <t>RIC8B</t>
  </si>
  <si>
    <t>PDIA6</t>
  </si>
  <si>
    <t>MFSD8</t>
  </si>
  <si>
    <t>RPS6KA5</t>
  </si>
  <si>
    <t>ALAD</t>
  </si>
  <si>
    <t>TBCE</t>
  </si>
  <si>
    <t>TPCN1</t>
  </si>
  <si>
    <t>NPEPPS</t>
  </si>
  <si>
    <t>DNASE2</t>
  </si>
  <si>
    <t>ERF</t>
  </si>
  <si>
    <t>CCBL1</t>
  </si>
  <si>
    <t>SLC6A9</t>
  </si>
  <si>
    <t>STMN3</t>
  </si>
  <si>
    <t>F11R</t>
  </si>
  <si>
    <t>ARMC8</t>
  </si>
  <si>
    <t>DECR1</t>
  </si>
  <si>
    <t>TES</t>
  </si>
  <si>
    <t>TNFAIP1</t>
  </si>
  <si>
    <t>RANBP3</t>
  </si>
  <si>
    <t>USP7</t>
  </si>
  <si>
    <t>DHCR24</t>
  </si>
  <si>
    <t>TRDMT1</t>
  </si>
  <si>
    <t>SH3PXD2A</t>
  </si>
  <si>
    <t>ATP6AP2</t>
  </si>
  <si>
    <t>ATP1B1</t>
  </si>
  <si>
    <t>CNOT8</t>
  </si>
  <si>
    <t>SH3GLB2</t>
  </si>
  <si>
    <t>PPP2R5E</t>
  </si>
  <si>
    <t>SCARB1</t>
  </si>
  <si>
    <t>RCSD1</t>
  </si>
  <si>
    <t>COX18</t>
  </si>
  <si>
    <t>TARSL2</t>
  </si>
  <si>
    <t>EDEM3</t>
  </si>
  <si>
    <t>RLTPR</t>
  </si>
  <si>
    <t>TAX1BP1</t>
  </si>
  <si>
    <t>SUMO1</t>
  </si>
  <si>
    <t>PTMA</t>
  </si>
  <si>
    <t>SNX13</t>
  </si>
  <si>
    <t>ATF2</t>
  </si>
  <si>
    <t>AGFG1</t>
  </si>
  <si>
    <t>USP39</t>
  </si>
  <si>
    <t>RHBDD1</t>
  </si>
  <si>
    <t>ICA1</t>
  </si>
  <si>
    <t>BAK1</t>
  </si>
  <si>
    <t>ATG12</t>
  </si>
  <si>
    <t>MED30S</t>
  </si>
  <si>
    <t>ASNSD1</t>
  </si>
  <si>
    <t>MKRN1</t>
  </si>
  <si>
    <t>CHMP2B</t>
  </si>
  <si>
    <t>ZC3HC1</t>
  </si>
  <si>
    <t>SRI</t>
  </si>
  <si>
    <t>ZNF655</t>
  </si>
  <si>
    <t>WDR91</t>
  </si>
  <si>
    <t>TNK2</t>
  </si>
  <si>
    <t>UBE2F</t>
  </si>
  <si>
    <t>UBE2E1</t>
  </si>
  <si>
    <t>CBLL1</t>
  </si>
  <si>
    <t>TAMM41</t>
  </si>
  <si>
    <t>IKBKG</t>
  </si>
  <si>
    <t>POLR2B</t>
  </si>
  <si>
    <t>MOSPD3</t>
  </si>
  <si>
    <t>IMMT</t>
  </si>
  <si>
    <t>SLC22A23</t>
  </si>
  <si>
    <t>RPL37A</t>
  </si>
  <si>
    <t>PDCD10</t>
  </si>
  <si>
    <t>LIN9</t>
  </si>
  <si>
    <t>PTGES3L-AARSD1</t>
  </si>
  <si>
    <t>IGF1R</t>
  </si>
  <si>
    <t>KIF20B</t>
  </si>
  <si>
    <t>EBP</t>
  </si>
  <si>
    <t>MKLN1</t>
  </si>
  <si>
    <t>LDHB</t>
  </si>
  <si>
    <t>PLSCR1</t>
  </si>
  <si>
    <t>TSEN2</t>
  </si>
  <si>
    <t>APOBR</t>
  </si>
  <si>
    <t>ALDH5A1</t>
  </si>
  <si>
    <t>RPSA</t>
  </si>
  <si>
    <t>NMD3</t>
  </si>
  <si>
    <t>SSR3</t>
  </si>
  <si>
    <t>SRSF7</t>
  </si>
  <si>
    <t>FXN</t>
  </si>
  <si>
    <t>BSDC1</t>
  </si>
  <si>
    <t>TFPI</t>
  </si>
  <si>
    <t>SPCS1</t>
  </si>
  <si>
    <t>C7orf41</t>
  </si>
  <si>
    <t>TANGO2</t>
  </si>
  <si>
    <t>DRAP1</t>
  </si>
  <si>
    <t>DIAPH3</t>
  </si>
  <si>
    <t>TMUB1</t>
  </si>
  <si>
    <t>NCOR2</t>
  </si>
  <si>
    <t>EIF4E2</t>
  </si>
  <si>
    <t>YIPF1</t>
  </si>
  <si>
    <t>GPS1</t>
  </si>
  <si>
    <t>CYCS</t>
  </si>
  <si>
    <t>ITM2C</t>
  </si>
  <si>
    <t>SPRED2</t>
  </si>
  <si>
    <t>AAMP</t>
  </si>
  <si>
    <t>GALNT10</t>
  </si>
  <si>
    <t>SYNM</t>
  </si>
  <si>
    <t>APEH</t>
  </si>
  <si>
    <t>PSAP</t>
  </si>
  <si>
    <t>VPS8</t>
  </si>
  <si>
    <t>MYADM</t>
  </si>
  <si>
    <t>SLC35E1</t>
  </si>
  <si>
    <t>C7orf49</t>
  </si>
  <si>
    <t>NDUFB3</t>
  </si>
  <si>
    <t>GART</t>
  </si>
  <si>
    <t>POLR2H</t>
  </si>
  <si>
    <t>APAF1</t>
  </si>
  <si>
    <t>C7orf43</t>
  </si>
  <si>
    <t>OARD1</t>
  </si>
  <si>
    <t>MBNL1</t>
  </si>
  <si>
    <t>CRTAP</t>
  </si>
  <si>
    <t>NKIRAS2</t>
  </si>
  <si>
    <t>CCDC58</t>
  </si>
  <si>
    <t>NME6</t>
  </si>
  <si>
    <t>STK11IP</t>
  </si>
  <si>
    <t>SATB2</t>
  </si>
  <si>
    <t>SEC22A</t>
  </si>
  <si>
    <t>CHCHD3</t>
  </si>
  <si>
    <t>DPP8</t>
  </si>
  <si>
    <t>SLC25A38</t>
  </si>
  <si>
    <t>ACTB</t>
  </si>
  <si>
    <t>VCP</t>
  </si>
  <si>
    <t>IFNAR1</t>
  </si>
  <si>
    <t>TTC32</t>
  </si>
  <si>
    <t>FOXJ3</t>
  </si>
  <si>
    <t>PRR24</t>
  </si>
  <si>
    <t>RPL24</t>
  </si>
  <si>
    <t>NUDT22</t>
  </si>
  <si>
    <t>BAG1</t>
  </si>
  <si>
    <t>SYPL1</t>
  </si>
  <si>
    <t>INPP5K</t>
  </si>
  <si>
    <t>ARFGAP3</t>
  </si>
  <si>
    <t>UBE2H</t>
  </si>
  <si>
    <t>TSKS</t>
  </si>
  <si>
    <t>SNUPN</t>
  </si>
  <si>
    <t>SUPT4H1</t>
  </si>
  <si>
    <t>TMEM23</t>
  </si>
  <si>
    <t>RPL32</t>
  </si>
  <si>
    <t>IRAK1</t>
  </si>
  <si>
    <t>NDOR1</t>
  </si>
  <si>
    <t>TAPBP</t>
  </si>
  <si>
    <t>MRPS36</t>
  </si>
  <si>
    <t>N4BP2L2</t>
  </si>
  <si>
    <t>HNRNPAB</t>
  </si>
  <si>
    <t>POLR3G</t>
  </si>
  <si>
    <t>COX7C</t>
  </si>
  <si>
    <t>CPLX1</t>
  </si>
  <si>
    <t>DOK3</t>
  </si>
  <si>
    <t>TMEM161B</t>
  </si>
  <si>
    <t>ELMOD2</t>
  </si>
  <si>
    <t>EIF4E</t>
  </si>
  <si>
    <t>HSD17B11</t>
  </si>
  <si>
    <t>TNFAIP8</t>
  </si>
  <si>
    <t>CXXC5</t>
  </si>
  <si>
    <t>EEF1E1</t>
  </si>
  <si>
    <t>PGM3</t>
  </si>
  <si>
    <t>PRELID1</t>
  </si>
  <si>
    <t>OCIAD1</t>
  </si>
  <si>
    <t>ATG10</t>
  </si>
  <si>
    <t>PET112</t>
  </si>
  <si>
    <t>CDC42SE2</t>
  </si>
  <si>
    <t>CSNK1A1</t>
  </si>
  <si>
    <t>SLC38A9</t>
  </si>
  <si>
    <t>SEC31A</t>
  </si>
  <si>
    <t>CEP120</t>
  </si>
  <si>
    <t>STX18</t>
  </si>
  <si>
    <t>PAICS</t>
  </si>
  <si>
    <t>DCK</t>
  </si>
  <si>
    <t>CYB5B</t>
  </si>
  <si>
    <t>SEPT11</t>
  </si>
  <si>
    <t>CNOT6L</t>
  </si>
  <si>
    <t>CENPK</t>
  </si>
  <si>
    <t>CCNH</t>
  </si>
  <si>
    <t>RNASET2</t>
  </si>
  <si>
    <t>COX7A2</t>
  </si>
  <si>
    <t>CLDND1</t>
  </si>
  <si>
    <t>MFSD10</t>
  </si>
  <si>
    <t>ZNF346</t>
  </si>
  <si>
    <t>COMMD10</t>
  </si>
  <si>
    <t>VWA8</t>
  </si>
  <si>
    <t>MMS22L</t>
  </si>
  <si>
    <t>GMNN</t>
  </si>
  <si>
    <t>NSMCE2</t>
  </si>
  <si>
    <t>IMPA1</t>
  </si>
  <si>
    <t>TATDN1</t>
  </si>
  <si>
    <t>RWDD1</t>
  </si>
  <si>
    <t>FCHSD1</t>
  </si>
  <si>
    <t>STMN2</t>
  </si>
  <si>
    <t>DERL1</t>
  </si>
  <si>
    <t>IDO1</t>
  </si>
  <si>
    <t>RELL2</t>
  </si>
  <si>
    <t>PPP2CB</t>
  </si>
  <si>
    <t>TCEB1</t>
  </si>
  <si>
    <t>UQCRB</t>
  </si>
  <si>
    <t>PSEN2</t>
  </si>
  <si>
    <t>ANKRD46</t>
  </si>
  <si>
    <t>RPL30</t>
  </si>
  <si>
    <t>SORBS3</t>
  </si>
  <si>
    <t>TTI2</t>
  </si>
  <si>
    <t>POLB</t>
  </si>
  <si>
    <t>TMEM55A</t>
  </si>
  <si>
    <t>CHCHD7</t>
  </si>
  <si>
    <t>ARMC1</t>
  </si>
  <si>
    <t>TRPS1</t>
  </si>
  <si>
    <t>ZFAND1</t>
  </si>
  <si>
    <t>MRPL13</t>
  </si>
  <si>
    <t>SKP1</t>
  </si>
  <si>
    <t>SPARC</t>
  </si>
  <si>
    <t>CETN3</t>
  </si>
  <si>
    <t>PIGG</t>
  </si>
  <si>
    <t>COPS6</t>
  </si>
  <si>
    <t>RNF5</t>
  </si>
  <si>
    <t>DNPEP</t>
  </si>
  <si>
    <t>ASAH1</t>
  </si>
  <si>
    <t>RAI14</t>
  </si>
  <si>
    <t>MEN1</t>
  </si>
  <si>
    <t>KIAA0319L</t>
  </si>
  <si>
    <t>ZNF143</t>
  </si>
  <si>
    <t>NCSTN</t>
  </si>
  <si>
    <t>CALCOCO2</t>
  </si>
  <si>
    <t>SYNE1</t>
  </si>
  <si>
    <t>ADAR</t>
  </si>
  <si>
    <t>LRFN4</t>
  </si>
  <si>
    <t>C19orf25</t>
  </si>
  <si>
    <t>RPL14</t>
  </si>
  <si>
    <t>TOM1</t>
  </si>
  <si>
    <t>PDXDC1</t>
  </si>
  <si>
    <t>PRRC2C</t>
  </si>
  <si>
    <t>STXBP4</t>
  </si>
  <si>
    <t>NDUFV2</t>
  </si>
  <si>
    <t>SNCA</t>
  </si>
  <si>
    <t>ST7</t>
  </si>
  <si>
    <t>TNIP1</t>
  </si>
  <si>
    <t>CAST</t>
  </si>
  <si>
    <t>GLB1</t>
  </si>
  <si>
    <t>NAA50</t>
  </si>
  <si>
    <t>CORIN</t>
  </si>
  <si>
    <t>KIAA0196</t>
  </si>
  <si>
    <t>HNRNPH1</t>
  </si>
  <si>
    <t>SENP6</t>
  </si>
  <si>
    <t>YIPF3</t>
  </si>
  <si>
    <t>DMD</t>
  </si>
  <si>
    <t>TET2</t>
  </si>
  <si>
    <t>ACIN1</t>
  </si>
  <si>
    <t>RPL15</t>
  </si>
  <si>
    <t>FAM91A1</t>
  </si>
  <si>
    <t>ERMP1</t>
  </si>
  <si>
    <t>GMIP</t>
  </si>
  <si>
    <t>ATP2C1</t>
  </si>
  <si>
    <t>MAST2</t>
  </si>
  <si>
    <t>ZC3H18</t>
  </si>
  <si>
    <t>VGLL4</t>
  </si>
  <si>
    <t>HSPA4L</t>
  </si>
  <si>
    <t>PSEN1</t>
  </si>
  <si>
    <t>XPO7</t>
  </si>
  <si>
    <t>FAM21A</t>
  </si>
  <si>
    <t>NAT10</t>
  </si>
  <si>
    <t>CTBP1</t>
  </si>
  <si>
    <t>NDUFA10</t>
  </si>
  <si>
    <t>U2SURP</t>
  </si>
  <si>
    <t>NUP205</t>
  </si>
  <si>
    <t>DAGLB</t>
  </si>
  <si>
    <t>DTX2</t>
  </si>
  <si>
    <t>C1orf112</t>
  </si>
  <si>
    <t>RPS24</t>
  </si>
  <si>
    <t>SYS1</t>
  </si>
  <si>
    <t>MARK2</t>
  </si>
  <si>
    <t>BZW2</t>
  </si>
  <si>
    <t>RAD54L2</t>
  </si>
  <si>
    <t>GDI2</t>
  </si>
  <si>
    <t>CBFA2T3</t>
  </si>
  <si>
    <t>CSNK2A1</t>
  </si>
  <si>
    <t>UGP2</t>
  </si>
  <si>
    <t>NCAPG2</t>
  </si>
  <si>
    <t>SSFA2</t>
  </si>
  <si>
    <t>NUP54</t>
  </si>
  <si>
    <t>AGAP1</t>
  </si>
  <si>
    <t>LTBP4</t>
  </si>
  <si>
    <t>PCCB</t>
  </si>
  <si>
    <t>RWDD4</t>
  </si>
  <si>
    <t>PGBD3</t>
  </si>
  <si>
    <t>PCM1</t>
  </si>
  <si>
    <t>ADD1</t>
  </si>
  <si>
    <t>MAP4</t>
  </si>
  <si>
    <t>ATG16L1</t>
  </si>
  <si>
    <t>KLC1</t>
  </si>
  <si>
    <t>HDHD1</t>
  </si>
  <si>
    <t>MTG1</t>
  </si>
  <si>
    <t>TAL1</t>
  </si>
  <si>
    <t>YWHAZ</t>
  </si>
  <si>
    <t>SDAD1</t>
  </si>
  <si>
    <t>MYO6</t>
  </si>
  <si>
    <t>MON1B</t>
  </si>
  <si>
    <t>NDUFB5</t>
  </si>
  <si>
    <t>MAST4</t>
  </si>
  <si>
    <t>EIF4B</t>
  </si>
  <si>
    <t>EIF4G1</t>
  </si>
  <si>
    <t>DCTN1</t>
  </si>
  <si>
    <t>DENND4B</t>
  </si>
  <si>
    <t>NT5DC2</t>
  </si>
  <si>
    <t>RAVER1</t>
  </si>
  <si>
    <t>PDHX</t>
  </si>
  <si>
    <t>ALYREF</t>
  </si>
  <si>
    <t>AGK</t>
  </si>
  <si>
    <t>BUB1</t>
  </si>
  <si>
    <t>PTPRC</t>
  </si>
  <si>
    <t>EIF2B5</t>
  </si>
  <si>
    <t>FNIP1</t>
  </si>
  <si>
    <t>GUSB</t>
  </si>
  <si>
    <t>GOSR1</t>
  </si>
  <si>
    <t>GYPA</t>
  </si>
  <si>
    <t>SMG7</t>
  </si>
  <si>
    <t>PXK</t>
  </si>
  <si>
    <t>CKAP2</t>
  </si>
  <si>
    <t>NMU</t>
  </si>
  <si>
    <t>ARHGEF7</t>
  </si>
  <si>
    <t>ITGB6</t>
  </si>
  <si>
    <t>PDPK1</t>
  </si>
  <si>
    <t>DIAPH1</t>
  </si>
  <si>
    <t>NUP155</t>
  </si>
  <si>
    <t>HADH</t>
  </si>
  <si>
    <t>TBL2</t>
  </si>
  <si>
    <t>SLC25A19</t>
  </si>
  <si>
    <t>RABGEF1</t>
  </si>
  <si>
    <t>PPP2R5D</t>
  </si>
  <si>
    <t>C3orf38</t>
  </si>
  <si>
    <t>CEP97</t>
  </si>
  <si>
    <t>SLC25A44</t>
  </si>
  <si>
    <t>TSN</t>
  </si>
  <si>
    <t>RPS6KA1</t>
  </si>
  <si>
    <t>COPS8</t>
  </si>
  <si>
    <t>MED22</t>
  </si>
  <si>
    <t>PRDX3</t>
  </si>
  <si>
    <t>NDUFB9</t>
  </si>
  <si>
    <t>ZNF451</t>
  </si>
  <si>
    <t>MCCC1</t>
  </si>
  <si>
    <t>CYP20A1</t>
  </si>
  <si>
    <t>LARS2</t>
  </si>
  <si>
    <t>BRPF3</t>
  </si>
  <si>
    <t>GLI1</t>
  </si>
  <si>
    <t>MTCH2</t>
  </si>
  <si>
    <t>TXNRD1</t>
  </si>
  <si>
    <t>PDE4DIP</t>
  </si>
  <si>
    <t>UBXN1</t>
  </si>
  <si>
    <t>VIMP</t>
  </si>
  <si>
    <t>CYHR1</t>
  </si>
  <si>
    <t>BRMS1</t>
  </si>
  <si>
    <t>CD81</t>
  </si>
  <si>
    <t>FBXO3</t>
  </si>
  <si>
    <t>BCLAF1</t>
  </si>
  <si>
    <t>RCE1</t>
  </si>
  <si>
    <t>PRMT1</t>
  </si>
  <si>
    <t>UBTF</t>
  </si>
  <si>
    <t>TMEM123</t>
  </si>
  <si>
    <t>MRPL17</t>
  </si>
  <si>
    <t>TTC9C</t>
  </si>
  <si>
    <t>RPL8</t>
  </si>
  <si>
    <t>SPCS2</t>
  </si>
  <si>
    <t>CLP1</t>
  </si>
  <si>
    <t>HYOU1</t>
  </si>
  <si>
    <t>EI24</t>
  </si>
  <si>
    <t>NEDD8-MDP1</t>
  </si>
  <si>
    <t>RRM1</t>
  </si>
  <si>
    <t>CHIA</t>
  </si>
  <si>
    <t>RPL27A</t>
  </si>
  <si>
    <t>RNF141</t>
  </si>
  <si>
    <t>MACF1</t>
  </si>
  <si>
    <t>TYK2</t>
  </si>
  <si>
    <t>USP47</t>
  </si>
  <si>
    <t>C11orf58</t>
  </si>
  <si>
    <t>FAM118B</t>
  </si>
  <si>
    <t>HSF1</t>
  </si>
  <si>
    <t>CD151</t>
  </si>
  <si>
    <t>PEX16</t>
  </si>
  <si>
    <t>LMO7</t>
  </si>
  <si>
    <t>HSPA8</t>
  </si>
  <si>
    <t>EBAG9</t>
  </si>
  <si>
    <t>TPD52L1</t>
  </si>
  <si>
    <t>PTS</t>
  </si>
  <si>
    <t>AAMDC</t>
  </si>
  <si>
    <t>ARHGAP27</t>
  </si>
  <si>
    <t>CD59</t>
  </si>
  <si>
    <t>DERA</t>
  </si>
  <si>
    <t>GPAA1</t>
  </si>
  <si>
    <t>NFRKB</t>
  </si>
  <si>
    <t>ACP2</t>
  </si>
  <si>
    <t>FAU</t>
  </si>
  <si>
    <t>MAF1</t>
  </si>
  <si>
    <t>TATDN3</t>
  </si>
  <si>
    <t>EIF1AD</t>
  </si>
  <si>
    <t>EEF1D</t>
  </si>
  <si>
    <t>FADS3</t>
  </si>
  <si>
    <t>SCYL1</t>
  </si>
  <si>
    <t>TM9SF1</t>
  </si>
  <si>
    <t>PFKFB3</t>
  </si>
  <si>
    <t>TRMT11</t>
  </si>
  <si>
    <t>MYH14</t>
  </si>
  <si>
    <t>CPNE1</t>
  </si>
  <si>
    <t>TRMT2A</t>
  </si>
  <si>
    <t>XPO4</t>
  </si>
  <si>
    <t>RABL2B</t>
  </si>
  <si>
    <t>GTF2H3</t>
  </si>
  <si>
    <t>TMEM258</t>
  </si>
  <si>
    <t>ADA</t>
  </si>
  <si>
    <t>CCDC53</t>
  </si>
  <si>
    <t>STARD10</t>
  </si>
  <si>
    <t>WNK1</t>
  </si>
  <si>
    <t>SERPINB11</t>
  </si>
  <si>
    <t>SMAD5</t>
  </si>
  <si>
    <t>CHD4</t>
  </si>
  <si>
    <t>FAM76B</t>
  </si>
  <si>
    <t>DNMT1</t>
  </si>
  <si>
    <t>FRYL</t>
  </si>
  <si>
    <t>SUCLA2</t>
  </si>
  <si>
    <t>AFF1</t>
  </si>
  <si>
    <t>DNAJB11</t>
  </si>
  <si>
    <t>DAD1</t>
  </si>
  <si>
    <t>SASS6</t>
  </si>
  <si>
    <t>GPBP1</t>
  </si>
  <si>
    <t>GALNT1</t>
  </si>
  <si>
    <t>ABCD3</t>
  </si>
  <si>
    <t>MAP7D2</t>
  </si>
  <si>
    <t>OTUB1</t>
  </si>
  <si>
    <t>ATP6V0D1</t>
  </si>
  <si>
    <t>MEIS1</t>
  </si>
  <si>
    <t>DTL</t>
  </si>
  <si>
    <t>RAP1B</t>
  </si>
  <si>
    <t>DHX36</t>
  </si>
  <si>
    <t>SLC3A2</t>
  </si>
  <si>
    <t>ARHGAP4</t>
  </si>
  <si>
    <t>FAM120B</t>
  </si>
  <si>
    <t>ALKBH2</t>
  </si>
  <si>
    <t>TRIM21</t>
  </si>
  <si>
    <t>KDM3A</t>
  </si>
  <si>
    <t>ANAPC5</t>
  </si>
  <si>
    <t>SOX5</t>
  </si>
  <si>
    <t>KSR1</t>
  </si>
  <si>
    <t>SEC23IP</t>
  </si>
  <si>
    <t>CLASRP</t>
  </si>
  <si>
    <t>TUT1</t>
  </si>
  <si>
    <t>GLTP</t>
  </si>
  <si>
    <t>CCDC180</t>
  </si>
  <si>
    <t>ZNF562</t>
  </si>
  <si>
    <t>ABI1</t>
  </si>
  <si>
    <t>TXNRD2</t>
  </si>
  <si>
    <t>LRBA</t>
  </si>
  <si>
    <t>RAD51AP1</t>
  </si>
  <si>
    <t>TMEM135</t>
  </si>
  <si>
    <t>PIK3C2A</t>
  </si>
  <si>
    <t>ANKLE2</t>
  </si>
  <si>
    <t>VMP1</t>
  </si>
  <si>
    <t>KIAA1715</t>
  </si>
  <si>
    <t>DCTN2</t>
  </si>
  <si>
    <t>PRPF4B</t>
  </si>
  <si>
    <t>CIZ1</t>
  </si>
  <si>
    <t>XAB2</t>
  </si>
  <si>
    <t>SEC23A</t>
  </si>
  <si>
    <t>CHST10</t>
  </si>
  <si>
    <t>TSG101</t>
  </si>
  <si>
    <t>FZD10</t>
  </si>
  <si>
    <t>RAD9A</t>
  </si>
  <si>
    <t>PRAME</t>
  </si>
  <si>
    <t>KPNA6</t>
  </si>
  <si>
    <t>VPS37C</t>
  </si>
  <si>
    <t>EVI5</t>
  </si>
  <si>
    <t>NFATC1</t>
  </si>
  <si>
    <t>PDCD2</t>
  </si>
  <si>
    <t>PSMF1</t>
  </si>
  <si>
    <t>TDG</t>
  </si>
  <si>
    <t>EIF4G3</t>
  </si>
  <si>
    <t>ATP6V0A1</t>
  </si>
  <si>
    <t>BRK1</t>
  </si>
  <si>
    <t>NUP133</t>
  </si>
  <si>
    <t>TUBA1C</t>
  </si>
  <si>
    <t>CLSTN3</t>
  </si>
  <si>
    <t>GRSF1</t>
  </si>
  <si>
    <t>IFNGR1</t>
  </si>
  <si>
    <t>CDC42BPA</t>
  </si>
  <si>
    <t>NDUFS7</t>
  </si>
  <si>
    <t>BCKDHA</t>
  </si>
  <si>
    <t>NAT1</t>
  </si>
  <si>
    <t>DDX55</t>
  </si>
  <si>
    <t>KDM6A</t>
  </si>
  <si>
    <t>CLASP2</t>
  </si>
  <si>
    <t>OXNAD1</t>
  </si>
  <si>
    <t>CLEC2B</t>
  </si>
  <si>
    <t>YY1AP1</t>
  </si>
  <si>
    <t>TAP1</t>
  </si>
  <si>
    <t>LARS</t>
  </si>
  <si>
    <t>KCTD10</t>
  </si>
  <si>
    <t>CDK17</t>
  </si>
  <si>
    <t>AIDA</t>
  </si>
  <si>
    <t>WBP11</t>
  </si>
  <si>
    <t>CCDC82</t>
  </si>
  <si>
    <t>MGST1</t>
  </si>
  <si>
    <t>GABPB1</t>
  </si>
  <si>
    <t>RPTOR</t>
  </si>
  <si>
    <t>MGA</t>
  </si>
  <si>
    <t>EFCAB14</t>
  </si>
  <si>
    <t>MFGE8</t>
  </si>
  <si>
    <t>GBA2</t>
  </si>
  <si>
    <t>OGDH</t>
  </si>
  <si>
    <t>POMGNT1</t>
  </si>
  <si>
    <t>INPP4A</t>
  </si>
  <si>
    <t>MED21</t>
  </si>
  <si>
    <t>TRAP1</t>
  </si>
  <si>
    <t>XRCC1</t>
  </si>
  <si>
    <t>MVK</t>
  </si>
  <si>
    <t>CLPTM1</t>
  </si>
  <si>
    <t>RABGAP1L</t>
  </si>
  <si>
    <t>EPN2</t>
  </si>
  <si>
    <t>ELMSAN1</t>
  </si>
  <si>
    <t>PDE12</t>
  </si>
  <si>
    <t>PPP3R1</t>
  </si>
  <si>
    <t>NME2</t>
  </si>
  <si>
    <t>CAD</t>
  </si>
  <si>
    <t>DDX39B</t>
  </si>
  <si>
    <t>LIMA1</t>
  </si>
  <si>
    <t>CSRP2</t>
  </si>
  <si>
    <t>METTL7A</t>
  </si>
  <si>
    <t>METAP2</t>
  </si>
  <si>
    <t>PCBP2</t>
  </si>
  <si>
    <t>NFYB</t>
  </si>
  <si>
    <t>PLXNA1</t>
  </si>
  <si>
    <t>POC1B-GALNT4</t>
  </si>
  <si>
    <t>SLC38A2</t>
  </si>
  <si>
    <t>CNOT2</t>
  </si>
  <si>
    <t>NAP1L1</t>
  </si>
  <si>
    <t>COPZ1</t>
  </si>
  <si>
    <t>TMEM106C</t>
  </si>
  <si>
    <t>COQ5</t>
  </si>
  <si>
    <t>TSPAN31</t>
  </si>
  <si>
    <t>MON2</t>
  </si>
  <si>
    <t>ALG10B</t>
  </si>
  <si>
    <t>SCAF11</t>
  </si>
  <si>
    <t>GIT2</t>
  </si>
  <si>
    <t>VPS29</t>
  </si>
  <si>
    <t>PPP1CC</t>
  </si>
  <si>
    <t>AAAS</t>
  </si>
  <si>
    <t>UNC13A</t>
  </si>
  <si>
    <t>NACA</t>
  </si>
  <si>
    <t>PPHLN1</t>
  </si>
  <si>
    <t>ARID2</t>
  </si>
  <si>
    <t>NFE2</t>
  </si>
  <si>
    <t>RFX5</t>
  </si>
  <si>
    <t>HNRNPA1</t>
  </si>
  <si>
    <t>ZDHHC3</t>
  </si>
  <si>
    <t>BAP1</t>
  </si>
  <si>
    <t>TRIM5</t>
  </si>
  <si>
    <t>ADIPOR1</t>
  </si>
  <si>
    <t>CCDC178</t>
  </si>
  <si>
    <t>GPHN</t>
  </si>
  <si>
    <t>FN1</t>
  </si>
  <si>
    <t>FAM162A</t>
  </si>
  <si>
    <t>KANSL3</t>
  </si>
  <si>
    <t>VEZT</t>
  </si>
  <si>
    <t>SLBP</t>
  </si>
  <si>
    <t>RAB24</t>
  </si>
  <si>
    <t>TIA1</t>
  </si>
  <si>
    <t>IGF2BP2</t>
  </si>
  <si>
    <t>PPIP5K1</t>
  </si>
  <si>
    <t>SYTL4</t>
  </si>
  <si>
    <t>MLLT4</t>
  </si>
  <si>
    <t>LENG8</t>
  </si>
  <si>
    <t>CCDC93</t>
  </si>
  <si>
    <t>MTMR1</t>
  </si>
  <si>
    <t>UCKL1</t>
  </si>
  <si>
    <t>STAG2</t>
  </si>
  <si>
    <t>MRPL40</t>
  </si>
  <si>
    <t>PINX1</t>
  </si>
  <si>
    <t>GTPBP8</t>
  </si>
  <si>
    <t>DOM3Z</t>
  </si>
  <si>
    <t>SAC3D1</t>
  </si>
  <si>
    <t>RNF149</t>
  </si>
  <si>
    <t>KIF21A</t>
  </si>
  <si>
    <t>DDX56</t>
  </si>
  <si>
    <t>POLR3H</t>
  </si>
  <si>
    <t>EXOG</t>
  </si>
  <si>
    <t>DNMT3A</t>
  </si>
  <si>
    <t>MMADHC</t>
  </si>
  <si>
    <t>ZFAND2B</t>
  </si>
  <si>
    <t>CBWD2</t>
  </si>
  <si>
    <t>PRKRA</t>
  </si>
  <si>
    <t>SEC62</t>
  </si>
  <si>
    <t>ALG3</t>
  </si>
  <si>
    <t>NDUFV1</t>
  </si>
  <si>
    <t>OTUD4</t>
  </si>
  <si>
    <t>PARP2</t>
  </si>
  <si>
    <t>API5</t>
  </si>
  <si>
    <t>DPP3</t>
  </si>
  <si>
    <t>PON2</t>
  </si>
  <si>
    <t>TJP1</t>
  </si>
  <si>
    <t>HBA2</t>
  </si>
  <si>
    <t>USP28</t>
  </si>
  <si>
    <t>LOH12CR1</t>
  </si>
  <si>
    <t>LEPREL2</t>
  </si>
  <si>
    <t>SEPT7</t>
  </si>
  <si>
    <t>PMFBP1</t>
  </si>
  <si>
    <t>ACSL6</t>
  </si>
  <si>
    <t>GOLT1B</t>
  </si>
  <si>
    <t>GTSF1</t>
  </si>
  <si>
    <t>YAF2</t>
  </si>
  <si>
    <t>RPL18</t>
  </si>
  <si>
    <t>METTL10</t>
  </si>
  <si>
    <t>MTHFD1</t>
  </si>
  <si>
    <t>TMEM189</t>
  </si>
  <si>
    <t>ACYP1</t>
  </si>
  <si>
    <t>ATP5J2-PTCD1</t>
  </si>
  <si>
    <t>FERMT2</t>
  </si>
  <si>
    <t>DCAF8</t>
  </si>
  <si>
    <t>AKAP6</t>
  </si>
  <si>
    <t>NFKBIA</t>
  </si>
  <si>
    <t>XRCC3</t>
  </si>
  <si>
    <t>ATXN3</t>
  </si>
  <si>
    <t>MED6</t>
  </si>
  <si>
    <t>ENTPD5</t>
  </si>
  <si>
    <t>AP4S1</t>
  </si>
  <si>
    <t>HNRNPC</t>
  </si>
  <si>
    <t>FAM177A1</t>
  </si>
  <si>
    <t>CTAGE5</t>
  </si>
  <si>
    <t>ZFYVE1</t>
  </si>
  <si>
    <t>GSTZ1</t>
  </si>
  <si>
    <t>CDK2</t>
  </si>
  <si>
    <t>WARS</t>
  </si>
  <si>
    <t>PSMA6</t>
  </si>
  <si>
    <t>TMEM48</t>
  </si>
  <si>
    <t>ARID1B</t>
  </si>
  <si>
    <t>TTC17</t>
  </si>
  <si>
    <t>SLC26A6</t>
  </si>
  <si>
    <t>SEPT5</t>
  </si>
  <si>
    <t>LAMB1</t>
  </si>
  <si>
    <t>FAM133B</t>
  </si>
  <si>
    <t>TRAM1</t>
  </si>
  <si>
    <t>TIMM8B</t>
  </si>
  <si>
    <t>ABCB8</t>
  </si>
  <si>
    <t>SBF1</t>
  </si>
  <si>
    <t>MAP4K4</t>
  </si>
  <si>
    <t>MTMR3</t>
  </si>
  <si>
    <t>SMARCB1</t>
  </si>
  <si>
    <t>GPR107</t>
  </si>
  <si>
    <t>USP11</t>
  </si>
  <si>
    <t>SOS1</t>
  </si>
  <si>
    <t>ECT2</t>
  </si>
  <si>
    <t>ENTPD3</t>
  </si>
  <si>
    <t>ITPR1</t>
  </si>
  <si>
    <t>MRPS22</t>
  </si>
  <si>
    <t>SDCBP</t>
  </si>
  <si>
    <t>CELF1</t>
  </si>
  <si>
    <t>PDIA3</t>
  </si>
  <si>
    <t>MYL6</t>
  </si>
  <si>
    <t>PUS1</t>
  </si>
  <si>
    <t>ERC1</t>
  </si>
  <si>
    <t>TIPIN</t>
  </si>
  <si>
    <t>WDR45</t>
  </si>
  <si>
    <t>TACC1</t>
  </si>
  <si>
    <t>NOL6</t>
  </si>
  <si>
    <t>PPT2</t>
  </si>
  <si>
    <t>TAF6</t>
  </si>
  <si>
    <t>KIAA0430</t>
  </si>
  <si>
    <t>TH1L</t>
  </si>
  <si>
    <t>AMPD2</t>
  </si>
  <si>
    <t>SLC30A7</t>
  </si>
  <si>
    <t>ODF2</t>
  </si>
  <si>
    <t>DAB2IP</t>
  </si>
  <si>
    <t>EIF4G2</t>
  </si>
  <si>
    <t>MYD88</t>
  </si>
  <si>
    <t>IMPDH2</t>
  </si>
  <si>
    <t>TMEM201</t>
  </si>
  <si>
    <t>TRRAP</t>
  </si>
  <si>
    <t>ATP11A</t>
  </si>
  <si>
    <t>PREP</t>
  </si>
  <si>
    <t>UFM1</t>
  </si>
  <si>
    <t>SUSD1</t>
  </si>
  <si>
    <t>ZHX3</t>
  </si>
  <si>
    <t>BRD2</t>
  </si>
  <si>
    <t>SP3</t>
  </si>
  <si>
    <t>SUN1</t>
  </si>
  <si>
    <t>TTC5</t>
  </si>
  <si>
    <t>MRPL43</t>
  </si>
  <si>
    <t>STIL</t>
  </si>
  <si>
    <t>TNRC6B</t>
  </si>
  <si>
    <t>CALM2</t>
  </si>
  <si>
    <t>ABCD1</t>
  </si>
  <si>
    <t>PISD</t>
  </si>
  <si>
    <t>TMEM222</t>
  </si>
  <si>
    <t>TACC3</t>
  </si>
  <si>
    <t>CHIC2</t>
  </si>
  <si>
    <t>UTP15</t>
  </si>
  <si>
    <t>DNPH1</t>
  </si>
  <si>
    <t>MRPL3</t>
  </si>
  <si>
    <t>WHSC1</t>
  </si>
  <si>
    <t>PPIP5K2</t>
  </si>
  <si>
    <t>DCP2</t>
  </si>
  <si>
    <t>TMA16</t>
  </si>
  <si>
    <t>PCBD2</t>
  </si>
  <si>
    <t>RBM24</t>
  </si>
  <si>
    <t>UBE2B</t>
  </si>
  <si>
    <t>MED28</t>
  </si>
  <si>
    <t>PABPC1</t>
  </si>
  <si>
    <t>STAR</t>
  </si>
  <si>
    <t>PTK2</t>
  </si>
  <si>
    <t>INTS8</t>
  </si>
  <si>
    <t>MTFR1</t>
  </si>
  <si>
    <t>HMBOX1</t>
  </si>
  <si>
    <t>ASCC1</t>
  </si>
  <si>
    <t>CD44</t>
  </si>
  <si>
    <t>DLAT</t>
  </si>
  <si>
    <t>SLC27A3</t>
  </si>
  <si>
    <t>ALG8</t>
  </si>
  <si>
    <t>SIGIRR</t>
  </si>
  <si>
    <t>PPP5C</t>
  </si>
  <si>
    <t>SSSCA1</t>
  </si>
  <si>
    <t>RNASEH2C</t>
  </si>
  <si>
    <t>RSF1</t>
  </si>
  <si>
    <t>C8orf82</t>
  </si>
  <si>
    <t>REXO2</t>
  </si>
  <si>
    <t>ETNK1</t>
  </si>
  <si>
    <t>FBXO21</t>
  </si>
  <si>
    <t>KANSL2</t>
  </si>
  <si>
    <t>DHRS2</t>
  </si>
  <si>
    <t>TPM1</t>
  </si>
  <si>
    <t>EMC4</t>
  </si>
  <si>
    <t>EID1</t>
  </si>
  <si>
    <t>TSPAN3</t>
  </si>
  <si>
    <t>ANXA2</t>
  </si>
  <si>
    <t>TLE3</t>
  </si>
  <si>
    <t>POU2F1</t>
  </si>
  <si>
    <t>MAN2A2</t>
  </si>
  <si>
    <t>B2M</t>
  </si>
  <si>
    <t>AP3S2</t>
  </si>
  <si>
    <t>TRPM7</t>
  </si>
  <si>
    <t>FAM63B</t>
  </si>
  <si>
    <t>RFX7</t>
  </si>
  <si>
    <t>PIGH</t>
  </si>
  <si>
    <t>GMPR2</t>
  </si>
  <si>
    <t>RPL28</t>
  </si>
  <si>
    <t>MORF4L1</t>
  </si>
  <si>
    <t>C15orf57</t>
  </si>
  <si>
    <t>PSME1</t>
  </si>
  <si>
    <t>SEC11A</t>
  </si>
  <si>
    <t>PPP2R5C</t>
  </si>
  <si>
    <t>BLM</t>
  </si>
  <si>
    <t>BIRC5</t>
  </si>
  <si>
    <t>AKR7A2</t>
  </si>
  <si>
    <t>CD55</t>
  </si>
  <si>
    <t>SRPK1</t>
  </si>
  <si>
    <t>TMEM63B</t>
  </si>
  <si>
    <t>DBNDD1</t>
  </si>
  <si>
    <t>DDX17</t>
  </si>
  <si>
    <t>NUB1</t>
  </si>
  <si>
    <t>NOL3</t>
  </si>
  <si>
    <t>FAM219B</t>
  </si>
  <si>
    <t>COMMD4</t>
  </si>
  <si>
    <t>ARPP19</t>
  </si>
  <si>
    <t>SPNS1</t>
  </si>
  <si>
    <t>NUDT21</t>
  </si>
  <si>
    <t>CARHSP1</t>
  </si>
  <si>
    <t>HEXA</t>
  </si>
  <si>
    <t>COQ7</t>
  </si>
  <si>
    <t>MPI</t>
  </si>
  <si>
    <t>UBE2I</t>
  </si>
  <si>
    <t>NTHL1</t>
  </si>
  <si>
    <t>TCF4</t>
  </si>
  <si>
    <t>HAGH</t>
  </si>
  <si>
    <t>CLN3</t>
  </si>
  <si>
    <t>ALDOA</t>
  </si>
  <si>
    <t>SNAPC5</t>
  </si>
  <si>
    <t>C16orf58</t>
  </si>
  <si>
    <t>DCTN5</t>
  </si>
  <si>
    <t>BLOC1S6</t>
  </si>
  <si>
    <t>ZNRF1</t>
  </si>
  <si>
    <t>ZFYVE19</t>
  </si>
  <si>
    <t>UBFD1</t>
  </si>
  <si>
    <t>PPCDC</t>
  </si>
  <si>
    <t>NUDT7</t>
  </si>
  <si>
    <t>NFATC3</t>
  </si>
  <si>
    <t>EIF3C</t>
  </si>
  <si>
    <t>C15orf41</t>
  </si>
  <si>
    <t>SMIM1</t>
  </si>
  <si>
    <t>MPHOSPH6</t>
  </si>
  <si>
    <t>CIRH1A</t>
  </si>
  <si>
    <t>CTU2</t>
  </si>
  <si>
    <t>MLST8</t>
  </si>
  <si>
    <t>MAP1LC3B</t>
  </si>
  <si>
    <t>PKM</t>
  </si>
  <si>
    <t>RNF166</t>
  </si>
  <si>
    <t>ARL2BP</t>
  </si>
  <si>
    <t>ATXN2L</t>
  </si>
  <si>
    <t>OGFOD1</t>
  </si>
  <si>
    <t>C16orf62</t>
  </si>
  <si>
    <t>RNPS1</t>
  </si>
  <si>
    <t>FBXL19</t>
  </si>
  <si>
    <t>SPINT1</t>
  </si>
  <si>
    <t>SMPD4</t>
  </si>
  <si>
    <t>SAP130</t>
  </si>
  <si>
    <t>PPP6R3</t>
  </si>
  <si>
    <t>METTL21A</t>
  </si>
  <si>
    <t>ERGIC3</t>
  </si>
  <si>
    <t>TMEM41A</t>
  </si>
  <si>
    <t>BET1L</t>
  </si>
  <si>
    <t>MPC1</t>
  </si>
  <si>
    <t>DHX30</t>
  </si>
  <si>
    <t>PCMT1</t>
  </si>
  <si>
    <t>WRB</t>
  </si>
  <si>
    <t>INTS9</t>
  </si>
  <si>
    <t>IFITM2</t>
  </si>
  <si>
    <t>PPIL3</t>
  </si>
  <si>
    <t>P4HB</t>
  </si>
  <si>
    <t>USP46</t>
  </si>
  <si>
    <t>NHEJ1</t>
  </si>
  <si>
    <t>SF1</t>
  </si>
  <si>
    <t>RTN4R</t>
  </si>
  <si>
    <t>IQSEC1</t>
  </si>
  <si>
    <t>THEMIS2</t>
  </si>
  <si>
    <t>RANBP1</t>
  </si>
  <si>
    <t>RAF1</t>
  </si>
  <si>
    <t>MZT2B</t>
  </si>
  <si>
    <t>DNTTIP1</t>
  </si>
  <si>
    <t>BET1</t>
  </si>
  <si>
    <t>CC2D1B</t>
  </si>
  <si>
    <t>APOO</t>
  </si>
  <si>
    <t>TATDN2</t>
  </si>
  <si>
    <t>MFSD6</t>
  </si>
  <si>
    <t>NOL7</t>
  </si>
  <si>
    <t>EBNA1BP2</t>
  </si>
  <si>
    <t>SDCCAG3</t>
  </si>
  <si>
    <t>PPM1N</t>
  </si>
  <si>
    <t>FAM134A</t>
  </si>
  <si>
    <t>NAGK</t>
  </si>
  <si>
    <t>GNS</t>
  </si>
  <si>
    <t>ATG2A</t>
  </si>
  <si>
    <t>ARV1</t>
  </si>
  <si>
    <t>STK19</t>
  </si>
  <si>
    <t>ARHGAP25</t>
  </si>
  <si>
    <t>NDFIP2</t>
  </si>
  <si>
    <t>MFN1</t>
  </si>
  <si>
    <t>HEATR5A</t>
  </si>
  <si>
    <t>EFR3A</t>
  </si>
  <si>
    <t>KIF18B</t>
  </si>
  <si>
    <t>MICU1</t>
  </si>
  <si>
    <t>WASH6P</t>
  </si>
  <si>
    <t>SMG1</t>
  </si>
  <si>
    <t>SOGA1</t>
  </si>
  <si>
    <t>GOSR2</t>
  </si>
  <si>
    <t>RNF167</t>
  </si>
  <si>
    <t>NSF</t>
  </si>
  <si>
    <t>CCDC137</t>
  </si>
  <si>
    <t>MAPT</t>
  </si>
  <si>
    <t>DPH1</t>
  </si>
  <si>
    <t>MYBBP1A</t>
  </si>
  <si>
    <t>SLC25A11</t>
  </si>
  <si>
    <t>BCL7C</t>
  </si>
  <si>
    <t>ELP5</t>
  </si>
  <si>
    <t>CLUH</t>
  </si>
  <si>
    <t>FAM195B</t>
  </si>
  <si>
    <t>PCTP</t>
  </si>
  <si>
    <t>DVL2</t>
  </si>
  <si>
    <t>TOM1L1</t>
  </si>
  <si>
    <t>PELP1</t>
  </si>
  <si>
    <t>RPS15A</t>
  </si>
  <si>
    <t>CCNE1</t>
  </si>
  <si>
    <t>ATPAF1</t>
  </si>
  <si>
    <t>SERPINF1</t>
  </si>
  <si>
    <t>ABCC1</t>
  </si>
  <si>
    <t>PLSCR3</t>
  </si>
  <si>
    <t>UBR5</t>
  </si>
  <si>
    <t>CACTIN</t>
  </si>
  <si>
    <t>SMARCD2</t>
  </si>
  <si>
    <t>NPC2</t>
  </si>
  <si>
    <t>INTS2</t>
  </si>
  <si>
    <t>DPF2</t>
  </si>
  <si>
    <t>LDLR</t>
  </si>
  <si>
    <t>PI4KA</t>
  </si>
  <si>
    <t>KIAA0368</t>
  </si>
  <si>
    <t>FBRSL1</t>
  </si>
  <si>
    <t>PSMD9</t>
  </si>
  <si>
    <t>BNIP2</t>
  </si>
  <si>
    <t>TOR1AIP1</t>
  </si>
  <si>
    <t>TPM3</t>
  </si>
  <si>
    <t>NCEH1</t>
  </si>
  <si>
    <t>APIP</t>
  </si>
  <si>
    <t>OXA1L</t>
  </si>
  <si>
    <t>MAP3K4</t>
  </si>
  <si>
    <t>SAAL1</t>
  </si>
  <si>
    <t>RGPD3</t>
  </si>
  <si>
    <t>CCS</t>
  </si>
  <si>
    <t>COG4</t>
  </si>
  <si>
    <t>CHID1</t>
  </si>
  <si>
    <t>SEC16A</t>
  </si>
  <si>
    <t>PHKG2</t>
  </si>
  <si>
    <t>DDX41</t>
  </si>
  <si>
    <t>BRAP</t>
  </si>
  <si>
    <t>SEMA4B</t>
  </si>
  <si>
    <t>MARK3</t>
  </si>
  <si>
    <t>PTDSS1</t>
  </si>
  <si>
    <t>ZNF385A</t>
  </si>
  <si>
    <t>ALDH6A1</t>
  </si>
  <si>
    <t>FCHO2</t>
  </si>
  <si>
    <t>FHL2</t>
  </si>
  <si>
    <t>MYO18A</t>
  </si>
  <si>
    <t>FBRS</t>
  </si>
  <si>
    <t>SRSF2</t>
  </si>
  <si>
    <t>NTRK1</t>
  </si>
  <si>
    <t>PTPRA</t>
  </si>
  <si>
    <t>TRAPPC4</t>
  </si>
  <si>
    <t>FAM21C</t>
  </si>
  <si>
    <t>PHACTR2</t>
  </si>
  <si>
    <t>RAP1GAP</t>
  </si>
  <si>
    <t>RBM7</t>
  </si>
  <si>
    <t>HECTD4</t>
  </si>
  <si>
    <t>KIF3A</t>
  </si>
  <si>
    <t>CAMKK1</t>
  </si>
  <si>
    <t>SYNJ1</t>
  </si>
  <si>
    <t>KDM1B</t>
  </si>
  <si>
    <t>TESC</t>
  </si>
  <si>
    <t>ARRB1</t>
  </si>
  <si>
    <t>DNAJB12</t>
  </si>
  <si>
    <t>TRABD</t>
  </si>
  <si>
    <t>MPST</t>
  </si>
  <si>
    <t>HDAC2</t>
  </si>
  <si>
    <t>PHB2</t>
  </si>
  <si>
    <t>MAP1A</t>
  </si>
  <si>
    <t>ANTXR2</t>
  </si>
  <si>
    <t>RFXANK</t>
  </si>
  <si>
    <t>OLA1</t>
  </si>
  <si>
    <t>COPS7B</t>
  </si>
  <si>
    <t>TGOLN2</t>
  </si>
  <si>
    <t>PTRH2</t>
  </si>
  <si>
    <t>FBXO6</t>
  </si>
  <si>
    <t>C6orf203</t>
  </si>
  <si>
    <t>THUMPD1</t>
  </si>
  <si>
    <t>GBA</t>
  </si>
  <si>
    <t>VWDE</t>
  </si>
  <si>
    <t>APOL2</t>
  </si>
  <si>
    <t>CDC7</t>
  </si>
  <si>
    <t>BABAM1</t>
  </si>
  <si>
    <t>EPHB6</t>
  </si>
  <si>
    <t>AP1G1</t>
  </si>
  <si>
    <t>CCDC12</t>
  </si>
  <si>
    <t>PTPN7</t>
  </si>
  <si>
    <t>SEPHS2</t>
  </si>
  <si>
    <t>TBCD</t>
  </si>
  <si>
    <t>C16orf55</t>
  </si>
  <si>
    <t>MAP3K3</t>
  </si>
  <si>
    <t>SS18</t>
  </si>
  <si>
    <t>PIGL</t>
  </si>
  <si>
    <t>TMEM199</t>
  </si>
  <si>
    <t>DDX5</t>
  </si>
  <si>
    <t>CBX1</t>
  </si>
  <si>
    <t>ICT1</t>
  </si>
  <si>
    <t>AMZ2</t>
  </si>
  <si>
    <t>RARA</t>
  </si>
  <si>
    <t>GGA3</t>
  </si>
  <si>
    <t>MPRIP</t>
  </si>
  <si>
    <t>NT5C</t>
  </si>
  <si>
    <t>HN1</t>
  </si>
  <si>
    <t>FBXL20</t>
  </si>
  <si>
    <t>MED9</t>
  </si>
  <si>
    <t>SRSF1</t>
  </si>
  <si>
    <t>CHERP</t>
  </si>
  <si>
    <t>PSMB3</t>
  </si>
  <si>
    <t>ICAM2</t>
  </si>
  <si>
    <t>SCO1</t>
  </si>
  <si>
    <t>SCRN2</t>
  </si>
  <si>
    <t>SLC39A11</t>
  </si>
  <si>
    <t>FLOT2</t>
  </si>
  <si>
    <t>STARD3</t>
  </si>
  <si>
    <t>UBBP4</t>
  </si>
  <si>
    <t>MRPS7</t>
  </si>
  <si>
    <t>SAP30BP</t>
  </si>
  <si>
    <t>TRAPPC8</t>
  </si>
  <si>
    <t>RPL17</t>
  </si>
  <si>
    <t>SUZ12</t>
  </si>
  <si>
    <t>FDXR</t>
  </si>
  <si>
    <t>MSL1</t>
  </si>
  <si>
    <t>YTHDC1</t>
  </si>
  <si>
    <t>RPL19</t>
  </si>
  <si>
    <t>ORMDL3</t>
  </si>
  <si>
    <t>MYL12A</t>
  </si>
  <si>
    <t>ZNF207</t>
  </si>
  <si>
    <t>YES1</t>
  </si>
  <si>
    <t>VAMP2</t>
  </si>
  <si>
    <t>GIT1</t>
  </si>
  <si>
    <t>COPRS</t>
  </si>
  <si>
    <t>HELZ</t>
  </si>
  <si>
    <t>RSL1D1</t>
  </si>
  <si>
    <t>HYPK</t>
  </si>
  <si>
    <t>CRBN</t>
  </si>
  <si>
    <t>C17orf75</t>
  </si>
  <si>
    <t>LMNB2</t>
  </si>
  <si>
    <t>TMCO1</t>
  </si>
  <si>
    <t>WBP2</t>
  </si>
  <si>
    <t>YIPF2</t>
  </si>
  <si>
    <t>SMAD4</t>
  </si>
  <si>
    <t>FAM32A</t>
  </si>
  <si>
    <t>SEC14L1</t>
  </si>
  <si>
    <t>RPS15</t>
  </si>
  <si>
    <t>CALR</t>
  </si>
  <si>
    <t>SPC24</t>
  </si>
  <si>
    <t>AP1M1</t>
  </si>
  <si>
    <t>SEC11C</t>
  </si>
  <si>
    <t>FAM210A</t>
  </si>
  <si>
    <t>H3F3B</t>
  </si>
  <si>
    <t>STAT5A</t>
  </si>
  <si>
    <t>LIN37</t>
  </si>
  <si>
    <t>LONP1</t>
  </si>
  <si>
    <t>ATXN7L3</t>
  </si>
  <si>
    <t>POLRMT</t>
  </si>
  <si>
    <t>TMUB2</t>
  </si>
  <si>
    <t>CDC37</t>
  </si>
  <si>
    <t>PPP1R12C</t>
  </si>
  <si>
    <t>AES</t>
  </si>
  <si>
    <t>R3HDM4</t>
  </si>
  <si>
    <t>PRKCSH</t>
  </si>
  <si>
    <t>DNAH17</t>
  </si>
  <si>
    <t>PTBP1</t>
  </si>
  <si>
    <t>STX10</t>
  </si>
  <si>
    <t>KATNAL2</t>
  </si>
  <si>
    <t>TMEM205</t>
  </si>
  <si>
    <t>EPG5</t>
  </si>
  <si>
    <t>ELOF1</t>
  </si>
  <si>
    <t>hCG_2039718</t>
  </si>
  <si>
    <t>NARS</t>
  </si>
  <si>
    <t>C18orf8</t>
  </si>
  <si>
    <t>ATP5SL</t>
  </si>
  <si>
    <t>UBXN6</t>
  </si>
  <si>
    <t>MGRN1</t>
  </si>
  <si>
    <t>TMEM161A</t>
  </si>
  <si>
    <t>UNC13D</t>
  </si>
  <si>
    <t>NDUFA11</t>
  </si>
  <si>
    <t>FAM98C</t>
  </si>
  <si>
    <t>POP4</t>
  </si>
  <si>
    <t>TPM4</t>
  </si>
  <si>
    <t>MXRA7</t>
  </si>
  <si>
    <t>FARSA</t>
  </si>
  <si>
    <t>ERCC1</t>
  </si>
  <si>
    <t>C19orf55</t>
  </si>
  <si>
    <t>EIF3K</t>
  </si>
  <si>
    <t>YIF1B</t>
  </si>
  <si>
    <t>TK1</t>
  </si>
  <si>
    <t>BLMH</t>
  </si>
  <si>
    <t>UBE2O</t>
  </si>
  <si>
    <t>FAM86A</t>
  </si>
  <si>
    <t>DOCK6</t>
  </si>
  <si>
    <t>RAD23A</t>
  </si>
  <si>
    <t>G6PC3</t>
  </si>
  <si>
    <t>DCAKD</t>
  </si>
  <si>
    <t>SARS2</t>
  </si>
  <si>
    <t>PAF1</t>
  </si>
  <si>
    <t>WIZ</t>
  </si>
  <si>
    <t>COPE</t>
  </si>
  <si>
    <t>FBL</t>
  </si>
  <si>
    <t>USF2</t>
  </si>
  <si>
    <t>ZNF428</t>
  </si>
  <si>
    <t>EPS15L1</t>
  </si>
  <si>
    <t>ZC3H4</t>
  </si>
  <si>
    <t>TUBB4A</t>
  </si>
  <si>
    <t>RPL13A</t>
  </si>
  <si>
    <t>SIRT6</t>
  </si>
  <si>
    <t>GRAMD1A</t>
  </si>
  <si>
    <t>HRC</t>
  </si>
  <si>
    <t>FCHO1</t>
  </si>
  <si>
    <t>ARHGEF1</t>
  </si>
  <si>
    <t>PRKD2</t>
  </si>
  <si>
    <t>KXD1</t>
  </si>
  <si>
    <t>RPS5</t>
  </si>
  <si>
    <t>AP2S1</t>
  </si>
  <si>
    <t>SMIM7</t>
  </si>
  <si>
    <t>PLEKHA4</t>
  </si>
  <si>
    <t>MRPL34</t>
  </si>
  <si>
    <t>EMC10</t>
  </si>
  <si>
    <t>POLD1</t>
  </si>
  <si>
    <t>MYO9B</t>
  </si>
  <si>
    <t>RABAC1</t>
  </si>
  <si>
    <t>AGPS</t>
  </si>
  <si>
    <t>UBXN8</t>
  </si>
  <si>
    <t>KIF2A</t>
  </si>
  <si>
    <t>DDX39A</t>
  </si>
  <si>
    <t>PDLIM1</t>
  </si>
  <si>
    <t>ACOT7</t>
  </si>
  <si>
    <t>MYO1C</t>
  </si>
  <si>
    <t>SNAP23</t>
  </si>
  <si>
    <t>HAX1</t>
  </si>
  <si>
    <t>AIP</t>
  </si>
  <si>
    <t>GTPBP1</t>
  </si>
  <si>
    <t>KCNK1</t>
  </si>
  <si>
    <t>STXBP3</t>
  </si>
  <si>
    <t>AP3B1</t>
  </si>
  <si>
    <t>LGALS8</t>
  </si>
  <si>
    <t>NDUFS8</t>
  </si>
  <si>
    <t>TNFRSF10A</t>
  </si>
  <si>
    <t>NFKBIE</t>
  </si>
  <si>
    <t>PSMD11</t>
  </si>
  <si>
    <t>PSMD12</t>
  </si>
  <si>
    <t>ATOX1</t>
  </si>
  <si>
    <t>PGRMC1</t>
  </si>
  <si>
    <t>SUPT5H</t>
  </si>
  <si>
    <t>DFFA</t>
  </si>
  <si>
    <t>RFXAP</t>
  </si>
  <si>
    <t>HIP1</t>
  </si>
  <si>
    <t>CLIC1</t>
  </si>
  <si>
    <t>WWP2</t>
  </si>
  <si>
    <t>PTGER3</t>
  </si>
  <si>
    <t>DCTN6</t>
  </si>
  <si>
    <t>SLC33A1</t>
  </si>
  <si>
    <t>WASL</t>
  </si>
  <si>
    <t>IPO5</t>
  </si>
  <si>
    <t>EEF2K</t>
  </si>
  <si>
    <t>SAP18</t>
  </si>
  <si>
    <t>IGF2BP3</t>
  </si>
  <si>
    <t>DNM1L</t>
  </si>
  <si>
    <t>RTCA</t>
  </si>
  <si>
    <t>PIK3R2</t>
  </si>
  <si>
    <t>GOLIM4</t>
  </si>
  <si>
    <t>MANBA</t>
  </si>
  <si>
    <t>AGRN</t>
  </si>
  <si>
    <t>EXOC5</t>
  </si>
  <si>
    <t>HMGN4</t>
  </si>
  <si>
    <t>NDUFA4</t>
  </si>
  <si>
    <t>PSMD14</t>
  </si>
  <si>
    <t>ZNF593</t>
  </si>
  <si>
    <t>KPNA3</t>
  </si>
  <si>
    <t>STK25</t>
  </si>
  <si>
    <t>BCL9</t>
  </si>
  <si>
    <t>KRIT1</t>
  </si>
  <si>
    <t>PITPNM1</t>
  </si>
  <si>
    <t>MPHOSPH10</t>
  </si>
  <si>
    <t>NOP56</t>
  </si>
  <si>
    <t>DDX3X</t>
  </si>
  <si>
    <t>PIR</t>
  </si>
  <si>
    <t>KPNA4</t>
  </si>
  <si>
    <t>TRIM38</t>
  </si>
  <si>
    <t>PPP6C</t>
  </si>
  <si>
    <t>CES2</t>
  </si>
  <si>
    <t>MAN2B1</t>
  </si>
  <si>
    <t>PDXK</t>
  </si>
  <si>
    <t>SCD</t>
  </si>
  <si>
    <t>ARID1A</t>
  </si>
  <si>
    <t>SOCS2</t>
  </si>
  <si>
    <t>CDK2AP1</t>
  </si>
  <si>
    <t>C2CD2L</t>
  </si>
  <si>
    <t>TMEM194A</t>
  </si>
  <si>
    <t>TRAFD1</t>
  </si>
  <si>
    <t>COX7A2L</t>
  </si>
  <si>
    <t>NDUFAB1</t>
  </si>
  <si>
    <t>CIT</t>
  </si>
  <si>
    <t>AP3D1</t>
  </si>
  <si>
    <t>CHD1</t>
  </si>
  <si>
    <t>TOR1A</t>
  </si>
  <si>
    <t>TOR1B</t>
  </si>
  <si>
    <t>STX16</t>
  </si>
  <si>
    <t>ADAM10</t>
  </si>
  <si>
    <t>MLL2</t>
  </si>
  <si>
    <t>MAP2K7</t>
  </si>
  <si>
    <t>ACOT8</t>
  </si>
  <si>
    <t>PDCD5</t>
  </si>
  <si>
    <t>PRMT5</t>
  </si>
  <si>
    <t>SLC9A3R1</t>
  </si>
  <si>
    <t>CHEK1</t>
  </si>
  <si>
    <t>TNFRSF10B</t>
  </si>
  <si>
    <t>FPGT</t>
  </si>
  <si>
    <t>TPP1</t>
  </si>
  <si>
    <t>TCERG1</t>
  </si>
  <si>
    <t>NDC80</t>
  </si>
  <si>
    <t>TNPO2</t>
  </si>
  <si>
    <t>POLR3A</t>
  </si>
  <si>
    <t>PSMA7</t>
  </si>
  <si>
    <t>SCAMP3</t>
  </si>
  <si>
    <t>OPLAH</t>
  </si>
  <si>
    <t>BACH1</t>
  </si>
  <si>
    <t>BCKDK</t>
  </si>
  <si>
    <t>GEMIN2</t>
  </si>
  <si>
    <t>GIPC1</t>
  </si>
  <si>
    <t>IKBKB</t>
  </si>
  <si>
    <t>TIMM23</t>
  </si>
  <si>
    <t>HAT1</t>
  </si>
  <si>
    <t>EREG</t>
  </si>
  <si>
    <t>UQCRQ</t>
  </si>
  <si>
    <t>HGS</t>
  </si>
  <si>
    <t>AURKA</t>
  </si>
  <si>
    <t>PPP1R12A</t>
  </si>
  <si>
    <t>SLC27A2</t>
  </si>
  <si>
    <t>GAK</t>
  </si>
  <si>
    <t>HNRPDL</t>
  </si>
  <si>
    <t>XPO1</t>
  </si>
  <si>
    <t>BTAF1</t>
  </si>
  <si>
    <t>ZNF609</t>
  </si>
  <si>
    <t>SPTBN2</t>
  </si>
  <si>
    <t>PLXNB2</t>
  </si>
  <si>
    <t>SETD1A</t>
  </si>
  <si>
    <t>SYNJ2</t>
  </si>
  <si>
    <t>KIF3B</t>
  </si>
  <si>
    <t>PFAS</t>
  </si>
  <si>
    <t>ANKRD28</t>
  </si>
  <si>
    <t>ARHGEF11</t>
  </si>
  <si>
    <t>KIAA0391</t>
  </si>
  <si>
    <t>CHUK</t>
  </si>
  <si>
    <t>LSM1</t>
  </si>
  <si>
    <t>FYB</t>
  </si>
  <si>
    <t>NPC1</t>
  </si>
  <si>
    <t>AGPAT2</t>
  </si>
  <si>
    <t>DEGS1</t>
  </si>
  <si>
    <t>SCAMP1</t>
  </si>
  <si>
    <t>SCAMP2</t>
  </si>
  <si>
    <t>ARPC1B</t>
  </si>
  <si>
    <t>ARPC2</t>
  </si>
  <si>
    <t>ARPC3</t>
  </si>
  <si>
    <t>ZBTB7B</t>
  </si>
  <si>
    <t>POLR1C</t>
  </si>
  <si>
    <t>TRIM24</t>
  </si>
  <si>
    <t>AXIN1</t>
  </si>
  <si>
    <t>PGRMC2</t>
  </si>
  <si>
    <t>PFDN6</t>
  </si>
  <si>
    <t>GNPAT</t>
  </si>
  <si>
    <t>CASC3</t>
  </si>
  <si>
    <t>MRPS12</t>
  </si>
  <si>
    <t>VGF</t>
  </si>
  <si>
    <t>CLIC2</t>
  </si>
  <si>
    <t>RER1</t>
  </si>
  <si>
    <t>SPTLC1</t>
  </si>
  <si>
    <t>SPTLC2</t>
  </si>
  <si>
    <t>OGT</t>
  </si>
  <si>
    <t>PMM2</t>
  </si>
  <si>
    <t>HMGB3</t>
  </si>
  <si>
    <t>PPM1G</t>
  </si>
  <si>
    <t>INPPL1</t>
  </si>
  <si>
    <t>HDAC3</t>
  </si>
  <si>
    <t>BCAT2</t>
  </si>
  <si>
    <t>YY2</t>
  </si>
  <si>
    <t>IPO8</t>
  </si>
  <si>
    <t>STX7</t>
  </si>
  <si>
    <t>SLC31A1</t>
  </si>
  <si>
    <t>ABCC4</t>
  </si>
  <si>
    <t>CD3EAP</t>
  </si>
  <si>
    <t>NBR2</t>
  </si>
  <si>
    <t>P4HA2</t>
  </si>
  <si>
    <t>MAGEB2</t>
  </si>
  <si>
    <t>YKT6</t>
  </si>
  <si>
    <t>INSIG1</t>
  </si>
  <si>
    <t>ARPC5</t>
  </si>
  <si>
    <t>POLR2D</t>
  </si>
  <si>
    <t>RNF113A</t>
  </si>
  <si>
    <t>DHX15</t>
  </si>
  <si>
    <t>RNMT</t>
  </si>
  <si>
    <t>TTI1</t>
  </si>
  <si>
    <t>PLXNB1</t>
  </si>
  <si>
    <t>PJA2</t>
  </si>
  <si>
    <t>PRPF4</t>
  </si>
  <si>
    <t>PHGDH</t>
  </si>
  <si>
    <t>NDUFS4</t>
  </si>
  <si>
    <t>ARHGAP6</t>
  </si>
  <si>
    <t>DYNC1LI2</t>
  </si>
  <si>
    <t>PSMD3</t>
  </si>
  <si>
    <t>PAPSS1</t>
  </si>
  <si>
    <t>ZNHIT1</t>
  </si>
  <si>
    <t>ZW10</t>
  </si>
  <si>
    <t>SART1</t>
  </si>
  <si>
    <t>DAPK3</t>
  </si>
  <si>
    <t>AP5Z1</t>
  </si>
  <si>
    <t>HSPA12A</t>
  </si>
  <si>
    <t>CTIF</t>
  </si>
  <si>
    <t>MAP3K7</t>
  </si>
  <si>
    <t>RIPK2</t>
  </si>
  <si>
    <t>WDR62</t>
  </si>
  <si>
    <t>HNRNPR</t>
  </si>
  <si>
    <t>PRPF3</t>
  </si>
  <si>
    <t>TXNL1</t>
  </si>
  <si>
    <t>TPD52L2</t>
  </si>
  <si>
    <t>EMC8</t>
  </si>
  <si>
    <t>FIBP</t>
  </si>
  <si>
    <t>TBX1</t>
  </si>
  <si>
    <t>PPIH</t>
  </si>
  <si>
    <t>HTRA2</t>
  </si>
  <si>
    <t>OIP5</t>
  </si>
  <si>
    <t>EPB41L2</t>
  </si>
  <si>
    <t>RAD51C</t>
  </si>
  <si>
    <t>LAMTOR5</t>
  </si>
  <si>
    <t>B3GNT1</t>
  </si>
  <si>
    <t>MED7</t>
  </si>
  <si>
    <t>WIPF1</t>
  </si>
  <si>
    <t>XRCC2</t>
  </si>
  <si>
    <t>DENR</t>
  </si>
  <si>
    <t>XPOT</t>
  </si>
  <si>
    <t>TIMM44</t>
  </si>
  <si>
    <t>TRAPPC3</t>
  </si>
  <si>
    <t>CHMP2A</t>
  </si>
  <si>
    <t>NCK2</t>
  </si>
  <si>
    <t>PRC1</t>
  </si>
  <si>
    <t>RGS10</t>
  </si>
  <si>
    <t>NDUFA2</t>
  </si>
  <si>
    <t>ASNA1</t>
  </si>
  <si>
    <t>ACTN4</t>
  </si>
  <si>
    <t>WBSCR22</t>
  </si>
  <si>
    <t>TRIAP1</t>
  </si>
  <si>
    <t>HTATSF1</t>
  </si>
  <si>
    <t>TRAF3IP2</t>
  </si>
  <si>
    <t>ITM2A</t>
  </si>
  <si>
    <t>STX6</t>
  </si>
  <si>
    <t>SYNGR2</t>
  </si>
  <si>
    <t>SGTA</t>
  </si>
  <si>
    <t>LIAS</t>
  </si>
  <si>
    <t>ENSA</t>
  </si>
  <si>
    <t>SLC25A20</t>
  </si>
  <si>
    <t>SSNA1</t>
  </si>
  <si>
    <t>LANCL1</t>
  </si>
  <si>
    <t>STRN</t>
  </si>
  <si>
    <t>RRP9</t>
  </si>
  <si>
    <t>SCO2</t>
  </si>
  <si>
    <t>HYAL3</t>
  </si>
  <si>
    <t>AKAP8</t>
  </si>
  <si>
    <t>GTPBP6</t>
  </si>
  <si>
    <t>SLC37A4</t>
  </si>
  <si>
    <t>ZBTB14</t>
  </si>
  <si>
    <t>IDH3B</t>
  </si>
  <si>
    <t>CALU</t>
  </si>
  <si>
    <t>AHCYL1</t>
  </si>
  <si>
    <t>KIF1C</t>
  </si>
  <si>
    <t>ORC5</t>
  </si>
  <si>
    <t>NDUFS5</t>
  </si>
  <si>
    <t>PDE6D</t>
  </si>
  <si>
    <t>PRKY</t>
  </si>
  <si>
    <t>PEX1</t>
  </si>
  <si>
    <t>RAD21</t>
  </si>
  <si>
    <t>TIMM8A</t>
  </si>
  <si>
    <t>DHX16</t>
  </si>
  <si>
    <t>GMFG</t>
  </si>
  <si>
    <t>PRPSAP2</t>
  </si>
  <si>
    <t>SMARCA5</t>
  </si>
  <si>
    <t>SPAG9</t>
  </si>
  <si>
    <t>ZFC3H1</t>
  </si>
  <si>
    <t>LCMT2</t>
  </si>
  <si>
    <t>AQR</t>
  </si>
  <si>
    <t>MAST3</t>
  </si>
  <si>
    <t>CEP104</t>
  </si>
  <si>
    <t>OPA1</t>
  </si>
  <si>
    <t>ZEB2</t>
  </si>
  <si>
    <t>KIF1B</t>
  </si>
  <si>
    <t>MARCH6</t>
  </si>
  <si>
    <t>KDM1A</t>
  </si>
  <si>
    <t>TBC1D4</t>
  </si>
  <si>
    <t>ECE2</t>
  </si>
  <si>
    <t>FADS1</t>
  </si>
  <si>
    <t>MAN1A2</t>
  </si>
  <si>
    <t>ACSL4</t>
  </si>
  <si>
    <t>SNX3</t>
  </si>
  <si>
    <t>MGEA5</t>
  </si>
  <si>
    <t>SYNCRIP</t>
  </si>
  <si>
    <t>B4GALT3</t>
  </si>
  <si>
    <t>RANBP6</t>
  </si>
  <si>
    <t>NEMF</t>
  </si>
  <si>
    <t>GMDS</t>
  </si>
  <si>
    <t>CCNT1</t>
  </si>
  <si>
    <t>BUB1B</t>
  </si>
  <si>
    <t>PLOD3</t>
  </si>
  <si>
    <t>SEP15</t>
  </si>
  <si>
    <t>EXOC3</t>
  </si>
  <si>
    <t>PLIN3</t>
  </si>
  <si>
    <t>RAD1</t>
  </si>
  <si>
    <t>PRMT3</t>
  </si>
  <si>
    <t>UGDH</t>
  </si>
  <si>
    <t>TPST2</t>
  </si>
  <si>
    <t>CTNND1</t>
  </si>
  <si>
    <t>ICMT</t>
  </si>
  <si>
    <t>MAGEC1</t>
  </si>
  <si>
    <t>EIF1B</t>
  </si>
  <si>
    <t>SNX2</t>
  </si>
  <si>
    <t>USO1</t>
  </si>
  <si>
    <t>CCDC22</t>
  </si>
  <si>
    <t>PQBP1</t>
  </si>
  <si>
    <t>PAGE4</t>
  </si>
  <si>
    <t>TIMM17B</t>
  </si>
  <si>
    <t>DKC1</t>
  </si>
  <si>
    <t>EIF5B</t>
  </si>
  <si>
    <t>EDF1</t>
  </si>
  <si>
    <t>KIN</t>
  </si>
  <si>
    <t>DNAJA2</t>
  </si>
  <si>
    <t>BRD4</t>
  </si>
  <si>
    <t>CUTA</t>
  </si>
  <si>
    <t>CTSL2</t>
  </si>
  <si>
    <t>PFDN1</t>
  </si>
  <si>
    <t>PPP1R11</t>
  </si>
  <si>
    <t>RNASEH1</t>
  </si>
  <si>
    <t>NBN</t>
  </si>
  <si>
    <t>RNGTT</t>
  </si>
  <si>
    <t>ABCB7</t>
  </si>
  <si>
    <t>SRGAP2</t>
  </si>
  <si>
    <t>IGSF3</t>
  </si>
  <si>
    <t>DNAJC6</t>
  </si>
  <si>
    <t>FAM20B</t>
  </si>
  <si>
    <t>WDR1</t>
  </si>
  <si>
    <t>N4BP1</t>
  </si>
  <si>
    <t>ROCK2</t>
  </si>
  <si>
    <t>CPNE3</t>
  </si>
  <si>
    <t>ATG13</t>
  </si>
  <si>
    <t>HIP1R</t>
  </si>
  <si>
    <t>RNF40</t>
  </si>
  <si>
    <t>ZC3H11A</t>
  </si>
  <si>
    <t>CAND2</t>
  </si>
  <si>
    <t>TSC22D2</t>
  </si>
  <si>
    <t>KDM4A</t>
  </si>
  <si>
    <t>DNAJC13</t>
  </si>
  <si>
    <t>PPP6R2</t>
  </si>
  <si>
    <t>CNOT3</t>
  </si>
  <si>
    <t>ANKRD17</t>
  </si>
  <si>
    <t>XYLB</t>
  </si>
  <si>
    <t>COQ9</t>
  </si>
  <si>
    <t>GGCT</t>
  </si>
  <si>
    <t>NDUFS2</t>
  </si>
  <si>
    <t>ZNF259</t>
  </si>
  <si>
    <t>GBAS</t>
  </si>
  <si>
    <t>HMMR</t>
  </si>
  <si>
    <t>PDCD6</t>
  </si>
  <si>
    <t>TBCA</t>
  </si>
  <si>
    <t>ATP6V1G1</t>
  </si>
  <si>
    <t>VPS4B</t>
  </si>
  <si>
    <t>ZNF217</t>
  </si>
  <si>
    <t>SH3BGRL</t>
  </si>
  <si>
    <t>FLNB</t>
  </si>
  <si>
    <t>NCOR1</t>
  </si>
  <si>
    <t>VAMP4</t>
  </si>
  <si>
    <t>NDUFS6</t>
  </si>
  <si>
    <t>PEX14</t>
  </si>
  <si>
    <t>SLC43A1</t>
  </si>
  <si>
    <t>SPAG7</t>
  </si>
  <si>
    <t>SEC22B</t>
  </si>
  <si>
    <t>PRPF40A</t>
  </si>
  <si>
    <t>CDC45</t>
  </si>
  <si>
    <t>GIGYF1</t>
  </si>
  <si>
    <t>LRCH4</t>
  </si>
  <si>
    <t>VPS26A</t>
  </si>
  <si>
    <t>NDUFB1</t>
  </si>
  <si>
    <t>PMPCB</t>
  </si>
  <si>
    <t>SAP30</t>
  </si>
  <si>
    <t>KATNA1</t>
  </si>
  <si>
    <t>RDH16</t>
  </si>
  <si>
    <t>PAGE1</t>
  </si>
  <si>
    <t>PSIP1</t>
  </si>
  <si>
    <t>ERLIN1</t>
  </si>
  <si>
    <t>NDUFS3</t>
  </si>
  <si>
    <t>CLN5</t>
  </si>
  <si>
    <t>HSBP1</t>
  </si>
  <si>
    <t>ECI2</t>
  </si>
  <si>
    <t>TADA3</t>
  </si>
  <si>
    <t>EED</t>
  </si>
  <si>
    <t>BANF1</t>
  </si>
  <si>
    <t>SF3B1</t>
  </si>
  <si>
    <t>CSDE1</t>
  </si>
  <si>
    <t>WBP4</t>
  </si>
  <si>
    <t>MTRF1</t>
  </si>
  <si>
    <t>GCAT</t>
  </si>
  <si>
    <t>NPM3</t>
  </si>
  <si>
    <t>LYPLA1</t>
  </si>
  <si>
    <t>ERAL1</t>
  </si>
  <si>
    <t>CREG1</t>
  </si>
  <si>
    <t>SERPINB7</t>
  </si>
  <si>
    <t>SNRNP200</t>
  </si>
  <si>
    <t>TRMU</t>
  </si>
  <si>
    <t>TIPRL</t>
  </si>
  <si>
    <t>PPM1B</t>
  </si>
  <si>
    <t>UTP20</t>
  </si>
  <si>
    <t>RP2</t>
  </si>
  <si>
    <t>WDHD1</t>
  </si>
  <si>
    <t>SLC25A12</t>
  </si>
  <si>
    <t>PALM</t>
  </si>
  <si>
    <t>GRAP2</t>
  </si>
  <si>
    <t>RNASEH2A</t>
  </si>
  <si>
    <t>CDC123</t>
  </si>
  <si>
    <t>SOLH</t>
  </si>
  <si>
    <t>RPP40</t>
  </si>
  <si>
    <t>EIF3G</t>
  </si>
  <si>
    <t>EIF3J</t>
  </si>
  <si>
    <t>CBR3</t>
  </si>
  <si>
    <t>ZMPSTE24</t>
  </si>
  <si>
    <t>IDH1</t>
  </si>
  <si>
    <t>ATRN</t>
  </si>
  <si>
    <t>STAM2</t>
  </si>
  <si>
    <t>TUSC2</t>
  </si>
  <si>
    <t>CCNK</t>
  </si>
  <si>
    <t>DHRS3</t>
  </si>
  <si>
    <t>ARL6IP5</t>
  </si>
  <si>
    <t>PIAS2</t>
  </si>
  <si>
    <t>BCAS2</t>
  </si>
  <si>
    <t>DCTN3</t>
  </si>
  <si>
    <t>DNAJC8</t>
  </si>
  <si>
    <t>SMNDC1</t>
  </si>
  <si>
    <t>RAD17</t>
  </si>
  <si>
    <t>ATP5H</t>
  </si>
  <si>
    <t>FLOT1</t>
  </si>
  <si>
    <t>ATP5L</t>
  </si>
  <si>
    <t>CPD</t>
  </si>
  <si>
    <t>GLRX3</t>
  </si>
  <si>
    <t>CLPX</t>
  </si>
  <si>
    <t>NEBL</t>
  </si>
  <si>
    <t>SNCG</t>
  </si>
  <si>
    <t>CIAO1</t>
  </si>
  <si>
    <t>DFFB</t>
  </si>
  <si>
    <t>ZFAND5</t>
  </si>
  <si>
    <t>SRP72</t>
  </si>
  <si>
    <t>JTB</t>
  </si>
  <si>
    <t>RECQL5</t>
  </si>
  <si>
    <t>URI1</t>
  </si>
  <si>
    <t>B3GAT3</t>
  </si>
  <si>
    <t>MTA2</t>
  </si>
  <si>
    <t>USP1</t>
  </si>
  <si>
    <t>ALDH1A2</t>
  </si>
  <si>
    <t>STK10</t>
  </si>
  <si>
    <t>LTN1</t>
  </si>
  <si>
    <t>TOMM70A</t>
  </si>
  <si>
    <t>IPO13</t>
  </si>
  <si>
    <t>DDHD2</t>
  </si>
  <si>
    <t>MYO1D</t>
  </si>
  <si>
    <t>MICAL2</t>
  </si>
  <si>
    <t>KIAA0754</t>
  </si>
  <si>
    <t>SEC24D</t>
  </si>
  <si>
    <t>SUPT7L</t>
  </si>
  <si>
    <t>UFL1</t>
  </si>
  <si>
    <t>PHF14</t>
  </si>
  <si>
    <t>SASH1</t>
  </si>
  <si>
    <t>TMEM63A</t>
  </si>
  <si>
    <t>UBXN7</t>
  </si>
  <si>
    <t>KLHL18</t>
  </si>
  <si>
    <t>LRIG2</t>
  </si>
  <si>
    <t>PROSC</t>
  </si>
  <si>
    <t>ERLIN2</t>
  </si>
  <si>
    <t>PRPF6</t>
  </si>
  <si>
    <t>PCF11</t>
  </si>
  <si>
    <t>NFAT5</t>
  </si>
  <si>
    <t>ENDOD1</t>
  </si>
  <si>
    <t>GLS</t>
  </si>
  <si>
    <t>HAUS5</t>
  </si>
  <si>
    <t>USP19</t>
  </si>
  <si>
    <t>WDR47</t>
  </si>
  <si>
    <t>AP2A2</t>
  </si>
  <si>
    <t>HEXIM1</t>
  </si>
  <si>
    <t>CCNB2</t>
  </si>
  <si>
    <t>AGFG2</t>
  </si>
  <si>
    <t>SCAF4</t>
  </si>
  <si>
    <t>NDUFB6</t>
  </si>
  <si>
    <t>MFN2</t>
  </si>
  <si>
    <t>UBE4B</t>
  </si>
  <si>
    <t>ZFPL1</t>
  </si>
  <si>
    <t>IKBKAP</t>
  </si>
  <si>
    <t>NDUFA3</t>
  </si>
  <si>
    <t>NDUFB4</t>
  </si>
  <si>
    <t>NDUFA7</t>
  </si>
  <si>
    <t>RTN3</t>
  </si>
  <si>
    <t>LETM1</t>
  </si>
  <si>
    <t>ZRANB2</t>
  </si>
  <si>
    <t>ZWINT</t>
  </si>
  <si>
    <t>VENTX</t>
  </si>
  <si>
    <t>LUC7L3</t>
  </si>
  <si>
    <t>KIF4A</t>
  </si>
  <si>
    <t>KAT7</t>
  </si>
  <si>
    <t>CCNDBP1</t>
  </si>
  <si>
    <t>VAPB</t>
  </si>
  <si>
    <t>SNAPIN</t>
  </si>
  <si>
    <t>MPZL1</t>
  </si>
  <si>
    <t>NDUFC2</t>
  </si>
  <si>
    <t>FKBP9</t>
  </si>
  <si>
    <t>PGLS</t>
  </si>
  <si>
    <t>SMC2</t>
  </si>
  <si>
    <t>ATG7</t>
  </si>
  <si>
    <t>FARS2</t>
  </si>
  <si>
    <t>ZBTB7A</t>
  </si>
  <si>
    <t>LYPLA2</t>
  </si>
  <si>
    <t>IPO7</t>
  </si>
  <si>
    <t>ARIH2</t>
  </si>
  <si>
    <t>SLU7</t>
  </si>
  <si>
    <t>MOCS3</t>
  </si>
  <si>
    <t>CD2BP2</t>
  </si>
  <si>
    <t>MED26</t>
  </si>
  <si>
    <t>ZFYVE9</t>
  </si>
  <si>
    <t>BAG4</t>
  </si>
  <si>
    <t>AHSA1</t>
  </si>
  <si>
    <t>PARN</t>
  </si>
  <si>
    <t>TGDS</t>
  </si>
  <si>
    <t>PSMG1</t>
  </si>
  <si>
    <t>FMNL1</t>
  </si>
  <si>
    <t>SGPL1</t>
  </si>
  <si>
    <t>SEC24A</t>
  </si>
  <si>
    <t>SEC24B</t>
  </si>
  <si>
    <t>NADK</t>
  </si>
  <si>
    <t>TDP2</t>
  </si>
  <si>
    <t>ETHE1</t>
  </si>
  <si>
    <t>ACSL3</t>
  </si>
  <si>
    <t>POLR1A</t>
  </si>
  <si>
    <t>PCNT</t>
  </si>
  <si>
    <t>YEATS4</t>
  </si>
  <si>
    <t>DUS4L</t>
  </si>
  <si>
    <t>CNOT4</t>
  </si>
  <si>
    <t>STAMBP</t>
  </si>
  <si>
    <t>ASMTL</t>
  </si>
  <si>
    <t>FGFR1OP</t>
  </si>
  <si>
    <t>SNAP29</t>
  </si>
  <si>
    <t>OXSR1</t>
  </si>
  <si>
    <t>GGPS1</t>
  </si>
  <si>
    <t>PTBP3</t>
  </si>
  <si>
    <t>NAA38</t>
  </si>
  <si>
    <t>AP2A1</t>
  </si>
  <si>
    <t>TTC4</t>
  </si>
  <si>
    <t>TMEM50A</t>
  </si>
  <si>
    <t>SDPR</t>
  </si>
  <si>
    <t>BAG2</t>
  </si>
  <si>
    <t>BAG3</t>
  </si>
  <si>
    <t>CRYZL1</t>
  </si>
  <si>
    <t>AIFM1</t>
  </si>
  <si>
    <t>EML2</t>
  </si>
  <si>
    <t>LATS1</t>
  </si>
  <si>
    <t>TSPAN13</t>
  </si>
  <si>
    <t>DDAH2</t>
  </si>
  <si>
    <t>C6orf47</t>
  </si>
  <si>
    <t>TXNDC12</t>
  </si>
  <si>
    <t>ECD</t>
  </si>
  <si>
    <t>SYF2</t>
  </si>
  <si>
    <t>MBD3</t>
  </si>
  <si>
    <t>TOP3B</t>
  </si>
  <si>
    <t>NUDT3</t>
  </si>
  <si>
    <t>PTTG1</t>
  </si>
  <si>
    <t>BCL10</t>
  </si>
  <si>
    <t>NDUFB10</t>
  </si>
  <si>
    <t>MOCS2</t>
  </si>
  <si>
    <t>TOMM40</t>
  </si>
  <si>
    <t>PEX11B</t>
  </si>
  <si>
    <t>PAK4</t>
  </si>
  <si>
    <t>CHEK2</t>
  </si>
  <si>
    <t>ACTL6A</t>
  </si>
  <si>
    <t>LDHA</t>
  </si>
  <si>
    <t>ALDH1A1</t>
  </si>
  <si>
    <t>GLUD1</t>
  </si>
  <si>
    <t>DHFR</t>
  </si>
  <si>
    <t>CYB5R3</t>
  </si>
  <si>
    <t>GSR</t>
  </si>
  <si>
    <t>MT-CO2</t>
  </si>
  <si>
    <t>SOD1</t>
  </si>
  <si>
    <t>PNP</t>
  </si>
  <si>
    <t>HPRT1</t>
  </si>
  <si>
    <t>GOT2</t>
  </si>
  <si>
    <t>ABL1</t>
  </si>
  <si>
    <t>PGK1</t>
  </si>
  <si>
    <t>CST3</t>
  </si>
  <si>
    <t>NRAS</t>
  </si>
  <si>
    <t>HRAS</t>
  </si>
  <si>
    <t>KRAS</t>
  </si>
  <si>
    <t>TGFB1</t>
  </si>
  <si>
    <t>HBZ</t>
  </si>
  <si>
    <t>HBD</t>
  </si>
  <si>
    <t>LMNA</t>
  </si>
  <si>
    <t>SPTA1</t>
  </si>
  <si>
    <t>APOE</t>
  </si>
  <si>
    <t>SLC4A1</t>
  </si>
  <si>
    <t>TFRC</t>
  </si>
  <si>
    <t>FTL</t>
  </si>
  <si>
    <t>FTH1</t>
  </si>
  <si>
    <t>MT-ATP8</t>
  </si>
  <si>
    <t>HMGCR</t>
  </si>
  <si>
    <t>CAT</t>
  </si>
  <si>
    <t>FUCA1</t>
  </si>
  <si>
    <t>CSTB</t>
  </si>
  <si>
    <t>ANXA1</t>
  </si>
  <si>
    <t>APOB</t>
  </si>
  <si>
    <t>NR3C1</t>
  </si>
  <si>
    <t>OAT</t>
  </si>
  <si>
    <t>GAPDH</t>
  </si>
  <si>
    <t>ASL</t>
  </si>
  <si>
    <t>CAPNS1</t>
  </si>
  <si>
    <t>HSPB1</t>
  </si>
  <si>
    <t>TYMS</t>
  </si>
  <si>
    <t>RPN1</t>
  </si>
  <si>
    <t>RPN2</t>
  </si>
  <si>
    <t>GNAI2</t>
  </si>
  <si>
    <t>SLC4A2</t>
  </si>
  <si>
    <t>GYPC</t>
  </si>
  <si>
    <t>ATP1A1</t>
  </si>
  <si>
    <t>ALDH2</t>
  </si>
  <si>
    <t>HMGN1</t>
  </si>
  <si>
    <t>SLC25A5</t>
  </si>
  <si>
    <t>ISG15</t>
  </si>
  <si>
    <t>PCCA</t>
  </si>
  <si>
    <t>EIF2S1</t>
  </si>
  <si>
    <t>HMGN2</t>
  </si>
  <si>
    <t>ICAM1</t>
  </si>
  <si>
    <t>RPLP1</t>
  </si>
  <si>
    <t>RPLP2</t>
  </si>
  <si>
    <t>RPLP0</t>
  </si>
  <si>
    <t>JUN</t>
  </si>
  <si>
    <t>POLR3D</t>
  </si>
  <si>
    <t>SSB</t>
  </si>
  <si>
    <t>ITGB1</t>
  </si>
  <si>
    <t>PRKCB</t>
  </si>
  <si>
    <t>KRT18</t>
  </si>
  <si>
    <t>CALB1</t>
  </si>
  <si>
    <t>UROD</t>
  </si>
  <si>
    <t>GLA</t>
  </si>
  <si>
    <t>RB1</t>
  </si>
  <si>
    <t>CDK1</t>
  </si>
  <si>
    <t>ATP5B</t>
  </si>
  <si>
    <t>ENO1</t>
  </si>
  <si>
    <t>GPI</t>
  </si>
  <si>
    <t>NPM1</t>
  </si>
  <si>
    <t>ITGAV</t>
  </si>
  <si>
    <t>EPHX1</t>
  </si>
  <si>
    <t>DBI</t>
  </si>
  <si>
    <t>PGK2</t>
  </si>
  <si>
    <t>PROS1</t>
  </si>
  <si>
    <t>CTSD</t>
  </si>
  <si>
    <t>CAPN1</t>
  </si>
  <si>
    <t>HEXB</t>
  </si>
  <si>
    <t>CTSL1</t>
  </si>
  <si>
    <t>PFN1</t>
  </si>
  <si>
    <t>BPGM</t>
  </si>
  <si>
    <t>APRT</t>
  </si>
  <si>
    <t>EPRS</t>
  </si>
  <si>
    <t>CTSB</t>
  </si>
  <si>
    <t>HSP90AA1</t>
  </si>
  <si>
    <t>GALT</t>
  </si>
  <si>
    <t>UQCRH</t>
  </si>
  <si>
    <t>LYN</t>
  </si>
  <si>
    <t>FH</t>
  </si>
  <si>
    <t>SP1</t>
  </si>
  <si>
    <t>HSPA1A</t>
  </si>
  <si>
    <t>COL1A2</t>
  </si>
  <si>
    <t>ANXA6</t>
  </si>
  <si>
    <t>PFKM</t>
  </si>
  <si>
    <t>HSP90AB1</t>
  </si>
  <si>
    <t>SRPR</t>
  </si>
  <si>
    <t>ASNS</t>
  </si>
  <si>
    <t>HMBS</t>
  </si>
  <si>
    <t>PDHA1</t>
  </si>
  <si>
    <t>CYC1</t>
  </si>
  <si>
    <t>SNRPB2</t>
  </si>
  <si>
    <t>MYL3</t>
  </si>
  <si>
    <t>CFH</t>
  </si>
  <si>
    <t>SNRNP70</t>
  </si>
  <si>
    <t>ITGA5</t>
  </si>
  <si>
    <t>NFIC</t>
  </si>
  <si>
    <t>VIM</t>
  </si>
  <si>
    <t>GNAI3</t>
  </si>
  <si>
    <t>ANXA5</t>
  </si>
  <si>
    <t>SNRPA</t>
  </si>
  <si>
    <t>FGF2</t>
  </si>
  <si>
    <t>ENO2</t>
  </si>
  <si>
    <t>HBQ1</t>
  </si>
  <si>
    <t>ACAA1</t>
  </si>
  <si>
    <t>SRP19</t>
  </si>
  <si>
    <t>GSTP1</t>
  </si>
  <si>
    <t>SNRPC</t>
  </si>
  <si>
    <t>LGALS1</t>
  </si>
  <si>
    <t>QDPR</t>
  </si>
  <si>
    <t>HMGB1</t>
  </si>
  <si>
    <t>CLTA</t>
  </si>
  <si>
    <t>CLTB</t>
  </si>
  <si>
    <t>ANXA4</t>
  </si>
  <si>
    <t>CNP</t>
  </si>
  <si>
    <t>DLD</t>
  </si>
  <si>
    <t>SNRPA1</t>
  </si>
  <si>
    <t>CTSH</t>
  </si>
  <si>
    <t>COX6C</t>
  </si>
  <si>
    <t>PARP1</t>
  </si>
  <si>
    <t>FURIN</t>
  </si>
  <si>
    <t>LTA4H</t>
  </si>
  <si>
    <t>ALDOC</t>
  </si>
  <si>
    <t>FBXO45</t>
  </si>
  <si>
    <t>CISD3</t>
  </si>
  <si>
    <t>UQCRFS1P1</t>
  </si>
  <si>
    <t>ATXN1L</t>
  </si>
  <si>
    <t>PLA2G4B</t>
  </si>
  <si>
    <t>CHTF8</t>
  </si>
  <si>
    <t>RPS17L</t>
  </si>
  <si>
    <t>SMIM13</t>
  </si>
  <si>
    <t>FDX1</t>
  </si>
  <si>
    <t>SRGN</t>
  </si>
  <si>
    <t>TROVE2</t>
  </si>
  <si>
    <t>MYBL2</t>
  </si>
  <si>
    <t>RRAS</t>
  </si>
  <si>
    <t>ARAF</t>
  </si>
  <si>
    <t>HIST1H1E</t>
  </si>
  <si>
    <t>PTPRF</t>
  </si>
  <si>
    <t>NR2F6</t>
  </si>
  <si>
    <t>TXN</t>
  </si>
  <si>
    <t>COX5B</t>
  </si>
  <si>
    <t>CTSA</t>
  </si>
  <si>
    <t>PRKAR1A</t>
  </si>
  <si>
    <t>UROS</t>
  </si>
  <si>
    <t>ESD</t>
  </si>
  <si>
    <t>HSPD1</t>
  </si>
  <si>
    <t>HSPA5</t>
  </si>
  <si>
    <t>SLC2A1</t>
  </si>
  <si>
    <t>SLC2A3</t>
  </si>
  <si>
    <t>EPB41</t>
  </si>
  <si>
    <t>UMPS</t>
  </si>
  <si>
    <t>PDHB</t>
  </si>
  <si>
    <t>DBT</t>
  </si>
  <si>
    <t>PYGB</t>
  </si>
  <si>
    <t>RALA</t>
  </si>
  <si>
    <t>RALB</t>
  </si>
  <si>
    <t>BCR</t>
  </si>
  <si>
    <t>SPTB</t>
  </si>
  <si>
    <t>LAMP1</t>
  </si>
  <si>
    <t>TOP1</t>
  </si>
  <si>
    <t>TOP2A</t>
  </si>
  <si>
    <t>G6PD</t>
  </si>
  <si>
    <t>UBL4A</t>
  </si>
  <si>
    <t>ESRRA</t>
  </si>
  <si>
    <t>PC</t>
  </si>
  <si>
    <t>IGF2R</t>
  </si>
  <si>
    <t>ADH5</t>
  </si>
  <si>
    <t>CDK4</t>
  </si>
  <si>
    <t>PRPS2</t>
  </si>
  <si>
    <t>PCNA</t>
  </si>
  <si>
    <t>NEFH</t>
  </si>
  <si>
    <t>HARS</t>
  </si>
  <si>
    <t>SLC25A4</t>
  </si>
  <si>
    <t>SLC25A6</t>
  </si>
  <si>
    <t>TPR</t>
  </si>
  <si>
    <t>CKB</t>
  </si>
  <si>
    <t>FCGR2A</t>
  </si>
  <si>
    <t>ANXA3</t>
  </si>
  <si>
    <t>CKMT1A</t>
  </si>
  <si>
    <t>SKI</t>
  </si>
  <si>
    <t>ACTN1</t>
  </si>
  <si>
    <t>MYL4</t>
  </si>
  <si>
    <t>MYH1</t>
  </si>
  <si>
    <t>SRC</t>
  </si>
  <si>
    <t>XRCC6</t>
  </si>
  <si>
    <t>XRCC5</t>
  </si>
  <si>
    <t>NR2C1</t>
  </si>
  <si>
    <t>COX4I1</t>
  </si>
  <si>
    <t>ALAS1</t>
  </si>
  <si>
    <t>GP1BB</t>
  </si>
  <si>
    <t>IFI30</t>
  </si>
  <si>
    <t>LAMP2</t>
  </si>
  <si>
    <t>RNH1</t>
  </si>
  <si>
    <t>CYBA</t>
  </si>
  <si>
    <t>MYH6</t>
  </si>
  <si>
    <t>EEF2</t>
  </si>
  <si>
    <t>PDIA4</t>
  </si>
  <si>
    <t>P4HA1</t>
  </si>
  <si>
    <t>TPT1</t>
  </si>
  <si>
    <t>LCP1</t>
  </si>
  <si>
    <t>ETFA</t>
  </si>
  <si>
    <t>PRKAR2A</t>
  </si>
  <si>
    <t>ENO3</t>
  </si>
  <si>
    <t>GTF2F2</t>
  </si>
  <si>
    <t>MIF</t>
  </si>
  <si>
    <t>CD99</t>
  </si>
  <si>
    <t>IRF2</t>
  </si>
  <si>
    <t>HCLS1</t>
  </si>
  <si>
    <t>FDPS</t>
  </si>
  <si>
    <t>ATP1B2</t>
  </si>
  <si>
    <t>AKR1A1</t>
  </si>
  <si>
    <t>HSP90B1</t>
  </si>
  <si>
    <t>CCNB1</t>
  </si>
  <si>
    <t>MYL6B</t>
  </si>
  <si>
    <t>IDE</t>
  </si>
  <si>
    <t>COX6B1</t>
  </si>
  <si>
    <t>HNRNPL</t>
  </si>
  <si>
    <t>DARS</t>
  </si>
  <si>
    <t>JUP</t>
  </si>
  <si>
    <t>BRAF</t>
  </si>
  <si>
    <t>GLUL</t>
  </si>
  <si>
    <t>AKR1B1</t>
  </si>
  <si>
    <t>PVR</t>
  </si>
  <si>
    <t>RAC2</t>
  </si>
  <si>
    <t>GSPT1</t>
  </si>
  <si>
    <t>ARSA</t>
  </si>
  <si>
    <t>B4GALT1</t>
  </si>
  <si>
    <t>EZR</t>
  </si>
  <si>
    <t>UCHL3</t>
  </si>
  <si>
    <t>FOSL1</t>
  </si>
  <si>
    <t>CD46</t>
  </si>
  <si>
    <t>NME1</t>
  </si>
  <si>
    <t>ARSB</t>
  </si>
  <si>
    <t>RPS2</t>
  </si>
  <si>
    <t>ST6GAL1</t>
  </si>
  <si>
    <t>TCF3</t>
  </si>
  <si>
    <t>RPA2</t>
  </si>
  <si>
    <t>SPN</t>
  </si>
  <si>
    <t>CBR1</t>
  </si>
  <si>
    <t>ANK1</t>
  </si>
  <si>
    <t>ACADS</t>
  </si>
  <si>
    <t>CREB1</t>
  </si>
  <si>
    <t>PECAM1</t>
  </si>
  <si>
    <t>PPP3CB</t>
  </si>
  <si>
    <t>NCK1</t>
  </si>
  <si>
    <t>GCFC2</t>
  </si>
  <si>
    <t>HIST1H1B</t>
  </si>
  <si>
    <t>POR</t>
  </si>
  <si>
    <t>FER</t>
  </si>
  <si>
    <t>ATP2A2</t>
  </si>
  <si>
    <t>FAH</t>
  </si>
  <si>
    <t>STMN1</t>
  </si>
  <si>
    <t>YBX3</t>
  </si>
  <si>
    <t>ZNF14</t>
  </si>
  <si>
    <t>ZNF24</t>
  </si>
  <si>
    <t>NAGA</t>
  </si>
  <si>
    <t>HSPA6</t>
  </si>
  <si>
    <t>HMGA1</t>
  </si>
  <si>
    <t>TMEM11</t>
  </si>
  <si>
    <t>GOT1</t>
  </si>
  <si>
    <t>PRKCA</t>
  </si>
  <si>
    <t>JUNB</t>
  </si>
  <si>
    <t>HOXB9</t>
  </si>
  <si>
    <t>HOXB4</t>
  </si>
  <si>
    <t>JUND</t>
  </si>
  <si>
    <t>ATF7</t>
  </si>
  <si>
    <t>NDUFB7</t>
  </si>
  <si>
    <t>PRKACA</t>
  </si>
  <si>
    <t>CAPN2</t>
  </si>
  <si>
    <t>CEBPB</t>
  </si>
  <si>
    <t>PTPN2</t>
  </si>
  <si>
    <t>CTPS1</t>
  </si>
  <si>
    <t>PFKL</t>
  </si>
  <si>
    <t>TCP1</t>
  </si>
  <si>
    <t>PTPN1</t>
  </si>
  <si>
    <t>ERCC2</t>
  </si>
  <si>
    <t>ITGB5</t>
  </si>
  <si>
    <t>ARF4</t>
  </si>
  <si>
    <t>RPL7</t>
  </si>
  <si>
    <t>EGR1</t>
  </si>
  <si>
    <t>VCL</t>
  </si>
  <si>
    <t>SON</t>
  </si>
  <si>
    <t>NELFE</t>
  </si>
  <si>
    <t>PGAM1</t>
  </si>
  <si>
    <t>RCC1</t>
  </si>
  <si>
    <t>ATF1</t>
  </si>
  <si>
    <t>ATF6</t>
  </si>
  <si>
    <t>ATP5J</t>
  </si>
  <si>
    <t>PLCG1</t>
  </si>
  <si>
    <t>NCL</t>
  </si>
  <si>
    <t>HK1</t>
  </si>
  <si>
    <t>POLR2C</t>
  </si>
  <si>
    <t>POLR2E</t>
  </si>
  <si>
    <t>ELK1</t>
  </si>
  <si>
    <t>ERCC3</t>
  </si>
  <si>
    <t>EIF2AK2</t>
  </si>
  <si>
    <t>TFE3</t>
  </si>
  <si>
    <t>SRM</t>
  </si>
  <si>
    <t>CSNK2A2</t>
  </si>
  <si>
    <t>NFKB1</t>
  </si>
  <si>
    <t>ATP2B1</t>
  </si>
  <si>
    <t>EIF2S2</t>
  </si>
  <si>
    <t>CD33</t>
  </si>
  <si>
    <t>CCNA2</t>
  </si>
  <si>
    <t>BTF3</t>
  </si>
  <si>
    <t>TNFRSF1B</t>
  </si>
  <si>
    <t>RAB3A</t>
  </si>
  <si>
    <t>RAB4A</t>
  </si>
  <si>
    <t>RAB6A</t>
  </si>
  <si>
    <t>MSH3</t>
  </si>
  <si>
    <t>PSMB1</t>
  </si>
  <si>
    <t>M6PR</t>
  </si>
  <si>
    <t>COX5A</t>
  </si>
  <si>
    <t>LMNB1</t>
  </si>
  <si>
    <t>AGA</t>
  </si>
  <si>
    <t>PTMS</t>
  </si>
  <si>
    <t>CDK11B</t>
  </si>
  <si>
    <t>ATP6V1B2</t>
  </si>
  <si>
    <t>ATP6V1C1</t>
  </si>
  <si>
    <t>CSRP1</t>
  </si>
  <si>
    <t>FLNA</t>
  </si>
  <si>
    <t>ACO1</t>
  </si>
  <si>
    <t>TNFAIP3</t>
  </si>
  <si>
    <t>GPD1</t>
  </si>
  <si>
    <t>TBXA2R</t>
  </si>
  <si>
    <t>VDAC1</t>
  </si>
  <si>
    <t>SDHB</t>
  </si>
  <si>
    <t>COMT</t>
  </si>
  <si>
    <t>TGM2</t>
  </si>
  <si>
    <t>MUT</t>
  </si>
  <si>
    <t>OSBP</t>
  </si>
  <si>
    <t>SCP2</t>
  </si>
  <si>
    <t>UBA1</t>
  </si>
  <si>
    <t>GAL</t>
  </si>
  <si>
    <t>SPRR2D</t>
  </si>
  <si>
    <t>HNRNPA2B1</t>
  </si>
  <si>
    <t>RFX1</t>
  </si>
  <si>
    <t>CBL</t>
  </si>
  <si>
    <t>IGFBP4</t>
  </si>
  <si>
    <t>UQCRC2</t>
  </si>
  <si>
    <t>FECH</t>
  </si>
  <si>
    <t>XPA</t>
  </si>
  <si>
    <t>TCEA1</t>
  </si>
  <si>
    <t>SFPQ</t>
  </si>
  <si>
    <t>TUBG1</t>
  </si>
  <si>
    <t>PPIB</t>
  </si>
  <si>
    <t>ME2</t>
  </si>
  <si>
    <t>RPS3</t>
  </si>
  <si>
    <t>GCSH</t>
  </si>
  <si>
    <t>SP100</t>
  </si>
  <si>
    <t>NFYA</t>
  </si>
  <si>
    <t>AHCY</t>
  </si>
  <si>
    <t>CFL1</t>
  </si>
  <si>
    <t>ATP2B4</t>
  </si>
  <si>
    <t>ITPKA</t>
  </si>
  <si>
    <t>DGKA</t>
  </si>
  <si>
    <t>CPT2</t>
  </si>
  <si>
    <t>DTYMK</t>
  </si>
  <si>
    <t>NR2F2</t>
  </si>
  <si>
    <t>EEF1B2</t>
  </si>
  <si>
    <t>ACP1</t>
  </si>
  <si>
    <t>ACAT1</t>
  </si>
  <si>
    <t>POLR2A</t>
  </si>
  <si>
    <t>ADRBK1</t>
  </si>
  <si>
    <t>F2R</t>
  </si>
  <si>
    <t>MCM3</t>
  </si>
  <si>
    <t>RPS12</t>
  </si>
  <si>
    <t>YY1</t>
  </si>
  <si>
    <t>DNAJB1</t>
  </si>
  <si>
    <t>ATP5A1</t>
  </si>
  <si>
    <t>CTSS</t>
  </si>
  <si>
    <t>PSMA1</t>
  </si>
  <si>
    <t>PSMA2</t>
  </si>
  <si>
    <t>PSMA3</t>
  </si>
  <si>
    <t>PSMA4</t>
  </si>
  <si>
    <t>LMO2</t>
  </si>
  <si>
    <t>S100P</t>
  </si>
  <si>
    <t>MSN</t>
  </si>
  <si>
    <t>DDX6</t>
  </si>
  <si>
    <t>U2AF2</t>
  </si>
  <si>
    <t>RPL13</t>
  </si>
  <si>
    <t>CHML</t>
  </si>
  <si>
    <t>S100A4</t>
  </si>
  <si>
    <t>MGAT1</t>
  </si>
  <si>
    <t>HMGB2</t>
  </si>
  <si>
    <t>TARS</t>
  </si>
  <si>
    <t>VARS</t>
  </si>
  <si>
    <t>EEF1G</t>
  </si>
  <si>
    <t>FKBP2</t>
  </si>
  <si>
    <t>AK4</t>
  </si>
  <si>
    <t>YWHAQ</t>
  </si>
  <si>
    <t>MAPK3</t>
  </si>
  <si>
    <t>ARNT</t>
  </si>
  <si>
    <t>RPL10</t>
  </si>
  <si>
    <t>RPA1</t>
  </si>
  <si>
    <t>APEX1</t>
  </si>
  <si>
    <t>PDE4A</t>
  </si>
  <si>
    <t>CANX</t>
  </si>
  <si>
    <t>PIK3R1</t>
  </si>
  <si>
    <t>PSMB9</t>
  </si>
  <si>
    <t>PSMA5</t>
  </si>
  <si>
    <t>PSMB4</t>
  </si>
  <si>
    <t>PSMB6</t>
  </si>
  <si>
    <t>PSMB5</t>
  </si>
  <si>
    <t>TMOD1</t>
  </si>
  <si>
    <t>NDUFS1</t>
  </si>
  <si>
    <t>MAPK1</t>
  </si>
  <si>
    <t>RXRB</t>
  </si>
  <si>
    <t>ERCC5</t>
  </si>
  <si>
    <t>GRN</t>
  </si>
  <si>
    <t>LAP3</t>
  </si>
  <si>
    <t>TNFRSF8</t>
  </si>
  <si>
    <t>GTF2E1</t>
  </si>
  <si>
    <t>GTF2E2</t>
  </si>
  <si>
    <t>PTPN6</t>
  </si>
  <si>
    <t>SHC1</t>
  </si>
  <si>
    <t>MPG</t>
  </si>
  <si>
    <t>CRABP2</t>
  </si>
  <si>
    <t>TKT</t>
  </si>
  <si>
    <t>PML</t>
  </si>
  <si>
    <t>MARCKS</t>
  </si>
  <si>
    <t>GNA11</t>
  </si>
  <si>
    <t>ALDH4A1</t>
  </si>
  <si>
    <t>ERP29</t>
  </si>
  <si>
    <t>PRDX6</t>
  </si>
  <si>
    <t>C21orf33</t>
  </si>
  <si>
    <t>BLVRB</t>
  </si>
  <si>
    <t>PRDX5</t>
  </si>
  <si>
    <t>DDT</t>
  </si>
  <si>
    <t>ATP5D</t>
  </si>
  <si>
    <t>RPL12</t>
  </si>
  <si>
    <t>ECHS1</t>
  </si>
  <si>
    <t>CMPK1</t>
  </si>
  <si>
    <t>PEBP1</t>
  </si>
  <si>
    <t>PPP2R1A</t>
  </si>
  <si>
    <t>PPP2R1B</t>
  </si>
  <si>
    <t>CDC27</t>
  </si>
  <si>
    <t>WEE1</t>
  </si>
  <si>
    <t>CDC25C</t>
  </si>
  <si>
    <t>PPIF</t>
  </si>
  <si>
    <t>NMT1</t>
  </si>
  <si>
    <t>HMOX2</t>
  </si>
  <si>
    <t>ADSS</t>
  </si>
  <si>
    <t>LRPAP1</t>
  </si>
  <si>
    <t>ADSL</t>
  </si>
  <si>
    <t>PKLR</t>
  </si>
  <si>
    <t>CLIP1</t>
  </si>
  <si>
    <t>GSTT1</t>
  </si>
  <si>
    <t>SERPINB1</t>
  </si>
  <si>
    <t>SLC7A1</t>
  </si>
  <si>
    <t>ALDH1B1</t>
  </si>
  <si>
    <t>SDHA</t>
  </si>
  <si>
    <t>CORO1A</t>
  </si>
  <si>
    <t>GDI1</t>
  </si>
  <si>
    <t>MAT2A</t>
  </si>
  <si>
    <t>PRKAR1B</t>
  </si>
  <si>
    <t>PRKAR2B</t>
  </si>
  <si>
    <t>RRM2</t>
  </si>
  <si>
    <t>DNAJA1</t>
  </si>
  <si>
    <t>AKT1</t>
  </si>
  <si>
    <t>AKT2</t>
  </si>
  <si>
    <t>UQCRC1</t>
  </si>
  <si>
    <t>HIBADH</t>
  </si>
  <si>
    <t>ATIC</t>
  </si>
  <si>
    <t>HNRNPH3</t>
  </si>
  <si>
    <t>YWHAB</t>
  </si>
  <si>
    <t>SFN</t>
  </si>
  <si>
    <t>STIP1</t>
  </si>
  <si>
    <t>S100A11</t>
  </si>
  <si>
    <t>INPP5B</t>
  </si>
  <si>
    <t>PRDX2</t>
  </si>
  <si>
    <t>ARRB2</t>
  </si>
  <si>
    <t>GK</t>
  </si>
  <si>
    <t>DCTD</t>
  </si>
  <si>
    <t>PYCR1</t>
  </si>
  <si>
    <t>ELF1</t>
  </si>
  <si>
    <t>GTF2H1</t>
  </si>
  <si>
    <t>STX2</t>
  </si>
  <si>
    <t>CTH</t>
  </si>
  <si>
    <t>RPL9</t>
  </si>
  <si>
    <t>ACSL1</t>
  </si>
  <si>
    <t>KIF5B</t>
  </si>
  <si>
    <t>CSTF2</t>
  </si>
  <si>
    <t>DUT</t>
  </si>
  <si>
    <t>CKS2</t>
  </si>
  <si>
    <t>MAN1A1</t>
  </si>
  <si>
    <t>TTK</t>
  </si>
  <si>
    <t>MCM4</t>
  </si>
  <si>
    <t>MCM5</t>
  </si>
  <si>
    <t>MCM7</t>
  </si>
  <si>
    <t>GALNS</t>
  </si>
  <si>
    <t>SHMT1</t>
  </si>
  <si>
    <t>SHMT2</t>
  </si>
  <si>
    <t>EPHX2</t>
  </si>
  <si>
    <t>HSPA1L</t>
  </si>
  <si>
    <t>HSPA4</t>
  </si>
  <si>
    <t>CA8</t>
  </si>
  <si>
    <t>CTNNA1</t>
  </si>
  <si>
    <t>PHB</t>
  </si>
  <si>
    <t>SERPINB6</t>
  </si>
  <si>
    <t>NF2</t>
  </si>
  <si>
    <t>RDX</t>
  </si>
  <si>
    <t>RPA3</t>
  </si>
  <si>
    <t>RFC4</t>
  </si>
  <si>
    <t>RFC2</t>
  </si>
  <si>
    <t>RFC1</t>
  </si>
  <si>
    <t>RPL22</t>
  </si>
  <si>
    <t>GTF2F1</t>
  </si>
  <si>
    <t>SPR</t>
  </si>
  <si>
    <t>CBS</t>
  </si>
  <si>
    <t>AGL</t>
  </si>
  <si>
    <t>MYH9</t>
  </si>
  <si>
    <t>MYH10</t>
  </si>
  <si>
    <t>COPB2</t>
  </si>
  <si>
    <t>ADD2</t>
  </si>
  <si>
    <t>BSG</t>
  </si>
  <si>
    <t>FUS</t>
  </si>
  <si>
    <t>NUP214</t>
  </si>
  <si>
    <t>DEK</t>
  </si>
  <si>
    <t>MYH11</t>
  </si>
  <si>
    <t>GLRX</t>
  </si>
  <si>
    <t>CHKA</t>
  </si>
  <si>
    <t>PPM1A</t>
  </si>
  <si>
    <t>PSMC2</t>
  </si>
  <si>
    <t>ARL2</t>
  </si>
  <si>
    <t>ARL3</t>
  </si>
  <si>
    <t>TRIM23</t>
  </si>
  <si>
    <t>MAP2K2</t>
  </si>
  <si>
    <t>ATP5C1</t>
  </si>
  <si>
    <t>ATP6V1E1</t>
  </si>
  <si>
    <t>CPOX</t>
  </si>
  <si>
    <t>RPL4</t>
  </si>
  <si>
    <t>NUDT1</t>
  </si>
  <si>
    <t>GNL1</t>
  </si>
  <si>
    <t>POLR2I</t>
  </si>
  <si>
    <t>DLST</t>
  </si>
  <si>
    <t>GMPR</t>
  </si>
  <si>
    <t>GPX4</t>
  </si>
  <si>
    <t>SRP14</t>
  </si>
  <si>
    <t>NUP62</t>
  </si>
  <si>
    <t>HPCAL1</t>
  </si>
  <si>
    <t>FDFT1</t>
  </si>
  <si>
    <t>PIGA</t>
  </si>
  <si>
    <t>TAGLN2</t>
  </si>
  <si>
    <t>TALDO1</t>
  </si>
  <si>
    <t>ETFB</t>
  </si>
  <si>
    <t>RBMX</t>
  </si>
  <si>
    <t>COIL</t>
  </si>
  <si>
    <t>GGCX</t>
  </si>
  <si>
    <t>ATP6V1A</t>
  </si>
  <si>
    <t>HSPA9</t>
  </si>
  <si>
    <t>EIF4A3</t>
  </si>
  <si>
    <t>IGHMBP2</t>
  </si>
  <si>
    <t>RPS19</t>
  </si>
  <si>
    <t>RPL3</t>
  </si>
  <si>
    <t>COL18A1</t>
  </si>
  <si>
    <t>DDOST</t>
  </si>
  <si>
    <t>ANP32A</t>
  </si>
  <si>
    <t>FEN1</t>
  </si>
  <si>
    <t>CUX1</t>
  </si>
  <si>
    <t>CAPG</t>
  </si>
  <si>
    <t>TXLNA</t>
  </si>
  <si>
    <t>CCT6A</t>
  </si>
  <si>
    <t>NNMT</t>
  </si>
  <si>
    <t>VHL</t>
  </si>
  <si>
    <t>PBX2</t>
  </si>
  <si>
    <t>MLH1</t>
  </si>
  <si>
    <t>STAT3</t>
  </si>
  <si>
    <t>USP8</t>
  </si>
  <si>
    <t>MDH1</t>
  </si>
  <si>
    <t>MDH2</t>
  </si>
  <si>
    <t>RFC5</t>
  </si>
  <si>
    <t>RFC3</t>
  </si>
  <si>
    <t>HADHA</t>
  </si>
  <si>
    <t>EIF2S3</t>
  </si>
  <si>
    <t>ID1</t>
  </si>
  <si>
    <t>CETN2</t>
  </si>
  <si>
    <t>EIF2D</t>
  </si>
  <si>
    <t>BUD31</t>
  </si>
  <si>
    <t>NAA10</t>
  </si>
  <si>
    <t>KDM5C</t>
  </si>
  <si>
    <t>PPP1R2</t>
  </si>
  <si>
    <t>CSK</t>
  </si>
  <si>
    <t>PNPLA4</t>
  </si>
  <si>
    <t>GARS</t>
  </si>
  <si>
    <t>IARS</t>
  </si>
  <si>
    <t>SLC19A1</t>
  </si>
  <si>
    <t>EIF1</t>
  </si>
  <si>
    <t>PRKCI</t>
  </si>
  <si>
    <t>ACTR1B</t>
  </si>
  <si>
    <t>ECI1</t>
  </si>
  <si>
    <t>TMPO</t>
  </si>
  <si>
    <t>STAT1</t>
  </si>
  <si>
    <t>STAT6</t>
  </si>
  <si>
    <t>SKIV2L2</t>
  </si>
  <si>
    <t>AKR1C3</t>
  </si>
  <si>
    <t>PIK3CA</t>
  </si>
  <si>
    <t>PIK3CB</t>
  </si>
  <si>
    <t>MTOR</t>
  </si>
  <si>
    <t>EPS15</t>
  </si>
  <si>
    <t>CASP3</t>
  </si>
  <si>
    <t>CASP2</t>
  </si>
  <si>
    <t>RPS27</t>
  </si>
  <si>
    <t>TEC</t>
  </si>
  <si>
    <t>ABL2</t>
  </si>
  <si>
    <t>NCAPD3</t>
  </si>
  <si>
    <t>LRPPRC</t>
  </si>
  <si>
    <t>ACAA2</t>
  </si>
  <si>
    <t>RPL35</t>
  </si>
  <si>
    <t>CDKN2C</t>
  </si>
  <si>
    <t>PRCP</t>
  </si>
  <si>
    <t>SLC1A4</t>
  </si>
  <si>
    <t>PAFAH1B1</t>
  </si>
  <si>
    <t>MCAM</t>
  </si>
  <si>
    <t>MSH2</t>
  </si>
  <si>
    <t>GRK6</t>
  </si>
  <si>
    <t>GPD2</t>
  </si>
  <si>
    <t>SSR1</t>
  </si>
  <si>
    <t>MAGEA1</t>
  </si>
  <si>
    <t>MAGEA3</t>
  </si>
  <si>
    <t>MAGEB1</t>
  </si>
  <si>
    <t>PTPN9</t>
  </si>
  <si>
    <t>SYK</t>
  </si>
  <si>
    <t>NAMPT</t>
  </si>
  <si>
    <t>PSMC4</t>
  </si>
  <si>
    <t>TSFM</t>
  </si>
  <si>
    <t>VDAC2</t>
  </si>
  <si>
    <t>ACADSB</t>
  </si>
  <si>
    <t>CBX5</t>
  </si>
  <si>
    <t>USP5</t>
  </si>
  <si>
    <t>MAPK8</t>
  </si>
  <si>
    <t>MAPK9</t>
  </si>
  <si>
    <t>MAP2K4</t>
  </si>
  <si>
    <t>MKI67</t>
  </si>
  <si>
    <t>PHKA2</t>
  </si>
  <si>
    <t>RANGAP1</t>
  </si>
  <si>
    <t>RECQL</t>
  </si>
  <si>
    <t>NOP2</t>
  </si>
  <si>
    <t>ATRX</t>
  </si>
  <si>
    <t>CRK</t>
  </si>
  <si>
    <t>CRKL</t>
  </si>
  <si>
    <t>MTIF2</t>
  </si>
  <si>
    <t>CDKN1B</t>
  </si>
  <si>
    <t>NOTCH1</t>
  </si>
  <si>
    <t>MAP2K3</t>
  </si>
  <si>
    <t>BRCC3</t>
  </si>
  <si>
    <t>RPL5</t>
  </si>
  <si>
    <t>RPL21</t>
  </si>
  <si>
    <t>RPS9</t>
  </si>
  <si>
    <t>RPS10</t>
  </si>
  <si>
    <t>MAP1B</t>
  </si>
  <si>
    <t>GNPDA1</t>
  </si>
  <si>
    <t>NEDD4</t>
  </si>
  <si>
    <t>IQGAP1</t>
  </si>
  <si>
    <t>GYG1</t>
  </si>
  <si>
    <t>STT3A</t>
  </si>
  <si>
    <t>RABIF</t>
  </si>
  <si>
    <t>CAPZA2</t>
  </si>
  <si>
    <t>CAPZB</t>
  </si>
  <si>
    <t>EIF1AX</t>
  </si>
  <si>
    <t>QARS</t>
  </si>
  <si>
    <t>RPL29</t>
  </si>
  <si>
    <t>ZFP36L2</t>
  </si>
  <si>
    <t>UQCRFS1</t>
  </si>
  <si>
    <t>SLC6A8</t>
  </si>
  <si>
    <t>ATP5O</t>
  </si>
  <si>
    <t>LIMS1</t>
  </si>
  <si>
    <t>ME1</t>
  </si>
  <si>
    <t>IREB2</t>
  </si>
  <si>
    <t>LEPR</t>
  </si>
  <si>
    <t>ARCN1</t>
  </si>
  <si>
    <t>LSS</t>
  </si>
  <si>
    <t>PPP3CC</t>
  </si>
  <si>
    <t>GCLC</t>
  </si>
  <si>
    <t>GCLM</t>
  </si>
  <si>
    <t>PRRC2A</t>
  </si>
  <si>
    <t>GSS</t>
  </si>
  <si>
    <t>CCT5</t>
  </si>
  <si>
    <t>NES</t>
  </si>
  <si>
    <t>HSPA13</t>
  </si>
  <si>
    <t>CSNK1D</t>
  </si>
  <si>
    <t>IDH2</t>
  </si>
  <si>
    <t>PIK3CG</t>
  </si>
  <si>
    <t>PITPNB</t>
  </si>
  <si>
    <t>CD97</t>
  </si>
  <si>
    <t>POLD2</t>
  </si>
  <si>
    <t>MARCKSL1</t>
  </si>
  <si>
    <t>PXN</t>
  </si>
  <si>
    <t>CAMLG</t>
  </si>
  <si>
    <t>NR2C2</t>
  </si>
  <si>
    <t>MAPKAPK2</t>
  </si>
  <si>
    <t>ALDH9A1</t>
  </si>
  <si>
    <t>RPL34</t>
  </si>
  <si>
    <t>RPIA</t>
  </si>
  <si>
    <t>LMAN1</t>
  </si>
  <si>
    <t>SLC11A2</t>
  </si>
  <si>
    <t>NASP</t>
  </si>
  <si>
    <t>FASN</t>
  </si>
  <si>
    <t>FNTA</t>
  </si>
  <si>
    <t>DHPS</t>
  </si>
  <si>
    <t>CCT3</t>
  </si>
  <si>
    <t>MRPL19</t>
  </si>
  <si>
    <t>TUFM</t>
  </si>
  <si>
    <t>CDC34</t>
  </si>
  <si>
    <t>INPP1</t>
  </si>
  <si>
    <t>GLUD2</t>
  </si>
  <si>
    <t>CENPF</t>
  </si>
  <si>
    <t>SRP9</t>
  </si>
  <si>
    <t>UBE2A</t>
  </si>
  <si>
    <t>PCYT1A</t>
  </si>
  <si>
    <t>AARS</t>
  </si>
  <si>
    <t>CARS</t>
  </si>
  <si>
    <t>PPM1F</t>
  </si>
  <si>
    <t>PRIM1</t>
  </si>
  <si>
    <t>PRIM2</t>
  </si>
  <si>
    <t>CSNK1E</t>
  </si>
  <si>
    <t>CTCF</t>
  </si>
  <si>
    <t>PSMB2</t>
  </si>
  <si>
    <t>MCM2</t>
  </si>
  <si>
    <t>ACADVL</t>
  </si>
  <si>
    <t>YLPM1</t>
  </si>
  <si>
    <t>TMED10</t>
  </si>
  <si>
    <t>RBM25</t>
  </si>
  <si>
    <t>NUMB</t>
  </si>
  <si>
    <t>EIF2B2</t>
  </si>
  <si>
    <t>HINT1</t>
  </si>
  <si>
    <t>NUP153</t>
  </si>
  <si>
    <t>RANBP2</t>
  </si>
  <si>
    <t>GSK3A</t>
  </si>
  <si>
    <t>GSK3B</t>
  </si>
  <si>
    <t>NT5C2</t>
  </si>
  <si>
    <t>SEPHS1</t>
  </si>
  <si>
    <t>MTHFS</t>
  </si>
  <si>
    <t>GMPS</t>
  </si>
  <si>
    <t>LIG3</t>
  </si>
  <si>
    <t>LIG4</t>
  </si>
  <si>
    <t>MRE11A</t>
  </si>
  <si>
    <t>KHK</t>
  </si>
  <si>
    <t>HNMT</t>
  </si>
  <si>
    <t>GNAQ</t>
  </si>
  <si>
    <t>IDH3A</t>
  </si>
  <si>
    <t>SULT1A3</t>
  </si>
  <si>
    <t>SULT1A1</t>
  </si>
  <si>
    <t>PPOX</t>
  </si>
  <si>
    <t>EMD</t>
  </si>
  <si>
    <t>CPT1A</t>
  </si>
  <si>
    <t>SLC26A2</t>
  </si>
  <si>
    <t>SERPINB9</t>
  </si>
  <si>
    <t>SERPINH1</t>
  </si>
  <si>
    <t>PDLIM4</t>
  </si>
  <si>
    <t>ST13</t>
  </si>
  <si>
    <t>VASP</t>
  </si>
  <si>
    <t>DNM2</t>
  </si>
  <si>
    <t>NUDT2</t>
  </si>
  <si>
    <t>CDK7</t>
  </si>
  <si>
    <t>HLCS</t>
  </si>
  <si>
    <t>KNTC1</t>
  </si>
  <si>
    <t>CDK9</t>
  </si>
  <si>
    <t>PPT1</t>
  </si>
  <si>
    <t>CCT8</t>
  </si>
  <si>
    <t>CCT4</t>
  </si>
  <si>
    <t>PAPOLA</t>
  </si>
  <si>
    <t>FXR2</t>
  </si>
  <si>
    <t>RAB5C</t>
  </si>
  <si>
    <t>RAB7A</t>
  </si>
  <si>
    <t>RAB9A</t>
  </si>
  <si>
    <t>RAB13</t>
  </si>
  <si>
    <t>RAB28</t>
  </si>
  <si>
    <t>RAB27A</t>
  </si>
  <si>
    <t>PLCD1</t>
  </si>
  <si>
    <t>DAP</t>
  </si>
  <si>
    <t>DAP3</t>
  </si>
  <si>
    <t>DUSP3</t>
  </si>
  <si>
    <t>SMARCA2</t>
  </si>
  <si>
    <t>IDH3G</t>
  </si>
  <si>
    <t>GALK1</t>
  </si>
  <si>
    <t>SSR4</t>
  </si>
  <si>
    <t>BCAP31</t>
  </si>
  <si>
    <t>TPMT</t>
  </si>
  <si>
    <t>MECP2</t>
  </si>
  <si>
    <t>HSD17B4</t>
  </si>
  <si>
    <t>PSMD7</t>
  </si>
  <si>
    <t>SUOX</t>
  </si>
  <si>
    <t>STAT5B</t>
  </si>
  <si>
    <t>CLCN3</t>
  </si>
  <si>
    <t>CLCN5</t>
  </si>
  <si>
    <t>CLCN7</t>
  </si>
  <si>
    <t>VAMP7</t>
  </si>
  <si>
    <t>XK</t>
  </si>
  <si>
    <t>RPS6KA3</t>
  </si>
  <si>
    <t>AKR1D1</t>
  </si>
  <si>
    <t>HDGF</t>
  </si>
  <si>
    <t>MNAT1</t>
  </si>
  <si>
    <t>NDUFA8</t>
  </si>
  <si>
    <t>HNRNPA3</t>
  </si>
  <si>
    <t>HNRNPM</t>
  </si>
  <si>
    <t>KPNA2</t>
  </si>
  <si>
    <t>KPNA1</t>
  </si>
  <si>
    <t>NCBP2</t>
  </si>
  <si>
    <t>RAP1GDS1</t>
  </si>
  <si>
    <t>ARHGDIA</t>
  </si>
  <si>
    <t>ARHGDIB</t>
  </si>
  <si>
    <t>HNRNPF</t>
  </si>
  <si>
    <t>STAT2</t>
  </si>
  <si>
    <t>GTF2A1</t>
  </si>
  <si>
    <t>GTF2A2</t>
  </si>
  <si>
    <t>MSH6</t>
  </si>
  <si>
    <t>KIF11</t>
  </si>
  <si>
    <t>ZNF131</t>
  </si>
  <si>
    <t>HRSP12</t>
  </si>
  <si>
    <t>SMS</t>
  </si>
  <si>
    <t>HK2</t>
  </si>
  <si>
    <t>MRPL12</t>
  </si>
  <si>
    <t>THOP1</t>
  </si>
  <si>
    <t>CAPZA1</t>
  </si>
  <si>
    <t>CRIP2</t>
  </si>
  <si>
    <t>NUP98</t>
  </si>
  <si>
    <t>BLVRA</t>
  </si>
  <si>
    <t>SLC25A1</t>
  </si>
  <si>
    <t>PLK1</t>
  </si>
  <si>
    <t>ARFIP2</t>
  </si>
  <si>
    <t>ARFIP1</t>
  </si>
  <si>
    <t>NUBP1</t>
  </si>
  <si>
    <t>ACLY</t>
  </si>
  <si>
    <t>METAP1</t>
  </si>
  <si>
    <t>SUCLG1</t>
  </si>
  <si>
    <t>MVD</t>
  </si>
  <si>
    <t>PGGT1B</t>
  </si>
  <si>
    <t>COPB1</t>
  </si>
  <si>
    <t>COPA</t>
  </si>
  <si>
    <t>CTSC</t>
  </si>
  <si>
    <t>HCCS</t>
  </si>
  <si>
    <t>MAPK12</t>
  </si>
  <si>
    <t>SLC5A3</t>
  </si>
  <si>
    <t>POLR2K</t>
  </si>
  <si>
    <t>SMTN</t>
  </si>
  <si>
    <t>SLC16A1</t>
  </si>
  <si>
    <t>IST1</t>
  </si>
  <si>
    <t>SEC24C</t>
  </si>
  <si>
    <t>SUB1</t>
  </si>
  <si>
    <t>POLG</t>
  </si>
  <si>
    <t>CLNS1A</t>
  </si>
  <si>
    <t>RARS</t>
  </si>
  <si>
    <t>ATN1</t>
  </si>
  <si>
    <t>PMS2</t>
  </si>
  <si>
    <t>YARS</t>
  </si>
  <si>
    <t>USP14</t>
  </si>
  <si>
    <t>PRKAG1</t>
  </si>
  <si>
    <t>BCAT1</t>
  </si>
  <si>
    <t>ATP1B3</t>
  </si>
  <si>
    <t>RAD23B</t>
  </si>
  <si>
    <t>EPHB4</t>
  </si>
  <si>
    <t>NAGLU</t>
  </si>
  <si>
    <t>AK2</t>
  </si>
  <si>
    <t>ALDH18A1</t>
  </si>
  <si>
    <t>NAPA</t>
  </si>
  <si>
    <t>EIF5</t>
  </si>
  <si>
    <t>SLC12A2</t>
  </si>
  <si>
    <t>PSMD4</t>
  </si>
  <si>
    <t>DRG2</t>
  </si>
  <si>
    <t>CSE1L</t>
  </si>
  <si>
    <t>MFAP1</t>
  </si>
  <si>
    <t>MANF</t>
  </si>
  <si>
    <t>ELL</t>
  </si>
  <si>
    <t>CASP9</t>
  </si>
  <si>
    <t>CASP6</t>
  </si>
  <si>
    <t>ADK</t>
  </si>
  <si>
    <t>CDKN2D</t>
  </si>
  <si>
    <t>SEC13</t>
  </si>
  <si>
    <t>GFER</t>
  </si>
  <si>
    <t>HNRNPH2</t>
  </si>
  <si>
    <t>OXCT1</t>
  </si>
  <si>
    <t>EIF3B</t>
  </si>
  <si>
    <t>BID</t>
  </si>
  <si>
    <t>NDUFV3</t>
  </si>
  <si>
    <t>RRP1</t>
  </si>
  <si>
    <t>MARS</t>
  </si>
  <si>
    <t>MAZ</t>
  </si>
  <si>
    <t>CMC4</t>
  </si>
  <si>
    <t>AP1S2</t>
  </si>
  <si>
    <t>ATP5E</t>
  </si>
  <si>
    <t>ATP5I</t>
  </si>
  <si>
    <t>HDAC4</t>
  </si>
  <si>
    <t>EIF6</t>
  </si>
  <si>
    <t>NDUFA6</t>
  </si>
  <si>
    <t>PEX3</t>
  </si>
  <si>
    <t>PER3</t>
  </si>
  <si>
    <t>HSD17B7</t>
  </si>
  <si>
    <t>BCAR1</t>
  </si>
  <si>
    <t>STX17</t>
  </si>
  <si>
    <t>RWDD2B</t>
  </si>
  <si>
    <t>C21orf59</t>
  </si>
  <si>
    <t>WDR4</t>
  </si>
  <si>
    <t>TMEM33</t>
  </si>
  <si>
    <t>SYNJ2BP</t>
  </si>
  <si>
    <t>KLF3</t>
  </si>
  <si>
    <t>CORO7</t>
  </si>
  <si>
    <t>NUP107</t>
  </si>
  <si>
    <t>EEFSEC</t>
  </si>
  <si>
    <t>SESN2</t>
  </si>
  <si>
    <t>EPPK1</t>
  </si>
  <si>
    <t>MTPN</t>
  </si>
  <si>
    <t>YBEY</t>
  </si>
  <si>
    <t>ARPC4</t>
  </si>
  <si>
    <t>SEC61G</t>
  </si>
  <si>
    <t>TPI1</t>
  </si>
  <si>
    <t>EIF3E</t>
  </si>
  <si>
    <t>SEC61B</t>
  </si>
  <si>
    <t>PPP4C</t>
  </si>
  <si>
    <t>GABARAPL2</t>
  </si>
  <si>
    <t>ROMO1</t>
  </si>
  <si>
    <t>UBE2G2</t>
  </si>
  <si>
    <t>RAC3</t>
  </si>
  <si>
    <t>EIF4A1</t>
  </si>
  <si>
    <t>RPS20</t>
  </si>
  <si>
    <t>PRPS1</t>
  </si>
  <si>
    <t>SHFM1</t>
  </si>
  <si>
    <t>CDC42</t>
  </si>
  <si>
    <t>DSTN</t>
  </si>
  <si>
    <t>GMFB</t>
  </si>
  <si>
    <t>RAB8A</t>
  </si>
  <si>
    <t>SPCS3</t>
  </si>
  <si>
    <t>SRP54</t>
  </si>
  <si>
    <t>RAB2A</t>
  </si>
  <si>
    <t>RAB5B</t>
  </si>
  <si>
    <t>RAB10</t>
  </si>
  <si>
    <t>UBE2D3</t>
  </si>
  <si>
    <t>UBE2M</t>
  </si>
  <si>
    <t>UBE2K</t>
  </si>
  <si>
    <t>UBE2N</t>
  </si>
  <si>
    <t>RAB14</t>
  </si>
  <si>
    <t>ZC3H6</t>
  </si>
  <si>
    <t>ACTR3</t>
  </si>
  <si>
    <t>ACTR2</t>
  </si>
  <si>
    <t>ACTR1A</t>
  </si>
  <si>
    <t>COPS2</t>
  </si>
  <si>
    <t>POLR2F</t>
  </si>
  <si>
    <t>ABCE1</t>
  </si>
  <si>
    <t>RAP2B</t>
  </si>
  <si>
    <t>MAX</t>
  </si>
  <si>
    <t>RPS3A</t>
  </si>
  <si>
    <t>RPL26</t>
  </si>
  <si>
    <t>MAGOH</t>
  </si>
  <si>
    <t>RPL27</t>
  </si>
  <si>
    <t>PCBD1</t>
  </si>
  <si>
    <t>RHOA</t>
  </si>
  <si>
    <t>NAA20</t>
  </si>
  <si>
    <t>NCALD</t>
  </si>
  <si>
    <t>HSPE1</t>
  </si>
  <si>
    <t>VBP1</t>
  </si>
  <si>
    <t>STXBP1</t>
  </si>
  <si>
    <t>DCAF7</t>
  </si>
  <si>
    <t>WDR5</t>
  </si>
  <si>
    <t>AP1S1</t>
  </si>
  <si>
    <t>NUTF2</t>
  </si>
  <si>
    <t>HNRNPK</t>
  </si>
  <si>
    <t>YWHAG</t>
  </si>
  <si>
    <t>RRAS2</t>
  </si>
  <si>
    <t>TIMM10</t>
  </si>
  <si>
    <t>RPS7</t>
  </si>
  <si>
    <t>PPP1CA</t>
  </si>
  <si>
    <t>PPP1CB</t>
  </si>
  <si>
    <t>NCS1</t>
  </si>
  <si>
    <t>PSMC1</t>
  </si>
  <si>
    <t>PSMC5</t>
  </si>
  <si>
    <t>RPS8</t>
  </si>
  <si>
    <t>RPS16</t>
  </si>
  <si>
    <t>UBE2G1</t>
  </si>
  <si>
    <t>YWHAE</t>
  </si>
  <si>
    <t>RPS14</t>
  </si>
  <si>
    <t>RPS23</t>
  </si>
  <si>
    <t>RPS18</t>
  </si>
  <si>
    <t>RPS29</t>
  </si>
  <si>
    <t>RPS13</t>
  </si>
  <si>
    <t>RPS11</t>
  </si>
  <si>
    <t>SNRPE</t>
  </si>
  <si>
    <t>SNRPF</t>
  </si>
  <si>
    <t>SNRPG</t>
  </si>
  <si>
    <t>LSM3</t>
  </si>
  <si>
    <t>LSM6</t>
  </si>
  <si>
    <t>SNRPD1</t>
  </si>
  <si>
    <t>SNRPD2</t>
  </si>
  <si>
    <t>TMSB4X</t>
  </si>
  <si>
    <t>ARF6</t>
  </si>
  <si>
    <t>PSMC6</t>
  </si>
  <si>
    <t>RPL7A</t>
  </si>
  <si>
    <t>POLR2G</t>
  </si>
  <si>
    <t>ETF1</t>
  </si>
  <si>
    <t>CNBP</t>
  </si>
  <si>
    <t>YPEL5</t>
  </si>
  <si>
    <t>RPS4X</t>
  </si>
  <si>
    <t>RPL23A</t>
  </si>
  <si>
    <t>RPS6</t>
  </si>
  <si>
    <t>HIST1H4A</t>
  </si>
  <si>
    <t>RAB1A</t>
  </si>
  <si>
    <t>RPL23</t>
  </si>
  <si>
    <t>RAP1A</t>
  </si>
  <si>
    <t>UBE2D2</t>
  </si>
  <si>
    <t>RPS25</t>
  </si>
  <si>
    <t>RPS26</t>
  </si>
  <si>
    <t>RPS28</t>
  </si>
  <si>
    <t>GNB1</t>
  </si>
  <si>
    <t>POLR2L</t>
  </si>
  <si>
    <t>RBX1</t>
  </si>
  <si>
    <t>GNB2</t>
  </si>
  <si>
    <t>RPL31</t>
  </si>
  <si>
    <t>RPL10A</t>
  </si>
  <si>
    <t>RPL11</t>
  </si>
  <si>
    <t>PPIA</t>
  </si>
  <si>
    <t>FKBP1A</t>
  </si>
  <si>
    <t>RPS27A</t>
  </si>
  <si>
    <t>GRB2</t>
  </si>
  <si>
    <t>TRA2B</t>
  </si>
  <si>
    <t>RAC1</t>
  </si>
  <si>
    <t>AP2B1</t>
  </si>
  <si>
    <t>GNAS</t>
  </si>
  <si>
    <t>PPP2R2A</t>
  </si>
  <si>
    <t>DYNLL1</t>
  </si>
  <si>
    <t>RPL38</t>
  </si>
  <si>
    <t>GNG5</t>
  </si>
  <si>
    <t>EIF5A</t>
  </si>
  <si>
    <t>GNB2L1</t>
  </si>
  <si>
    <t>PPP2CA</t>
  </si>
  <si>
    <t>YBX1</t>
  </si>
  <si>
    <t>UBE2L3</t>
  </si>
  <si>
    <t>EEF1A1</t>
  </si>
  <si>
    <t>ACTA1</t>
  </si>
  <si>
    <t>TUBA1B</t>
  </si>
  <si>
    <t>TUBB4B</t>
  </si>
  <si>
    <t>PAFAH1B2</t>
  </si>
  <si>
    <t>HBB</t>
  </si>
  <si>
    <t>HBG1</t>
  </si>
  <si>
    <t>HBG2</t>
  </si>
  <si>
    <t>HBA1</t>
  </si>
  <si>
    <t>NOP14</t>
  </si>
  <si>
    <t>IGBP1</t>
  </si>
  <si>
    <t>PSPH</t>
  </si>
  <si>
    <t>RBM6</t>
  </si>
  <si>
    <t>RPP38</t>
  </si>
  <si>
    <t>RPP30</t>
  </si>
  <si>
    <t>GTF2I</t>
  </si>
  <si>
    <t>PIP4K2B</t>
  </si>
  <si>
    <t>SRPK2</t>
  </si>
  <si>
    <t>CSNK1G2</t>
  </si>
  <si>
    <t>CCT2</t>
  </si>
  <si>
    <t>RAE1</t>
  </si>
  <si>
    <t>GSTO1</t>
  </si>
  <si>
    <t>PRKDC</t>
  </si>
  <si>
    <t>ADAM17</t>
  </si>
  <si>
    <t>BLOC1S1</t>
  </si>
  <si>
    <t>ARG2</t>
  </si>
  <si>
    <t>CRADD</t>
  </si>
  <si>
    <t>IFI35</t>
  </si>
  <si>
    <t>NUCB2</t>
  </si>
  <si>
    <t>SSBP2</t>
  </si>
  <si>
    <t>TMF1</t>
  </si>
  <si>
    <t>MRPS35</t>
  </si>
  <si>
    <t>MRPS5</t>
  </si>
  <si>
    <t>MRPS11</t>
  </si>
  <si>
    <t>MRPS34</t>
  </si>
  <si>
    <t>MRPS6</t>
  </si>
  <si>
    <t>MRPS9</t>
  </si>
  <si>
    <t>SARNP</t>
  </si>
  <si>
    <t>RBP5</t>
  </si>
  <si>
    <t>LACTB</t>
  </si>
  <si>
    <t>COG7</t>
  </si>
  <si>
    <t>SMAD3</t>
  </si>
  <si>
    <t>ARF1</t>
  </si>
  <si>
    <t>ARF5</t>
  </si>
  <si>
    <t>ERH</t>
  </si>
  <si>
    <t>RHOG</t>
  </si>
  <si>
    <t>SERF2</t>
  </si>
  <si>
    <t>FOXK1</t>
  </si>
  <si>
    <t>RPP14</t>
  </si>
  <si>
    <t>CCZ1</t>
  </si>
  <si>
    <t>DGCR2</t>
  </si>
  <si>
    <t>HSPG2</t>
  </si>
  <si>
    <t>XIAP</t>
  </si>
  <si>
    <t>EFNB1</t>
  </si>
  <si>
    <t>FAM3A</t>
  </si>
  <si>
    <t>RBM10</t>
  </si>
  <si>
    <t>RBM3</t>
  </si>
  <si>
    <t>MPP1</t>
  </si>
  <si>
    <t>TFAM</t>
  </si>
  <si>
    <t>PITPNA</t>
  </si>
  <si>
    <t>SLC25A3</t>
  </si>
  <si>
    <t>HDLBP</t>
  </si>
  <si>
    <t>GTF2B</t>
  </si>
  <si>
    <t>CDK6</t>
  </si>
  <si>
    <t>CDK5</t>
  </si>
  <si>
    <t>CDK16</t>
  </si>
  <si>
    <t>CLTC</t>
  </si>
  <si>
    <t>NFKB2</t>
  </si>
  <si>
    <t>FKBP3</t>
  </si>
  <si>
    <t>REEP5</t>
  </si>
  <si>
    <t>SORD</t>
  </si>
  <si>
    <t>HNRNPU</t>
  </si>
  <si>
    <t>B4GALNT1</t>
  </si>
  <si>
    <t>U2AF1</t>
  </si>
  <si>
    <t>SPTBN1</t>
  </si>
  <si>
    <t>TIAL1</t>
  </si>
  <si>
    <t>SET</t>
  </si>
  <si>
    <t>FOXK2</t>
  </si>
  <si>
    <t>RUNX1</t>
  </si>
  <si>
    <t>GALK2</t>
  </si>
  <si>
    <t>AMPD3</t>
  </si>
  <si>
    <t>FABP5</t>
  </si>
  <si>
    <t>CAP1</t>
  </si>
  <si>
    <t>HMGCS1</t>
  </si>
  <si>
    <t>SLC7A5</t>
  </si>
  <si>
    <t>DR1</t>
  </si>
  <si>
    <t>EXOSC10</t>
  </si>
  <si>
    <t>PFKP</t>
  </si>
  <si>
    <t>OCRL</t>
  </si>
  <si>
    <t>PLCB3</t>
  </si>
  <si>
    <t>ROR2</t>
  </si>
  <si>
    <t>AKAP17A</t>
  </si>
  <si>
    <t>SP2</t>
  </si>
  <si>
    <t>DHODH</t>
  </si>
  <si>
    <t>CENPE</t>
  </si>
  <si>
    <t>KIF23</t>
  </si>
  <si>
    <t>SP4</t>
  </si>
  <si>
    <t>RPL18A</t>
  </si>
  <si>
    <t>MAP2K1</t>
  </si>
  <si>
    <t>TEK</t>
  </si>
  <si>
    <t>FKBP4</t>
  </si>
  <si>
    <t>PLOD1</t>
  </si>
  <si>
    <t>NUCB1</t>
  </si>
  <si>
    <t>RASSF7</t>
  </si>
  <si>
    <t>RPL6</t>
  </si>
  <si>
    <t>TOP2B</t>
  </si>
  <si>
    <t>AKAP12</t>
  </si>
  <si>
    <t>GSTM4</t>
  </si>
  <si>
    <t>HHEX</t>
  </si>
  <si>
    <t>CREM</t>
  </si>
  <si>
    <t>MLLT1</t>
  </si>
  <si>
    <t>ACY1</t>
  </si>
  <si>
    <t>TGFBR3</t>
  </si>
  <si>
    <t>TNFAIP2</t>
  </si>
  <si>
    <t>GBE1</t>
  </si>
  <si>
    <t>ATP7A</t>
  </si>
  <si>
    <t>PRKCQ</t>
  </si>
  <si>
    <t>GLO1</t>
  </si>
  <si>
    <t>ACVR1</t>
  </si>
  <si>
    <t>AKR1C1</t>
  </si>
  <si>
    <t>SSBP1</t>
  </si>
  <si>
    <t>YWHAH</t>
  </si>
  <si>
    <t>PLP2</t>
  </si>
  <si>
    <t>CSTF1</t>
  </si>
  <si>
    <t>UBE3A</t>
  </si>
  <si>
    <t>DNM1</t>
  </si>
  <si>
    <t>PTPN12</t>
  </si>
  <si>
    <t>SRSF11</t>
  </si>
  <si>
    <t>EEF1A2</t>
  </si>
  <si>
    <t>PRKCD</t>
  </si>
  <si>
    <t>RNASEL</t>
  </si>
  <si>
    <t>FPGS</t>
  </si>
  <si>
    <t>CTDSPL2</t>
  </si>
  <si>
    <t>PTPN11</t>
  </si>
  <si>
    <t>BTK</t>
  </si>
  <si>
    <t>PPAT</t>
  </si>
  <si>
    <t>GFPT1</t>
  </si>
  <si>
    <t>EXOSC9</t>
  </si>
  <si>
    <t>RBPJ</t>
  </si>
  <si>
    <t>MEF2C</t>
  </si>
  <si>
    <t>APLP2</t>
  </si>
  <si>
    <t>GABPA</t>
  </si>
  <si>
    <t>RING1</t>
  </si>
  <si>
    <t>RAD51</t>
  </si>
  <si>
    <t>PRDX1</t>
  </si>
  <si>
    <t>C1QBP</t>
  </si>
  <si>
    <t>CD69</t>
  </si>
  <si>
    <t>TCHH</t>
  </si>
  <si>
    <t>KHDRBS1</t>
  </si>
  <si>
    <t>BAX</t>
  </si>
  <si>
    <t>MCL1</t>
  </si>
  <si>
    <t>POLE</t>
  </si>
  <si>
    <t>ARHGAP1</t>
  </si>
  <si>
    <t>PPP3CA</t>
  </si>
  <si>
    <t>DHX9</t>
  </si>
  <si>
    <t>CRYZ</t>
  </si>
  <si>
    <t>SLC20A2</t>
  </si>
  <si>
    <t>GOLGA3</t>
  </si>
  <si>
    <t>GOLGA2</t>
  </si>
  <si>
    <t>EHHADH</t>
  </si>
  <si>
    <t>EPB49</t>
  </si>
  <si>
    <t>CD47</t>
  </si>
  <si>
    <t>PPID</t>
  </si>
  <si>
    <t>SSRP1</t>
  </si>
  <si>
    <t>SPIRE1</t>
  </si>
  <si>
    <t>MZT1</t>
  </si>
  <si>
    <t>VAC14</t>
  </si>
  <si>
    <t>KIAA0100</t>
  </si>
  <si>
    <t>ZNF365</t>
  </si>
  <si>
    <t>NSUN2</t>
  </si>
  <si>
    <t>RBBP4</t>
  </si>
  <si>
    <t>NCBP1</t>
  </si>
  <si>
    <t>MGAT5</t>
  </si>
  <si>
    <t>EP300</t>
  </si>
  <si>
    <t>AHNAK</t>
  </si>
  <si>
    <t>ELP6</t>
  </si>
  <si>
    <t>HSPA14</t>
  </si>
  <si>
    <t>SCRN3</t>
  </si>
  <si>
    <t>FAAP100</t>
  </si>
  <si>
    <t>MGAT2</t>
  </si>
  <si>
    <t>GALNT2</t>
  </si>
  <si>
    <t>AP1B1</t>
  </si>
  <si>
    <t>CPSF1</t>
  </si>
  <si>
    <t>BST2</t>
  </si>
  <si>
    <t>PMPCA</t>
  </si>
  <si>
    <t>NUP160</t>
  </si>
  <si>
    <t>SCAP</t>
  </si>
  <si>
    <t>TBL3</t>
  </si>
  <si>
    <t>TWF1</t>
  </si>
  <si>
    <t>ASPH</t>
  </si>
  <si>
    <t>TFCP2</t>
  </si>
  <si>
    <t>BPTF</t>
  </si>
  <si>
    <t>CDC20</t>
  </si>
  <si>
    <t>KIF5A</t>
  </si>
  <si>
    <t>STX4</t>
  </si>
  <si>
    <t>SFSWAP</t>
  </si>
  <si>
    <t>SF3A3</t>
  </si>
  <si>
    <t>TP53BP1</t>
  </si>
  <si>
    <t>TMEM115</t>
  </si>
  <si>
    <t>IFRD2</t>
  </si>
  <si>
    <t>AIMP1</t>
  </si>
  <si>
    <t>ILF2</t>
  </si>
  <si>
    <t>ILF3</t>
  </si>
  <si>
    <t>LMAN2</t>
  </si>
  <si>
    <t>TRAF2</t>
  </si>
  <si>
    <t>ANK3</t>
  </si>
  <si>
    <t>DLG1</t>
  </si>
  <si>
    <t>TAF10</t>
  </si>
  <si>
    <t>PPP1R8</t>
  </si>
  <si>
    <t>PTP4A2</t>
  </si>
  <si>
    <t>BNIP1</t>
  </si>
  <si>
    <t>NFX1</t>
  </si>
  <si>
    <t>CSTF3</t>
  </si>
  <si>
    <t>ECH1</t>
  </si>
  <si>
    <t>MLLT11</t>
  </si>
  <si>
    <t>ARHGAP5</t>
  </si>
  <si>
    <t>STRN3</t>
  </si>
  <si>
    <t>CDC16</t>
  </si>
  <si>
    <t>STK4</t>
  </si>
  <si>
    <t>FLII</t>
  </si>
  <si>
    <t>COASY</t>
  </si>
  <si>
    <t>GAGE4</t>
  </si>
  <si>
    <t>GAGE6</t>
  </si>
  <si>
    <t>ACACA</t>
  </si>
  <si>
    <t>LCP2</t>
  </si>
  <si>
    <t>USP4</t>
  </si>
  <si>
    <t>CHAF1A</t>
  </si>
  <si>
    <t>CHAF1B</t>
  </si>
  <si>
    <t>IK</t>
  </si>
  <si>
    <t>PRKAA1</t>
  </si>
  <si>
    <t>PPFIA1</t>
  </si>
  <si>
    <t>TARDBP</t>
  </si>
  <si>
    <t>HNRNPA0</t>
  </si>
  <si>
    <t>AIMP2</t>
  </si>
  <si>
    <t>FADD</t>
  </si>
  <si>
    <t>PRDX4</t>
  </si>
  <si>
    <t>MAPK7</t>
  </si>
  <si>
    <t>PAK2</t>
  </si>
  <si>
    <t>CBX3</t>
  </si>
  <si>
    <t>STK3</t>
  </si>
  <si>
    <t>STX5</t>
  </si>
  <si>
    <t>PSMD2</t>
  </si>
  <si>
    <t>DDX10</t>
  </si>
  <si>
    <t>DNAJC3</t>
  </si>
  <si>
    <t>SELENBP1</t>
  </si>
  <si>
    <t>NME3</t>
  </si>
  <si>
    <t>MAP3K1</t>
  </si>
  <si>
    <t>SRSF9</t>
  </si>
  <si>
    <t>SRSF5</t>
  </si>
  <si>
    <t>SRSF6</t>
  </si>
  <si>
    <t>MAD2L1</t>
  </si>
  <si>
    <t>TRIM28</t>
  </si>
  <si>
    <t>STX3</t>
  </si>
  <si>
    <t>G3BP1</t>
  </si>
  <si>
    <t>NMI</t>
  </si>
  <si>
    <t>PTK7</t>
  </si>
  <si>
    <t>SKP2</t>
  </si>
  <si>
    <t>PABPC4</t>
  </si>
  <si>
    <t>ATM</t>
  </si>
  <si>
    <t>GRB10</t>
  </si>
  <si>
    <t>MTA1</t>
  </si>
  <si>
    <t>EIF3I</t>
  </si>
  <si>
    <t>PPIL2</t>
  </si>
  <si>
    <t>PDCL</t>
  </si>
  <si>
    <t>PLD1</t>
  </si>
  <si>
    <t>TARBP1</t>
  </si>
  <si>
    <t>DYNC1I2</t>
  </si>
  <si>
    <t>ORC2</t>
  </si>
  <si>
    <t>ILK</t>
  </si>
  <si>
    <t>IKZF1</t>
  </si>
  <si>
    <t>NNT</t>
  </si>
  <si>
    <t>SNTA1</t>
  </si>
  <si>
    <t>SNTB2</t>
  </si>
  <si>
    <t>XRCC4</t>
  </si>
  <si>
    <t>PPIG</t>
  </si>
  <si>
    <t>TCOF1</t>
  </si>
  <si>
    <t>IGF-I</t>
  </si>
  <si>
    <t>UNC119</t>
  </si>
  <si>
    <t>SF3B2</t>
  </si>
  <si>
    <t>OS9</t>
  </si>
  <si>
    <t>GOLGA4</t>
  </si>
  <si>
    <t>PDAP1</t>
  </si>
  <si>
    <t>ADAM9</t>
  </si>
  <si>
    <t>ADAM15</t>
  </si>
  <si>
    <t>TMED1</t>
  </si>
  <si>
    <t>FKBP5</t>
  </si>
  <si>
    <t>ROCK1</t>
  </si>
  <si>
    <t>FZD5</t>
  </si>
  <si>
    <t>NFATC2</t>
  </si>
  <si>
    <t>GAB1</t>
  </si>
  <si>
    <t>TCIRG1</t>
  </si>
  <si>
    <t>PICALM</t>
  </si>
  <si>
    <t>MTM1</t>
  </si>
  <si>
    <t>SQSTM1</t>
  </si>
  <si>
    <t>MTX1</t>
  </si>
  <si>
    <t>NAB1</t>
  </si>
  <si>
    <t>TUBB3</t>
  </si>
  <si>
    <t>PIN1</t>
  </si>
  <si>
    <t>ATR</t>
  </si>
  <si>
    <t>EIF4EBP1</t>
  </si>
  <si>
    <t>EIF4EBP2</t>
  </si>
  <si>
    <t>RIPK1</t>
  </si>
  <si>
    <t>HDAC1</t>
  </si>
  <si>
    <t>NAE1</t>
  </si>
  <si>
    <t>ITPK1</t>
  </si>
  <si>
    <t>SNW1</t>
  </si>
  <si>
    <t>IQGAP2</t>
  </si>
  <si>
    <t>STIM1</t>
  </si>
  <si>
    <t>SNX1</t>
  </si>
  <si>
    <t>PEX6</t>
  </si>
  <si>
    <t>MTMR2</t>
  </si>
  <si>
    <t>CUL1</t>
  </si>
  <si>
    <t>CUL2</t>
  </si>
  <si>
    <t>CUL3</t>
  </si>
  <si>
    <t>CUL4A</t>
  </si>
  <si>
    <t>CUL4B</t>
  </si>
  <si>
    <t>TP53BP2</t>
  </si>
  <si>
    <t>DYRK1A</t>
  </si>
  <si>
    <t>TSTA3</t>
  </si>
  <si>
    <t>RAB31</t>
  </si>
  <si>
    <t>RAB32</t>
  </si>
  <si>
    <t>FHL3</t>
  </si>
  <si>
    <t>ALKBH1</t>
  </si>
  <si>
    <t>MOGS</t>
  </si>
  <si>
    <t>THOC5</t>
  </si>
  <si>
    <t>ARFRP1</t>
  </si>
  <si>
    <t>EXOSC2</t>
  </si>
  <si>
    <t>TUBB2A</t>
  </si>
  <si>
    <t>BYSL</t>
  </si>
  <si>
    <t>IDI1</t>
  </si>
  <si>
    <t>CBFB</t>
  </si>
  <si>
    <t>NFYC</t>
  </si>
  <si>
    <t>CKAP5</t>
  </si>
  <si>
    <t>CIRBP</t>
  </si>
  <si>
    <t>COTL1</t>
  </si>
  <si>
    <t>COX17</t>
  </si>
  <si>
    <t>HNRNPD</t>
  </si>
  <si>
    <t>SCARB2</t>
  </si>
  <si>
    <t>LRP8</t>
  </si>
  <si>
    <t>IL18</t>
  </si>
  <si>
    <t>DAG1</t>
  </si>
  <si>
    <t>DSG2</t>
  </si>
  <si>
    <t>BOP1</t>
  </si>
  <si>
    <t>UBE4A</t>
  </si>
  <si>
    <t>KEAP1</t>
  </si>
  <si>
    <t>DHX34</t>
  </si>
  <si>
    <t>MORC3</t>
  </si>
  <si>
    <t>SAFB2</t>
  </si>
  <si>
    <t>EIF3A</t>
  </si>
  <si>
    <t>FAM53B</t>
  </si>
  <si>
    <t>UBAP2L</t>
  </si>
  <si>
    <t>SCRIB</t>
  </si>
  <si>
    <t>MLEC</t>
  </si>
  <si>
    <t>TTLL12</t>
  </si>
  <si>
    <t>POLA2</t>
  </si>
  <si>
    <t>WRN</t>
  </si>
  <si>
    <t>DYNC1H1</t>
  </si>
  <si>
    <t>EIF2B1</t>
  </si>
  <si>
    <t>EIF4A2</t>
  </si>
  <si>
    <t>TCEB3</t>
  </si>
  <si>
    <t>MAP7</t>
  </si>
  <si>
    <t>CTTN</t>
  </si>
  <si>
    <t>ENDOG</t>
  </si>
  <si>
    <t>RCN2</t>
  </si>
  <si>
    <t>TRIM25</t>
  </si>
  <si>
    <t>PTK2B</t>
  </si>
  <si>
    <t>FLNC</t>
  </si>
  <si>
    <t>FKBP8</t>
  </si>
  <si>
    <t>FAM50A</t>
  </si>
  <si>
    <t>FRG1</t>
  </si>
  <si>
    <t>GNA13</t>
  </si>
  <si>
    <t>GAMT</t>
  </si>
  <si>
    <t>GALE</t>
  </si>
  <si>
    <t>CAPRIN1</t>
  </si>
  <si>
    <t>BECN1</t>
  </si>
  <si>
    <t>HES1</t>
  </si>
  <si>
    <t>RBM39</t>
  </si>
  <si>
    <t>FAT1</t>
  </si>
  <si>
    <t>HABP2</t>
  </si>
  <si>
    <t>HLTF</t>
  </si>
  <si>
    <t>SQLE</t>
  </si>
  <si>
    <t>SLC29A2</t>
  </si>
  <si>
    <t>PDIA5</t>
  </si>
  <si>
    <t>PRPSAP1</t>
  </si>
  <si>
    <t>DHX8</t>
  </si>
  <si>
    <t>MCM6</t>
  </si>
  <si>
    <t>ITPR3</t>
  </si>
  <si>
    <t>RASA3</t>
  </si>
  <si>
    <t>PLS1</t>
  </si>
  <si>
    <t>IRF3</t>
  </si>
  <si>
    <t>LAGE3</t>
  </si>
  <si>
    <t>TRIP12</t>
  </si>
  <si>
    <t>PUM1</t>
  </si>
  <si>
    <t>ESPL1</t>
  </si>
  <si>
    <t>MDC1</t>
  </si>
  <si>
    <t>CLINT1</t>
  </si>
  <si>
    <t>MELK</t>
  </si>
  <si>
    <t>KCTD2</t>
  </si>
  <si>
    <t>SMC1A</t>
  </si>
  <si>
    <t>RRP1B</t>
  </si>
  <si>
    <t>NCOA6</t>
  </si>
  <si>
    <t>GSE1</t>
  </si>
  <si>
    <t>PDCD11</t>
  </si>
  <si>
    <t>GINS1</t>
  </si>
  <si>
    <t>BMS1</t>
  </si>
  <si>
    <t>USP10</t>
  </si>
  <si>
    <t>MESDC2</t>
  </si>
  <si>
    <t>GANAB</t>
  </si>
  <si>
    <t>MBTPS1</t>
  </si>
  <si>
    <t>LBR</t>
  </si>
  <si>
    <t>COG2</t>
  </si>
  <si>
    <t>CBX2</t>
  </si>
  <si>
    <t>GOLGB1</t>
  </si>
  <si>
    <t>CASP8</t>
  </si>
  <si>
    <t>NAA30</t>
  </si>
  <si>
    <t>KIF22</t>
  </si>
  <si>
    <t>LASP1</t>
  </si>
  <si>
    <t>RAB39A</t>
  </si>
  <si>
    <t>ZNF638</t>
  </si>
  <si>
    <t>KPNB1</t>
  </si>
  <si>
    <t>NOLC1</t>
  </si>
  <si>
    <t>NUMA1</t>
  </si>
  <si>
    <t>PSME4</t>
  </si>
  <si>
    <t>SLMAP</t>
  </si>
  <si>
    <t>GAPVD1</t>
  </si>
  <si>
    <t>NAA25</t>
  </si>
  <si>
    <t>FASTKD3</t>
  </si>
  <si>
    <t>NCAPH</t>
  </si>
  <si>
    <t>KIAA0101</t>
  </si>
  <si>
    <t>EMC2</t>
  </si>
  <si>
    <t>WTAP</t>
  </si>
  <si>
    <t>PSMD6</t>
  </si>
  <si>
    <t>HERPUD1</t>
  </si>
  <si>
    <t>LAPTM4A</t>
  </si>
  <si>
    <t>MAD2L1BP</t>
  </si>
  <si>
    <t>FAM175B</t>
  </si>
  <si>
    <t>SEPT2</t>
  </si>
  <si>
    <t>SART3</t>
  </si>
  <si>
    <t>NCAPD2</t>
  </si>
  <si>
    <t>EXOSC7</t>
  </si>
  <si>
    <t>EFTUD2</t>
  </si>
  <si>
    <t>R3HDM1</t>
  </si>
  <si>
    <t>SNX17</t>
  </si>
  <si>
    <t>RAB3GAP1</t>
  </si>
  <si>
    <t>SLC39A14</t>
  </si>
  <si>
    <t>KARS</t>
  </si>
  <si>
    <t>SETDB1</t>
  </si>
  <si>
    <t>LRRC14</t>
  </si>
  <si>
    <t>EIF4H</t>
  </si>
  <si>
    <t>ACAP2</t>
  </si>
  <si>
    <t>KIF14</t>
  </si>
  <si>
    <t>BRD3</t>
  </si>
  <si>
    <t>WDR43</t>
  </si>
  <si>
    <t>ACOX1</t>
  </si>
  <si>
    <t>EEA1</t>
  </si>
  <si>
    <t>PAFAH1B3</t>
  </si>
  <si>
    <t>PLCL1</t>
  </si>
  <si>
    <t>PDK1</t>
  </si>
  <si>
    <t>PEA15</t>
  </si>
  <si>
    <t>PMVK</t>
  </si>
  <si>
    <t>CDK10</t>
  </si>
  <si>
    <t>PLEC</t>
  </si>
  <si>
    <t>NOMO1</t>
  </si>
  <si>
    <t>TCEAL1</t>
  </si>
  <si>
    <t>PPP2R5A</t>
  </si>
  <si>
    <t>PPP2R5B</t>
  </si>
  <si>
    <t>PPA1</t>
  </si>
  <si>
    <t>STK38</t>
  </si>
  <si>
    <t>NONO</t>
  </si>
  <si>
    <t>PWP2</t>
  </si>
  <si>
    <t>QPRT</t>
  </si>
  <si>
    <t>RABEP1</t>
  </si>
  <si>
    <t>RASA2</t>
  </si>
  <si>
    <t>RAB35</t>
  </si>
  <si>
    <t>RBBP5</t>
  </si>
  <si>
    <t>RCN1</t>
  </si>
  <si>
    <t>RALBP1</t>
  </si>
  <si>
    <t>LLGL1</t>
  </si>
  <si>
    <t>LRRC41</t>
  </si>
  <si>
    <t>TMED2</t>
  </si>
  <si>
    <t>PCBP1</t>
  </si>
  <si>
    <t>TCEB2</t>
  </si>
  <si>
    <t>RHEB</t>
  </si>
  <si>
    <t>UBE3C</t>
  </si>
  <si>
    <t>SF3B3</t>
  </si>
  <si>
    <t>DLGAP5</t>
  </si>
  <si>
    <t>RSU1</t>
  </si>
  <si>
    <t>SAFB</t>
  </si>
  <si>
    <t>SF3A2</t>
  </si>
  <si>
    <t>PPP1R7</t>
  </si>
  <si>
    <t>SEC23B</t>
  </si>
  <si>
    <t>SF3A1</t>
  </si>
  <si>
    <t>SHB</t>
  </si>
  <si>
    <t>SPA17</t>
  </si>
  <si>
    <t>SURF1</t>
  </si>
  <si>
    <t>SURF2</t>
  </si>
  <si>
    <t>TAF5</t>
  </si>
  <si>
    <t>TAF13</t>
  </si>
  <si>
    <t>TAF7</t>
  </si>
  <si>
    <t>TERF2</t>
  </si>
  <si>
    <t>MAPRE2</t>
  </si>
  <si>
    <t>SLC9A3R2</t>
  </si>
  <si>
    <t>TRADD</t>
  </si>
  <si>
    <t>TRIP10</t>
  </si>
  <si>
    <t>TRIP11</t>
  </si>
  <si>
    <t>TRIP13</t>
  </si>
  <si>
    <t>MED1</t>
  </si>
  <si>
    <t>ZNHIT3</t>
  </si>
  <si>
    <t>TRIP4</t>
  </si>
  <si>
    <t>HMGN3</t>
  </si>
  <si>
    <t>JMJD1C</t>
  </si>
  <si>
    <t>NFKBIB</t>
  </si>
  <si>
    <t>TRIP6</t>
  </si>
  <si>
    <t>MAPRE1</t>
  </si>
  <si>
    <t>TSC22D1</t>
  </si>
  <si>
    <t>ELAVL1</t>
  </si>
  <si>
    <t>NSDHL</t>
  </si>
  <si>
    <t>NAB2</t>
  </si>
  <si>
    <t>GPR68</t>
  </si>
  <si>
    <t>MYLK</t>
  </si>
  <si>
    <t>TAB1</t>
  </si>
  <si>
    <t>HERC1</t>
  </si>
  <si>
    <t>SLC1A5</t>
  </si>
  <si>
    <t>MAPK11</t>
  </si>
  <si>
    <t>MLF2</t>
  </si>
  <si>
    <t>TOMM34</t>
  </si>
  <si>
    <t>SMAD2</t>
  </si>
  <si>
    <t>MSMO1</t>
  </si>
  <si>
    <t>TBCC</t>
  </si>
  <si>
    <t>UBE2V2</t>
  </si>
  <si>
    <t>STK11</t>
  </si>
  <si>
    <t>STXBP2</t>
  </si>
  <si>
    <t>VAMP3</t>
  </si>
  <si>
    <t>ATP6AP1</t>
  </si>
  <si>
    <t>VPS72</t>
  </si>
  <si>
    <t>RAB11B</t>
  </si>
  <si>
    <t>EZH2</t>
  </si>
  <si>
    <t>ZYX</t>
  </si>
  <si>
    <t>ETFDH</t>
  </si>
  <si>
    <t>ADRM1</t>
  </si>
  <si>
    <t>CCDC6</t>
  </si>
  <si>
    <t>UAP1</t>
  </si>
  <si>
    <t>E2F4</t>
  </si>
  <si>
    <t>LAMA4</t>
  </si>
  <si>
    <t>SSX1</t>
  </si>
  <si>
    <t>PSMD5</t>
  </si>
  <si>
    <t>PKN1</t>
  </si>
  <si>
    <t>PKN2</t>
  </si>
  <si>
    <t>TAF12</t>
  </si>
  <si>
    <t>CRY1</t>
  </si>
  <si>
    <t>DDB1</t>
  </si>
  <si>
    <t>MAPK14</t>
  </si>
  <si>
    <t>DPYSL2</t>
  </si>
  <si>
    <t>RBBP7</t>
  </si>
  <si>
    <t>ZNF74</t>
  </si>
  <si>
    <t>TAF9</t>
  </si>
  <si>
    <t>ZNF239</t>
  </si>
  <si>
    <t>ECM1</t>
  </si>
  <si>
    <t>MEA1</t>
  </si>
  <si>
    <t>CPSF6</t>
  </si>
  <si>
    <t>DBN1</t>
  </si>
  <si>
    <t>MAPKAPK3</t>
  </si>
  <si>
    <t>NRF1</t>
  </si>
  <si>
    <t>FSCN1</t>
  </si>
  <si>
    <t>ZSCAN26</t>
  </si>
  <si>
    <t>MAN2A1</t>
  </si>
  <si>
    <t>NDUFA5</t>
  </si>
  <si>
    <t>ATP2B3</t>
  </si>
  <si>
    <t>UGCG</t>
  </si>
  <si>
    <t>CLPP</t>
  </si>
  <si>
    <t>TST</t>
  </si>
  <si>
    <t>UBE2S</t>
  </si>
  <si>
    <t>HIST2H2BE</t>
  </si>
  <si>
    <t>NDUFA9</t>
  </si>
  <si>
    <t>PCK2</t>
  </si>
  <si>
    <t>ST3GAL2</t>
  </si>
  <si>
    <t>CYP51A1</t>
  </si>
  <si>
    <t>DGUOK</t>
  </si>
  <si>
    <t>ATP6V1F</t>
  </si>
  <si>
    <t>UGT8</t>
  </si>
  <si>
    <t>REL</t>
  </si>
  <si>
    <t>KNOP1</t>
  </si>
  <si>
    <t>HNRNPUL2</t>
  </si>
  <si>
    <t>LONRF2</t>
  </si>
  <si>
    <t>CSPP1</t>
  </si>
  <si>
    <t>INF2</t>
  </si>
  <si>
    <t>MICB</t>
  </si>
  <si>
    <t>PDS5A</t>
  </si>
  <si>
    <t>QSER1</t>
  </si>
  <si>
    <t>CLEC16A</t>
  </si>
  <si>
    <t>AAK1</t>
  </si>
  <si>
    <t>KIAA1033</t>
  </si>
  <si>
    <t>EXOC3L2</t>
  </si>
  <si>
    <t>ERCC6L</t>
  </si>
  <si>
    <t>C2orf68</t>
  </si>
  <si>
    <t>TSR1</t>
  </si>
  <si>
    <t>DPY19L1</t>
  </si>
  <si>
    <t>ALG11</t>
  </si>
  <si>
    <t>QRICH1</t>
  </si>
  <si>
    <t>RELA</t>
  </si>
  <si>
    <t>SMU1</t>
  </si>
  <si>
    <t>HKDC1</t>
  </si>
  <si>
    <t>CWF19L2</t>
  </si>
  <si>
    <t>LRRFIP1</t>
  </si>
  <si>
    <t>POLD3</t>
  </si>
  <si>
    <t>PGS1</t>
  </si>
  <si>
    <t>LEPRE1</t>
  </si>
  <si>
    <t>TRMT5</t>
  </si>
  <si>
    <t>NME1-NME2</t>
  </si>
  <si>
    <t>TWISTNB</t>
  </si>
  <si>
    <t>PMS1</t>
  </si>
  <si>
    <t>MAP7D1</t>
  </si>
  <si>
    <t>UAP1L1</t>
  </si>
  <si>
    <t>ALKBH6</t>
  </si>
  <si>
    <t>DAK</t>
  </si>
  <si>
    <t>LSM12</t>
  </si>
  <si>
    <t>PUS10</t>
  </si>
  <si>
    <t>HSDL1</t>
  </si>
  <si>
    <t>SP6</t>
  </si>
  <si>
    <t>GNPTAB</t>
  </si>
  <si>
    <t>CCDC88A</t>
  </si>
  <si>
    <t>RABL6</t>
  </si>
  <si>
    <t>VMA21</t>
  </si>
  <si>
    <t>TUBB8</t>
  </si>
  <si>
    <t>TIMM50</t>
  </si>
  <si>
    <t>USP38</t>
  </si>
  <si>
    <t>FUT11</t>
  </si>
  <si>
    <t>MTERFD3</t>
  </si>
  <si>
    <t>CRY2</t>
  </si>
  <si>
    <t>C5orf22</t>
  </si>
  <si>
    <t>COX19</t>
  </si>
  <si>
    <t>VPS26B</t>
  </si>
  <si>
    <t>CCSMST1</t>
  </si>
  <si>
    <t>LARP7</t>
  </si>
  <si>
    <t>NADKD1</t>
  </si>
  <si>
    <t>GXYLT1</t>
  </si>
  <si>
    <t>ACSF3</t>
  </si>
  <si>
    <t>PREPL</t>
  </si>
  <si>
    <t>TBC1D10B</t>
  </si>
  <si>
    <t>ANO6</t>
  </si>
  <si>
    <t>PLCH1</t>
  </si>
  <si>
    <t>DNAL1</t>
  </si>
  <si>
    <t>ARID4B</t>
  </si>
  <si>
    <t>GRIPAP1</t>
  </si>
  <si>
    <t>BCL7A</t>
  </si>
  <si>
    <t>DECR2</t>
  </si>
  <si>
    <t>TMEM259</t>
  </si>
  <si>
    <t>C4orf46</t>
  </si>
  <si>
    <t>FAM98B</t>
  </si>
  <si>
    <t>PDCD4</t>
  </si>
  <si>
    <t>AGPAT9</t>
  </si>
  <si>
    <t>CEP55</t>
  </si>
  <si>
    <t>TP53I3</t>
  </si>
  <si>
    <t>C11orf73</t>
  </si>
  <si>
    <t>ACSM3</t>
  </si>
  <si>
    <t>HSD17B12</t>
  </si>
  <si>
    <t>SETMAR</t>
  </si>
  <si>
    <t>TRMT12</t>
  </si>
  <si>
    <t>LACTB2</t>
  </si>
  <si>
    <t>PYCRL</t>
  </si>
  <si>
    <t>SMUG1</t>
  </si>
  <si>
    <t>ARHGAP15</t>
  </si>
  <si>
    <t>FASTKD1</t>
  </si>
  <si>
    <t>BOLA3</t>
  </si>
  <si>
    <t>TMEM177</t>
  </si>
  <si>
    <t>HS1BP3</t>
  </si>
  <si>
    <t>CYBRD1</t>
  </si>
  <si>
    <t>MPV17L2</t>
  </si>
  <si>
    <t>SFT2D3</t>
  </si>
  <si>
    <t>PAN3</t>
  </si>
  <si>
    <t>HSP90AB3P</t>
  </si>
  <si>
    <t>HSP90AB2P</t>
  </si>
  <si>
    <t>HSP90AA4P</t>
  </si>
  <si>
    <t>DCAF6</t>
  </si>
  <si>
    <t>OXLD1</t>
  </si>
  <si>
    <t>C19orf54</t>
  </si>
  <si>
    <t>NOM1</t>
  </si>
  <si>
    <t>ZC3H12A</t>
  </si>
  <si>
    <t>CD80</t>
  </si>
  <si>
    <t>RILPL1</t>
  </si>
  <si>
    <t>PDZD11</t>
  </si>
  <si>
    <t>CMPK2</t>
  </si>
  <si>
    <t>DNAJC21</t>
  </si>
  <si>
    <t>HERC4</t>
  </si>
  <si>
    <t>UTS2</t>
  </si>
  <si>
    <t>PKIG</t>
  </si>
  <si>
    <t>TIMP1</t>
  </si>
  <si>
    <t>RABL3</t>
  </si>
  <si>
    <t>WDR46</t>
  </si>
  <si>
    <t>ART3</t>
  </si>
  <si>
    <t>TUBB</t>
  </si>
  <si>
    <t>NOMO2</t>
  </si>
  <si>
    <t>EARS2</t>
  </si>
  <si>
    <t>RHOC</t>
  </si>
  <si>
    <t>MIA3</t>
  </si>
  <si>
    <t>NUPL1</t>
  </si>
  <si>
    <t>SRSF10</t>
  </si>
  <si>
    <t>PAGE2B</t>
  </si>
  <si>
    <t>PITRM1</t>
  </si>
  <si>
    <t>PSMG4</t>
  </si>
  <si>
    <t>WDR44</t>
  </si>
  <si>
    <t>HMGN5</t>
  </si>
  <si>
    <t>PRRC2B</t>
  </si>
  <si>
    <t>TJAP1</t>
  </si>
  <si>
    <t>RRP12</t>
  </si>
  <si>
    <t>COA6</t>
  </si>
  <si>
    <t>GMEB2</t>
  </si>
  <si>
    <t>AARS2</t>
  </si>
  <si>
    <t>IQSEC2</t>
  </si>
  <si>
    <t>RAPGEF1</t>
  </si>
  <si>
    <t>FAM78A</t>
  </si>
  <si>
    <t>TEX30</t>
  </si>
  <si>
    <t>DLG3</t>
  </si>
  <si>
    <t>PCID2</t>
  </si>
  <si>
    <t>ELMO2</t>
  </si>
  <si>
    <t>STAU1</t>
  </si>
  <si>
    <t>TMEM230</t>
  </si>
  <si>
    <t>MED23</t>
  </si>
  <si>
    <t>MIIP</t>
  </si>
  <si>
    <t>MORF4L2</t>
  </si>
  <si>
    <t>CRNKL1</t>
  </si>
  <si>
    <t>C20orf112</t>
  </si>
  <si>
    <t>UCHL5</t>
  </si>
  <si>
    <t>SPECC1</t>
  </si>
  <si>
    <t>SMEK2</t>
  </si>
  <si>
    <t>WDR45B</t>
  </si>
  <si>
    <t>EOGT</t>
  </si>
  <si>
    <t>DNTTIP2</t>
  </si>
  <si>
    <t>PEX19</t>
  </si>
  <si>
    <t>ATP5F1</t>
  </si>
  <si>
    <t>BCL2L1</t>
  </si>
  <si>
    <t>DCAF10</t>
  </si>
  <si>
    <t>MRPS18A</t>
  </si>
  <si>
    <t>TTPAL</t>
  </si>
  <si>
    <t>DPM1</t>
  </si>
  <si>
    <t>MPC2</t>
  </si>
  <si>
    <t>TTC38</t>
  </si>
  <si>
    <t>COX20</t>
  </si>
  <si>
    <t>EXOSC6</t>
  </si>
  <si>
    <t>MTHFR</t>
  </si>
  <si>
    <t>PIK3CD</t>
  </si>
  <si>
    <t>HIATL1</t>
  </si>
  <si>
    <t>NUP188</t>
  </si>
  <si>
    <t>CDC40</t>
  </si>
  <si>
    <t>CSNK2B</t>
  </si>
  <si>
    <t>HP1BP3</t>
  </si>
  <si>
    <t>VARS2</t>
  </si>
  <si>
    <t>DNMBP</t>
  </si>
  <si>
    <t>CEP170</t>
  </si>
  <si>
    <t>LDLRAP1</t>
  </si>
  <si>
    <t>ODR4</t>
  </si>
  <si>
    <t>DNLZ</t>
  </si>
  <si>
    <t>NOL9</t>
  </si>
  <si>
    <t>CERS2</t>
  </si>
  <si>
    <t>TDRKH</t>
  </si>
  <si>
    <t>UTRN</t>
  </si>
  <si>
    <t>PKIB</t>
  </si>
  <si>
    <t>C9orf156</t>
  </si>
  <si>
    <t>SH3BGRL3</t>
  </si>
  <si>
    <t>RARS2</t>
  </si>
  <si>
    <t>PYGO2</t>
  </si>
  <si>
    <t>CKS1B</t>
  </si>
  <si>
    <t>THEM4</t>
  </si>
  <si>
    <t>FKBP15</t>
  </si>
  <si>
    <t>DDX59</t>
  </si>
  <si>
    <t>LHPP</t>
  </si>
  <si>
    <t>ZC3H13</t>
  </si>
  <si>
    <t>C9orf114</t>
  </si>
  <si>
    <t>OTUD3</t>
  </si>
  <si>
    <t>BCKDHB</t>
  </si>
  <si>
    <t>PDSS1</t>
  </si>
  <si>
    <t>LRIF1</t>
  </si>
  <si>
    <t>HEATR1</t>
  </si>
  <si>
    <t>ABCC10</t>
  </si>
  <si>
    <t>IBA57</t>
  </si>
  <si>
    <t>HECTD3</t>
  </si>
  <si>
    <t>COQ4</t>
  </si>
  <si>
    <t>ZFYVE27</t>
  </si>
  <si>
    <t>UBR4</t>
  </si>
  <si>
    <t>ACADM</t>
  </si>
  <si>
    <t>RABGGTB</t>
  </si>
  <si>
    <t>STXBP5</t>
  </si>
  <si>
    <t>SARS</t>
  </si>
  <si>
    <t>ARHGAP21</t>
  </si>
  <si>
    <t>BEND3</t>
  </si>
  <si>
    <t>CAMSAP1</t>
  </si>
  <si>
    <t>UBAP2</t>
  </si>
  <si>
    <t>PHF19</t>
  </si>
  <si>
    <t>C9orf64</t>
  </si>
  <si>
    <t>TMEM59</t>
  </si>
  <si>
    <t>ADCK3</t>
  </si>
  <si>
    <t>GORAB</t>
  </si>
  <si>
    <t>ACBD5</t>
  </si>
  <si>
    <t>COX6A1P2</t>
  </si>
  <si>
    <t>FAM102B</t>
  </si>
  <si>
    <t>RBM26</t>
  </si>
  <si>
    <t>SURF4</t>
  </si>
  <si>
    <t>ATAD3B</t>
  </si>
  <si>
    <t>AK1</t>
  </si>
  <si>
    <t>RNF187</t>
  </si>
  <si>
    <t>CPSF3L</t>
  </si>
  <si>
    <t>GLTPD1</t>
  </si>
  <si>
    <t>AGO1</t>
  </si>
  <si>
    <t>HPS1</t>
  </si>
  <si>
    <t>CAB39L</t>
  </si>
  <si>
    <t>ZCCHC11</t>
  </si>
  <si>
    <t>RNASEH2B</t>
  </si>
  <si>
    <t>TAF4</t>
  </si>
  <si>
    <t>LSM14B</t>
  </si>
  <si>
    <t>RC3H1</t>
  </si>
  <si>
    <t>MAGI3</t>
  </si>
  <si>
    <t>NQO2</t>
  </si>
  <si>
    <t>DNAJC16</t>
  </si>
  <si>
    <t>DDI2</t>
  </si>
  <si>
    <t>NDUFAF5</t>
  </si>
  <si>
    <t>NT5DC1</t>
  </si>
  <si>
    <t>NDRG3</t>
  </si>
  <si>
    <t>VPS13D</t>
  </si>
  <si>
    <t>PRR14L</t>
  </si>
  <si>
    <t>METTL18</t>
  </si>
  <si>
    <t>SLC19A2</t>
  </si>
  <si>
    <t>SFT2D2</t>
  </si>
  <si>
    <t>LYRM7</t>
  </si>
  <si>
    <t>RIF1</t>
  </si>
  <si>
    <t>VPS53</t>
  </si>
  <si>
    <t>STRIP1</t>
  </si>
  <si>
    <t>RPRD2</t>
  </si>
  <si>
    <t>GHITM</t>
  </si>
  <si>
    <t>GFI1B</t>
  </si>
  <si>
    <t>PRPF38B</t>
  </si>
  <si>
    <t>RNF20</t>
  </si>
  <si>
    <t>DYNLT1</t>
  </si>
  <si>
    <t>NMT2</t>
  </si>
  <si>
    <t>CDKAL1</t>
  </si>
  <si>
    <t>ZNF691</t>
  </si>
  <si>
    <t>PLEKHM2</t>
  </si>
  <si>
    <t>MYSM1</t>
  </si>
  <si>
    <t>YOD1</t>
  </si>
  <si>
    <t>BROX</t>
  </si>
  <si>
    <t>GPAM</t>
  </si>
  <si>
    <t>SNX30</t>
  </si>
  <si>
    <t>FAM46C</t>
  </si>
  <si>
    <t>RSBN1</t>
  </si>
  <si>
    <t>PARD3</t>
  </si>
  <si>
    <t>LYPLAL1</t>
  </si>
  <si>
    <t>ARHGEF2</t>
  </si>
  <si>
    <t>NAA35</t>
  </si>
  <si>
    <t>C9orf91</t>
  </si>
  <si>
    <t>ZMYM4</t>
  </si>
  <si>
    <t>GLIPR2</t>
  </si>
  <si>
    <t>TPP2</t>
  </si>
  <si>
    <t>CELF2</t>
  </si>
  <si>
    <t>ITM2B</t>
  </si>
  <si>
    <t>FAM160B1</t>
  </si>
  <si>
    <t>SPRYD7</t>
  </si>
  <si>
    <t>NDUFB8</t>
  </si>
  <si>
    <t>QIL1</t>
  </si>
  <si>
    <t>RNF123</t>
  </si>
  <si>
    <t>FBXW9</t>
  </si>
  <si>
    <t>RNF213</t>
  </si>
  <si>
    <t>LPCAT4</t>
  </si>
  <si>
    <t>STEAP3</t>
  </si>
  <si>
    <t>CEP135</t>
  </si>
  <si>
    <t>TBC1D9B</t>
  </si>
  <si>
    <t>DCAF15</t>
  </si>
  <si>
    <t>PPP2R2D</t>
  </si>
  <si>
    <t>PFKFB4</t>
  </si>
  <si>
    <t>KAZN</t>
  </si>
  <si>
    <t>DIEXF</t>
  </si>
  <si>
    <t>SPTY2D1</t>
  </si>
  <si>
    <t>NCR3LG1</t>
  </si>
  <si>
    <t>MBLAC2</t>
  </si>
  <si>
    <t>LMBRD2</t>
  </si>
  <si>
    <t>DKFZp781L1143</t>
  </si>
  <si>
    <t>INTS3</t>
  </si>
  <si>
    <t>ARHGAP17</t>
  </si>
  <si>
    <t>CDCA2</t>
  </si>
  <si>
    <t>DKFZp762C0813</t>
  </si>
  <si>
    <t>CWF19L1</t>
  </si>
  <si>
    <t>KIAA1429</t>
  </si>
  <si>
    <t>SPECC1L</t>
  </si>
  <si>
    <t>C12orf73</t>
  </si>
  <si>
    <t>HEATR6</t>
  </si>
  <si>
    <t>ANKRD40</t>
  </si>
  <si>
    <t>CYB5R2</t>
  </si>
  <si>
    <t>UHRF1BP1</t>
  </si>
  <si>
    <t>ZNF787</t>
  </si>
  <si>
    <t>ATL3</t>
  </si>
  <si>
    <t>ADAL</t>
  </si>
  <si>
    <t>TTC19</t>
  </si>
  <si>
    <t>CDC42BPG</t>
  </si>
  <si>
    <t>POLR2M</t>
  </si>
  <si>
    <t>VASN</t>
  </si>
  <si>
    <t>CIAPIN1</t>
  </si>
  <si>
    <t>ZFAND6</t>
  </si>
  <si>
    <t>SMYD5</t>
  </si>
  <si>
    <t>PTRHD1</t>
  </si>
  <si>
    <t>OTUD7B</t>
  </si>
  <si>
    <t>THOC7</t>
  </si>
  <si>
    <t>NADSYN1</t>
  </si>
  <si>
    <t>ELP2</t>
  </si>
  <si>
    <t>LAMTOR1</t>
  </si>
  <si>
    <t>DHRS7B</t>
  </si>
  <si>
    <t>TWF2</t>
  </si>
  <si>
    <t>NCAPH2</t>
  </si>
  <si>
    <t>GRAMD4</t>
  </si>
  <si>
    <t>DESI1</t>
  </si>
  <si>
    <t>MRM1</t>
  </si>
  <si>
    <t>SMEK1</t>
  </si>
  <si>
    <t>TYW3</t>
  </si>
  <si>
    <t>RAB12</t>
  </si>
  <si>
    <t>SDE2</t>
  </si>
  <si>
    <t>GRM5</t>
  </si>
  <si>
    <t>USP3</t>
  </si>
  <si>
    <t>NIPBL</t>
  </si>
  <si>
    <t>SLC25A25</t>
  </si>
  <si>
    <t>OGFOD2</t>
  </si>
  <si>
    <t>NAA16</t>
  </si>
  <si>
    <t>CT45A5</t>
  </si>
  <si>
    <t>SLC18B1</t>
  </si>
  <si>
    <t>C5orf45</t>
  </si>
  <si>
    <t>SLC25A24</t>
  </si>
  <si>
    <t>REEP3</t>
  </si>
  <si>
    <t>RETSAT</t>
  </si>
  <si>
    <t>RINT1</t>
  </si>
  <si>
    <t>TMEM214</t>
  </si>
  <si>
    <t>SWSAP1</t>
  </si>
  <si>
    <t>HIBCH</t>
  </si>
  <si>
    <t>ARMC6</t>
  </si>
  <si>
    <t>ANKRD54</t>
  </si>
  <si>
    <t>TAPT1</t>
  </si>
  <si>
    <t>PPP1R18</t>
  </si>
  <si>
    <t>PTRF</t>
  </si>
  <si>
    <t>ZCCHC8</t>
  </si>
  <si>
    <t>RPUSD3</t>
  </si>
  <si>
    <t>MRPL54</t>
  </si>
  <si>
    <t>CDC73</t>
  </si>
  <si>
    <t>PMF1</t>
  </si>
  <si>
    <t>GTF2H2C</t>
  </si>
  <si>
    <t>MRPL14</t>
  </si>
  <si>
    <t>SLC27A4</t>
  </si>
  <si>
    <t>CC2D1A</t>
  </si>
  <si>
    <t>METTL2B</t>
  </si>
  <si>
    <t>DUS1L</t>
  </si>
  <si>
    <t>MED27</t>
  </si>
  <si>
    <t>EDC4</t>
  </si>
  <si>
    <t>CEP85</t>
  </si>
  <si>
    <t>PRMT10</t>
  </si>
  <si>
    <t>PRPF8</t>
  </si>
  <si>
    <t>DENND1B</t>
  </si>
  <si>
    <t>FBXO42</t>
  </si>
  <si>
    <t>SCYL2</t>
  </si>
  <si>
    <t>TTC27</t>
  </si>
  <si>
    <t>MTFR2</t>
  </si>
  <si>
    <t>SFXN4</t>
  </si>
  <si>
    <t>PLBD1</t>
  </si>
  <si>
    <t>CASC4</t>
  </si>
  <si>
    <t>FDX1L</t>
  </si>
  <si>
    <t>WDR73</t>
  </si>
  <si>
    <t>MZT2A</t>
  </si>
  <si>
    <t>FAHD1</t>
  </si>
  <si>
    <t>C22orf39</t>
  </si>
  <si>
    <t>PKN3</t>
  </si>
  <si>
    <t>ANKRD16</t>
  </si>
  <si>
    <t>ALKBH5</t>
  </si>
  <si>
    <t>KIAA1609</t>
  </si>
  <si>
    <t>INTS5</t>
  </si>
  <si>
    <t>LRRC8B</t>
  </si>
  <si>
    <t>RSBN1L</t>
  </si>
  <si>
    <t>PGM2L1</t>
  </si>
  <si>
    <t>CTR9</t>
  </si>
  <si>
    <t>AAGAB</t>
  </si>
  <si>
    <t>PSRC1</t>
  </si>
  <si>
    <t>ULK3</t>
  </si>
  <si>
    <t>DARS2</t>
  </si>
  <si>
    <t>CCDC174</t>
  </si>
  <si>
    <t>HAGHL</t>
  </si>
  <si>
    <t>FBXO38</t>
  </si>
  <si>
    <t>FIGNL1</t>
  </si>
  <si>
    <t>FBXO46</t>
  </si>
  <si>
    <t>TRIM65</t>
  </si>
  <si>
    <t>BRAT1</t>
  </si>
  <si>
    <t>ZC3H14</t>
  </si>
  <si>
    <t>CNST</t>
  </si>
  <si>
    <t>OGFOD3</t>
  </si>
  <si>
    <t>TXNDC11</t>
  </si>
  <si>
    <t>LARP1</t>
  </si>
  <si>
    <t>TMED8</t>
  </si>
  <si>
    <t>SLC30A9</t>
  </si>
  <si>
    <t>BLOC1S3</t>
  </si>
  <si>
    <t>BLOC1S2</t>
  </si>
  <si>
    <t>RICTOR</t>
  </si>
  <si>
    <t>WDR74</t>
  </si>
  <si>
    <t>AGTRAP</t>
  </si>
  <si>
    <t>SAMD1</t>
  </si>
  <si>
    <t>METAP1D</t>
  </si>
  <si>
    <t>MTHFD1L</t>
  </si>
  <si>
    <t>AFTPH</t>
  </si>
  <si>
    <t>FIP1L1</t>
  </si>
  <si>
    <t>ATRAID</t>
  </si>
  <si>
    <t>KDELC1</t>
  </si>
  <si>
    <t>C11orf83</t>
  </si>
  <si>
    <t>IL27RA</t>
  </si>
  <si>
    <t>LRSAM1</t>
  </si>
  <si>
    <t>DHRS11</t>
  </si>
  <si>
    <t>LCLAT1</t>
  </si>
  <si>
    <t>PET117</t>
  </si>
  <si>
    <t>C6orf89</t>
  </si>
  <si>
    <t>CWC27</t>
  </si>
  <si>
    <t>DHRS13</t>
  </si>
  <si>
    <t>CRELD2</t>
  </si>
  <si>
    <t>WDR82</t>
  </si>
  <si>
    <t>APOOL</t>
  </si>
  <si>
    <t>ADAMTSL4</t>
  </si>
  <si>
    <t>ATF7IP</t>
  </si>
  <si>
    <t>PACS1</t>
  </si>
  <si>
    <t>BCOR</t>
  </si>
  <si>
    <t>RAB11FIP1</t>
  </si>
  <si>
    <t>NAPRT1</t>
  </si>
  <si>
    <t>SLC30A10</t>
  </si>
  <si>
    <t>GIGYF2</t>
  </si>
  <si>
    <t>THADA</t>
  </si>
  <si>
    <t>HSDL2</t>
  </si>
  <si>
    <t>CCBL2</t>
  </si>
  <si>
    <t>MEX3B</t>
  </si>
  <si>
    <t>LIN28B</t>
  </si>
  <si>
    <t>AEBP2</t>
  </si>
  <si>
    <t>FRRS1</t>
  </si>
  <si>
    <t>NFXL1</t>
  </si>
  <si>
    <t>NBEAL2</t>
  </si>
  <si>
    <t>GDPGP1</t>
  </si>
  <si>
    <t>DPY19L3</t>
  </si>
  <si>
    <t>QSOX2</t>
  </si>
  <si>
    <t>SRCAP</t>
  </si>
  <si>
    <t>FAM65A</t>
  </si>
  <si>
    <t>C1orf122</t>
  </si>
  <si>
    <t>UBR3</t>
  </si>
  <si>
    <t>SH3BP1</t>
  </si>
  <si>
    <t>LANCL3</t>
  </si>
  <si>
    <t>PAXIP1</t>
  </si>
  <si>
    <t>MBOAT2</t>
  </si>
  <si>
    <t>TMTC3</t>
  </si>
  <si>
    <t>GTF2H5</t>
  </si>
  <si>
    <t>VPS13C</t>
  </si>
  <si>
    <t>USP34</t>
  </si>
  <si>
    <t>MOB2</t>
  </si>
  <si>
    <t>IKBIP</t>
  </si>
  <si>
    <t>FRA10AC1</t>
  </si>
  <si>
    <t>UBE2R2</t>
  </si>
  <si>
    <t>LARP4</t>
  </si>
  <si>
    <t>MED25</t>
  </si>
  <si>
    <t>H2AFV</t>
  </si>
  <si>
    <t>MTSS1L</t>
  </si>
  <si>
    <t>BTN2A1</t>
  </si>
  <si>
    <t>SUPT6H</t>
  </si>
  <si>
    <t>SND1</t>
  </si>
  <si>
    <t>COX15</t>
  </si>
  <si>
    <t>DDX46</t>
  </si>
  <si>
    <t>RUFY3</t>
  </si>
  <si>
    <t>TRMT10C</t>
  </si>
  <si>
    <t>BZW1</t>
  </si>
  <si>
    <t>CYB5R4</t>
  </si>
  <si>
    <t>LRRC8D</t>
  </si>
  <si>
    <t>ASRGL1</t>
  </si>
  <si>
    <t>KCTD9</t>
  </si>
  <si>
    <t>EIF3M</t>
  </si>
  <si>
    <t>MEPCE</t>
  </si>
  <si>
    <t>BOP</t>
  </si>
  <si>
    <t>RSRC2</t>
  </si>
  <si>
    <t>RRAGA</t>
  </si>
  <si>
    <t>CYFIP1</t>
  </si>
  <si>
    <t>NDUFAF7</t>
  </si>
  <si>
    <t>GET4</t>
  </si>
  <si>
    <t>ENOSF1</t>
  </si>
  <si>
    <t>MAEA</t>
  </si>
  <si>
    <t>EPM2AIP1</t>
  </si>
  <si>
    <t>TAOK1</t>
  </si>
  <si>
    <t>SH3BP5L</t>
  </si>
  <si>
    <t>FASTKD5</t>
  </si>
  <si>
    <t>ATPBD4</t>
  </si>
  <si>
    <t>KDM3B</t>
  </si>
  <si>
    <t>CHMP1B</t>
  </si>
  <si>
    <t>RRM2B</t>
  </si>
  <si>
    <t>HS2ST1</t>
  </si>
  <si>
    <t>MICAL3</t>
  </si>
  <si>
    <t>PHF5A</t>
  </si>
  <si>
    <t>APTX</t>
  </si>
  <si>
    <t>GPRIN1</t>
  </si>
  <si>
    <t>TRMT1L</t>
  </si>
  <si>
    <t>ZC3HAV1</t>
  </si>
  <si>
    <t>EFTUD1</t>
  </si>
  <si>
    <t>SETX</t>
  </si>
  <si>
    <t>DKFZp686N07218</t>
  </si>
  <si>
    <t>TRAPPC11</t>
  </si>
  <si>
    <t>KANSL1</t>
  </si>
  <si>
    <t>ATG9A</t>
  </si>
  <si>
    <t>LYSMD3</t>
  </si>
  <si>
    <t>C10orf118</t>
  </si>
  <si>
    <t>POGZ</t>
  </si>
  <si>
    <t>ZFYVE16</t>
  </si>
  <si>
    <t>TMC6</t>
  </si>
  <si>
    <t>NUFIP2</t>
  </si>
  <si>
    <t>SZRD1</t>
  </si>
  <si>
    <t>MAVS</t>
  </si>
  <si>
    <t>CLASP1</t>
  </si>
  <si>
    <t>DHX29</t>
  </si>
  <si>
    <t>LRP10</t>
  </si>
  <si>
    <t>COMMD6</t>
  </si>
  <si>
    <t>HDDC2</t>
  </si>
  <si>
    <t>HAUS6</t>
  </si>
  <si>
    <t>KDELC2</t>
  </si>
  <si>
    <t>HEATR3</t>
  </si>
  <si>
    <t>HDGFRP2</t>
  </si>
  <si>
    <t>DCXR</t>
  </si>
  <si>
    <t>GOLGA7</t>
  </si>
  <si>
    <t>ARHGAP22</t>
  </si>
  <si>
    <t>WAPAL</t>
  </si>
  <si>
    <t>IRF2BP2</t>
  </si>
  <si>
    <t>WDR53</t>
  </si>
  <si>
    <t>KCTD20</t>
  </si>
  <si>
    <t>TMEM9B</t>
  </si>
  <si>
    <t>MTHFD2</t>
  </si>
  <si>
    <t>CCDC91</t>
  </si>
  <si>
    <t>RBBP6</t>
  </si>
  <si>
    <t>C5orf24</t>
  </si>
  <si>
    <t>UBE3D</t>
  </si>
  <si>
    <t>TSEN54</t>
  </si>
  <si>
    <t>PTAR1</t>
  </si>
  <si>
    <t>TECPR1</t>
  </si>
  <si>
    <t>RABEPK</t>
  </si>
  <si>
    <t>MTERFD2</t>
  </si>
  <si>
    <t>TBPL1</t>
  </si>
  <si>
    <t>ADAT2</t>
  </si>
  <si>
    <t>HUWE1</t>
  </si>
  <si>
    <t>CNTRL</t>
  </si>
  <si>
    <t>CTU1</t>
  </si>
  <si>
    <t>TAF8</t>
  </si>
  <si>
    <t>UBE2Q1</t>
  </si>
  <si>
    <t>KIAA0907</t>
  </si>
  <si>
    <t>MRPL55</t>
  </si>
  <si>
    <t>VPS13B</t>
  </si>
  <si>
    <t>TMED4</t>
  </si>
  <si>
    <t>CMC1</t>
  </si>
  <si>
    <t>CENPV</t>
  </si>
  <si>
    <t>GALNT5</t>
  </si>
  <si>
    <t>TMEM179B</t>
  </si>
  <si>
    <t>GALNT7</t>
  </si>
  <si>
    <t>DHDDS</t>
  </si>
  <si>
    <t>GLRX5</t>
  </si>
  <si>
    <t>TRAPPC6B</t>
  </si>
  <si>
    <t>TMEM55B</t>
  </si>
  <si>
    <t>MOB3B</t>
  </si>
  <si>
    <t>PATL1</t>
  </si>
  <si>
    <t>DPP9</t>
  </si>
  <si>
    <t>TRPT1</t>
  </si>
  <si>
    <t>PRUNE</t>
  </si>
  <si>
    <t>SETD3</t>
  </si>
  <si>
    <t>TTC7B</t>
  </si>
  <si>
    <t>RBM23</t>
  </si>
  <si>
    <t>ISCA2</t>
  </si>
  <si>
    <t>NOP9</t>
  </si>
  <si>
    <t>METTL3</t>
  </si>
  <si>
    <t>LDB1</t>
  </si>
  <si>
    <t>YRDC</t>
  </si>
  <si>
    <t>PRPF39</t>
  </si>
  <si>
    <t>SAPCD2</t>
  </si>
  <si>
    <t>MTDH</t>
  </si>
  <si>
    <t>TLK2</t>
  </si>
  <si>
    <t>ZNF598</t>
  </si>
  <si>
    <t>AGPAT6</t>
  </si>
  <si>
    <t>KTN1</t>
  </si>
  <si>
    <t>SMG6</t>
  </si>
  <si>
    <t>BCL9L</t>
  </si>
  <si>
    <t>PHLDB1</t>
  </si>
  <si>
    <t>USP48</t>
  </si>
  <si>
    <t>ABCC5</t>
  </si>
  <si>
    <t>FERMT3</t>
  </si>
  <si>
    <t>TXNDC5</t>
  </si>
  <si>
    <t>FAM83A</t>
  </si>
  <si>
    <t>NAA40</t>
  </si>
  <si>
    <t>NT5DC3</t>
  </si>
  <si>
    <t>AACS</t>
  </si>
  <si>
    <t>LUZP1</t>
  </si>
  <si>
    <t>IQGAP3</t>
  </si>
  <si>
    <t>VPS36</t>
  </si>
  <si>
    <t>CAND1</t>
  </si>
  <si>
    <t>GLCCI1</t>
  </si>
  <si>
    <t>TXNDC2</t>
  </si>
  <si>
    <t>FAM134C</t>
  </si>
  <si>
    <t>HOOK3</t>
  </si>
  <si>
    <t>COMTD1</t>
  </si>
  <si>
    <t>MON1A</t>
  </si>
  <si>
    <t>THOC6</t>
  </si>
  <si>
    <t>METTL16</t>
  </si>
  <si>
    <t>PARG</t>
  </si>
  <si>
    <t>BPHL</t>
  </si>
  <si>
    <t>LONP2</t>
  </si>
  <si>
    <t>RASSF3</t>
  </si>
  <si>
    <t>CHD1L</t>
  </si>
  <si>
    <t>NR2C2AP</t>
  </si>
  <si>
    <t>CCDC25</t>
  </si>
  <si>
    <t>PROSER2</t>
  </si>
  <si>
    <t>TMEM173</t>
  </si>
  <si>
    <t>CCDC43</t>
  </si>
  <si>
    <t>RPS19BP1</t>
  </si>
  <si>
    <t>CDR2L</t>
  </si>
  <si>
    <t>ERICH1</t>
  </si>
  <si>
    <t>CARM1</t>
  </si>
  <si>
    <t>NIT1</t>
  </si>
  <si>
    <t>COMMD2</t>
  </si>
  <si>
    <t>DDX42</t>
  </si>
  <si>
    <t>SPATS2</t>
  </si>
  <si>
    <t>VRK2</t>
  </si>
  <si>
    <t>CACUL1</t>
  </si>
  <si>
    <t>HEATR2</t>
  </si>
  <si>
    <t>PTRH1</t>
  </si>
  <si>
    <t>STX12</t>
  </si>
  <si>
    <t>ZNF280B</t>
  </si>
  <si>
    <t>PDSS2</t>
  </si>
  <si>
    <t>HOMER1</t>
  </si>
  <si>
    <t>DOLPP1</t>
  </si>
  <si>
    <t>GATAD2A</t>
  </si>
  <si>
    <t>CPNE8</t>
  </si>
  <si>
    <t>RAB11FIP4</t>
  </si>
  <si>
    <t>C2CD5</t>
  </si>
  <si>
    <t>MIB1</t>
  </si>
  <si>
    <t>IRF2BP1</t>
  </si>
  <si>
    <t>MINA</t>
  </si>
  <si>
    <t>RBM45</t>
  </si>
  <si>
    <t>CRLF3</t>
  </si>
  <si>
    <t>TRAPPC5</t>
  </si>
  <si>
    <t>TMEM126B</t>
  </si>
  <si>
    <t>PLD3</t>
  </si>
  <si>
    <t>ANKMY2</t>
  </si>
  <si>
    <t>ERI1</t>
  </si>
  <si>
    <t>LYSMD2</t>
  </si>
  <si>
    <t>VRK3</t>
  </si>
  <si>
    <t>LIX1L</t>
  </si>
  <si>
    <t>NUDCD3</t>
  </si>
  <si>
    <t>MAP4K3</t>
  </si>
  <si>
    <t>CCDC50</t>
  </si>
  <si>
    <t>MCAT</t>
  </si>
  <si>
    <t>ARID3B</t>
  </si>
  <si>
    <t>CARKD</t>
  </si>
  <si>
    <t>WDR75</t>
  </si>
  <si>
    <t>ITPRIP</t>
  </si>
  <si>
    <t>WDFY1</t>
  </si>
  <si>
    <t>TEX2</t>
  </si>
  <si>
    <t>MAP7D3</t>
  </si>
  <si>
    <t>CCDC117</t>
  </si>
  <si>
    <t>DCUN1D3</t>
  </si>
  <si>
    <t>DENND6A</t>
  </si>
  <si>
    <t>GCC2</t>
  </si>
  <si>
    <t>HSCB</t>
  </si>
  <si>
    <t>CCDC28A</t>
  </si>
  <si>
    <t>ZC3H7A</t>
  </si>
  <si>
    <t>PHF6</t>
  </si>
  <si>
    <t>LRRC8A</t>
  </si>
  <si>
    <t>LMTK2</t>
  </si>
  <si>
    <t>UBR1</t>
  </si>
  <si>
    <t>UBR2</t>
  </si>
  <si>
    <t>ARHGAP12</t>
  </si>
  <si>
    <t>CDAN1</t>
  </si>
  <si>
    <t>ANKHD1</t>
  </si>
  <si>
    <t>SUGP1</t>
  </si>
  <si>
    <t>ZFPM1</t>
  </si>
  <si>
    <t>CCAR1</t>
  </si>
  <si>
    <t>HOMEZ</t>
  </si>
  <si>
    <t>DHX40</t>
  </si>
  <si>
    <t>SKA3</t>
  </si>
  <si>
    <t>DNAJC10</t>
  </si>
  <si>
    <t>RHOT2</t>
  </si>
  <si>
    <t>RHOT1</t>
  </si>
  <si>
    <t>SIRT2</t>
  </si>
  <si>
    <t>ASXL1</t>
  </si>
  <si>
    <t>GALNT12</t>
  </si>
  <si>
    <t>NRM</t>
  </si>
  <si>
    <t>C9orf40</t>
  </si>
  <si>
    <t>KIAA1704</t>
  </si>
  <si>
    <t>FAM126B</t>
  </si>
  <si>
    <t>RPAP2</t>
  </si>
  <si>
    <t>PNPLA6</t>
  </si>
  <si>
    <t>SMC5</t>
  </si>
  <si>
    <t>CMIP</t>
  </si>
  <si>
    <t>MICALL2</t>
  </si>
  <si>
    <t>DHX37</t>
  </si>
  <si>
    <t>KBTBD2</t>
  </si>
  <si>
    <t>AMOTL1</t>
  </si>
  <si>
    <t>TMEM192</t>
  </si>
  <si>
    <t>SMAP1</t>
  </si>
  <si>
    <t>DIS3L2</t>
  </si>
  <si>
    <t>SUPV3L1</t>
  </si>
  <si>
    <t>ZNF595</t>
  </si>
  <si>
    <t>GSPT2</t>
  </si>
  <si>
    <t>ZZZ3</t>
  </si>
  <si>
    <t>EXOC8</t>
  </si>
  <si>
    <t>COLGALT2</t>
  </si>
  <si>
    <t>C1orf174</t>
  </si>
  <si>
    <t>TCEAL8</t>
  </si>
  <si>
    <t>THNSL1</t>
  </si>
  <si>
    <t>KIAA2013</t>
  </si>
  <si>
    <t>FTSJD1</t>
  </si>
  <si>
    <t>MICU2</t>
  </si>
  <si>
    <t>ANKRD13A</t>
  </si>
  <si>
    <t>PHACTR4</t>
  </si>
  <si>
    <t>CHPF</t>
  </si>
  <si>
    <t>MTX2</t>
  </si>
  <si>
    <t>RPUSD2</t>
  </si>
  <si>
    <t>ALDH16A1</t>
  </si>
  <si>
    <t>SCYL3</t>
  </si>
  <si>
    <t>XRN1</t>
  </si>
  <si>
    <t>SELH</t>
  </si>
  <si>
    <t>CMTM4</t>
  </si>
  <si>
    <t>RDH10</t>
  </si>
  <si>
    <t>C8orf59</t>
  </si>
  <si>
    <t>VKORC1L1</t>
  </si>
  <si>
    <t>FUK</t>
  </si>
  <si>
    <t>SPG20</t>
  </si>
  <si>
    <t>MIER1</t>
  </si>
  <si>
    <t>CNPY4</t>
  </si>
  <si>
    <t>CNTROB</t>
  </si>
  <si>
    <t>ADSSL1</t>
  </si>
  <si>
    <t>AHI1</t>
  </si>
  <si>
    <t>KIAA1967</t>
  </si>
  <si>
    <t>NDUFAF2</t>
  </si>
  <si>
    <t>VPS52</t>
  </si>
  <si>
    <t>NUP93</t>
  </si>
  <si>
    <t>ZNF687</t>
  </si>
  <si>
    <t>REXO1</t>
  </si>
  <si>
    <t>FTSJD2</t>
  </si>
  <si>
    <t>LRRC47</t>
  </si>
  <si>
    <t>CA13</t>
  </si>
  <si>
    <t>PLD6</t>
  </si>
  <si>
    <t>ARMC10</t>
  </si>
  <si>
    <t>GHDC</t>
  </si>
  <si>
    <t>STK40</t>
  </si>
  <si>
    <t>ABHD12</t>
  </si>
  <si>
    <t>PIAS4</t>
  </si>
  <si>
    <t>APITD1</t>
  </si>
  <si>
    <t>CCDC23</t>
  </si>
  <si>
    <t>AGGF1</t>
  </si>
  <si>
    <t>GPD1L</t>
  </si>
  <si>
    <t>KDM8</t>
  </si>
  <si>
    <t>ARHGAP18</t>
  </si>
  <si>
    <t>ASCC3</t>
  </si>
  <si>
    <t>EHBP1L1</t>
  </si>
  <si>
    <t>MICALL1</t>
  </si>
  <si>
    <t>FNBP4</t>
  </si>
  <si>
    <t>GUF1</t>
  </si>
  <si>
    <t>D2HGDH</t>
  </si>
  <si>
    <t>RYBP</t>
  </si>
  <si>
    <t>PNKD</t>
  </si>
  <si>
    <t>FAM109A</t>
  </si>
  <si>
    <t>MINK1</t>
  </si>
  <si>
    <t>TOMM5</t>
  </si>
  <si>
    <t>KLHL36</t>
  </si>
  <si>
    <t>HDDC3</t>
  </si>
  <si>
    <t>ZADH2</t>
  </si>
  <si>
    <t>CHCHD4</t>
  </si>
  <si>
    <t>MMGT1</t>
  </si>
  <si>
    <t>ZCCHC9</t>
  </si>
  <si>
    <t>OXR1</t>
  </si>
  <si>
    <t>ZGPAT</t>
  </si>
  <si>
    <t>SRBD1</t>
  </si>
  <si>
    <t>DTWD1</t>
  </si>
  <si>
    <t>WDTC1</t>
  </si>
  <si>
    <t>NKAP</t>
  </si>
  <si>
    <t>SMIM20</t>
  </si>
  <si>
    <t>TMEM57</t>
  </si>
  <si>
    <t>ARRDC1</t>
  </si>
  <si>
    <t>C12orf45</t>
  </si>
  <si>
    <t>CISD2</t>
  </si>
  <si>
    <t>RPP25L</t>
  </si>
  <si>
    <t>ATPAF2</t>
  </si>
  <si>
    <t>JAGN1</t>
  </si>
  <si>
    <t>MRPL50</t>
  </si>
  <si>
    <t>ZC3H8</t>
  </si>
  <si>
    <t>FAM101B</t>
  </si>
  <si>
    <t>FAM160A2</t>
  </si>
  <si>
    <t>LZTR1</t>
  </si>
  <si>
    <t>CPSF7</t>
  </si>
  <si>
    <t>SLC15A4</t>
  </si>
  <si>
    <t>ARFGAP2</t>
  </si>
  <si>
    <t>OTUD6B</t>
  </si>
  <si>
    <t>C1orf52</t>
  </si>
  <si>
    <t>ARL6IP6</t>
  </si>
  <si>
    <t>ARFGAP1</t>
  </si>
  <si>
    <t>EMC1</t>
  </si>
  <si>
    <t>UBR7</t>
  </si>
  <si>
    <t>C4orf32</t>
  </si>
  <si>
    <t>PTGR2</t>
  </si>
  <si>
    <t>C2orf69</t>
  </si>
  <si>
    <t>ARL14EP</t>
  </si>
  <si>
    <t>GPATCH11</t>
  </si>
  <si>
    <t>C12orf29</t>
  </si>
  <si>
    <t>GDPD1</t>
  </si>
  <si>
    <t>C19orf47</t>
  </si>
  <si>
    <t>LRRC57</t>
  </si>
  <si>
    <t>SREK1IP1</t>
  </si>
  <si>
    <t>WDSUB1</t>
  </si>
  <si>
    <t>CCDC71L</t>
  </si>
  <si>
    <t>IQUB</t>
  </si>
  <si>
    <t>ZNF579</t>
  </si>
  <si>
    <t>GTDC2</t>
  </si>
  <si>
    <t>PRPF38A</t>
  </si>
  <si>
    <t>ZNF511</t>
  </si>
  <si>
    <t>PDDC1</t>
  </si>
  <si>
    <t>ANKRD52</t>
  </si>
  <si>
    <t>ATP11C</t>
  </si>
  <si>
    <t>SPATA5</t>
  </si>
  <si>
    <t>DTWD2</t>
  </si>
  <si>
    <t>NHLRC2</t>
  </si>
  <si>
    <t>AVL9</t>
  </si>
  <si>
    <t>SLC43A3</t>
  </si>
  <si>
    <t>XXYLT1</t>
  </si>
  <si>
    <t>COLGALT1</t>
  </si>
  <si>
    <t>SUMF1</t>
  </si>
  <si>
    <t>POGLUT1</t>
  </si>
  <si>
    <t>UBAC2</t>
  </si>
  <si>
    <t>PCYOX1L</t>
  </si>
  <si>
    <t>TMEM87A</t>
  </si>
  <si>
    <t>RDH13</t>
  </si>
  <si>
    <t>ATAD1</t>
  </si>
  <si>
    <t>SCCPDH</t>
  </si>
  <si>
    <t>MST4</t>
  </si>
  <si>
    <t>SERBP1</t>
  </si>
  <si>
    <t>LEMD2</t>
  </si>
  <si>
    <t>NOA1</t>
  </si>
  <si>
    <t>NECAP1</t>
  </si>
  <si>
    <t>FAM98A</t>
  </si>
  <si>
    <t>PLA2G15</t>
  </si>
  <si>
    <t>MTMR14</t>
  </si>
  <si>
    <t>NFATC2IP</t>
  </si>
  <si>
    <t>CHST14</t>
  </si>
  <si>
    <t>GALNT6</t>
  </si>
  <si>
    <t>RNF169</t>
  </si>
  <si>
    <t>APOA1BP</t>
  </si>
  <si>
    <t>SMG8</t>
  </si>
  <si>
    <t>RNF214</t>
  </si>
  <si>
    <t>LSM14A</t>
  </si>
  <si>
    <t>CCNY</t>
  </si>
  <si>
    <t>MAPK1IP1L</t>
  </si>
  <si>
    <t>C1orf131</t>
  </si>
  <si>
    <t>EHBP1</t>
  </si>
  <si>
    <t>C3orf58</t>
  </si>
  <si>
    <t>CNNM3</t>
  </si>
  <si>
    <t>ABCF1</t>
  </si>
  <si>
    <t>MCU</t>
  </si>
  <si>
    <t>PIK3C3</t>
  </si>
  <si>
    <t>GSTCD</t>
  </si>
  <si>
    <t>SRFBP1</t>
  </si>
  <si>
    <t>NGDN</t>
  </si>
  <si>
    <t>MCPH1</t>
  </si>
  <si>
    <t>SHCBP1</t>
  </si>
  <si>
    <t>PDZD8</t>
  </si>
  <si>
    <t>NAV1</t>
  </si>
  <si>
    <t>VPS37A</t>
  </si>
  <si>
    <t>MLL3</t>
  </si>
  <si>
    <t>FBXO22</t>
  </si>
  <si>
    <t>LPCAT1</t>
  </si>
  <si>
    <t>DOCK8</t>
  </si>
  <si>
    <t>USP32</t>
  </si>
  <si>
    <t>BOD1L1</t>
  </si>
  <si>
    <t>FLAD1</t>
  </si>
  <si>
    <t>FLCN</t>
  </si>
  <si>
    <t>NUP43</t>
  </si>
  <si>
    <t>NUP37</t>
  </si>
  <si>
    <t>ENGASE</t>
  </si>
  <si>
    <t>TOR1AIP2</t>
  </si>
  <si>
    <t>ABHD11</t>
  </si>
  <si>
    <t>CMAS</t>
  </si>
  <si>
    <t>KBTBD8</t>
  </si>
  <si>
    <t>FBXO18</t>
  </si>
  <si>
    <t>HELB</t>
  </si>
  <si>
    <t>TSPAN14</t>
  </si>
  <si>
    <t>TTL</t>
  </si>
  <si>
    <t>OR10G3</t>
  </si>
  <si>
    <t>SVIP</t>
  </si>
  <si>
    <t>ZNRF2</t>
  </si>
  <si>
    <t>ATL2</t>
  </si>
  <si>
    <t>PLBD2</t>
  </si>
  <si>
    <t>TDRD7</t>
  </si>
  <si>
    <t>GIMAP7</t>
  </si>
  <si>
    <t>NEDD1</t>
  </si>
  <si>
    <t>CDC26</t>
  </si>
  <si>
    <t>MCFD2</t>
  </si>
  <si>
    <t>THOC2</t>
  </si>
  <si>
    <t>WDR36</t>
  </si>
  <si>
    <t>RP9</t>
  </si>
  <si>
    <t>GRPEL2</t>
  </si>
  <si>
    <t>VANGL1</t>
  </si>
  <si>
    <t>RFESD</t>
  </si>
  <si>
    <t>SNIP1</t>
  </si>
  <si>
    <t>GADD45GIP1</t>
  </si>
  <si>
    <t>WDR48</t>
  </si>
  <si>
    <t>EXOC6</t>
  </si>
  <si>
    <t>CEP76</t>
  </si>
  <si>
    <t>PPP1R35</t>
  </si>
  <si>
    <t>MPLKIP</t>
  </si>
  <si>
    <t>SMARCC2</t>
  </si>
  <si>
    <t>NPLOC4</t>
  </si>
  <si>
    <t>FAM76A</t>
  </si>
  <si>
    <t>CXorf38</t>
  </si>
  <si>
    <t>GDAP1</t>
  </si>
  <si>
    <t>NUBPL</t>
  </si>
  <si>
    <t>FBXO30</t>
  </si>
  <si>
    <t>SLC35B2</t>
  </si>
  <si>
    <t>TXNDC9</t>
  </si>
  <si>
    <t>GOLGA5</t>
  </si>
  <si>
    <t>KLHDC4</t>
  </si>
  <si>
    <t>UBA3</t>
  </si>
  <si>
    <t>BAHD1</t>
  </si>
  <si>
    <t>NANP</t>
  </si>
  <si>
    <t>DNAJB14</t>
  </si>
  <si>
    <t>RAB3IL1</t>
  </si>
  <si>
    <t>SLC25A40</t>
  </si>
  <si>
    <t>PIP4K2C</t>
  </si>
  <si>
    <t>WDR20</t>
  </si>
  <si>
    <t>TRMT10A</t>
  </si>
  <si>
    <t>TBC1D15</t>
  </si>
  <si>
    <t>RDH11</t>
  </si>
  <si>
    <t>LRRC20</t>
  </si>
  <si>
    <t>C18orf32</t>
  </si>
  <si>
    <t>KIAA1524</t>
  </si>
  <si>
    <t>PI4K2B</t>
  </si>
  <si>
    <t>STT3B</t>
  </si>
  <si>
    <t>PNPT1</t>
  </si>
  <si>
    <t>SPPL2A</t>
  </si>
  <si>
    <t>HM13</t>
  </si>
  <si>
    <t>DYNC2LI1</t>
  </si>
  <si>
    <t>URGCP</t>
  </si>
  <si>
    <t>MAPK15</t>
  </si>
  <si>
    <t>BICD2</t>
  </si>
  <si>
    <t>NEK9</t>
  </si>
  <si>
    <t>GPT2</t>
  </si>
  <si>
    <t>DDX54</t>
  </si>
  <si>
    <t>BLOC1S5</t>
  </si>
  <si>
    <t>BRIX1</t>
  </si>
  <si>
    <t>GNPDA2</t>
  </si>
  <si>
    <t>LRRC8C</t>
  </si>
  <si>
    <t>NEK7</t>
  </si>
  <si>
    <t>RB1CC1</t>
  </si>
  <si>
    <t>MICAL1</t>
  </si>
  <si>
    <t>NSUN6</t>
  </si>
  <si>
    <t>DTD1</t>
  </si>
  <si>
    <t>DCAF11</t>
  </si>
  <si>
    <t>DENND1A</t>
  </si>
  <si>
    <t>NUP210</t>
  </si>
  <si>
    <t>GEMIN5</t>
  </si>
  <si>
    <t>IPO4</t>
  </si>
  <si>
    <t>USP33</t>
  </si>
  <si>
    <t>PNISR</t>
  </si>
  <si>
    <t>PPP4R1</t>
  </si>
  <si>
    <t>DIS3L</t>
  </si>
  <si>
    <t>GIPC3</t>
  </si>
  <si>
    <t>WIPF2</t>
  </si>
  <si>
    <t>ABHD5</t>
  </si>
  <si>
    <t>COG1</t>
  </si>
  <si>
    <t>CAMK2G</t>
  </si>
  <si>
    <t>SCFD2</t>
  </si>
  <si>
    <t>SMAP2</t>
  </si>
  <si>
    <t>ZC3H15</t>
  </si>
  <si>
    <t>PPIL4</t>
  </si>
  <si>
    <t>GTF3C2</t>
  </si>
  <si>
    <t>PHF10</t>
  </si>
  <si>
    <t>RAB2B</t>
  </si>
  <si>
    <t>CHPT1</t>
  </si>
  <si>
    <t>CXorf48</t>
  </si>
  <si>
    <t>CHURC1</t>
  </si>
  <si>
    <t>TGFBRAP1</t>
  </si>
  <si>
    <t>C12orf23</t>
  </si>
  <si>
    <t>HDAC7</t>
  </si>
  <si>
    <t>STYX</t>
  </si>
  <si>
    <t>PTPMT1</t>
  </si>
  <si>
    <t>PDCD6IP</t>
  </si>
  <si>
    <t>SLC20A1</t>
  </si>
  <si>
    <t>C15orf40</t>
  </si>
  <si>
    <t>SLC38A5</t>
  </si>
  <si>
    <t>CHAC2</t>
  </si>
  <si>
    <t>CHMP7</t>
  </si>
  <si>
    <t>THEM6</t>
  </si>
  <si>
    <t>NAT14</t>
  </si>
  <si>
    <t>ORAOV1</t>
  </si>
  <si>
    <t>NSMCE1</t>
  </si>
  <si>
    <t>SNX33</t>
  </si>
  <si>
    <t>PTCD2</t>
  </si>
  <si>
    <t>MITD1</t>
  </si>
  <si>
    <t>LACE1</t>
  </si>
  <si>
    <t>CHTF18</t>
  </si>
  <si>
    <t>LEO1</t>
  </si>
  <si>
    <t>RPS21</t>
  </si>
  <si>
    <t>RNF138</t>
  </si>
  <si>
    <t>NUDCD2</t>
  </si>
  <si>
    <t>SNRNP27</t>
  </si>
  <si>
    <t>SKA2</t>
  </si>
  <si>
    <t>ANKRD49</t>
  </si>
  <si>
    <t>TFB1M</t>
  </si>
  <si>
    <t>SCFD1</t>
  </si>
  <si>
    <t>CANT1</t>
  </si>
  <si>
    <t>TRAPPC12</t>
  </si>
  <si>
    <t>FAR1</t>
  </si>
  <si>
    <t>UBLCP1</t>
  </si>
  <si>
    <t>TSEN15</t>
  </si>
  <si>
    <t>PCNP</t>
  </si>
  <si>
    <t>SPRYD4</t>
  </si>
  <si>
    <t>C1orf85</t>
  </si>
  <si>
    <t>C2orf47</t>
  </si>
  <si>
    <t>TRUB1</t>
  </si>
  <si>
    <t>CCNB3</t>
  </si>
  <si>
    <t>RTN4IP1</t>
  </si>
  <si>
    <t>RASSF5</t>
  </si>
  <si>
    <t>SELM</t>
  </si>
  <si>
    <t>PRPF31</t>
  </si>
  <si>
    <t>NELFB</t>
  </si>
  <si>
    <t>SREK1</t>
  </si>
  <si>
    <t>SCG3</t>
  </si>
  <si>
    <t>GEMIN6</t>
  </si>
  <si>
    <t>ATRIP</t>
  </si>
  <si>
    <t>PSPC1</t>
  </si>
  <si>
    <t>MADD</t>
  </si>
  <si>
    <t>GATAD2B</t>
  </si>
  <si>
    <t>PIBF1</t>
  </si>
  <si>
    <t>DNAJC9</t>
  </si>
  <si>
    <t>BRI3BP</t>
  </si>
  <si>
    <t>PPM1E</t>
  </si>
  <si>
    <t>THAP4</t>
  </si>
  <si>
    <t>TTN</t>
  </si>
  <si>
    <t>OVCA2</t>
  </si>
  <si>
    <t>LZIC</t>
  </si>
  <si>
    <t>IRGQ</t>
  </si>
  <si>
    <t>DDX1</t>
  </si>
  <si>
    <t>SLC39A7</t>
  </si>
  <si>
    <t>HSD17B8</t>
  </si>
  <si>
    <t>PIEZO1</t>
  </si>
  <si>
    <t>FAM3C</t>
  </si>
  <si>
    <t>H1FX</t>
  </si>
  <si>
    <t>CCT6B</t>
  </si>
  <si>
    <t>GBF1</t>
  </si>
  <si>
    <t>RTF1</t>
  </si>
  <si>
    <t>TM9SF4</t>
  </si>
  <si>
    <t>TOPBP1</t>
  </si>
  <si>
    <t>IP6K1</t>
  </si>
  <si>
    <t>MRPS27</t>
  </si>
  <si>
    <t>ELMO1</t>
  </si>
  <si>
    <t>AP3S1</t>
  </si>
  <si>
    <t>UBXN4</t>
  </si>
  <si>
    <t>PHF3</t>
  </si>
  <si>
    <t>SLC9A6</t>
  </si>
  <si>
    <t>HSPH1</t>
  </si>
  <si>
    <t>RQCD1</t>
  </si>
  <si>
    <t>TBC1D5</t>
  </si>
  <si>
    <t>LARP4B</t>
  </si>
  <si>
    <t>GCN1L1</t>
  </si>
  <si>
    <t>HMHA1</t>
  </si>
  <si>
    <t>DHX38</t>
  </si>
  <si>
    <t>ANKS1A</t>
  </si>
  <si>
    <t>NSMAF</t>
  </si>
  <si>
    <t>MRPS31</t>
  </si>
  <si>
    <t>AKAP1</t>
  </si>
  <si>
    <t>NRGN</t>
  </si>
  <si>
    <t>ANP32B</t>
  </si>
  <si>
    <t>PVRL2</t>
  </si>
  <si>
    <t>RABGGTA</t>
  </si>
  <si>
    <t>RAD54L</t>
  </si>
  <si>
    <t>TFG</t>
  </si>
  <si>
    <t>ARPC1A</t>
  </si>
  <si>
    <t>GTF2H4</t>
  </si>
  <si>
    <t>RREB1</t>
  </si>
  <si>
    <t>STAM</t>
  </si>
  <si>
    <t>CREBBP</t>
  </si>
  <si>
    <t>SYMPK</t>
  </si>
  <si>
    <t>TAF15</t>
  </si>
  <si>
    <t>GOLGA1</t>
  </si>
  <si>
    <t>GGH</t>
  </si>
  <si>
    <t>BCL2L2</t>
  </si>
  <si>
    <t>CASP10</t>
  </si>
  <si>
    <t>PMM1</t>
  </si>
  <si>
    <t>RAD50</t>
  </si>
  <si>
    <t>OSTF1</t>
  </si>
  <si>
    <t>ERCC4</t>
  </si>
  <si>
    <t>UFD1L</t>
  </si>
  <si>
    <t>GLG1</t>
  </si>
  <si>
    <t>UPF1</t>
  </si>
  <si>
    <t>COPS5</t>
  </si>
  <si>
    <t>GPKOW</t>
  </si>
  <si>
    <t>SMARCC1</t>
  </si>
  <si>
    <t>RAB8B</t>
  </si>
  <si>
    <t>BAD</t>
  </si>
  <si>
    <t>KHSRP</t>
  </si>
  <si>
    <t>GCDH</t>
  </si>
  <si>
    <t>PEX13</t>
  </si>
  <si>
    <t>TNPO1</t>
  </si>
  <si>
    <t>EMG1</t>
  </si>
  <si>
    <t>GLMN</t>
  </si>
  <si>
    <t>USP9X</t>
  </si>
  <si>
    <t>NAT6</t>
  </si>
  <si>
    <t>CUL5</t>
  </si>
  <si>
    <t>EXT2</t>
  </si>
  <si>
    <t>MED12</t>
  </si>
  <si>
    <t>HIST1H2AC</t>
  </si>
  <si>
    <t>ATP2A3</t>
  </si>
  <si>
    <t>PHKB</t>
  </si>
  <si>
    <t>SCAMP4</t>
  </si>
  <si>
    <t>TSR2</t>
  </si>
  <si>
    <t>GTF3C6</t>
  </si>
  <si>
    <t>KISS1R</t>
  </si>
  <si>
    <t>RFK</t>
  </si>
  <si>
    <t>POP5</t>
  </si>
  <si>
    <t>C19orf10</t>
  </si>
  <si>
    <t>RNF34</t>
  </si>
  <si>
    <t>YIPF5</t>
  </si>
  <si>
    <t>PIGT</t>
  </si>
  <si>
    <t>IGSF8</t>
  </si>
  <si>
    <t>ITFG2</t>
  </si>
  <si>
    <t>ZNF622</t>
  </si>
  <si>
    <t>GFM2</t>
  </si>
  <si>
    <t>NT5C3B</t>
  </si>
  <si>
    <t>PSMG2</t>
  </si>
  <si>
    <t>NCLN</t>
  </si>
  <si>
    <t>MUL1</t>
  </si>
  <si>
    <t>ERGIC1</t>
  </si>
  <si>
    <t>GTPBP3</t>
  </si>
  <si>
    <t>TBRG4</t>
  </si>
  <si>
    <t>PPP1R14A</t>
  </si>
  <si>
    <t>CCDC102A</t>
  </si>
  <si>
    <t>CCDC47</t>
  </si>
  <si>
    <t>ISL2</t>
  </si>
  <si>
    <t>SYAP1</t>
  </si>
  <si>
    <t>EXOC4</t>
  </si>
  <si>
    <t>KIAA1191</t>
  </si>
  <si>
    <t>ISOC2</t>
  </si>
  <si>
    <t>PNPLA2</t>
  </si>
  <si>
    <t>FUBP1</t>
  </si>
  <si>
    <t>LRRC59</t>
  </si>
  <si>
    <t>VTI1A</t>
  </si>
  <si>
    <t>MCUR1</t>
  </si>
  <si>
    <t>KIAA1143</t>
  </si>
  <si>
    <t>RPE</t>
  </si>
  <si>
    <t>VPS33A</t>
  </si>
  <si>
    <t>C18orf25</t>
  </si>
  <si>
    <t>EXOSC8</t>
  </si>
  <si>
    <t>AKT1S1</t>
  </si>
  <si>
    <t>C10orf32</t>
  </si>
  <si>
    <t>TOMM6</t>
  </si>
  <si>
    <t>SKA1</t>
  </si>
  <si>
    <t>RNF25</t>
  </si>
  <si>
    <t>ARL8A</t>
  </si>
  <si>
    <t>FAM105B</t>
  </si>
  <si>
    <t>PPWD1</t>
  </si>
  <si>
    <t>CCDC127</t>
  </si>
  <si>
    <t>SELRC1</t>
  </si>
  <si>
    <t>ALKBH8</t>
  </si>
  <si>
    <t>UPRT</t>
  </si>
  <si>
    <t>PTER</t>
  </si>
  <si>
    <t>MOB3A</t>
  </si>
  <si>
    <t>ATG2B</t>
  </si>
  <si>
    <t>LENG1</t>
  </si>
  <si>
    <t>TBC1D20</t>
  </si>
  <si>
    <t>FAM136A</t>
  </si>
  <si>
    <t>EFHD2</t>
  </si>
  <si>
    <t>GALM</t>
  </si>
  <si>
    <t>PYCR2</t>
  </si>
  <si>
    <t>C12orf43</t>
  </si>
  <si>
    <t>DCPS</t>
  </si>
  <si>
    <t>PPP1R14B</t>
  </si>
  <si>
    <t>NSUN4</t>
  </si>
  <si>
    <t>CHMP4C</t>
  </si>
  <si>
    <t>RPUSD4</t>
  </si>
  <si>
    <t>ISOC1</t>
  </si>
  <si>
    <t>GCC1</t>
  </si>
  <si>
    <t>FLYWCH2</t>
  </si>
  <si>
    <t>HAUS1</t>
  </si>
  <si>
    <t>FAF2</t>
  </si>
  <si>
    <t>CCDC124</t>
  </si>
  <si>
    <t>FOXRED1</t>
  </si>
  <si>
    <t>AP2M1</t>
  </si>
  <si>
    <t>SLC7A6OS</t>
  </si>
  <si>
    <t>LRRC58</t>
  </si>
  <si>
    <t>C10orf35</t>
  </si>
  <si>
    <t>RCN3</t>
  </si>
  <si>
    <t>ORAI1</t>
  </si>
  <si>
    <t>REPS1</t>
  </si>
  <si>
    <t>DNAJC19</t>
  </si>
  <si>
    <t>RMDN1</t>
  </si>
  <si>
    <t>NUDT16</t>
  </si>
  <si>
    <t>ANAPC16</t>
  </si>
  <si>
    <t>DGCR14</t>
  </si>
  <si>
    <t>CMBL</t>
  </si>
  <si>
    <t>SNRNP40</t>
  </si>
  <si>
    <t>ATG4C</t>
  </si>
  <si>
    <t>ITPKC</t>
  </si>
  <si>
    <t>MRPL38</t>
  </si>
  <si>
    <t>RSPRY1</t>
  </si>
  <si>
    <t>TRIM44</t>
  </si>
  <si>
    <t>IQCD</t>
  </si>
  <si>
    <t>ERLEC1</t>
  </si>
  <si>
    <t>FAM122A</t>
  </si>
  <si>
    <t>MRRF</t>
  </si>
  <si>
    <t>RMI2</t>
  </si>
  <si>
    <t>NUS1</t>
  </si>
  <si>
    <t>OMA1</t>
  </si>
  <si>
    <t>SPDL1</t>
  </si>
  <si>
    <t>ELP4</t>
  </si>
  <si>
    <t>SIRT1</t>
  </si>
  <si>
    <t>YIPF6</t>
  </si>
  <si>
    <t>HOOK2</t>
  </si>
  <si>
    <t>SEH1L</t>
  </si>
  <si>
    <t>ZHX1-C8orf76</t>
  </si>
  <si>
    <t>MALSU1</t>
  </si>
  <si>
    <t>KIAA1279</t>
  </si>
  <si>
    <t>GNPNAT1</t>
  </si>
  <si>
    <t>KTI12</t>
  </si>
  <si>
    <t>MRPS24</t>
  </si>
  <si>
    <t>MRPL53</t>
  </si>
  <si>
    <t>L3HYPDH</t>
  </si>
  <si>
    <t>MOCOS</t>
  </si>
  <si>
    <t>CHFR</t>
  </si>
  <si>
    <t>DAZAP1</t>
  </si>
  <si>
    <t>SLC10A4</t>
  </si>
  <si>
    <t>SGTB</t>
  </si>
  <si>
    <t>CCDC51</t>
  </si>
  <si>
    <t>CCDC101</t>
  </si>
  <si>
    <t>RRP36</t>
  </si>
  <si>
    <t>C1GALT1C1</t>
  </si>
  <si>
    <t>RBM33</t>
  </si>
  <si>
    <t>DTNBP1</t>
  </si>
  <si>
    <t>SMIM12</t>
  </si>
  <si>
    <t>WDR34</t>
  </si>
  <si>
    <t>DNAJA3</t>
  </si>
  <si>
    <t>MVB12A</t>
  </si>
  <si>
    <t>PTCD3</t>
  </si>
  <si>
    <t>MMAB</t>
  </si>
  <si>
    <t>ADAT3</t>
  </si>
  <si>
    <t>NRBF2</t>
  </si>
  <si>
    <t>TRIM11</t>
  </si>
  <si>
    <t>IL17RA</t>
  </si>
  <si>
    <t>CCDC97</t>
  </si>
  <si>
    <t>EDC3</t>
  </si>
  <si>
    <t>RRNAD1</t>
  </si>
  <si>
    <t>DDX11</t>
  </si>
  <si>
    <t>MEF2BNB</t>
  </si>
  <si>
    <t>DYNLL2</t>
  </si>
  <si>
    <t>WDR89</t>
  </si>
  <si>
    <t>LINC00526</t>
  </si>
  <si>
    <t>SIPA1</t>
  </si>
  <si>
    <t>THOC1</t>
  </si>
  <si>
    <t>DPH3</t>
  </si>
  <si>
    <t>TRMT61A</t>
  </si>
  <si>
    <t>C3orf37</t>
  </si>
  <si>
    <t>CHMP6</t>
  </si>
  <si>
    <t>PGM2</t>
  </si>
  <si>
    <t>MED8</t>
  </si>
  <si>
    <t>CCDC104</t>
  </si>
  <si>
    <t>DUS3L</t>
  </si>
  <si>
    <t>OTUD5</t>
  </si>
  <si>
    <t>LTV1</t>
  </si>
  <si>
    <t>SDSL</t>
  </si>
  <si>
    <t>PDXP</t>
  </si>
  <si>
    <t>RNF185</t>
  </si>
  <si>
    <t>DCUN1D1</t>
  </si>
  <si>
    <t>FAHD2A</t>
  </si>
  <si>
    <t>SMARCD1</t>
  </si>
  <si>
    <t>TOE1</t>
  </si>
  <si>
    <t>DDX27</t>
  </si>
  <si>
    <t>C17orf59</t>
  </si>
  <si>
    <t>PAGE5</t>
  </si>
  <si>
    <t>C5orf30</t>
  </si>
  <si>
    <t>MARS2</t>
  </si>
  <si>
    <t>ATXN7L3B</t>
  </si>
  <si>
    <t>MASTL</t>
  </si>
  <si>
    <t>SNF8</t>
  </si>
  <si>
    <t>MYO19</t>
  </si>
  <si>
    <t>C1orf159</t>
  </si>
  <si>
    <t>TONSL</t>
  </si>
  <si>
    <t>PDLIM5</t>
  </si>
  <si>
    <t>CRELD1</t>
  </si>
  <si>
    <t>ERO1L</t>
  </si>
  <si>
    <t>C7orf55</t>
  </si>
  <si>
    <t>REEP6</t>
  </si>
  <si>
    <t>PGAM5</t>
  </si>
  <si>
    <t>INTS4</t>
  </si>
  <si>
    <t>DDRGK1</t>
  </si>
  <si>
    <t>SCLY</t>
  </si>
  <si>
    <t>FUBP3</t>
  </si>
  <si>
    <t>RBM17</t>
  </si>
  <si>
    <t>PPP1R16A</t>
  </si>
  <si>
    <t>COX14</t>
  </si>
  <si>
    <t>WBSCR16</t>
  </si>
  <si>
    <t>NARS2</t>
  </si>
  <si>
    <t>SUCLG2</t>
  </si>
  <si>
    <t>GMPPA</t>
  </si>
  <si>
    <t>ZNF414</t>
  </si>
  <si>
    <t>ABHD14B</t>
  </si>
  <si>
    <t>NGLY1</t>
  </si>
  <si>
    <t>USMG5</t>
  </si>
  <si>
    <t>NSL1</t>
  </si>
  <si>
    <t>RSRC1</t>
  </si>
  <si>
    <t>THOC3</t>
  </si>
  <si>
    <t>ITCH</t>
  </si>
  <si>
    <t>LRIG1</t>
  </si>
  <si>
    <t>COG3</t>
  </si>
  <si>
    <t>HIC2</t>
  </si>
  <si>
    <t>CDK5RAP3</t>
  </si>
  <si>
    <t>VPS39</t>
  </si>
  <si>
    <t>EAF1</t>
  </si>
  <si>
    <t>CCDC132</t>
  </si>
  <si>
    <t>VCPIP1</t>
  </si>
  <si>
    <t>TMX3</t>
  </si>
  <si>
    <t>CHAMP1</t>
  </si>
  <si>
    <t>ZFP91</t>
  </si>
  <si>
    <t>BTF3L4</t>
  </si>
  <si>
    <t>RNF170</t>
  </si>
  <si>
    <t>CLPTM1L</t>
  </si>
  <si>
    <t>PBK</t>
  </si>
  <si>
    <t>DNAJC1</t>
  </si>
  <si>
    <t>SMIM8</t>
  </si>
  <si>
    <t>ZNF512B</t>
  </si>
  <si>
    <t>EXOC2</t>
  </si>
  <si>
    <t>CNDP2</t>
  </si>
  <si>
    <t>ZFR</t>
  </si>
  <si>
    <t>EP400</t>
  </si>
  <si>
    <t>SNX27</t>
  </si>
  <si>
    <t>PRMT6</t>
  </si>
  <si>
    <t>IFT74</t>
  </si>
  <si>
    <t>TRIM47</t>
  </si>
  <si>
    <t>DHRS1</t>
  </si>
  <si>
    <t>UBXN10</t>
  </si>
  <si>
    <t>C9orf72</t>
  </si>
  <si>
    <t>CNBD2</t>
  </si>
  <si>
    <t>PRRC1</t>
  </si>
  <si>
    <t>HARBI1</t>
  </si>
  <si>
    <t>HIAT1</t>
  </si>
  <si>
    <t>FBXL18</t>
  </si>
  <si>
    <t>NDNL2</t>
  </si>
  <si>
    <t>HEXIM2</t>
  </si>
  <si>
    <t>TMEM68</t>
  </si>
  <si>
    <t>WDR92</t>
  </si>
  <si>
    <t>C7orf26</t>
  </si>
  <si>
    <t>ENTHD2</t>
  </si>
  <si>
    <t>TTC14</t>
  </si>
  <si>
    <t>MBOAT7</t>
  </si>
  <si>
    <t>DOCK7</t>
  </si>
  <si>
    <t>RILP</t>
  </si>
  <si>
    <t>FOPNL</t>
  </si>
  <si>
    <t>SFXN2</t>
  </si>
  <si>
    <t>ZNF830</t>
  </si>
  <si>
    <t>ZMAT2</t>
  </si>
  <si>
    <t>SCLT1</t>
  </si>
  <si>
    <t>CCDC115</t>
  </si>
  <si>
    <t>NAP1L5</t>
  </si>
  <si>
    <t>ANKRD27</t>
  </si>
  <si>
    <t>NSUN5</t>
  </si>
  <si>
    <t>RPRD1A</t>
  </si>
  <si>
    <t>AGAP3</t>
  </si>
  <si>
    <t>ARAP1</t>
  </si>
  <si>
    <t>IPO9</t>
  </si>
  <si>
    <t>DCBLD2</t>
  </si>
  <si>
    <t>MCEE</t>
  </si>
  <si>
    <t>BBC3</t>
  </si>
  <si>
    <t>RBM14</t>
  </si>
  <si>
    <t>ERMAP</t>
  </si>
  <si>
    <t>RCHY1</t>
  </si>
  <si>
    <t>NEDD4L</t>
  </si>
  <si>
    <t>QKI</t>
  </si>
  <si>
    <t>NEK1</t>
  </si>
  <si>
    <t>PUS7</t>
  </si>
  <si>
    <t>TRNT1</t>
  </si>
  <si>
    <t>TMEM237</t>
  </si>
  <si>
    <t>ALKBH3</t>
  </si>
  <si>
    <t>PPP1R10</t>
  </si>
  <si>
    <t>MICA</t>
  </si>
  <si>
    <t>DEPDC7</t>
  </si>
  <si>
    <t>MTMR9</t>
  </si>
  <si>
    <t>VPS35</t>
  </si>
  <si>
    <t>PURB</t>
  </si>
  <si>
    <t>XPO6</t>
  </si>
  <si>
    <t>MAGI1</t>
  </si>
  <si>
    <t>SPAG5</t>
  </si>
  <si>
    <t>NACC1</t>
  </si>
  <si>
    <t>SNX18</t>
  </si>
  <si>
    <t>UIMC1</t>
  </si>
  <si>
    <t>VPS13A</t>
  </si>
  <si>
    <t>MED15</t>
  </si>
  <si>
    <t>GFM1</t>
  </si>
  <si>
    <t>PEO1</t>
  </si>
  <si>
    <t>CAMKK2</t>
  </si>
  <si>
    <t>TGS1</t>
  </si>
  <si>
    <t>NUDCD1</t>
  </si>
  <si>
    <t>ERBB2IP</t>
  </si>
  <si>
    <t>FNBP1</t>
  </si>
  <si>
    <t>C16orf13</t>
  </si>
  <si>
    <t>RPS6KC1</t>
  </si>
  <si>
    <t>TP53RK</t>
  </si>
  <si>
    <t>PIGS</t>
  </si>
  <si>
    <t>WRNIP1</t>
  </si>
  <si>
    <t>RANBP9</t>
  </si>
  <si>
    <t>CLCC1</t>
  </si>
  <si>
    <t>UBL7</t>
  </si>
  <si>
    <t>CCNL2</t>
  </si>
  <si>
    <t>PLEKHF1</t>
  </si>
  <si>
    <t>SMC6</t>
  </si>
  <si>
    <t>KCTD15</t>
  </si>
  <si>
    <t>TMEM209</t>
  </si>
  <si>
    <t>CYP2S1</t>
  </si>
  <si>
    <t>IWS1</t>
  </si>
  <si>
    <t>SIN3A</t>
  </si>
  <si>
    <t>ADO</t>
  </si>
  <si>
    <t>CDK5RAP1</t>
  </si>
  <si>
    <t>RBM15</t>
  </si>
  <si>
    <t>RUFY1</t>
  </si>
  <si>
    <t>SPEN</t>
  </si>
  <si>
    <t>PNKP</t>
  </si>
  <si>
    <t>MMS19</t>
  </si>
  <si>
    <t>UHRF1</t>
  </si>
  <si>
    <t>FAM129B</t>
  </si>
  <si>
    <t>YME1L1</t>
  </si>
  <si>
    <t>RMDN3</t>
  </si>
  <si>
    <t>TCF12</t>
  </si>
  <si>
    <t>MYCBP</t>
  </si>
  <si>
    <t>TBCB</t>
  </si>
  <si>
    <t>PSMB7</t>
  </si>
  <si>
    <t>PCYT2</t>
  </si>
  <si>
    <t>CDC5L</t>
  </si>
  <si>
    <t>PSMD1</t>
  </si>
  <si>
    <t>SDF2</t>
  </si>
  <si>
    <t>PFDN5</t>
  </si>
  <si>
    <t>PAFAH2</t>
  </si>
  <si>
    <t>RNF2</t>
  </si>
  <si>
    <t>PARK7</t>
  </si>
  <si>
    <t>GAS2L1</t>
  </si>
  <si>
    <t>EYA3</t>
  </si>
  <si>
    <t>NEU1</t>
  </si>
  <si>
    <t>SORT1</t>
  </si>
  <si>
    <t>VAT1</t>
  </si>
  <si>
    <t>PLIN2</t>
  </si>
  <si>
    <t>DNAJC2</t>
  </si>
  <si>
    <t>MPHOSPH8</t>
  </si>
  <si>
    <t>NUP88</t>
  </si>
  <si>
    <t>PKP4</t>
  </si>
  <si>
    <t>PIK3R4</t>
  </si>
  <si>
    <t>POP1</t>
  </si>
  <si>
    <t>MNT</t>
  </si>
  <si>
    <t>S100A13</t>
  </si>
  <si>
    <t>TSNAX</t>
  </si>
  <si>
    <t>TTC1</t>
  </si>
  <si>
    <t>DNAJC7</t>
  </si>
  <si>
    <t>CDCA3</t>
  </si>
  <si>
    <t>C12orf57</t>
  </si>
  <si>
    <t>PRPF18</t>
  </si>
  <si>
    <t>PKMYT1</t>
  </si>
  <si>
    <t>CHP1</t>
  </si>
  <si>
    <t>KIF2C</t>
  </si>
  <si>
    <t>ATXN2</t>
  </si>
  <si>
    <t>DOK1</t>
  </si>
  <si>
    <t>MTR</t>
  </si>
  <si>
    <t>HSD17B10</t>
  </si>
  <si>
    <t>SIGMAR1</t>
  </si>
  <si>
    <t>NAP1L4</t>
  </si>
  <si>
    <t>MGST2</t>
  </si>
  <si>
    <t>NAPG</t>
  </si>
  <si>
    <t>TXN2</t>
  </si>
  <si>
    <t>ATP5S</t>
  </si>
  <si>
    <t>APBA2</t>
  </si>
  <si>
    <t>MIPEP</t>
  </si>
  <si>
    <t>TM9SF2</t>
  </si>
  <si>
    <t>SLC29A1</t>
  </si>
  <si>
    <t>CIB1</t>
  </si>
  <si>
    <t>CCT7</t>
  </si>
  <si>
    <t>ARID3A</t>
  </si>
  <si>
    <t>HAUS7</t>
  </si>
  <si>
    <t>HIST1H2AJ</t>
  </si>
  <si>
    <t>PTPN18</t>
  </si>
  <si>
    <t>DUSP9</t>
  </si>
  <si>
    <t>SH3GL1</t>
  </si>
  <si>
    <t>SH3GL3</t>
  </si>
  <si>
    <t>VRK1</t>
  </si>
  <si>
    <t>GDF15</t>
  </si>
  <si>
    <t>AKAP9</t>
  </si>
  <si>
    <t>NIPSNAP1</t>
  </si>
  <si>
    <t>NCAPG</t>
  </si>
  <si>
    <t>ARPC5L</t>
  </si>
  <si>
    <t>PAIP2</t>
  </si>
  <si>
    <t>ELAC2</t>
  </si>
  <si>
    <t>C19orf43</t>
  </si>
  <si>
    <t>GRWD1</t>
  </si>
  <si>
    <t>MACROD1</t>
  </si>
  <si>
    <t>TCF25</t>
  </si>
  <si>
    <t>KLHDC3</t>
  </si>
  <si>
    <t>ECSIT</t>
  </si>
  <si>
    <t>WDR77</t>
  </si>
  <si>
    <t>C17orf62</t>
  </si>
  <si>
    <t>DPH2</t>
  </si>
  <si>
    <t>NUDT12</t>
  </si>
  <si>
    <t>EIF2AK1</t>
  </si>
  <si>
    <t>LPIN3</t>
  </si>
  <si>
    <t>MGME1</t>
  </si>
  <si>
    <t>GORASP1</t>
  </si>
  <si>
    <t>HEPH</t>
  </si>
  <si>
    <t>FYCO1</t>
  </si>
  <si>
    <t>SLC25A21</t>
  </si>
  <si>
    <t>RHOXF2</t>
  </si>
  <si>
    <t>ACBD6</t>
  </si>
  <si>
    <t>CORO1B</t>
  </si>
  <si>
    <t>TXNDC17</t>
  </si>
  <si>
    <t>BUD13</t>
  </si>
  <si>
    <t>CPPED1</t>
  </si>
  <si>
    <t>VPS25</t>
  </si>
  <si>
    <t>MRPL45</t>
  </si>
  <si>
    <t>SDF4</t>
  </si>
  <si>
    <t>SRSF8</t>
  </si>
  <si>
    <t>PDCD2L</t>
  </si>
  <si>
    <t>PAAF1</t>
  </si>
  <si>
    <t>WIBG</t>
  </si>
  <si>
    <t>AIFM2</t>
  </si>
  <si>
    <t>ZKSCAN3</t>
  </si>
  <si>
    <t>ADPGK</t>
  </si>
  <si>
    <t>GPATCH1</t>
  </si>
  <si>
    <t>RIOK1</t>
  </si>
  <si>
    <t>MNF1</t>
  </si>
  <si>
    <t>MIEN1</t>
  </si>
  <si>
    <t>GINS4</t>
  </si>
  <si>
    <t>SIKE1</t>
  </si>
  <si>
    <t>PELO</t>
  </si>
  <si>
    <t>GINS3</t>
  </si>
  <si>
    <t>TRIM56</t>
  </si>
  <si>
    <t>ANAPC13</t>
  </si>
  <si>
    <t>ERP44</t>
  </si>
  <si>
    <t>ATG101</t>
  </si>
  <si>
    <t>NTPCR</t>
  </si>
  <si>
    <t>C19orf52</t>
  </si>
  <si>
    <t>PRADC1</t>
  </si>
  <si>
    <t>TACO1</t>
  </si>
  <si>
    <t>HDHD3</t>
  </si>
  <si>
    <t>TUBGCP2</t>
  </si>
  <si>
    <t>C17orf80</t>
  </si>
  <si>
    <t>ESYT1</t>
  </si>
  <si>
    <t>SLC25A33</t>
  </si>
  <si>
    <t>FEM1A</t>
  </si>
  <si>
    <t>UBAC1</t>
  </si>
  <si>
    <t>YIPF4</t>
  </si>
  <si>
    <t>NAA11</t>
  </si>
  <si>
    <t>TSEN34</t>
  </si>
  <si>
    <t>EFCAB4B</t>
  </si>
  <si>
    <t>CHCHD5</t>
  </si>
  <si>
    <t>CNPY3</t>
  </si>
  <si>
    <t>ALG1</t>
  </si>
  <si>
    <t>LIMD2</t>
  </si>
  <si>
    <t>HAUS8</t>
  </si>
  <si>
    <t>ALKBH7</t>
  </si>
  <si>
    <t>NDFIP1</t>
  </si>
  <si>
    <t>PSMG3</t>
  </si>
  <si>
    <t>COPS4</t>
  </si>
  <si>
    <t>WAC</t>
  </si>
  <si>
    <t>DIDO1</t>
  </si>
  <si>
    <t>MCMBP</t>
  </si>
  <si>
    <t>DCUN1D5</t>
  </si>
  <si>
    <t>THUMPD2</t>
  </si>
  <si>
    <t>FAM103A1</t>
  </si>
  <si>
    <t>ANP32E</t>
  </si>
  <si>
    <t>MED10</t>
  </si>
  <si>
    <t>PI4K2A</t>
  </si>
  <si>
    <t>TMEM43</t>
  </si>
  <si>
    <t>WDR85</t>
  </si>
  <si>
    <t>FUCA2</t>
  </si>
  <si>
    <t>FAM203A</t>
  </si>
  <si>
    <t>DHRS4</t>
  </si>
  <si>
    <t>NDUFAF3</t>
  </si>
  <si>
    <t>MMTAG2</t>
  </si>
  <si>
    <t>DOHH</t>
  </si>
  <si>
    <t>C11orf84</t>
  </si>
  <si>
    <t>ADAT1</t>
  </si>
  <si>
    <t>MKNK1</t>
  </si>
  <si>
    <t>MED18</t>
  </si>
  <si>
    <t>ISCA1</t>
  </si>
  <si>
    <t>TUBB6</t>
  </si>
  <si>
    <t>C9orf142</t>
  </si>
  <si>
    <t>POLR3C</t>
  </si>
  <si>
    <t>HNRNPUL1</t>
  </si>
  <si>
    <t>MSTO1</t>
  </si>
  <si>
    <t>RPP25</t>
  </si>
  <si>
    <t>CCDC28B</t>
  </si>
  <si>
    <t>HTATIP2</t>
  </si>
  <si>
    <t>DDX23</t>
  </si>
  <si>
    <t>WRAP53</t>
  </si>
  <si>
    <t>BDH2</t>
  </si>
  <si>
    <t>FAM195A</t>
  </si>
  <si>
    <t>C9orf16</t>
  </si>
  <si>
    <t>TRAF4</t>
  </si>
  <si>
    <t>C1orf50</t>
  </si>
  <si>
    <t>MRI1</t>
  </si>
  <si>
    <t>ABHD6</t>
  </si>
  <si>
    <t>WDR18</t>
  </si>
  <si>
    <t>VAMP8</t>
  </si>
  <si>
    <t>THUMPD3</t>
  </si>
  <si>
    <t>ADI1</t>
  </si>
  <si>
    <t>RNF126</t>
  </si>
  <si>
    <t>CEP250</t>
  </si>
  <si>
    <t>MECR</t>
  </si>
  <si>
    <t>EMC6</t>
  </si>
  <si>
    <t>NTMT1</t>
  </si>
  <si>
    <t>KATNB1</t>
  </si>
  <si>
    <t>TUBB2B</t>
  </si>
  <si>
    <t>DSCC1</t>
  </si>
  <si>
    <t>C2orf49</t>
  </si>
  <si>
    <t>TMEM109</t>
  </si>
  <si>
    <t>PBDC1</t>
  </si>
  <si>
    <t>PTDSS2</t>
  </si>
  <si>
    <t>NOC4L</t>
  </si>
  <si>
    <t>UTP14A</t>
  </si>
  <si>
    <t>DUSP23</t>
  </si>
  <si>
    <t>TMED9</t>
  </si>
  <si>
    <t>SELO</t>
  </si>
  <si>
    <t>DPCD</t>
  </si>
  <si>
    <t>SPATA5L1</t>
  </si>
  <si>
    <t>RIOK2</t>
  </si>
  <si>
    <t>TRMT61B</t>
  </si>
  <si>
    <t>TIMM21</t>
  </si>
  <si>
    <t>SARG</t>
  </si>
  <si>
    <t>KIFC1</t>
  </si>
  <si>
    <t>NUP85</t>
  </si>
  <si>
    <t>ELOVL1</t>
  </si>
  <si>
    <t>DDA1</t>
  </si>
  <si>
    <t>HIRIP3</t>
  </si>
  <si>
    <t>CCDC94</t>
  </si>
  <si>
    <t>NUDT9</t>
  </si>
  <si>
    <t>TARS2</t>
  </si>
  <si>
    <t>ACAT2</t>
  </si>
  <si>
    <t>REPIN1</t>
  </si>
  <si>
    <t>RBM4</t>
  </si>
  <si>
    <t>SCNM1</t>
  </si>
  <si>
    <t>FUNDC2</t>
  </si>
  <si>
    <t>RPAP1</t>
  </si>
  <si>
    <t>SF3B5</t>
  </si>
  <si>
    <t>SFXN3</t>
  </si>
  <si>
    <t>PAPOLG</t>
  </si>
  <si>
    <t>MND1</t>
  </si>
  <si>
    <t>SLC4A1AP</t>
  </si>
  <si>
    <t>SSBP3</t>
  </si>
  <si>
    <t>SSDP4</t>
  </si>
  <si>
    <t>GTPBP2</t>
  </si>
  <si>
    <t>BRIP1</t>
  </si>
  <si>
    <t>SORBS1</t>
  </si>
  <si>
    <t>HINT2</t>
  </si>
  <si>
    <t>CARD6</t>
  </si>
  <si>
    <t>SGPP1</t>
  </si>
  <si>
    <t>OSBPL11</t>
  </si>
  <si>
    <t>NAA15</t>
  </si>
  <si>
    <t>KLF16</t>
  </si>
  <si>
    <t>BCL2L13</t>
  </si>
  <si>
    <t>HEMGN</t>
  </si>
  <si>
    <t>CARD11</t>
  </si>
  <si>
    <t>SLC12A9</t>
  </si>
  <si>
    <t>SRRT</t>
  </si>
  <si>
    <t>QTRT1</t>
  </si>
  <si>
    <t>NUSAP1</t>
  </si>
  <si>
    <t>C14orf142</t>
  </si>
  <si>
    <t>CECR5</t>
  </si>
  <si>
    <t>FANCD2</t>
  </si>
  <si>
    <t>ITPA</t>
  </si>
  <si>
    <t>RTFDC1</t>
  </si>
  <si>
    <t>CHMP4A</t>
  </si>
  <si>
    <t>EIF2A</t>
  </si>
  <si>
    <t>POLDIP3</t>
  </si>
  <si>
    <t>GNB1L</t>
  </si>
  <si>
    <t>FUT8</t>
  </si>
  <si>
    <t>MRPL32</t>
  </si>
  <si>
    <t>MRPL1</t>
  </si>
  <si>
    <t>PARD6B</t>
  </si>
  <si>
    <t>FAM126A</t>
  </si>
  <si>
    <t>SRXN1</t>
  </si>
  <si>
    <t>NLN</t>
  </si>
  <si>
    <t>CEP41</t>
  </si>
  <si>
    <t>SETD2</t>
  </si>
  <si>
    <t>TBC1D2</t>
  </si>
  <si>
    <t>PANK2</t>
  </si>
  <si>
    <t>FRMD8</t>
  </si>
  <si>
    <t>WHSC1L1</t>
  </si>
  <si>
    <t>GCOM2</t>
  </si>
  <si>
    <t>NUF2</t>
  </si>
  <si>
    <t>MRPL37</t>
  </si>
  <si>
    <t>PUS3</t>
  </si>
  <si>
    <t>ASPSCR1</t>
  </si>
  <si>
    <t>OSBPL8</t>
  </si>
  <si>
    <t>OSBPL6</t>
  </si>
  <si>
    <t>WDR11</t>
  </si>
  <si>
    <t>UPF3B</t>
  </si>
  <si>
    <t>TBL1XR1</t>
  </si>
  <si>
    <t>UBL5</t>
  </si>
  <si>
    <t>PLA2G12A</t>
  </si>
  <si>
    <t>ULBP2</t>
  </si>
  <si>
    <t>ULBP1</t>
  </si>
  <si>
    <t>FAM129A</t>
  </si>
  <si>
    <t>UCK2</t>
  </si>
  <si>
    <t>SPRY4</t>
  </si>
  <si>
    <t>DPY30</t>
  </si>
  <si>
    <t>TRIM4</t>
  </si>
  <si>
    <t>FAM117A</t>
  </si>
  <si>
    <t>FTO</t>
  </si>
  <si>
    <t>ZDHHC5</t>
  </si>
  <si>
    <t>TANGO6</t>
  </si>
  <si>
    <t>TNKS1BP1</t>
  </si>
  <si>
    <t>SEMA4C</t>
  </si>
  <si>
    <t>AMBRA1</t>
  </si>
  <si>
    <t>ZYG11B</t>
  </si>
  <si>
    <t>CEP44</t>
  </si>
  <si>
    <t>MTMR12</t>
  </si>
  <si>
    <t>WDR33</t>
  </si>
  <si>
    <t>WDR12</t>
  </si>
  <si>
    <t>ACTR6</t>
  </si>
  <si>
    <t>C20orf27</t>
  </si>
  <si>
    <t>NRSN2</t>
  </si>
  <si>
    <t>PITHD1</t>
  </si>
  <si>
    <t>DERL2</t>
  </si>
  <si>
    <t>COMMD5</t>
  </si>
  <si>
    <t>POLR1E</t>
  </si>
  <si>
    <t>WDR61</t>
  </si>
  <si>
    <t>SLIRP</t>
  </si>
  <si>
    <t>SRR</t>
  </si>
  <si>
    <t>CCDC90B</t>
  </si>
  <si>
    <t>NIF3L1</t>
  </si>
  <si>
    <t>EGLN1</t>
  </si>
  <si>
    <t>FAM192A</t>
  </si>
  <si>
    <t>TWSG1</t>
  </si>
  <si>
    <t>COA1</t>
  </si>
  <si>
    <t>MFF</t>
  </si>
  <si>
    <t>UBA5</t>
  </si>
  <si>
    <t>MTFR1L</t>
  </si>
  <si>
    <t>TMEM126A</t>
  </si>
  <si>
    <t>PAIP1</t>
  </si>
  <si>
    <t>CLPB</t>
  </si>
  <si>
    <t>MIS12</t>
  </si>
  <si>
    <t>RAB33B</t>
  </si>
  <si>
    <t>LSG1</t>
  </si>
  <si>
    <t>KLC2</t>
  </si>
  <si>
    <t>ILKAP</t>
  </si>
  <si>
    <t>XRN2</t>
  </si>
  <si>
    <t>TOLLIP</t>
  </si>
  <si>
    <t>BRD8</t>
  </si>
  <si>
    <t>SHARPIN</t>
  </si>
  <si>
    <t>NSRP1</t>
  </si>
  <si>
    <t>RACGAP1</t>
  </si>
  <si>
    <t>PARP12</t>
  </si>
  <si>
    <t>SIK2</t>
  </si>
  <si>
    <t>PUS7L</t>
  </si>
  <si>
    <t>CSTF2T</t>
  </si>
  <si>
    <t>NT5C3A</t>
  </si>
  <si>
    <t>HDHD2</t>
  </si>
  <si>
    <t>QRSL1</t>
  </si>
  <si>
    <t>DDX47</t>
  </si>
  <si>
    <t>MAGT1</t>
  </si>
  <si>
    <t>RAB1B</t>
  </si>
  <si>
    <t>TMEM168</t>
  </si>
  <si>
    <t>LMAN2L</t>
  </si>
  <si>
    <t>SMG9</t>
  </si>
  <si>
    <t>C11orf54</t>
  </si>
  <si>
    <t>ITFG3</t>
  </si>
  <si>
    <t>ING2</t>
  </si>
  <si>
    <t>SIL1</t>
  </si>
  <si>
    <t>METTL9</t>
  </si>
  <si>
    <t>ANAPC1</t>
  </si>
  <si>
    <t>IRF2BPL</t>
  </si>
  <si>
    <t>POLR3F</t>
  </si>
  <si>
    <t>NUCKS1</t>
  </si>
  <si>
    <t>TMX4</t>
  </si>
  <si>
    <t>KIF13A</t>
  </si>
  <si>
    <t>ZFYVE20</t>
  </si>
  <si>
    <t>ISCU</t>
  </si>
  <si>
    <t>OSBPL2</t>
  </si>
  <si>
    <t>ATG5</t>
  </si>
  <si>
    <t>WDR13</t>
  </si>
  <si>
    <t>EHD4</t>
  </si>
  <si>
    <t>CARD9</t>
  </si>
  <si>
    <t>VPS33B</t>
  </si>
  <si>
    <t>VPS16</t>
  </si>
  <si>
    <t>VPS11</t>
  </si>
  <si>
    <t>GAN</t>
  </si>
  <si>
    <t>SLC25A32</t>
  </si>
  <si>
    <t>SLK</t>
  </si>
  <si>
    <t>PDCL3</t>
  </si>
  <si>
    <t>TAOK3</t>
  </si>
  <si>
    <t>RAB3GAP2</t>
  </si>
  <si>
    <t>ADNP</t>
  </si>
  <si>
    <t>DPH5</t>
  </si>
  <si>
    <t>PPA2</t>
  </si>
  <si>
    <t>MIXL1</t>
  </si>
  <si>
    <t>MRPL46</t>
  </si>
  <si>
    <t>PARL</t>
  </si>
  <si>
    <t>PNN</t>
  </si>
  <si>
    <t>TMEM245</t>
  </si>
  <si>
    <t>GGNBP2</t>
  </si>
  <si>
    <t>TRIT1</t>
  </si>
  <si>
    <t>C11orf68</t>
  </si>
  <si>
    <t>DPAGT1</t>
  </si>
  <si>
    <t>BOLA2</t>
  </si>
  <si>
    <t>TXNIP</t>
  </si>
  <si>
    <t>TMX1</t>
  </si>
  <si>
    <t>NELFA</t>
  </si>
  <si>
    <t>ACBD3</t>
  </si>
  <si>
    <t>CDC42EP4</t>
  </si>
  <si>
    <t>CENPH</t>
  </si>
  <si>
    <t>PTPN23</t>
  </si>
  <si>
    <t>UNC45A</t>
  </si>
  <si>
    <t>MFSD1</t>
  </si>
  <si>
    <t>DNAJC5</t>
  </si>
  <si>
    <t>DSN1</t>
  </si>
  <si>
    <t>C1orf198</t>
  </si>
  <si>
    <t>CHMP4B</t>
  </si>
  <si>
    <t>CUEDC2</t>
  </si>
  <si>
    <t>FBXL15</t>
  </si>
  <si>
    <t>FN3K</t>
  </si>
  <si>
    <t>POFUT1</t>
  </si>
  <si>
    <t>IFRG15</t>
  </si>
  <si>
    <t>TOR3A</t>
  </si>
  <si>
    <t>RNPEP</t>
  </si>
  <si>
    <t>GOLPH3L</t>
  </si>
  <si>
    <t>GOLPH3</t>
  </si>
  <si>
    <t>DEF6</t>
  </si>
  <si>
    <t>FAM83D</t>
  </si>
  <si>
    <t>OSBPL3</t>
  </si>
  <si>
    <t>SMARCAD1</t>
  </si>
  <si>
    <t>EHD1</t>
  </si>
  <si>
    <t>PCIF1</t>
  </si>
  <si>
    <t>ESF1</t>
  </si>
  <si>
    <t>ALG2</t>
  </si>
  <si>
    <t>SGK196</t>
  </si>
  <si>
    <t>RABEP2</t>
  </si>
  <si>
    <t>TFB2M</t>
  </si>
  <si>
    <t>CDCP1</t>
  </si>
  <si>
    <t>CXorf56</t>
  </si>
  <si>
    <t>FAM96A</t>
  </si>
  <si>
    <t>HAUS4</t>
  </si>
  <si>
    <t>CCDC134</t>
  </si>
  <si>
    <t>CCDC86</t>
  </si>
  <si>
    <t>REEP4</t>
  </si>
  <si>
    <t>C6orf106</t>
  </si>
  <si>
    <t>OPA3</t>
  </si>
  <si>
    <t>NARFL</t>
  </si>
  <si>
    <t>ZDHHC6</t>
  </si>
  <si>
    <t>C2orf44</t>
  </si>
  <si>
    <t>YTHDC2</t>
  </si>
  <si>
    <t>AZI2</t>
  </si>
  <si>
    <t>EPS8L2</t>
  </si>
  <si>
    <t>RPAP3</t>
  </si>
  <si>
    <t>ALG9</t>
  </si>
  <si>
    <t>WDR55</t>
  </si>
  <si>
    <t>DCTPP1</t>
  </si>
  <si>
    <t>SMYD3</t>
  </si>
  <si>
    <t>WDR26</t>
  </si>
  <si>
    <t>TDRD3</t>
  </si>
  <si>
    <t>C8orf33</t>
  </si>
  <si>
    <t>ATP13A3</t>
  </si>
  <si>
    <t>SUDS3</t>
  </si>
  <si>
    <t>SCAF1</t>
  </si>
  <si>
    <t>KAT8</t>
  </si>
  <si>
    <t>PTGES2</t>
  </si>
  <si>
    <t>TMEM206</t>
  </si>
  <si>
    <t>PHAX</t>
  </si>
  <si>
    <t>UBE2Z</t>
  </si>
  <si>
    <t>GEMIN7</t>
  </si>
  <si>
    <t>ACAD9</t>
  </si>
  <si>
    <t>RMND5A</t>
  </si>
  <si>
    <t>PRKRIP1</t>
  </si>
  <si>
    <t>CAAP1</t>
  </si>
  <si>
    <t>NOL11</t>
  </si>
  <si>
    <t>C10orf88</t>
  </si>
  <si>
    <t>CNNM2</t>
  </si>
  <si>
    <t>FAM188A</t>
  </si>
  <si>
    <t>MOB1A</t>
  </si>
  <si>
    <t>ZFAND3</t>
  </si>
  <si>
    <t>PLEKHF2</t>
  </si>
  <si>
    <t>ANKZF1</t>
  </si>
  <si>
    <t>GORASP2</t>
  </si>
  <si>
    <t>ZWILCH</t>
  </si>
  <si>
    <t>SLC25A22</t>
  </si>
  <si>
    <t>PSTPIP2</t>
  </si>
  <si>
    <t>MED20</t>
  </si>
  <si>
    <t>QTRTD1</t>
  </si>
  <si>
    <t>ACTR8</t>
  </si>
  <si>
    <t>C6orf211</t>
  </si>
  <si>
    <t>PANK3</t>
  </si>
  <si>
    <t>CNOT10</t>
  </si>
  <si>
    <t>LRRC40</t>
  </si>
  <si>
    <t>EHMT1</t>
  </si>
  <si>
    <t>SFXN1</t>
  </si>
  <si>
    <t>ACTR5</t>
  </si>
  <si>
    <t>VPS37B</t>
  </si>
  <si>
    <t>L2HGDH</t>
  </si>
  <si>
    <t>ELP3</t>
  </si>
  <si>
    <t>JMJD4</t>
  </si>
  <si>
    <t>GPN2</t>
  </si>
  <si>
    <t>POLR1B</t>
  </si>
  <si>
    <t>UCK1</t>
  </si>
  <si>
    <t>FN3KRP</t>
  </si>
  <si>
    <t>TBC1D17</t>
  </si>
  <si>
    <t>CARS2</t>
  </si>
  <si>
    <t>PPCS</t>
  </si>
  <si>
    <t>SAP30L</t>
  </si>
  <si>
    <t>NMNAT1</t>
  </si>
  <si>
    <t>MLXIP</t>
  </si>
  <si>
    <t>LIN7B</t>
  </si>
  <si>
    <t>SIAE</t>
  </si>
  <si>
    <t>PLEKHA5</t>
  </si>
  <si>
    <t>UPF2</t>
  </si>
  <si>
    <t>GNB4</t>
  </si>
  <si>
    <t>XPO5</t>
  </si>
  <si>
    <t>GRPEL1</t>
  </si>
  <si>
    <t>CLSPN</t>
  </si>
  <si>
    <t>BCL2L12</t>
  </si>
  <si>
    <t>PLEKHA2</t>
  </si>
  <si>
    <t>SCPEP1</t>
  </si>
  <si>
    <t>CACYBP</t>
  </si>
  <si>
    <t>RRAGC</t>
  </si>
  <si>
    <t>SMARCA4</t>
  </si>
  <si>
    <t>PDF</t>
  </si>
  <si>
    <t>RDH14</t>
  </si>
  <si>
    <t>PARVB</t>
  </si>
  <si>
    <t>NMRAL1</t>
  </si>
  <si>
    <t>SPC25</t>
  </si>
  <si>
    <t>TAF9B</t>
  </si>
  <si>
    <t>AGPAT1</t>
  </si>
  <si>
    <t>EML4</t>
  </si>
  <si>
    <t>RNMTL1</t>
  </si>
  <si>
    <t>GLOD4</t>
  </si>
  <si>
    <t>GPBP1L1</t>
  </si>
  <si>
    <t>MCCC2</t>
  </si>
  <si>
    <t>NCOA5</t>
  </si>
  <si>
    <t>MOV10</t>
  </si>
  <si>
    <t>METTL14</t>
  </si>
  <si>
    <t>CHD8</t>
  </si>
  <si>
    <t>TMEM8A</t>
  </si>
  <si>
    <t>GPN1</t>
  </si>
  <si>
    <t>SDF2L1</t>
  </si>
  <si>
    <t>CSNK1G1</t>
  </si>
  <si>
    <t>PREB</t>
  </si>
  <si>
    <t>POLD4</t>
  </si>
  <si>
    <t>SRA1</t>
  </si>
  <si>
    <t>ATP13A1</t>
  </si>
  <si>
    <t>MRS2</t>
  </si>
  <si>
    <t>GOPC</t>
  </si>
  <si>
    <t>SEPSECS</t>
  </si>
  <si>
    <t>TM9SF3</t>
  </si>
  <si>
    <t>RANGRF</t>
  </si>
  <si>
    <t>XAGE1A</t>
  </si>
  <si>
    <t>JPH1</t>
  </si>
  <si>
    <t>APMAP</t>
  </si>
  <si>
    <t>WDR6</t>
  </si>
  <si>
    <t>SH2D2A</t>
  </si>
  <si>
    <t>ABCB6</t>
  </si>
  <si>
    <t>SLC40A1</t>
  </si>
  <si>
    <t>HMG20A</t>
  </si>
  <si>
    <t>RAB18</t>
  </si>
  <si>
    <t>ALG13</t>
  </si>
  <si>
    <t>PALMD</t>
  </si>
  <si>
    <t>SSU72</t>
  </si>
  <si>
    <t>VTA1</t>
  </si>
  <si>
    <t>TNFRSF12A</t>
  </si>
  <si>
    <t>MRPS30</t>
  </si>
  <si>
    <t>EMC7</t>
  </si>
  <si>
    <t>MID1IP1</t>
  </si>
  <si>
    <t>ENY2</t>
  </si>
  <si>
    <t>GPCPD1</t>
  </si>
  <si>
    <t>EXOSC4</t>
  </si>
  <si>
    <t>UBE2T</t>
  </si>
  <si>
    <t>NGRN</t>
  </si>
  <si>
    <t>NOP10</t>
  </si>
  <si>
    <t>CD320</t>
  </si>
  <si>
    <t>OSGEP</t>
  </si>
  <si>
    <t>ISYNA1</t>
  </si>
  <si>
    <t>DCP1A</t>
  </si>
  <si>
    <t>ACOT13</t>
  </si>
  <si>
    <t>MED4</t>
  </si>
  <si>
    <t>TIMMDC1</t>
  </si>
  <si>
    <t>RIC8A</t>
  </si>
  <si>
    <t>GPR108</t>
  </si>
  <si>
    <t>ATP13A2</t>
  </si>
  <si>
    <t>LUC7L</t>
  </si>
  <si>
    <t>TIGAR</t>
  </si>
  <si>
    <t>RTN4</t>
  </si>
  <si>
    <t>HINT3</t>
  </si>
  <si>
    <t>MANBAL</t>
  </si>
  <si>
    <t>RPRD1B</t>
  </si>
  <si>
    <t>HPS4</t>
  </si>
  <si>
    <t>XPNPEP3</t>
  </si>
  <si>
    <t>PFDN4</t>
  </si>
  <si>
    <t>NIT2</t>
  </si>
  <si>
    <t>AVEN</t>
  </si>
  <si>
    <t>EXOSC5</t>
  </si>
  <si>
    <t>KIF13B</t>
  </si>
  <si>
    <t>ANLN</t>
  </si>
  <si>
    <t>XPNPEP1</t>
  </si>
  <si>
    <t>MYO5C</t>
  </si>
  <si>
    <t>BIN3</t>
  </si>
  <si>
    <t>UTP3</t>
  </si>
  <si>
    <t>STARD7</t>
  </si>
  <si>
    <t>BIRC6</t>
  </si>
  <si>
    <t>PDLIM7</t>
  </si>
  <si>
    <t>ACSS2</t>
  </si>
  <si>
    <t>DIABLO</t>
  </si>
  <si>
    <t>DDX21</t>
  </si>
  <si>
    <t>SAR1A</t>
  </si>
  <si>
    <t>POLE4</t>
  </si>
  <si>
    <t>NANS</t>
  </si>
  <si>
    <t>EIF2B3</t>
  </si>
  <si>
    <t>SH2B1</t>
  </si>
  <si>
    <t>CTPS2</t>
  </si>
  <si>
    <t>POLE3</t>
  </si>
  <si>
    <t>CHRAC1</t>
  </si>
  <si>
    <t>PRTFDC1</t>
  </si>
  <si>
    <t>SMYD2</t>
  </si>
  <si>
    <t>YAE1D1</t>
  </si>
  <si>
    <t>ABCB10</t>
  </si>
  <si>
    <t>BAZ1A</t>
  </si>
  <si>
    <t>STRN4</t>
  </si>
  <si>
    <t>AASDHPPT</t>
  </si>
  <si>
    <t>METTL5</t>
  </si>
  <si>
    <t>CMC2</t>
  </si>
  <si>
    <t>ACN9</t>
  </si>
  <si>
    <t>UBQLN4</t>
  </si>
  <si>
    <t>CDC42SE1</t>
  </si>
  <si>
    <t>SNX15</t>
  </si>
  <si>
    <t>HEBP1</t>
  </si>
  <si>
    <t>RAB6B</t>
  </si>
  <si>
    <t>APOBEC3C</t>
  </si>
  <si>
    <t>DUSP22</t>
  </si>
  <si>
    <t>VPS45</t>
  </si>
  <si>
    <t>PNO1</t>
  </si>
  <si>
    <t>PHPT1</t>
  </si>
  <si>
    <t>SERINC1</t>
  </si>
  <si>
    <t>ARHGAP35</t>
  </si>
  <si>
    <t>FAM114A2</t>
  </si>
  <si>
    <t>AGPAT3</t>
  </si>
  <si>
    <t>HELLS</t>
  </si>
  <si>
    <t>GLRX2</t>
  </si>
  <si>
    <t>RASSF1</t>
  </si>
  <si>
    <t>TOMM22</t>
  </si>
  <si>
    <t>LANCL2</t>
  </si>
  <si>
    <t>KIF15</t>
  </si>
  <si>
    <t>RAD18</t>
  </si>
  <si>
    <t>TM7SF3</t>
  </si>
  <si>
    <t>CTNNBIP1</t>
  </si>
  <si>
    <t>FARSB</t>
  </si>
  <si>
    <t>IARS2</t>
  </si>
  <si>
    <t>FAM207A</t>
  </si>
  <si>
    <t>SAMSN1</t>
  </si>
  <si>
    <t>KLC4</t>
  </si>
  <si>
    <t>BMP2K</t>
  </si>
  <si>
    <t>ATG3</t>
  </si>
  <si>
    <t>SIRT3</t>
  </si>
  <si>
    <t>PDS5B</t>
  </si>
  <si>
    <t>SMC4</t>
  </si>
  <si>
    <t>MAN2C1</t>
  </si>
  <si>
    <t>SACM1L</t>
  </si>
  <si>
    <t>CUTC</t>
  </si>
  <si>
    <t>ECHDC1</t>
  </si>
  <si>
    <t>RNF146</t>
  </si>
  <si>
    <t>RBM12</t>
  </si>
  <si>
    <t>TBC1D22B</t>
  </si>
  <si>
    <t>MDN1</t>
  </si>
  <si>
    <t>LYRM2</t>
  </si>
  <si>
    <t>ZCCHC3</t>
  </si>
  <si>
    <t>ZDHHC18</t>
  </si>
  <si>
    <t>PDRG1</t>
  </si>
  <si>
    <t>ABHD10</t>
  </si>
  <si>
    <t>TMEM106B</t>
  </si>
  <si>
    <t>LMBRD1</t>
  </si>
  <si>
    <t>BLOC1S4</t>
  </si>
  <si>
    <t>TRMT13</t>
  </si>
  <si>
    <t>LIN7C</t>
  </si>
  <si>
    <t>AGPAT5</t>
  </si>
  <si>
    <t>TXLNG</t>
  </si>
  <si>
    <t>UFSP2</t>
  </si>
  <si>
    <t>ABCF3</t>
  </si>
  <si>
    <t>FAM49B</t>
  </si>
  <si>
    <t>AP5S1</t>
  </si>
  <si>
    <t>DDX19A</t>
  </si>
  <si>
    <t>TDP1</t>
  </si>
  <si>
    <t>TBC1D23</t>
  </si>
  <si>
    <t>DCAF13</t>
  </si>
  <si>
    <t>NUDT15</t>
  </si>
  <si>
    <t>MRGBP</t>
  </si>
  <si>
    <t>TYW1</t>
  </si>
  <si>
    <t>EXOC1</t>
  </si>
  <si>
    <t>TMEM30A</t>
  </si>
  <si>
    <t>UQCC</t>
  </si>
  <si>
    <t>MED17</t>
  </si>
  <si>
    <t>PANK4</t>
  </si>
  <si>
    <t>FBXO28</t>
  </si>
  <si>
    <t>TBC1D13</t>
  </si>
  <si>
    <t>EXD2</t>
  </si>
  <si>
    <t>DNAJC11</t>
  </si>
  <si>
    <t>INTS7</t>
  </si>
  <si>
    <t>FANCI</t>
  </si>
  <si>
    <t>ATAD3A</t>
  </si>
  <si>
    <t>ARL8B</t>
  </si>
  <si>
    <t>FGFR1OP2</t>
  </si>
  <si>
    <t>EVA1B</t>
  </si>
  <si>
    <t>PRMT7</t>
  </si>
  <si>
    <t>DNAJC17</t>
  </si>
  <si>
    <t>ASUN</t>
  </si>
  <si>
    <t>GNL3L</t>
  </si>
  <si>
    <t>DDX18</t>
  </si>
  <si>
    <t>ASF1B</t>
  </si>
  <si>
    <t>KLHL11</t>
  </si>
  <si>
    <t>INTS10</t>
  </si>
  <si>
    <t>DNAAF2</t>
  </si>
  <si>
    <t>POLR3E</t>
  </si>
  <si>
    <t>TMEM38B</t>
  </si>
  <si>
    <t>MTPAP</t>
  </si>
  <si>
    <t>RLIM</t>
  </si>
  <si>
    <t>NLE1</t>
  </si>
  <si>
    <t>KBTBD4</t>
  </si>
  <si>
    <t>NECAP2</t>
  </si>
  <si>
    <t>POLR3B</t>
  </si>
  <si>
    <t>ANO10</t>
  </si>
  <si>
    <t>RBM22</t>
  </si>
  <si>
    <t>WDR70</t>
  </si>
  <si>
    <t>ARGLU1</t>
  </si>
  <si>
    <t>TMEM248</t>
  </si>
  <si>
    <t>BEX4</t>
  </si>
  <si>
    <t>TMEM242</t>
  </si>
  <si>
    <t>SLTM</t>
  </si>
  <si>
    <t>ZNHIT6</t>
  </si>
  <si>
    <t>FKBP14</t>
  </si>
  <si>
    <t>C14orf119</t>
  </si>
  <si>
    <t>PIH1D1</t>
  </si>
  <si>
    <t>FAM118A</t>
  </si>
  <si>
    <t>RMND1</t>
  </si>
  <si>
    <t>HIF1AN</t>
  </si>
  <si>
    <t>AURKAIP1</t>
  </si>
  <si>
    <t>OXSM</t>
  </si>
  <si>
    <t>GID8</t>
  </si>
  <si>
    <t>C1orf123</t>
  </si>
  <si>
    <t>THG1L</t>
  </si>
  <si>
    <t>C4orf27</t>
  </si>
  <si>
    <t>IRAK4</t>
  </si>
  <si>
    <t>TMEM160</t>
  </si>
  <si>
    <t>TXNL4B</t>
  </si>
  <si>
    <t>NLRP2</t>
  </si>
  <si>
    <t>TRNAU1AP</t>
  </si>
  <si>
    <t>COMMD8</t>
  </si>
  <si>
    <t>DDIT4</t>
  </si>
  <si>
    <t>NDUFB11</t>
  </si>
  <si>
    <t>MRPL16</t>
  </si>
  <si>
    <t>NHP2</t>
  </si>
  <si>
    <t>FAM206A</t>
  </si>
  <si>
    <t>ADPRHL2</t>
  </si>
  <si>
    <t>MARCH5</t>
  </si>
  <si>
    <t>LYAR</t>
  </si>
  <si>
    <t>IMPAD1</t>
  </si>
  <si>
    <t>MED29</t>
  </si>
  <si>
    <t>DUS2L</t>
  </si>
  <si>
    <t>SIRT5</t>
  </si>
  <si>
    <t>MIOS</t>
  </si>
  <si>
    <t>CWC25</t>
  </si>
  <si>
    <t>TEX10</t>
  </si>
  <si>
    <t>DCAF16</t>
  </si>
  <si>
    <t>ZDHHC7</t>
  </si>
  <si>
    <t>TOR4A</t>
  </si>
  <si>
    <t>TRMT1</t>
  </si>
  <si>
    <t>FBXL12</t>
  </si>
  <si>
    <t>GDAP2</t>
  </si>
  <si>
    <t>NDE1</t>
  </si>
  <si>
    <t>BRE</t>
  </si>
  <si>
    <t>QPCTL</t>
  </si>
  <si>
    <t>ARL15</t>
  </si>
  <si>
    <t>KCTD5</t>
  </si>
  <si>
    <t>CDKN2AIP</t>
  </si>
  <si>
    <t>ALKBH4</t>
  </si>
  <si>
    <t>NSMCE4A</t>
  </si>
  <si>
    <t>GAR1</t>
  </si>
  <si>
    <t>PPP4R2</t>
  </si>
  <si>
    <t>B3GNT2</t>
  </si>
  <si>
    <t>SPHK1</t>
  </si>
  <si>
    <t>TERF2IP</t>
  </si>
  <si>
    <t>UTP6</t>
  </si>
  <si>
    <t>COA4</t>
  </si>
  <si>
    <t>TAB2</t>
  </si>
  <si>
    <t>MRPL39</t>
  </si>
  <si>
    <t>MLTK</t>
  </si>
  <si>
    <t>TMOD3</t>
  </si>
  <si>
    <t>MIS18A</t>
  </si>
  <si>
    <t>UGGT1</t>
  </si>
  <si>
    <t>CDK12</t>
  </si>
  <si>
    <t>FASTKD2</t>
  </si>
  <si>
    <t>SLC25A37</t>
  </si>
  <si>
    <t>GTSE1</t>
  </si>
  <si>
    <t>TECR</t>
  </si>
  <si>
    <t>ERAP1</t>
  </si>
  <si>
    <t>UBAP1</t>
  </si>
  <si>
    <t>ACTR10</t>
  </si>
  <si>
    <t>USE1</t>
  </si>
  <si>
    <t>CISD1</t>
  </si>
  <si>
    <t>PODXL2</t>
  </si>
  <si>
    <t>C9orf78</t>
  </si>
  <si>
    <t>CLIC5</t>
  </si>
  <si>
    <t>GDE1</t>
  </si>
  <si>
    <t>WWOX</t>
  </si>
  <si>
    <t>SMARCAL1</t>
  </si>
  <si>
    <t>AHSP</t>
  </si>
  <si>
    <t>SPG21</t>
  </si>
  <si>
    <t>UBP1</t>
  </si>
  <si>
    <t>IGF2BP1</t>
  </si>
  <si>
    <t>SACS</t>
  </si>
  <si>
    <t>COQ3</t>
  </si>
  <si>
    <t>MTCH1</t>
  </si>
  <si>
    <t>NUDT4</t>
  </si>
  <si>
    <t>HSPBP1</t>
  </si>
  <si>
    <t>MAT2B</t>
  </si>
  <si>
    <t>ITSN2</t>
  </si>
  <si>
    <t>EHD2</t>
  </si>
  <si>
    <t>ARHGEF12</t>
  </si>
  <si>
    <t>NCKIPSD</t>
  </si>
  <si>
    <t>OGFR</t>
  </si>
  <si>
    <t>MPP6</t>
  </si>
  <si>
    <t>CHMP5</t>
  </si>
  <si>
    <t>COMMD9</t>
  </si>
  <si>
    <t>CWC15</t>
  </si>
  <si>
    <t>THYN1</t>
  </si>
  <si>
    <t>CRIPT</t>
  </si>
  <si>
    <t>NDUFAF4</t>
  </si>
  <si>
    <t>PTPLAD1</t>
  </si>
  <si>
    <t>CCDC167</t>
  </si>
  <si>
    <t>EMC3</t>
  </si>
  <si>
    <t>KCMF1</t>
  </si>
  <si>
    <t>VAPA</t>
  </si>
  <si>
    <t>TBC1D7</t>
  </si>
  <si>
    <t>RNF181</t>
  </si>
  <si>
    <t>GSKIP</t>
  </si>
  <si>
    <t>COX16</t>
  </si>
  <si>
    <t>CXXC1</t>
  </si>
  <si>
    <t>HMG20B</t>
  </si>
  <si>
    <t>ZNRD1</t>
  </si>
  <si>
    <t>ACTR3B</t>
  </si>
  <si>
    <t>PIM2</t>
  </si>
  <si>
    <t>CALCOCO1</t>
  </si>
  <si>
    <t>KIAA1522</t>
  </si>
  <si>
    <t>CEP72</t>
  </si>
  <si>
    <t>POGK</t>
  </si>
  <si>
    <t>VPS18</t>
  </si>
  <si>
    <t>RCC2</t>
  </si>
  <si>
    <t>DIP2B</t>
  </si>
  <si>
    <t>SLAIN2</t>
  </si>
  <si>
    <t>BCCIP</t>
  </si>
  <si>
    <t>PTGFRN</t>
  </si>
  <si>
    <t>HEATR5B</t>
  </si>
  <si>
    <t>DNAH1</t>
  </si>
  <si>
    <t>ZNFX1</t>
  </si>
  <si>
    <t>RRBP1</t>
  </si>
  <si>
    <t>CPSF2</t>
  </si>
  <si>
    <t>PDP2</t>
  </si>
  <si>
    <t>EIF2AK4</t>
  </si>
  <si>
    <t>TBC1D14</t>
  </si>
  <si>
    <t>RBM27</t>
  </si>
  <si>
    <t>ANKFY1</t>
  </si>
  <si>
    <t>PSMC3IP</t>
  </si>
  <si>
    <t>DPM3</t>
  </si>
  <si>
    <t>UVRAG</t>
  </si>
  <si>
    <t>ATXN10</t>
  </si>
  <si>
    <t>MBD2</t>
  </si>
  <si>
    <t>NCDN</t>
  </si>
  <si>
    <t>TFIP11</t>
  </si>
  <si>
    <t>DNMT3B</t>
  </si>
  <si>
    <t>ORC3</t>
  </si>
  <si>
    <t>SAE1</t>
  </si>
  <si>
    <t>MAGEC2</t>
  </si>
  <si>
    <t>COPG2</t>
  </si>
  <si>
    <t>RNF7</t>
  </si>
  <si>
    <t>PI4KB</t>
  </si>
  <si>
    <t>XPR1</t>
  </si>
  <si>
    <t>GNG12</t>
  </si>
  <si>
    <t>MTRR</t>
  </si>
  <si>
    <t>UXT</t>
  </si>
  <si>
    <t>ASH2L</t>
  </si>
  <si>
    <t>DHCR7</t>
  </si>
  <si>
    <t>SPAST</t>
  </si>
  <si>
    <t>METTL1</t>
  </si>
  <si>
    <t>GULP1</t>
  </si>
  <si>
    <t>GRHPR</t>
  </si>
  <si>
    <t>CTSZ</t>
  </si>
  <si>
    <t>RPS6KB2</t>
  </si>
  <si>
    <t>RNF14</t>
  </si>
  <si>
    <t>UBA2</t>
  </si>
  <si>
    <t>CTNNAL1</t>
  </si>
  <si>
    <t>FAM8A1</t>
  </si>
  <si>
    <t>NXF1</t>
  </si>
  <si>
    <t>SEL1L</t>
  </si>
  <si>
    <t>B4GALT7</t>
  </si>
  <si>
    <t>PEF1</t>
  </si>
  <si>
    <t>ZMYM2</t>
  </si>
  <si>
    <t>COPS7A</t>
  </si>
  <si>
    <t>CLIP2</t>
  </si>
  <si>
    <t>MTFP1</t>
  </si>
  <si>
    <t>TJP2</t>
  </si>
  <si>
    <t>DNAJB4</t>
  </si>
  <si>
    <t>CFDP1</t>
  </si>
  <si>
    <t>ZNF629</t>
  </si>
  <si>
    <t>DAXX</t>
  </si>
  <si>
    <t>FTSJ1</t>
  </si>
  <si>
    <t>VTI1B</t>
  </si>
  <si>
    <t>GAGE2D</t>
  </si>
  <si>
    <t>ADD3</t>
  </si>
  <si>
    <t>LRWD1</t>
  </si>
  <si>
    <t>CGGBP1</t>
  </si>
  <si>
    <t>DKFZp564L232</t>
  </si>
  <si>
    <t>ABCF2</t>
  </si>
  <si>
    <t>MTRF1L</t>
  </si>
  <si>
    <t>TUBGCP4</t>
  </si>
  <si>
    <t>WARS2</t>
  </si>
  <si>
    <t>LIMD1</t>
  </si>
  <si>
    <t>SEC63</t>
  </si>
  <si>
    <t>ZC3H7B</t>
  </si>
  <si>
    <t>ARMCX3</t>
  </si>
  <si>
    <t>SWAP70</t>
  </si>
  <si>
    <t>SUN2</t>
  </si>
  <si>
    <t>SS18L2</t>
  </si>
  <si>
    <t>LAMTOR3</t>
  </si>
  <si>
    <t>AFF4</t>
  </si>
  <si>
    <t>SRP68</t>
  </si>
  <si>
    <t>CHORDC1</t>
  </si>
  <si>
    <t>TBK1</t>
  </si>
  <si>
    <t>SEPT9</t>
  </si>
  <si>
    <t>UBQLN2</t>
  </si>
  <si>
    <t>PCYOX1</t>
  </si>
  <si>
    <t>DDX20</t>
  </si>
  <si>
    <t>SHPK</t>
  </si>
  <si>
    <t>NUFIP1</t>
  </si>
  <si>
    <t>DPP7</t>
  </si>
  <si>
    <t>POLG2</t>
  </si>
  <si>
    <t>TMEM2</t>
  </si>
  <si>
    <t>USP25</t>
  </si>
  <si>
    <t>NARF</t>
  </si>
  <si>
    <t>BCAP29</t>
  </si>
  <si>
    <t>CYB5R1</t>
  </si>
  <si>
    <t>BAIAP2L1</t>
  </si>
  <si>
    <t>ZNHIT2</t>
  </si>
  <si>
    <t>PFDN2</t>
  </si>
  <si>
    <t>GPN3</t>
  </si>
  <si>
    <t>PUF60</t>
  </si>
  <si>
    <t>EMR2</t>
  </si>
  <si>
    <t>NRBP1</t>
  </si>
  <si>
    <t>ENOPH1</t>
  </si>
  <si>
    <t>NDUFA12</t>
  </si>
  <si>
    <t>EIF2B4</t>
  </si>
  <si>
    <t>ATP6V1H</t>
  </si>
  <si>
    <t>IPO11</t>
  </si>
  <si>
    <t>TRMT112</t>
  </si>
  <si>
    <t>FTSJ2</t>
  </si>
  <si>
    <t>LCMT1</t>
  </si>
  <si>
    <t>VPS51</t>
  </si>
  <si>
    <t>BAZ1B</t>
  </si>
  <si>
    <t>ATPIF1</t>
  </si>
  <si>
    <t>AK3</t>
  </si>
  <si>
    <t>SCOC</t>
  </si>
  <si>
    <t>FKBPL</t>
  </si>
  <si>
    <t>LNPEP</t>
  </si>
  <si>
    <t>CNOT7</t>
  </si>
  <si>
    <t>GGT7</t>
  </si>
  <si>
    <t>TRMT6</t>
  </si>
  <si>
    <t>GNPTG</t>
  </si>
  <si>
    <t>TSR3</t>
  </si>
  <si>
    <t>SLC25A13</t>
  </si>
  <si>
    <t>TUBE1</t>
  </si>
  <si>
    <t>DBNL</t>
  </si>
  <si>
    <t>DCTN4</t>
  </si>
  <si>
    <t>CDC23</t>
  </si>
  <si>
    <t>ANAPC7</t>
  </si>
  <si>
    <t>ANAPC4</t>
  </si>
  <si>
    <t>ANAPC2</t>
  </si>
  <si>
    <t>GGA2</t>
  </si>
  <si>
    <t>GGA1</t>
  </si>
  <si>
    <t>STOML2</t>
  </si>
  <si>
    <t>NAGPA</t>
  </si>
  <si>
    <t>CCRN4L</t>
  </si>
  <si>
    <t>VPS28</t>
  </si>
  <si>
    <t>LSM7</t>
  </si>
  <si>
    <t>ING1</t>
  </si>
  <si>
    <t>DBR1</t>
  </si>
  <si>
    <t>FAM208A</t>
  </si>
  <si>
    <t>FEM1B</t>
  </si>
  <si>
    <t>FBXO9</t>
  </si>
  <si>
    <t>AKAP11</t>
  </si>
  <si>
    <t>MRTO4</t>
  </si>
  <si>
    <t>TNIK</t>
  </si>
  <si>
    <t>CPSF3</t>
  </si>
  <si>
    <t>APPL1</t>
  </si>
  <si>
    <t>TLK1</t>
  </si>
  <si>
    <t>GPATCH8</t>
  </si>
  <si>
    <t>RCOR1</t>
  </si>
  <si>
    <t>GTF3C4</t>
  </si>
  <si>
    <t>PACSIN3</t>
  </si>
  <si>
    <t>FBXO5</t>
  </si>
  <si>
    <t>FBXO4</t>
  </si>
  <si>
    <t>ACAD8</t>
  </si>
  <si>
    <t>AMFR</t>
  </si>
  <si>
    <t>AGO2</t>
  </si>
  <si>
    <t>NUP50</t>
  </si>
  <si>
    <t>ZHX1</t>
  </si>
  <si>
    <t>CDV3</t>
  </si>
  <si>
    <t>CNOT11</t>
  </si>
  <si>
    <t>INTS6</t>
  </si>
  <si>
    <t>BAG5</t>
  </si>
  <si>
    <t>RAB21</t>
  </si>
  <si>
    <t>RAB22A</t>
  </si>
  <si>
    <t>TRAPPC2L</t>
  </si>
  <si>
    <t>PSME2</t>
  </si>
  <si>
    <t>TAOK2</t>
  </si>
  <si>
    <t>TRPC5</t>
  </si>
  <si>
    <t>RAB23</t>
  </si>
  <si>
    <t>MCTS1</t>
  </si>
  <si>
    <t>WWC3</t>
  </si>
  <si>
    <t>SLC39A10</t>
  </si>
  <si>
    <t>CCPG1</t>
  </si>
  <si>
    <t>KIDINS220</t>
  </si>
  <si>
    <t>ASAP1</t>
  </si>
  <si>
    <t>ZBTB21</t>
  </si>
  <si>
    <t>ZMIZ1</t>
  </si>
  <si>
    <t>ANKRD50</t>
  </si>
  <si>
    <t>TBC1D24</t>
  </si>
  <si>
    <t>ISY1</t>
  </si>
  <si>
    <t>PPM1H</t>
  </si>
  <si>
    <t>HECTD1</t>
  </si>
  <si>
    <t>ZMYND8</t>
  </si>
  <si>
    <t>CORO1C</t>
  </si>
  <si>
    <t>TPX2</t>
  </si>
  <si>
    <t>NOB1</t>
  </si>
  <si>
    <t>AKAP8L</t>
  </si>
  <si>
    <t>PYCARD</t>
  </si>
  <si>
    <t>ANAPC10</t>
  </si>
  <si>
    <t>ICAM5</t>
  </si>
  <si>
    <t>NFU1</t>
  </si>
  <si>
    <t>PRPF19</t>
  </si>
  <si>
    <t>UBQLN1</t>
  </si>
  <si>
    <t>NENF</t>
  </si>
  <si>
    <t>SNX12</t>
  </si>
  <si>
    <t>SYNRG</t>
  </si>
  <si>
    <t>NDRG2</t>
  </si>
  <si>
    <t>VPS4A</t>
  </si>
  <si>
    <t>G3BP2</t>
  </si>
  <si>
    <t>STUB1</t>
  </si>
  <si>
    <t>PACSIN2</t>
  </si>
  <si>
    <t>MAGED2</t>
  </si>
  <si>
    <t>SNX6</t>
  </si>
  <si>
    <t>DUSP12</t>
  </si>
  <si>
    <t>STX8</t>
  </si>
  <si>
    <t>PSMD13</t>
  </si>
  <si>
    <t>FAF1</t>
  </si>
  <si>
    <t>PROCR</t>
  </si>
  <si>
    <t>PPIE</t>
  </si>
  <si>
    <t>DIMT1</t>
  </si>
  <si>
    <t>TIMELESS</t>
  </si>
  <si>
    <t>COPS3</t>
  </si>
  <si>
    <t>MINPP1</t>
  </si>
  <si>
    <t>WDR3</t>
  </si>
  <si>
    <t>TTF2</t>
  </si>
  <si>
    <t>NSFL1C</t>
  </si>
  <si>
    <t>C19orf53</t>
  </si>
  <si>
    <t>TFR2</t>
  </si>
  <si>
    <t>COG5</t>
  </si>
  <si>
    <t>SLC12A4</t>
  </si>
  <si>
    <t>AP4E1</t>
  </si>
  <si>
    <t>AZI1</t>
  </si>
  <si>
    <t>SCAF8</t>
  </si>
  <si>
    <t>PPP6R1</t>
  </si>
  <si>
    <t>TRIM33</t>
  </si>
  <si>
    <t>SMG5</t>
  </si>
  <si>
    <t>EXOC7</t>
  </si>
  <si>
    <t>USP22</t>
  </si>
  <si>
    <t>USP24</t>
  </si>
  <si>
    <t>MAPRE3</t>
  </si>
  <si>
    <t>HPS5</t>
  </si>
  <si>
    <t>SHOC2</t>
  </si>
  <si>
    <t>SRRM2</t>
  </si>
  <si>
    <t>MGAT4B</t>
  </si>
  <si>
    <t>PA2G4</t>
  </si>
  <si>
    <t>EXO1</t>
  </si>
  <si>
    <t>SPG7</t>
  </si>
  <si>
    <t>BAIAP2</t>
  </si>
  <si>
    <t>GAB2</t>
  </si>
  <si>
    <t>SMC3</t>
  </si>
  <si>
    <t>UBE2D4</t>
  </si>
  <si>
    <t>SH2B3</t>
  </si>
  <si>
    <t>SCML2</t>
  </si>
  <si>
    <t>MTMR6</t>
  </si>
  <si>
    <t>JAG2</t>
  </si>
  <si>
    <t>GNE</t>
  </si>
  <si>
    <t>C14orf166</t>
  </si>
  <si>
    <t>RNF24</t>
  </si>
  <si>
    <t>RUVBL2</t>
  </si>
  <si>
    <t>CDYL</t>
  </si>
  <si>
    <t>PIN4</t>
  </si>
  <si>
    <t>HIGD1A</t>
  </si>
  <si>
    <t>POMP</t>
  </si>
  <si>
    <t>GINS2</t>
  </si>
  <si>
    <t>LZTS1</t>
  </si>
  <si>
    <t>PLAA</t>
  </si>
  <si>
    <t>RUVBL1</t>
  </si>
  <si>
    <t>NUDC</t>
  </si>
  <si>
    <t>BCS1L</t>
  </si>
  <si>
    <t>VDAC3</t>
  </si>
  <si>
    <t>CFL2</t>
  </si>
  <si>
    <t>SLC5A6</t>
  </si>
  <si>
    <t>ASF1A</t>
  </si>
  <si>
    <t>DRG1</t>
  </si>
  <si>
    <t>NCKAP1</t>
  </si>
  <si>
    <t>CNPY2</t>
  </si>
  <si>
    <t>SSX2IP</t>
  </si>
  <si>
    <t>CARD8</t>
  </si>
  <si>
    <t>ATP11B</t>
  </si>
  <si>
    <t>POFUT2</t>
  </si>
  <si>
    <t>DLGAP4</t>
  </si>
  <si>
    <t>STK38L</t>
  </si>
  <si>
    <t>NISCH</t>
  </si>
  <si>
    <t>PIKFYVE</t>
  </si>
  <si>
    <t>WDR37</t>
  </si>
  <si>
    <t>USP20</t>
  </si>
  <si>
    <t>KDM2A</t>
  </si>
  <si>
    <t>DIS3</t>
  </si>
  <si>
    <t>RCL1</t>
  </si>
  <si>
    <t>GSTK1</t>
  </si>
  <si>
    <t>LAMTOR2</t>
  </si>
  <si>
    <t>MRPS28</t>
  </si>
  <si>
    <t>COA3</t>
  </si>
  <si>
    <t>POLR1D</t>
  </si>
  <si>
    <t>TMA7</t>
  </si>
  <si>
    <t>POLDIP2</t>
  </si>
  <si>
    <t>AP3M1</t>
  </si>
  <si>
    <t>MAP3K2</t>
  </si>
  <si>
    <t>LEMD3</t>
  </si>
  <si>
    <t>COG6</t>
  </si>
  <si>
    <t>THRAP3</t>
  </si>
  <si>
    <t>NOP58</t>
  </si>
  <si>
    <t>POLR3K</t>
  </si>
  <si>
    <t>SUGT1</t>
  </si>
  <si>
    <t>MTO1</t>
  </si>
  <si>
    <t>YARS2</t>
  </si>
  <si>
    <t>COQ6</t>
  </si>
  <si>
    <t>AMDHD2</t>
  </si>
  <si>
    <t>ACOT9</t>
  </si>
  <si>
    <t>NOSIP</t>
  </si>
  <si>
    <t>MEMO1</t>
  </si>
  <si>
    <t>TMX2</t>
  </si>
  <si>
    <t>LSM2</t>
  </si>
  <si>
    <t>SH3GLB1</t>
  </si>
  <si>
    <t>NDUFAF1</t>
  </si>
  <si>
    <t>CAB39</t>
  </si>
  <si>
    <t>LUC7L2</t>
  </si>
  <si>
    <t>UBE2J1</t>
  </si>
  <si>
    <t>RBMX2</t>
  </si>
  <si>
    <t>DHRS7</t>
  </si>
  <si>
    <t>MRPS2</t>
  </si>
  <si>
    <t>MOB4</t>
  </si>
  <si>
    <t>SBDS</t>
  </si>
  <si>
    <t>TMED5</t>
  </si>
  <si>
    <t>TMED7</t>
  </si>
  <si>
    <t>SF3B14</t>
  </si>
  <si>
    <t>MRPL11</t>
  </si>
  <si>
    <t>RRP15</t>
  </si>
  <si>
    <t>NOP16</t>
  </si>
  <si>
    <t>TPRKB</t>
  </si>
  <si>
    <t>RNF11</t>
  </si>
  <si>
    <t>PPIL1</t>
  </si>
  <si>
    <t>UFC1</t>
  </si>
  <si>
    <t>FAM96B</t>
  </si>
  <si>
    <t>MSRB2</t>
  </si>
  <si>
    <t>FIS1</t>
  </si>
  <si>
    <t>MRPS23</t>
  </si>
  <si>
    <t>HDGFRP3</t>
  </si>
  <si>
    <t>CHMP3</t>
  </si>
  <si>
    <t>STRAP</t>
  </si>
  <si>
    <t>C22orf28</t>
  </si>
  <si>
    <t>FBXO7</t>
  </si>
  <si>
    <t>RAP2C</t>
  </si>
  <si>
    <t>RABGAP1</t>
  </si>
  <si>
    <t>TMED3</t>
  </si>
  <si>
    <t>TSC22D4</t>
  </si>
  <si>
    <t>ZNF330</t>
  </si>
  <si>
    <t>R3HCC1</t>
  </si>
  <si>
    <t>NOC2L</t>
  </si>
  <si>
    <t>CCDC9</t>
  </si>
  <si>
    <t>CHTOP</t>
  </si>
  <si>
    <t>SAMHD1</t>
  </si>
  <si>
    <t>C2CD2</t>
  </si>
  <si>
    <t>PKP3</t>
  </si>
  <si>
    <t>KNSTRN</t>
  </si>
  <si>
    <t>HBS1L</t>
  </si>
  <si>
    <t>PRKAB1</t>
  </si>
  <si>
    <t>ATP6V0A2</t>
  </si>
  <si>
    <t>TLN1</t>
  </si>
  <si>
    <t>VPRBP</t>
  </si>
  <si>
    <t>FAM115A</t>
  </si>
  <si>
    <t>USP15</t>
  </si>
  <si>
    <t>RAPGEF2</t>
  </si>
  <si>
    <t>TRAF6</t>
  </si>
  <si>
    <t>MAP4K5</t>
  </si>
  <si>
    <t>ATG4B</t>
  </si>
  <si>
    <t>TELO2</t>
  </si>
  <si>
    <t>LAS1L</t>
  </si>
  <si>
    <t>AFG3L2</t>
  </si>
  <si>
    <t>AMMECR1</t>
  </si>
  <si>
    <t>ARIH1</t>
  </si>
  <si>
    <t>LSM4</t>
  </si>
  <si>
    <t>RNF114</t>
  </si>
  <si>
    <t>SAMM50</t>
  </si>
  <si>
    <t>LRRC42</t>
  </si>
  <si>
    <t>PPME1</t>
  </si>
  <si>
    <t>TIMM22</t>
  </si>
  <si>
    <t>KCTD3</t>
  </si>
  <si>
    <t>YTHDF2</t>
  </si>
  <si>
    <t>CTDP1</t>
  </si>
  <si>
    <t>PAXBP1</t>
  </si>
  <si>
    <t>NME7</t>
  </si>
  <si>
    <t>SUPT16H</t>
  </si>
  <si>
    <t>UTP18</t>
  </si>
  <si>
    <t>TIMM10B</t>
  </si>
  <si>
    <t>TIMM9</t>
  </si>
  <si>
    <t>CD2AP</t>
  </si>
  <si>
    <t>ATP6V1D</t>
  </si>
  <si>
    <t>TNPO3</t>
  </si>
  <si>
    <t>TIMM13</t>
  </si>
  <si>
    <t>SRPRB</t>
  </si>
  <si>
    <t>N6AMT1</t>
  </si>
  <si>
    <t>ORC6</t>
  </si>
  <si>
    <t>COL4A3BP</t>
  </si>
  <si>
    <t>GMPPB</t>
  </si>
  <si>
    <t>GTF3C5</t>
  </si>
  <si>
    <t>GTF3C3</t>
  </si>
  <si>
    <t>TRAPPC1</t>
  </si>
  <si>
    <t>TRPV2</t>
  </si>
  <si>
    <t>CDC42BPB</t>
  </si>
  <si>
    <t>RBM8A</t>
  </si>
  <si>
    <t>DNAJC15</t>
  </si>
  <si>
    <t>USP16</t>
  </si>
  <si>
    <t>TSSC4</t>
  </si>
  <si>
    <t>IER3IP1</t>
  </si>
  <si>
    <t>ZNF706</t>
  </si>
  <si>
    <t>SNX9</t>
  </si>
  <si>
    <t>SNX8</t>
  </si>
  <si>
    <t>SNX5</t>
  </si>
  <si>
    <t>FLVCR1</t>
  </si>
  <si>
    <t>NUBP2</t>
  </si>
  <si>
    <t>HEBP2</t>
  </si>
  <si>
    <t>MRFAP1</t>
  </si>
  <si>
    <t>LRRFIP2</t>
  </si>
  <si>
    <t>FHOD1</t>
  </si>
  <si>
    <t>PSAT1</t>
  </si>
  <si>
    <t>SLC25A15</t>
  </si>
  <si>
    <t>RAD54B</t>
  </si>
  <si>
    <t>NPTN</t>
  </si>
  <si>
    <t>CPQ</t>
  </si>
  <si>
    <t>SPIN1</t>
  </si>
  <si>
    <t>ALG5</t>
  </si>
  <si>
    <t>MRPS18B</t>
  </si>
  <si>
    <t>COPG1</t>
  </si>
  <si>
    <t>AUP1</t>
  </si>
  <si>
    <t>FKBP7</t>
  </si>
  <si>
    <t>ARL5A</t>
  </si>
  <si>
    <t>GMEB1</t>
  </si>
  <si>
    <t>CLIC4</t>
  </si>
  <si>
    <t>NFS1</t>
  </si>
  <si>
    <t>C16orf80</t>
  </si>
  <si>
    <t>SAR1B</t>
  </si>
  <si>
    <t>AP4B1</t>
  </si>
  <si>
    <t>ARFGEF2</t>
  </si>
  <si>
    <t>ARFGEF1</t>
  </si>
  <si>
    <t>MAD1L1</t>
  </si>
  <si>
    <t>DYNC1LI1</t>
  </si>
  <si>
    <t>CHCHD2</t>
  </si>
  <si>
    <t>XRCC6BP1</t>
  </si>
  <si>
    <t>EPN1</t>
  </si>
  <si>
    <t>TEX264</t>
  </si>
  <si>
    <t>TAF6L</t>
  </si>
  <si>
    <t>CEPT1</t>
  </si>
  <si>
    <t>PRSS21</t>
  </si>
  <si>
    <t>CSNK1G3</t>
  </si>
  <si>
    <t>SLC30A1</t>
  </si>
  <si>
    <t>SESN1</t>
  </si>
  <si>
    <t>NCOA3</t>
  </si>
  <si>
    <t>NUMBL</t>
  </si>
  <si>
    <t>DDX49</t>
  </si>
  <si>
    <t>CAPN7</t>
  </si>
  <si>
    <t>WASF2</t>
  </si>
  <si>
    <t>MORC2</t>
  </si>
  <si>
    <t>IVNS1ABP</t>
  </si>
  <si>
    <t>MOSPD2</t>
  </si>
  <si>
    <t>PSMD8</t>
  </si>
  <si>
    <t>BMI1</t>
  </si>
  <si>
    <t>RANBP10</t>
  </si>
  <si>
    <t>MAPKAPK5</t>
  </si>
  <si>
    <t>YTHDF3</t>
  </si>
  <si>
    <t>S100A6</t>
  </si>
  <si>
    <t>AASDH</t>
  </si>
  <si>
    <t>DENND4C</t>
  </si>
  <si>
    <t>UBE2E3</t>
  </si>
  <si>
    <t>TCP11L1</t>
  </si>
  <si>
    <t>FBXO2</t>
  </si>
  <si>
    <t>PSMC3</t>
  </si>
  <si>
    <t>ACD</t>
  </si>
  <si>
    <t>A0AVT1</t>
  </si>
  <si>
    <t>A0FGR8-2</t>
  </si>
  <si>
    <t>A0JNW5</t>
  </si>
  <si>
    <t>A0MZ66</t>
  </si>
  <si>
    <t>A0PJW6</t>
  </si>
  <si>
    <t>A1A5A9</t>
  </si>
  <si>
    <t>A1L0T0</t>
  </si>
  <si>
    <t>A2A274</t>
  </si>
  <si>
    <t>A2A2F0</t>
  </si>
  <si>
    <t>A2A2Q9</t>
  </si>
  <si>
    <t>A2A2V1</t>
  </si>
  <si>
    <t>A2A3N6</t>
  </si>
  <si>
    <t>A2RRP1</t>
  </si>
  <si>
    <t>A2RUC4-2</t>
  </si>
  <si>
    <t>A2VDF0-2</t>
  </si>
  <si>
    <t>A3KN83-3</t>
  </si>
  <si>
    <t>A4D126</t>
  </si>
  <si>
    <t>A4D1E9</t>
  </si>
  <si>
    <t>A4D212</t>
  </si>
  <si>
    <t>A4D2B0</t>
  </si>
  <si>
    <t>A4UGR9-2</t>
  </si>
  <si>
    <t>A5YKK6</t>
  </si>
  <si>
    <t>A6NCS9</t>
  </si>
  <si>
    <t>A6ND22</t>
  </si>
  <si>
    <t>A6ND36-2</t>
  </si>
  <si>
    <t>A6NDB9</t>
  </si>
  <si>
    <t>A6NDG6</t>
  </si>
  <si>
    <t>A6NDJ8</t>
  </si>
  <si>
    <t>A6NDU8</t>
  </si>
  <si>
    <t>A6NED2</t>
  </si>
  <si>
    <t>A6NEM2</t>
  </si>
  <si>
    <t>A6NEM5</t>
  </si>
  <si>
    <t>A6NF31</t>
  </si>
  <si>
    <t>A6NFI3</t>
  </si>
  <si>
    <t>A6NFQ2-3</t>
  </si>
  <si>
    <t>A6NFX8</t>
  </si>
  <si>
    <t>A6NG32</t>
  </si>
  <si>
    <t>A6NG51</t>
  </si>
  <si>
    <t>A6NG79</t>
  </si>
  <si>
    <t>A6NGB9</t>
  </si>
  <si>
    <t>A6NGH7</t>
  </si>
  <si>
    <t>A6NGP5</t>
  </si>
  <si>
    <t>A6NGU5</t>
  </si>
  <si>
    <t>A6NHL2-2</t>
  </si>
  <si>
    <t>A6NHN7</t>
  </si>
  <si>
    <t>A6NHR9</t>
  </si>
  <si>
    <t>A6NIH7</t>
  </si>
  <si>
    <t>A6NIW2</t>
  </si>
  <si>
    <t>A6NIZ0</t>
  </si>
  <si>
    <t>A6NJ78</t>
  </si>
  <si>
    <t>A6NJX6</t>
  </si>
  <si>
    <t>A6NK88</t>
  </si>
  <si>
    <t>A6NKD9</t>
  </si>
  <si>
    <t>A6NKF9</t>
  </si>
  <si>
    <t>A6NKZ2</t>
  </si>
  <si>
    <t>A6NLH6</t>
  </si>
  <si>
    <t>A6NMH6</t>
  </si>
  <si>
    <t>A6NMQ1</t>
  </si>
  <si>
    <t>A6NN40</t>
  </si>
  <si>
    <t>A6PVN5</t>
  </si>
  <si>
    <t>A6PW58</t>
  </si>
  <si>
    <t>A8K0B5</t>
  </si>
  <si>
    <t>A8K0M9</t>
  </si>
  <si>
    <t>A8MPP1</t>
  </si>
  <si>
    <t>A8MPS7</t>
  </si>
  <si>
    <t>A8MRB1</t>
  </si>
  <si>
    <t>A8MT02</t>
  </si>
  <si>
    <t>A8MT40</t>
  </si>
  <si>
    <t>A8MT87</t>
  </si>
  <si>
    <t>A8MTK3</t>
  </si>
  <si>
    <t>A8MTP9</t>
  </si>
  <si>
    <t>A8MTY9</t>
  </si>
  <si>
    <t>A8MTZ6</t>
  </si>
  <si>
    <t>A8MUA9</t>
  </si>
  <si>
    <t>A8MUB1</t>
  </si>
  <si>
    <t>A8MUF7</t>
  </si>
  <si>
    <t>A8MUM1</t>
  </si>
  <si>
    <t>A8MVF6</t>
  </si>
  <si>
    <t>A8MVN1</t>
  </si>
  <si>
    <t>A8MVZ6</t>
  </si>
  <si>
    <t>A8MW61</t>
  </si>
  <si>
    <t>A8MWY0</t>
  </si>
  <si>
    <t>A8MXB9</t>
  </si>
  <si>
    <t>A8MXE8</t>
  </si>
  <si>
    <t>A8MXP9</t>
  </si>
  <si>
    <t>A8MXQ1</t>
  </si>
  <si>
    <t>A8MXV4</t>
  </si>
  <si>
    <t>A9UHW6</t>
  </si>
  <si>
    <t>A9Z1X7</t>
  </si>
  <si>
    <t>B0FLL2</t>
  </si>
  <si>
    <t>B0QXZ5</t>
  </si>
  <si>
    <t>B0QY89</t>
  </si>
  <si>
    <t>B0QY95</t>
  </si>
  <si>
    <t>B0QYI3</t>
  </si>
  <si>
    <t>B0QYK0</t>
  </si>
  <si>
    <t>B0UX83</t>
  </si>
  <si>
    <t>B0UXB6</t>
  </si>
  <si>
    <t>B0UZY3</t>
  </si>
  <si>
    <t>B0YIW2</t>
  </si>
  <si>
    <t>B1AH87</t>
  </si>
  <si>
    <t>B1AHD1</t>
  </si>
  <si>
    <t>B1AJY7</t>
  </si>
  <si>
    <t>B1AK13</t>
  </si>
  <si>
    <t>B1AK44</t>
  </si>
  <si>
    <t>B1AKD8</t>
  </si>
  <si>
    <t>B1AKJ5</t>
  </si>
  <si>
    <t>B1AKJ6</t>
  </si>
  <si>
    <t>B1AKL4</t>
  </si>
  <si>
    <t>B1AL69</t>
  </si>
  <si>
    <t>B1ALM5</t>
  </si>
  <si>
    <t>B1AMF0</t>
  </si>
  <si>
    <t>B1AMS2</t>
  </si>
  <si>
    <t>B1AMU7</t>
  </si>
  <si>
    <t>B1AMW1</t>
  </si>
  <si>
    <t>B1AN99</t>
  </si>
  <si>
    <t>B1ANH0</t>
  </si>
  <si>
    <t>B1APM4</t>
  </si>
  <si>
    <t>B1AQP1</t>
  </si>
  <si>
    <t>B1AVQ5</t>
  </si>
  <si>
    <t>B1B1H9</t>
  </si>
  <si>
    <t>B2WTI3</t>
  </si>
  <si>
    <t>B3KPJ4</t>
  </si>
  <si>
    <t>B3KQ25</t>
  </si>
  <si>
    <t>B3KQC5</t>
  </si>
  <si>
    <t>B3KS98</t>
  </si>
  <si>
    <t>B3KSH1</t>
  </si>
  <si>
    <t>B3KSI9</t>
  </si>
  <si>
    <t>B3KSP0</t>
  </si>
  <si>
    <t>B3KTR6</t>
  </si>
  <si>
    <t>B3KUK2</t>
  </si>
  <si>
    <t>B3KVH8</t>
  </si>
  <si>
    <t>B3KWN8</t>
  </si>
  <si>
    <t>B3KXX3</t>
  </si>
  <si>
    <t>B3KY83</t>
  </si>
  <si>
    <t>B3V0L1</t>
  </si>
  <si>
    <t>B4DDF4</t>
  </si>
  <si>
    <t>B4DDM6</t>
  </si>
  <si>
    <t>B4DDY8</t>
  </si>
  <si>
    <t>B4DE11</t>
  </si>
  <si>
    <t>B4DE16</t>
  </si>
  <si>
    <t>B4DE92</t>
  </si>
  <si>
    <t>B4DEQ4</t>
  </si>
  <si>
    <t>B4DEX5</t>
  </si>
  <si>
    <t>B4DEZ3</t>
  </si>
  <si>
    <t>B4DF64</t>
  </si>
  <si>
    <t>B4DFF2</t>
  </si>
  <si>
    <t>B4DFI9</t>
  </si>
  <si>
    <t>B4DFQ4</t>
  </si>
  <si>
    <t>B4DFR2</t>
  </si>
  <si>
    <t>B4DGM3</t>
  </si>
  <si>
    <t>B4DGX2</t>
  </si>
  <si>
    <t>B4DH53</t>
  </si>
  <si>
    <t>B4DH70</t>
  </si>
  <si>
    <t>B4DHW1</t>
  </si>
  <si>
    <t>B4DIG7</t>
  </si>
  <si>
    <t>B4DJA5</t>
  </si>
  <si>
    <t>B4DJP7</t>
  </si>
  <si>
    <t>B4DJV2</t>
  </si>
  <si>
    <t>B4DK44</t>
  </si>
  <si>
    <t>B4DKF9</t>
  </si>
  <si>
    <t>B4DKL4</t>
  </si>
  <si>
    <t>B4DL54</t>
  </si>
  <si>
    <t>B4DL79</t>
  </si>
  <si>
    <t>B4DLH2</t>
  </si>
  <si>
    <t>B4DLN1</t>
  </si>
  <si>
    <t>B4DLR8</t>
  </si>
  <si>
    <t>B4DLT4</t>
  </si>
  <si>
    <t>B4DLZ9</t>
  </si>
  <si>
    <t>B4DMX0</t>
  </si>
  <si>
    <t>B4DN34</t>
  </si>
  <si>
    <t>B4DN73</t>
  </si>
  <si>
    <t>B4DNX9</t>
  </si>
  <si>
    <t>B4DP21</t>
  </si>
  <si>
    <t>B4DPY5</t>
  </si>
  <si>
    <t>B4DPY8</t>
  </si>
  <si>
    <t>B4DQI6</t>
  </si>
  <si>
    <t>B4DQJ8</t>
  </si>
  <si>
    <t>B4DR52</t>
  </si>
  <si>
    <t>B4DR61</t>
  </si>
  <si>
    <t>B4DR80</t>
  </si>
  <si>
    <t>B4DRL9</t>
  </si>
  <si>
    <t>B4DRS7</t>
  </si>
  <si>
    <t>B4DSD4</t>
  </si>
  <si>
    <t>B4DSF9</t>
  </si>
  <si>
    <t>B4DSS5</t>
  </si>
  <si>
    <t>B4DSS8</t>
  </si>
  <si>
    <t>B4DT55</t>
  </si>
  <si>
    <t>B4DT77</t>
  </si>
  <si>
    <t>B4DTA3</t>
  </si>
  <si>
    <t>B4DTU4</t>
  </si>
  <si>
    <t>B4DUE9</t>
  </si>
  <si>
    <t>B4DUS9</t>
  </si>
  <si>
    <t>B4DVE7</t>
  </si>
  <si>
    <t>B4DVT3</t>
  </si>
  <si>
    <t>B4DVY1</t>
  </si>
  <si>
    <t>B4DVZ6</t>
  </si>
  <si>
    <t>B4DWI1</t>
  </si>
  <si>
    <t>B4DXZ6</t>
  </si>
  <si>
    <t>B4DY13</t>
  </si>
  <si>
    <t>B4DY26</t>
  </si>
  <si>
    <t>B4DYB4</t>
  </si>
  <si>
    <t>B4DYI6</t>
  </si>
  <si>
    <t>B4DZ85</t>
  </si>
  <si>
    <t>B4DZG7</t>
  </si>
  <si>
    <t>B4DZH6</t>
  </si>
  <si>
    <t>B4E0T2</t>
  </si>
  <si>
    <t>B4E0T7</t>
  </si>
  <si>
    <t>B4E0V0</t>
  </si>
  <si>
    <t>B4E107</t>
  </si>
  <si>
    <t>B4E1J0</t>
  </si>
  <si>
    <t>B4E1Q4</t>
  </si>
  <si>
    <t>B4E241</t>
  </si>
  <si>
    <t>B4E2B6</t>
  </si>
  <si>
    <t>B4E2V5</t>
  </si>
  <si>
    <t>B4E2W0</t>
  </si>
  <si>
    <t>B4E2X3</t>
  </si>
  <si>
    <t>B4E3E5</t>
  </si>
  <si>
    <t>B5MBW9</t>
  </si>
  <si>
    <t>B5MBX0</t>
  </si>
  <si>
    <t>B5MBX5</t>
  </si>
  <si>
    <t>B5MCA4</t>
  </si>
  <si>
    <t>B5MCF9</t>
  </si>
  <si>
    <t>B5MD58</t>
  </si>
  <si>
    <t>B5MDE0</t>
  </si>
  <si>
    <t>B5MDF5</t>
  </si>
  <si>
    <t>B5MDU6</t>
  </si>
  <si>
    <t>B5ME25</t>
  </si>
  <si>
    <t>B7WNQ9</t>
  </si>
  <si>
    <t>B7WP27</t>
  </si>
  <si>
    <t>B7WPE2</t>
  </si>
  <si>
    <t>B7WPG3</t>
  </si>
  <si>
    <t>B7WPL0</t>
  </si>
  <si>
    <t>B7Z254</t>
  </si>
  <si>
    <t>B7Z2B2</t>
  </si>
  <si>
    <t>B7Z2Y5</t>
  </si>
  <si>
    <t>B7Z3I9</t>
  </si>
  <si>
    <t>B7Z3P1</t>
  </si>
  <si>
    <t>B7Z3R2</t>
  </si>
  <si>
    <t>B7Z463</t>
  </si>
  <si>
    <t>B7Z4K6</t>
  </si>
  <si>
    <t>B7Z4R0</t>
  </si>
  <si>
    <t>B7Z4W5</t>
  </si>
  <si>
    <t>B7Z589</t>
  </si>
  <si>
    <t>B7Z5G4</t>
  </si>
  <si>
    <t>B7Z5W1</t>
  </si>
  <si>
    <t>B7Z637</t>
  </si>
  <si>
    <t>B7Z6B8</t>
  </si>
  <si>
    <t>B7Z6L5</t>
  </si>
  <si>
    <t>B7Z6M4</t>
  </si>
  <si>
    <t>B7Z7F3</t>
  </si>
  <si>
    <t>B7Z815</t>
  </si>
  <si>
    <t>B7Z817</t>
  </si>
  <si>
    <t>B7Z8H2</t>
  </si>
  <si>
    <t>B7Z9C6</t>
  </si>
  <si>
    <t>B7Z9I3</t>
  </si>
  <si>
    <t>B7Z9S8</t>
  </si>
  <si>
    <t>B7Z9U0</t>
  </si>
  <si>
    <t>B7ZC38</t>
  </si>
  <si>
    <t>B7ZKK9</t>
  </si>
  <si>
    <t>B7ZKQ9</t>
  </si>
  <si>
    <t>B7ZKW8</t>
  </si>
  <si>
    <t>B7ZL88</t>
  </si>
  <si>
    <t>B7ZLP8</t>
  </si>
  <si>
    <t>B7ZLZ2</t>
  </si>
  <si>
    <t>B8X2Z3</t>
  </si>
  <si>
    <t>B8ZZD4</t>
  </si>
  <si>
    <t>B8ZZN6</t>
  </si>
  <si>
    <t>B8ZZQ6</t>
  </si>
  <si>
    <t>B8ZZT9</t>
  </si>
  <si>
    <t>B8ZZU6</t>
  </si>
  <si>
    <t>B8ZZY2</t>
  </si>
  <si>
    <t>B9A018</t>
  </si>
  <si>
    <t>B9A054</t>
  </si>
  <si>
    <t>B9ZVM7</t>
  </si>
  <si>
    <t>C0H5Y7</t>
  </si>
  <si>
    <t>C1IDX9</t>
  </si>
  <si>
    <t>C6GKU9</t>
  </si>
  <si>
    <t>C9IYZ1</t>
  </si>
  <si>
    <t>C9IZP5</t>
  </si>
  <si>
    <t>C9J0A7</t>
  </si>
  <si>
    <t>C9J0I9</t>
  </si>
  <si>
    <t>C9J0K6</t>
  </si>
  <si>
    <t>C9J0V9</t>
  </si>
  <si>
    <t>C9J1X0</t>
  </si>
  <si>
    <t>C9J1X3</t>
  </si>
  <si>
    <t>C9J212</t>
  </si>
  <si>
    <t>C9J2P0</t>
  </si>
  <si>
    <t>C9J2P9</t>
  </si>
  <si>
    <t>C9J2U4</t>
  </si>
  <si>
    <t>C9J2V2</t>
  </si>
  <si>
    <t>C9J2Y9</t>
  </si>
  <si>
    <t>C9J3M4</t>
  </si>
  <si>
    <t>C9J406</t>
  </si>
  <si>
    <t>C9J4Z0</t>
  </si>
  <si>
    <t>C9J4Z3</t>
  </si>
  <si>
    <t>C9J5C3</t>
  </si>
  <si>
    <t>C9J5J4</t>
  </si>
  <si>
    <t>C9J5N1</t>
  </si>
  <si>
    <t>C9J5X1</t>
  </si>
  <si>
    <t>C9J6W2</t>
  </si>
  <si>
    <t>C9J719</t>
  </si>
  <si>
    <t>C9J7E8</t>
  </si>
  <si>
    <t>C9J7H8</t>
  </si>
  <si>
    <t>C9J7K9</t>
  </si>
  <si>
    <t>C9J7Z4</t>
  </si>
  <si>
    <t>C9J815</t>
  </si>
  <si>
    <t>C9J8Q5</t>
  </si>
  <si>
    <t>C9J9K3</t>
  </si>
  <si>
    <t>C9JA08</t>
  </si>
  <si>
    <t>C9JA28</t>
  </si>
  <si>
    <t>C9JAB2</t>
  </si>
  <si>
    <t>C9JAX1</t>
  </si>
  <si>
    <t>C9JB13</t>
  </si>
  <si>
    <t>C9JBB3</t>
  </si>
  <si>
    <t>C9JBL1</t>
  </si>
  <si>
    <t>C9JBT1</t>
  </si>
  <si>
    <t>C9JC99</t>
  </si>
  <si>
    <t>C9JCC6</t>
  </si>
  <si>
    <t>C9JDG0</t>
  </si>
  <si>
    <t>C9JE12</t>
  </si>
  <si>
    <t>C9JE98</t>
  </si>
  <si>
    <t>C9JEL3</t>
  </si>
  <si>
    <t>C9JFB2</t>
  </si>
  <si>
    <t>C9JFE4</t>
  </si>
  <si>
    <t>C9JFR7</t>
  </si>
  <si>
    <t>C9JG41</t>
  </si>
  <si>
    <t>C9JG63</t>
  </si>
  <si>
    <t>C9JG97</t>
  </si>
  <si>
    <t>C9JGD4</t>
  </si>
  <si>
    <t>C9JIE4</t>
  </si>
  <si>
    <t>C9JIF9</t>
  </si>
  <si>
    <t>C9JIZ6</t>
  </si>
  <si>
    <t>C9JJN9</t>
  </si>
  <si>
    <t>C9JJV6</t>
  </si>
  <si>
    <t>C9JK45</t>
  </si>
  <si>
    <t>C9JKC7</t>
  </si>
  <si>
    <t>C9JKQ2</t>
  </si>
  <si>
    <t>C9JKQ7</t>
  </si>
  <si>
    <t>C9JLU1</t>
  </si>
  <si>
    <t>C9JLV4</t>
  </si>
  <si>
    <t>C9JMZ9</t>
  </si>
  <si>
    <t>C9JNE2</t>
  </si>
  <si>
    <t>C9JP00</t>
  </si>
  <si>
    <t>C9JP16</t>
  </si>
  <si>
    <t>C9JPP2</t>
  </si>
  <si>
    <t>C9JQ41</t>
  </si>
  <si>
    <t>C9JQB1</t>
  </si>
  <si>
    <t>C9JQV3</t>
  </si>
  <si>
    <t>C9JR56</t>
  </si>
  <si>
    <t>C9JRY4</t>
  </si>
  <si>
    <t>C9JRZ6</t>
  </si>
  <si>
    <t>C9JSG1</t>
  </si>
  <si>
    <t>C9JT44</t>
  </si>
  <si>
    <t>C9JTX5</t>
  </si>
  <si>
    <t>C9JUP7</t>
  </si>
  <si>
    <t>C9JV08</t>
  </si>
  <si>
    <t>C9JV54</t>
  </si>
  <si>
    <t>C9JVP0</t>
  </si>
  <si>
    <t>C9JVW0</t>
  </si>
  <si>
    <t>C9JXB8</t>
  </si>
  <si>
    <t>C9JY06</t>
  </si>
  <si>
    <t>C9JYK5</t>
  </si>
  <si>
    <t>C9JYN0</t>
  </si>
  <si>
    <t>C9JZB0</t>
  </si>
  <si>
    <t>C9JZG2</t>
  </si>
  <si>
    <t>C9JZR4</t>
  </si>
  <si>
    <t>C9JZY6</t>
  </si>
  <si>
    <t>C9K0I0</t>
  </si>
  <si>
    <t>C9K0X5</t>
  </si>
  <si>
    <t>D3DTZ5</t>
  </si>
  <si>
    <t>D3DWC4</t>
  </si>
  <si>
    <t>D3YTB1</t>
  </si>
  <si>
    <t>D3YTB5</t>
  </si>
  <si>
    <t>D3YTG6</t>
  </si>
  <si>
    <t>D3YTI9</t>
  </si>
  <si>
    <t>D6R941</t>
  </si>
  <si>
    <t>D6R968</t>
  </si>
  <si>
    <t>D6R9P3</t>
  </si>
  <si>
    <t>D6R9U7</t>
  </si>
  <si>
    <t>D6R9Z7</t>
  </si>
  <si>
    <t>D6RAG3</t>
  </si>
  <si>
    <t>D6RAM3</t>
  </si>
  <si>
    <t>D6RAR3</t>
  </si>
  <si>
    <t>D6RBS5</t>
  </si>
  <si>
    <t>D6RBW1</t>
  </si>
  <si>
    <t>D6RCD0</t>
  </si>
  <si>
    <t>D6RCM8</t>
  </si>
  <si>
    <t>D6RCN9</t>
  </si>
  <si>
    <t>D6RCQ0</t>
  </si>
  <si>
    <t>D6RCQ8</t>
  </si>
  <si>
    <t>D6RD25</t>
  </si>
  <si>
    <t>D6RDK6</t>
  </si>
  <si>
    <t>D6RDX3</t>
  </si>
  <si>
    <t>D6REA0</t>
  </si>
  <si>
    <t>D6REL0</t>
  </si>
  <si>
    <t>D6REM4</t>
  </si>
  <si>
    <t>D6RER8</t>
  </si>
  <si>
    <t>D6REX3</t>
  </si>
  <si>
    <t>D6REX9</t>
  </si>
  <si>
    <t>D6RF48</t>
  </si>
  <si>
    <t>D6RF62</t>
  </si>
  <si>
    <t>D6RFG8</t>
  </si>
  <si>
    <t>D6RFH4</t>
  </si>
  <si>
    <t>D6RGI3</t>
  </si>
  <si>
    <t>D6RGK9</t>
  </si>
  <si>
    <t>D6RHD3</t>
  </si>
  <si>
    <t>D6RHI7</t>
  </si>
  <si>
    <t>D6RHI9</t>
  </si>
  <si>
    <t>D6RIE3</t>
  </si>
  <si>
    <t>D6RIU2</t>
  </si>
  <si>
    <t>D6RIZ4</t>
  </si>
  <si>
    <t>D6RJ07</t>
  </si>
  <si>
    <t>D6RJ90</t>
  </si>
  <si>
    <t>E2QRD0</t>
  </si>
  <si>
    <t>E2QRD4</t>
  </si>
  <si>
    <t>E2QRF9</t>
  </si>
  <si>
    <t>E5RFJ1</t>
  </si>
  <si>
    <t>E5RG13</t>
  </si>
  <si>
    <t>E5RG17</t>
  </si>
  <si>
    <t>E5RGQ3</t>
  </si>
  <si>
    <t>E5RGT6</t>
  </si>
  <si>
    <t>E5RGX5</t>
  </si>
  <si>
    <t>E5RGY0</t>
  </si>
  <si>
    <t>E5RH36</t>
  </si>
  <si>
    <t>E5RHA7</t>
  </si>
  <si>
    <t>E5RHC1</t>
  </si>
  <si>
    <t>E5RHG8</t>
  </si>
  <si>
    <t>E5RHG9</t>
  </si>
  <si>
    <t>E5RHT1</t>
  </si>
  <si>
    <t>E5RHV2</t>
  </si>
  <si>
    <t>E5RI99</t>
  </si>
  <si>
    <t>E5RIA0</t>
  </si>
  <si>
    <t>E5RIH5</t>
  </si>
  <si>
    <t>E5RIJ0</t>
  </si>
  <si>
    <t>E5RIP7</t>
  </si>
  <si>
    <t>E5RIY0</t>
  </si>
  <si>
    <t>E5RJ08</t>
  </si>
  <si>
    <t>E5RJ86</t>
  </si>
  <si>
    <t>E5RJ97</t>
  </si>
  <si>
    <t>E5RJ99</t>
  </si>
  <si>
    <t>E5RJD2</t>
  </si>
  <si>
    <t>E5RJI7</t>
  </si>
  <si>
    <t>E5RJR5</t>
  </si>
  <si>
    <t>E5RK62</t>
  </si>
  <si>
    <t>E5RK82</t>
  </si>
  <si>
    <t>E7EM50</t>
  </si>
  <si>
    <t>E7EM64</t>
  </si>
  <si>
    <t>E7EM95</t>
  </si>
  <si>
    <t>E7EMB6</t>
  </si>
  <si>
    <t>E7EMM4</t>
  </si>
  <si>
    <t>E7EMX7</t>
  </si>
  <si>
    <t>E7EN32</t>
  </si>
  <si>
    <t>E7EN73</t>
  </si>
  <si>
    <t>E7EN86</t>
  </si>
  <si>
    <t>E7ENA9</t>
  </si>
  <si>
    <t>E7ENK0</t>
  </si>
  <si>
    <t>E7ENN3</t>
  </si>
  <si>
    <t>E7ENU4</t>
  </si>
  <si>
    <t>E7ENX6</t>
  </si>
  <si>
    <t>E7EP72</t>
  </si>
  <si>
    <t>E7EPB3</t>
  </si>
  <si>
    <t>E7EPD0</t>
  </si>
  <si>
    <t>E7EPL4</t>
  </si>
  <si>
    <t>E7EPN9</t>
  </si>
  <si>
    <t>E7EPP7</t>
  </si>
  <si>
    <t>E7EPT4</t>
  </si>
  <si>
    <t>E7EPV7</t>
  </si>
  <si>
    <t>E7EPW5</t>
  </si>
  <si>
    <t>E7EPY1</t>
  </si>
  <si>
    <t>E7EQ12</t>
  </si>
  <si>
    <t>E7EQ29</t>
  </si>
  <si>
    <t>E7EQ69</t>
  </si>
  <si>
    <t>E7EQE7</t>
  </si>
  <si>
    <t>E7EQI7</t>
  </si>
  <si>
    <t>E7EQJ0</t>
  </si>
  <si>
    <t>E7EQN6</t>
  </si>
  <si>
    <t>E7EQR8</t>
  </si>
  <si>
    <t>E7EQS5</t>
  </si>
  <si>
    <t>E7EQS8</t>
  </si>
  <si>
    <t>E7EQT4</t>
  </si>
  <si>
    <t>E7EQV9</t>
  </si>
  <si>
    <t>E7ER68</t>
  </si>
  <si>
    <t>E7ER77</t>
  </si>
  <si>
    <t>E7ERB7</t>
  </si>
  <si>
    <t>E7ERC6</t>
  </si>
  <si>
    <t>E7ERL6</t>
  </si>
  <si>
    <t>E7ERS3</t>
  </si>
  <si>
    <t>E7ERW0</t>
  </si>
  <si>
    <t>E7ES43</t>
  </si>
  <si>
    <t>E7ES96</t>
  </si>
  <si>
    <t>E7ESC6</t>
  </si>
  <si>
    <t>E7ESD2</t>
  </si>
  <si>
    <t>E7ESU4</t>
  </si>
  <si>
    <t>E7ESU7</t>
  </si>
  <si>
    <t>E7ESZ7</t>
  </si>
  <si>
    <t>E7ET15</t>
  </si>
  <si>
    <t>E7ET25</t>
  </si>
  <si>
    <t>E7ET49</t>
  </si>
  <si>
    <t>E7ET89</t>
  </si>
  <si>
    <t>E7ETI8</t>
  </si>
  <si>
    <t>E7ETK0</t>
  </si>
  <si>
    <t>E7ETM6</t>
  </si>
  <si>
    <t>E7ETY4</t>
  </si>
  <si>
    <t>E7ETZ4</t>
  </si>
  <si>
    <t>E7EU19</t>
  </si>
  <si>
    <t>E7EU23</t>
  </si>
  <si>
    <t>E7EU24</t>
  </si>
  <si>
    <t>E7EU96</t>
  </si>
  <si>
    <t>E7EUC7</t>
  </si>
  <si>
    <t>E7EUH9</t>
  </si>
  <si>
    <t>E7EUL7</t>
  </si>
  <si>
    <t>E7EUM5</t>
  </si>
  <si>
    <t>E7EUN2</t>
  </si>
  <si>
    <t>E7EUU1</t>
  </si>
  <si>
    <t>E7EUY3</t>
  </si>
  <si>
    <t>E7EV43</t>
  </si>
  <si>
    <t>E7EV46</t>
  </si>
  <si>
    <t>E7EV56</t>
  </si>
  <si>
    <t>E7EV99</t>
  </si>
  <si>
    <t>E7EVA0</t>
  </si>
  <si>
    <t>E7EVC7</t>
  </si>
  <si>
    <t>E7EVH7</t>
  </si>
  <si>
    <t>E7EVH9</t>
  </si>
  <si>
    <t>E7EVK2</t>
  </si>
  <si>
    <t>E7EVM2</t>
  </si>
  <si>
    <t>E7EVZ2</t>
  </si>
  <si>
    <t>E7EW05</t>
  </si>
  <si>
    <t>E7EW20</t>
  </si>
  <si>
    <t>E7EW32</t>
  </si>
  <si>
    <t>E7EWP0</t>
  </si>
  <si>
    <t>E7EWQ5</t>
  </si>
  <si>
    <t>E7EX17</t>
  </si>
  <si>
    <t>E7EX73</t>
  </si>
  <si>
    <t>E7EX90</t>
  </si>
  <si>
    <t>E9PAK5</t>
  </si>
  <si>
    <t>E9PAL9</t>
  </si>
  <si>
    <t>E9PAU2</t>
  </si>
  <si>
    <t>E9PB14</t>
  </si>
  <si>
    <t>E9PB61</t>
  </si>
  <si>
    <t>E9PC15</t>
  </si>
  <si>
    <t>E9PC26</t>
  </si>
  <si>
    <t>E9PC28</t>
  </si>
  <si>
    <t>E9PC74</t>
  </si>
  <si>
    <t>E9PCH4</t>
  </si>
  <si>
    <t>E9PCV0</t>
  </si>
  <si>
    <t>E9PCW1</t>
  </si>
  <si>
    <t>E9PCY7</t>
  </si>
  <si>
    <t>E9PD10</t>
  </si>
  <si>
    <t>E9PD50</t>
  </si>
  <si>
    <t>E9PD56</t>
  </si>
  <si>
    <t>E9PD90</t>
  </si>
  <si>
    <t>E9PDE4</t>
  </si>
  <si>
    <t>E9PDJ7</t>
  </si>
  <si>
    <t>E9PDQ5</t>
  </si>
  <si>
    <t>E9PEE8</t>
  </si>
  <si>
    <t>E9PEN8</t>
  </si>
  <si>
    <t>E9PER6</t>
  </si>
  <si>
    <t>E9PEZ3</t>
  </si>
  <si>
    <t>E9PF10</t>
  </si>
  <si>
    <t>E9PF18</t>
  </si>
  <si>
    <t>E9PF19</t>
  </si>
  <si>
    <t>E9PF74</t>
  </si>
  <si>
    <t>E9PFK9</t>
  </si>
  <si>
    <t>E9PFR3</t>
  </si>
  <si>
    <t>E9PFZ1</t>
  </si>
  <si>
    <t>E9PG22</t>
  </si>
  <si>
    <t>E9PGQ0</t>
  </si>
  <si>
    <t>E9PGT1</t>
  </si>
  <si>
    <t>E9PGT3</t>
  </si>
  <si>
    <t>E9PGT6</t>
  </si>
  <si>
    <t>E9PGW7</t>
  </si>
  <si>
    <t>E9PH29</t>
  </si>
  <si>
    <t>E9PH64</t>
  </si>
  <si>
    <t>E9PH99</t>
  </si>
  <si>
    <t>E9PHF7</t>
  </si>
  <si>
    <t>E9PHG5</t>
  </si>
  <si>
    <t>E9PHM2</t>
  </si>
  <si>
    <t>E9PI60</t>
  </si>
  <si>
    <t>E9PIB9</t>
  </si>
  <si>
    <t>E9PIE4</t>
  </si>
  <si>
    <t>E9PIR7</t>
  </si>
  <si>
    <t>E9PJ64</t>
  </si>
  <si>
    <t>E9PJ81</t>
  </si>
  <si>
    <t>E9PJB8</t>
  </si>
  <si>
    <t>E9PJD7</t>
  </si>
  <si>
    <t>E9PJF5</t>
  </si>
  <si>
    <t>E9PJK1</t>
  </si>
  <si>
    <t>E9PJM3</t>
  </si>
  <si>
    <t>E9PK91</t>
  </si>
  <si>
    <t>E9PKA7</t>
  </si>
  <si>
    <t>E9PKG1</t>
  </si>
  <si>
    <t>E9PKP7</t>
  </si>
  <si>
    <t>E9PKT4</t>
  </si>
  <si>
    <t>E9PKV2</t>
  </si>
  <si>
    <t>E9PKV8</t>
  </si>
  <si>
    <t>E9PKZ0</t>
  </si>
  <si>
    <t>E9PL01</t>
  </si>
  <si>
    <t>E9PL17</t>
  </si>
  <si>
    <t>E9PL22</t>
  </si>
  <si>
    <t>E9PL33</t>
  </si>
  <si>
    <t>E9PL57</t>
  </si>
  <si>
    <t>E9PL69</t>
  </si>
  <si>
    <t>E9PLD3</t>
  </si>
  <si>
    <t>E9PLJ2</t>
  </si>
  <si>
    <t>E9PLK3</t>
  </si>
  <si>
    <t>E9PLL6</t>
  </si>
  <si>
    <t>E9PLX2</t>
  </si>
  <si>
    <t>E9PLY5</t>
  </si>
  <si>
    <t>E9PM19</t>
  </si>
  <si>
    <t>E9PM46</t>
  </si>
  <si>
    <t>E9PM92</t>
  </si>
  <si>
    <t>E9PMJ2</t>
  </si>
  <si>
    <t>E9PMQ6</t>
  </si>
  <si>
    <t>E9PMR4</t>
  </si>
  <si>
    <t>E9PMS3</t>
  </si>
  <si>
    <t>E9PMS6</t>
  </si>
  <si>
    <t>E9PN89</t>
  </si>
  <si>
    <t>E9PND3</t>
  </si>
  <si>
    <t>E9PNK6</t>
  </si>
  <si>
    <t>E9PNN3</t>
  </si>
  <si>
    <t>E9PNP3</t>
  </si>
  <si>
    <t>E9PNT2</t>
  </si>
  <si>
    <t>E9PNW4</t>
  </si>
  <si>
    <t>E9PPM8</t>
  </si>
  <si>
    <t>E9PPZ9</t>
  </si>
  <si>
    <t>E9PQ59</t>
  </si>
  <si>
    <t>E9PQY3</t>
  </si>
  <si>
    <t>E9PR30</t>
  </si>
  <si>
    <t>E9PR76</t>
  </si>
  <si>
    <t>E9PRA1</t>
  </si>
  <si>
    <t>E9PRR8</t>
  </si>
  <si>
    <t>E9PRY8</t>
  </si>
  <si>
    <t>E9PS00</t>
  </si>
  <si>
    <t>E9PS17</t>
  </si>
  <si>
    <t>E9PS38</t>
  </si>
  <si>
    <t>E9PSI1</t>
  </si>
  <si>
    <t>F2Z2I2</t>
  </si>
  <si>
    <t>F2Z2Q4</t>
  </si>
  <si>
    <t>F2Z2U8</t>
  </si>
  <si>
    <t>F2Z2V0</t>
  </si>
  <si>
    <t>F2Z2W7</t>
  </si>
  <si>
    <t>F2Z2X4</t>
  </si>
  <si>
    <t>F2Z3A9</t>
  </si>
  <si>
    <t>F5GWD3</t>
  </si>
  <si>
    <t>F5GWH5</t>
  </si>
  <si>
    <t>F5GWI4</t>
  </si>
  <si>
    <t>F5GWI9</t>
  </si>
  <si>
    <t>F5GWK5</t>
  </si>
  <si>
    <t>F5GWT4</t>
  </si>
  <si>
    <t>F5GWT8</t>
  </si>
  <si>
    <t>F5GWU7</t>
  </si>
  <si>
    <t>F5GWX5</t>
  </si>
  <si>
    <t>F5GX09</t>
  </si>
  <si>
    <t>F5GX68</t>
  </si>
  <si>
    <t>F5GX82</t>
  </si>
  <si>
    <t>F5GXC8</t>
  </si>
  <si>
    <t>F5GXF9</t>
  </si>
  <si>
    <t>F5GXK8</t>
  </si>
  <si>
    <t>F5GXX5</t>
  </si>
  <si>
    <t>F5GXY5</t>
  </si>
  <si>
    <t>F5GY92</t>
  </si>
  <si>
    <t>F5GY99</t>
  </si>
  <si>
    <t>F5GYC1</t>
  </si>
  <si>
    <t>F5GYC2</t>
  </si>
  <si>
    <t>F5GYJ5</t>
  </si>
  <si>
    <t>F5GYN4</t>
  </si>
  <si>
    <t>F5GYQ1</t>
  </si>
  <si>
    <t>F5GYS8</t>
  </si>
  <si>
    <t>F5GZ90</t>
  </si>
  <si>
    <t>F5GZG1</t>
  </si>
  <si>
    <t>F5GZS0</t>
  </si>
  <si>
    <t>F5GZS6</t>
  </si>
  <si>
    <t>F5GZW3</t>
  </si>
  <si>
    <t>F5GZX9</t>
  </si>
  <si>
    <t>F5GZZ0</t>
  </si>
  <si>
    <t>F5H012</t>
  </si>
  <si>
    <t>F5H070</t>
  </si>
  <si>
    <t>F5H0F9</t>
  </si>
  <si>
    <t>F5H0I3</t>
  </si>
  <si>
    <t>F5H0K8</t>
  </si>
  <si>
    <t>F5H0L8</t>
  </si>
  <si>
    <t>F5H0Q6</t>
  </si>
  <si>
    <t>F5H0R1</t>
  </si>
  <si>
    <t>F5H0U5</t>
  </si>
  <si>
    <t>F5H149</t>
  </si>
  <si>
    <t>F5H1B4</t>
  </si>
  <si>
    <t>F5H1G9</t>
  </si>
  <si>
    <t>F5H1L4</t>
  </si>
  <si>
    <t>F5H1X8</t>
  </si>
  <si>
    <t>F5H1Y0</t>
  </si>
  <si>
    <t>F5H254</t>
  </si>
  <si>
    <t>F5H2B0</t>
  </si>
  <si>
    <t>F5H2H5</t>
  </si>
  <si>
    <t>F5H2J3</t>
  </si>
  <si>
    <t>F5H2Q7</t>
  </si>
  <si>
    <t>F5H2S7</t>
  </si>
  <si>
    <t>F5H2U2</t>
  </si>
  <si>
    <t>F5H2X7</t>
  </si>
  <si>
    <t>F5H315</t>
  </si>
  <si>
    <t>F5H365</t>
  </si>
  <si>
    <t>F5H3J3</t>
  </si>
  <si>
    <t>F5H442</t>
  </si>
  <si>
    <t>F5H450</t>
  </si>
  <si>
    <t>F5H492</t>
  </si>
  <si>
    <t>F5H4B1</t>
  </si>
  <si>
    <t>F5H4G7</t>
  </si>
  <si>
    <t>F5H4Q5</t>
  </si>
  <si>
    <t>F5H4R0</t>
  </si>
  <si>
    <t>F5H4S8</t>
  </si>
  <si>
    <t>F5H4V9</t>
  </si>
  <si>
    <t>F5H4Z3</t>
  </si>
  <si>
    <t>F5H539</t>
  </si>
  <si>
    <t>F5H564</t>
  </si>
  <si>
    <t>F5H569</t>
  </si>
  <si>
    <t>F5H577</t>
  </si>
  <si>
    <t>F5H5C2</t>
  </si>
  <si>
    <t>F5H5D3</t>
  </si>
  <si>
    <t>F5H5D7</t>
  </si>
  <si>
    <t>F5H5I6</t>
  </si>
  <si>
    <t>F5H5M7</t>
  </si>
  <si>
    <t>F5H5N0</t>
  </si>
  <si>
    <t>F5H5N1</t>
  </si>
  <si>
    <t>F5H5P2</t>
  </si>
  <si>
    <t>F5H5R8</t>
  </si>
  <si>
    <t>F5H5U2</t>
  </si>
  <si>
    <t>F5H5V6</t>
  </si>
  <si>
    <t>F5H604</t>
  </si>
  <si>
    <t>F5H620</t>
  </si>
  <si>
    <t>F5H631</t>
  </si>
  <si>
    <t>F5H640</t>
  </si>
  <si>
    <t>F5H648</t>
  </si>
  <si>
    <t>F5H698</t>
  </si>
  <si>
    <t>F5H6V0</t>
  </si>
  <si>
    <t>F5H6Z0</t>
  </si>
  <si>
    <t>F5H715</t>
  </si>
  <si>
    <t>F5H721</t>
  </si>
  <si>
    <t>F5H777</t>
  </si>
  <si>
    <t>F5H7F6</t>
  </si>
  <si>
    <t>F5H7I4</t>
  </si>
  <si>
    <t>F5H7J5</t>
  </si>
  <si>
    <t>F5H7K2</t>
  </si>
  <si>
    <t>F5H7K3</t>
  </si>
  <si>
    <t>F5H7N9</t>
  </si>
  <si>
    <t>F5H7P6</t>
  </si>
  <si>
    <t>F5H801</t>
  </si>
  <si>
    <t>F5H827</t>
  </si>
  <si>
    <t>F5H860</t>
  </si>
  <si>
    <t>F5H872</t>
  </si>
  <si>
    <t>F5H897</t>
  </si>
  <si>
    <t>F5H8D7</t>
  </si>
  <si>
    <t>F5H8H2</t>
  </si>
  <si>
    <t>F5H8J3</t>
  </si>
  <si>
    <t>F5H8L0</t>
  </si>
  <si>
    <t>F6PQP6</t>
  </si>
  <si>
    <t>F6RU81</t>
  </si>
  <si>
    <t>F6T1Q0</t>
  </si>
  <si>
    <t>F6U1F2</t>
  </si>
  <si>
    <t>F6U1T9</t>
  </si>
  <si>
    <t>F6XY72</t>
  </si>
  <si>
    <t>F8VP89</t>
  </si>
  <si>
    <t>F8VPD4</t>
  </si>
  <si>
    <t>F8VQ10</t>
  </si>
  <si>
    <t>F8VQE1</t>
  </si>
  <si>
    <t>F8VQR7</t>
  </si>
  <si>
    <t>F8VQX6</t>
  </si>
  <si>
    <t>F8VQZ7</t>
  </si>
  <si>
    <t>F8VRH0</t>
  </si>
  <si>
    <t>F8VSL3</t>
  </si>
  <si>
    <t>F8VSZ4</t>
  </si>
  <si>
    <t>F8VUJ3</t>
  </si>
  <si>
    <t>F8VUY8</t>
  </si>
  <si>
    <t>F8VV52</t>
  </si>
  <si>
    <t>F8VV59</t>
  </si>
  <si>
    <t>F8VVA7</t>
  </si>
  <si>
    <t>F8VVN7</t>
  </si>
  <si>
    <t>F8VVX6</t>
  </si>
  <si>
    <t>F8VW54</t>
  </si>
  <si>
    <t>F8VWA6</t>
  </si>
  <si>
    <t>F8VWA9</t>
  </si>
  <si>
    <t>F8VXG7</t>
  </si>
  <si>
    <t>F8VXI9</t>
  </si>
  <si>
    <t>F8VXU5</t>
  </si>
  <si>
    <t>F8VY35</t>
  </si>
  <si>
    <t>F8VYE8</t>
  </si>
  <si>
    <t>F8VZ44</t>
  </si>
  <si>
    <t>F8VZH8</t>
  </si>
  <si>
    <t>F8VZJ2</t>
  </si>
  <si>
    <t>F8W0Q9</t>
  </si>
  <si>
    <t>F8W108</t>
  </si>
  <si>
    <t>F8W1N9</t>
  </si>
  <si>
    <t>F8W689</t>
  </si>
  <si>
    <t>F8W6I7</t>
  </si>
  <si>
    <t>F8W6M3</t>
  </si>
  <si>
    <t>F8W6N3</t>
  </si>
  <si>
    <t>F8W6N8</t>
  </si>
  <si>
    <t>F8W782</t>
  </si>
  <si>
    <t>F8W7A7</t>
  </si>
  <si>
    <t>F8W7D6</t>
  </si>
  <si>
    <t>F8W7G7</t>
  </si>
  <si>
    <t>F8W7Q4</t>
  </si>
  <si>
    <t>F8W894</t>
  </si>
  <si>
    <t>F8W8C2</t>
  </si>
  <si>
    <t>F8W8D3</t>
  </si>
  <si>
    <t>F8W8H5</t>
  </si>
  <si>
    <t>F8W8I6</t>
  </si>
  <si>
    <t>F8W930</t>
  </si>
  <si>
    <t>F8W9A8</t>
  </si>
  <si>
    <t>F8W9B9</t>
  </si>
  <si>
    <t>F8W9I4</t>
  </si>
  <si>
    <t>F8W9Q9</t>
  </si>
  <si>
    <t>F8W9X7</t>
  </si>
  <si>
    <t>F8WA39</t>
  </si>
  <si>
    <t>F8WAC3</t>
  </si>
  <si>
    <t>F8WAK8</t>
  </si>
  <si>
    <t>F8WBK5</t>
  </si>
  <si>
    <t>F8WBT5</t>
  </si>
  <si>
    <t>F8WBY6</t>
  </si>
  <si>
    <t>F8WC68</t>
  </si>
  <si>
    <t>F8WC89</t>
  </si>
  <si>
    <t>F8WCD0</t>
  </si>
  <si>
    <t>F8WCP6</t>
  </si>
  <si>
    <t>F8WDT8</t>
  </si>
  <si>
    <t>F8WDV1</t>
  </si>
  <si>
    <t>F8WE28</t>
  </si>
  <si>
    <t>F8WE91</t>
  </si>
  <si>
    <t>F8WEC0</t>
  </si>
  <si>
    <t>F8WEE4</t>
  </si>
  <si>
    <t>F8WEG4</t>
  </si>
  <si>
    <t>F8WEG8</t>
  </si>
  <si>
    <t>F8WF48</t>
  </si>
  <si>
    <t>F8WF93</t>
  </si>
  <si>
    <t>G3V0I5</t>
  </si>
  <si>
    <t>G3V0I6</t>
  </si>
  <si>
    <t>G3V167</t>
  </si>
  <si>
    <t>G3V1C3</t>
  </si>
  <si>
    <t>G3V1D3</t>
  </si>
  <si>
    <t>G3V1K3</t>
  </si>
  <si>
    <t>G3V1L9</t>
  </si>
  <si>
    <t>G3V1N2</t>
  </si>
  <si>
    <t>G3V1N5</t>
  </si>
  <si>
    <t>G3V1P3</t>
  </si>
  <si>
    <t>G3V1P9</t>
  </si>
  <si>
    <t>G3V1Q4</t>
  </si>
  <si>
    <t>G3V1Q7</t>
  </si>
  <si>
    <t>G3V1S9</t>
  </si>
  <si>
    <t>G3V1U5</t>
  </si>
  <si>
    <t>G3V1V4</t>
  </si>
  <si>
    <t>G3V1X5</t>
  </si>
  <si>
    <t>G3V203</t>
  </si>
  <si>
    <t>G3V238</t>
  </si>
  <si>
    <t>G3V2B8</t>
  </si>
  <si>
    <t>G3V2F7</t>
  </si>
  <si>
    <t>G3V2U7</t>
  </si>
  <si>
    <t>G3V325</t>
  </si>
  <si>
    <t>G3V379</t>
  </si>
  <si>
    <t>G3V3G9</t>
  </si>
  <si>
    <t>G3V3H7</t>
  </si>
  <si>
    <t>G3V3I4</t>
  </si>
  <si>
    <t>G3V3Q2</t>
  </si>
  <si>
    <t>G3V3R7</t>
  </si>
  <si>
    <t>G3V4A5</t>
  </si>
  <si>
    <t>G3V4I0</t>
  </si>
  <si>
    <t>G3V4P7</t>
  </si>
  <si>
    <t>G3V4W0</t>
  </si>
  <si>
    <t>G3V583</t>
  </si>
  <si>
    <t>G3V597</t>
  </si>
  <si>
    <t>G3V599</t>
  </si>
  <si>
    <t>G3V5N8</t>
  </si>
  <si>
    <t>G3V5T0</t>
  </si>
  <si>
    <t>G3V5T9</t>
  </si>
  <si>
    <t>G3V5W1</t>
  </si>
  <si>
    <t>G3V5Z7</t>
  </si>
  <si>
    <t>G3XA81</t>
  </si>
  <si>
    <t>G3XAA0</t>
  </si>
  <si>
    <t>G3XAB3</t>
  </si>
  <si>
    <t>G3XAC1</t>
  </si>
  <si>
    <t>G3XAH0</t>
  </si>
  <si>
    <t>G3XAI2</t>
  </si>
  <si>
    <t>G3XAI9</t>
  </si>
  <si>
    <t>G3XAN4</t>
  </si>
  <si>
    <t>G3XAN8</t>
  </si>
  <si>
    <t>G3XAP3</t>
  </si>
  <si>
    <t>G5E933</t>
  </si>
  <si>
    <t>G5E948</t>
  </si>
  <si>
    <t>G5E953</t>
  </si>
  <si>
    <t>G5E975</t>
  </si>
  <si>
    <t>G5E994</t>
  </si>
  <si>
    <t>G5E9A6</t>
  </si>
  <si>
    <t>G5E9C8</t>
  </si>
  <si>
    <t>G5E9L8</t>
  </si>
  <si>
    <t>G5E9N0</t>
  </si>
  <si>
    <t>G5E9P1</t>
  </si>
  <si>
    <t>G5E9T8</t>
  </si>
  <si>
    <t>G5E9W7</t>
  </si>
  <si>
    <t>G5EA09</t>
  </si>
  <si>
    <t>G5EA30</t>
  </si>
  <si>
    <t>G5EA52</t>
  </si>
  <si>
    <t>G8JLA2</t>
  </si>
  <si>
    <t>G8JLB3</t>
  </si>
  <si>
    <t>G8JLD3</t>
  </si>
  <si>
    <t>G8JLE5</t>
  </si>
  <si>
    <t>G8JLI5</t>
  </si>
  <si>
    <t>G8JLK4</t>
  </si>
  <si>
    <t>G8JLK7</t>
  </si>
  <si>
    <t>G8JLL2</t>
  </si>
  <si>
    <t>G8JLM6</t>
  </si>
  <si>
    <t>G8JLP4</t>
  </si>
  <si>
    <t>H0UI80</t>
  </si>
  <si>
    <t>H0Y2U5</t>
  </si>
  <si>
    <t>H0Y360</t>
  </si>
  <si>
    <t>H0Y362</t>
  </si>
  <si>
    <t>H0Y384</t>
  </si>
  <si>
    <t>H0Y3A3</t>
  </si>
  <si>
    <t>H0Y3P2</t>
  </si>
  <si>
    <t>H0Y4G9</t>
  </si>
  <si>
    <t>H0Y4R1</t>
  </si>
  <si>
    <t>H0Y4R5</t>
  </si>
  <si>
    <t>H0Y4W2</t>
  </si>
  <si>
    <t>H0Y547</t>
  </si>
  <si>
    <t>H0Y5Y0</t>
  </si>
  <si>
    <t>H0Y614</t>
  </si>
  <si>
    <t>H0Y6B2</t>
  </si>
  <si>
    <t>H0Y6F5</t>
  </si>
  <si>
    <t>H0Y6K2</t>
  </si>
  <si>
    <t>H0Y6K5</t>
  </si>
  <si>
    <t>H0Y6N5</t>
  </si>
  <si>
    <t>H0Y6R6</t>
  </si>
  <si>
    <t>H0Y6Y8</t>
  </si>
  <si>
    <t>H0Y702</t>
  </si>
  <si>
    <t>H0Y720</t>
  </si>
  <si>
    <t>H0Y759</t>
  </si>
  <si>
    <t>H0Y7A7</t>
  </si>
  <si>
    <t>H0Y7L9</t>
  </si>
  <si>
    <t>H0Y7P7</t>
  </si>
  <si>
    <t>H0Y8D0</t>
  </si>
  <si>
    <t>H0Y8F2</t>
  </si>
  <si>
    <t>H0Y8H1</t>
  </si>
  <si>
    <t>H0Y8P4</t>
  </si>
  <si>
    <t>H0Y8X4</t>
  </si>
  <si>
    <t>H0Y9B8</t>
  </si>
  <si>
    <t>H0Y9G6</t>
  </si>
  <si>
    <t>H0Y9L4</t>
  </si>
  <si>
    <t>H0Y9S9</t>
  </si>
  <si>
    <t>H0Y9T5</t>
  </si>
  <si>
    <t>H0Y9X1</t>
  </si>
  <si>
    <t>H0YA52</t>
  </si>
  <si>
    <t>H0YA61</t>
  </si>
  <si>
    <t>H0YA80</t>
  </si>
  <si>
    <t>H0YAA8</t>
  </si>
  <si>
    <t>H0YAR2</t>
  </si>
  <si>
    <t>H0YB94</t>
  </si>
  <si>
    <t>H0YBP1</t>
  </si>
  <si>
    <t>H0YBS1</t>
  </si>
  <si>
    <t>H0YBZ4</t>
  </si>
  <si>
    <t>H0YC02</t>
  </si>
  <si>
    <t>H0YCB3</t>
  </si>
  <si>
    <t>H0YD13</t>
  </si>
  <si>
    <t>H0YDD4</t>
  </si>
  <si>
    <t>H0YDM5</t>
  </si>
  <si>
    <t>H0YDQ1</t>
  </si>
  <si>
    <t>H0YDR5</t>
  </si>
  <si>
    <t>H0YDU8</t>
  </si>
  <si>
    <t>H0YEB6</t>
  </si>
  <si>
    <t>H0YEF3</t>
  </si>
  <si>
    <t>H0YER1</t>
  </si>
  <si>
    <t>H0YF29</t>
  </si>
  <si>
    <t>H0YGR4</t>
  </si>
  <si>
    <t>H0YH69</t>
  </si>
  <si>
    <t>H0YHC3</t>
  </si>
  <si>
    <t>H0YHG0</t>
  </si>
  <si>
    <t>H0YIE9</t>
  </si>
  <si>
    <t>H0YIQ8</t>
  </si>
  <si>
    <t>H0YIV9</t>
  </si>
  <si>
    <t>H0YJG9</t>
  </si>
  <si>
    <t>H0YK48</t>
  </si>
  <si>
    <t>H0YK61</t>
  </si>
  <si>
    <t>H0YKG9</t>
  </si>
  <si>
    <t>H0YKJ9</t>
  </si>
  <si>
    <t>H0YL33</t>
  </si>
  <si>
    <t>H0YL70</t>
  </si>
  <si>
    <t>H0YLB5</t>
  </si>
  <si>
    <t>H0YLB9</t>
  </si>
  <si>
    <t>H0YLF3</t>
  </si>
  <si>
    <t>H0YLI7</t>
  </si>
  <si>
    <t>H0YLN8</t>
  </si>
  <si>
    <t>H0YLR1</t>
  </si>
  <si>
    <t>H0YLX2</t>
  </si>
  <si>
    <t>H0YLY9</t>
  </si>
  <si>
    <t>H0YMB3</t>
  </si>
  <si>
    <t>H0YMF4</t>
  </si>
  <si>
    <t>H0YMJ0</t>
  </si>
  <si>
    <t>H0YN78</t>
  </si>
  <si>
    <t>H0YNE3</t>
  </si>
  <si>
    <t>H0YNG3</t>
  </si>
  <si>
    <t>H0YNJ3</t>
  </si>
  <si>
    <t>H0YNU5</t>
  </si>
  <si>
    <t>H3BLT4</t>
  </si>
  <si>
    <t>H3BLU7</t>
  </si>
  <si>
    <t>H3BLV0</t>
  </si>
  <si>
    <t>H3BLV9</t>
  </si>
  <si>
    <t>H3BLW6</t>
  </si>
  <si>
    <t>H3BLZ2</t>
  </si>
  <si>
    <t>H3BLZ8</t>
  </si>
  <si>
    <t>H3BM14</t>
  </si>
  <si>
    <t>H3BM67</t>
  </si>
  <si>
    <t>H3BM86</t>
  </si>
  <si>
    <t>H3BM91</t>
  </si>
  <si>
    <t>H3BMD8</t>
  </si>
  <si>
    <t>H3BMF4</t>
  </si>
  <si>
    <t>H3BN98</t>
  </si>
  <si>
    <t>H3BND3</t>
  </si>
  <si>
    <t>H3BNU9</t>
  </si>
  <si>
    <t>H3BP20</t>
  </si>
  <si>
    <t>H3BP28</t>
  </si>
  <si>
    <t>H3BPB8</t>
  </si>
  <si>
    <t>H3BPC4</t>
  </si>
  <si>
    <t>H3BPD5</t>
  </si>
  <si>
    <t>H3BPE1</t>
  </si>
  <si>
    <t>H3BPJ7</t>
  </si>
  <si>
    <t>H3BPK3</t>
  </si>
  <si>
    <t>H3BPL0</t>
  </si>
  <si>
    <t>H3BPS8</t>
  </si>
  <si>
    <t>H3BQA0</t>
  </si>
  <si>
    <t>H3BR29</t>
  </si>
  <si>
    <t>H3BR94</t>
  </si>
  <si>
    <t>H3BRA4</t>
  </si>
  <si>
    <t>H3BRB6</t>
  </si>
  <si>
    <t>H3BRF9</t>
  </si>
  <si>
    <t>H3BRL3</t>
  </si>
  <si>
    <t>H3BRN7</t>
  </si>
  <si>
    <t>H3BRQ0</t>
  </si>
  <si>
    <t>H3BRQ8</t>
  </si>
  <si>
    <t>H3BRS1</t>
  </si>
  <si>
    <t>H3BRU1</t>
  </si>
  <si>
    <t>H3BRV0</t>
  </si>
  <si>
    <t>H3BS01</t>
  </si>
  <si>
    <t>H3BS66</t>
  </si>
  <si>
    <t>H3BSB3</t>
  </si>
  <si>
    <t>H3BSH7</t>
  </si>
  <si>
    <t>H3BSW6</t>
  </si>
  <si>
    <t>H3BSZ4</t>
  </si>
  <si>
    <t>H3BTL1</t>
  </si>
  <si>
    <t>H3BTN5</t>
  </si>
  <si>
    <t>H3BTX0</t>
  </si>
  <si>
    <t>H3BTX7</t>
  </si>
  <si>
    <t>H3BU49</t>
  </si>
  <si>
    <t>H3BUF6</t>
  </si>
  <si>
    <t>H3BUQ2</t>
  </si>
  <si>
    <t>H3BV68</t>
  </si>
  <si>
    <t>H3BV80</t>
  </si>
  <si>
    <t>H3BVB1</t>
  </si>
  <si>
    <t>H3BVD9</t>
  </si>
  <si>
    <t>H7BXF4</t>
  </si>
  <si>
    <t>H7BXF5</t>
  </si>
  <si>
    <t>H7BXH2</t>
  </si>
  <si>
    <t>H7BXH9</t>
  </si>
  <si>
    <t>H7BXI1</t>
  </si>
  <si>
    <t>H7BXI5</t>
  </si>
  <si>
    <t>H7BXL1</t>
  </si>
  <si>
    <t>H7BXT7</t>
  </si>
  <si>
    <t>H7BXW7</t>
  </si>
  <si>
    <t>H7BXY3</t>
  </si>
  <si>
    <t>H7BY58</t>
  </si>
  <si>
    <t>H7BYE5</t>
  </si>
  <si>
    <t>H7BYQ6</t>
  </si>
  <si>
    <t>H7BYV1</t>
  </si>
  <si>
    <t>H7BYY1</t>
  </si>
  <si>
    <t>H7BZ11</t>
  </si>
  <si>
    <t>H7BZ14</t>
  </si>
  <si>
    <t>H7BZ94</t>
  </si>
  <si>
    <t>H7BZJ3</t>
  </si>
  <si>
    <t>H7BZK6</t>
  </si>
  <si>
    <t>H7BZT4</t>
  </si>
  <si>
    <t>H7C0G7</t>
  </si>
  <si>
    <t>H7C0N4</t>
  </si>
  <si>
    <t>H7C0V4</t>
  </si>
  <si>
    <t>H7C107</t>
  </si>
  <si>
    <t>H7C124</t>
  </si>
  <si>
    <t>H7C137</t>
  </si>
  <si>
    <t>H7C155</t>
  </si>
  <si>
    <t>H7C173</t>
  </si>
  <si>
    <t>H7C1M5</t>
  </si>
  <si>
    <t>H7C1N3</t>
  </si>
  <si>
    <t>H7C1U3</t>
  </si>
  <si>
    <t>H7C1U8</t>
  </si>
  <si>
    <t>H7C1W4</t>
  </si>
  <si>
    <t>H7C284</t>
  </si>
  <si>
    <t>H7C2B1</t>
  </si>
  <si>
    <t>H7C2Q8</t>
  </si>
  <si>
    <t>H7C331</t>
  </si>
  <si>
    <t>H7C347</t>
  </si>
  <si>
    <t>H7C3D5</t>
  </si>
  <si>
    <t>H7C3G9</t>
  </si>
  <si>
    <t>H7C3P4</t>
  </si>
  <si>
    <t>H7C3T2</t>
  </si>
  <si>
    <t>H7C484</t>
  </si>
  <si>
    <t>H7C4K1</t>
  </si>
  <si>
    <t>H7C4P1</t>
  </si>
  <si>
    <t>H7C5F7</t>
  </si>
  <si>
    <t>H7C5H5</t>
  </si>
  <si>
    <t>H7C5W6</t>
  </si>
  <si>
    <t>H9KV44</t>
  </si>
  <si>
    <t>H9KV46</t>
  </si>
  <si>
    <t>H9KVB8</t>
  </si>
  <si>
    <t>I3L097</t>
  </si>
  <si>
    <t>I3L0A4</t>
  </si>
  <si>
    <t>I3L0C1</t>
  </si>
  <si>
    <t>I3L0I1</t>
  </si>
  <si>
    <t>I3L0K1</t>
  </si>
  <si>
    <t>I3L0L6</t>
  </si>
  <si>
    <t>I3L0N3</t>
  </si>
  <si>
    <t>I3L0U5</t>
  </si>
  <si>
    <t>I3L170</t>
  </si>
  <si>
    <t>I3L1H5</t>
  </si>
  <si>
    <t>I3L1L3</t>
  </si>
  <si>
    <t>I3L1P8</t>
  </si>
  <si>
    <t>I3L1Q2</t>
  </si>
  <si>
    <t>I3L1Q3</t>
  </si>
  <si>
    <t>I3L2B0</t>
  </si>
  <si>
    <t>I3L2L5</t>
  </si>
  <si>
    <t>I3L2M9</t>
  </si>
  <si>
    <t>I3L2W9</t>
  </si>
  <si>
    <t>I3L367</t>
  </si>
  <si>
    <t>I3L3A8</t>
  </si>
  <si>
    <t>I3L3B4</t>
  </si>
  <si>
    <t>I3L3P7</t>
  </si>
  <si>
    <t>I3L413</t>
  </si>
  <si>
    <t>I3L448</t>
  </si>
  <si>
    <t>I3L4N7</t>
  </si>
  <si>
    <t>I3L4X2</t>
  </si>
  <si>
    <t>I3NI29</t>
  </si>
  <si>
    <t>J3KMW7</t>
  </si>
  <si>
    <t>J3KMW8</t>
  </si>
  <si>
    <t>J3KMX2</t>
  </si>
  <si>
    <t>J3KMY5</t>
  </si>
  <si>
    <t>J3KMZ7</t>
  </si>
  <si>
    <t>J3KMZ8</t>
  </si>
  <si>
    <t>J3KMZ9</t>
  </si>
  <si>
    <t>J3KN01</t>
  </si>
  <si>
    <t>J3KN10</t>
  </si>
  <si>
    <t>J3KN16</t>
  </si>
  <si>
    <t>J3KN27</t>
  </si>
  <si>
    <t>J3KN29</t>
  </si>
  <si>
    <t>J3KN59</t>
  </si>
  <si>
    <t>J3KN66</t>
  </si>
  <si>
    <t>J3KN67</t>
  </si>
  <si>
    <t>J3KN69</t>
  </si>
  <si>
    <t>J3KN82</t>
  </si>
  <si>
    <t>J3KNA0</t>
  </si>
  <si>
    <t>J3KNB8</t>
  </si>
  <si>
    <t>J3KND1</t>
  </si>
  <si>
    <t>J3KNE0</t>
  </si>
  <si>
    <t>J3KNF4</t>
  </si>
  <si>
    <t>J3KNG8</t>
  </si>
  <si>
    <t>J3KNI1</t>
  </si>
  <si>
    <t>J3KNL3</t>
  </si>
  <si>
    <t>J3KNL6</t>
  </si>
  <si>
    <t>J3KNN3</t>
  </si>
  <si>
    <t>J3KNN5</t>
  </si>
  <si>
    <t>J3KNN7</t>
  </si>
  <si>
    <t>J3KNP4</t>
  </si>
  <si>
    <t>J3KNR0</t>
  </si>
  <si>
    <t>J3KNR6</t>
  </si>
  <si>
    <t>J3KNS3</t>
  </si>
  <si>
    <t>J3KNU8</t>
  </si>
  <si>
    <t>J3KNW0</t>
  </si>
  <si>
    <t>J3KNW4</t>
  </si>
  <si>
    <t>J3KNX9</t>
  </si>
  <si>
    <t>J3KNZ9</t>
  </si>
  <si>
    <t>J3KP15</t>
  </si>
  <si>
    <t>J3KP20</t>
  </si>
  <si>
    <t>J3KP22</t>
  </si>
  <si>
    <t>J3KP27</t>
  </si>
  <si>
    <t>J3KP36</t>
  </si>
  <si>
    <t>J3KP75</t>
  </si>
  <si>
    <t>J3KPC5</t>
  </si>
  <si>
    <t>J3KPD3</t>
  </si>
  <si>
    <t>J3KPF0</t>
  </si>
  <si>
    <t>J3KPF9</t>
  </si>
  <si>
    <t>J3KPJ3</t>
  </si>
  <si>
    <t>J3KPK1</t>
  </si>
  <si>
    <t>J3KPL2</t>
  </si>
  <si>
    <t>J3KPN1</t>
  </si>
  <si>
    <t>J3KPP7</t>
  </si>
  <si>
    <t>J3KPS0</t>
  </si>
  <si>
    <t>J3KPT4</t>
  </si>
  <si>
    <t>J3KPV7</t>
  </si>
  <si>
    <t>J3KPW7</t>
  </si>
  <si>
    <t>J3KPX7</t>
  </si>
  <si>
    <t>J3KPX8</t>
  </si>
  <si>
    <t>J3KPY9</t>
  </si>
  <si>
    <t>J3KPZ8</t>
  </si>
  <si>
    <t>J3KQ32</t>
  </si>
  <si>
    <t>J3KQ34</t>
  </si>
  <si>
    <t>J3KQ45</t>
  </si>
  <si>
    <t>J3KQ48</t>
  </si>
  <si>
    <t>J3KQ72</t>
  </si>
  <si>
    <t>J3KQ88</t>
  </si>
  <si>
    <t>J3KQB0</t>
  </si>
  <si>
    <t>J3KQG4</t>
  </si>
  <si>
    <t>J3KQJ9</t>
  </si>
  <si>
    <t>J3KQL8</t>
  </si>
  <si>
    <t>J3KQS2</t>
  </si>
  <si>
    <t>J3KQS6</t>
  </si>
  <si>
    <t>J3KQU5</t>
  </si>
  <si>
    <t>J3KQU9</t>
  </si>
  <si>
    <t>J3KR35</t>
  </si>
  <si>
    <t>J3KR55</t>
  </si>
  <si>
    <t>J3KR58</t>
  </si>
  <si>
    <t>J3KR97</t>
  </si>
  <si>
    <t>J3KRC8</t>
  </si>
  <si>
    <t>J3KRN4</t>
  </si>
  <si>
    <t>J3KRP6</t>
  </si>
  <si>
    <t>J3KRR5</t>
  </si>
  <si>
    <t>J3KRW7</t>
  </si>
  <si>
    <t>J3KRZ1</t>
  </si>
  <si>
    <t>J3KS05</t>
  </si>
  <si>
    <t>J3KS15</t>
  </si>
  <si>
    <t>J3KSH1</t>
  </si>
  <si>
    <t>J3KSJ4</t>
  </si>
  <si>
    <t>J3KSS7</t>
  </si>
  <si>
    <t>J3KSW8</t>
  </si>
  <si>
    <t>J3KSY6</t>
  </si>
  <si>
    <t>J3KT51</t>
  </si>
  <si>
    <t>J3KTA1</t>
  </si>
  <si>
    <t>J3KTK5</t>
  </si>
  <si>
    <t>J3KTL2</t>
  </si>
  <si>
    <t>J3QK89</t>
  </si>
  <si>
    <t>J3QKR3</t>
  </si>
  <si>
    <t>J3QKR4</t>
  </si>
  <si>
    <t>J3QL56</t>
  </si>
  <si>
    <t>J3QL71</t>
  </si>
  <si>
    <t>J3QLB2</t>
  </si>
  <si>
    <t>J3QLD9</t>
  </si>
  <si>
    <t>J3QLM1</t>
  </si>
  <si>
    <t>J3QLP7</t>
  </si>
  <si>
    <t>J3QLS3</t>
  </si>
  <si>
    <t>J3QQJ0</t>
  </si>
  <si>
    <t>J3QQJ5</t>
  </si>
  <si>
    <t>J3QQT2</t>
  </si>
  <si>
    <t>J3QQW9</t>
  </si>
  <si>
    <t>J3QQX3</t>
  </si>
  <si>
    <t>J3QQY0</t>
  </si>
  <si>
    <t>J3QR07</t>
  </si>
  <si>
    <t>J3QR09</t>
  </si>
  <si>
    <t>J3QRM9</t>
  </si>
  <si>
    <t>J3QRS3</t>
  </si>
  <si>
    <t>J3QRS9</t>
  </si>
  <si>
    <t>J3QRU1</t>
  </si>
  <si>
    <t>J3QRU4</t>
  </si>
  <si>
    <t>J3QRU8</t>
  </si>
  <si>
    <t>J3QRX6</t>
  </si>
  <si>
    <t>J3QS27</t>
  </si>
  <si>
    <t>J3QS41</t>
  </si>
  <si>
    <t>J3QSV6</t>
  </si>
  <si>
    <t>J3QT56</t>
  </si>
  <si>
    <t>J3QT87</t>
  </si>
  <si>
    <t>J9JIC5</t>
  </si>
  <si>
    <t>J9JID7</t>
  </si>
  <si>
    <t>J9JIE6</t>
  </si>
  <si>
    <t>K4DI92</t>
  </si>
  <si>
    <t>K7EIG1</t>
  </si>
  <si>
    <t>K7EIL6</t>
  </si>
  <si>
    <t>K7EIN1</t>
  </si>
  <si>
    <t>K7EIP7</t>
  </si>
  <si>
    <t>K7EIU8</t>
  </si>
  <si>
    <t>K7EIY1</t>
  </si>
  <si>
    <t>K7EJ08</t>
  </si>
  <si>
    <t>K7EJ78</t>
  </si>
  <si>
    <t>K7EJB9</t>
  </si>
  <si>
    <t>K7EJH0</t>
  </si>
  <si>
    <t>K7EJL1</t>
  </si>
  <si>
    <t>K7EJQ7</t>
  </si>
  <si>
    <t>K7EK00</t>
  </si>
  <si>
    <t>K7EK07</t>
  </si>
  <si>
    <t>K7EK35</t>
  </si>
  <si>
    <t>K7EK99</t>
  </si>
  <si>
    <t>K7EKE6</t>
  </si>
  <si>
    <t>K7EKG9</t>
  </si>
  <si>
    <t>K7EKS3</t>
  </si>
  <si>
    <t>K7EKW3</t>
  </si>
  <si>
    <t>K7EL68</t>
  </si>
  <si>
    <t>K7EL81</t>
  </si>
  <si>
    <t>K7ELE3</t>
  </si>
  <si>
    <t>K7ELK7</t>
  </si>
  <si>
    <t>K7ELL7</t>
  </si>
  <si>
    <t>K7ELN3</t>
  </si>
  <si>
    <t>K7ELW5</t>
  </si>
  <si>
    <t>K7ELY2</t>
  </si>
  <si>
    <t>K7EM02</t>
  </si>
  <si>
    <t>K7EM09</t>
  </si>
  <si>
    <t>K7EM87</t>
  </si>
  <si>
    <t>K7EN05</t>
  </si>
  <si>
    <t>K7EN88</t>
  </si>
  <si>
    <t>K7ENF0</t>
  </si>
  <si>
    <t>K7ENH2</t>
  </si>
  <si>
    <t>K7ENL9</t>
  </si>
  <si>
    <t>K7EP31</t>
  </si>
  <si>
    <t>K7EP32</t>
  </si>
  <si>
    <t>K7EPJ5</t>
  </si>
  <si>
    <t>K7EQ34</t>
  </si>
  <si>
    <t>K7EQ37</t>
  </si>
  <si>
    <t>K7EQ77</t>
  </si>
  <si>
    <t>K7EQL1</t>
  </si>
  <si>
    <t>K7EQV2</t>
  </si>
  <si>
    <t>K7EQW8</t>
  </si>
  <si>
    <t>K7EQX8</t>
  </si>
  <si>
    <t>K7ER00</t>
  </si>
  <si>
    <t>K7ER89</t>
  </si>
  <si>
    <t>K7ER93</t>
  </si>
  <si>
    <t>K7ERF1</t>
  </si>
  <si>
    <t>K7ERQ0</t>
  </si>
  <si>
    <t>K7ERU9</t>
  </si>
  <si>
    <t>K7ERV3</t>
  </si>
  <si>
    <t>K7ES02</t>
  </si>
  <si>
    <t>K7ES11</t>
  </si>
  <si>
    <t>K7ES84</t>
  </si>
  <si>
    <t>K7ESB7</t>
  </si>
  <si>
    <t>K7ESE3</t>
  </si>
  <si>
    <t>K7ESE6</t>
  </si>
  <si>
    <t>K7ESP4</t>
  </si>
  <si>
    <t>M0QWZ7</t>
  </si>
  <si>
    <t>M0QX35</t>
  </si>
  <si>
    <t>M0QXA7</t>
  </si>
  <si>
    <t>M0QXB4</t>
  </si>
  <si>
    <t>M0QXL5</t>
  </si>
  <si>
    <t>M0QXT0</t>
  </si>
  <si>
    <t>M0QXZ5</t>
  </si>
  <si>
    <t>M0QY01</t>
  </si>
  <si>
    <t>M0QY97</t>
  </si>
  <si>
    <t>M0QYM7</t>
  </si>
  <si>
    <t>M0QYS1</t>
  </si>
  <si>
    <t>M0QZ09</t>
  </si>
  <si>
    <t>M0QZ12</t>
  </si>
  <si>
    <t>M0QZ43</t>
  </si>
  <si>
    <t>M0QZI3</t>
  </si>
  <si>
    <t>M0QZR4</t>
  </si>
  <si>
    <t>M0QZW1</t>
  </si>
  <si>
    <t>M0R042</t>
  </si>
  <si>
    <t>M0R0B4</t>
  </si>
  <si>
    <t>M0R0F0</t>
  </si>
  <si>
    <t>M0R0N4</t>
  </si>
  <si>
    <t>M0R0R3</t>
  </si>
  <si>
    <t>M0R0V1</t>
  </si>
  <si>
    <t>M0R150</t>
  </si>
  <si>
    <t>M0R226</t>
  </si>
  <si>
    <t>M0R2A0</t>
  </si>
  <si>
    <t>M0R2B7</t>
  </si>
  <si>
    <t>M0R2C4</t>
  </si>
  <si>
    <t>M0R300</t>
  </si>
  <si>
    <t>M0R3D4</t>
  </si>
  <si>
    <t>O00116</t>
  </si>
  <si>
    <t>O00124-3</t>
  </si>
  <si>
    <t>O00139-1</t>
  </si>
  <si>
    <t>O00139-2</t>
  </si>
  <si>
    <t>O00148</t>
  </si>
  <si>
    <t>O00151</t>
  </si>
  <si>
    <t>O00154-4</t>
  </si>
  <si>
    <t>O00159</t>
  </si>
  <si>
    <t>O00161</t>
  </si>
  <si>
    <t>O00165-5</t>
  </si>
  <si>
    <t>O00170</t>
  </si>
  <si>
    <t>O00178</t>
  </si>
  <si>
    <t>O00180</t>
  </si>
  <si>
    <t>O00186</t>
  </si>
  <si>
    <t>O00203</t>
  </si>
  <si>
    <t>O00214-2</t>
  </si>
  <si>
    <t>O00217</t>
  </si>
  <si>
    <t>O00220</t>
  </si>
  <si>
    <t>O00221</t>
  </si>
  <si>
    <t>O00231</t>
  </si>
  <si>
    <t>O00232</t>
  </si>
  <si>
    <t>O00244</t>
  </si>
  <si>
    <t>O00264</t>
  </si>
  <si>
    <t>O00267-2</t>
  </si>
  <si>
    <t>O00273</t>
  </si>
  <si>
    <t>O00273-2</t>
  </si>
  <si>
    <t>O00287</t>
  </si>
  <si>
    <t>O00291</t>
  </si>
  <si>
    <t>O00299</t>
  </si>
  <si>
    <t>O00308</t>
  </si>
  <si>
    <t>O00325</t>
  </si>
  <si>
    <t>O00399</t>
  </si>
  <si>
    <t>O00400</t>
  </si>
  <si>
    <t>O00401</t>
  </si>
  <si>
    <t>O00410</t>
  </si>
  <si>
    <t>O00418</t>
  </si>
  <si>
    <t>O00422</t>
  </si>
  <si>
    <t>O00425</t>
  </si>
  <si>
    <t>O00429-3</t>
  </si>
  <si>
    <t>O00429-4</t>
  </si>
  <si>
    <t>O00442</t>
  </si>
  <si>
    <t>O00459</t>
  </si>
  <si>
    <t>O00461</t>
  </si>
  <si>
    <t>O00462</t>
  </si>
  <si>
    <t>O00468-2</t>
  </si>
  <si>
    <t>O00471</t>
  </si>
  <si>
    <t>O00479</t>
  </si>
  <si>
    <t>O00483</t>
  </si>
  <si>
    <t>O00487</t>
  </si>
  <si>
    <t>O00488</t>
  </si>
  <si>
    <t>O00505</t>
  </si>
  <si>
    <t>O00506</t>
  </si>
  <si>
    <t>O00512</t>
  </si>
  <si>
    <t>O00522</t>
  </si>
  <si>
    <t>O00560</t>
  </si>
  <si>
    <t>O00562-2</t>
  </si>
  <si>
    <t>O00566</t>
  </si>
  <si>
    <t>O00567</t>
  </si>
  <si>
    <t>O00571</t>
  </si>
  <si>
    <t>O00625</t>
  </si>
  <si>
    <t>O00629</t>
  </si>
  <si>
    <t>O00635</t>
  </si>
  <si>
    <t>O00743</t>
  </si>
  <si>
    <t>O00748</t>
  </si>
  <si>
    <t>O00754-2</t>
  </si>
  <si>
    <t>O00764</t>
  </si>
  <si>
    <t>O00764-3</t>
  </si>
  <si>
    <t>O00767</t>
  </si>
  <si>
    <t>O14497</t>
  </si>
  <si>
    <t>O14508</t>
  </si>
  <si>
    <t>O14519-2</t>
  </si>
  <si>
    <t>O14523</t>
  </si>
  <si>
    <t>O14524-2</t>
  </si>
  <si>
    <t>O14545</t>
  </si>
  <si>
    <t>O14548</t>
  </si>
  <si>
    <t>O14561</t>
  </si>
  <si>
    <t>O14578</t>
  </si>
  <si>
    <t>O14617</t>
  </si>
  <si>
    <t>O14646-2</t>
  </si>
  <si>
    <t>O14656</t>
  </si>
  <si>
    <t>O14657</t>
  </si>
  <si>
    <t>O14662-2</t>
  </si>
  <si>
    <t>O14672</t>
  </si>
  <si>
    <t>O14686</t>
  </si>
  <si>
    <t>O14733-3</t>
  </si>
  <si>
    <t>O14734</t>
  </si>
  <si>
    <t>O14737</t>
  </si>
  <si>
    <t>O14744</t>
  </si>
  <si>
    <t>O14745</t>
  </si>
  <si>
    <t>O14757</t>
  </si>
  <si>
    <t>O14763-2</t>
  </si>
  <si>
    <t>O14772-2</t>
  </si>
  <si>
    <t>O14773</t>
  </si>
  <si>
    <t>O14776-2</t>
  </si>
  <si>
    <t>O14777</t>
  </si>
  <si>
    <t>O14787-2</t>
  </si>
  <si>
    <t>O14802</t>
  </si>
  <si>
    <t>O14818</t>
  </si>
  <si>
    <t>O14828</t>
  </si>
  <si>
    <t>O14841</t>
  </si>
  <si>
    <t>O14867</t>
  </si>
  <si>
    <t>O14874</t>
  </si>
  <si>
    <t>O14893-2</t>
  </si>
  <si>
    <t>O14908</t>
  </si>
  <si>
    <t>O14920</t>
  </si>
  <si>
    <t>O14925</t>
  </si>
  <si>
    <t>O14929</t>
  </si>
  <si>
    <t>O14944</t>
  </si>
  <si>
    <t>O14949</t>
  </si>
  <si>
    <t>O14964</t>
  </si>
  <si>
    <t>O14965</t>
  </si>
  <si>
    <t>O14974-4</t>
  </si>
  <si>
    <t>O14975-2</t>
  </si>
  <si>
    <t>O14976</t>
  </si>
  <si>
    <t>O14979-3</t>
  </si>
  <si>
    <t>O14980</t>
  </si>
  <si>
    <t>O14981</t>
  </si>
  <si>
    <t>O15014</t>
  </si>
  <si>
    <t>O15020-2</t>
  </si>
  <si>
    <t>O15031</t>
  </si>
  <si>
    <t>O15047</t>
  </si>
  <si>
    <t>O15056</t>
  </si>
  <si>
    <t>O15066</t>
  </si>
  <si>
    <t>O15067</t>
  </si>
  <si>
    <t>O15084</t>
  </si>
  <si>
    <t>O15085</t>
  </si>
  <si>
    <t>O15091-4</t>
  </si>
  <si>
    <t>O15111</t>
  </si>
  <si>
    <t>O15116</t>
  </si>
  <si>
    <t>O15117</t>
  </si>
  <si>
    <t>O15118</t>
  </si>
  <si>
    <t>O15120</t>
  </si>
  <si>
    <t>O15121</t>
  </si>
  <si>
    <t>O15126</t>
  </si>
  <si>
    <t>O15127</t>
  </si>
  <si>
    <t>O15143</t>
  </si>
  <si>
    <t>O15144</t>
  </si>
  <si>
    <t>O15145</t>
  </si>
  <si>
    <t>O15156</t>
  </si>
  <si>
    <t>O15160</t>
  </si>
  <si>
    <t>O15164-2</t>
  </si>
  <si>
    <t>O15169-2</t>
  </si>
  <si>
    <t>O15173</t>
  </si>
  <si>
    <t>O15212</t>
  </si>
  <si>
    <t>O15228</t>
  </si>
  <si>
    <t>O15234</t>
  </si>
  <si>
    <t>O15235</t>
  </si>
  <si>
    <t>O15240</t>
  </si>
  <si>
    <t>O15247</t>
  </si>
  <si>
    <t>O15258</t>
  </si>
  <si>
    <t>O15269</t>
  </si>
  <si>
    <t>O15270</t>
  </si>
  <si>
    <t>O15294-3</t>
  </si>
  <si>
    <t>O15305</t>
  </si>
  <si>
    <t>O15347</t>
  </si>
  <si>
    <t>O15355</t>
  </si>
  <si>
    <t>O15357</t>
  </si>
  <si>
    <t>O15379</t>
  </si>
  <si>
    <t>O15382</t>
  </si>
  <si>
    <t>O15391</t>
  </si>
  <si>
    <t>O15397</t>
  </si>
  <si>
    <t>O15400-2</t>
  </si>
  <si>
    <t>O15431</t>
  </si>
  <si>
    <t>O15439-2</t>
  </si>
  <si>
    <t>O15446</t>
  </si>
  <si>
    <t>O15453</t>
  </si>
  <si>
    <t>O15460-2</t>
  </si>
  <si>
    <t>O15479</t>
  </si>
  <si>
    <t>O15498</t>
  </si>
  <si>
    <t>O15503</t>
  </si>
  <si>
    <t>O15511</t>
  </si>
  <si>
    <t>O15514</t>
  </si>
  <si>
    <t>O15541</t>
  </si>
  <si>
    <t>O43143</t>
  </si>
  <si>
    <t>O43148</t>
  </si>
  <si>
    <t>O43156</t>
  </si>
  <si>
    <t>O43157-2</t>
  </si>
  <si>
    <t>O43164-2</t>
  </si>
  <si>
    <t>O43172-2</t>
  </si>
  <si>
    <t>O43175</t>
  </si>
  <si>
    <t>O43181</t>
  </si>
  <si>
    <t>O43182-4</t>
  </si>
  <si>
    <t>O43237</t>
  </si>
  <si>
    <t>O43242</t>
  </si>
  <si>
    <t>O43252</t>
  </si>
  <si>
    <t>O43257</t>
  </si>
  <si>
    <t>O43264</t>
  </si>
  <si>
    <t>O43290</t>
  </si>
  <si>
    <t>O43293</t>
  </si>
  <si>
    <t>O43299</t>
  </si>
  <si>
    <t>O43301</t>
  </si>
  <si>
    <t>O43310</t>
  </si>
  <si>
    <t>O43314-2</t>
  </si>
  <si>
    <t>O43318</t>
  </si>
  <si>
    <t>O43353</t>
  </si>
  <si>
    <t>O43379</t>
  </si>
  <si>
    <t>O43390</t>
  </si>
  <si>
    <t>O43395</t>
  </si>
  <si>
    <t>O43396</t>
  </si>
  <si>
    <t>O43399</t>
  </si>
  <si>
    <t>O43402</t>
  </si>
  <si>
    <t>O43427-2</t>
  </si>
  <si>
    <t>O43435-3</t>
  </si>
  <si>
    <t>O43447</t>
  </si>
  <si>
    <t>O43464-3</t>
  </si>
  <si>
    <t>O43482</t>
  </si>
  <si>
    <t>O43491</t>
  </si>
  <si>
    <t>O43502</t>
  </si>
  <si>
    <t>O43504</t>
  </si>
  <si>
    <t>O43505</t>
  </si>
  <si>
    <t>O43513</t>
  </si>
  <si>
    <t>O43516</t>
  </si>
  <si>
    <t>O43543</t>
  </si>
  <si>
    <t>O43583</t>
  </si>
  <si>
    <t>O43592</t>
  </si>
  <si>
    <t>O43598</t>
  </si>
  <si>
    <t>O43615</t>
  </si>
  <si>
    <t>O43617</t>
  </si>
  <si>
    <t>O43633</t>
  </si>
  <si>
    <t>O43639</t>
  </si>
  <si>
    <t>O43663</t>
  </si>
  <si>
    <t>O43665-2</t>
  </si>
  <si>
    <t>O43678</t>
  </si>
  <si>
    <t>O43681</t>
  </si>
  <si>
    <t>O43684</t>
  </si>
  <si>
    <t>O43707</t>
  </si>
  <si>
    <t>O43709</t>
  </si>
  <si>
    <t>O43715</t>
  </si>
  <si>
    <t>O43719</t>
  </si>
  <si>
    <t>O43734-5</t>
  </si>
  <si>
    <t>O43736-2</t>
  </si>
  <si>
    <t>O43752</t>
  </si>
  <si>
    <t>O43760</t>
  </si>
  <si>
    <t>O43765</t>
  </si>
  <si>
    <t>O43766-2</t>
  </si>
  <si>
    <t>O43768-2</t>
  </si>
  <si>
    <t>O43772</t>
  </si>
  <si>
    <t>O43776</t>
  </si>
  <si>
    <t>O43805</t>
  </si>
  <si>
    <t>O43809</t>
  </si>
  <si>
    <t>O43813</t>
  </si>
  <si>
    <t>O43815</t>
  </si>
  <si>
    <t>O43818</t>
  </si>
  <si>
    <t>O43819</t>
  </si>
  <si>
    <t>O43820-4</t>
  </si>
  <si>
    <t>O43823</t>
  </si>
  <si>
    <t>O43824</t>
  </si>
  <si>
    <t>O43826</t>
  </si>
  <si>
    <t>O43829</t>
  </si>
  <si>
    <t>O43837</t>
  </si>
  <si>
    <t>O43852</t>
  </si>
  <si>
    <t>O43865</t>
  </si>
  <si>
    <t>O43896</t>
  </si>
  <si>
    <t>O43913</t>
  </si>
  <si>
    <t>O43920</t>
  </si>
  <si>
    <t>O43924</t>
  </si>
  <si>
    <t>O43930</t>
  </si>
  <si>
    <t>O43933</t>
  </si>
  <si>
    <t>O60216</t>
  </si>
  <si>
    <t>O60220</t>
  </si>
  <si>
    <t>O60231</t>
  </si>
  <si>
    <t>O60234</t>
  </si>
  <si>
    <t>O60256</t>
  </si>
  <si>
    <t>O60264</t>
  </si>
  <si>
    <t>O60271-4</t>
  </si>
  <si>
    <t>O60293-2</t>
  </si>
  <si>
    <t>O60294</t>
  </si>
  <si>
    <t>O60306</t>
  </si>
  <si>
    <t>O60307</t>
  </si>
  <si>
    <t>O60308-3</t>
  </si>
  <si>
    <t>O60313-2</t>
  </si>
  <si>
    <t>O60315-2</t>
  </si>
  <si>
    <t>O60333-2</t>
  </si>
  <si>
    <t>O60337-5</t>
  </si>
  <si>
    <t>O60341</t>
  </si>
  <si>
    <t>O60343-2</t>
  </si>
  <si>
    <t>O60344-4</t>
  </si>
  <si>
    <t>O60427</t>
  </si>
  <si>
    <t>O60476</t>
  </si>
  <si>
    <t>O60488-2</t>
  </si>
  <si>
    <t>O60493</t>
  </si>
  <si>
    <t>O60502</t>
  </si>
  <si>
    <t>O60506-3</t>
  </si>
  <si>
    <t>O60512</t>
  </si>
  <si>
    <t>O60518</t>
  </si>
  <si>
    <t>O60524-4</t>
  </si>
  <si>
    <t>O60547-2</t>
  </si>
  <si>
    <t>O60563</t>
  </si>
  <si>
    <t>O60566</t>
  </si>
  <si>
    <t>O60568</t>
  </si>
  <si>
    <t>O60613</t>
  </si>
  <si>
    <t>O60645-3</t>
  </si>
  <si>
    <t>O60664</t>
  </si>
  <si>
    <t>O60671</t>
  </si>
  <si>
    <t>O60678</t>
  </si>
  <si>
    <t>O60701</t>
  </si>
  <si>
    <t>O60704</t>
  </si>
  <si>
    <t>O60716-5</t>
  </si>
  <si>
    <t>O60725</t>
  </si>
  <si>
    <t>O60732</t>
  </si>
  <si>
    <t>O60739</t>
  </si>
  <si>
    <t>O60749</t>
  </si>
  <si>
    <t>O60763</t>
  </si>
  <si>
    <t>O60826</t>
  </si>
  <si>
    <t>O60828</t>
  </si>
  <si>
    <t>O60829</t>
  </si>
  <si>
    <t>O60830</t>
  </si>
  <si>
    <t>O60832</t>
  </si>
  <si>
    <t>O60841</t>
  </si>
  <si>
    <t>O60869</t>
  </si>
  <si>
    <t>O60870</t>
  </si>
  <si>
    <t>O60884</t>
  </si>
  <si>
    <t>O60885</t>
  </si>
  <si>
    <t>O60888-3</t>
  </si>
  <si>
    <t>O60911</t>
  </si>
  <si>
    <t>O60925</t>
  </si>
  <si>
    <t>O60927</t>
  </si>
  <si>
    <t>O60930</t>
  </si>
  <si>
    <t>O60934</t>
  </si>
  <si>
    <t>O60942</t>
  </si>
  <si>
    <t>O75027</t>
  </si>
  <si>
    <t>O75044</t>
  </si>
  <si>
    <t>O75054</t>
  </si>
  <si>
    <t>O75061-4</t>
  </si>
  <si>
    <t>O75063</t>
  </si>
  <si>
    <t>O75083</t>
  </si>
  <si>
    <t>O75113</t>
  </si>
  <si>
    <t>O75116</t>
  </si>
  <si>
    <t>O75131</t>
  </si>
  <si>
    <t>O75143-3</t>
  </si>
  <si>
    <t>O75146</t>
  </si>
  <si>
    <t>O75150</t>
  </si>
  <si>
    <t>O75152</t>
  </si>
  <si>
    <t>O75153</t>
  </si>
  <si>
    <t>O75155</t>
  </si>
  <si>
    <t>O75157-2</t>
  </si>
  <si>
    <t>O75164</t>
  </si>
  <si>
    <t>O75165</t>
  </si>
  <si>
    <t>O75170-2</t>
  </si>
  <si>
    <t>O75175</t>
  </si>
  <si>
    <t>O75179-2</t>
  </si>
  <si>
    <t>O75191</t>
  </si>
  <si>
    <t>O75208</t>
  </si>
  <si>
    <t>O75223</t>
  </si>
  <si>
    <t>O75306</t>
  </si>
  <si>
    <t>O75312</t>
  </si>
  <si>
    <t>O75323</t>
  </si>
  <si>
    <t>O75330-2</t>
  </si>
  <si>
    <t>O75340</t>
  </si>
  <si>
    <t>O75347</t>
  </si>
  <si>
    <t>O75348</t>
  </si>
  <si>
    <t>O75351</t>
  </si>
  <si>
    <t>O75362</t>
  </si>
  <si>
    <t>O75368</t>
  </si>
  <si>
    <t>O75369-8</t>
  </si>
  <si>
    <t>O75376</t>
  </si>
  <si>
    <t>O75379</t>
  </si>
  <si>
    <t>O75380</t>
  </si>
  <si>
    <t>O75381-2</t>
  </si>
  <si>
    <t>O75387</t>
  </si>
  <si>
    <t>O75391</t>
  </si>
  <si>
    <t>O75396</t>
  </si>
  <si>
    <t>O75400</t>
  </si>
  <si>
    <t>O75419-2</t>
  </si>
  <si>
    <t>O75420</t>
  </si>
  <si>
    <t>O75427</t>
  </si>
  <si>
    <t>O75436</t>
  </si>
  <si>
    <t>O75438</t>
  </si>
  <si>
    <t>O75439</t>
  </si>
  <si>
    <t>O75446</t>
  </si>
  <si>
    <t>O75449</t>
  </si>
  <si>
    <t>O75452</t>
  </si>
  <si>
    <t>O75459</t>
  </si>
  <si>
    <t>O75475</t>
  </si>
  <si>
    <t>O75475-3</t>
  </si>
  <si>
    <t>O75477</t>
  </si>
  <si>
    <t>O75489</t>
  </si>
  <si>
    <t>O75503</t>
  </si>
  <si>
    <t>O75506</t>
  </si>
  <si>
    <t>O75521-2</t>
  </si>
  <si>
    <t>O75528</t>
  </si>
  <si>
    <t>O75530-3</t>
  </si>
  <si>
    <t>O75531</t>
  </si>
  <si>
    <t>O75533</t>
  </si>
  <si>
    <t>O75534</t>
  </si>
  <si>
    <t>O75554</t>
  </si>
  <si>
    <t>O75570</t>
  </si>
  <si>
    <t>O75600</t>
  </si>
  <si>
    <t>O75607</t>
  </si>
  <si>
    <t>O75608-2</t>
  </si>
  <si>
    <t>O75616</t>
  </si>
  <si>
    <t>O75629</t>
  </si>
  <si>
    <t>O75635-2</t>
  </si>
  <si>
    <t>O75643</t>
  </si>
  <si>
    <t>O75648</t>
  </si>
  <si>
    <t>O75663</t>
  </si>
  <si>
    <t>O75688</t>
  </si>
  <si>
    <t>O75691</t>
  </si>
  <si>
    <t>O75695</t>
  </si>
  <si>
    <t>O75717</t>
  </si>
  <si>
    <t>O75746</t>
  </si>
  <si>
    <t>O75781</t>
  </si>
  <si>
    <t>O75791</t>
  </si>
  <si>
    <t>O75792</t>
  </si>
  <si>
    <t>O75794</t>
  </si>
  <si>
    <t>O75808</t>
  </si>
  <si>
    <t>O75818-2</t>
  </si>
  <si>
    <t>O75821</t>
  </si>
  <si>
    <t>O75822</t>
  </si>
  <si>
    <t>O75828</t>
  </si>
  <si>
    <t>O75844</t>
  </si>
  <si>
    <t>O75874</t>
  </si>
  <si>
    <t>O75882-3</t>
  </si>
  <si>
    <t>O75886</t>
  </si>
  <si>
    <t>O75896</t>
  </si>
  <si>
    <t>O75909</t>
  </si>
  <si>
    <t>O75911</t>
  </si>
  <si>
    <t>O75915</t>
  </si>
  <si>
    <t>O75928-2</t>
  </si>
  <si>
    <t>O75934</t>
  </si>
  <si>
    <t>O75935-3</t>
  </si>
  <si>
    <t>O75937</t>
  </si>
  <si>
    <t>O75940</t>
  </si>
  <si>
    <t>O75943-4</t>
  </si>
  <si>
    <t>O75947</t>
  </si>
  <si>
    <t>O75955</t>
  </si>
  <si>
    <t>O75964</t>
  </si>
  <si>
    <t>O75976</t>
  </si>
  <si>
    <t>O76003</t>
  </si>
  <si>
    <t>O76031</t>
  </si>
  <si>
    <t>O76041-2</t>
  </si>
  <si>
    <t>O76070</t>
  </si>
  <si>
    <t>O76071</t>
  </si>
  <si>
    <t>O76075-2</t>
  </si>
  <si>
    <t>O76080</t>
  </si>
  <si>
    <t>O76094</t>
  </si>
  <si>
    <t>O76095-2</t>
  </si>
  <si>
    <t>O94762</t>
  </si>
  <si>
    <t>O94763</t>
  </si>
  <si>
    <t>O94766</t>
  </si>
  <si>
    <t>O94776</t>
  </si>
  <si>
    <t>O94782</t>
  </si>
  <si>
    <t>O94788</t>
  </si>
  <si>
    <t>O94804</t>
  </si>
  <si>
    <t>O94822</t>
  </si>
  <si>
    <t>O94826</t>
  </si>
  <si>
    <t>O94829</t>
  </si>
  <si>
    <t>O94830</t>
  </si>
  <si>
    <t>O94832</t>
  </si>
  <si>
    <t>O94851-5</t>
  </si>
  <si>
    <t>O94854-2</t>
  </si>
  <si>
    <t>O94855</t>
  </si>
  <si>
    <t>O94864-2</t>
  </si>
  <si>
    <t>O94874</t>
  </si>
  <si>
    <t>O94880</t>
  </si>
  <si>
    <t>O94885</t>
  </si>
  <si>
    <t>O94886</t>
  </si>
  <si>
    <t>O94888</t>
  </si>
  <si>
    <t>O94889</t>
  </si>
  <si>
    <t>O94898</t>
  </si>
  <si>
    <t>O94903</t>
  </si>
  <si>
    <t>O94905</t>
  </si>
  <si>
    <t>O94906-2</t>
  </si>
  <si>
    <t>O94913</t>
  </si>
  <si>
    <t>O94916</t>
  </si>
  <si>
    <t>O94919</t>
  </si>
  <si>
    <t>O94925-3</t>
  </si>
  <si>
    <t>O94927</t>
  </si>
  <si>
    <t>O94966-7</t>
  </si>
  <si>
    <t>O94967-2</t>
  </si>
  <si>
    <t>O94973</t>
  </si>
  <si>
    <t>O94973-2</t>
  </si>
  <si>
    <t>O94992</t>
  </si>
  <si>
    <t>O95067</t>
  </si>
  <si>
    <t>O95081</t>
  </si>
  <si>
    <t>O95104-3</t>
  </si>
  <si>
    <t>O95139</t>
  </si>
  <si>
    <t>O95140</t>
  </si>
  <si>
    <t>O95155-2</t>
  </si>
  <si>
    <t>O95159</t>
  </si>
  <si>
    <t>O95163</t>
  </si>
  <si>
    <t>O95167</t>
  </si>
  <si>
    <t>O95168</t>
  </si>
  <si>
    <t>O95182</t>
  </si>
  <si>
    <t>O95197-2</t>
  </si>
  <si>
    <t>O95202</t>
  </si>
  <si>
    <t>O95218-2</t>
  </si>
  <si>
    <t>O95229</t>
  </si>
  <si>
    <t>O95231</t>
  </si>
  <si>
    <t>O95232</t>
  </si>
  <si>
    <t>O95239</t>
  </si>
  <si>
    <t>O95251-2</t>
  </si>
  <si>
    <t>O95273</t>
  </si>
  <si>
    <t>O95292</t>
  </si>
  <si>
    <t>O95295</t>
  </si>
  <si>
    <t>O95297-2</t>
  </si>
  <si>
    <t>O95298-2</t>
  </si>
  <si>
    <t>O95302</t>
  </si>
  <si>
    <t>O95336</t>
  </si>
  <si>
    <t>O95347</t>
  </si>
  <si>
    <t>O95352</t>
  </si>
  <si>
    <t>O95363</t>
  </si>
  <si>
    <t>O95365</t>
  </si>
  <si>
    <t>O95372</t>
  </si>
  <si>
    <t>O95373</t>
  </si>
  <si>
    <t>O95376</t>
  </si>
  <si>
    <t>O95391</t>
  </si>
  <si>
    <t>O95394</t>
  </si>
  <si>
    <t>O95396</t>
  </si>
  <si>
    <t>O95400</t>
  </si>
  <si>
    <t>O95402</t>
  </si>
  <si>
    <t>O95405-2</t>
  </si>
  <si>
    <t>O95429-2</t>
  </si>
  <si>
    <t>O95433</t>
  </si>
  <si>
    <t>O95453-2</t>
  </si>
  <si>
    <t>O95455</t>
  </si>
  <si>
    <t>O95456-2</t>
  </si>
  <si>
    <t>O95466-2</t>
  </si>
  <si>
    <t>O95470</t>
  </si>
  <si>
    <t>O95486</t>
  </si>
  <si>
    <t>O95487-2</t>
  </si>
  <si>
    <t>O95544</t>
  </si>
  <si>
    <t>O95551</t>
  </si>
  <si>
    <t>O95571</t>
  </si>
  <si>
    <t>O95573</t>
  </si>
  <si>
    <t>O95602</t>
  </si>
  <si>
    <t>O95613-2</t>
  </si>
  <si>
    <t>O95619</t>
  </si>
  <si>
    <t>O95620</t>
  </si>
  <si>
    <t>O95628-3</t>
  </si>
  <si>
    <t>O95630</t>
  </si>
  <si>
    <t>O95671-2</t>
  </si>
  <si>
    <t>O95684</t>
  </si>
  <si>
    <t>O95721</t>
  </si>
  <si>
    <t>O95747</t>
  </si>
  <si>
    <t>O95749</t>
  </si>
  <si>
    <t>O95758-1</t>
  </si>
  <si>
    <t>O95777</t>
  </si>
  <si>
    <t>O95782-2</t>
  </si>
  <si>
    <t>O95801</t>
  </si>
  <si>
    <t>O95807</t>
  </si>
  <si>
    <t>O95810</t>
  </si>
  <si>
    <t>O95816</t>
  </si>
  <si>
    <t>O95817</t>
  </si>
  <si>
    <t>O95825</t>
  </si>
  <si>
    <t>O95831-3</t>
  </si>
  <si>
    <t>O95834</t>
  </si>
  <si>
    <t>O95835</t>
  </si>
  <si>
    <t>O95857</t>
  </si>
  <si>
    <t>O95865</t>
  </si>
  <si>
    <t>O95873</t>
  </si>
  <si>
    <t>O95881</t>
  </si>
  <si>
    <t>O95905</t>
  </si>
  <si>
    <t>O95926</t>
  </si>
  <si>
    <t>O95983-2</t>
  </si>
  <si>
    <t>O95985</t>
  </si>
  <si>
    <t>O95989</t>
  </si>
  <si>
    <t>O95997</t>
  </si>
  <si>
    <t>O95999</t>
  </si>
  <si>
    <t>O96000</t>
  </si>
  <si>
    <t>O96007</t>
  </si>
  <si>
    <t>O96008</t>
  </si>
  <si>
    <t>O96011-2</t>
  </si>
  <si>
    <t>O96013</t>
  </si>
  <si>
    <t>O96017</t>
  </si>
  <si>
    <t>O96019</t>
  </si>
  <si>
    <t>O96033</t>
  </si>
  <si>
    <t>P00338</t>
  </si>
  <si>
    <t>P00352</t>
  </si>
  <si>
    <t>P00367</t>
  </si>
  <si>
    <t>P00374</t>
  </si>
  <si>
    <t>P00387-2</t>
  </si>
  <si>
    <t>P00390-5</t>
  </si>
  <si>
    <t>P00403</t>
  </si>
  <si>
    <t>P00441</t>
  </si>
  <si>
    <t>P00491</t>
  </si>
  <si>
    <t>P00492</t>
  </si>
  <si>
    <t>P00505</t>
  </si>
  <si>
    <t>P00519</t>
  </si>
  <si>
    <t>P00558</t>
  </si>
  <si>
    <t>P01034</t>
  </si>
  <si>
    <t>P01111</t>
  </si>
  <si>
    <t>P01112</t>
  </si>
  <si>
    <t>P01116</t>
  </si>
  <si>
    <t>P01116-2</t>
  </si>
  <si>
    <t>P01137</t>
  </si>
  <si>
    <t>P02008</t>
  </si>
  <si>
    <t>P02042</t>
  </si>
  <si>
    <t>P02100</t>
  </si>
  <si>
    <t>P02545</t>
  </si>
  <si>
    <t>P02545-2</t>
  </si>
  <si>
    <t>P02549</t>
  </si>
  <si>
    <t>P02649</t>
  </si>
  <si>
    <t>P02730</t>
  </si>
  <si>
    <t>P02786</t>
  </si>
  <si>
    <t>P02792</t>
  </si>
  <si>
    <t>P02794</t>
  </si>
  <si>
    <t>P03928</t>
  </si>
  <si>
    <t>P04035</t>
  </si>
  <si>
    <t>P04040</t>
  </si>
  <si>
    <t>P04066</t>
  </si>
  <si>
    <t>P04075</t>
  </si>
  <si>
    <t>P04080</t>
  </si>
  <si>
    <t>P04083</t>
  </si>
  <si>
    <t>P04114</t>
  </si>
  <si>
    <t>P04150-7</t>
  </si>
  <si>
    <t>P04181</t>
  </si>
  <si>
    <t>P04183</t>
  </si>
  <si>
    <t>P04406</t>
  </si>
  <si>
    <t>P04406-2</t>
  </si>
  <si>
    <t>P04424-2</t>
  </si>
  <si>
    <t>P04632</t>
  </si>
  <si>
    <t>P04792</t>
  </si>
  <si>
    <t>P04818</t>
  </si>
  <si>
    <t>P04843</t>
  </si>
  <si>
    <t>P04844-2</t>
  </si>
  <si>
    <t>P04899</t>
  </si>
  <si>
    <t>P04920-2</t>
  </si>
  <si>
    <t>P04921-2</t>
  </si>
  <si>
    <t>P05023-4</t>
  </si>
  <si>
    <t>P05091</t>
  </si>
  <si>
    <t>P05114</t>
  </si>
  <si>
    <t>P05141</t>
  </si>
  <si>
    <t>P05161</t>
  </si>
  <si>
    <t>P05165-3</t>
  </si>
  <si>
    <t>P05198</t>
  </si>
  <si>
    <t>P05204</t>
  </si>
  <si>
    <t>P05362</t>
  </si>
  <si>
    <t>P05386</t>
  </si>
  <si>
    <t>P05387</t>
  </si>
  <si>
    <t>P05388</t>
  </si>
  <si>
    <t>P05412</t>
  </si>
  <si>
    <t>P05423</t>
  </si>
  <si>
    <t>P05455</t>
  </si>
  <si>
    <t>P05556</t>
  </si>
  <si>
    <t>P05771-2</t>
  </si>
  <si>
    <t>P05783</t>
  </si>
  <si>
    <t>P05937</t>
  </si>
  <si>
    <t>P06132</t>
  </si>
  <si>
    <t>P06280</t>
  </si>
  <si>
    <t>P06400</t>
  </si>
  <si>
    <t>P06493</t>
  </si>
  <si>
    <t>P06576</t>
  </si>
  <si>
    <t>P06733</t>
  </si>
  <si>
    <t>P06733-2</t>
  </si>
  <si>
    <t>P06744</t>
  </si>
  <si>
    <t>P06748</t>
  </si>
  <si>
    <t>P06748-3</t>
  </si>
  <si>
    <t>P06753-2</t>
  </si>
  <si>
    <t>P06753-3</t>
  </si>
  <si>
    <t>P06756-3</t>
  </si>
  <si>
    <t>P07099</t>
  </si>
  <si>
    <t>P07108</t>
  </si>
  <si>
    <t>P07195</t>
  </si>
  <si>
    <t>P07205</t>
  </si>
  <si>
    <t>P07225</t>
  </si>
  <si>
    <t>P07237</t>
  </si>
  <si>
    <t>P07339</t>
  </si>
  <si>
    <t>P07355</t>
  </si>
  <si>
    <t>P07384</t>
  </si>
  <si>
    <t>P07686</t>
  </si>
  <si>
    <t>P07711</t>
  </si>
  <si>
    <t>P07737</t>
  </si>
  <si>
    <t>P07738</t>
  </si>
  <si>
    <t>P07741</t>
  </si>
  <si>
    <t>P07814</t>
  </si>
  <si>
    <t>P07858</t>
  </si>
  <si>
    <t>P07900</t>
  </si>
  <si>
    <t>P07902</t>
  </si>
  <si>
    <t>P07919</t>
  </si>
  <si>
    <t>P07948-2</t>
  </si>
  <si>
    <t>P07954-2</t>
  </si>
  <si>
    <t>P08047</t>
  </si>
  <si>
    <t>P08107</t>
  </si>
  <si>
    <t>P08123</t>
  </si>
  <si>
    <t>P08133-2</t>
  </si>
  <si>
    <t>P08237</t>
  </si>
  <si>
    <t>P08238</t>
  </si>
  <si>
    <t>P08240</t>
  </si>
  <si>
    <t>P08243-2</t>
  </si>
  <si>
    <t>P08397-2</t>
  </si>
  <si>
    <t>P08559-3</t>
  </si>
  <si>
    <t>P08574</t>
  </si>
  <si>
    <t>P08579</t>
  </si>
  <si>
    <t>P08590</t>
  </si>
  <si>
    <t>P08603</t>
  </si>
  <si>
    <t>P08621</t>
  </si>
  <si>
    <t>P08648</t>
  </si>
  <si>
    <t>P08651-4</t>
  </si>
  <si>
    <t>P08670</t>
  </si>
  <si>
    <t>P08754</t>
  </si>
  <si>
    <t>P08758</t>
  </si>
  <si>
    <t>P09012</t>
  </si>
  <si>
    <t>P09038-2</t>
  </si>
  <si>
    <t>P09104</t>
  </si>
  <si>
    <t>P09105</t>
  </si>
  <si>
    <t>P09110</t>
  </si>
  <si>
    <t>P09132</t>
  </si>
  <si>
    <t>P09211</t>
  </si>
  <si>
    <t>P09234</t>
  </si>
  <si>
    <t>P09382</t>
  </si>
  <si>
    <t>P09417</t>
  </si>
  <si>
    <t>P09429</t>
  </si>
  <si>
    <t>P09493-8</t>
  </si>
  <si>
    <t>P09496-2</t>
  </si>
  <si>
    <t>P09497-2</t>
  </si>
  <si>
    <t>P09525</t>
  </si>
  <si>
    <t>P09543-2</t>
  </si>
  <si>
    <t>P09622</t>
  </si>
  <si>
    <t>P09661</t>
  </si>
  <si>
    <t>P09668</t>
  </si>
  <si>
    <t>P09669</t>
  </si>
  <si>
    <t>P09874</t>
  </si>
  <si>
    <t>P09958</t>
  </si>
  <si>
    <t>P09960</t>
  </si>
  <si>
    <t>P09972</t>
  </si>
  <si>
    <t>P0C2W1</t>
  </si>
  <si>
    <t>P0C7P0</t>
  </si>
  <si>
    <t>P0C7P4</t>
  </si>
  <si>
    <t>P0C7T5</t>
  </si>
  <si>
    <t>P0C869-8</t>
  </si>
  <si>
    <t>P0CG12</t>
  </si>
  <si>
    <t>P0CW22</t>
  </si>
  <si>
    <t>P0DJ93</t>
  </si>
  <si>
    <t>P10109</t>
  </si>
  <si>
    <t>P10124</t>
  </si>
  <si>
    <t>P10155</t>
  </si>
  <si>
    <t>P10244</t>
  </si>
  <si>
    <t>P10301</t>
  </si>
  <si>
    <t>P10398</t>
  </si>
  <si>
    <t>P10412</t>
  </si>
  <si>
    <t>P10586-2</t>
  </si>
  <si>
    <t>P10588</t>
  </si>
  <si>
    <t>P10599</t>
  </si>
  <si>
    <t>P10606</t>
  </si>
  <si>
    <t>P10619</t>
  </si>
  <si>
    <t>P10644</t>
  </si>
  <si>
    <t>P10746</t>
  </si>
  <si>
    <t>P10768</t>
  </si>
  <si>
    <t>P10809</t>
  </si>
  <si>
    <t>P11021</t>
  </si>
  <si>
    <t>P11142</t>
  </si>
  <si>
    <t>P11166</t>
  </si>
  <si>
    <t>P11169</t>
  </si>
  <si>
    <t>P11171</t>
  </si>
  <si>
    <t>P11172</t>
  </si>
  <si>
    <t>P11177-3</t>
  </si>
  <si>
    <t>P11182</t>
  </si>
  <si>
    <t>P11216</t>
  </si>
  <si>
    <t>P11233</t>
  </si>
  <si>
    <t>P11234</t>
  </si>
  <si>
    <t>P11274-2</t>
  </si>
  <si>
    <t>P11277-3</t>
  </si>
  <si>
    <t>P11279</t>
  </si>
  <si>
    <t>P11387</t>
  </si>
  <si>
    <t>P11388</t>
  </si>
  <si>
    <t>P11413</t>
  </si>
  <si>
    <t>P11441</t>
  </si>
  <si>
    <t>P11474-2</t>
  </si>
  <si>
    <t>P11498</t>
  </si>
  <si>
    <t>P11717</t>
  </si>
  <si>
    <t>P11766</t>
  </si>
  <si>
    <t>P11802</t>
  </si>
  <si>
    <t>P11908</t>
  </si>
  <si>
    <t>P11940</t>
  </si>
  <si>
    <t>P12004</t>
  </si>
  <si>
    <t>P12036-2</t>
  </si>
  <si>
    <t>P12081</t>
  </si>
  <si>
    <t>P12235</t>
  </si>
  <si>
    <t>P12236</t>
  </si>
  <si>
    <t>P12270</t>
  </si>
  <si>
    <t>P12277</t>
  </si>
  <si>
    <t>P12318-2</t>
  </si>
  <si>
    <t>P12429</t>
  </si>
  <si>
    <t>P12532</t>
  </si>
  <si>
    <t>P12755</t>
  </si>
  <si>
    <t>P12814-2</t>
  </si>
  <si>
    <t>P12829</t>
  </si>
  <si>
    <t>P12882</t>
  </si>
  <si>
    <t>P12931</t>
  </si>
  <si>
    <t>P12956</t>
  </si>
  <si>
    <t>P13010</t>
  </si>
  <si>
    <t>P13056</t>
  </si>
  <si>
    <t>P13073</t>
  </si>
  <si>
    <t>P13196</t>
  </si>
  <si>
    <t>P13224</t>
  </si>
  <si>
    <t>P13284</t>
  </si>
  <si>
    <t>P13473-2</t>
  </si>
  <si>
    <t>P13489</t>
  </si>
  <si>
    <t>P13498</t>
  </si>
  <si>
    <t>P13533</t>
  </si>
  <si>
    <t>P13639</t>
  </si>
  <si>
    <t>P13667</t>
  </si>
  <si>
    <t>P13674-2</t>
  </si>
  <si>
    <t>P13693</t>
  </si>
  <si>
    <t>P13796</t>
  </si>
  <si>
    <t>P13804</t>
  </si>
  <si>
    <t>P13861</t>
  </si>
  <si>
    <t>P13929-2</t>
  </si>
  <si>
    <t>P13984</t>
  </si>
  <si>
    <t>P14174</t>
  </si>
  <si>
    <t>P14209-3</t>
  </si>
  <si>
    <t>P14316-2</t>
  </si>
  <si>
    <t>P14317</t>
  </si>
  <si>
    <t>P14324-2</t>
  </si>
  <si>
    <t>P14415</t>
  </si>
  <si>
    <t>P14550</t>
  </si>
  <si>
    <t>P14618</t>
  </si>
  <si>
    <t>P14618-2</t>
  </si>
  <si>
    <t>P14625</t>
  </si>
  <si>
    <t>P14635</t>
  </si>
  <si>
    <t>P14649</t>
  </si>
  <si>
    <t>P14678-2</t>
  </si>
  <si>
    <t>P14735</t>
  </si>
  <si>
    <t>P14854</t>
  </si>
  <si>
    <t>P14866</t>
  </si>
  <si>
    <t>P14868</t>
  </si>
  <si>
    <t>P14923</t>
  </si>
  <si>
    <t>P14927</t>
  </si>
  <si>
    <t>P15056</t>
  </si>
  <si>
    <t>P15104</t>
  </si>
  <si>
    <t>P15121</t>
  </si>
  <si>
    <t>P15151-3</t>
  </si>
  <si>
    <t>P15153</t>
  </si>
  <si>
    <t>P15170-2</t>
  </si>
  <si>
    <t>P15289-2</t>
  </si>
  <si>
    <t>P15291-2</t>
  </si>
  <si>
    <t>P15311</t>
  </si>
  <si>
    <t>P15374</t>
  </si>
  <si>
    <t>P15407</t>
  </si>
  <si>
    <t>P15529-16</t>
  </si>
  <si>
    <t>P15531</t>
  </si>
  <si>
    <t>P15848</t>
  </si>
  <si>
    <t>P15880</t>
  </si>
  <si>
    <t>P15907</t>
  </si>
  <si>
    <t>P15923</t>
  </si>
  <si>
    <t>P15923-2</t>
  </si>
  <si>
    <t>P15927</t>
  </si>
  <si>
    <t>P16150</t>
  </si>
  <si>
    <t>P16152</t>
  </si>
  <si>
    <t>P16157-10</t>
  </si>
  <si>
    <t>P16219</t>
  </si>
  <si>
    <t>P16220-2</t>
  </si>
  <si>
    <t>P16284-3</t>
  </si>
  <si>
    <t>P16298</t>
  </si>
  <si>
    <t>P16333</t>
  </si>
  <si>
    <t>P16383</t>
  </si>
  <si>
    <t>P16401</t>
  </si>
  <si>
    <t>P16435</t>
  </si>
  <si>
    <t>P16591-3</t>
  </si>
  <si>
    <t>P16615</t>
  </si>
  <si>
    <t>P16930</t>
  </si>
  <si>
    <t>P16949</t>
  </si>
  <si>
    <t>P16989</t>
  </si>
  <si>
    <t>P17017</t>
  </si>
  <si>
    <t>P17028</t>
  </si>
  <si>
    <t>P17050</t>
  </si>
  <si>
    <t>P17066</t>
  </si>
  <si>
    <t>P17096-2</t>
  </si>
  <si>
    <t>P17152</t>
  </si>
  <si>
    <t>P17174</t>
  </si>
  <si>
    <t>P17252</t>
  </si>
  <si>
    <t>P17275</t>
  </si>
  <si>
    <t>P17482</t>
  </si>
  <si>
    <t>P17483</t>
  </si>
  <si>
    <t>P17535</t>
  </si>
  <si>
    <t>P17544-4</t>
  </si>
  <si>
    <t>P17568</t>
  </si>
  <si>
    <t>P17612</t>
  </si>
  <si>
    <t>P17655</t>
  </si>
  <si>
    <t>P17676</t>
  </si>
  <si>
    <t>P17706-2</t>
  </si>
  <si>
    <t>P17812</t>
  </si>
  <si>
    <t>P17844</t>
  </si>
  <si>
    <t>P17858</t>
  </si>
  <si>
    <t>P17987</t>
  </si>
  <si>
    <t>P18031</t>
  </si>
  <si>
    <t>P18074</t>
  </si>
  <si>
    <t>P18084</t>
  </si>
  <si>
    <t>P18085</t>
  </si>
  <si>
    <t>P18124</t>
  </si>
  <si>
    <t>P18146</t>
  </si>
  <si>
    <t>P18206-2</t>
  </si>
  <si>
    <t>P18583-6</t>
  </si>
  <si>
    <t>P18615</t>
  </si>
  <si>
    <t>P18669</t>
  </si>
  <si>
    <t>P18754-2</t>
  </si>
  <si>
    <t>P18846</t>
  </si>
  <si>
    <t>P18850</t>
  </si>
  <si>
    <t>P18859</t>
  </si>
  <si>
    <t>P19174-2</t>
  </si>
  <si>
    <t>P19338</t>
  </si>
  <si>
    <t>P19367-2</t>
  </si>
  <si>
    <t>P19387</t>
  </si>
  <si>
    <t>P19388</t>
  </si>
  <si>
    <t>P19419</t>
  </si>
  <si>
    <t>P19447</t>
  </si>
  <si>
    <t>P19525-2</t>
  </si>
  <si>
    <t>P19532</t>
  </si>
  <si>
    <t>P19623</t>
  </si>
  <si>
    <t>P19784</t>
  </si>
  <si>
    <t>P19838</t>
  </si>
  <si>
    <t>P20020-6</t>
  </si>
  <si>
    <t>P20042</t>
  </si>
  <si>
    <t>P20138-2</t>
  </si>
  <si>
    <t>P20248</t>
  </si>
  <si>
    <t>P20290</t>
  </si>
  <si>
    <t>P20290-2</t>
  </si>
  <si>
    <t>P20333</t>
  </si>
  <si>
    <t>P20336</t>
  </si>
  <si>
    <t>P20338</t>
  </si>
  <si>
    <t>P20340</t>
  </si>
  <si>
    <t>P20340-2</t>
  </si>
  <si>
    <t>P20585</t>
  </si>
  <si>
    <t>P20618</t>
  </si>
  <si>
    <t>P20645</t>
  </si>
  <si>
    <t>P20674</t>
  </si>
  <si>
    <t>P20700</t>
  </si>
  <si>
    <t>P20933</t>
  </si>
  <si>
    <t>P20962</t>
  </si>
  <si>
    <t>P21127-8</t>
  </si>
  <si>
    <t>P21281</t>
  </si>
  <si>
    <t>P21283</t>
  </si>
  <si>
    <t>P21291</t>
  </si>
  <si>
    <t>P21333-2</t>
  </si>
  <si>
    <t>P21399</t>
  </si>
  <si>
    <t>P21580</t>
  </si>
  <si>
    <t>P21695-2</t>
  </si>
  <si>
    <t>P21731</t>
  </si>
  <si>
    <t>P21796</t>
  </si>
  <si>
    <t>P21912</t>
  </si>
  <si>
    <t>P21964-2</t>
  </si>
  <si>
    <t>P21980</t>
  </si>
  <si>
    <t>P22033</t>
  </si>
  <si>
    <t>P22059</t>
  </si>
  <si>
    <t>P22102</t>
  </si>
  <si>
    <t>P22234</t>
  </si>
  <si>
    <t>P22307</t>
  </si>
  <si>
    <t>P22307-2</t>
  </si>
  <si>
    <t>P22314</t>
  </si>
  <si>
    <t>P22466</t>
  </si>
  <si>
    <t>P22532</t>
  </si>
  <si>
    <t>P22570</t>
  </si>
  <si>
    <t>P22626-2</t>
  </si>
  <si>
    <t>P22670</t>
  </si>
  <si>
    <t>P22681</t>
  </si>
  <si>
    <t>P22692</t>
  </si>
  <si>
    <t>P22695</t>
  </si>
  <si>
    <t>P22830</t>
  </si>
  <si>
    <t>P23025</t>
  </si>
  <si>
    <t>P23193</t>
  </si>
  <si>
    <t>P23246</t>
  </si>
  <si>
    <t>P23258</t>
  </si>
  <si>
    <t>P23284</t>
  </si>
  <si>
    <t>P23368</t>
  </si>
  <si>
    <t>P23381</t>
  </si>
  <si>
    <t>P23396</t>
  </si>
  <si>
    <t>P23434</t>
  </si>
  <si>
    <t>P23497</t>
  </si>
  <si>
    <t>P23511-2</t>
  </si>
  <si>
    <t>P23526</t>
  </si>
  <si>
    <t>P23528</t>
  </si>
  <si>
    <t>P23634-7</t>
  </si>
  <si>
    <t>P23677</t>
  </si>
  <si>
    <t>P23743</t>
  </si>
  <si>
    <t>P23786</t>
  </si>
  <si>
    <t>P23919</t>
  </si>
  <si>
    <t>P23921</t>
  </si>
  <si>
    <t>P24468</t>
  </si>
  <si>
    <t>P24534</t>
  </si>
  <si>
    <t>P24666</t>
  </si>
  <si>
    <t>P24666-2</t>
  </si>
  <si>
    <t>P24752</t>
  </si>
  <si>
    <t>P24928</t>
  </si>
  <si>
    <t>P25098</t>
  </si>
  <si>
    <t>P25116</t>
  </si>
  <si>
    <t>P25205</t>
  </si>
  <si>
    <t>P25398</t>
  </si>
  <si>
    <t>P25490</t>
  </si>
  <si>
    <t>P25685</t>
  </si>
  <si>
    <t>P25705</t>
  </si>
  <si>
    <t>P25774-2</t>
  </si>
  <si>
    <t>P25786</t>
  </si>
  <si>
    <t>P25787</t>
  </si>
  <si>
    <t>P25788-2</t>
  </si>
  <si>
    <t>P25789</t>
  </si>
  <si>
    <t>P25791</t>
  </si>
  <si>
    <t>P25815</t>
  </si>
  <si>
    <t>P26038</t>
  </si>
  <si>
    <t>P26196</t>
  </si>
  <si>
    <t>P26358</t>
  </si>
  <si>
    <t>P26358-2</t>
  </si>
  <si>
    <t>P26368-2</t>
  </si>
  <si>
    <t>P26373</t>
  </si>
  <si>
    <t>P26374</t>
  </si>
  <si>
    <t>P26447</t>
  </si>
  <si>
    <t>P26572</t>
  </si>
  <si>
    <t>P26583</t>
  </si>
  <si>
    <t>P26599</t>
  </si>
  <si>
    <t>P26639</t>
  </si>
  <si>
    <t>P26640</t>
  </si>
  <si>
    <t>P26641</t>
  </si>
  <si>
    <t>P26885</t>
  </si>
  <si>
    <t>P27144</t>
  </si>
  <si>
    <t>P27348</t>
  </si>
  <si>
    <t>P27361</t>
  </si>
  <si>
    <t>P27540-2</t>
  </si>
  <si>
    <t>P27635</t>
  </si>
  <si>
    <t>P27694</t>
  </si>
  <si>
    <t>P27695</t>
  </si>
  <si>
    <t>P27797</t>
  </si>
  <si>
    <t>P27815-6</t>
  </si>
  <si>
    <t>P27816-5</t>
  </si>
  <si>
    <t>P27824</t>
  </si>
  <si>
    <t>P27986</t>
  </si>
  <si>
    <t>P28065</t>
  </si>
  <si>
    <t>P28066</t>
  </si>
  <si>
    <t>P28070</t>
  </si>
  <si>
    <t>P28072</t>
  </si>
  <si>
    <t>P28074</t>
  </si>
  <si>
    <t>P28289</t>
  </si>
  <si>
    <t>P28331</t>
  </si>
  <si>
    <t>P28482</t>
  </si>
  <si>
    <t>P28702</t>
  </si>
  <si>
    <t>P28715</t>
  </si>
  <si>
    <t>P28799</t>
  </si>
  <si>
    <t>P28838-2</t>
  </si>
  <si>
    <t>P28908</t>
  </si>
  <si>
    <t>P29083</t>
  </si>
  <si>
    <t>P29084</t>
  </si>
  <si>
    <t>P29218</t>
  </si>
  <si>
    <t>P29350</t>
  </si>
  <si>
    <t>P29353-7</t>
  </si>
  <si>
    <t>P29372-5</t>
  </si>
  <si>
    <t>P29373</t>
  </si>
  <si>
    <t>P29401</t>
  </si>
  <si>
    <t>P29590-2</t>
  </si>
  <si>
    <t>P29692-3</t>
  </si>
  <si>
    <t>P29966</t>
  </si>
  <si>
    <t>P29992</t>
  </si>
  <si>
    <t>P30038</t>
  </si>
  <si>
    <t>P30040</t>
  </si>
  <si>
    <t>P30041</t>
  </si>
  <si>
    <t>P30042</t>
  </si>
  <si>
    <t>P30043</t>
  </si>
  <si>
    <t>P30044-2</t>
  </si>
  <si>
    <t>P30046</t>
  </si>
  <si>
    <t>P30049</t>
  </si>
  <si>
    <t>P30050</t>
  </si>
  <si>
    <t>P30084</t>
  </si>
  <si>
    <t>P30085</t>
  </si>
  <si>
    <t>P30086</t>
  </si>
  <si>
    <t>P30153</t>
  </si>
  <si>
    <t>P30154</t>
  </si>
  <si>
    <t>P30260</t>
  </si>
  <si>
    <t>P30291</t>
  </si>
  <si>
    <t>P30307</t>
  </si>
  <si>
    <t>P30405</t>
  </si>
  <si>
    <t>P30419</t>
  </si>
  <si>
    <t>P30519</t>
  </si>
  <si>
    <t>P30520</t>
  </si>
  <si>
    <t>P30533</t>
  </si>
  <si>
    <t>P30566</t>
  </si>
  <si>
    <t>P30613</t>
  </si>
  <si>
    <t>P30622-1</t>
  </si>
  <si>
    <t>P30711</t>
  </si>
  <si>
    <t>P30740</t>
  </si>
  <si>
    <t>P30825</t>
  </si>
  <si>
    <t>P30837</t>
  </si>
  <si>
    <t>P31040</t>
  </si>
  <si>
    <t>P31146</t>
  </si>
  <si>
    <t>P31150</t>
  </si>
  <si>
    <t>P31153</t>
  </si>
  <si>
    <t>P31321</t>
  </si>
  <si>
    <t>P31323</t>
  </si>
  <si>
    <t>P31350</t>
  </si>
  <si>
    <t>P31689</t>
  </si>
  <si>
    <t>P31749</t>
  </si>
  <si>
    <t>P31751</t>
  </si>
  <si>
    <t>P31930</t>
  </si>
  <si>
    <t>P31937</t>
  </si>
  <si>
    <t>P31939</t>
  </si>
  <si>
    <t>P31942-2</t>
  </si>
  <si>
    <t>P31946</t>
  </si>
  <si>
    <t>P31947-2</t>
  </si>
  <si>
    <t>P31948</t>
  </si>
  <si>
    <t>P31949</t>
  </si>
  <si>
    <t>P32019-2</t>
  </si>
  <si>
    <t>P32119</t>
  </si>
  <si>
    <t>P32121-5</t>
  </si>
  <si>
    <t>P32189-1</t>
  </si>
  <si>
    <t>P32321</t>
  </si>
  <si>
    <t>P32322</t>
  </si>
  <si>
    <t>P32519-2</t>
  </si>
  <si>
    <t>P32780</t>
  </si>
  <si>
    <t>P32856-3</t>
  </si>
  <si>
    <t>P32929</t>
  </si>
  <si>
    <t>P32969</t>
  </si>
  <si>
    <t>P33121-2</t>
  </si>
  <si>
    <t>P33176</t>
  </si>
  <si>
    <t>P33240-2</t>
  </si>
  <si>
    <t>P33316</t>
  </si>
  <si>
    <t>P33316-2</t>
  </si>
  <si>
    <t>P33552</t>
  </si>
  <si>
    <t>P33908</t>
  </si>
  <si>
    <t>P33981-2</t>
  </si>
  <si>
    <t>P33991</t>
  </si>
  <si>
    <t>P33992</t>
  </si>
  <si>
    <t>P33993</t>
  </si>
  <si>
    <t>P34059</t>
  </si>
  <si>
    <t>P34896-2</t>
  </si>
  <si>
    <t>P34897-3</t>
  </si>
  <si>
    <t>P34913</t>
  </si>
  <si>
    <t>P34931</t>
  </si>
  <si>
    <t>P34932</t>
  </si>
  <si>
    <t>P35219</t>
  </si>
  <si>
    <t>P35221</t>
  </si>
  <si>
    <t>P35232</t>
  </si>
  <si>
    <t>P35237</t>
  </si>
  <si>
    <t>P35240-4</t>
  </si>
  <si>
    <t>P35241</t>
  </si>
  <si>
    <t>P35244</t>
  </si>
  <si>
    <t>P35249</t>
  </si>
  <si>
    <t>P35250</t>
  </si>
  <si>
    <t>P35251-2</t>
  </si>
  <si>
    <t>P35268</t>
  </si>
  <si>
    <t>P35269</t>
  </si>
  <si>
    <t>P35270</t>
  </si>
  <si>
    <t>P35520</t>
  </si>
  <si>
    <t>P35573</t>
  </si>
  <si>
    <t>P35579</t>
  </si>
  <si>
    <t>P35580</t>
  </si>
  <si>
    <t>P35606</t>
  </si>
  <si>
    <t>P35612</t>
  </si>
  <si>
    <t>P35613-2</t>
  </si>
  <si>
    <t>P35637-2</t>
  </si>
  <si>
    <t>P35658-2</t>
  </si>
  <si>
    <t>P35659</t>
  </si>
  <si>
    <t>P35749-4</t>
  </si>
  <si>
    <t>P35754</t>
  </si>
  <si>
    <t>P35790-2</t>
  </si>
  <si>
    <t>P35813</t>
  </si>
  <si>
    <t>P35998</t>
  </si>
  <si>
    <t>P36404</t>
  </si>
  <si>
    <t>P36405</t>
  </si>
  <si>
    <t>P36406-3</t>
  </si>
  <si>
    <t>P36507</t>
  </si>
  <si>
    <t>P36542</t>
  </si>
  <si>
    <t>P36543</t>
  </si>
  <si>
    <t>P36551</t>
  </si>
  <si>
    <t>P36578</t>
  </si>
  <si>
    <t>P36639-4</t>
  </si>
  <si>
    <t>P36915</t>
  </si>
  <si>
    <t>P36954</t>
  </si>
  <si>
    <t>P36957</t>
  </si>
  <si>
    <t>P36959</t>
  </si>
  <si>
    <t>P36969-2</t>
  </si>
  <si>
    <t>P37108</t>
  </si>
  <si>
    <t>P37198</t>
  </si>
  <si>
    <t>P37235</t>
  </si>
  <si>
    <t>P37268</t>
  </si>
  <si>
    <t>P37287-3</t>
  </si>
  <si>
    <t>P37802</t>
  </si>
  <si>
    <t>P37837</t>
  </si>
  <si>
    <t>P38117</t>
  </si>
  <si>
    <t>P38159</t>
  </si>
  <si>
    <t>P38432</t>
  </si>
  <si>
    <t>P38435</t>
  </si>
  <si>
    <t>P38606</t>
  </si>
  <si>
    <t>P38646</t>
  </si>
  <si>
    <t>P38919</t>
  </si>
  <si>
    <t>P38935</t>
  </si>
  <si>
    <t>P39019</t>
  </si>
  <si>
    <t>P39023</t>
  </si>
  <si>
    <t>P39060-2</t>
  </si>
  <si>
    <t>P39656</t>
  </si>
  <si>
    <t>P39687</t>
  </si>
  <si>
    <t>P39748</t>
  </si>
  <si>
    <t>P39880-2</t>
  </si>
  <si>
    <t>P40121</t>
  </si>
  <si>
    <t>P40222</t>
  </si>
  <si>
    <t>P40227</t>
  </si>
  <si>
    <t>P40261</t>
  </si>
  <si>
    <t>P40337-3</t>
  </si>
  <si>
    <t>P40425</t>
  </si>
  <si>
    <t>P40692</t>
  </si>
  <si>
    <t>P40763</t>
  </si>
  <si>
    <t>P40763-2</t>
  </si>
  <si>
    <t>P40818</t>
  </si>
  <si>
    <t>P40925</t>
  </si>
  <si>
    <t>P40926</t>
  </si>
  <si>
    <t>P40937</t>
  </si>
  <si>
    <t>P40938</t>
  </si>
  <si>
    <t>P40939</t>
  </si>
  <si>
    <t>P41091</t>
  </si>
  <si>
    <t>P41134-2</t>
  </si>
  <si>
    <t>P41208</t>
  </si>
  <si>
    <t>P41214</t>
  </si>
  <si>
    <t>P41223</t>
  </si>
  <si>
    <t>P41227</t>
  </si>
  <si>
    <t>P41229-2</t>
  </si>
  <si>
    <t>P41236</t>
  </si>
  <si>
    <t>P41240</t>
  </si>
  <si>
    <t>P41247</t>
  </si>
  <si>
    <t>P41250</t>
  </si>
  <si>
    <t>P41252</t>
  </si>
  <si>
    <t>P41440</t>
  </si>
  <si>
    <t>P41567</t>
  </si>
  <si>
    <t>P41743</t>
  </si>
  <si>
    <t>P42025</t>
  </si>
  <si>
    <t>P42126-2</t>
  </si>
  <si>
    <t>P42166</t>
  </si>
  <si>
    <t>P42167</t>
  </si>
  <si>
    <t>P42224</t>
  </si>
  <si>
    <t>P42226-3</t>
  </si>
  <si>
    <t>P42285</t>
  </si>
  <si>
    <t>P42330</t>
  </si>
  <si>
    <t>P42336</t>
  </si>
  <si>
    <t>P42338</t>
  </si>
  <si>
    <t>P42345</t>
  </si>
  <si>
    <t>P42566</t>
  </si>
  <si>
    <t>P42574</t>
  </si>
  <si>
    <t>P42575</t>
  </si>
  <si>
    <t>P42677</t>
  </si>
  <si>
    <t>P42680</t>
  </si>
  <si>
    <t>P42684-6</t>
  </si>
  <si>
    <t>P42695</t>
  </si>
  <si>
    <t>P42704</t>
  </si>
  <si>
    <t>P42765</t>
  </si>
  <si>
    <t>P42766</t>
  </si>
  <si>
    <t>P42773</t>
  </si>
  <si>
    <t>P42785</t>
  </si>
  <si>
    <t>P43007</t>
  </si>
  <si>
    <t>P43034</t>
  </si>
  <si>
    <t>P43121</t>
  </si>
  <si>
    <t>P43246</t>
  </si>
  <si>
    <t>P43250-2</t>
  </si>
  <si>
    <t>P43304</t>
  </si>
  <si>
    <t>P43307</t>
  </si>
  <si>
    <t>P43355</t>
  </si>
  <si>
    <t>P43357</t>
  </si>
  <si>
    <t>P43366</t>
  </si>
  <si>
    <t>P43378</t>
  </si>
  <si>
    <t>P43405-2</t>
  </si>
  <si>
    <t>P43487</t>
  </si>
  <si>
    <t>P43490</t>
  </si>
  <si>
    <t>P43686</t>
  </si>
  <si>
    <t>P43897</t>
  </si>
  <si>
    <t>P45880</t>
  </si>
  <si>
    <t>P45954</t>
  </si>
  <si>
    <t>P45973</t>
  </si>
  <si>
    <t>P45974-2</t>
  </si>
  <si>
    <t>P45983-3</t>
  </si>
  <si>
    <t>P45984-3</t>
  </si>
  <si>
    <t>P45985</t>
  </si>
  <si>
    <t>P46013</t>
  </si>
  <si>
    <t>P46019</t>
  </si>
  <si>
    <t>P46060</t>
  </si>
  <si>
    <t>P46063</t>
  </si>
  <si>
    <t>P46087-2</t>
  </si>
  <si>
    <t>P46100-6</t>
  </si>
  <si>
    <t>P46108</t>
  </si>
  <si>
    <t>P46109</t>
  </si>
  <si>
    <t>P46199</t>
  </si>
  <si>
    <t>P46527</t>
  </si>
  <si>
    <t>P46531</t>
  </si>
  <si>
    <t>P46734</t>
  </si>
  <si>
    <t>P46736-2</t>
  </si>
  <si>
    <t>P46777</t>
  </si>
  <si>
    <t>P46778</t>
  </si>
  <si>
    <t>P46781</t>
  </si>
  <si>
    <t>P46783</t>
  </si>
  <si>
    <t>P46821</t>
  </si>
  <si>
    <t>P46926</t>
  </si>
  <si>
    <t>P46934-4</t>
  </si>
  <si>
    <t>P46940</t>
  </si>
  <si>
    <t>P46976-2</t>
  </si>
  <si>
    <t>P46977</t>
  </si>
  <si>
    <t>P47224</t>
  </si>
  <si>
    <t>P47755</t>
  </si>
  <si>
    <t>P47756-2</t>
  </si>
  <si>
    <t>P47813</t>
  </si>
  <si>
    <t>P47897</t>
  </si>
  <si>
    <t>P47914</t>
  </si>
  <si>
    <t>P47974</t>
  </si>
  <si>
    <t>P47985</t>
  </si>
  <si>
    <t>P48029</t>
  </si>
  <si>
    <t>P48047</t>
  </si>
  <si>
    <t>P48059-3</t>
  </si>
  <si>
    <t>P48147</t>
  </si>
  <si>
    <t>P48163</t>
  </si>
  <si>
    <t>P48200</t>
  </si>
  <si>
    <t>P48357-2</t>
  </si>
  <si>
    <t>P48444</t>
  </si>
  <si>
    <t>P48449</t>
  </si>
  <si>
    <t>P48454</t>
  </si>
  <si>
    <t>P48506</t>
  </si>
  <si>
    <t>P48507</t>
  </si>
  <si>
    <t>P48634</t>
  </si>
  <si>
    <t>P48637</t>
  </si>
  <si>
    <t>P48643</t>
  </si>
  <si>
    <t>P48681</t>
  </si>
  <si>
    <t>P48723</t>
  </si>
  <si>
    <t>P48729</t>
  </si>
  <si>
    <t>P48730</t>
  </si>
  <si>
    <t>P48735</t>
  </si>
  <si>
    <t>P48736</t>
  </si>
  <si>
    <t>P48739</t>
  </si>
  <si>
    <t>P48960-2</t>
  </si>
  <si>
    <t>P49005</t>
  </si>
  <si>
    <t>P49006</t>
  </si>
  <si>
    <t>P49023-2</t>
  </si>
  <si>
    <t>P49069</t>
  </si>
  <si>
    <t>P49116</t>
  </si>
  <si>
    <t>P49137</t>
  </si>
  <si>
    <t>P49189</t>
  </si>
  <si>
    <t>P49207</t>
  </si>
  <si>
    <t>P49247</t>
  </si>
  <si>
    <t>P49257</t>
  </si>
  <si>
    <t>P49281-5</t>
  </si>
  <si>
    <t>P49321</t>
  </si>
  <si>
    <t>P49327</t>
  </si>
  <si>
    <t>P49354</t>
  </si>
  <si>
    <t>P49366</t>
  </si>
  <si>
    <t>P49368</t>
  </si>
  <si>
    <t>P49406</t>
  </si>
  <si>
    <t>P49411</t>
  </si>
  <si>
    <t>P49427</t>
  </si>
  <si>
    <t>P49441</t>
  </si>
  <si>
    <t>P49448</t>
  </si>
  <si>
    <t>P49454</t>
  </si>
  <si>
    <t>P49458</t>
  </si>
  <si>
    <t>P49459</t>
  </si>
  <si>
    <t>P49585</t>
  </si>
  <si>
    <t>P49588</t>
  </si>
  <si>
    <t>P49589-3</t>
  </si>
  <si>
    <t>P49593</t>
  </si>
  <si>
    <t>P49642</t>
  </si>
  <si>
    <t>P49643</t>
  </si>
  <si>
    <t>P49674</t>
  </si>
  <si>
    <t>P49711</t>
  </si>
  <si>
    <t>P49721</t>
  </si>
  <si>
    <t>P49736</t>
  </si>
  <si>
    <t>P49748-2</t>
  </si>
  <si>
    <t>P49750</t>
  </si>
  <si>
    <t>P49755</t>
  </si>
  <si>
    <t>P49756</t>
  </si>
  <si>
    <t>P49757-4</t>
  </si>
  <si>
    <t>P49770</t>
  </si>
  <si>
    <t>P49773</t>
  </si>
  <si>
    <t>P49790</t>
  </si>
  <si>
    <t>P49792</t>
  </si>
  <si>
    <t>P49840</t>
  </si>
  <si>
    <t>P49841</t>
  </si>
  <si>
    <t>P49902</t>
  </si>
  <si>
    <t>P49903</t>
  </si>
  <si>
    <t>P49903-3</t>
  </si>
  <si>
    <t>P49914</t>
  </si>
  <si>
    <t>P49915</t>
  </si>
  <si>
    <t>P49916</t>
  </si>
  <si>
    <t>P49917</t>
  </si>
  <si>
    <t>P49959</t>
  </si>
  <si>
    <t>P50053</t>
  </si>
  <si>
    <t>P50135</t>
  </si>
  <si>
    <t>P50148</t>
  </si>
  <si>
    <t>P50213</t>
  </si>
  <si>
    <t>P50224</t>
  </si>
  <si>
    <t>P50225</t>
  </si>
  <si>
    <t>P50336</t>
  </si>
  <si>
    <t>P50402</t>
  </si>
  <si>
    <t>P50416</t>
  </si>
  <si>
    <t>P50443</t>
  </si>
  <si>
    <t>P50453</t>
  </si>
  <si>
    <t>P50454</t>
  </si>
  <si>
    <t>P50479</t>
  </si>
  <si>
    <t>P50502</t>
  </si>
  <si>
    <t>P50552</t>
  </si>
  <si>
    <t>P50570</t>
  </si>
  <si>
    <t>P50579</t>
  </si>
  <si>
    <t>P50583</t>
  </si>
  <si>
    <t>P50613</t>
  </si>
  <si>
    <t>P50747</t>
  </si>
  <si>
    <t>P50748</t>
  </si>
  <si>
    <t>P50750</t>
  </si>
  <si>
    <t>P50897</t>
  </si>
  <si>
    <t>P50990</t>
  </si>
  <si>
    <t>P50991</t>
  </si>
  <si>
    <t>P51003</t>
  </si>
  <si>
    <t>P51116</t>
  </si>
  <si>
    <t>P51148</t>
  </si>
  <si>
    <t>P51149</t>
  </si>
  <si>
    <t>P51151</t>
  </si>
  <si>
    <t>P51153</t>
  </si>
  <si>
    <t>P51157</t>
  </si>
  <si>
    <t>P51159</t>
  </si>
  <si>
    <t>P51178</t>
  </si>
  <si>
    <t>P51397</t>
  </si>
  <si>
    <t>P51398-2</t>
  </si>
  <si>
    <t>P51452</t>
  </si>
  <si>
    <t>P51531-2</t>
  </si>
  <si>
    <t>P51553</t>
  </si>
  <si>
    <t>P51570</t>
  </si>
  <si>
    <t>P51571</t>
  </si>
  <si>
    <t>P51572</t>
  </si>
  <si>
    <t>P51580</t>
  </si>
  <si>
    <t>P51608</t>
  </si>
  <si>
    <t>P51610-2</t>
  </si>
  <si>
    <t>P51659</t>
  </si>
  <si>
    <t>P51665</t>
  </si>
  <si>
    <t>P51687</t>
  </si>
  <si>
    <t>P51692</t>
  </si>
  <si>
    <t>P51790-4</t>
  </si>
  <si>
    <t>P51795</t>
  </si>
  <si>
    <t>P51798-2</t>
  </si>
  <si>
    <t>P51809</t>
  </si>
  <si>
    <t>P51811</t>
  </si>
  <si>
    <t>P51812</t>
  </si>
  <si>
    <t>P51857-2</t>
  </si>
  <si>
    <t>P51858</t>
  </si>
  <si>
    <t>P51948</t>
  </si>
  <si>
    <t>P51970</t>
  </si>
  <si>
    <t>P51991</t>
  </si>
  <si>
    <t>P52272-2</t>
  </si>
  <si>
    <t>P52292</t>
  </si>
  <si>
    <t>P52294</t>
  </si>
  <si>
    <t>P52298</t>
  </si>
  <si>
    <t>P52306</t>
  </si>
  <si>
    <t>P52565</t>
  </si>
  <si>
    <t>P52566</t>
  </si>
  <si>
    <t>P52597</t>
  </si>
  <si>
    <t>P52630-4</t>
  </si>
  <si>
    <t>P52655</t>
  </si>
  <si>
    <t>P52657</t>
  </si>
  <si>
    <t>P52701</t>
  </si>
  <si>
    <t>P52732</t>
  </si>
  <si>
    <t>P52739-2</t>
  </si>
  <si>
    <t>P52758</t>
  </si>
  <si>
    <t>P52788</t>
  </si>
  <si>
    <t>P52789</t>
  </si>
  <si>
    <t>P52815</t>
  </si>
  <si>
    <t>P52888</t>
  </si>
  <si>
    <t>P52907</t>
  </si>
  <si>
    <t>P52943</t>
  </si>
  <si>
    <t>P52948-6</t>
  </si>
  <si>
    <t>P53004</t>
  </si>
  <si>
    <t>P53007</t>
  </si>
  <si>
    <t>P53350</t>
  </si>
  <si>
    <t>P53365</t>
  </si>
  <si>
    <t>P53367</t>
  </si>
  <si>
    <t>P53367-2</t>
  </si>
  <si>
    <t>P53384-2</t>
  </si>
  <si>
    <t>P53396</t>
  </si>
  <si>
    <t>P53582</t>
  </si>
  <si>
    <t>P53597</t>
  </si>
  <si>
    <t>P53602</t>
  </si>
  <si>
    <t>P53609</t>
  </si>
  <si>
    <t>P53618</t>
  </si>
  <si>
    <t>P53621</t>
  </si>
  <si>
    <t>P53634</t>
  </si>
  <si>
    <t>P53701</t>
  </si>
  <si>
    <t>P53778</t>
  </si>
  <si>
    <t>P53794</t>
  </si>
  <si>
    <t>P53803</t>
  </si>
  <si>
    <t>P53814-5</t>
  </si>
  <si>
    <t>P53985</t>
  </si>
  <si>
    <t>P53990-2</t>
  </si>
  <si>
    <t>P53992</t>
  </si>
  <si>
    <t>P53999</t>
  </si>
  <si>
    <t>P54098</t>
  </si>
  <si>
    <t>P54105</t>
  </si>
  <si>
    <t>P54136</t>
  </si>
  <si>
    <t>P54136-2</t>
  </si>
  <si>
    <t>P54259</t>
  </si>
  <si>
    <t>P54278</t>
  </si>
  <si>
    <t>P54577</t>
  </si>
  <si>
    <t>P54578-2</t>
  </si>
  <si>
    <t>P54619-2</t>
  </si>
  <si>
    <t>P54687</t>
  </si>
  <si>
    <t>P54709</t>
  </si>
  <si>
    <t>P54727</t>
  </si>
  <si>
    <t>P54760</t>
  </si>
  <si>
    <t>P54802</t>
  </si>
  <si>
    <t>P54819</t>
  </si>
  <si>
    <t>P54886-2</t>
  </si>
  <si>
    <t>P54920</t>
  </si>
  <si>
    <t>P55010</t>
  </si>
  <si>
    <t>P55011-3</t>
  </si>
  <si>
    <t>P55036</t>
  </si>
  <si>
    <t>P55039</t>
  </si>
  <si>
    <t>P55060-3</t>
  </si>
  <si>
    <t>P55072</t>
  </si>
  <si>
    <t>P55081</t>
  </si>
  <si>
    <t>P55145</t>
  </si>
  <si>
    <t>P55196-3</t>
  </si>
  <si>
    <t>P55199</t>
  </si>
  <si>
    <t>P55211-2</t>
  </si>
  <si>
    <t>P55212</t>
  </si>
  <si>
    <t>P55263</t>
  </si>
  <si>
    <t>P55273</t>
  </si>
  <si>
    <t>P55735</t>
  </si>
  <si>
    <t>P55789</t>
  </si>
  <si>
    <t>P55795</t>
  </si>
  <si>
    <t>P55809</t>
  </si>
  <si>
    <t>P55884</t>
  </si>
  <si>
    <t>P55957</t>
  </si>
  <si>
    <t>P56181-2</t>
  </si>
  <si>
    <t>P56182</t>
  </si>
  <si>
    <t>P56192</t>
  </si>
  <si>
    <t>P56270-2</t>
  </si>
  <si>
    <t>P56277</t>
  </si>
  <si>
    <t>P56377</t>
  </si>
  <si>
    <t>P56381</t>
  </si>
  <si>
    <t>P56385</t>
  </si>
  <si>
    <t>P56524</t>
  </si>
  <si>
    <t>P56537</t>
  </si>
  <si>
    <t>P56556</t>
  </si>
  <si>
    <t>P56589</t>
  </si>
  <si>
    <t>P56645</t>
  </si>
  <si>
    <t>P56937-3</t>
  </si>
  <si>
    <t>P56945-4</t>
  </si>
  <si>
    <t>P56962</t>
  </si>
  <si>
    <t>P57060</t>
  </si>
  <si>
    <t>P57076</t>
  </si>
  <si>
    <t>P57081-2</t>
  </si>
  <si>
    <t>P57088</t>
  </si>
  <si>
    <t>P57105</t>
  </si>
  <si>
    <t>P57682</t>
  </si>
  <si>
    <t>P57737-3</t>
  </si>
  <si>
    <t>P57740</t>
  </si>
  <si>
    <t>P57772</t>
  </si>
  <si>
    <t>P58004</t>
  </si>
  <si>
    <t>P58107</t>
  </si>
  <si>
    <t>P58546</t>
  </si>
  <si>
    <t>P58557-4</t>
  </si>
  <si>
    <t>P59998</t>
  </si>
  <si>
    <t>P60059</t>
  </si>
  <si>
    <t>P60174-1</t>
  </si>
  <si>
    <t>P60228</t>
  </si>
  <si>
    <t>P60468</t>
  </si>
  <si>
    <t>P60510</t>
  </si>
  <si>
    <t>P60520</t>
  </si>
  <si>
    <t>P60602</t>
  </si>
  <si>
    <t>P60604-2</t>
  </si>
  <si>
    <t>P60709</t>
  </si>
  <si>
    <t>P60763</t>
  </si>
  <si>
    <t>P60842</t>
  </si>
  <si>
    <t>P60866</t>
  </si>
  <si>
    <t>P60891</t>
  </si>
  <si>
    <t>P60896</t>
  </si>
  <si>
    <t>P60953</t>
  </si>
  <si>
    <t>P60981</t>
  </si>
  <si>
    <t>P60983</t>
  </si>
  <si>
    <t>P61006</t>
  </si>
  <si>
    <t>P61009</t>
  </si>
  <si>
    <t>P61011</t>
  </si>
  <si>
    <t>P61019</t>
  </si>
  <si>
    <t>P61020</t>
  </si>
  <si>
    <t>P61026</t>
  </si>
  <si>
    <t>P61077</t>
  </si>
  <si>
    <t>P61081</t>
  </si>
  <si>
    <t>P61086</t>
  </si>
  <si>
    <t>P61088</t>
  </si>
  <si>
    <t>P61106</t>
  </si>
  <si>
    <t>P61129</t>
  </si>
  <si>
    <t>P61158</t>
  </si>
  <si>
    <t>P61160</t>
  </si>
  <si>
    <t>P61163</t>
  </si>
  <si>
    <t>P61201</t>
  </si>
  <si>
    <t>P61218</t>
  </si>
  <si>
    <t>P61221</t>
  </si>
  <si>
    <t>P61224</t>
  </si>
  <si>
    <t>P61225</t>
  </si>
  <si>
    <t>P61244-2</t>
  </si>
  <si>
    <t>P61247</t>
  </si>
  <si>
    <t>P61254</t>
  </si>
  <si>
    <t>P61289</t>
  </si>
  <si>
    <t>P61326</t>
  </si>
  <si>
    <t>P61353</t>
  </si>
  <si>
    <t>P61457</t>
  </si>
  <si>
    <t>P61586</t>
  </si>
  <si>
    <t>P61599</t>
  </si>
  <si>
    <t>P61601</t>
  </si>
  <si>
    <t>P61604</t>
  </si>
  <si>
    <t>P61758</t>
  </si>
  <si>
    <t>P61764</t>
  </si>
  <si>
    <t>P61962</t>
  </si>
  <si>
    <t>P61964</t>
  </si>
  <si>
    <t>P61966</t>
  </si>
  <si>
    <t>P61970</t>
  </si>
  <si>
    <t>P61978-2</t>
  </si>
  <si>
    <t>P61978-3</t>
  </si>
  <si>
    <t>P61981</t>
  </si>
  <si>
    <t>P62070</t>
  </si>
  <si>
    <t>P62072</t>
  </si>
  <si>
    <t>P62081</t>
  </si>
  <si>
    <t>P62136</t>
  </si>
  <si>
    <t>P62140</t>
  </si>
  <si>
    <t>P62166</t>
  </si>
  <si>
    <t>P62191</t>
  </si>
  <si>
    <t>P62195-2</t>
  </si>
  <si>
    <t>P62241</t>
  </si>
  <si>
    <t>P62249</t>
  </si>
  <si>
    <t>P62253</t>
  </si>
  <si>
    <t>P62258</t>
  </si>
  <si>
    <t>P62263</t>
  </si>
  <si>
    <t>P62266</t>
  </si>
  <si>
    <t>P62269</t>
  </si>
  <si>
    <t>P62273</t>
  </si>
  <si>
    <t>P62277</t>
  </si>
  <si>
    <t>P62280</t>
  </si>
  <si>
    <t>P62304</t>
  </si>
  <si>
    <t>P62306</t>
  </si>
  <si>
    <t>P62308</t>
  </si>
  <si>
    <t>P62310</t>
  </si>
  <si>
    <t>P62312</t>
  </si>
  <si>
    <t>P62314</t>
  </si>
  <si>
    <t>P62316</t>
  </si>
  <si>
    <t>P62328</t>
  </si>
  <si>
    <t>P62330</t>
  </si>
  <si>
    <t>P62333</t>
  </si>
  <si>
    <t>P62424</t>
  </si>
  <si>
    <t>P62487</t>
  </si>
  <si>
    <t>P62495</t>
  </si>
  <si>
    <t>P62633-2</t>
  </si>
  <si>
    <t>P62633-4</t>
  </si>
  <si>
    <t>P62699</t>
  </si>
  <si>
    <t>P62701</t>
  </si>
  <si>
    <t>P62714</t>
  </si>
  <si>
    <t>P62750</t>
  </si>
  <si>
    <t>P62753</t>
  </si>
  <si>
    <t>P62805</t>
  </si>
  <si>
    <t>P62820</t>
  </si>
  <si>
    <t>P62829</t>
  </si>
  <si>
    <t>P62834</t>
  </si>
  <si>
    <t>P62837</t>
  </si>
  <si>
    <t>P62851</t>
  </si>
  <si>
    <t>P62854</t>
  </si>
  <si>
    <t>P62857</t>
  </si>
  <si>
    <t>P62873</t>
  </si>
  <si>
    <t>P62875</t>
  </si>
  <si>
    <t>P62877</t>
  </si>
  <si>
    <t>P62879</t>
  </si>
  <si>
    <t>P62899</t>
  </si>
  <si>
    <t>P62906</t>
  </si>
  <si>
    <t>P62913-2</t>
  </si>
  <si>
    <t>P62937</t>
  </si>
  <si>
    <t>P62942</t>
  </si>
  <si>
    <t>P62979</t>
  </si>
  <si>
    <t>P62993</t>
  </si>
  <si>
    <t>P62995-3</t>
  </si>
  <si>
    <t>P63000</t>
  </si>
  <si>
    <t>P63010</t>
  </si>
  <si>
    <t>P63092</t>
  </si>
  <si>
    <t>P63104</t>
  </si>
  <si>
    <t>P63151</t>
  </si>
  <si>
    <t>P63167</t>
  </si>
  <si>
    <t>P63173</t>
  </si>
  <si>
    <t>P63218</t>
  </si>
  <si>
    <t>P63241</t>
  </si>
  <si>
    <t>P63244</t>
  </si>
  <si>
    <t>P67775</t>
  </si>
  <si>
    <t>P67809</t>
  </si>
  <si>
    <t>P67936</t>
  </si>
  <si>
    <t>P68036</t>
  </si>
  <si>
    <t>P68104</t>
  </si>
  <si>
    <t>P68133</t>
  </si>
  <si>
    <t>P68363</t>
  </si>
  <si>
    <t>P68371</t>
  </si>
  <si>
    <t>P68402</t>
  </si>
  <si>
    <t>P68871</t>
  </si>
  <si>
    <t>P69891</t>
  </si>
  <si>
    <t>P69892</t>
  </si>
  <si>
    <t>P69905</t>
  </si>
  <si>
    <t>P78316</t>
  </si>
  <si>
    <t>P78318</t>
  </si>
  <si>
    <t>P78330</t>
  </si>
  <si>
    <t>P78332</t>
  </si>
  <si>
    <t>P78345</t>
  </si>
  <si>
    <t>P78346</t>
  </si>
  <si>
    <t>P78347-2</t>
  </si>
  <si>
    <t>P78356</t>
  </si>
  <si>
    <t>P78362</t>
  </si>
  <si>
    <t>P78368</t>
  </si>
  <si>
    <t>P78371</t>
  </si>
  <si>
    <t>P78406</t>
  </si>
  <si>
    <t>P78417</t>
  </si>
  <si>
    <t>P78527</t>
  </si>
  <si>
    <t>P78536</t>
  </si>
  <si>
    <t>P78537</t>
  </si>
  <si>
    <t>P78540</t>
  </si>
  <si>
    <t>P78560</t>
  </si>
  <si>
    <t>P80217</t>
  </si>
  <si>
    <t>P80303</t>
  </si>
  <si>
    <t>P81877-4</t>
  </si>
  <si>
    <t>P82094</t>
  </si>
  <si>
    <t>P82673</t>
  </si>
  <si>
    <t>P82675</t>
  </si>
  <si>
    <t>P82909</t>
  </si>
  <si>
    <t>P82912-2</t>
  </si>
  <si>
    <t>P82930</t>
  </si>
  <si>
    <t>P82932</t>
  </si>
  <si>
    <t>P82933</t>
  </si>
  <si>
    <t>P82979</t>
  </si>
  <si>
    <t>P82980</t>
  </si>
  <si>
    <t>P83111</t>
  </si>
  <si>
    <t>P83436</t>
  </si>
  <si>
    <t>P84022</t>
  </si>
  <si>
    <t>P84077</t>
  </si>
  <si>
    <t>P84085</t>
  </si>
  <si>
    <t>P84090</t>
  </si>
  <si>
    <t>P84095</t>
  </si>
  <si>
    <t>P84101-4</t>
  </si>
  <si>
    <t>P85037</t>
  </si>
  <si>
    <t>P86397</t>
  </si>
  <si>
    <t>P86791</t>
  </si>
  <si>
    <t>P98153-2</t>
  </si>
  <si>
    <t>P98160</t>
  </si>
  <si>
    <t>P98170</t>
  </si>
  <si>
    <t>P98172</t>
  </si>
  <si>
    <t>P98173-3</t>
  </si>
  <si>
    <t>P98175-2</t>
  </si>
  <si>
    <t>P98179</t>
  </si>
  <si>
    <t>Q00013</t>
  </si>
  <si>
    <t>Q00059</t>
  </si>
  <si>
    <t>Q00169</t>
  </si>
  <si>
    <t>Q00325-2</t>
  </si>
  <si>
    <t>Q00341</t>
  </si>
  <si>
    <t>Q00403</t>
  </si>
  <si>
    <t>Q00534</t>
  </si>
  <si>
    <t>Q00535</t>
  </si>
  <si>
    <t>Q00536</t>
  </si>
  <si>
    <t>Q00610-2</t>
  </si>
  <si>
    <t>Q00653-4</t>
  </si>
  <si>
    <t>Q00688</t>
  </si>
  <si>
    <t>Q00765</t>
  </si>
  <si>
    <t>Q00796</t>
  </si>
  <si>
    <t>Q00839-2</t>
  </si>
  <si>
    <t>Q00973</t>
  </si>
  <si>
    <t>Q01081</t>
  </si>
  <si>
    <t>Q01082</t>
  </si>
  <si>
    <t>Q01082-3</t>
  </si>
  <si>
    <t>Q01085-2</t>
  </si>
  <si>
    <t>Q01105-2</t>
  </si>
  <si>
    <t>Q01167-2</t>
  </si>
  <si>
    <t>Q01196</t>
  </si>
  <si>
    <t>Q01415</t>
  </si>
  <si>
    <t>Q01432</t>
  </si>
  <si>
    <t>Q01469</t>
  </si>
  <si>
    <t>Q01518-2</t>
  </si>
  <si>
    <t>Q01581</t>
  </si>
  <si>
    <t>Q01650</t>
  </si>
  <si>
    <t>Q01658</t>
  </si>
  <si>
    <t>Q01780-2</t>
  </si>
  <si>
    <t>Q01813</t>
  </si>
  <si>
    <t>Q01968</t>
  </si>
  <si>
    <t>Q01970</t>
  </si>
  <si>
    <t>Q01974</t>
  </si>
  <si>
    <t>Q02040</t>
  </si>
  <si>
    <t>Q02086-2</t>
  </si>
  <si>
    <t>Q02127</t>
  </si>
  <si>
    <t>Q02224-3</t>
  </si>
  <si>
    <t>Q02241</t>
  </si>
  <si>
    <t>Q02446</t>
  </si>
  <si>
    <t>Q02543</t>
  </si>
  <si>
    <t>Q02750</t>
  </si>
  <si>
    <t>Q02763-2</t>
  </si>
  <si>
    <t>Q02790</t>
  </si>
  <si>
    <t>Q02809</t>
  </si>
  <si>
    <t>Q02818</t>
  </si>
  <si>
    <t>Q02833-3</t>
  </si>
  <si>
    <t>Q02878</t>
  </si>
  <si>
    <t>Q02880-2</t>
  </si>
  <si>
    <t>Q02952-3</t>
  </si>
  <si>
    <t>Q03013-2</t>
  </si>
  <si>
    <t>Q03014</t>
  </si>
  <si>
    <t>Q03060-9</t>
  </si>
  <si>
    <t>Q03111</t>
  </si>
  <si>
    <t>Q03154</t>
  </si>
  <si>
    <t>Q03167-2</t>
  </si>
  <si>
    <t>Q03169</t>
  </si>
  <si>
    <t>Q04446</t>
  </si>
  <si>
    <t>Q04656-5</t>
  </si>
  <si>
    <t>Q04759</t>
  </si>
  <si>
    <t>Q04760</t>
  </si>
  <si>
    <t>Q04771</t>
  </si>
  <si>
    <t>Q04828</t>
  </si>
  <si>
    <t>Q04837</t>
  </si>
  <si>
    <t>Q04917</t>
  </si>
  <si>
    <t>Q04941</t>
  </si>
  <si>
    <t>Q05048</t>
  </si>
  <si>
    <t>Q05086-3</t>
  </si>
  <si>
    <t>Q05193-5</t>
  </si>
  <si>
    <t>Q05209</t>
  </si>
  <si>
    <t>Q05519-2</t>
  </si>
  <si>
    <t>Q05639</t>
  </si>
  <si>
    <t>Q05655</t>
  </si>
  <si>
    <t>Q05823</t>
  </si>
  <si>
    <t>Q05932-3</t>
  </si>
  <si>
    <t>Q05D32-2</t>
  </si>
  <si>
    <t>Q06124</t>
  </si>
  <si>
    <t>Q06187</t>
  </si>
  <si>
    <t>Q06203</t>
  </si>
  <si>
    <t>Q06210-2</t>
  </si>
  <si>
    <t>Q06265</t>
  </si>
  <si>
    <t>Q06330-5</t>
  </si>
  <si>
    <t>Q06413-5</t>
  </si>
  <si>
    <t>Q06481</t>
  </si>
  <si>
    <t>Q06546</t>
  </si>
  <si>
    <t>Q06587</t>
  </si>
  <si>
    <t>Q06609-3</t>
  </si>
  <si>
    <t>Q06830</t>
  </si>
  <si>
    <t>Q07021</t>
  </si>
  <si>
    <t>Q07108</t>
  </si>
  <si>
    <t>Q07283</t>
  </si>
  <si>
    <t>Q07666</t>
  </si>
  <si>
    <t>Q07812-5</t>
  </si>
  <si>
    <t>Q07820</t>
  </si>
  <si>
    <t>Q07864</t>
  </si>
  <si>
    <t>Q07866-6</t>
  </si>
  <si>
    <t>Q07960</t>
  </si>
  <si>
    <t>Q08209-2</t>
  </si>
  <si>
    <t>Q08211</t>
  </si>
  <si>
    <t>Q08257</t>
  </si>
  <si>
    <t>Q08357</t>
  </si>
  <si>
    <t>Q08378</t>
  </si>
  <si>
    <t>Q08379</t>
  </si>
  <si>
    <t>Q08426</t>
  </si>
  <si>
    <t>Q08495</t>
  </si>
  <si>
    <t>Q08722</t>
  </si>
  <si>
    <t>Q08752</t>
  </si>
  <si>
    <t>Q08945</t>
  </si>
  <si>
    <t>Q08AE8-2</t>
  </si>
  <si>
    <t>Q08AG7</t>
  </si>
  <si>
    <t>Q08AM6</t>
  </si>
  <si>
    <t>Q08E86</t>
  </si>
  <si>
    <t>Q08ER3</t>
  </si>
  <si>
    <t>Q08J23</t>
  </si>
  <si>
    <t>Q09028-3</t>
  </si>
  <si>
    <t>Q09161</t>
  </si>
  <si>
    <t>Q09328</t>
  </si>
  <si>
    <t>Q09472</t>
  </si>
  <si>
    <t>Q09666</t>
  </si>
  <si>
    <t>Q0PNE2</t>
  </si>
  <si>
    <t>Q0VDF9</t>
  </si>
  <si>
    <t>Q0VDG4</t>
  </si>
  <si>
    <t>Q0VG06-3</t>
  </si>
  <si>
    <t>Q10469</t>
  </si>
  <si>
    <t>Q10471</t>
  </si>
  <si>
    <t>Q10567-2</t>
  </si>
  <si>
    <t>Q10567-3</t>
  </si>
  <si>
    <t>Q10570</t>
  </si>
  <si>
    <t>Q10589</t>
  </si>
  <si>
    <t>Q10713</t>
  </si>
  <si>
    <t>Q12769</t>
  </si>
  <si>
    <t>Q12770</t>
  </si>
  <si>
    <t>Q12788</t>
  </si>
  <si>
    <t>Q12792</t>
  </si>
  <si>
    <t>Q12797-10</t>
  </si>
  <si>
    <t>Q12800-2</t>
  </si>
  <si>
    <t>Q12830-4</t>
  </si>
  <si>
    <t>Q12834</t>
  </si>
  <si>
    <t>Q12840</t>
  </si>
  <si>
    <t>Q12846</t>
  </si>
  <si>
    <t>Q12872</t>
  </si>
  <si>
    <t>Q12874</t>
  </si>
  <si>
    <t>Q12888</t>
  </si>
  <si>
    <t>Q12893</t>
  </si>
  <si>
    <t>Q12894</t>
  </si>
  <si>
    <t>Q12904</t>
  </si>
  <si>
    <t>Q12905</t>
  </si>
  <si>
    <t>Q12906</t>
  </si>
  <si>
    <t>Q12907</t>
  </si>
  <si>
    <t>Q12933-3</t>
  </si>
  <si>
    <t>Q12955</t>
  </si>
  <si>
    <t>Q12959-5</t>
  </si>
  <si>
    <t>Q12962</t>
  </si>
  <si>
    <t>Q12972</t>
  </si>
  <si>
    <t>Q12974</t>
  </si>
  <si>
    <t>Q12981</t>
  </si>
  <si>
    <t>Q12986</t>
  </si>
  <si>
    <t>Q12996</t>
  </si>
  <si>
    <t>Q13011</t>
  </si>
  <si>
    <t>Q13015</t>
  </si>
  <si>
    <t>Q13017-2</t>
  </si>
  <si>
    <t>Q13033-2</t>
  </si>
  <si>
    <t>Q13042-3</t>
  </si>
  <si>
    <t>Q13043</t>
  </si>
  <si>
    <t>Q13045</t>
  </si>
  <si>
    <t>Q13045-2</t>
  </si>
  <si>
    <t>Q13057</t>
  </si>
  <si>
    <t>Q13068</t>
  </si>
  <si>
    <t>Q13070</t>
  </si>
  <si>
    <t>Q13085-3</t>
  </si>
  <si>
    <t>Q13094</t>
  </si>
  <si>
    <t>Q13107-2</t>
  </si>
  <si>
    <t>Q13111</t>
  </si>
  <si>
    <t>Q13112</t>
  </si>
  <si>
    <t>Q13123</t>
  </si>
  <si>
    <t>Q13131</t>
  </si>
  <si>
    <t>Q13136</t>
  </si>
  <si>
    <t>Q13148</t>
  </si>
  <si>
    <t>Q13151</t>
  </si>
  <si>
    <t>Q13155</t>
  </si>
  <si>
    <t>Q13158</t>
  </si>
  <si>
    <t>Q13162</t>
  </si>
  <si>
    <t>Q13164</t>
  </si>
  <si>
    <t>Q13177</t>
  </si>
  <si>
    <t>Q13185</t>
  </si>
  <si>
    <t>Q13188</t>
  </si>
  <si>
    <t>Q13190-3</t>
  </si>
  <si>
    <t>Q13200</t>
  </si>
  <si>
    <t>Q13206</t>
  </si>
  <si>
    <t>Q13217</t>
  </si>
  <si>
    <t>Q13228</t>
  </si>
  <si>
    <t>Q13232</t>
  </si>
  <si>
    <t>Q13233</t>
  </si>
  <si>
    <t>Q13242</t>
  </si>
  <si>
    <t>Q13243</t>
  </si>
  <si>
    <t>Q13247-3</t>
  </si>
  <si>
    <t>Q13257</t>
  </si>
  <si>
    <t>Q13263</t>
  </si>
  <si>
    <t>Q13277-2</t>
  </si>
  <si>
    <t>Q13283</t>
  </si>
  <si>
    <t>Q13287</t>
  </si>
  <si>
    <t>Q13308-3</t>
  </si>
  <si>
    <t>Q13309</t>
  </si>
  <si>
    <t>Q13310-3</t>
  </si>
  <si>
    <t>Q13315</t>
  </si>
  <si>
    <t>Q13322-2</t>
  </si>
  <si>
    <t>Q13330-3</t>
  </si>
  <si>
    <t>Q13347</t>
  </si>
  <si>
    <t>Q13356</t>
  </si>
  <si>
    <t>Q13362-4</t>
  </si>
  <si>
    <t>Q13363-2</t>
  </si>
  <si>
    <t>Q13371</t>
  </si>
  <si>
    <t>Q13393-2</t>
  </si>
  <si>
    <t>Q13395</t>
  </si>
  <si>
    <t>Q13409-6</t>
  </si>
  <si>
    <t>Q13416</t>
  </si>
  <si>
    <t>Q13418</t>
  </si>
  <si>
    <t>Q13422-7</t>
  </si>
  <si>
    <t>Q13423</t>
  </si>
  <si>
    <t>Q13424</t>
  </si>
  <si>
    <t>Q13425</t>
  </si>
  <si>
    <t>Q13426-3</t>
  </si>
  <si>
    <t>Q13427</t>
  </si>
  <si>
    <t>Q13428-3</t>
  </si>
  <si>
    <t>Q13429</t>
  </si>
  <si>
    <t>Q13432-2</t>
  </si>
  <si>
    <t>Q13435</t>
  </si>
  <si>
    <t>Q13438-4</t>
  </si>
  <si>
    <t>Q13439-3</t>
  </si>
  <si>
    <t>Q13442</t>
  </si>
  <si>
    <t>Q13443</t>
  </si>
  <si>
    <t>Q13444-8</t>
  </si>
  <si>
    <t>Q13445</t>
  </si>
  <si>
    <t>Q13451</t>
  </si>
  <si>
    <t>Q13464</t>
  </si>
  <si>
    <t>Q13467</t>
  </si>
  <si>
    <t>Q13469-3</t>
  </si>
  <si>
    <t>Q13480-2</t>
  </si>
  <si>
    <t>Q13488</t>
  </si>
  <si>
    <t>Q13492-3</t>
  </si>
  <si>
    <t>Q13496</t>
  </si>
  <si>
    <t>Q13501</t>
  </si>
  <si>
    <t>Q13505-3</t>
  </si>
  <si>
    <t>Q13506</t>
  </si>
  <si>
    <t>Q13509</t>
  </si>
  <si>
    <t>Q13526</t>
  </si>
  <si>
    <t>Q13535</t>
  </si>
  <si>
    <t>Q13541</t>
  </si>
  <si>
    <t>Q13542</t>
  </si>
  <si>
    <t>Q13546</t>
  </si>
  <si>
    <t>Q13547</t>
  </si>
  <si>
    <t>Q13564-2</t>
  </si>
  <si>
    <t>Q13572</t>
  </si>
  <si>
    <t>Q13573</t>
  </si>
  <si>
    <t>Q13576</t>
  </si>
  <si>
    <t>Q13586</t>
  </si>
  <si>
    <t>Q13596</t>
  </si>
  <si>
    <t>Q13608</t>
  </si>
  <si>
    <t>Q13614</t>
  </si>
  <si>
    <t>Q13616</t>
  </si>
  <si>
    <t>Q13617</t>
  </si>
  <si>
    <t>Q13618</t>
  </si>
  <si>
    <t>Q13619</t>
  </si>
  <si>
    <t>Q13620-1</t>
  </si>
  <si>
    <t>Q13625-2</t>
  </si>
  <si>
    <t>Q13627-2</t>
  </si>
  <si>
    <t>Q13630</t>
  </si>
  <si>
    <t>Q13636</t>
  </si>
  <si>
    <t>Q13637</t>
  </si>
  <si>
    <t>Q13643</t>
  </si>
  <si>
    <t>Q13686</t>
  </si>
  <si>
    <t>Q13724</t>
  </si>
  <si>
    <t>Q13769</t>
  </si>
  <si>
    <t>Q13795</t>
  </si>
  <si>
    <t>Q13868</t>
  </si>
  <si>
    <t>Q13885</t>
  </si>
  <si>
    <t>Q13895</t>
  </si>
  <si>
    <t>Q13907</t>
  </si>
  <si>
    <t>Q13951</t>
  </si>
  <si>
    <t>Q13951-2</t>
  </si>
  <si>
    <t>Q13952-3</t>
  </si>
  <si>
    <t>Q14008-2</t>
  </si>
  <si>
    <t>Q14011</t>
  </si>
  <si>
    <t>Q14019</t>
  </si>
  <si>
    <t>Q14061</t>
  </si>
  <si>
    <t>Q14103-3</t>
  </si>
  <si>
    <t>Q14108</t>
  </si>
  <si>
    <t>Q14114-4</t>
  </si>
  <si>
    <t>Q14116-2</t>
  </si>
  <si>
    <t>Q14118</t>
  </si>
  <si>
    <t>Q14126</t>
  </si>
  <si>
    <t>Q14137</t>
  </si>
  <si>
    <t>Q14139</t>
  </si>
  <si>
    <t>Q14145</t>
  </si>
  <si>
    <t>Q14147</t>
  </si>
  <si>
    <t>Q14149</t>
  </si>
  <si>
    <t>Q14151</t>
  </si>
  <si>
    <t>Q14152</t>
  </si>
  <si>
    <t>Q14153-2</t>
  </si>
  <si>
    <t>Q14157</t>
  </si>
  <si>
    <t>Q14157-1</t>
  </si>
  <si>
    <t>Q14160</t>
  </si>
  <si>
    <t>Q14165</t>
  </si>
  <si>
    <t>Q14166</t>
  </si>
  <si>
    <t>Q14181</t>
  </si>
  <si>
    <t>Q14191</t>
  </si>
  <si>
    <t>Q14204</t>
  </si>
  <si>
    <t>Q14232</t>
  </si>
  <si>
    <t>Q14240</t>
  </si>
  <si>
    <t>Q14241</t>
  </si>
  <si>
    <t>Q14244</t>
  </si>
  <si>
    <t>Q14247</t>
  </si>
  <si>
    <t>Q14247-3</t>
  </si>
  <si>
    <t>Q14249</t>
  </si>
  <si>
    <t>Q14257</t>
  </si>
  <si>
    <t>Q14258</t>
  </si>
  <si>
    <t>Q14289-2</t>
  </si>
  <si>
    <t>Q14315</t>
  </si>
  <si>
    <t>Q14318-2</t>
  </si>
  <si>
    <t>Q14320</t>
  </si>
  <si>
    <t>Q14331</t>
  </si>
  <si>
    <t>Q14344</t>
  </si>
  <si>
    <t>Q14353</t>
  </si>
  <si>
    <t>Q14376</t>
  </si>
  <si>
    <t>Q14444-2</t>
  </si>
  <si>
    <t>Q14457</t>
  </si>
  <si>
    <t>Q14469</t>
  </si>
  <si>
    <t>Q14493-2</t>
  </si>
  <si>
    <t>Q14498-2</t>
  </si>
  <si>
    <t>Q14517</t>
  </si>
  <si>
    <t>Q14520-2</t>
  </si>
  <si>
    <t>Q14527</t>
  </si>
  <si>
    <t>Q14534</t>
  </si>
  <si>
    <t>Q14542-3</t>
  </si>
  <si>
    <t>Q14554</t>
  </si>
  <si>
    <t>Q14558</t>
  </si>
  <si>
    <t>Q14562</t>
  </si>
  <si>
    <t>Q14566</t>
  </si>
  <si>
    <t>Q14573</t>
  </si>
  <si>
    <t>Q14644</t>
  </si>
  <si>
    <t>Q14651</t>
  </si>
  <si>
    <t>Q14653</t>
  </si>
  <si>
    <t>Q14657</t>
  </si>
  <si>
    <t>Q14669-3</t>
  </si>
  <si>
    <t>Q14671</t>
  </si>
  <si>
    <t>Q14674</t>
  </si>
  <si>
    <t>Q14676</t>
  </si>
  <si>
    <t>Q14677</t>
  </si>
  <si>
    <t>Q14680-3</t>
  </si>
  <si>
    <t>Q14681</t>
  </si>
  <si>
    <t>Q14683</t>
  </si>
  <si>
    <t>Q14684-2</t>
  </si>
  <si>
    <t>Q14686</t>
  </si>
  <si>
    <t>Q14687-2</t>
  </si>
  <si>
    <t>Q14690</t>
  </si>
  <si>
    <t>Q14691</t>
  </si>
  <si>
    <t>Q14692</t>
  </si>
  <si>
    <t>Q14694</t>
  </si>
  <si>
    <t>Q14696</t>
  </si>
  <si>
    <t>Q14697</t>
  </si>
  <si>
    <t>Q14697-2</t>
  </si>
  <si>
    <t>Q14703</t>
  </si>
  <si>
    <t>Q14739</t>
  </si>
  <si>
    <t>Q14746-2</t>
  </si>
  <si>
    <t>Q14781</t>
  </si>
  <si>
    <t>Q14789-2</t>
  </si>
  <si>
    <t>Q14790</t>
  </si>
  <si>
    <t>Q147X3</t>
  </si>
  <si>
    <t>Q14807</t>
  </si>
  <si>
    <t>Q14847</t>
  </si>
  <si>
    <t>Q14964</t>
  </si>
  <si>
    <t>Q14966-3</t>
  </si>
  <si>
    <t>Q14974</t>
  </si>
  <si>
    <t>Q14978-2</t>
  </si>
  <si>
    <t>Q14980</t>
  </si>
  <si>
    <t>Q14997</t>
  </si>
  <si>
    <t>Q14BN4</t>
  </si>
  <si>
    <t>Q14C86-6</t>
  </si>
  <si>
    <t>Q14CX7</t>
  </si>
  <si>
    <t>Q14CZ7</t>
  </si>
  <si>
    <t>Q15003</t>
  </si>
  <si>
    <t>Q15004</t>
  </si>
  <si>
    <t>Q15006</t>
  </si>
  <si>
    <t>Q15007</t>
  </si>
  <si>
    <t>Q15008</t>
  </si>
  <si>
    <t>Q15011-3</t>
  </si>
  <si>
    <t>Q15012</t>
  </si>
  <si>
    <t>Q15013</t>
  </si>
  <si>
    <t>Q15018</t>
  </si>
  <si>
    <t>Q15019</t>
  </si>
  <si>
    <t>Q15020</t>
  </si>
  <si>
    <t>Q15021</t>
  </si>
  <si>
    <t>Q15024</t>
  </si>
  <si>
    <t>Q15029-2</t>
  </si>
  <si>
    <t>Q15032-2</t>
  </si>
  <si>
    <t>Q15036-2</t>
  </si>
  <si>
    <t>Q15042</t>
  </si>
  <si>
    <t>Q15043-2</t>
  </si>
  <si>
    <t>Q15046</t>
  </si>
  <si>
    <t>Q15047-3</t>
  </si>
  <si>
    <t>Q15048</t>
  </si>
  <si>
    <t>Q15056</t>
  </si>
  <si>
    <t>Q15056-2</t>
  </si>
  <si>
    <t>Q15057</t>
  </si>
  <si>
    <t>Q15058</t>
  </si>
  <si>
    <t>Q15059</t>
  </si>
  <si>
    <t>Q15061</t>
  </si>
  <si>
    <t>Q15067-2</t>
  </si>
  <si>
    <t>Q15075</t>
  </si>
  <si>
    <t>Q15102</t>
  </si>
  <si>
    <t>Q15111</t>
  </si>
  <si>
    <t>Q15118</t>
  </si>
  <si>
    <t>Q15121</t>
  </si>
  <si>
    <t>Q15126</t>
  </si>
  <si>
    <t>Q15131</t>
  </si>
  <si>
    <t>Q15149-4</t>
  </si>
  <si>
    <t>Q15155</t>
  </si>
  <si>
    <t>Q15170</t>
  </si>
  <si>
    <t>Q15172</t>
  </si>
  <si>
    <t>Q15173-2</t>
  </si>
  <si>
    <t>Q15181</t>
  </si>
  <si>
    <t>Q15208</t>
  </si>
  <si>
    <t>Q15233</t>
  </si>
  <si>
    <t>Q15257</t>
  </si>
  <si>
    <t>Q15269</t>
  </si>
  <si>
    <t>Q15274</t>
  </si>
  <si>
    <t>Q15276</t>
  </si>
  <si>
    <t>Q15283-2</t>
  </si>
  <si>
    <t>Q15286</t>
  </si>
  <si>
    <t>Q15291</t>
  </si>
  <si>
    <t>Q15293</t>
  </si>
  <si>
    <t>Q15311</t>
  </si>
  <si>
    <t>Q15334</t>
  </si>
  <si>
    <t>Q15345-3</t>
  </si>
  <si>
    <t>Q15363</t>
  </si>
  <si>
    <t>Q15365</t>
  </si>
  <si>
    <t>Q15366-3</t>
  </si>
  <si>
    <t>Q15366-6</t>
  </si>
  <si>
    <t>Q15370</t>
  </si>
  <si>
    <t>Q15382</t>
  </si>
  <si>
    <t>Q15386</t>
  </si>
  <si>
    <t>Q15393</t>
  </si>
  <si>
    <t>Q15398-3</t>
  </si>
  <si>
    <t>Q15404</t>
  </si>
  <si>
    <t>Q15424-2</t>
  </si>
  <si>
    <t>Q15428</t>
  </si>
  <si>
    <t>Q15435</t>
  </si>
  <si>
    <t>Q15437</t>
  </si>
  <si>
    <t>Q15459</t>
  </si>
  <si>
    <t>Q15464-2</t>
  </si>
  <si>
    <t>Q15506</t>
  </si>
  <si>
    <t>Q15526-2</t>
  </si>
  <si>
    <t>Q15527</t>
  </si>
  <si>
    <t>Q15542-2</t>
  </si>
  <si>
    <t>Q15543</t>
  </si>
  <si>
    <t>Q15545</t>
  </si>
  <si>
    <t>Q15554-3</t>
  </si>
  <si>
    <t>Q15555</t>
  </si>
  <si>
    <t>Q15599-2</t>
  </si>
  <si>
    <t>Q15628</t>
  </si>
  <si>
    <t>Q15637-5</t>
  </si>
  <si>
    <t>Q15642-2</t>
  </si>
  <si>
    <t>Q15643</t>
  </si>
  <si>
    <t>Q15645</t>
  </si>
  <si>
    <t>Q15648</t>
  </si>
  <si>
    <t>Q15649</t>
  </si>
  <si>
    <t>Q15650</t>
  </si>
  <si>
    <t>Q15651</t>
  </si>
  <si>
    <t>Q15652-3</t>
  </si>
  <si>
    <t>Q15653</t>
  </si>
  <si>
    <t>Q15654</t>
  </si>
  <si>
    <t>Q15691</t>
  </si>
  <si>
    <t>Q15714-2</t>
  </si>
  <si>
    <t>Q15717</t>
  </si>
  <si>
    <t>Q15738</t>
  </si>
  <si>
    <t>Q15742-3</t>
  </si>
  <si>
    <t>Q15743</t>
  </si>
  <si>
    <t>Q15746-4</t>
  </si>
  <si>
    <t>Q15750</t>
  </si>
  <si>
    <t>Q15751</t>
  </si>
  <si>
    <t>Q15758</t>
  </si>
  <si>
    <t>Q15759</t>
  </si>
  <si>
    <t>Q15773</t>
  </si>
  <si>
    <t>Q15785</t>
  </si>
  <si>
    <t>Q15796-2</t>
  </si>
  <si>
    <t>Q15800-2</t>
  </si>
  <si>
    <t>Q15814</t>
  </si>
  <si>
    <t>Q15819</t>
  </si>
  <si>
    <t>Q15831</t>
  </si>
  <si>
    <t>Q15833</t>
  </si>
  <si>
    <t>Q15836</t>
  </si>
  <si>
    <t>Q15904</t>
  </si>
  <si>
    <t>Q15906</t>
  </si>
  <si>
    <t>Q15907</t>
  </si>
  <si>
    <t>Q15910-3</t>
  </si>
  <si>
    <t>Q15942</t>
  </si>
  <si>
    <t>Q16134</t>
  </si>
  <si>
    <t>Q16181</t>
  </si>
  <si>
    <t>Q16186</t>
  </si>
  <si>
    <t>Q16204</t>
  </si>
  <si>
    <t>Q16222-2</t>
  </si>
  <si>
    <t>Q16254</t>
  </si>
  <si>
    <t>Q16363-2</t>
  </si>
  <si>
    <t>Q16384</t>
  </si>
  <si>
    <t>Q16401-2</t>
  </si>
  <si>
    <t>Q16512</t>
  </si>
  <si>
    <t>Q16513-2</t>
  </si>
  <si>
    <t>Q16514-2</t>
  </si>
  <si>
    <t>Q16526</t>
  </si>
  <si>
    <t>Q16531</t>
  </si>
  <si>
    <t>Q16539</t>
  </si>
  <si>
    <t>Q16539-2</t>
  </si>
  <si>
    <t>Q16543</t>
  </si>
  <si>
    <t>Q16555-2</t>
  </si>
  <si>
    <t>Q16576</t>
  </si>
  <si>
    <t>Q16587-5</t>
  </si>
  <si>
    <t>Q16594</t>
  </si>
  <si>
    <t>Q16600</t>
  </si>
  <si>
    <t>Q16610</t>
  </si>
  <si>
    <t>Q16626</t>
  </si>
  <si>
    <t>Q16630</t>
  </si>
  <si>
    <t>Q16643-2</t>
  </si>
  <si>
    <t>Q16644</t>
  </si>
  <si>
    <t>Q16656-2</t>
  </si>
  <si>
    <t>Q16658</t>
  </si>
  <si>
    <t>Q16670-2</t>
  </si>
  <si>
    <t>Q16706</t>
  </si>
  <si>
    <t>Q16718</t>
  </si>
  <si>
    <t>Q16720-8</t>
  </si>
  <si>
    <t>Q16739</t>
  </si>
  <si>
    <t>Q16740</t>
  </si>
  <si>
    <t>Q16762</t>
  </si>
  <si>
    <t>Q16763</t>
  </si>
  <si>
    <t>Q16778</t>
  </si>
  <si>
    <t>Q16795</t>
  </si>
  <si>
    <t>Q16822</t>
  </si>
  <si>
    <t>Q16842</t>
  </si>
  <si>
    <t>Q16850</t>
  </si>
  <si>
    <t>Q16854</t>
  </si>
  <si>
    <t>Q16864</t>
  </si>
  <si>
    <t>Q16880</t>
  </si>
  <si>
    <t>Q16891-2</t>
  </si>
  <si>
    <t>Q17RU2</t>
  </si>
  <si>
    <t>Q1ED39</t>
  </si>
  <si>
    <t>Q1KMD3</t>
  </si>
  <si>
    <t>Q1L5Z9</t>
  </si>
  <si>
    <t>Q1MSJ5-1</t>
  </si>
  <si>
    <t>Q27J81-2</t>
  </si>
  <si>
    <t>Q29980</t>
  </si>
  <si>
    <t>Q29RF7</t>
  </si>
  <si>
    <t>Q2KHR3-2</t>
  </si>
  <si>
    <t>Q2KHT3</t>
  </si>
  <si>
    <t>Q2M2I8-2</t>
  </si>
  <si>
    <t>Q2M389</t>
  </si>
  <si>
    <t>Q2M3D2</t>
  </si>
  <si>
    <t>Q2NKX8</t>
  </si>
  <si>
    <t>Q2NKX9-3</t>
  </si>
  <si>
    <t>Q2NL82</t>
  </si>
  <si>
    <t>Q2PZI1</t>
  </si>
  <si>
    <t>Q2TAA5</t>
  </si>
  <si>
    <t>Q2TAL8</t>
  </si>
  <si>
    <t>Q2TAM5</t>
  </si>
  <si>
    <t>Q2TAY7</t>
  </si>
  <si>
    <t>Q2TB90</t>
  </si>
  <si>
    <t>Q2TBE0</t>
  </si>
  <si>
    <t>Q32MZ4-3</t>
  </si>
  <si>
    <t>Q32N00</t>
  </si>
  <si>
    <t>Q32NB8</t>
  </si>
  <si>
    <t>Q32P28</t>
  </si>
  <si>
    <t>Q32P41</t>
  </si>
  <si>
    <t>Q32Q12</t>
  </si>
  <si>
    <t>Q3B726</t>
  </si>
  <si>
    <t>Q3BDU3</t>
  </si>
  <si>
    <t>Q3KQU3-2</t>
  </si>
  <si>
    <t>Q3KQV9</t>
  </si>
  <si>
    <t>Q3KRA9</t>
  </si>
  <si>
    <t>Q3LXA3</t>
  </si>
  <si>
    <t>Q3MHD2</t>
  </si>
  <si>
    <t>Q3MIT2</t>
  </si>
  <si>
    <t>Q3SXM5</t>
  </si>
  <si>
    <t>Q3SY56</t>
  </si>
  <si>
    <t>Q3T906</t>
  </si>
  <si>
    <t>Q3V6T2-2</t>
  </si>
  <si>
    <t>Q3YEC7</t>
  </si>
  <si>
    <t>Q3ZAQ7</t>
  </si>
  <si>
    <t>Q3ZCM7</t>
  </si>
  <si>
    <t>Q3ZCQ8</t>
  </si>
  <si>
    <t>Q3ZCV1</t>
  </si>
  <si>
    <t>Q495W5-2</t>
  </si>
  <si>
    <t>Q49AM1</t>
  </si>
  <si>
    <t>Q49AN0</t>
  </si>
  <si>
    <t>Q49AR2</t>
  </si>
  <si>
    <t>Q49B96</t>
  </si>
  <si>
    <t>Q4G0F5</t>
  </si>
  <si>
    <t>Q4G0I0</t>
  </si>
  <si>
    <t>Q4G0J3</t>
  </si>
  <si>
    <t>Q4G0N4</t>
  </si>
  <si>
    <t>Q4G148-2</t>
  </si>
  <si>
    <t>Q4G176</t>
  </si>
  <si>
    <t>Q4J6C6-4</t>
  </si>
  <si>
    <t>Q4KMP7</t>
  </si>
  <si>
    <t>Q4KMQ2-3</t>
  </si>
  <si>
    <t>Q4KWH8-3</t>
  </si>
  <si>
    <t>Q4LDG9</t>
  </si>
  <si>
    <t>Q4LE39-2</t>
  </si>
  <si>
    <t>Q4V328</t>
  </si>
  <si>
    <t>Q4VC05-2</t>
  </si>
  <si>
    <t>Q4VXZ8</t>
  </si>
  <si>
    <t>Q4ZIN3-2</t>
  </si>
  <si>
    <t>Q504U0</t>
  </si>
  <si>
    <t>Q52LJ0-2</t>
  </si>
  <si>
    <t>Q53EL6-2</t>
  </si>
  <si>
    <t>Q53EU6</t>
  </si>
  <si>
    <t>Q53EZ4-2</t>
  </si>
  <si>
    <t>Q53FA7</t>
  </si>
  <si>
    <t>Q53FT3</t>
  </si>
  <si>
    <t>Q53FZ2</t>
  </si>
  <si>
    <t>Q53GQ0</t>
  </si>
  <si>
    <t>Q53H47</t>
  </si>
  <si>
    <t>Q53H54</t>
  </si>
  <si>
    <t>Q53H82</t>
  </si>
  <si>
    <t>Q53H96</t>
  </si>
  <si>
    <t>Q53HV7</t>
  </si>
  <si>
    <t>Q53QZ3</t>
  </si>
  <si>
    <t>Q53R41</t>
  </si>
  <si>
    <t>Q53S33</t>
  </si>
  <si>
    <t>Q53S58</t>
  </si>
  <si>
    <t>Q53T59</t>
  </si>
  <si>
    <t>Q53TN4-3</t>
  </si>
  <si>
    <t>Q567V2-2</t>
  </si>
  <si>
    <t>Q587I9</t>
  </si>
  <si>
    <t>Q58A45</t>
  </si>
  <si>
    <t>Q58FF7</t>
  </si>
  <si>
    <t>Q58FF8</t>
  </si>
  <si>
    <t>Q58FG1</t>
  </si>
  <si>
    <t>Q58WW2</t>
  </si>
  <si>
    <t>Q5BKU9</t>
  </si>
  <si>
    <t>Q5BKX5-3</t>
  </si>
  <si>
    <t>Q5C9Z4</t>
  </si>
  <si>
    <t>Q5D1E8</t>
  </si>
  <si>
    <t>Q5DTB0</t>
  </si>
  <si>
    <t>Q5EBL4</t>
  </si>
  <si>
    <t>Q5EBL8</t>
  </si>
  <si>
    <t>Q5EBM0</t>
  </si>
  <si>
    <t>Q5F1R6</t>
  </si>
  <si>
    <t>Q5GLZ8-3</t>
  </si>
  <si>
    <t>Q5H8X8</t>
  </si>
  <si>
    <t>Q5H937</t>
  </si>
  <si>
    <t>Q5H9A7</t>
  </si>
  <si>
    <t>Q5HYI8</t>
  </si>
  <si>
    <t>Q5HYZ1</t>
  </si>
  <si>
    <t>Q5J1K9</t>
  </si>
  <si>
    <t>Q5JP53</t>
  </si>
  <si>
    <t>Q5JPE7-2</t>
  </si>
  <si>
    <t>Q5JPH6</t>
  </si>
  <si>
    <t>Q5JR01</t>
  </si>
  <si>
    <t>Q5JR08</t>
  </si>
  <si>
    <t>Q5JRA6</t>
  </si>
  <si>
    <t>Q5JRG1</t>
  </si>
  <si>
    <t>Q5JRI1</t>
  </si>
  <si>
    <t>Q5JRL0</t>
  </si>
  <si>
    <t>Q5JRX3</t>
  </si>
  <si>
    <t>Q5JS54</t>
  </si>
  <si>
    <t>Q5JSH3-2</t>
  </si>
  <si>
    <t>Q5JSK7</t>
  </si>
  <si>
    <t>Q5JSZ5</t>
  </si>
  <si>
    <t>Q5JTD0-2</t>
  </si>
  <si>
    <t>Q5JTH9-2</t>
  </si>
  <si>
    <t>Q5JTJ3-3</t>
  </si>
  <si>
    <t>Q5JTV1</t>
  </si>
  <si>
    <t>Q5JTV8</t>
  </si>
  <si>
    <t>Q5JTZ9</t>
  </si>
  <si>
    <t>Q5JU85-3</t>
  </si>
  <si>
    <t>Q5JUE6</t>
  </si>
  <si>
    <t>Q5JUQ0</t>
  </si>
  <si>
    <t>Q5JUR7</t>
  </si>
  <si>
    <t>Q5JUW8</t>
  </si>
  <si>
    <t>Q5JVF3-3</t>
  </si>
  <si>
    <t>Q5JVZ5</t>
  </si>
  <si>
    <t>Q5JW30</t>
  </si>
  <si>
    <t>Q5JWB9</t>
  </si>
  <si>
    <t>Q5JWT2</t>
  </si>
  <si>
    <t>Q5JXC2</t>
  </si>
  <si>
    <t>Q5JXX2</t>
  </si>
  <si>
    <t>Q5JY65</t>
  </si>
  <si>
    <t>Q5JYC0</t>
  </si>
  <si>
    <t>Q5LJA5</t>
  </si>
  <si>
    <t>Q5M775</t>
  </si>
  <si>
    <t>Q5MIZ7-3</t>
  </si>
  <si>
    <t>Q5MNZ6</t>
  </si>
  <si>
    <t>Q5NDL2</t>
  </si>
  <si>
    <t>Q5QJE6</t>
  </si>
  <si>
    <t>Q5QNY5</t>
  </si>
  <si>
    <t>Q5QNZ2</t>
  </si>
  <si>
    <t>Q5QP56</t>
  </si>
  <si>
    <t>Q5QP82-2</t>
  </si>
  <si>
    <t>Q5QPA5</t>
  </si>
  <si>
    <t>Q5QPC2</t>
  </si>
  <si>
    <t>Q5QPK2</t>
  </si>
  <si>
    <t>Q5R372-4</t>
  </si>
  <si>
    <t>Q5R3B4</t>
  </si>
  <si>
    <t>Q5R3I4</t>
  </si>
  <si>
    <t>Q5RI15</t>
  </si>
  <si>
    <t>Q5RKV6</t>
  </si>
  <si>
    <t>Q5SNW6</t>
  </si>
  <si>
    <t>Q5SR50</t>
  </si>
  <si>
    <t>Q5SR56</t>
  </si>
  <si>
    <t>Q5SRE5</t>
  </si>
  <si>
    <t>Q5SRN1</t>
  </si>
  <si>
    <t>Q5SRQ6</t>
  </si>
  <si>
    <t>Q5SSJ5</t>
  </si>
  <si>
    <t>Q5ST30</t>
  </si>
  <si>
    <t>Q5SVK8</t>
  </si>
  <si>
    <t>Q5SW79</t>
  </si>
  <si>
    <t>Q5SW96</t>
  </si>
  <si>
    <t>Q5SWX8-2</t>
  </si>
  <si>
    <t>Q5SX86</t>
  </si>
  <si>
    <t>Q5SXM8</t>
  </si>
  <si>
    <t>Q5SY16</t>
  </si>
  <si>
    <t>Q5SZE3</t>
  </si>
  <si>
    <t>Q5SZR4</t>
  </si>
  <si>
    <t>Q5T097</t>
  </si>
  <si>
    <t>Q5T0Z6</t>
  </si>
  <si>
    <t>Q5T114</t>
  </si>
  <si>
    <t>Q5T123</t>
  </si>
  <si>
    <t>Q5T160</t>
  </si>
  <si>
    <t>Q5T171</t>
  </si>
  <si>
    <t>Q5T179</t>
  </si>
  <si>
    <t>Q5T1C6</t>
  </si>
  <si>
    <t>Q5T1M5</t>
  </si>
  <si>
    <t>Q5T1V6</t>
  </si>
  <si>
    <t>Q5T1Z0</t>
  </si>
  <si>
    <t>Q5T1Z4</t>
  </si>
  <si>
    <t>Q5T200</t>
  </si>
  <si>
    <t>Q5T280</t>
  </si>
  <si>
    <t>Q5T2D3</t>
  </si>
  <si>
    <t>Q5T2J3</t>
  </si>
  <si>
    <t>Q5T2R2-3</t>
  </si>
  <si>
    <t>Q5T3J3-2</t>
  </si>
  <si>
    <t>Q5T3Q7</t>
  </si>
  <si>
    <t>Q5T3U5-2</t>
  </si>
  <si>
    <t>Q5T440</t>
  </si>
  <si>
    <t>Q5T447</t>
  </si>
  <si>
    <t>Q5T4B9</t>
  </si>
  <si>
    <t>Q5T4F4-7</t>
  </si>
  <si>
    <t>Q5T4S7-3</t>
  </si>
  <si>
    <t>Q5T4U5</t>
  </si>
  <si>
    <t>Q5T4U8</t>
  </si>
  <si>
    <t>Q5T5C0-3</t>
  </si>
  <si>
    <t>Q5T5C7</t>
  </si>
  <si>
    <t>Q5T5U3</t>
  </si>
  <si>
    <t>Q5T5X7</t>
  </si>
  <si>
    <t>Q5T5Y3</t>
  </si>
  <si>
    <t>Q5T6F2</t>
  </si>
  <si>
    <t>Q5T6S3</t>
  </si>
  <si>
    <t>Q5T6V5</t>
  </si>
  <si>
    <t>Q5T6Z8</t>
  </si>
  <si>
    <t>Q5T7A4</t>
  </si>
  <si>
    <t>Q5T7V8</t>
  </si>
  <si>
    <t>Q5T8D3-4</t>
  </si>
  <si>
    <t>Q5T8I0</t>
  </si>
  <si>
    <t>Q5T8I3-2</t>
  </si>
  <si>
    <t>Q5T8P6-2</t>
  </si>
  <si>
    <t>Q5T8U5</t>
  </si>
  <si>
    <t>Q5T9A4</t>
  </si>
  <si>
    <t>Q5T9B7</t>
  </si>
  <si>
    <t>Q5T9W8</t>
  </si>
  <si>
    <t>Q5TA02</t>
  </si>
  <si>
    <t>Q5TA31</t>
  </si>
  <si>
    <t>Q5TA45-2</t>
  </si>
  <si>
    <t>Q5TA50</t>
  </si>
  <si>
    <t>Q5TA58</t>
  </si>
  <si>
    <t>Q5TAA8</t>
  </si>
  <si>
    <t>Q5TAW7</t>
  </si>
  <si>
    <t>Q5TAX3</t>
  </si>
  <si>
    <t>Q5TBB1</t>
  </si>
  <si>
    <t>Q5TBP5</t>
  </si>
  <si>
    <t>Q5TBP9</t>
  </si>
  <si>
    <t>Q5TC82-2</t>
  </si>
  <si>
    <t>Q5TCQ9-3</t>
  </si>
  <si>
    <t>Q5TD07</t>
  </si>
  <si>
    <t>Q5TDG9</t>
  </si>
  <si>
    <t>Q5TDH0</t>
  </si>
  <si>
    <t>Q5TEU4</t>
  </si>
  <si>
    <t>Q5TFE4</t>
  </si>
  <si>
    <t>Q5TGE1</t>
  </si>
  <si>
    <t>Q5TH30</t>
  </si>
  <si>
    <t>Q5THJ4-2</t>
  </si>
  <si>
    <t>Q5THK1-3</t>
  </si>
  <si>
    <t>Q5TI78</t>
  </si>
  <si>
    <t>Q5TIE1</t>
  </si>
  <si>
    <t>Q5TIH2</t>
  </si>
  <si>
    <t>Q5U5X0</t>
  </si>
  <si>
    <t>Q5UIP0</t>
  </si>
  <si>
    <t>Q5VIR6-4</t>
  </si>
  <si>
    <t>Q5VSL9</t>
  </si>
  <si>
    <t>Q5VT52</t>
  </si>
  <si>
    <t>Q5VT94</t>
  </si>
  <si>
    <t>Q5VTD9-2</t>
  </si>
  <si>
    <t>Q5VTL8</t>
  </si>
  <si>
    <t>Q5VTR2</t>
  </si>
  <si>
    <t>Q5VTU3</t>
  </si>
  <si>
    <t>Q5VU58</t>
  </si>
  <si>
    <t>Q5VUC6</t>
  </si>
  <si>
    <t>Q5VV42</t>
  </si>
  <si>
    <t>Q5VV50</t>
  </si>
  <si>
    <t>Q5VVD7</t>
  </si>
  <si>
    <t>Q5VVJ2-2</t>
  </si>
  <si>
    <t>Q5VVQ6</t>
  </si>
  <si>
    <t>Q5VW32</t>
  </si>
  <si>
    <t>Q5VW52</t>
  </si>
  <si>
    <t>Q5VWC4</t>
  </si>
  <si>
    <t>Q5VWJ9</t>
  </si>
  <si>
    <t>Q5VWP2</t>
  </si>
  <si>
    <t>Q5VWQ0</t>
  </si>
  <si>
    <t>Q5VWV2</t>
  </si>
  <si>
    <t>Q5VWZ2</t>
  </si>
  <si>
    <t>Q5VY93</t>
  </si>
  <si>
    <t>Q5VZE5</t>
  </si>
  <si>
    <t>Q5VZI3-2</t>
  </si>
  <si>
    <t>Q5VZL5-4</t>
  </si>
  <si>
    <t>Q5VZR0</t>
  </si>
  <si>
    <t>Q5VZU9</t>
  </si>
  <si>
    <t>Q5VZZ6</t>
  </si>
  <si>
    <t>Q5W0A2</t>
  </si>
  <si>
    <t>Q5W0V3</t>
  </si>
  <si>
    <t>Q5W111-2</t>
  </si>
  <si>
    <t>Q5W145</t>
  </si>
  <si>
    <t>Q5XKP0</t>
  </si>
  <si>
    <t>Q5XPI4</t>
  </si>
  <si>
    <t>Q5XUX1-3</t>
  </si>
  <si>
    <t>Q63HN8</t>
  </si>
  <si>
    <t>Q643R3</t>
  </si>
  <si>
    <t>Q658P3-3</t>
  </si>
  <si>
    <t>Q66GS9</t>
  </si>
  <si>
    <t>Q66K14-2</t>
  </si>
  <si>
    <t>Q66K64</t>
  </si>
  <si>
    <t>Q66LE6</t>
  </si>
  <si>
    <t>Q66PJ3</t>
  </si>
  <si>
    <t>Q66S35</t>
  </si>
  <si>
    <t>Q674X7-3</t>
  </si>
  <si>
    <t>Q68CQ4</t>
  </si>
  <si>
    <t>Q68D10-2</t>
  </si>
  <si>
    <t>Q68D85</t>
  </si>
  <si>
    <t>Q68D91</t>
  </si>
  <si>
    <t>Q68DH5</t>
  </si>
  <si>
    <t>Q68DM5</t>
  </si>
  <si>
    <t>Q68E01-2</t>
  </si>
  <si>
    <t>Q68EM7-6</t>
  </si>
  <si>
    <t>Q69YH5</t>
  </si>
  <si>
    <t>Q69YL0</t>
  </si>
  <si>
    <t>Q69YM1</t>
  </si>
  <si>
    <t>Q69YN2</t>
  </si>
  <si>
    <t>Q69YN4-3</t>
  </si>
  <si>
    <t>Q69YQ0-2</t>
  </si>
  <si>
    <t>Q69YU5</t>
  </si>
  <si>
    <t>Q6AI08</t>
  </si>
  <si>
    <t>Q6AI12</t>
  </si>
  <si>
    <t>Q6BCY4-2</t>
  </si>
  <si>
    <t>Q6BDS2</t>
  </si>
  <si>
    <t>Q6DD87</t>
  </si>
  <si>
    <t>Q6DD88</t>
  </si>
  <si>
    <t>Q6DHV7</t>
  </si>
  <si>
    <t>Q6DKK2</t>
  </si>
  <si>
    <t>Q6DT37</t>
  </si>
  <si>
    <t>Q6EEV4-2</t>
  </si>
  <si>
    <t>Q6EMK4</t>
  </si>
  <si>
    <t>Q6FI81</t>
  </si>
  <si>
    <t>Q6FIF0-2</t>
  </si>
  <si>
    <t>Q6GMV2</t>
  </si>
  <si>
    <t>Q6GMV3</t>
  </si>
  <si>
    <t>Q6GQQ9</t>
  </si>
  <si>
    <t>Q6I9Y2</t>
  </si>
  <si>
    <t>Q6IA69</t>
  </si>
  <si>
    <t>Q6IA86-3</t>
  </si>
  <si>
    <t>Q6IAA8</t>
  </si>
  <si>
    <t>Q6IAN0</t>
  </si>
  <si>
    <t>Q6IBS0</t>
  </si>
  <si>
    <t>Q6IBW4-2</t>
  </si>
  <si>
    <t>Q6IC98</t>
  </si>
  <si>
    <t>Q6ICB0</t>
  </si>
  <si>
    <t>Q6IN84</t>
  </si>
  <si>
    <t>Q6IN85</t>
  </si>
  <si>
    <t>Q6IPR3</t>
  </si>
  <si>
    <t>Q6IQ22</t>
  </si>
  <si>
    <t>Q6IQ49-2</t>
  </si>
  <si>
    <t>Q6J164</t>
  </si>
  <si>
    <t>Q6JHV3</t>
  </si>
  <si>
    <t>Q6KC79-2</t>
  </si>
  <si>
    <t>Q6KCM7</t>
  </si>
  <si>
    <t>Q6N063</t>
  </si>
  <si>
    <t>Q6N069</t>
  </si>
  <si>
    <t>Q6NSH3</t>
  </si>
  <si>
    <t>Q6NT16</t>
  </si>
  <si>
    <t>Q6NTE8</t>
  </si>
  <si>
    <t>Q6NUK1</t>
  </si>
  <si>
    <t>Q6NUK4-2</t>
  </si>
  <si>
    <t>Q6NUM9</t>
  </si>
  <si>
    <t>Q6NUQ1</t>
  </si>
  <si>
    <t>Q6NUQ4-2</t>
  </si>
  <si>
    <t>Q6NVH7</t>
  </si>
  <si>
    <t>Q6NVY1</t>
  </si>
  <si>
    <t>Q6NXE6-2</t>
  </si>
  <si>
    <t>Q6NXT1</t>
  </si>
  <si>
    <t>Q6NXT6</t>
  </si>
  <si>
    <t>Q6NYC8</t>
  </si>
  <si>
    <t>Q6NZI2</t>
  </si>
  <si>
    <t>Q6NZY4</t>
  </si>
  <si>
    <t>Q6P087-2</t>
  </si>
  <si>
    <t>Q6P161</t>
  </si>
  <si>
    <t>Q6P1J9</t>
  </si>
  <si>
    <t>Q6P1K2-4</t>
  </si>
  <si>
    <t>Q6P1K8</t>
  </si>
  <si>
    <t>Q6P1L8</t>
  </si>
  <si>
    <t>Q6P1M0</t>
  </si>
  <si>
    <t>Q6P1N0-2</t>
  </si>
  <si>
    <t>Q6P1Q9</t>
  </si>
  <si>
    <t>Q6P1R4</t>
  </si>
  <si>
    <t>Q6P2C8-2</t>
  </si>
  <si>
    <t>Q6P2E9</t>
  </si>
  <si>
    <t>Q6P2H3-2</t>
  </si>
  <si>
    <t>Q6P2P2</t>
  </si>
  <si>
    <t>Q6P2Q9</t>
  </si>
  <si>
    <t>Q6P3S1-5</t>
  </si>
  <si>
    <t>Q6P3S6</t>
  </si>
  <si>
    <t>Q6P3W7</t>
  </si>
  <si>
    <t>Q6P3X3</t>
  </si>
  <si>
    <t>Q6P444</t>
  </si>
  <si>
    <t>Q6P4A7</t>
  </si>
  <si>
    <t>Q6P4A8</t>
  </si>
  <si>
    <t>Q6P4E1</t>
  </si>
  <si>
    <t>Q6P4F2</t>
  </si>
  <si>
    <t>Q6P4I2</t>
  </si>
  <si>
    <t>Q6P582</t>
  </si>
  <si>
    <t>Q6P587</t>
  </si>
  <si>
    <t>Q6P5X5</t>
  </si>
  <si>
    <t>Q6P5Z2</t>
  </si>
  <si>
    <t>Q6P6B7-2</t>
  </si>
  <si>
    <t>Q6P6C2-3</t>
  </si>
  <si>
    <t>Q6P9B6</t>
  </si>
  <si>
    <t>Q6P9B9</t>
  </si>
  <si>
    <t>Q6P9F7</t>
  </si>
  <si>
    <t>Q6PCB5</t>
  </si>
  <si>
    <t>Q6PCE3</t>
  </si>
  <si>
    <t>Q6PD62</t>
  </si>
  <si>
    <t>Q6PD74</t>
  </si>
  <si>
    <t>Q6PGN9-2</t>
  </si>
  <si>
    <t>Q6PHR2-3</t>
  </si>
  <si>
    <t>Q6PI48</t>
  </si>
  <si>
    <t>Q6PII3</t>
  </si>
  <si>
    <t>Q6PII5-2</t>
  </si>
  <si>
    <t>Q6PIJ6-2</t>
  </si>
  <si>
    <t>Q6PIW4-2</t>
  </si>
  <si>
    <t>Q6PJ61</t>
  </si>
  <si>
    <t>Q6PJ69</t>
  </si>
  <si>
    <t>Q6PJG6</t>
  </si>
  <si>
    <t>Q6PJT7-5</t>
  </si>
  <si>
    <t>Q6PJW8</t>
  </si>
  <si>
    <t>Q6PK18</t>
  </si>
  <si>
    <t>Q6PKC3-2</t>
  </si>
  <si>
    <t>Q6PKG0</t>
  </si>
  <si>
    <t>Q6PL24</t>
  </si>
  <si>
    <t>Q6PML9</t>
  </si>
  <si>
    <t>Q6QNY0</t>
  </si>
  <si>
    <t>Q6QNY1</t>
  </si>
  <si>
    <t>Q6R327</t>
  </si>
  <si>
    <t>Q6RFH5-2</t>
  </si>
  <si>
    <t>Q6RW13</t>
  </si>
  <si>
    <t>Q6SPF0</t>
  </si>
  <si>
    <t>Q6UB28</t>
  </si>
  <si>
    <t>Q6UB35</t>
  </si>
  <si>
    <t>Q6ULP2-5</t>
  </si>
  <si>
    <t>Q6UN15-5</t>
  </si>
  <si>
    <t>Q6UW56</t>
  </si>
  <si>
    <t>Q6UW63</t>
  </si>
  <si>
    <t>Q6UW78</t>
  </si>
  <si>
    <t>Q6UWB1</t>
  </si>
  <si>
    <t>Q6UWE0</t>
  </si>
  <si>
    <t>Q6UWP2</t>
  </si>
  <si>
    <t>Q6UWP7-3</t>
  </si>
  <si>
    <t>Q6UWS5</t>
  </si>
  <si>
    <t>Q6UWU4</t>
  </si>
  <si>
    <t>Q6UX04</t>
  </si>
  <si>
    <t>Q6UX07</t>
  </si>
  <si>
    <t>Q6UXH1-4</t>
  </si>
  <si>
    <t>Q6UXN9</t>
  </si>
  <si>
    <t>Q6UXV4</t>
  </si>
  <si>
    <t>Q6UY14-2</t>
  </si>
  <si>
    <t>Q6VMQ6-2</t>
  </si>
  <si>
    <t>Q6VY07</t>
  </si>
  <si>
    <t>Q6W2J9-4</t>
  </si>
  <si>
    <t>Q6WKZ4</t>
  </si>
  <si>
    <t>Q6XQN6</t>
  </si>
  <si>
    <t>Q6XR72</t>
  </si>
  <si>
    <t>Q6Y7W6-4</t>
  </si>
  <si>
    <t>Q6YHU6-3</t>
  </si>
  <si>
    <t>Q6YN16</t>
  </si>
  <si>
    <t>Q6YP21-3</t>
  </si>
  <si>
    <t>Q6ZN04</t>
  </si>
  <si>
    <t>Q6ZN17</t>
  </si>
  <si>
    <t>Q6ZN18-2</t>
  </si>
  <si>
    <t>Q6ZNA5</t>
  </si>
  <si>
    <t>Q6ZNB6</t>
  </si>
  <si>
    <t>Q6ZNJ1-2</t>
  </si>
  <si>
    <t>Q6ZNW5</t>
  </si>
  <si>
    <t>Q6ZPD9</t>
  </si>
  <si>
    <t>Q6ZRP7</t>
  </si>
  <si>
    <t>Q6ZRS2-3</t>
  </si>
  <si>
    <t>Q6ZS17-2</t>
  </si>
  <si>
    <t>Q6ZSJ8</t>
  </si>
  <si>
    <t>Q6ZT12</t>
  </si>
  <si>
    <t>Q6ZT62</t>
  </si>
  <si>
    <t>Q6ZV70-2</t>
  </si>
  <si>
    <t>Q6ZW49-4</t>
  </si>
  <si>
    <t>Q6ZWT7</t>
  </si>
  <si>
    <t>Q6ZXV5-2</t>
  </si>
  <si>
    <t>Q6ZYL4</t>
  </si>
  <si>
    <t>Q709C8-3</t>
  </si>
  <si>
    <t>Q70CQ2</t>
  </si>
  <si>
    <t>Q70IA6</t>
  </si>
  <si>
    <t>Q70J99</t>
  </si>
  <si>
    <t>Q70UQ0</t>
  </si>
  <si>
    <t>Q70UQ0-4</t>
  </si>
  <si>
    <t>Q70Z53-2</t>
  </si>
  <si>
    <t>Q712K3</t>
  </si>
  <si>
    <t>Q71RC2-5</t>
  </si>
  <si>
    <t>Q71SY5-5</t>
  </si>
  <si>
    <t>Q71TU5</t>
  </si>
  <si>
    <t>Q71UI9</t>
  </si>
  <si>
    <t>Q765P7</t>
  </si>
  <si>
    <t>Q7KYR7-5</t>
  </si>
  <si>
    <t>Q7KZ85</t>
  </si>
  <si>
    <t>Q7KZ85-2</t>
  </si>
  <si>
    <t>Q7KZF4</t>
  </si>
  <si>
    <t>Q7KZN9-2</t>
  </si>
  <si>
    <t>Q7L014</t>
  </si>
  <si>
    <t>Q7L099-2</t>
  </si>
  <si>
    <t>Q7L099-4</t>
  </si>
  <si>
    <t>Q7L0Y3</t>
  </si>
  <si>
    <t>Q7L1Q6</t>
  </si>
  <si>
    <t>Q7L1T6</t>
  </si>
  <si>
    <t>Q7L1W4</t>
  </si>
  <si>
    <t>Q7L266</t>
  </si>
  <si>
    <t>Q7L273</t>
  </si>
  <si>
    <t>Q7L2H7</t>
  </si>
  <si>
    <t>Q7L2J0</t>
  </si>
  <si>
    <t>Q7L3V2</t>
  </si>
  <si>
    <t>Q7L4I2</t>
  </si>
  <si>
    <t>Q7L523</t>
  </si>
  <si>
    <t>Q7L576</t>
  </si>
  <si>
    <t>Q7L592</t>
  </si>
  <si>
    <t>Q7L5D6</t>
  </si>
  <si>
    <t>Q7L5Y1</t>
  </si>
  <si>
    <t>Q7L5Y9</t>
  </si>
  <si>
    <t>Q7L775</t>
  </si>
  <si>
    <t>Q7L7X3</t>
  </si>
  <si>
    <t>Q7L8J4</t>
  </si>
  <si>
    <t>Q7L8L6</t>
  </si>
  <si>
    <t>Q7L8W6</t>
  </si>
  <si>
    <t>Q7LBC6</t>
  </si>
  <si>
    <t>Q7LBR1</t>
  </si>
  <si>
    <t>Q7LG56</t>
  </si>
  <si>
    <t>Q7LGA3</t>
  </si>
  <si>
    <t>Q7RTP6</t>
  </si>
  <si>
    <t>Q7RTV0</t>
  </si>
  <si>
    <t>Q7Z2E3-3</t>
  </si>
  <si>
    <t>Q7Z2K8</t>
  </si>
  <si>
    <t>Q7Z2T5</t>
  </si>
  <si>
    <t>Q7Z2W4</t>
  </si>
  <si>
    <t>Q7Z2Z2</t>
  </si>
  <si>
    <t>Q7Z333-3</t>
  </si>
  <si>
    <t>Q7Z372</t>
  </si>
  <si>
    <t>Q7Z392-4</t>
  </si>
  <si>
    <t>Q7Z3B3</t>
  </si>
  <si>
    <t>Q7Z3C6-2</t>
  </si>
  <si>
    <t>Q7Z3D4</t>
  </si>
  <si>
    <t>Q7Z3E2</t>
  </si>
  <si>
    <t>Q7Z3K3-5</t>
  </si>
  <si>
    <t>Q7Z3T8</t>
  </si>
  <si>
    <t>Q7Z403</t>
  </si>
  <si>
    <t>Q7Z417</t>
  </si>
  <si>
    <t>Q7Z422-2</t>
  </si>
  <si>
    <t>Q7Z434</t>
  </si>
  <si>
    <t>Q7Z451</t>
  </si>
  <si>
    <t>Q7Z460</t>
  </si>
  <si>
    <t>Q7Z478</t>
  </si>
  <si>
    <t>Q7Z4F1</t>
  </si>
  <si>
    <t>Q7Z4G1</t>
  </si>
  <si>
    <t>Q7Z4H3</t>
  </si>
  <si>
    <t>Q7Z4H7-3</t>
  </si>
  <si>
    <t>Q7Z4H8</t>
  </si>
  <si>
    <t>Q7Z4Q2</t>
  </si>
  <si>
    <t>Q7Z4V5</t>
  </si>
  <si>
    <t>Q7Z4W1</t>
  </si>
  <si>
    <t>Q7Z5G4</t>
  </si>
  <si>
    <t>Q7Z5H3-3</t>
  </si>
  <si>
    <t>Q7Z5K2</t>
  </si>
  <si>
    <t>Q7Z5L9-2</t>
  </si>
  <si>
    <t>Q7Z5U6</t>
  </si>
  <si>
    <t>Q7Z5Y7</t>
  </si>
  <si>
    <t>Q7Z649</t>
  </si>
  <si>
    <t>Q7Z650</t>
  </si>
  <si>
    <t>Q7Z6B0-2</t>
  </si>
  <si>
    <t>Q7Z6E9</t>
  </si>
  <si>
    <t>Q7Z6I8</t>
  </si>
  <si>
    <t>Q7Z6J8</t>
  </si>
  <si>
    <t>Q7Z6J9</t>
  </si>
  <si>
    <t>Q7Z6K3</t>
  </si>
  <si>
    <t>Q7Z6L1</t>
  </si>
  <si>
    <t>Q7Z6M1</t>
  </si>
  <si>
    <t>Q7Z6M4</t>
  </si>
  <si>
    <t>Q7Z6U0</t>
  </si>
  <si>
    <t>Q7Z6V5-2</t>
  </si>
  <si>
    <t>Q7Z6Z7-2</t>
  </si>
  <si>
    <t>Q7Z7A1-5</t>
  </si>
  <si>
    <t>Q7Z7A3</t>
  </si>
  <si>
    <t>Q7Z7C8</t>
  </si>
  <si>
    <t>Q7Z7E8</t>
  </si>
  <si>
    <t>Q7Z7F0-2</t>
  </si>
  <si>
    <t>Q7Z7F7</t>
  </si>
  <si>
    <t>Q7Z7G8-2</t>
  </si>
  <si>
    <t>Q7Z7H5-3</t>
  </si>
  <si>
    <t>Q7Z7K0</t>
  </si>
  <si>
    <t>Q7Z7K6-3</t>
  </si>
  <si>
    <t>Q7Z7M9</t>
  </si>
  <si>
    <t>Q7Z7N9</t>
  </si>
  <si>
    <t>Q86SF2</t>
  </si>
  <si>
    <t>Q86SQ9-3</t>
  </si>
  <si>
    <t>Q86SX6</t>
  </si>
  <si>
    <t>Q86SZ2-2</t>
  </si>
  <si>
    <t>Q86T03</t>
  </si>
  <si>
    <t>Q86TA1</t>
  </si>
  <si>
    <t>Q86TB9-4</t>
  </si>
  <si>
    <t>Q86TI2</t>
  </si>
  <si>
    <t>Q86TN4</t>
  </si>
  <si>
    <t>Q86TP1</t>
  </si>
  <si>
    <t>Q86TU7</t>
  </si>
  <si>
    <t>Q86TV6</t>
  </si>
  <si>
    <t>Q86U06-4</t>
  </si>
  <si>
    <t>Q86U28</t>
  </si>
  <si>
    <t>Q86U38</t>
  </si>
  <si>
    <t>Q86U44</t>
  </si>
  <si>
    <t>Q86U70-3</t>
  </si>
  <si>
    <t>Q86U90</t>
  </si>
  <si>
    <t>Q86UA1</t>
  </si>
  <si>
    <t>Q86UD0</t>
  </si>
  <si>
    <t>Q86UE4</t>
  </si>
  <si>
    <t>Q86UE8-2</t>
  </si>
  <si>
    <t>Q86UK7-2</t>
  </si>
  <si>
    <t>Q86UL3</t>
  </si>
  <si>
    <t>Q86UP2</t>
  </si>
  <si>
    <t>Q86US8</t>
  </si>
  <si>
    <t>Q86UU0-3</t>
  </si>
  <si>
    <t>Q86UU1-2</t>
  </si>
  <si>
    <t>Q86UV5</t>
  </si>
  <si>
    <t>Q86UX3</t>
  </si>
  <si>
    <t>Q86UX7-2</t>
  </si>
  <si>
    <t>Q86UY0</t>
  </si>
  <si>
    <t>Q86UY5</t>
  </si>
  <si>
    <t>Q86UY6</t>
  </si>
  <si>
    <t>Q86UY8-2</t>
  </si>
  <si>
    <t>Q86V21</t>
  </si>
  <si>
    <t>Q86V48</t>
  </si>
  <si>
    <t>Q86VI3</t>
  </si>
  <si>
    <t>Q86VN1-2</t>
  </si>
  <si>
    <t>Q86VP6</t>
  </si>
  <si>
    <t>Q86VQ1</t>
  </si>
  <si>
    <t>Q86VQ3-2</t>
  </si>
  <si>
    <t>Q86VR2</t>
  </si>
  <si>
    <t>Q86VS8</t>
  </si>
  <si>
    <t>Q86VU5</t>
  </si>
  <si>
    <t>Q86VX9</t>
  </si>
  <si>
    <t>Q86W42</t>
  </si>
  <si>
    <t>Q86W50</t>
  </si>
  <si>
    <t>Q86W56</t>
  </si>
  <si>
    <t>Q86WA6-2</t>
  </si>
  <si>
    <t>Q86WA8</t>
  </si>
  <si>
    <t>Q86WH2</t>
  </si>
  <si>
    <t>Q86WJ1</t>
  </si>
  <si>
    <t>Q86WQ0</t>
  </si>
  <si>
    <t>Q86WR0</t>
  </si>
  <si>
    <t>Q86WR7</t>
  </si>
  <si>
    <t>Q86WV6</t>
  </si>
  <si>
    <t>Q86WV7</t>
  </si>
  <si>
    <t>Q86WX3</t>
  </si>
  <si>
    <t>Q86X02</t>
  </si>
  <si>
    <t>Q86X29-3</t>
  </si>
  <si>
    <t>Q86X53</t>
  </si>
  <si>
    <t>Q86X55-1</t>
  </si>
  <si>
    <t>Q86X76-2</t>
  </si>
  <si>
    <t>Q86X83</t>
  </si>
  <si>
    <t>Q86XP3</t>
  </si>
  <si>
    <t>Q86XZ4</t>
  </si>
  <si>
    <t>Q86Y07</t>
  </si>
  <si>
    <t>Q86Y37-4</t>
  </si>
  <si>
    <t>Q86Y56</t>
  </si>
  <si>
    <t>Q86Y79</t>
  </si>
  <si>
    <t>Q86Y82</t>
  </si>
  <si>
    <t>Q86YH2</t>
  </si>
  <si>
    <t>Q86YH6</t>
  </si>
  <si>
    <t>Q86YM7</t>
  </si>
  <si>
    <t>Q86YN1-2</t>
  </si>
  <si>
    <t>Q86YP4</t>
  </si>
  <si>
    <t>Q86YQ8</t>
  </si>
  <si>
    <t>Q86YS3</t>
  </si>
  <si>
    <t>Q86YS7</t>
  </si>
  <si>
    <t>Q86YT6</t>
  </si>
  <si>
    <t>Q8IU81</t>
  </si>
  <si>
    <t>Q8IUF8</t>
  </si>
  <si>
    <t>Q8IUH3-3</t>
  </si>
  <si>
    <t>Q8IUI8</t>
  </si>
  <si>
    <t>Q8IUR0</t>
  </si>
  <si>
    <t>Q8IUX1-4</t>
  </si>
  <si>
    <t>Q8IV08</t>
  </si>
  <si>
    <t>Q8IV38</t>
  </si>
  <si>
    <t>Q8IV48</t>
  </si>
  <si>
    <t>Q8IV50</t>
  </si>
  <si>
    <t>Q8IV63-3</t>
  </si>
  <si>
    <t>Q8IVB5</t>
  </si>
  <si>
    <t>Q8IVD9</t>
  </si>
  <si>
    <t>Q8IVH8-3</t>
  </si>
  <si>
    <t>Q8IVM0</t>
  </si>
  <si>
    <t>Q8IVM0-2</t>
  </si>
  <si>
    <t>Q8IVS2</t>
  </si>
  <si>
    <t>Q8IVW6-4</t>
  </si>
  <si>
    <t>Q8IW45</t>
  </si>
  <si>
    <t>Q8IWA0</t>
  </si>
  <si>
    <t>Q8IWB1</t>
  </si>
  <si>
    <t>Q8IWB7</t>
  </si>
  <si>
    <t>Q8IWB9</t>
  </si>
  <si>
    <t>Q8IWC1-2</t>
  </si>
  <si>
    <t>Q8IWD4</t>
  </si>
  <si>
    <t>Q8IWE4</t>
  </si>
  <si>
    <t>Q8IWF6</t>
  </si>
  <si>
    <t>Q8IWJ2</t>
  </si>
  <si>
    <t>Q8IWL3</t>
  </si>
  <si>
    <t>Q8IWP9</t>
  </si>
  <si>
    <t>Q8IWR0</t>
  </si>
  <si>
    <t>Q8IWS0</t>
  </si>
  <si>
    <t>Q8IWT6</t>
  </si>
  <si>
    <t>Q8IWU2</t>
  </si>
  <si>
    <t>Q8IWV7</t>
  </si>
  <si>
    <t>Q8IWV8-4</t>
  </si>
  <si>
    <t>Q8IWW6-2</t>
  </si>
  <si>
    <t>Q8IWY9-1</t>
  </si>
  <si>
    <t>Q8IWZ3</t>
  </si>
  <si>
    <t>Q8IWZ8</t>
  </si>
  <si>
    <t>Q8IX07</t>
  </si>
  <si>
    <t>Q8IX12-2</t>
  </si>
  <si>
    <t>Q8IX15</t>
  </si>
  <si>
    <t>Q8IX18-3</t>
  </si>
  <si>
    <t>Q8IX90</t>
  </si>
  <si>
    <t>Q8IXB1</t>
  </si>
  <si>
    <t>Q8IXI1</t>
  </si>
  <si>
    <t>Q8IXI2-2</t>
  </si>
  <si>
    <t>Q8IXJ6-2</t>
  </si>
  <si>
    <t>Q8IXJ9-2</t>
  </si>
  <si>
    <t>Q8IXK2</t>
  </si>
  <si>
    <t>Q8IXM6-2</t>
  </si>
  <si>
    <t>Q8IXQ3</t>
  </si>
  <si>
    <t>Q8IXQ4</t>
  </si>
  <si>
    <t>Q8IXS8</t>
  </si>
  <si>
    <t>Q8IXW5</t>
  </si>
  <si>
    <t>Q8IY17-3</t>
  </si>
  <si>
    <t>Q8IY18</t>
  </si>
  <si>
    <t>Q8IY22-3</t>
  </si>
  <si>
    <t>Q8IY33</t>
  </si>
  <si>
    <t>Q8IY37</t>
  </si>
  <si>
    <t>Q8IY47</t>
  </si>
  <si>
    <t>Q8IY63-2</t>
  </si>
  <si>
    <t>Q8IY95-2</t>
  </si>
  <si>
    <t>Q8IYB5-3</t>
  </si>
  <si>
    <t>Q8IYB7</t>
  </si>
  <si>
    <t>Q8IYB8</t>
  </si>
  <si>
    <t>Q8IYB9</t>
  </si>
  <si>
    <t>Q8IYD1</t>
  </si>
  <si>
    <t>Q8IYH5-4</t>
  </si>
  <si>
    <t>Q8IYI6</t>
  </si>
  <si>
    <t>Q8IYK4</t>
  </si>
  <si>
    <t>Q8IYL3</t>
  </si>
  <si>
    <t>Q8IYN2</t>
  </si>
  <si>
    <t>Q8IYQ7</t>
  </si>
  <si>
    <t>Q8IYS2</t>
  </si>
  <si>
    <t>Q8IYT2</t>
  </si>
  <si>
    <t>Q8IYU8</t>
  </si>
  <si>
    <t>Q8IZ07</t>
  </si>
  <si>
    <t>Q8IZ21-3</t>
  </si>
  <si>
    <t>Q8IZ52</t>
  </si>
  <si>
    <t>Q8IZ68</t>
  </si>
  <si>
    <t>Q8IZ73</t>
  </si>
  <si>
    <t>Q8IZ83</t>
  </si>
  <si>
    <t>Q8IZE3-2</t>
  </si>
  <si>
    <t>Q8IZH2-2</t>
  </si>
  <si>
    <t>Q8IZQ5</t>
  </si>
  <si>
    <t>Q8IZR5-3</t>
  </si>
  <si>
    <t>Q8IZV5</t>
  </si>
  <si>
    <t>Q8N0T1</t>
  </si>
  <si>
    <t>Q8N0U8</t>
  </si>
  <si>
    <t>Q8N0W3</t>
  </si>
  <si>
    <t>Q8N0X7</t>
  </si>
  <si>
    <t>Q8N108-17</t>
  </si>
  <si>
    <t>Q8N129</t>
  </si>
  <si>
    <t>Q8N137-4</t>
  </si>
  <si>
    <t>Q8N142</t>
  </si>
  <si>
    <t>Q8N157-2</t>
  </si>
  <si>
    <t>Q8N163</t>
  </si>
  <si>
    <t>Q8N183</t>
  </si>
  <si>
    <t>Q8N1B4</t>
  </si>
  <si>
    <t>Q8N1F7</t>
  </si>
  <si>
    <t>Q8N1G0</t>
  </si>
  <si>
    <t>Q8N1G1</t>
  </si>
  <si>
    <t>Q8N1G2</t>
  </si>
  <si>
    <t>Q8N1G4</t>
  </si>
  <si>
    <t>Q8N1Q1</t>
  </si>
  <si>
    <t>Q8N2A8</t>
  </si>
  <si>
    <t>Q8N2F6-3</t>
  </si>
  <si>
    <t>Q8N2G8-3</t>
  </si>
  <si>
    <t>Q8N2I9-3</t>
  </si>
  <si>
    <t>Q8N2K0</t>
  </si>
  <si>
    <t>Q8N2W9</t>
  </si>
  <si>
    <t>Q8N2Z9</t>
  </si>
  <si>
    <t>Q8N300</t>
  </si>
  <si>
    <t>Q8N302-2</t>
  </si>
  <si>
    <t>Q8N335</t>
  </si>
  <si>
    <t>Q8N371</t>
  </si>
  <si>
    <t>Q8N392</t>
  </si>
  <si>
    <t>Q8N3C0</t>
  </si>
  <si>
    <t>Q8N3D4</t>
  </si>
  <si>
    <t>Q8N3F8</t>
  </si>
  <si>
    <t>Q8N3X1</t>
  </si>
  <si>
    <t>Q8N442</t>
  </si>
  <si>
    <t>Q8N465</t>
  </si>
  <si>
    <t>Q8N488</t>
  </si>
  <si>
    <t>Q8N490-2</t>
  </si>
  <si>
    <t>Q8N490-4</t>
  </si>
  <si>
    <t>Q8N4B1-2</t>
  </si>
  <si>
    <t>Q8N4C8-5</t>
  </si>
  <si>
    <t>Q8N4H5</t>
  </si>
  <si>
    <t>Q8N4N3-2</t>
  </si>
  <si>
    <t>Q8N4P3</t>
  </si>
  <si>
    <t>Q8N4Q0</t>
  </si>
  <si>
    <t>Q8N4Q1</t>
  </si>
  <si>
    <t>Q8N4V1</t>
  </si>
  <si>
    <t>Q8N567</t>
  </si>
  <si>
    <t>Q8N573-2</t>
  </si>
  <si>
    <t>Q8N573-8</t>
  </si>
  <si>
    <t>Q8N5A5-3</t>
  </si>
  <si>
    <t>Q8N5C6</t>
  </si>
  <si>
    <t>Q8N5C7</t>
  </si>
  <si>
    <t>Q8N5D0-4</t>
  </si>
  <si>
    <t>Q8N5F7</t>
  </si>
  <si>
    <t>Q8N5G0-2</t>
  </si>
  <si>
    <t>Q8N5G2</t>
  </si>
  <si>
    <t>Q8N5I2</t>
  </si>
  <si>
    <t>Q8N5I9</t>
  </si>
  <si>
    <t>Q8N5K1</t>
  </si>
  <si>
    <t>Q8N5L8</t>
  </si>
  <si>
    <t>Q8N5M1</t>
  </si>
  <si>
    <t>Q8N5M9</t>
  </si>
  <si>
    <t>Q8N5N7</t>
  </si>
  <si>
    <t>Q8N5P1</t>
  </si>
  <si>
    <t>Q8N5W9</t>
  </si>
  <si>
    <t>Q8N612</t>
  </si>
  <si>
    <t>Q8N653</t>
  </si>
  <si>
    <t>Q8N684-2</t>
  </si>
  <si>
    <t>Q8N697</t>
  </si>
  <si>
    <t>Q8N6H7</t>
  </si>
  <si>
    <t>Q8N6M0</t>
  </si>
  <si>
    <t>Q8N6N3</t>
  </si>
  <si>
    <t>Q8N6S5</t>
  </si>
  <si>
    <t>Q8N6T3</t>
  </si>
  <si>
    <t>Q8N766-3</t>
  </si>
  <si>
    <t>Q8N806</t>
  </si>
  <si>
    <t>Q8N8J7</t>
  </si>
  <si>
    <t>Q8N8N7</t>
  </si>
  <si>
    <t>Q8N8R5</t>
  </si>
  <si>
    <t>Q8N8R7</t>
  </si>
  <si>
    <t>Q8N954</t>
  </si>
  <si>
    <t>Q8N999-3</t>
  </si>
  <si>
    <t>Q8N9F7</t>
  </si>
  <si>
    <t>Q8N9M1-3</t>
  </si>
  <si>
    <t>Q8N9N7</t>
  </si>
  <si>
    <t>Q8N9Q2</t>
  </si>
  <si>
    <t>Q8N9V3-2</t>
  </si>
  <si>
    <t>Q8N9Z2</t>
  </si>
  <si>
    <t>Q8NA54-2</t>
  </si>
  <si>
    <t>Q8NAF0</t>
  </si>
  <si>
    <t>Q8NAT1</t>
  </si>
  <si>
    <t>Q8NAV1</t>
  </si>
  <si>
    <t>Q8NB15-2</t>
  </si>
  <si>
    <t>Q8NB37</t>
  </si>
  <si>
    <t>Q8NB46</t>
  </si>
  <si>
    <t>Q8NB49-3</t>
  </si>
  <si>
    <t>Q8NB90</t>
  </si>
  <si>
    <t>Q8NBA8</t>
  </si>
  <si>
    <t>Q8NBF2</t>
  </si>
  <si>
    <t>Q8NBF6</t>
  </si>
  <si>
    <t>Q8NBI5</t>
  </si>
  <si>
    <t>Q8NBI6</t>
  </si>
  <si>
    <t>Q8NBJ5</t>
  </si>
  <si>
    <t>Q8NBK3-4</t>
  </si>
  <si>
    <t>Q8NBL1</t>
  </si>
  <si>
    <t>Q8NBM4-4</t>
  </si>
  <si>
    <t>Q8NBM8</t>
  </si>
  <si>
    <t>Q8NBN3</t>
  </si>
  <si>
    <t>Q8NBN7</t>
  </si>
  <si>
    <t>Q8NBU5</t>
  </si>
  <si>
    <t>Q8NBX0</t>
  </si>
  <si>
    <t>Q8NBY1</t>
  </si>
  <si>
    <t>Q8NC51-2</t>
  </si>
  <si>
    <t>Q8NC56</t>
  </si>
  <si>
    <t>Q8NC60</t>
  </si>
  <si>
    <t>Q8NC96</t>
  </si>
  <si>
    <t>Q8NCA5-2</t>
  </si>
  <si>
    <t>Q8NCC3</t>
  </si>
  <si>
    <t>Q8NCE2-3</t>
  </si>
  <si>
    <t>Q8NCF5</t>
  </si>
  <si>
    <t>Q8NCH0</t>
  </si>
  <si>
    <t>Q8NCL4</t>
  </si>
  <si>
    <t>Q8NCN4</t>
  </si>
  <si>
    <t>Q8NCW5</t>
  </si>
  <si>
    <t>Q8ND04</t>
  </si>
  <si>
    <t>Q8ND24</t>
  </si>
  <si>
    <t>Q8ND56-2</t>
  </si>
  <si>
    <t>Q8ND76</t>
  </si>
  <si>
    <t>Q8NDC0</t>
  </si>
  <si>
    <t>Q8NDD1-2</t>
  </si>
  <si>
    <t>Q8NDD1-3</t>
  </si>
  <si>
    <t>Q8NDI1-3</t>
  </si>
  <si>
    <t>Q8NDZ4</t>
  </si>
  <si>
    <t>Q8NE01-2</t>
  </si>
  <si>
    <t>Q8NE71</t>
  </si>
  <si>
    <t>Q8NE86-3</t>
  </si>
  <si>
    <t>Q8NEB9</t>
  </si>
  <si>
    <t>Q8NEC7</t>
  </si>
  <si>
    <t>Q8NEF9</t>
  </si>
  <si>
    <t>Q8NEJ9-2</t>
  </si>
  <si>
    <t>Q8NEM0-2</t>
  </si>
  <si>
    <t>Q8NEM2</t>
  </si>
  <si>
    <t>Q8NEN9</t>
  </si>
  <si>
    <t>Q8NEY1-7</t>
  </si>
  <si>
    <t>Q8NEZ2-2</t>
  </si>
  <si>
    <t>Q8NEZ4</t>
  </si>
  <si>
    <t>Q8NEZ5</t>
  </si>
  <si>
    <t>Q8NF37</t>
  </si>
  <si>
    <t>Q8NF50-4</t>
  </si>
  <si>
    <t>Q8NFA0</t>
  </si>
  <si>
    <t>Q8NFC6</t>
  </si>
  <si>
    <t>Q8NFF5-2</t>
  </si>
  <si>
    <t>Q8NFG4</t>
  </si>
  <si>
    <t>Q8NFH3</t>
  </si>
  <si>
    <t>Q8NFH4</t>
  </si>
  <si>
    <t>Q8NFI3</t>
  </si>
  <si>
    <t>Q8NFQ8</t>
  </si>
  <si>
    <t>Q8NFV4</t>
  </si>
  <si>
    <t>Q8NFW8</t>
  </si>
  <si>
    <t>Q8NFY9</t>
  </si>
  <si>
    <t>Q8NFZ0</t>
  </si>
  <si>
    <t>Q8NG08</t>
  </si>
  <si>
    <t>Q8NG11-2</t>
  </si>
  <si>
    <t>Q8NG68</t>
  </si>
  <si>
    <t>Q8NGC4</t>
  </si>
  <si>
    <t>Q8NHG7</t>
  </si>
  <si>
    <t>Q8NHG8</t>
  </si>
  <si>
    <t>Q8NHH9</t>
  </si>
  <si>
    <t>Q8NHP8</t>
  </si>
  <si>
    <t>Q8NHU6-2</t>
  </si>
  <si>
    <t>Q8NHV1</t>
  </si>
  <si>
    <t>Q8NHV4-2</t>
  </si>
  <si>
    <t>Q8NHZ8</t>
  </si>
  <si>
    <t>Q8NI22-2</t>
  </si>
  <si>
    <t>Q8NI27</t>
  </si>
  <si>
    <t>Q8NI36</t>
  </si>
  <si>
    <t>Q8TA86</t>
  </si>
  <si>
    <t>Q8TAA5</t>
  </si>
  <si>
    <t>Q8TAA9-2</t>
  </si>
  <si>
    <t>Q8TAC1</t>
  </si>
  <si>
    <t>Q8TAD8</t>
  </si>
  <si>
    <t>Q8TAE8</t>
  </si>
  <si>
    <t>Q8TAF3</t>
  </si>
  <si>
    <t>Q8TAG9</t>
  </si>
  <si>
    <t>Q8TAP6-2</t>
  </si>
  <si>
    <t>Q8TAP8</t>
  </si>
  <si>
    <t>Q8TAP9</t>
  </si>
  <si>
    <t>Q8TAQ2</t>
  </si>
  <si>
    <t>Q8TAT6</t>
  </si>
  <si>
    <t>Q8TAV0</t>
  </si>
  <si>
    <t>Q8TB03</t>
  </si>
  <si>
    <t>Q8TB36-2</t>
  </si>
  <si>
    <t>Q8TB37</t>
  </si>
  <si>
    <t>Q8TB52</t>
  </si>
  <si>
    <t>Q8TB61-3</t>
  </si>
  <si>
    <t>Q8TB70</t>
  </si>
  <si>
    <t>Q8TBA6-2</t>
  </si>
  <si>
    <t>Q8TBB5-3</t>
  </si>
  <si>
    <t>Q8TBC4</t>
  </si>
  <si>
    <t>Q8TBE0-3</t>
  </si>
  <si>
    <t>Q8TBE9</t>
  </si>
  <si>
    <t>Q8TBM8-2</t>
  </si>
  <si>
    <t>Q8TBN0</t>
  </si>
  <si>
    <t>Q8TBP6</t>
  </si>
  <si>
    <t>Q8TBX8</t>
  </si>
  <si>
    <t>Q8TBZ3</t>
  </si>
  <si>
    <t>Q8TBZ6</t>
  </si>
  <si>
    <t>Q8TC07-2</t>
  </si>
  <si>
    <t>Q8TC12</t>
  </si>
  <si>
    <t>Q8TCA0</t>
  </si>
  <si>
    <t>Q8TCD1</t>
  </si>
  <si>
    <t>Q8TCD5</t>
  </si>
  <si>
    <t>Q8TCG1</t>
  </si>
  <si>
    <t>Q8TCG2</t>
  </si>
  <si>
    <t>Q8TCJ2</t>
  </si>
  <si>
    <t>Q8TCS8</t>
  </si>
  <si>
    <t>Q8TCT8</t>
  </si>
  <si>
    <t>Q8TCT9-5</t>
  </si>
  <si>
    <t>Q8TCX1</t>
  </si>
  <si>
    <t>Q8TCY9</t>
  </si>
  <si>
    <t>Q8TD08-2</t>
  </si>
  <si>
    <t>Q8TD16</t>
  </si>
  <si>
    <t>Q8TD19</t>
  </si>
  <si>
    <t>Q8TD30</t>
  </si>
  <si>
    <t>Q8TDD1</t>
  </si>
  <si>
    <t>Q8TDH9</t>
  </si>
  <si>
    <t>Q8TDN6</t>
  </si>
  <si>
    <t>Q8TDQ7-3</t>
  </si>
  <si>
    <t>Q8TDW0</t>
  </si>
  <si>
    <t>Q8TDX7</t>
  </si>
  <si>
    <t>Q8TDY2-2</t>
  </si>
  <si>
    <t>Q8TDZ2</t>
  </si>
  <si>
    <t>Q8TEA1</t>
  </si>
  <si>
    <t>Q8TEA8</t>
  </si>
  <si>
    <t>Q8TEB1-2</t>
  </si>
  <si>
    <t>Q8TEH3</t>
  </si>
  <si>
    <t>Q8TEM1</t>
  </si>
  <si>
    <t>Q8TEQ6</t>
  </si>
  <si>
    <t>Q8TEX9</t>
  </si>
  <si>
    <t>Q8TEY7-3</t>
  </si>
  <si>
    <t>Q8TF01</t>
  </si>
  <si>
    <t>Q8TF05-2</t>
  </si>
  <si>
    <t>Q8TF46-2</t>
  </si>
  <si>
    <t>Q8TF64</t>
  </si>
  <si>
    <t>Q8TF74</t>
  </si>
  <si>
    <t>Q8WTS1</t>
  </si>
  <si>
    <t>Q8WTW3</t>
  </si>
  <si>
    <t>Q8WU40</t>
  </si>
  <si>
    <t>Q8WU76-2</t>
  </si>
  <si>
    <t>Q8WU79</t>
  </si>
  <si>
    <t>Q8WU90</t>
  </si>
  <si>
    <t>Q8WUA2</t>
  </si>
  <si>
    <t>Q8WUA4-2</t>
  </si>
  <si>
    <t>Q8WUB8-3</t>
  </si>
  <si>
    <t>Q8WUD1</t>
  </si>
  <si>
    <t>Q8WUD6</t>
  </si>
  <si>
    <t>Q8WUE5</t>
  </si>
  <si>
    <t>Q8WUH1</t>
  </si>
  <si>
    <t>Q8WUH2</t>
  </si>
  <si>
    <t>Q8WUH6</t>
  </si>
  <si>
    <t>Q8WUI4-3</t>
  </si>
  <si>
    <t>Q8WUJ0</t>
  </si>
  <si>
    <t>Q8WUK0-2</t>
  </si>
  <si>
    <t>Q8WUM4</t>
  </si>
  <si>
    <t>Q8WUM9</t>
  </si>
  <si>
    <t>Q8WUR7</t>
  </si>
  <si>
    <t>Q8WUX1</t>
  </si>
  <si>
    <t>Q8WUX2</t>
  </si>
  <si>
    <t>Q8WUX9</t>
  </si>
  <si>
    <t>Q8WUY1</t>
  </si>
  <si>
    <t>Q8WUY8</t>
  </si>
  <si>
    <t>Q8WV07</t>
  </si>
  <si>
    <t>Q8WV22</t>
  </si>
  <si>
    <t>Q8WV41</t>
  </si>
  <si>
    <t>Q8WV60</t>
  </si>
  <si>
    <t>Q8WV92</t>
  </si>
  <si>
    <t>Q8WV93</t>
  </si>
  <si>
    <t>Q8WVB6</t>
  </si>
  <si>
    <t>Q8WVC0</t>
  </si>
  <si>
    <t>Q8WVC2</t>
  </si>
  <si>
    <t>Q8WVD3</t>
  </si>
  <si>
    <t>Q8WVJ2</t>
  </si>
  <si>
    <t>Q8WVK2</t>
  </si>
  <si>
    <t>Q8WVK7</t>
  </si>
  <si>
    <t>Q8WVL7</t>
  </si>
  <si>
    <t>Q8WVM0</t>
  </si>
  <si>
    <t>Q8WVM8</t>
  </si>
  <si>
    <t>Q8WVQ1</t>
  </si>
  <si>
    <t>Q8WVT3</t>
  </si>
  <si>
    <t>Q8WVX9</t>
  </si>
  <si>
    <t>Q8WVY7</t>
  </si>
  <si>
    <t>Q8WW01</t>
  </si>
  <si>
    <t>Q8WW12</t>
  </si>
  <si>
    <t>Q8WW59</t>
  </si>
  <si>
    <t>Q8WWB7-2</t>
  </si>
  <si>
    <t>Q8WWC4</t>
  </si>
  <si>
    <t>Q8WWH5</t>
  </si>
  <si>
    <t>Q8WWL7</t>
  </si>
  <si>
    <t>Q8WWM7</t>
  </si>
  <si>
    <t>Q8WWV3</t>
  </si>
  <si>
    <t>Q8WWW0-3</t>
  </si>
  <si>
    <t>Q8WWX9</t>
  </si>
  <si>
    <t>Q8WWY3</t>
  </si>
  <si>
    <t>Q8WX92</t>
  </si>
  <si>
    <t>Q8WXA9-2</t>
  </si>
  <si>
    <t>Q8WXD2</t>
  </si>
  <si>
    <t>Q8WXD5</t>
  </si>
  <si>
    <t>Q8WXE1-5</t>
  </si>
  <si>
    <t>Q8WXF1</t>
  </si>
  <si>
    <t>Q8WXG6-7</t>
  </si>
  <si>
    <t>Q8WXI9</t>
  </si>
  <si>
    <t>Q8WXW3</t>
  </si>
  <si>
    <t>Q8WXX5</t>
  </si>
  <si>
    <t>Q8WY22</t>
  </si>
  <si>
    <t>Q8WY54-2</t>
  </si>
  <si>
    <t>Q8WY91</t>
  </si>
  <si>
    <t>Q8WZ42-11</t>
  </si>
  <si>
    <t>Q8WZ82</t>
  </si>
  <si>
    <t>Q8WZA0</t>
  </si>
  <si>
    <t>Q8WZA9</t>
  </si>
  <si>
    <t>Q92499</t>
  </si>
  <si>
    <t>Q92504</t>
  </si>
  <si>
    <t>Q92506</t>
  </si>
  <si>
    <t>Q92508</t>
  </si>
  <si>
    <t>Q92520</t>
  </si>
  <si>
    <t>Q92522</t>
  </si>
  <si>
    <t>Q92526</t>
  </si>
  <si>
    <t>Q92538</t>
  </si>
  <si>
    <t>Q92541</t>
  </si>
  <si>
    <t>Q92544</t>
  </si>
  <si>
    <t>Q92547</t>
  </si>
  <si>
    <t>Q92551</t>
  </si>
  <si>
    <t>Q92552</t>
  </si>
  <si>
    <t>Q92556</t>
  </si>
  <si>
    <t>Q92572</t>
  </si>
  <si>
    <t>Q92575</t>
  </si>
  <si>
    <t>Q92576-2</t>
  </si>
  <si>
    <t>Q92581-3</t>
  </si>
  <si>
    <t>Q92598-2</t>
  </si>
  <si>
    <t>Q92600</t>
  </si>
  <si>
    <t>Q92609</t>
  </si>
  <si>
    <t>Q92615</t>
  </si>
  <si>
    <t>Q92616</t>
  </si>
  <si>
    <t>Q92619</t>
  </si>
  <si>
    <t>Q92620</t>
  </si>
  <si>
    <t>Q92621</t>
  </si>
  <si>
    <t>Q92625</t>
  </si>
  <si>
    <t>Q92636</t>
  </si>
  <si>
    <t>Q92665</t>
  </si>
  <si>
    <t>Q92667</t>
  </si>
  <si>
    <t>Q92686</t>
  </si>
  <si>
    <t>Q92688-2</t>
  </si>
  <si>
    <t>Q92692</t>
  </si>
  <si>
    <t>Q92692-2</t>
  </si>
  <si>
    <t>Q92696</t>
  </si>
  <si>
    <t>Q92698</t>
  </si>
  <si>
    <t>Q92734-2</t>
  </si>
  <si>
    <t>Q92747</t>
  </si>
  <si>
    <t>Q92759</t>
  </si>
  <si>
    <t>Q92766</t>
  </si>
  <si>
    <t>Q92783-2</t>
  </si>
  <si>
    <t>Q92793-2</t>
  </si>
  <si>
    <t>Q92797</t>
  </si>
  <si>
    <t>Q92804-2</t>
  </si>
  <si>
    <t>Q92805</t>
  </si>
  <si>
    <t>Q92820</t>
  </si>
  <si>
    <t>Q92843-2</t>
  </si>
  <si>
    <t>Q92851-2</t>
  </si>
  <si>
    <t>Q92871</t>
  </si>
  <si>
    <t>Q92878</t>
  </si>
  <si>
    <t>Q92882</t>
  </si>
  <si>
    <t>Q92889</t>
  </si>
  <si>
    <t>Q92890</t>
  </si>
  <si>
    <t>Q92896</t>
  </si>
  <si>
    <t>Q92900</t>
  </si>
  <si>
    <t>Q92905</t>
  </si>
  <si>
    <t>Q92917</t>
  </si>
  <si>
    <t>Q92922</t>
  </si>
  <si>
    <t>Q92930</t>
  </si>
  <si>
    <t>Q92934</t>
  </si>
  <si>
    <t>Q92945</t>
  </si>
  <si>
    <t>Q92947</t>
  </si>
  <si>
    <t>Q92968</t>
  </si>
  <si>
    <t>Q92973-2</t>
  </si>
  <si>
    <t>Q92979</t>
  </si>
  <si>
    <t>Q92990</t>
  </si>
  <si>
    <t>Q93008</t>
  </si>
  <si>
    <t>Q93015</t>
  </si>
  <si>
    <t>Q93034</t>
  </si>
  <si>
    <t>Q93063</t>
  </si>
  <si>
    <t>Q93074-3</t>
  </si>
  <si>
    <t>Q93077</t>
  </si>
  <si>
    <t>Q93084-4</t>
  </si>
  <si>
    <t>Q93100-4</t>
  </si>
  <si>
    <t>Q969E2-2</t>
  </si>
  <si>
    <t>Q969E8</t>
  </si>
  <si>
    <t>Q969F1</t>
  </si>
  <si>
    <t>Q969F8</t>
  </si>
  <si>
    <t>Q969G6</t>
  </si>
  <si>
    <t>Q969H6-2</t>
  </si>
  <si>
    <t>Q969H8</t>
  </si>
  <si>
    <t>Q969K3</t>
  </si>
  <si>
    <t>Q969M3</t>
  </si>
  <si>
    <t>Q969N2-4</t>
  </si>
  <si>
    <t>Q969P0-3</t>
  </si>
  <si>
    <t>Q969R8</t>
  </si>
  <si>
    <t>Q969S3</t>
  </si>
  <si>
    <t>Q969S9-2</t>
  </si>
  <si>
    <t>Q969T7-2</t>
  </si>
  <si>
    <t>Q969U7</t>
  </si>
  <si>
    <t>Q969V3-2</t>
  </si>
  <si>
    <t>Q969V5</t>
  </si>
  <si>
    <t>Q969X5-2</t>
  </si>
  <si>
    <t>Q969Y2-3</t>
  </si>
  <si>
    <t>Q969Z0</t>
  </si>
  <si>
    <t>Q96A00</t>
  </si>
  <si>
    <t>Q96A19</t>
  </si>
  <si>
    <t>Q96A33</t>
  </si>
  <si>
    <t>Q96A47</t>
  </si>
  <si>
    <t>Q96A49</t>
  </si>
  <si>
    <t>Q96A65</t>
  </si>
  <si>
    <t>Q96A73-2</t>
  </si>
  <si>
    <t>Q96AB3</t>
  </si>
  <si>
    <t>Q96AD5</t>
  </si>
  <si>
    <t>Q96AE4</t>
  </si>
  <si>
    <t>Q96AE4-2</t>
  </si>
  <si>
    <t>Q96AG4</t>
  </si>
  <si>
    <t>Q96AJ9-1</t>
  </si>
  <si>
    <t>Q96AQ8</t>
  </si>
  <si>
    <t>Q96AT1</t>
  </si>
  <si>
    <t>Q96AT9</t>
  </si>
  <si>
    <t>Q96AX1</t>
  </si>
  <si>
    <t>Q96B23-2</t>
  </si>
  <si>
    <t>Q96B26</t>
  </si>
  <si>
    <t>Q96B36</t>
  </si>
  <si>
    <t>Q96B45</t>
  </si>
  <si>
    <t>Q96B49</t>
  </si>
  <si>
    <t>Q96BD8</t>
  </si>
  <si>
    <t>Q96BH1</t>
  </si>
  <si>
    <t>Q96BK5</t>
  </si>
  <si>
    <t>Q96BM9</t>
  </si>
  <si>
    <t>Q96BN8</t>
  </si>
  <si>
    <t>Q96BP3</t>
  </si>
  <si>
    <t>Q96BQ5</t>
  </si>
  <si>
    <t>Q96BR5</t>
  </si>
  <si>
    <t>Q96BT7</t>
  </si>
  <si>
    <t>Q96BW1-3</t>
  </si>
  <si>
    <t>Q96BW5-2</t>
  </si>
  <si>
    <t>Q96BX8</t>
  </si>
  <si>
    <t>Q96BY7</t>
  </si>
  <si>
    <t>Q96BZ8</t>
  </si>
  <si>
    <t>Q96BZ9</t>
  </si>
  <si>
    <t>Q96C01</t>
  </si>
  <si>
    <t>Q96C19</t>
  </si>
  <si>
    <t>Q96C23</t>
  </si>
  <si>
    <t>Q96C36</t>
  </si>
  <si>
    <t>Q96C57</t>
  </si>
  <si>
    <t>Q96C86</t>
  </si>
  <si>
    <t>Q96C90</t>
  </si>
  <si>
    <t>Q96CB9-4</t>
  </si>
  <si>
    <t>Q96CF2</t>
  </si>
  <si>
    <t>Q96CM3-2</t>
  </si>
  <si>
    <t>Q96CN7</t>
  </si>
  <si>
    <t>Q96CN9</t>
  </si>
  <si>
    <t>Q96CP2</t>
  </si>
  <si>
    <t>Q96CS2</t>
  </si>
  <si>
    <t>Q96CS3</t>
  </si>
  <si>
    <t>Q96CT7</t>
  </si>
  <si>
    <t>Q96CU9</t>
  </si>
  <si>
    <t>Q96CW1-2</t>
  </si>
  <si>
    <t>Q96CW6</t>
  </si>
  <si>
    <t>Q96CX6</t>
  </si>
  <si>
    <t>Q96D05</t>
  </si>
  <si>
    <t>Q96D15</t>
  </si>
  <si>
    <t>Q96D31-2</t>
  </si>
  <si>
    <t>Q96D71-3</t>
  </si>
  <si>
    <t>Q96DA6-2</t>
  </si>
  <si>
    <t>Q96DB5</t>
  </si>
  <si>
    <t>Q96DE0</t>
  </si>
  <si>
    <t>Q96DE5</t>
  </si>
  <si>
    <t>Q96DF8</t>
  </si>
  <si>
    <t>Q96DG6</t>
  </si>
  <si>
    <t>Q96DI7</t>
  </si>
  <si>
    <t>Q96DT6</t>
  </si>
  <si>
    <t>Q96DU7</t>
  </si>
  <si>
    <t>Q96DV4</t>
  </si>
  <si>
    <t>Q96DX4</t>
  </si>
  <si>
    <t>Q96DX7</t>
  </si>
  <si>
    <t>Q96DY2</t>
  </si>
  <si>
    <t>Q96DZ1-2</t>
  </si>
  <si>
    <t>Q96E09</t>
  </si>
  <si>
    <t>Q96E11-3</t>
  </si>
  <si>
    <t>Q96E14</t>
  </si>
  <si>
    <t>Q96E22</t>
  </si>
  <si>
    <t>Q96E52</t>
  </si>
  <si>
    <t>Q96EA4</t>
  </si>
  <si>
    <t>Q96EB1</t>
  </si>
  <si>
    <t>Q96EB6</t>
  </si>
  <si>
    <t>Q96EC8</t>
  </si>
  <si>
    <t>Q96ED9-2</t>
  </si>
  <si>
    <t>Q96EE3</t>
  </si>
  <si>
    <t>Q96EF9</t>
  </si>
  <si>
    <t>Q96EH3</t>
  </si>
  <si>
    <t>Q96EK5</t>
  </si>
  <si>
    <t>Q96EK6</t>
  </si>
  <si>
    <t>Q96EK9</t>
  </si>
  <si>
    <t>Q96EL2</t>
  </si>
  <si>
    <t>Q96EL3</t>
  </si>
  <si>
    <t>Q96EM0</t>
  </si>
  <si>
    <t>Q96EN8</t>
  </si>
  <si>
    <t>Q96EP1-5</t>
  </si>
  <si>
    <t>Q96EP5</t>
  </si>
  <si>
    <t>Q96EP9</t>
  </si>
  <si>
    <t>Q96EQ0</t>
  </si>
  <si>
    <t>Q96ER3</t>
  </si>
  <si>
    <t>Q96ER9</t>
  </si>
  <si>
    <t>Q96ES7</t>
  </si>
  <si>
    <t>Q96EU6-2</t>
  </si>
  <si>
    <t>Q96EU7</t>
  </si>
  <si>
    <t>Q96EV2</t>
  </si>
  <si>
    <t>Q96EV8</t>
  </si>
  <si>
    <t>Q96EX1</t>
  </si>
  <si>
    <t>Q96EX3</t>
  </si>
  <si>
    <t>Q96EY1</t>
  </si>
  <si>
    <t>Q96EY5</t>
  </si>
  <si>
    <t>Q96EY7</t>
  </si>
  <si>
    <t>Q96EY8</t>
  </si>
  <si>
    <t>Q96EY9</t>
  </si>
  <si>
    <t>Q96F24-2</t>
  </si>
  <si>
    <t>Q96F44-3</t>
  </si>
  <si>
    <t>Q96F46</t>
  </si>
  <si>
    <t>Q96F63</t>
  </si>
  <si>
    <t>Q96F86</t>
  </si>
  <si>
    <t>Q96FB5</t>
  </si>
  <si>
    <t>Q96FC9-4</t>
  </si>
  <si>
    <t>Q96FH0-2</t>
  </si>
  <si>
    <t>Q96FJ2</t>
  </si>
  <si>
    <t>Q96FK6</t>
  </si>
  <si>
    <t>Q96FQ7</t>
  </si>
  <si>
    <t>Q96FS4</t>
  </si>
  <si>
    <t>Q96FV9</t>
  </si>
  <si>
    <t>Q96FX2</t>
  </si>
  <si>
    <t>Q96FX7</t>
  </si>
  <si>
    <t>Q96FZ2</t>
  </si>
  <si>
    <t>Q96FZ7</t>
  </si>
  <si>
    <t>Q96G03</t>
  </si>
  <si>
    <t>Q96G25</t>
  </si>
  <si>
    <t>Q96G28</t>
  </si>
  <si>
    <t>Q96G46</t>
  </si>
  <si>
    <t>Q96G74-3</t>
  </si>
  <si>
    <t>Q96GA3</t>
  </si>
  <si>
    <t>Q96GA7</t>
  </si>
  <si>
    <t>Q96GD0</t>
  </si>
  <si>
    <t>Q96GF1</t>
  </si>
  <si>
    <t>Q96GG9</t>
  </si>
  <si>
    <t>Q96GK7</t>
  </si>
  <si>
    <t>Q96GM5</t>
  </si>
  <si>
    <t>Q96GM8</t>
  </si>
  <si>
    <t>Q96GQ7</t>
  </si>
  <si>
    <t>Q96GS4</t>
  </si>
  <si>
    <t>Q96GU1-2</t>
  </si>
  <si>
    <t>Q96GV9</t>
  </si>
  <si>
    <t>Q96GW9</t>
  </si>
  <si>
    <t>Q96GX2</t>
  </si>
  <si>
    <t>Q96GX5-2</t>
  </si>
  <si>
    <t>Q96H20</t>
  </si>
  <si>
    <t>Q96H55-2</t>
  </si>
  <si>
    <t>Q96HA4-4</t>
  </si>
  <si>
    <t>Q96HA7-2</t>
  </si>
  <si>
    <t>Q96HC4</t>
  </si>
  <si>
    <t>Q96HD1</t>
  </si>
  <si>
    <t>Q96HE7</t>
  </si>
  <si>
    <t>Q96HJ9</t>
  </si>
  <si>
    <t>Q96HR9</t>
  </si>
  <si>
    <t>Q96HS1</t>
  </si>
  <si>
    <t>Q96HW7</t>
  </si>
  <si>
    <t>Q96HY6</t>
  </si>
  <si>
    <t>Q96I15</t>
  </si>
  <si>
    <t>Q96I24</t>
  </si>
  <si>
    <t>Q96I25</t>
  </si>
  <si>
    <t>Q96I34</t>
  </si>
  <si>
    <t>Q96I36</t>
  </si>
  <si>
    <t>Q96I51</t>
  </si>
  <si>
    <t>Q96I59</t>
  </si>
  <si>
    <t>Q96I99</t>
  </si>
  <si>
    <t>Q96IJ6</t>
  </si>
  <si>
    <t>Q96IQ9</t>
  </si>
  <si>
    <t>Q96IU4</t>
  </si>
  <si>
    <t>Q96IV0</t>
  </si>
  <si>
    <t>Q96IX5</t>
  </si>
  <si>
    <t>Q96IY1</t>
  </si>
  <si>
    <t>Q96IZ7-2</t>
  </si>
  <si>
    <t>Q96J01</t>
  </si>
  <si>
    <t>Q96J02-2</t>
  </si>
  <si>
    <t>Q96JA1</t>
  </si>
  <si>
    <t>Q96JB2</t>
  </si>
  <si>
    <t>Q96JB3-2</t>
  </si>
  <si>
    <t>Q96JB5-2</t>
  </si>
  <si>
    <t>Q96JC1-2</t>
  </si>
  <si>
    <t>Q96JC9</t>
  </si>
  <si>
    <t>Q96JG6</t>
  </si>
  <si>
    <t>Q96JH7</t>
  </si>
  <si>
    <t>Q96JJ7</t>
  </si>
  <si>
    <t>Q96JM3</t>
  </si>
  <si>
    <t>Q96JP5-2</t>
  </si>
  <si>
    <t>Q96K17</t>
  </si>
  <si>
    <t>Q96K19-2</t>
  </si>
  <si>
    <t>Q96KA5-2</t>
  </si>
  <si>
    <t>Q96KB5</t>
  </si>
  <si>
    <t>Q96KC8</t>
  </si>
  <si>
    <t>Q96KF7</t>
  </si>
  <si>
    <t>Q96KM6</t>
  </si>
  <si>
    <t>Q96KP1</t>
  </si>
  <si>
    <t>Q96KP4</t>
  </si>
  <si>
    <t>Q96KR1</t>
  </si>
  <si>
    <t>Q96L91-3</t>
  </si>
  <si>
    <t>Q96L92-3</t>
  </si>
  <si>
    <t>Q96LA8-2</t>
  </si>
  <si>
    <t>Q96LB3</t>
  </si>
  <si>
    <t>Q96LD4</t>
  </si>
  <si>
    <t>Q96LJ7</t>
  </si>
  <si>
    <t>Q96LJ8</t>
  </si>
  <si>
    <t>Q96LT7</t>
  </si>
  <si>
    <t>Q96M20-2</t>
  </si>
  <si>
    <t>Q96M27</t>
  </si>
  <si>
    <t>Q96MB7</t>
  </si>
  <si>
    <t>Q96MC6</t>
  </si>
  <si>
    <t>Q96ME1-4</t>
  </si>
  <si>
    <t>Q96MG7</t>
  </si>
  <si>
    <t>Q96MH2</t>
  </si>
  <si>
    <t>Q96MH6-2</t>
  </si>
  <si>
    <t>Q96MX6</t>
  </si>
  <si>
    <t>Q96N11-2</t>
  </si>
  <si>
    <t>Q96N21-2</t>
  </si>
  <si>
    <t>Q96N46</t>
  </si>
  <si>
    <t>Q96N66-2</t>
  </si>
  <si>
    <t>Q96N67-4</t>
  </si>
  <si>
    <t>Q96NA2</t>
  </si>
  <si>
    <t>Q96NB1</t>
  </si>
  <si>
    <t>Q96NB2</t>
  </si>
  <si>
    <t>Q96NB3</t>
  </si>
  <si>
    <t>Q96NC0</t>
  </si>
  <si>
    <t>Q96NL6</t>
  </si>
  <si>
    <t>Q96NT0</t>
  </si>
  <si>
    <t>Q96NT1</t>
  </si>
  <si>
    <t>Q96NW4</t>
  </si>
  <si>
    <t>Q96P11-2</t>
  </si>
  <si>
    <t>Q96P16-3</t>
  </si>
  <si>
    <t>Q96P47</t>
  </si>
  <si>
    <t>Q96P48-3</t>
  </si>
  <si>
    <t>Q96P70</t>
  </si>
  <si>
    <t>Q96PD2</t>
  </si>
  <si>
    <t>Q96PE7</t>
  </si>
  <si>
    <t>Q96PG8-1</t>
  </si>
  <si>
    <t>Q96PK6</t>
  </si>
  <si>
    <t>Q96PL5</t>
  </si>
  <si>
    <t>Q96PM5</t>
  </si>
  <si>
    <t>Q96PU5-2</t>
  </si>
  <si>
    <t>Q96PU8-5</t>
  </si>
  <si>
    <t>Q96PU8-9</t>
  </si>
  <si>
    <t>Q96PY6-4</t>
  </si>
  <si>
    <t>Q96PZ0</t>
  </si>
  <si>
    <t>Q96Q11-2</t>
  </si>
  <si>
    <t>Q96Q45-2</t>
  </si>
  <si>
    <t>Q96Q83</t>
  </si>
  <si>
    <t>Q96QC0</t>
  </si>
  <si>
    <t>Q96QC4</t>
  </si>
  <si>
    <t>Q96QD5-2</t>
  </si>
  <si>
    <t>Q96QG7</t>
  </si>
  <si>
    <t>Q96QK1</t>
  </si>
  <si>
    <t>Q96QR8</t>
  </si>
  <si>
    <t>Q96QU8</t>
  </si>
  <si>
    <t>Q96QZ7-6</t>
  </si>
  <si>
    <t>Q96R06</t>
  </si>
  <si>
    <t>Q96RE7</t>
  </si>
  <si>
    <t>Q96RF0-3</t>
  </si>
  <si>
    <t>Q96RL1</t>
  </si>
  <si>
    <t>Q96RL7-4</t>
  </si>
  <si>
    <t>Q96RN5-3</t>
  </si>
  <si>
    <t>Q96RP9</t>
  </si>
  <si>
    <t>Q96RR1</t>
  </si>
  <si>
    <t>Q96RR4-6</t>
  </si>
  <si>
    <t>Q96RS0</t>
  </si>
  <si>
    <t>Q96RS6</t>
  </si>
  <si>
    <t>Q96RT1-9</t>
  </si>
  <si>
    <t>Q96RU3-4</t>
  </si>
  <si>
    <t>Q96S19-3</t>
  </si>
  <si>
    <t>Q96S38</t>
  </si>
  <si>
    <t>Q96S44</t>
  </si>
  <si>
    <t>Q96S52</t>
  </si>
  <si>
    <t>Q96S55-2</t>
  </si>
  <si>
    <t>Q96S59</t>
  </si>
  <si>
    <t>Q96S66</t>
  </si>
  <si>
    <t>Q96S82</t>
  </si>
  <si>
    <t>Q96S94</t>
  </si>
  <si>
    <t>Q96S99</t>
  </si>
  <si>
    <t>Q96SB8</t>
  </si>
  <si>
    <t>Q96SI1</t>
  </si>
  <si>
    <t>Q96SK2-2</t>
  </si>
  <si>
    <t>Q96SQ9</t>
  </si>
  <si>
    <t>Q96ST2-3</t>
  </si>
  <si>
    <t>Q96ST3</t>
  </si>
  <si>
    <t>Q96SZ5</t>
  </si>
  <si>
    <t>Q96SZ6-2</t>
  </si>
  <si>
    <t>Q96T37-2</t>
  </si>
  <si>
    <t>Q96T51</t>
  </si>
  <si>
    <t>Q96T58</t>
  </si>
  <si>
    <t>Q96T60</t>
  </si>
  <si>
    <t>Q96T76</t>
  </si>
  <si>
    <t>Q96T88</t>
  </si>
  <si>
    <t>Q96TA1-2</t>
  </si>
  <si>
    <t>Q96TA2-3</t>
  </si>
  <si>
    <t>Q96TC7</t>
  </si>
  <si>
    <t>Q99081</t>
  </si>
  <si>
    <t>Q99417</t>
  </si>
  <si>
    <t>Q99426</t>
  </si>
  <si>
    <t>Q99436</t>
  </si>
  <si>
    <t>Q99447</t>
  </si>
  <si>
    <t>Q99459</t>
  </si>
  <si>
    <t>Q99460</t>
  </si>
  <si>
    <t>Q99470</t>
  </si>
  <si>
    <t>Q99471</t>
  </si>
  <si>
    <t>Q99487</t>
  </si>
  <si>
    <t>Q99496</t>
  </si>
  <si>
    <t>Q99497</t>
  </si>
  <si>
    <t>Q99501</t>
  </si>
  <si>
    <t>Q99504-2</t>
  </si>
  <si>
    <t>Q99519</t>
  </si>
  <si>
    <t>Q99523</t>
  </si>
  <si>
    <t>Q99536</t>
  </si>
  <si>
    <t>Q99541</t>
  </si>
  <si>
    <t>Q99543</t>
  </si>
  <si>
    <t>Q99543-2</t>
  </si>
  <si>
    <t>Q99549</t>
  </si>
  <si>
    <t>Q99567</t>
  </si>
  <si>
    <t>Q99569-2</t>
  </si>
  <si>
    <t>Q99570</t>
  </si>
  <si>
    <t>Q99575</t>
  </si>
  <si>
    <t>Q99583</t>
  </si>
  <si>
    <t>Q99584</t>
  </si>
  <si>
    <t>Q99598</t>
  </si>
  <si>
    <t>Q99614</t>
  </si>
  <si>
    <t>Q99615</t>
  </si>
  <si>
    <t>Q99618</t>
  </si>
  <si>
    <t>Q99622</t>
  </si>
  <si>
    <t>Q99633</t>
  </si>
  <si>
    <t>Q99640-4</t>
  </si>
  <si>
    <t>Q99653</t>
  </si>
  <si>
    <t>Q99661</t>
  </si>
  <si>
    <t>Q99700-4</t>
  </si>
  <si>
    <t>Q99704</t>
  </si>
  <si>
    <t>Q99707</t>
  </si>
  <si>
    <t>Q99714</t>
  </si>
  <si>
    <t>Q99720-4</t>
  </si>
  <si>
    <t>Q99733</t>
  </si>
  <si>
    <t>Q99735-2</t>
  </si>
  <si>
    <t>Q99747</t>
  </si>
  <si>
    <t>Q99757</t>
  </si>
  <si>
    <t>Q99766</t>
  </si>
  <si>
    <t>Q99767-2</t>
  </si>
  <si>
    <t>Q99797</t>
  </si>
  <si>
    <t>Q99805</t>
  </si>
  <si>
    <t>Q99808</t>
  </si>
  <si>
    <t>Q99828</t>
  </si>
  <si>
    <t>Q99832</t>
  </si>
  <si>
    <t>Q99856</t>
  </si>
  <si>
    <t>Q99871-3</t>
  </si>
  <si>
    <t>Q99878</t>
  </si>
  <si>
    <t>Q99952</t>
  </si>
  <si>
    <t>Q99956</t>
  </si>
  <si>
    <t>Q99961</t>
  </si>
  <si>
    <t>Q99963-4</t>
  </si>
  <si>
    <t>Q99986</t>
  </si>
  <si>
    <t>Q99988</t>
  </si>
  <si>
    <t>Q99996-4</t>
  </si>
  <si>
    <t>Q9BPW8</t>
  </si>
  <si>
    <t>Q9BPX3</t>
  </si>
  <si>
    <t>Q9BPX5</t>
  </si>
  <si>
    <t>Q9BPZ3</t>
  </si>
  <si>
    <t>Q9BQ52</t>
  </si>
  <si>
    <t>Q9BQ61</t>
  </si>
  <si>
    <t>Q9BQ67</t>
  </si>
  <si>
    <t>Q9BQ69</t>
  </si>
  <si>
    <t>Q9BQ70</t>
  </si>
  <si>
    <t>Q9BQ90</t>
  </si>
  <si>
    <t>Q9BQ95</t>
  </si>
  <si>
    <t>Q9BQA1</t>
  </si>
  <si>
    <t>Q9BQA9-2</t>
  </si>
  <si>
    <t>Q9BQC3</t>
  </si>
  <si>
    <t>Q9BQG2</t>
  </si>
  <si>
    <t>Q9BQI3-2</t>
  </si>
  <si>
    <t>Q9BQK8-2</t>
  </si>
  <si>
    <t>Q9BQP7</t>
  </si>
  <si>
    <t>Q9BQQ3</t>
  </si>
  <si>
    <t>Q9BQS7-2</t>
  </si>
  <si>
    <t>Q9BQS8</t>
  </si>
  <si>
    <t>Q9BQT8-2</t>
  </si>
  <si>
    <t>Q9BQY4</t>
  </si>
  <si>
    <t>Q9BR61</t>
  </si>
  <si>
    <t>Q9BR76</t>
  </si>
  <si>
    <t>Q9BRA2</t>
  </si>
  <si>
    <t>Q9BRD0</t>
  </si>
  <si>
    <t>Q9BRF8</t>
  </si>
  <si>
    <t>Q9BRG1</t>
  </si>
  <si>
    <t>Q9BRJ2</t>
  </si>
  <si>
    <t>Q9BRK5</t>
  </si>
  <si>
    <t>Q9BRL6-2</t>
  </si>
  <si>
    <t>Q9BRP1</t>
  </si>
  <si>
    <t>Q9BRP4</t>
  </si>
  <si>
    <t>Q9BRP8-2</t>
  </si>
  <si>
    <t>Q9BRQ8</t>
  </si>
  <si>
    <t>Q9BRR0</t>
  </si>
  <si>
    <t>Q9BRR6-2</t>
  </si>
  <si>
    <t>Q9BRR8</t>
  </si>
  <si>
    <t>Q9BRS2</t>
  </si>
  <si>
    <t>Q9BRT2</t>
  </si>
  <si>
    <t>Q9BRT3</t>
  </si>
  <si>
    <t>Q9BRT9</t>
  </si>
  <si>
    <t>Q9BRV8</t>
  </si>
  <si>
    <t>Q9BRX2</t>
  </si>
  <si>
    <t>Q9BRX5</t>
  </si>
  <si>
    <t>Q9BRZ2</t>
  </si>
  <si>
    <t>Q9BS18</t>
  </si>
  <si>
    <t>Q9BS26</t>
  </si>
  <si>
    <t>Q9BSB4</t>
  </si>
  <si>
    <t>Q9BSD7</t>
  </si>
  <si>
    <t>Q9BSF4</t>
  </si>
  <si>
    <t>Q9BSG0</t>
  </si>
  <si>
    <t>Q9BSH4</t>
  </si>
  <si>
    <t>Q9BSH5</t>
  </si>
  <si>
    <t>Q9BSJ2</t>
  </si>
  <si>
    <t>Q9BSJ5</t>
  </si>
  <si>
    <t>Q9BSJ8-2</t>
  </si>
  <si>
    <t>Q9BSK2</t>
  </si>
  <si>
    <t>Q9BSK4</t>
  </si>
  <si>
    <t>Q9BSL1</t>
  </si>
  <si>
    <t>Q9BSR8</t>
  </si>
  <si>
    <t>Q9BSU3</t>
  </si>
  <si>
    <t>Q9BSV6</t>
  </si>
  <si>
    <t>Q9BSW2-2</t>
  </si>
  <si>
    <t>Q9BSY4</t>
  </si>
  <si>
    <t>Q9BT09</t>
  </si>
  <si>
    <t>Q9BT22</t>
  </si>
  <si>
    <t>Q9BT23</t>
  </si>
  <si>
    <t>Q9BT25-2</t>
  </si>
  <si>
    <t>Q9BT30</t>
  </si>
  <si>
    <t>Q9BT67</t>
  </si>
  <si>
    <t>Q9BT73</t>
  </si>
  <si>
    <t>Q9BT78</t>
  </si>
  <si>
    <t>Q9BTA9-2</t>
  </si>
  <si>
    <t>Q9BTC0</t>
  </si>
  <si>
    <t>Q9BTE3-2</t>
  </si>
  <si>
    <t>Q9BTE7</t>
  </si>
  <si>
    <t>Q9BTF0</t>
  </si>
  <si>
    <t>Q9BTL3</t>
  </si>
  <si>
    <t>Q9BTT0</t>
  </si>
  <si>
    <t>Q9BTT4</t>
  </si>
  <si>
    <t>Q9BTU6</t>
  </si>
  <si>
    <t>Q9BTV4</t>
  </si>
  <si>
    <t>Q9BTV6</t>
  </si>
  <si>
    <t>Q9BTY2</t>
  </si>
  <si>
    <t>Q9BTY7</t>
  </si>
  <si>
    <t>Q9BTZ2-8</t>
  </si>
  <si>
    <t>Q9BU61</t>
  </si>
  <si>
    <t>Q9BU76-4</t>
  </si>
  <si>
    <t>Q9BU89</t>
  </si>
  <si>
    <t>Q9BUA3</t>
  </si>
  <si>
    <t>Q9BUB4-2</t>
  </si>
  <si>
    <t>Q9BUB5-2</t>
  </si>
  <si>
    <t>Q9BUE0</t>
  </si>
  <si>
    <t>Q9BUE6</t>
  </si>
  <si>
    <t>Q9BUF5</t>
  </si>
  <si>
    <t>Q9BUH6</t>
  </si>
  <si>
    <t>Q9BUI4</t>
  </si>
  <si>
    <t>Q9BUJ2-2</t>
  </si>
  <si>
    <t>Q9BUK6-3</t>
  </si>
  <si>
    <t>Q9BUL9</t>
  </si>
  <si>
    <t>Q9BUN5</t>
  </si>
  <si>
    <t>Q9BUP3-3</t>
  </si>
  <si>
    <t>Q9BUQ8</t>
  </si>
  <si>
    <t>Q9BUR4</t>
  </si>
  <si>
    <t>Q9BUT1</t>
  </si>
  <si>
    <t>Q9BUT9</t>
  </si>
  <si>
    <t>Q9BUW7</t>
  </si>
  <si>
    <t>Q9BUZ4</t>
  </si>
  <si>
    <t>Q9BV19</t>
  </si>
  <si>
    <t>Q9BV20</t>
  </si>
  <si>
    <t>Q9BV23</t>
  </si>
  <si>
    <t>Q9BV38</t>
  </si>
  <si>
    <t>Q9BV40</t>
  </si>
  <si>
    <t>Q9BV44</t>
  </si>
  <si>
    <t>Q9BV57</t>
  </si>
  <si>
    <t>Q9BV68-2</t>
  </si>
  <si>
    <t>Q9BV73-2</t>
  </si>
  <si>
    <t>Q9BV79</t>
  </si>
  <si>
    <t>Q9BV81</t>
  </si>
  <si>
    <t>Q9BV86</t>
  </si>
  <si>
    <t>Q9BVA0</t>
  </si>
  <si>
    <t>Q9BVA1</t>
  </si>
  <si>
    <t>Q9BVC3</t>
  </si>
  <si>
    <t>Q9BVC5</t>
  </si>
  <si>
    <t>Q9BVC6</t>
  </si>
  <si>
    <t>Q9BVG4</t>
  </si>
  <si>
    <t>Q9BVG9</t>
  </si>
  <si>
    <t>Q9BVI4</t>
  </si>
  <si>
    <t>Q9BVJ6-3</t>
  </si>
  <si>
    <t>Q9BVJ7</t>
  </si>
  <si>
    <t>Q9BVK6</t>
  </si>
  <si>
    <t>Q9BVL4</t>
  </si>
  <si>
    <t>Q9BVM2</t>
  </si>
  <si>
    <t>Q9BVQ7</t>
  </si>
  <si>
    <t>Q9BVS4</t>
  </si>
  <si>
    <t>Q9BVS5</t>
  </si>
  <si>
    <t>Q9BVV7</t>
  </si>
  <si>
    <t>Q9BW04</t>
  </si>
  <si>
    <t>Q9BW19</t>
  </si>
  <si>
    <t>Q9BW27</t>
  </si>
  <si>
    <t>Q9BW60</t>
  </si>
  <si>
    <t>Q9BW61</t>
  </si>
  <si>
    <t>Q9BW71-2</t>
  </si>
  <si>
    <t>Q9BW85</t>
  </si>
  <si>
    <t>Q9BW91-2</t>
  </si>
  <si>
    <t>Q9BW92</t>
  </si>
  <si>
    <t>Q9BWD1</t>
  </si>
  <si>
    <t>Q9BWE0</t>
  </si>
  <si>
    <t>Q9BWF3</t>
  </si>
  <si>
    <t>Q9BWG6</t>
  </si>
  <si>
    <t>Q9BWH2</t>
  </si>
  <si>
    <t>Q9BWH6</t>
  </si>
  <si>
    <t>Q9BWJ5</t>
  </si>
  <si>
    <t>Q9BWM7</t>
  </si>
  <si>
    <t>Q9BWT3</t>
  </si>
  <si>
    <t>Q9BWT6</t>
  </si>
  <si>
    <t>Q9BWU0</t>
  </si>
  <si>
    <t>Q9BWW4-2</t>
  </si>
  <si>
    <t>Q9BWW5</t>
  </si>
  <si>
    <t>Q9BX10-2</t>
  </si>
  <si>
    <t>Q9BX40</t>
  </si>
  <si>
    <t>Q9BX63</t>
  </si>
  <si>
    <t>Q9BX66-9</t>
  </si>
  <si>
    <t>Q9BX68</t>
  </si>
  <si>
    <t>Q9BX69</t>
  </si>
  <si>
    <t>Q9BX95</t>
  </si>
  <si>
    <t>Q9BXB4</t>
  </si>
  <si>
    <t>Q9BXH1</t>
  </si>
  <si>
    <t>Q9BXJ9</t>
  </si>
  <si>
    <t>Q9BXK1</t>
  </si>
  <si>
    <t>Q9BXK5</t>
  </si>
  <si>
    <t>Q9BXL5</t>
  </si>
  <si>
    <t>Q9BXL7</t>
  </si>
  <si>
    <t>Q9BXP2</t>
  </si>
  <si>
    <t>Q9BXP5-4</t>
  </si>
  <si>
    <t>Q9BXR0</t>
  </si>
  <si>
    <t>Q9BXS6-2</t>
  </si>
  <si>
    <t>Q9BXV9</t>
  </si>
  <si>
    <t>Q9BXW7-2</t>
  </si>
  <si>
    <t>Q9BXW9-2</t>
  </si>
  <si>
    <t>Q9BY32</t>
  </si>
  <si>
    <t>Q9BY42</t>
  </si>
  <si>
    <t>Q9BY43</t>
  </si>
  <si>
    <t>Q9BY44</t>
  </si>
  <si>
    <t>Q9BY77</t>
  </si>
  <si>
    <t>Q9BYB4</t>
  </si>
  <si>
    <t>Q9BYC5-2</t>
  </si>
  <si>
    <t>Q9BYC8</t>
  </si>
  <si>
    <t>Q9BYD6</t>
  </si>
  <si>
    <t>Q9BYG5</t>
  </si>
  <si>
    <t>Q9BYI3</t>
  </si>
  <si>
    <t>Q9BYN0</t>
  </si>
  <si>
    <t>Q9BYT8</t>
  </si>
  <si>
    <t>Q9BYV8</t>
  </si>
  <si>
    <t>Q9BYW2</t>
  </si>
  <si>
    <t>Q9BYX2-4</t>
  </si>
  <si>
    <t>Q9BZ23-3</t>
  </si>
  <si>
    <t>Q9BZ67-2</t>
  </si>
  <si>
    <t>Q9BZ95-4</t>
  </si>
  <si>
    <t>Q9BZD3</t>
  </si>
  <si>
    <t>Q9BZD4</t>
  </si>
  <si>
    <t>Q9BZE1</t>
  </si>
  <si>
    <t>Q9BZE2</t>
  </si>
  <si>
    <t>Q9BZE9</t>
  </si>
  <si>
    <t>Q9BZF1-3</t>
  </si>
  <si>
    <t>Q9BZF3-4</t>
  </si>
  <si>
    <t>Q9BZH6</t>
  </si>
  <si>
    <t>Q9BZI7-2</t>
  </si>
  <si>
    <t>Q9BZK7</t>
  </si>
  <si>
    <t>Q9BZL1</t>
  </si>
  <si>
    <t>Q9BZM1</t>
  </si>
  <si>
    <t>Q9BZM5</t>
  </si>
  <si>
    <t>Q9BZM6</t>
  </si>
  <si>
    <t>Q9BZQ8</t>
  </si>
  <si>
    <t>Q9BZX2</t>
  </si>
  <si>
    <t>Q9BZZ5</t>
  </si>
  <si>
    <t>Q9BZZ5-2</t>
  </si>
  <si>
    <t>Q9C004</t>
  </si>
  <si>
    <t>Q9C005</t>
  </si>
  <si>
    <t>Q9C037-2</t>
  </si>
  <si>
    <t>Q9C073</t>
  </si>
  <si>
    <t>Q9C0B1</t>
  </si>
  <si>
    <t>Q9C0B5-2</t>
  </si>
  <si>
    <t>Q9C0B7</t>
  </si>
  <si>
    <t>Q9C0C2</t>
  </si>
  <si>
    <t>Q9C0C4</t>
  </si>
  <si>
    <t>Q9C0C7-4</t>
  </si>
  <si>
    <t>Q9C0C9</t>
  </si>
  <si>
    <t>Q9C0D3</t>
  </si>
  <si>
    <t>Q9C0F1</t>
  </si>
  <si>
    <t>Q9C0I1</t>
  </si>
  <si>
    <t>Q9C0J8</t>
  </si>
  <si>
    <t>Q9GZL7</t>
  </si>
  <si>
    <t>Q9GZN1</t>
  </si>
  <si>
    <t>Q9GZN8</t>
  </si>
  <si>
    <t>Q9GZP1</t>
  </si>
  <si>
    <t>Q9GZP4</t>
  </si>
  <si>
    <t>Q9GZP9</t>
  </si>
  <si>
    <t>Q9GZQ3</t>
  </si>
  <si>
    <t>Q9GZS1-2</t>
  </si>
  <si>
    <t>Q9GZS3</t>
  </si>
  <si>
    <t>Q9GZT3-2</t>
  </si>
  <si>
    <t>Q9GZT4</t>
  </si>
  <si>
    <t>Q9GZT6-2</t>
  </si>
  <si>
    <t>Q9GZT8-2</t>
  </si>
  <si>
    <t>Q9GZT9</t>
  </si>
  <si>
    <t>Q9GZU8</t>
  </si>
  <si>
    <t>Q9GZX9</t>
  </si>
  <si>
    <t>Q9GZY4</t>
  </si>
  <si>
    <t>Q9GZY8-2</t>
  </si>
  <si>
    <t>Q9GZZ9</t>
  </si>
  <si>
    <t>Q9H019-3</t>
  </si>
  <si>
    <t>Q9H061</t>
  </si>
  <si>
    <t>Q9H074</t>
  </si>
  <si>
    <t>Q9H078-2</t>
  </si>
  <si>
    <t>Q9H081</t>
  </si>
  <si>
    <t>Q9H082</t>
  </si>
  <si>
    <t>Q9H089</t>
  </si>
  <si>
    <t>Q9H0B6</t>
  </si>
  <si>
    <t>Q9H0C8</t>
  </si>
  <si>
    <t>Q9H0D6</t>
  </si>
  <si>
    <t>Q9H0E2</t>
  </si>
  <si>
    <t>Q9H0E9-2</t>
  </si>
  <si>
    <t>Q9H0F6-2</t>
  </si>
  <si>
    <t>Q9H0G5</t>
  </si>
  <si>
    <t>Q9H0H5</t>
  </si>
  <si>
    <t>Q9H0J9</t>
  </si>
  <si>
    <t>Q9H0K1</t>
  </si>
  <si>
    <t>Q9H0K6</t>
  </si>
  <si>
    <t>Q9H0L4</t>
  </si>
  <si>
    <t>Q9H0P0</t>
  </si>
  <si>
    <t>Q9H0R4</t>
  </si>
  <si>
    <t>Q9H0R6</t>
  </si>
  <si>
    <t>Q9H0S4-2</t>
  </si>
  <si>
    <t>Q9H0U3</t>
  </si>
  <si>
    <t>Q9H0U4</t>
  </si>
  <si>
    <t>Q9H0V1</t>
  </si>
  <si>
    <t>Q9H0V9</t>
  </si>
  <si>
    <t>Q9H0W8-2</t>
  </si>
  <si>
    <t>Q9H0W9</t>
  </si>
  <si>
    <t>Q9H0X4</t>
  </si>
  <si>
    <t>Q9H160</t>
  </si>
  <si>
    <t>Q9H173</t>
  </si>
  <si>
    <t>Q9H1A3-2</t>
  </si>
  <si>
    <t>Q9H1A4</t>
  </si>
  <si>
    <t>Q9H1B7</t>
  </si>
  <si>
    <t>Q9H1D9</t>
  </si>
  <si>
    <t>Q9H1E3</t>
  </si>
  <si>
    <t>Q9H1E5</t>
  </si>
  <si>
    <t>Q9H1H9-3</t>
  </si>
  <si>
    <t>Q9H1K0</t>
  </si>
  <si>
    <t>Q9H1K1</t>
  </si>
  <si>
    <t>Q9H1P3-2</t>
  </si>
  <si>
    <t>Q9H1Y0</t>
  </si>
  <si>
    <t>Q9H1Z4</t>
  </si>
  <si>
    <t>Q9H223</t>
  </si>
  <si>
    <t>Q9H257-2</t>
  </si>
  <si>
    <t>Q9H267</t>
  </si>
  <si>
    <t>Q9H269</t>
  </si>
  <si>
    <t>Q9H270</t>
  </si>
  <si>
    <t>Q9H2C0</t>
  </si>
  <si>
    <t>Q9H2D1</t>
  </si>
  <si>
    <t>Q9H2G2-2</t>
  </si>
  <si>
    <t>Q9H2J4</t>
  </si>
  <si>
    <t>Q9H2K8</t>
  </si>
  <si>
    <t>Q9H2M9</t>
  </si>
  <si>
    <t>Q9H2P0</t>
  </si>
  <si>
    <t>Q9H2P9-3</t>
  </si>
  <si>
    <t>Q9H2U2</t>
  </si>
  <si>
    <t>Q9H2W2</t>
  </si>
  <si>
    <t>Q9H2W6</t>
  </si>
  <si>
    <t>Q9H300</t>
  </si>
  <si>
    <t>Q9H307</t>
  </si>
  <si>
    <t>Q9H330-2</t>
  </si>
  <si>
    <t>Q9H3C7</t>
  </si>
  <si>
    <t>Q9H3H1-4</t>
  </si>
  <si>
    <t>Q9H3H3-2</t>
  </si>
  <si>
    <t>Q9H3H5-2</t>
  </si>
  <si>
    <t>Q9H3K6</t>
  </si>
  <si>
    <t>Q9H3M7</t>
  </si>
  <si>
    <t>Q9H3N1</t>
  </si>
  <si>
    <t>Q9H3P2</t>
  </si>
  <si>
    <t>Q9H3P7</t>
  </si>
  <si>
    <t>Q9H3Q1</t>
  </si>
  <si>
    <t>Q9H3R5</t>
  </si>
  <si>
    <t>Q9H3S7</t>
  </si>
  <si>
    <t>Q9H3U1</t>
  </si>
  <si>
    <t>Q9H3U5-3</t>
  </si>
  <si>
    <t>Q9H3Z4-2</t>
  </si>
  <si>
    <t>Q9H410</t>
  </si>
  <si>
    <t>Q9H425</t>
  </si>
  <si>
    <t>Q9H444</t>
  </si>
  <si>
    <t>Q9H467</t>
  </si>
  <si>
    <t>Q9H469</t>
  </si>
  <si>
    <t>Q9H479</t>
  </si>
  <si>
    <t>Q9H488</t>
  </si>
  <si>
    <t>Q9H496</t>
  </si>
  <si>
    <t>Q9H497</t>
  </si>
  <si>
    <t>Q9H4A4</t>
  </si>
  <si>
    <t>Q9H4A5</t>
  </si>
  <si>
    <t>Q9H4A6</t>
  </si>
  <si>
    <t>Q9H4E7</t>
  </si>
  <si>
    <t>Q9H4H8</t>
  </si>
  <si>
    <t>Q9H4L5</t>
  </si>
  <si>
    <t>Q9H4L7</t>
  </si>
  <si>
    <t>Q9H4M9</t>
  </si>
  <si>
    <t>Q9H4Z3</t>
  </si>
  <si>
    <t>Q9H501</t>
  </si>
  <si>
    <t>Q9H553</t>
  </si>
  <si>
    <t>Q9H5K3</t>
  </si>
  <si>
    <t>Q9H5N1</t>
  </si>
  <si>
    <t>Q9H5Q4</t>
  </si>
  <si>
    <t>Q9H5V8</t>
  </si>
  <si>
    <t>Q9H5V9-3</t>
  </si>
  <si>
    <t>Q9H5X1</t>
  </si>
  <si>
    <t>Q9H6D7</t>
  </si>
  <si>
    <t>Q9H6E4</t>
  </si>
  <si>
    <t>Q9H6F5</t>
  </si>
  <si>
    <t>Q9H6H4</t>
  </si>
  <si>
    <t>Q9H6K1</t>
  </si>
  <si>
    <t>Q9H6K4</t>
  </si>
  <si>
    <t>Q9H6Q4</t>
  </si>
  <si>
    <t>Q9H6R6-2</t>
  </si>
  <si>
    <t>Q9H6R7-2</t>
  </si>
  <si>
    <t>Q9H6S0</t>
  </si>
  <si>
    <t>Q9H6S1</t>
  </si>
  <si>
    <t>Q9H6S3</t>
  </si>
  <si>
    <t>Q9H6T3</t>
  </si>
  <si>
    <t>Q9H6U8</t>
  </si>
  <si>
    <t>Q9H6Y2</t>
  </si>
  <si>
    <t>Q9H773</t>
  </si>
  <si>
    <t>Q9H7B4</t>
  </si>
  <si>
    <t>Q9H7D7-2</t>
  </si>
  <si>
    <t>Q9H7E2-3</t>
  </si>
  <si>
    <t>Q9H7E9</t>
  </si>
  <si>
    <t>Q9H7F0</t>
  </si>
  <si>
    <t>Q9H7L9</t>
  </si>
  <si>
    <t>Q9H7N4</t>
  </si>
  <si>
    <t>Q9H7Z6</t>
  </si>
  <si>
    <t>Q9H7Z7</t>
  </si>
  <si>
    <t>Q9H813</t>
  </si>
  <si>
    <t>Q9H814</t>
  </si>
  <si>
    <t>Q9H832</t>
  </si>
  <si>
    <t>Q9H840</t>
  </si>
  <si>
    <t>Q9H845</t>
  </si>
  <si>
    <t>Q9H871</t>
  </si>
  <si>
    <t>Q9H875</t>
  </si>
  <si>
    <t>Q9H8G2</t>
  </si>
  <si>
    <t>Q9H8H0</t>
  </si>
  <si>
    <t>Q9H8K7</t>
  </si>
  <si>
    <t>Q9H8M5-2</t>
  </si>
  <si>
    <t>Q9H8M7</t>
  </si>
  <si>
    <t>Q9H8S9</t>
  </si>
  <si>
    <t>Q9H8U3</t>
  </si>
  <si>
    <t>Q9H8W4</t>
  </si>
  <si>
    <t>Q9H8Y5</t>
  </si>
  <si>
    <t>Q9H8Y8</t>
  </si>
  <si>
    <t>Q9H900</t>
  </si>
  <si>
    <t>Q9H910-2</t>
  </si>
  <si>
    <t>Q9H936</t>
  </si>
  <si>
    <t>Q9H939</t>
  </si>
  <si>
    <t>Q9H944</t>
  </si>
  <si>
    <t>Q9H974</t>
  </si>
  <si>
    <t>Q9H981</t>
  </si>
  <si>
    <t>Q9H993</t>
  </si>
  <si>
    <t>Q9H999</t>
  </si>
  <si>
    <t>Q9H9A5-2</t>
  </si>
  <si>
    <t>Q9H9A6</t>
  </si>
  <si>
    <t>Q9H9B1</t>
  </si>
  <si>
    <t>Q9H9B4</t>
  </si>
  <si>
    <t>Q9H9F9</t>
  </si>
  <si>
    <t>Q9H9H4</t>
  </si>
  <si>
    <t>Q9H9M6</t>
  </si>
  <si>
    <t>Q9H9P8</t>
  </si>
  <si>
    <t>Q9H9T3-2</t>
  </si>
  <si>
    <t>Q9H9V9-2</t>
  </si>
  <si>
    <t>Q9H9Y4</t>
  </si>
  <si>
    <t>Q9H9Y6</t>
  </si>
  <si>
    <t>Q9HA47-3</t>
  </si>
  <si>
    <t>Q9HA64</t>
  </si>
  <si>
    <t>Q9HA65</t>
  </si>
  <si>
    <t>Q9HA77</t>
  </si>
  <si>
    <t>Q9HAB8</t>
  </si>
  <si>
    <t>Q9HAJ7</t>
  </si>
  <si>
    <t>Q9HAN9</t>
  </si>
  <si>
    <t>Q9HAP2</t>
  </si>
  <si>
    <t>Q9HAP6</t>
  </si>
  <si>
    <t>Q9HAT2-2</t>
  </si>
  <si>
    <t>Q9HAU0</t>
  </si>
  <si>
    <t>Q9HAU5</t>
  </si>
  <si>
    <t>Q9HAV0</t>
  </si>
  <si>
    <t>Q9HAV4</t>
  </si>
  <si>
    <t>Q9HAV7</t>
  </si>
  <si>
    <t>Q9HAW4</t>
  </si>
  <si>
    <t>Q9HB09</t>
  </si>
  <si>
    <t>Q9HB19</t>
  </si>
  <si>
    <t>Q9HB40</t>
  </si>
  <si>
    <t>Q9HB71</t>
  </si>
  <si>
    <t>Q9HB90</t>
  </si>
  <si>
    <t>Q9HBD4</t>
  </si>
  <si>
    <t>Q9HBH1</t>
  </si>
  <si>
    <t>Q9HBH5</t>
  </si>
  <si>
    <t>Q9HBI1</t>
  </si>
  <si>
    <t>Q9HBL8</t>
  </si>
  <si>
    <t>Q9HBM1</t>
  </si>
  <si>
    <t>Q9HBM6</t>
  </si>
  <si>
    <t>Q9HBM8</t>
  </si>
  <si>
    <t>Q9HC35</t>
  </si>
  <si>
    <t>Q9HC36</t>
  </si>
  <si>
    <t>Q9HC38-2</t>
  </si>
  <si>
    <t>Q9HC44</t>
  </si>
  <si>
    <t>Q9HCC0</t>
  </si>
  <si>
    <t>Q9HCD5</t>
  </si>
  <si>
    <t>Q9HCE1</t>
  </si>
  <si>
    <t>Q9HCE5</t>
  </si>
  <si>
    <t>Q9HCK8-2</t>
  </si>
  <si>
    <t>Q9HCN3</t>
  </si>
  <si>
    <t>Q9HCN4-4</t>
  </si>
  <si>
    <t>Q9HCN8</t>
  </si>
  <si>
    <t>Q9HCP0-2</t>
  </si>
  <si>
    <t>Q9HCU5</t>
  </si>
  <si>
    <t>Q9HCU8</t>
  </si>
  <si>
    <t>Q9HD15</t>
  </si>
  <si>
    <t>Q9HD20-2</t>
  </si>
  <si>
    <t>Q9HD23</t>
  </si>
  <si>
    <t>Q9HD26</t>
  </si>
  <si>
    <t>Q9HD40-3</t>
  </si>
  <si>
    <t>Q9HD42</t>
  </si>
  <si>
    <t>Q9HD45</t>
  </si>
  <si>
    <t>Q9HD47-2</t>
  </si>
  <si>
    <t>Q9HD64</t>
  </si>
  <si>
    <t>Q9HDC5</t>
  </si>
  <si>
    <t>Q9HDC9</t>
  </si>
  <si>
    <t>Q9NNW5</t>
  </si>
  <si>
    <t>Q9NP31-3</t>
  </si>
  <si>
    <t>Q9NP58-4</t>
  </si>
  <si>
    <t>Q9NP59</t>
  </si>
  <si>
    <t>Q9NP66</t>
  </si>
  <si>
    <t>Q9NP72</t>
  </si>
  <si>
    <t>Q9NP73-2</t>
  </si>
  <si>
    <t>Q9NP74-3</t>
  </si>
  <si>
    <t>Q9NP77</t>
  </si>
  <si>
    <t>Q9NP79</t>
  </si>
  <si>
    <t>Q9NP84</t>
  </si>
  <si>
    <t>Q9NP92</t>
  </si>
  <si>
    <t>Q9NPA0</t>
  </si>
  <si>
    <t>Q9NPA3</t>
  </si>
  <si>
    <t>Q9NPA8-2</t>
  </si>
  <si>
    <t>Q9NPB8</t>
  </si>
  <si>
    <t>Q9NPD3</t>
  </si>
  <si>
    <t>Q9NPD8</t>
  </si>
  <si>
    <t>Q9NPE2</t>
  </si>
  <si>
    <t>Q9NPE3</t>
  </si>
  <si>
    <t>Q9NPF0</t>
  </si>
  <si>
    <t>Q9NPF4</t>
  </si>
  <si>
    <t>Q9NPH2</t>
  </si>
  <si>
    <t>Q9NPI6</t>
  </si>
  <si>
    <t>Q9NPJ3</t>
  </si>
  <si>
    <t>Q9NPJ6</t>
  </si>
  <si>
    <t>Q9NPL8</t>
  </si>
  <si>
    <t>Q9NPQ8-4</t>
  </si>
  <si>
    <t>Q9NPR9</t>
  </si>
  <si>
    <t>Q9NQ11-3</t>
  </si>
  <si>
    <t>Q9NQ29</t>
  </si>
  <si>
    <t>Q9NQ88</t>
  </si>
  <si>
    <t>Q9NQC3</t>
  </si>
  <si>
    <t>Q9NQE9</t>
  </si>
  <si>
    <t>Q9NQG1</t>
  </si>
  <si>
    <t>Q9NQG5</t>
  </si>
  <si>
    <t>Q9NQG7-3</t>
  </si>
  <si>
    <t>Q9NQH7-2</t>
  </si>
  <si>
    <t>Q9NQP4</t>
  </si>
  <si>
    <t>Q9NQR4</t>
  </si>
  <si>
    <t>Q9NQS1</t>
  </si>
  <si>
    <t>Q9NQT4</t>
  </si>
  <si>
    <t>Q9NQT8</t>
  </si>
  <si>
    <t>Q9NQW6</t>
  </si>
  <si>
    <t>Q9NQW7-3</t>
  </si>
  <si>
    <t>Q9NQX4</t>
  </si>
  <si>
    <t>Q9NQY0</t>
  </si>
  <si>
    <t>Q9NQZ2</t>
  </si>
  <si>
    <t>Q9NQZ5</t>
  </si>
  <si>
    <t>Q9NR09</t>
  </si>
  <si>
    <t>Q9NR12</t>
  </si>
  <si>
    <t>Q9NR19</t>
  </si>
  <si>
    <t>Q9NR28-2</t>
  </si>
  <si>
    <t>Q9NR30</t>
  </si>
  <si>
    <t>Q9NR31</t>
  </si>
  <si>
    <t>Q9NR33</t>
  </si>
  <si>
    <t>Q9NR45</t>
  </si>
  <si>
    <t>Q9NR50</t>
  </si>
  <si>
    <t>Q9NRF2-3</t>
  </si>
  <si>
    <t>Q9NRF8</t>
  </si>
  <si>
    <t>Q9NRF9</t>
  </si>
  <si>
    <t>Q9NRG0</t>
  </si>
  <si>
    <t>Q9NRG1</t>
  </si>
  <si>
    <t>Q9NRG4</t>
  </si>
  <si>
    <t>Q9NRH1</t>
  </si>
  <si>
    <t>Q9NRK6</t>
  </si>
  <si>
    <t>Q9NRL2-2</t>
  </si>
  <si>
    <t>Q9NRL3</t>
  </si>
  <si>
    <t>Q9NRN7</t>
  </si>
  <si>
    <t>Q9NRN9</t>
  </si>
  <si>
    <t>Q9NRP2</t>
  </si>
  <si>
    <t>Q9NRP4</t>
  </si>
  <si>
    <t>Q9NRR5</t>
  </si>
  <si>
    <t>Q9NRR8</t>
  </si>
  <si>
    <t>Q9NRS6-2</t>
  </si>
  <si>
    <t>Q9NRV9</t>
  </si>
  <si>
    <t>Q9NRW1</t>
  </si>
  <si>
    <t>Q9NRW3</t>
  </si>
  <si>
    <t>Q9NRW4</t>
  </si>
  <si>
    <t>Q9NRW7</t>
  </si>
  <si>
    <t>Q9NRX1</t>
  </si>
  <si>
    <t>Q9NRX4</t>
  </si>
  <si>
    <t>Q9NRX5</t>
  </si>
  <si>
    <t>Q9NRY4</t>
  </si>
  <si>
    <t>Q9NRY5</t>
  </si>
  <si>
    <t>Q9NRZ7-2</t>
  </si>
  <si>
    <t>Q9NRZ9-4</t>
  </si>
  <si>
    <t>Q9NS18</t>
  </si>
  <si>
    <t>Q9NS23-4</t>
  </si>
  <si>
    <t>Q9NS69</t>
  </si>
  <si>
    <t>Q9NS86</t>
  </si>
  <si>
    <t>Q9NS87</t>
  </si>
  <si>
    <t>Q9NS91</t>
  </si>
  <si>
    <t>Q9NS93</t>
  </si>
  <si>
    <t>Q9NSA3</t>
  </si>
  <si>
    <t>Q9NSD9</t>
  </si>
  <si>
    <t>Q9NSE4</t>
  </si>
  <si>
    <t>Q9NSG2-3</t>
  </si>
  <si>
    <t>Q9NSI2-2</t>
  </si>
  <si>
    <t>Q9NSI8</t>
  </si>
  <si>
    <t>Q9NSK0</t>
  </si>
  <si>
    <t>Q9NSY1</t>
  </si>
  <si>
    <t>Q9NT62</t>
  </si>
  <si>
    <t>Q9NTG7</t>
  </si>
  <si>
    <t>Q9NTI5-2</t>
  </si>
  <si>
    <t>Q9NTJ3</t>
  </si>
  <si>
    <t>Q9NTJ4-3</t>
  </si>
  <si>
    <t>Q9NTJ5</t>
  </si>
  <si>
    <t>Q9NTM9</t>
  </si>
  <si>
    <t>Q9NTX5-2</t>
  </si>
  <si>
    <t>Q9NTX7-2</t>
  </si>
  <si>
    <t>Q9NTZ6</t>
  </si>
  <si>
    <t>Q9NU19</t>
  </si>
  <si>
    <t>Q9NU22</t>
  </si>
  <si>
    <t>Q9NU23</t>
  </si>
  <si>
    <t>Q9NUD5</t>
  </si>
  <si>
    <t>Q9NUE0</t>
  </si>
  <si>
    <t>Q9NUG6</t>
  </si>
  <si>
    <t>Q9NUJ1</t>
  </si>
  <si>
    <t>Q9NUM4</t>
  </si>
  <si>
    <t>Q9NUN5-3</t>
  </si>
  <si>
    <t>Q9NUP1</t>
  </si>
  <si>
    <t>Q9NUP7</t>
  </si>
  <si>
    <t>Q9NUP9</t>
  </si>
  <si>
    <t>Q9NUQ2</t>
  </si>
  <si>
    <t>Q9NUQ3</t>
  </si>
  <si>
    <t>Q9NUQ7</t>
  </si>
  <si>
    <t>Q9NUQ8</t>
  </si>
  <si>
    <t>Q9NUQ9</t>
  </si>
  <si>
    <t>Q9NUS5</t>
  </si>
  <si>
    <t>Q9NUU7</t>
  </si>
  <si>
    <t>Q9NUW8</t>
  </si>
  <si>
    <t>Q9NUY8</t>
  </si>
  <si>
    <t>Q9NV06</t>
  </si>
  <si>
    <t>Q9NV35</t>
  </si>
  <si>
    <t>Q9NV56</t>
  </si>
  <si>
    <t>Q9NV66</t>
  </si>
  <si>
    <t>Q9NV70-2</t>
  </si>
  <si>
    <t>Q9NV96-2</t>
  </si>
  <si>
    <t>Q9NVA1-2</t>
  </si>
  <si>
    <t>Q9NVC6</t>
  </si>
  <si>
    <t>Q9NVE7</t>
  </si>
  <si>
    <t>Q9NVF7</t>
  </si>
  <si>
    <t>Q9NVG8</t>
  </si>
  <si>
    <t>Q9NVH0-2</t>
  </si>
  <si>
    <t>Q9NVH1-3</t>
  </si>
  <si>
    <t>Q9NVH2-4</t>
  </si>
  <si>
    <t>Q9NVI1</t>
  </si>
  <si>
    <t>Q9NVI7-2</t>
  </si>
  <si>
    <t>Q9NVJ2</t>
  </si>
  <si>
    <t>Q9NVK5</t>
  </si>
  <si>
    <t>Q9NVM1</t>
  </si>
  <si>
    <t>Q9NVM4-3</t>
  </si>
  <si>
    <t>Q9NVM6</t>
  </si>
  <si>
    <t>Q9NVM9</t>
  </si>
  <si>
    <t>Q9NVN8</t>
  </si>
  <si>
    <t>Q9NVP1</t>
  </si>
  <si>
    <t>Q9NVP2</t>
  </si>
  <si>
    <t>Q9NVR0</t>
  </si>
  <si>
    <t>Q9NVR2</t>
  </si>
  <si>
    <t>Q9NVR5</t>
  </si>
  <si>
    <t>Q9NVU0-5</t>
  </si>
  <si>
    <t>Q9NVV0</t>
  </si>
  <si>
    <t>Q9NVV4</t>
  </si>
  <si>
    <t>Q9NVW2</t>
  </si>
  <si>
    <t>Q9NVX2</t>
  </si>
  <si>
    <t>Q9NVX7</t>
  </si>
  <si>
    <t>Q9NVZ3</t>
  </si>
  <si>
    <t>Q9NW08-2</t>
  </si>
  <si>
    <t>Q9NW15</t>
  </si>
  <si>
    <t>Q9NW64</t>
  </si>
  <si>
    <t>Q9NW82</t>
  </si>
  <si>
    <t>Q9NWB6</t>
  </si>
  <si>
    <t>Q9NWD8</t>
  </si>
  <si>
    <t>Q9NWD9</t>
  </si>
  <si>
    <t>Q9NWH2</t>
  </si>
  <si>
    <t>Q9NWH9</t>
  </si>
  <si>
    <t>Q9NWK9</t>
  </si>
  <si>
    <t>Q9NWM8</t>
  </si>
  <si>
    <t>Q9NWQ9</t>
  </si>
  <si>
    <t>Q9NWS0</t>
  </si>
  <si>
    <t>Q9NWS6</t>
  </si>
  <si>
    <t>Q9NWS8</t>
  </si>
  <si>
    <t>Q9NWT6</t>
  </si>
  <si>
    <t>Q9NWT8</t>
  </si>
  <si>
    <t>Q9NWU1</t>
  </si>
  <si>
    <t>Q9NWU2</t>
  </si>
  <si>
    <t>Q9NWV4</t>
  </si>
  <si>
    <t>Q9NWX6</t>
  </si>
  <si>
    <t>Q9NWY4</t>
  </si>
  <si>
    <t>Q9NWZ3</t>
  </si>
  <si>
    <t>Q9NX00</t>
  </si>
  <si>
    <t>Q9NX01</t>
  </si>
  <si>
    <t>Q9NX02-5</t>
  </si>
  <si>
    <t>Q9NX07-2</t>
  </si>
  <si>
    <t>Q9NX08</t>
  </si>
  <si>
    <t>Q9NX09</t>
  </si>
  <si>
    <t>Q9NX14</t>
  </si>
  <si>
    <t>Q9NX20</t>
  </si>
  <si>
    <t>Q9NX24</t>
  </si>
  <si>
    <t>Q9NX38</t>
  </si>
  <si>
    <t>Q9NX40</t>
  </si>
  <si>
    <t>Q9NX46</t>
  </si>
  <si>
    <t>Q9NX47</t>
  </si>
  <si>
    <t>Q9NX55</t>
  </si>
  <si>
    <t>Q9NX58</t>
  </si>
  <si>
    <t>Q9NX62</t>
  </si>
  <si>
    <t>Q9NX70</t>
  </si>
  <si>
    <t>Q9NX74</t>
  </si>
  <si>
    <t>Q9NXA8-4</t>
  </si>
  <si>
    <t>Q9NXC5</t>
  </si>
  <si>
    <t>Q9NXE8</t>
  </si>
  <si>
    <t>Q9NXF1-2</t>
  </si>
  <si>
    <t>Q9NXF7</t>
  </si>
  <si>
    <t>Q9NXF8</t>
  </si>
  <si>
    <t>Q9NXH8</t>
  </si>
  <si>
    <t>Q9NXH9</t>
  </si>
  <si>
    <t>Q9NXK8-2</t>
  </si>
  <si>
    <t>Q9NXN4-2</t>
  </si>
  <si>
    <t>Q9NXR1-2</t>
  </si>
  <si>
    <t>Q9NXR7</t>
  </si>
  <si>
    <t>Q9NXS2</t>
  </si>
  <si>
    <t>Q9NXU5</t>
  </si>
  <si>
    <t>Q9NXV2</t>
  </si>
  <si>
    <t>Q9NXV6</t>
  </si>
  <si>
    <t>Q9NXW9</t>
  </si>
  <si>
    <t>Q9NXX6</t>
  </si>
  <si>
    <t>Q9NY12-2</t>
  </si>
  <si>
    <t>Q9NY27</t>
  </si>
  <si>
    <t>Q9NY97-2</t>
  </si>
  <si>
    <t>Q9NYA1-2</t>
  </si>
  <si>
    <t>Q9NYB0</t>
  </si>
  <si>
    <t>Q9NYH9</t>
  </si>
  <si>
    <t>Q9NYJ1</t>
  </si>
  <si>
    <t>Q9NYJ8</t>
  </si>
  <si>
    <t>Q9NYK5</t>
  </si>
  <si>
    <t>Q9NYL2</t>
  </si>
  <si>
    <t>Q9NYL2-2</t>
  </si>
  <si>
    <t>Q9NYL9</t>
  </si>
  <si>
    <t>Q9NYP9</t>
  </si>
  <si>
    <t>Q9NYU2-2</t>
  </si>
  <si>
    <t>Q9NYV4-2</t>
  </si>
  <si>
    <t>Q9NYY8</t>
  </si>
  <si>
    <t>Q9NYZ2-4</t>
  </si>
  <si>
    <t>Q9NYZ3</t>
  </si>
  <si>
    <t>Q9NZ01</t>
  </si>
  <si>
    <t>Q9NZ08</t>
  </si>
  <si>
    <t>Q9NZ09-2</t>
  </si>
  <si>
    <t>Q9NZ32</t>
  </si>
  <si>
    <t>Q9NZ43</t>
  </si>
  <si>
    <t>Q9NZ45</t>
  </si>
  <si>
    <t>Q9NZ53</t>
  </si>
  <si>
    <t>Q9NZ63</t>
  </si>
  <si>
    <t>Q9NZA1-3</t>
  </si>
  <si>
    <t>Q9NZC3</t>
  </si>
  <si>
    <t>Q9NZC7-5</t>
  </si>
  <si>
    <t>Q9NZC9</t>
  </si>
  <si>
    <t>Q9NZD4</t>
  </si>
  <si>
    <t>Q9NZD8-2</t>
  </si>
  <si>
    <t>Q9NZI7-4</t>
  </si>
  <si>
    <t>Q9NZI8</t>
  </si>
  <si>
    <t>Q9NZJ4</t>
  </si>
  <si>
    <t>Q9NZJ6</t>
  </si>
  <si>
    <t>Q9NZJ7-2</t>
  </si>
  <si>
    <t>Q9NZJ9</t>
  </si>
  <si>
    <t>Q9NZL4</t>
  </si>
  <si>
    <t>Q9NZL9</t>
  </si>
  <si>
    <t>Q9NZL9-2</t>
  </si>
  <si>
    <t>Q9NZM3-4</t>
  </si>
  <si>
    <t>Q9NZN4</t>
  </si>
  <si>
    <t>Q9NZN5-2</t>
  </si>
  <si>
    <t>Q9NZQ3-3</t>
  </si>
  <si>
    <t>Q9NZT2-2</t>
  </si>
  <si>
    <t>Q9NZW5</t>
  </si>
  <si>
    <t>Q9NZZ3</t>
  </si>
  <si>
    <t>Q9P000</t>
  </si>
  <si>
    <t>Q9P013</t>
  </si>
  <si>
    <t>Q9P016</t>
  </si>
  <si>
    <t>Q9P021</t>
  </si>
  <si>
    <t>Q9P032</t>
  </si>
  <si>
    <t>Q9P035</t>
  </si>
  <si>
    <t>Q9P0B6</t>
  </si>
  <si>
    <t>Q9P0I2</t>
  </si>
  <si>
    <t>Q9P0J7</t>
  </si>
  <si>
    <t>Q9P0L0</t>
  </si>
  <si>
    <t>Q9P0N9-3</t>
  </si>
  <si>
    <t>Q9P0P0</t>
  </si>
  <si>
    <t>Q9P0R6</t>
  </si>
  <si>
    <t>Q9P0S2</t>
  </si>
  <si>
    <t>Q9P0U4</t>
  </si>
  <si>
    <t>Q9P0W2</t>
  </si>
  <si>
    <t>Q9P1U0</t>
  </si>
  <si>
    <t>Q9P1U1</t>
  </si>
  <si>
    <t>Q9P1W9</t>
  </si>
  <si>
    <t>Q9P1Z2-2</t>
  </si>
  <si>
    <t>Q9P206-2</t>
  </si>
  <si>
    <t>Q9P209</t>
  </si>
  <si>
    <t>Q9P215</t>
  </si>
  <si>
    <t>Q9P253</t>
  </si>
  <si>
    <t>Q9P258</t>
  </si>
  <si>
    <t>Q9P265</t>
  </si>
  <si>
    <t>Q9P270</t>
  </si>
  <si>
    <t>Q9P287</t>
  </si>
  <si>
    <t>Q9P2B2</t>
  </si>
  <si>
    <t>Q9P2D3-3</t>
  </si>
  <si>
    <t>Q9P2D7-5</t>
  </si>
  <si>
    <t>Q9P2E3</t>
  </si>
  <si>
    <t>Q9P2E9</t>
  </si>
  <si>
    <t>Q9P2I0</t>
  </si>
  <si>
    <t>Q9P2J9</t>
  </si>
  <si>
    <t>Q9P2K8-2</t>
  </si>
  <si>
    <t>Q9P2M4</t>
  </si>
  <si>
    <t>Q9P2N5</t>
  </si>
  <si>
    <t>Q9P2R3</t>
  </si>
  <si>
    <t>Q9P2W1</t>
  </si>
  <si>
    <t>Q9P2X0</t>
  </si>
  <si>
    <t>Q9P2Y5</t>
  </si>
  <si>
    <t>Q9UBB4</t>
  </si>
  <si>
    <t>Q9UBB5</t>
  </si>
  <si>
    <t>Q9UBB6</t>
  </si>
  <si>
    <t>Q9UBB9</t>
  </si>
  <si>
    <t>Q9UBC2-2</t>
  </si>
  <si>
    <t>Q9UBC3-4</t>
  </si>
  <si>
    <t>Q9UBD5</t>
  </si>
  <si>
    <t>Q9UBE0</t>
  </si>
  <si>
    <t>Q9UBF1</t>
  </si>
  <si>
    <t>Q9UBF2</t>
  </si>
  <si>
    <t>Q9UBF6</t>
  </si>
  <si>
    <t>Q9UBF8-2</t>
  </si>
  <si>
    <t>Q9UBH6-2</t>
  </si>
  <si>
    <t>Q9UBI6</t>
  </si>
  <si>
    <t>Q9UBK8-2</t>
  </si>
  <si>
    <t>Q9UBK9</t>
  </si>
  <si>
    <t>Q9UBL3-3</t>
  </si>
  <si>
    <t>Q9UBM7</t>
  </si>
  <si>
    <t>Q9UBP0-3</t>
  </si>
  <si>
    <t>Q9UBP6</t>
  </si>
  <si>
    <t>Q9UBP9</t>
  </si>
  <si>
    <t>Q9UBQ7</t>
  </si>
  <si>
    <t>Q9UBR2</t>
  </si>
  <si>
    <t>Q9UBS0</t>
  </si>
  <si>
    <t>Q9UBS4</t>
  </si>
  <si>
    <t>Q9UBS8</t>
  </si>
  <si>
    <t>Q9UBT2</t>
  </si>
  <si>
    <t>Q9UBT7-2</t>
  </si>
  <si>
    <t>Q9UBU6</t>
  </si>
  <si>
    <t>Q9UBU9</t>
  </si>
  <si>
    <t>Q9UBV2</t>
  </si>
  <si>
    <t>Q9UBV7</t>
  </si>
  <si>
    <t>Q9UBV8</t>
  </si>
  <si>
    <t>Q9UBW7</t>
  </si>
  <si>
    <t>Q9UBW8</t>
  </si>
  <si>
    <t>Q9UBX3</t>
  </si>
  <si>
    <t>Q9UDT6-2</t>
  </si>
  <si>
    <t>Q9UDX5</t>
  </si>
  <si>
    <t>Q9UDY2</t>
  </si>
  <si>
    <t>Q9UDY4</t>
  </si>
  <si>
    <t>Q9UEE9</t>
  </si>
  <si>
    <t>Q9UEG4</t>
  </si>
  <si>
    <t>Q9UEL6</t>
  </si>
  <si>
    <t>Q9UER7-2</t>
  </si>
  <si>
    <t>Q9UET6-2</t>
  </si>
  <si>
    <t>Q9UEU0</t>
  </si>
  <si>
    <t>Q9UEU5</t>
  </si>
  <si>
    <t>Q9UEY8-2</t>
  </si>
  <si>
    <t>Q9UFC0</t>
  </si>
  <si>
    <t>Q9UFG5</t>
  </si>
  <si>
    <t>Q9UFW8</t>
  </si>
  <si>
    <t>Q9UG52</t>
  </si>
  <si>
    <t>Q9UG63</t>
  </si>
  <si>
    <t>Q9UGC7-4</t>
  </si>
  <si>
    <t>Q9UGI8</t>
  </si>
  <si>
    <t>Q9UGJ1-2</t>
  </si>
  <si>
    <t>Q9UGM6</t>
  </si>
  <si>
    <t>Q9UGP4</t>
  </si>
  <si>
    <t>Q9UGP8</t>
  </si>
  <si>
    <t>Q9UGR2-2</t>
  </si>
  <si>
    <t>Q9UH62</t>
  </si>
  <si>
    <t>Q9UH65</t>
  </si>
  <si>
    <t>Q9UH99</t>
  </si>
  <si>
    <t>Q9UHA2</t>
  </si>
  <si>
    <t>Q9UHA4</t>
  </si>
  <si>
    <t>Q9UHB7</t>
  </si>
  <si>
    <t>Q9UHB9-4</t>
  </si>
  <si>
    <t>Q9UHD1</t>
  </si>
  <si>
    <t>Q9UHD2</t>
  </si>
  <si>
    <t>Q9UHD8-7</t>
  </si>
  <si>
    <t>Q9UHD9</t>
  </si>
  <si>
    <t>Q9UHG3</t>
  </si>
  <si>
    <t>Q9UHI6</t>
  </si>
  <si>
    <t>Q9UHJ6</t>
  </si>
  <si>
    <t>Q9UHK0</t>
  </si>
  <si>
    <t>Q9UHL4</t>
  </si>
  <si>
    <t>Q9UHN1</t>
  </si>
  <si>
    <t>Q9UHN6-2</t>
  </si>
  <si>
    <t>Q9UHP3</t>
  </si>
  <si>
    <t>Q9UHQ1</t>
  </si>
  <si>
    <t>Q9UHQ4</t>
  </si>
  <si>
    <t>Q9UHQ9</t>
  </si>
  <si>
    <t>Q9UHR4</t>
  </si>
  <si>
    <t>Q9UHR6</t>
  </si>
  <si>
    <t>Q9UHV9</t>
  </si>
  <si>
    <t>Q9UHW5</t>
  </si>
  <si>
    <t>Q9UHX1-4</t>
  </si>
  <si>
    <t>Q9UHX3-5</t>
  </si>
  <si>
    <t>Q9UHY1</t>
  </si>
  <si>
    <t>Q9UHY7</t>
  </si>
  <si>
    <t>Q9UI09</t>
  </si>
  <si>
    <t>Q9UI10</t>
  </si>
  <si>
    <t>Q9UI10-3</t>
  </si>
  <si>
    <t>Q9UI12-2</t>
  </si>
  <si>
    <t>Q9UI26</t>
  </si>
  <si>
    <t>Q9UI30</t>
  </si>
  <si>
    <t>Q9UI43</t>
  </si>
  <si>
    <t>Q9UIC8</t>
  </si>
  <si>
    <t>Q9UID3</t>
  </si>
  <si>
    <t>Q9UIG0-2</t>
  </si>
  <si>
    <t>Q9UII2</t>
  </si>
  <si>
    <t>Q9UIJ7</t>
  </si>
  <si>
    <t>Q9UIL1-3</t>
  </si>
  <si>
    <t>Q9UIM3</t>
  </si>
  <si>
    <t>Q9UIQ6-3</t>
  </si>
  <si>
    <t>Q9UIV1-2</t>
  </si>
  <si>
    <t>Q9UJ14-5</t>
  </si>
  <si>
    <t>Q9UJA5</t>
  </si>
  <si>
    <t>Q9UJJ9</t>
  </si>
  <si>
    <t>Q9UJK0</t>
  </si>
  <si>
    <t>Q9UJS0</t>
  </si>
  <si>
    <t>Q9UJT0</t>
  </si>
  <si>
    <t>Q9UJU6</t>
  </si>
  <si>
    <t>Q9UJU6-2</t>
  </si>
  <si>
    <t>Q9UJW0-2</t>
  </si>
  <si>
    <t>Q9UJX2</t>
  </si>
  <si>
    <t>Q9UJX3-2</t>
  </si>
  <si>
    <t>Q9UJX5</t>
  </si>
  <si>
    <t>Q9UJX6-2</t>
  </si>
  <si>
    <t>Q9UJY4</t>
  </si>
  <si>
    <t>Q9UJY5-4</t>
  </si>
  <si>
    <t>Q9UJZ1</t>
  </si>
  <si>
    <t>Q9UK23-2</t>
  </si>
  <si>
    <t>Q9UK39</t>
  </si>
  <si>
    <t>Q9UK41</t>
  </si>
  <si>
    <t>Q9UK45</t>
  </si>
  <si>
    <t>Q9UK53-3</t>
  </si>
  <si>
    <t>Q9UK59</t>
  </si>
  <si>
    <t>Q9UK61-2</t>
  </si>
  <si>
    <t>Q9UK73</t>
  </si>
  <si>
    <t>Q9UK97-3</t>
  </si>
  <si>
    <t>Q9UKA4</t>
  </si>
  <si>
    <t>Q9UKD2</t>
  </si>
  <si>
    <t>Q9UKE5-2</t>
  </si>
  <si>
    <t>Q9UKE5-6</t>
  </si>
  <si>
    <t>Q9UKF6</t>
  </si>
  <si>
    <t>Q9UKG1</t>
  </si>
  <si>
    <t>Q9UKI8</t>
  </si>
  <si>
    <t>Q9UKJ3-2</t>
  </si>
  <si>
    <t>Q9UKL0</t>
  </si>
  <si>
    <t>Q9UKN8</t>
  </si>
  <si>
    <t>Q9UKS6</t>
  </si>
  <si>
    <t>Q9UKT4-2</t>
  </si>
  <si>
    <t>Q9UKT5</t>
  </si>
  <si>
    <t>Q9UKU7</t>
  </si>
  <si>
    <t>Q9UKV5</t>
  </si>
  <si>
    <t>Q9UKV8</t>
  </si>
  <si>
    <t>Q9UKX7-2</t>
  </si>
  <si>
    <t>Q9UKY1</t>
  </si>
  <si>
    <t>Q9UKY7</t>
  </si>
  <si>
    <t>Q9UKZ1</t>
  </si>
  <si>
    <t>Q9UL03-3</t>
  </si>
  <si>
    <t>Q9UL15</t>
  </si>
  <si>
    <t>Q9UL25</t>
  </si>
  <si>
    <t>Q9UL26</t>
  </si>
  <si>
    <t>Q9UL33-2</t>
  </si>
  <si>
    <t>Q9UL46</t>
  </si>
  <si>
    <t>Q9UL54-2</t>
  </si>
  <si>
    <t>Q9UL62</t>
  </si>
  <si>
    <t>Q9ULC3</t>
  </si>
  <si>
    <t>Q9ULC4</t>
  </si>
  <si>
    <t>Q9ULE0</t>
  </si>
  <si>
    <t>Q9ULF5</t>
  </si>
  <si>
    <t>Q9ULG6-4</t>
  </si>
  <si>
    <t>Q9ULH0-4</t>
  </si>
  <si>
    <t>Q9ULH1</t>
  </si>
  <si>
    <t>Q9ULJ3-2</t>
  </si>
  <si>
    <t>Q9ULJ6</t>
  </si>
  <si>
    <t>Q9ULJ7</t>
  </si>
  <si>
    <t>Q9ULP9-2</t>
  </si>
  <si>
    <t>Q9ULR0</t>
  </si>
  <si>
    <t>Q9ULR3</t>
  </si>
  <si>
    <t>Q9ULT8</t>
  </si>
  <si>
    <t>Q9ULU4-9</t>
  </si>
  <si>
    <t>Q9ULV4</t>
  </si>
  <si>
    <t>Q9ULW0</t>
  </si>
  <si>
    <t>Q9ULX3</t>
  </si>
  <si>
    <t>Q9ULX6-2</t>
  </si>
  <si>
    <t>Q9ULZ3-2</t>
  </si>
  <si>
    <t>Q9UM13</t>
  </si>
  <si>
    <t>Q9UMF0</t>
  </si>
  <si>
    <t>Q9UMS0-3</t>
  </si>
  <si>
    <t>Q9UMS4</t>
  </si>
  <si>
    <t>Q9UMX0</t>
  </si>
  <si>
    <t>Q9UMX5</t>
  </si>
  <si>
    <t>Q9UMY4-2</t>
  </si>
  <si>
    <t>Q9UMZ2-6</t>
  </si>
  <si>
    <t>Q9UN36-2</t>
  </si>
  <si>
    <t>Q9UN37</t>
  </si>
  <si>
    <t>Q9UN86-2</t>
  </si>
  <si>
    <t>Q9UNE7</t>
  </si>
  <si>
    <t>Q9UNF0-2</t>
  </si>
  <si>
    <t>Q9UNF1</t>
  </si>
  <si>
    <t>Q9UNH7</t>
  </si>
  <si>
    <t>Q9UNI6</t>
  </si>
  <si>
    <t>Q9UNK0</t>
  </si>
  <si>
    <t>Q9UNM6</t>
  </si>
  <si>
    <t>Q9UNN5</t>
  </si>
  <si>
    <t>Q9UNN8</t>
  </si>
  <si>
    <t>Q9UNP9</t>
  </si>
  <si>
    <t>Q9UNQ2</t>
  </si>
  <si>
    <t>Q9UNS1-2</t>
  </si>
  <si>
    <t>Q9UNS2</t>
  </si>
  <si>
    <t>Q9UNW1</t>
  </si>
  <si>
    <t>Q9UNX4</t>
  </si>
  <si>
    <t>Q9UNY4</t>
  </si>
  <si>
    <t>Q9UNZ2</t>
  </si>
  <si>
    <t>Q9UNZ5</t>
  </si>
  <si>
    <t>Q9UP52-3</t>
  </si>
  <si>
    <t>Q9UP83</t>
  </si>
  <si>
    <t>Q9UP95-3</t>
  </si>
  <si>
    <t>Q9UPM8-2</t>
  </si>
  <si>
    <t>Q9UPN3</t>
  </si>
  <si>
    <t>Q9UPN4-2</t>
  </si>
  <si>
    <t>Q9UPN6</t>
  </si>
  <si>
    <t>Q9UPN7</t>
  </si>
  <si>
    <t>Q9UPN9-2</t>
  </si>
  <si>
    <t>Q9UPR3</t>
  </si>
  <si>
    <t>Q9UPT5-2</t>
  </si>
  <si>
    <t>Q9UPT9-2</t>
  </si>
  <si>
    <t>Q9UPU5</t>
  </si>
  <si>
    <t>Q9UPY8</t>
  </si>
  <si>
    <t>Q9UPY8-2</t>
  </si>
  <si>
    <t>Q9UPZ3-2</t>
  </si>
  <si>
    <t>Q9UQ13-2</t>
  </si>
  <si>
    <t>Q9UQ35</t>
  </si>
  <si>
    <t>Q9UQ53-2</t>
  </si>
  <si>
    <t>Q9UQ80</t>
  </si>
  <si>
    <t>Q9UQ84-4</t>
  </si>
  <si>
    <t>Q9UQ90</t>
  </si>
  <si>
    <t>Q9UQB8-3</t>
  </si>
  <si>
    <t>Q9UQC2-2</t>
  </si>
  <si>
    <t>Q9UQE7</t>
  </si>
  <si>
    <t>Q9UQL0</t>
  </si>
  <si>
    <t>Q9UQQ2</t>
  </si>
  <si>
    <t>Q9UQR0</t>
  </si>
  <si>
    <t>Q9Y217</t>
  </si>
  <si>
    <t>Q9Y219</t>
  </si>
  <si>
    <t>Q9Y223</t>
  </si>
  <si>
    <t>Q9Y224</t>
  </si>
  <si>
    <t>Q9Y225</t>
  </si>
  <si>
    <t>Q9Y230</t>
  </si>
  <si>
    <t>Q9Y232-2</t>
  </si>
  <si>
    <t>Q9Y237</t>
  </si>
  <si>
    <t>Q9Y241</t>
  </si>
  <si>
    <t>Q9Y244</t>
  </si>
  <si>
    <t>Q9Y248</t>
  </si>
  <si>
    <t>Q9Y250-5</t>
  </si>
  <si>
    <t>Q9Y263</t>
  </si>
  <si>
    <t>Q9Y265</t>
  </si>
  <si>
    <t>Q9Y266</t>
  </si>
  <si>
    <t>Q9Y276</t>
  </si>
  <si>
    <t>Q9Y277</t>
  </si>
  <si>
    <t>Q9Y281</t>
  </si>
  <si>
    <t>Q9Y289</t>
  </si>
  <si>
    <t>Q9Y294</t>
  </si>
  <si>
    <t>Q9Y295</t>
  </si>
  <si>
    <t>Q9Y2A7</t>
  </si>
  <si>
    <t>Q9Y2B0</t>
  </si>
  <si>
    <t>Q9Y2D8-2</t>
  </si>
  <si>
    <t>Q9Y2G2-4</t>
  </si>
  <si>
    <t>Q9Y2G3</t>
  </si>
  <si>
    <t>Q9Y2G5</t>
  </si>
  <si>
    <t>Q9Y2H0-3</t>
  </si>
  <si>
    <t>Q9Y2H1</t>
  </si>
  <si>
    <t>Q9Y2I1</t>
  </si>
  <si>
    <t>Q9Y2I7</t>
  </si>
  <si>
    <t>Q9Y2I8</t>
  </si>
  <si>
    <t>Q9Y2K6</t>
  </si>
  <si>
    <t>Q9Y2K7</t>
  </si>
  <si>
    <t>Q9Y2L1</t>
  </si>
  <si>
    <t>Q9Y2P8</t>
  </si>
  <si>
    <t>Q9Y2Q3</t>
  </si>
  <si>
    <t>Q9Y2Q5</t>
  </si>
  <si>
    <t>Q9Y2Q9</t>
  </si>
  <si>
    <t>Q9Y2R0</t>
  </si>
  <si>
    <t>Q9Y2S0</t>
  </si>
  <si>
    <t>Q9Y2S6</t>
  </si>
  <si>
    <t>Q9Y2S7</t>
  </si>
  <si>
    <t>Q9Y2T2</t>
  </si>
  <si>
    <t>Q9Y2U5</t>
  </si>
  <si>
    <t>Q9Y2U8</t>
  </si>
  <si>
    <t>Q9Y2V2</t>
  </si>
  <si>
    <t>Q9Y2V7-2</t>
  </si>
  <si>
    <t>Q9Y2W1</t>
  </si>
  <si>
    <t>Q9Y2X3</t>
  </si>
  <si>
    <t>Q9Y2Y1</t>
  </si>
  <si>
    <t>Q9Y2Z0-2</t>
  </si>
  <si>
    <t>Q9Y2Z2-5</t>
  </si>
  <si>
    <t>Q9Y2Z4</t>
  </si>
  <si>
    <t>Q9Y2Z9-3</t>
  </si>
  <si>
    <t>Q9Y303</t>
  </si>
  <si>
    <t>Q9Y303-2</t>
  </si>
  <si>
    <t>Q9Y305</t>
  </si>
  <si>
    <t>Q9Y314</t>
  </si>
  <si>
    <t>Q9Y316</t>
  </si>
  <si>
    <t>Q9Y320-2</t>
  </si>
  <si>
    <t>Q9Y333</t>
  </si>
  <si>
    <t>Q9Y371</t>
  </si>
  <si>
    <t>Q9Y375</t>
  </si>
  <si>
    <t>Q9Y376</t>
  </si>
  <si>
    <t>Q9Y383</t>
  </si>
  <si>
    <t>Q9Y385</t>
  </si>
  <si>
    <t>Q9Y388</t>
  </si>
  <si>
    <t>Q9Y394-2</t>
  </si>
  <si>
    <t>Q9Y399</t>
  </si>
  <si>
    <t>Q9Y3A3</t>
  </si>
  <si>
    <t>Q9Y3A5</t>
  </si>
  <si>
    <t>Q9Y3A6</t>
  </si>
  <si>
    <t>Q9Y3B3</t>
  </si>
  <si>
    <t>Q9Y3B4</t>
  </si>
  <si>
    <t>Q9Y3B7</t>
  </si>
  <si>
    <t>Q9Y3B9</t>
  </si>
  <si>
    <t>Q9Y3C1</t>
  </si>
  <si>
    <t>Q9Y3C4-2</t>
  </si>
  <si>
    <t>Q9Y3C5</t>
  </si>
  <si>
    <t>Q9Y3C6</t>
  </si>
  <si>
    <t>Q9Y3C8</t>
  </si>
  <si>
    <t>Q9Y3D0</t>
  </si>
  <si>
    <t>Q9Y3D2</t>
  </si>
  <si>
    <t>Q9Y3D6</t>
  </si>
  <si>
    <t>Q9Y3D8-2</t>
  </si>
  <si>
    <t>Q9Y3D9</t>
  </si>
  <si>
    <t>Q9Y3E1</t>
  </si>
  <si>
    <t>Q9Y3E7-4</t>
  </si>
  <si>
    <t>Q9Y3F4</t>
  </si>
  <si>
    <t>Q9Y3I0</t>
  </si>
  <si>
    <t>Q9Y3I1</t>
  </si>
  <si>
    <t>Q9Y3L3</t>
  </si>
  <si>
    <t>Q9Y3L5</t>
  </si>
  <si>
    <t>Q9Y3P9</t>
  </si>
  <si>
    <t>Q9Y3Q3</t>
  </si>
  <si>
    <t>Q9Y3Q8</t>
  </si>
  <si>
    <t>Q9Y3S2</t>
  </si>
  <si>
    <t>Q9Y3T6</t>
  </si>
  <si>
    <t>Q9Y3T9</t>
  </si>
  <si>
    <t>Q9Y3X0</t>
  </si>
  <si>
    <t>Q9Y3Y2-4</t>
  </si>
  <si>
    <t>Q9Y3Z3</t>
  </si>
  <si>
    <t>Q9Y426-2</t>
  </si>
  <si>
    <t>Q9Y446</t>
  </si>
  <si>
    <t>Q9Y448</t>
  </si>
  <si>
    <t>Q9Y450-4</t>
  </si>
  <si>
    <t>Q9Y478</t>
  </si>
  <si>
    <t>Q9Y487</t>
  </si>
  <si>
    <t>Q9Y490</t>
  </si>
  <si>
    <t>Q9Y4B6-3</t>
  </si>
  <si>
    <t>Q9Y4C2-2</t>
  </si>
  <si>
    <t>Q9Y4E8</t>
  </si>
  <si>
    <t>Q9Y4G8</t>
  </si>
  <si>
    <t>Q9Y4K3</t>
  </si>
  <si>
    <t>Q9Y4K4</t>
  </si>
  <si>
    <t>Q9Y4P1-6</t>
  </si>
  <si>
    <t>Q9Y4R8</t>
  </si>
  <si>
    <t>Q9Y4W2-2</t>
  </si>
  <si>
    <t>Q9Y4W6</t>
  </si>
  <si>
    <t>Q9Y4X0</t>
  </si>
  <si>
    <t>Q9Y4X5</t>
  </si>
  <si>
    <t>Q9Y4Z0</t>
  </si>
  <si>
    <t>Q9Y508</t>
  </si>
  <si>
    <t>Q9Y512</t>
  </si>
  <si>
    <t>Q9Y546</t>
  </si>
  <si>
    <t>Q9Y570</t>
  </si>
  <si>
    <t>Q9Y584</t>
  </si>
  <si>
    <t>Q9Y597-2</t>
  </si>
  <si>
    <t>Q9Y5A9</t>
  </si>
  <si>
    <t>Q9Y5B0</t>
  </si>
  <si>
    <t>Q9Y5B6</t>
  </si>
  <si>
    <t>Q9Y5B8-2</t>
  </si>
  <si>
    <t>Q9Y5B9</t>
  </si>
  <si>
    <t>Q9Y5J1</t>
  </si>
  <si>
    <t>Q9Y5J6</t>
  </si>
  <si>
    <t>Q9Y5J7</t>
  </si>
  <si>
    <t>Q9Y5K5-2</t>
  </si>
  <si>
    <t>Q9Y5K6</t>
  </si>
  <si>
    <t>Q9Y5K8</t>
  </si>
  <si>
    <t>Q9Y5L0</t>
  </si>
  <si>
    <t>Q9Y5L4</t>
  </si>
  <si>
    <t>Q9Y5M8</t>
  </si>
  <si>
    <t>Q9Y5N5</t>
  </si>
  <si>
    <t>Q9Y5N6</t>
  </si>
  <si>
    <t>Q9Y5P4-2</t>
  </si>
  <si>
    <t>Q9Y5P6</t>
  </si>
  <si>
    <t>Q9Y5Q8</t>
  </si>
  <si>
    <t>Q9Y5Q9</t>
  </si>
  <si>
    <t>Q9Y5R8</t>
  </si>
  <si>
    <t>Q9Y5S1</t>
  </si>
  <si>
    <t>Q9Y5S2</t>
  </si>
  <si>
    <t>Q9Y5S9</t>
  </si>
  <si>
    <t>Q9Y5T4</t>
  </si>
  <si>
    <t>Q9Y5T5-2</t>
  </si>
  <si>
    <t>Q9Y5U2-2</t>
  </si>
  <si>
    <t>Q9Y5U9</t>
  </si>
  <si>
    <t>Q9Y5V0</t>
  </si>
  <si>
    <t>Q9Y5X1</t>
  </si>
  <si>
    <t>Q9Y5X2</t>
  </si>
  <si>
    <t>Q9Y5X3</t>
  </si>
  <si>
    <t>Q9Y5Y0</t>
  </si>
  <si>
    <t>Q9Y5Y2</t>
  </si>
  <si>
    <t>Q9Y5Z4</t>
  </si>
  <si>
    <t>Q9Y605</t>
  </si>
  <si>
    <t>Q9Y608</t>
  </si>
  <si>
    <t>Q9Y608-4</t>
  </si>
  <si>
    <t>Q9Y613</t>
  </si>
  <si>
    <t>Q9Y617</t>
  </si>
  <si>
    <t>Q9Y619</t>
  </si>
  <si>
    <t>Q9Y620</t>
  </si>
  <si>
    <t>Q9Y639-1</t>
  </si>
  <si>
    <t>Q9Y646</t>
  </si>
  <si>
    <t>Q9Y657</t>
  </si>
  <si>
    <t>Q9Y673</t>
  </si>
  <si>
    <t>Q9Y676</t>
  </si>
  <si>
    <t>Q9Y678</t>
  </si>
  <si>
    <t>Q9Y679-2</t>
  </si>
  <si>
    <t>Q9Y680-3</t>
  </si>
  <si>
    <t>Q9Y689-2</t>
  </si>
  <si>
    <t>Q9Y692-2</t>
  </si>
  <si>
    <t>Q9Y696</t>
  </si>
  <si>
    <t>Q9Y697-2</t>
  </si>
  <si>
    <t>Q9Y6A4</t>
  </si>
  <si>
    <t>Q9Y6A5</t>
  </si>
  <si>
    <t>Q9Y6B6</t>
  </si>
  <si>
    <t>Q9Y6B7</t>
  </si>
  <si>
    <t>Q9Y6C9</t>
  </si>
  <si>
    <t>Q9Y6D5</t>
  </si>
  <si>
    <t>Q9Y6D6</t>
  </si>
  <si>
    <t>Q9Y6D9</t>
  </si>
  <si>
    <t>Q9Y6G9</t>
  </si>
  <si>
    <t>Q9Y6H1</t>
  </si>
  <si>
    <t>Q9Y6H3</t>
  </si>
  <si>
    <t>Q9Y6I3-3</t>
  </si>
  <si>
    <t>Q9Y6I9</t>
  </si>
  <si>
    <t>Q9Y6J9</t>
  </si>
  <si>
    <t>Q9Y6K0</t>
  </si>
  <si>
    <t>Q9Y6K9</t>
  </si>
  <si>
    <t>Q9Y6M0-2</t>
  </si>
  <si>
    <t>Q9Y6M4-3</t>
  </si>
  <si>
    <t>Q9Y6M5</t>
  </si>
  <si>
    <t>Q9Y6P5-3</t>
  </si>
  <si>
    <t>Q9Y6Q9-2</t>
  </si>
  <si>
    <t>Q9Y6R0</t>
  </si>
  <si>
    <t>Q9Y6V7</t>
  </si>
  <si>
    <t>Q9Y6W3</t>
  </si>
  <si>
    <t>Q9Y6W5</t>
  </si>
  <si>
    <t>Q9Y6X9</t>
  </si>
  <si>
    <t>Q9Y6Y0</t>
  </si>
  <si>
    <t>R4GMN1</t>
  </si>
  <si>
    <t>R4GMR5</t>
  </si>
  <si>
    <t>R4GMX3</t>
  </si>
  <si>
    <t>R4GMX8</t>
  </si>
  <si>
    <t>R4GN33</t>
  </si>
  <si>
    <t>R4GN55</t>
  </si>
  <si>
    <t>R4GN98</t>
  </si>
  <si>
    <t>R4GNB1</t>
  </si>
  <si>
    <t>R4GNB2</t>
  </si>
  <si>
    <t>R4GND1</t>
  </si>
  <si>
    <t>R4GNF5</t>
  </si>
  <si>
    <t>R4GNH2</t>
  </si>
  <si>
    <t>R4GNH3</t>
  </si>
  <si>
    <t>R4GNJ5</t>
  </si>
  <si>
    <t>norm_FC_TMT126_H.sapiens_K562_P018890</t>
  </si>
  <si>
    <t>norm_FC_TMT127L_H.sapiens_K562_P018890</t>
  </si>
  <si>
    <t>norm_FC_TMT127H_H.sapiens_K562_P018890</t>
  </si>
  <si>
    <t>norm_FC_TMT128L_H.sapiens_K562_P018890</t>
  </si>
  <si>
    <t>norm_FC_TMT128H_H.sapiens_K562_P018890</t>
  </si>
  <si>
    <t>norm_FC_TMT129L_H.sapiens_K562_P018890</t>
  </si>
  <si>
    <t>norm_FC_TMT129H_H.sapiens_K562_P018890</t>
  </si>
  <si>
    <t>norm_FC_TMT130L_H.sapiens_K562_P018890</t>
  </si>
  <si>
    <t>norm_FC_TMT130H_H.sapiens_K562_P018890</t>
  </si>
  <si>
    <t>norm_FC_TMT131L_H.sapiens_K562_P018890</t>
  </si>
  <si>
    <t>a_H.sapiens_K562_P018890</t>
  </si>
  <si>
    <t>b_H.sapiens_K562_P018890</t>
  </si>
  <si>
    <t>meltPoint_H.sapiens_K562_P018890</t>
  </si>
  <si>
    <t>inflPoint_H.sapiens_K562_P018890</t>
  </si>
  <si>
    <t>slope_H.sapiens_K562_P018890</t>
  </si>
  <si>
    <t>plateau_H.sapiens_K562_P018890</t>
  </si>
  <si>
    <t>R_sq_H.sapiens_K562_P018890</t>
  </si>
  <si>
    <t>protein_identified_in_H.sapiens_K562_P018890</t>
  </si>
  <si>
    <t>model_converged_H.sapiens_K562_P018890</t>
  </si>
  <si>
    <t>sufficient_data_for_fit_H.sapiens_K562_P018890</t>
  </si>
  <si>
    <t>Proteinname_H.sapiens_K562_P018890</t>
  </si>
  <si>
    <t>numSpec_H.sapiens_K562_P018890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</si>
</sst>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99"/>
  <sheetViews>
    <sheetView tabSelected="1" workbookViewId="0">
      <selection activeCell="K4" sqref="K4"/>
    </sheetView>
  </sheetViews>
  <sheetFormatPr defaultRowHeight="15" x14ac:dyDescent="0.25"/>
  <sheetData>
    <row r="1" spans="1:28" s="2" customFormat="1" ht="75" x14ac:dyDescent="0.25">
      <c r="A1" s="1" t="s">
        <v>0</v>
      </c>
      <c r="B1" s="1" t="s">
        <v>31718</v>
      </c>
      <c r="C1" s="1" t="s">
        <v>31719</v>
      </c>
      <c r="D1" s="1" t="s">
        <v>31720</v>
      </c>
      <c r="E1" s="1" t="s">
        <v>31721</v>
      </c>
      <c r="F1" s="1" t="s">
        <v>31722</v>
      </c>
      <c r="G1" s="1" t="s">
        <v>31723</v>
      </c>
      <c r="H1" s="1" t="s">
        <v>31724</v>
      </c>
      <c r="I1" s="1" t="s">
        <v>31725</v>
      </c>
      <c r="J1" s="1" t="s">
        <v>31726</v>
      </c>
      <c r="K1" s="1" t="s">
        <v>31727</v>
      </c>
      <c r="L1" s="1" t="s">
        <v>31728</v>
      </c>
      <c r="M1" s="1" t="s">
        <v>31729</v>
      </c>
      <c r="N1" s="1" t="s">
        <v>31730</v>
      </c>
      <c r="O1" s="1" t="s">
        <v>31731</v>
      </c>
      <c r="P1" s="1" t="s">
        <v>31732</v>
      </c>
      <c r="Q1" s="1" t="s">
        <v>31733</v>
      </c>
      <c r="R1" s="1" t="s">
        <v>31734</v>
      </c>
      <c r="S1" s="1" t="s">
        <v>1</v>
      </c>
      <c r="T1" s="1" t="s">
        <v>31735</v>
      </c>
      <c r="U1" s="1" t="s">
        <v>31736</v>
      </c>
      <c r="V1" s="1" t="s">
        <v>31737</v>
      </c>
      <c r="W1" s="1" t="s">
        <v>31738</v>
      </c>
      <c r="X1" s="1" t="s">
        <v>31739</v>
      </c>
      <c r="Y1" s="1" t="s">
        <v>2</v>
      </c>
      <c r="Z1" s="1" t="s">
        <v>3</v>
      </c>
      <c r="AA1" s="1" t="s">
        <v>4</v>
      </c>
      <c r="AB1" s="1" t="s">
        <v>5</v>
      </c>
    </row>
    <row r="2" spans="1:28" x14ac:dyDescent="0.25">
      <c r="A2" t="s">
        <v>6</v>
      </c>
      <c r="B2">
        <v>0.99542014353169495</v>
      </c>
      <c r="C2">
        <v>0.98846828282035504</v>
      </c>
      <c r="D2">
        <v>0.98681412594527895</v>
      </c>
      <c r="E2">
        <v>0.73689594351550802</v>
      </c>
      <c r="F2">
        <v>0.21944653791173499</v>
      </c>
      <c r="G2">
        <v>0.105400109983579</v>
      </c>
      <c r="H2">
        <v>6.8450941120681105E-2</v>
      </c>
      <c r="I2">
        <v>4.8160114965451702E-2</v>
      </c>
      <c r="J2">
        <v>5.3635492657377999E-2</v>
      </c>
      <c r="K2">
        <v>4.9378943583315502E-2</v>
      </c>
      <c r="L2">
        <v>1605.0531402091799</v>
      </c>
      <c r="M2">
        <v>33.5020597361478</v>
      </c>
      <c r="N2">
        <v>48.086956414234002</v>
      </c>
      <c r="O2">
        <v>47.7393557960146</v>
      </c>
      <c r="P2">
        <v>-0.16521935888021599</v>
      </c>
      <c r="Q2">
        <v>5.8274899214581802E-2</v>
      </c>
      <c r="R2">
        <v>0.99940162910922803</v>
      </c>
      <c r="S2" t="s">
        <v>6404</v>
      </c>
      <c r="T2" t="s">
        <v>12802</v>
      </c>
      <c r="U2" t="s">
        <v>12802</v>
      </c>
      <c r="V2" t="s">
        <v>12802</v>
      </c>
      <c r="W2" t="s">
        <v>12804</v>
      </c>
      <c r="X2">
        <v>35</v>
      </c>
      <c r="Y2" t="s">
        <v>19127</v>
      </c>
      <c r="Z2" t="s">
        <v>25320</v>
      </c>
      <c r="AA2">
        <v>0.40517875485278798</v>
      </c>
      <c r="AB2" t="str">
        <f>HYPERLINK("Melting_Curves/meltCurve_A0AVT1_UBA6.pdf", "Melting_Curves/meltCurve_A0AVT1_UBA6.pdf")</f>
        <v>Melting_Curves/meltCurve_A0AVT1_UBA6.pdf</v>
      </c>
    </row>
    <row r="3" spans="1:28" x14ac:dyDescent="0.25">
      <c r="A3" t="s">
        <v>7</v>
      </c>
      <c r="B3">
        <v>0.99542014353169495</v>
      </c>
      <c r="C3">
        <v>0.88792667503638401</v>
      </c>
      <c r="D3">
        <v>0.967531072437814</v>
      </c>
      <c r="E3">
        <v>0.57159399284596302</v>
      </c>
      <c r="F3">
        <v>0.37190204005788802</v>
      </c>
      <c r="G3">
        <v>0.18258591369702301</v>
      </c>
      <c r="H3">
        <v>4.6136771587998102E-2</v>
      </c>
      <c r="I3">
        <v>0</v>
      </c>
      <c r="J3">
        <v>6.2525486973091099E-2</v>
      </c>
      <c r="K3">
        <v>0</v>
      </c>
      <c r="L3">
        <v>770.94438431521405</v>
      </c>
      <c r="M3">
        <v>15.9929685277632</v>
      </c>
      <c r="N3">
        <v>48.205208741683101</v>
      </c>
      <c r="O3">
        <v>47.470417703161203</v>
      </c>
      <c r="P3">
        <v>-8.4232591312805305E-2</v>
      </c>
      <c r="Q3">
        <v>0</v>
      </c>
      <c r="R3">
        <v>0.98467865569233304</v>
      </c>
      <c r="S3" t="s">
        <v>6405</v>
      </c>
      <c r="T3" t="s">
        <v>12802</v>
      </c>
      <c r="U3" t="s">
        <v>12802</v>
      </c>
      <c r="V3" t="s">
        <v>12802</v>
      </c>
      <c r="W3" t="s">
        <v>12805</v>
      </c>
      <c r="X3">
        <v>24</v>
      </c>
      <c r="Y3" t="s">
        <v>19128</v>
      </c>
      <c r="Z3" t="s">
        <v>25321</v>
      </c>
      <c r="AA3">
        <v>0.39318157963973821</v>
      </c>
      <c r="AB3" t="str">
        <f>HYPERLINK("Melting_Curves/meltCurve_A0FGR8_2_ESYT2.pdf", "Melting_Curves/meltCurve_A0FGR8_2_ESYT2.pdf")</f>
        <v>Melting_Curves/meltCurve_A0FGR8_2_ESYT2.pdf</v>
      </c>
    </row>
    <row r="4" spans="1:28" x14ac:dyDescent="0.25">
      <c r="A4" t="s">
        <v>8</v>
      </c>
      <c r="B4">
        <v>0.99542014353169495</v>
      </c>
      <c r="C4">
        <v>0.89571394816947703</v>
      </c>
      <c r="D4">
        <v>0.90927712324377197</v>
      </c>
      <c r="E4">
        <v>0.77182399333071705</v>
      </c>
      <c r="F4">
        <v>0.63196679222351004</v>
      </c>
      <c r="G4">
        <v>0.28766866369933097</v>
      </c>
      <c r="H4">
        <v>7.4465250443573106E-2</v>
      </c>
      <c r="I4">
        <v>4.8293792810012899E-2</v>
      </c>
      <c r="J4">
        <v>3.8448453272794197E-2</v>
      </c>
      <c r="K4">
        <v>2.5054246455090901E-2</v>
      </c>
      <c r="L4">
        <v>825.37703390352897</v>
      </c>
      <c r="M4">
        <v>16.219931018815601</v>
      </c>
      <c r="N4">
        <v>50.886594038325903</v>
      </c>
      <c r="O4">
        <v>50.131952517086503</v>
      </c>
      <c r="P4">
        <v>-8.0892198562211595E-2</v>
      </c>
      <c r="Q4">
        <v>0</v>
      </c>
      <c r="R4">
        <v>0.98518081037406202</v>
      </c>
      <c r="S4" t="s">
        <v>6406</v>
      </c>
      <c r="T4" t="s">
        <v>12802</v>
      </c>
      <c r="U4" t="s">
        <v>12802</v>
      </c>
      <c r="V4" t="s">
        <v>12802</v>
      </c>
      <c r="W4" t="s">
        <v>12806</v>
      </c>
      <c r="X4">
        <v>4</v>
      </c>
      <c r="Y4" t="s">
        <v>19129</v>
      </c>
      <c r="Z4" t="s">
        <v>25322</v>
      </c>
      <c r="AA4">
        <v>0.48104905259429209</v>
      </c>
      <c r="AB4" t="str">
        <f>HYPERLINK("Melting_Curves/meltCurve_A0JNW5_UHRF1BP1L.pdf", "Melting_Curves/meltCurve_A0JNW5_UHRF1BP1L.pdf")</f>
        <v>Melting_Curves/meltCurve_A0JNW5_UHRF1BP1L.pdf</v>
      </c>
    </row>
    <row r="5" spans="1:28" x14ac:dyDescent="0.25">
      <c r="A5" t="s">
        <v>9</v>
      </c>
      <c r="B5">
        <v>0.99542014353169495</v>
      </c>
      <c r="C5">
        <v>1.0301654998402401</v>
      </c>
      <c r="D5">
        <v>1.05397385704298</v>
      </c>
      <c r="E5">
        <v>0.68159401723880797</v>
      </c>
      <c r="F5">
        <v>0.23718448546228199</v>
      </c>
      <c r="G5">
        <v>0.117587166147964</v>
      </c>
      <c r="H5">
        <v>7.5656210256660097E-2</v>
      </c>
      <c r="I5">
        <v>4.9133945328706297E-2</v>
      </c>
      <c r="J5">
        <v>7.8537657131518501E-2</v>
      </c>
      <c r="K5">
        <v>4.6137469875936803E-2</v>
      </c>
      <c r="L5">
        <v>1531.04458213926</v>
      </c>
      <c r="M5">
        <v>32.096490411580803</v>
      </c>
      <c r="N5">
        <v>47.921473484416197</v>
      </c>
      <c r="O5">
        <v>47.5172850452049</v>
      </c>
      <c r="P5">
        <v>-0.15729270614125099</v>
      </c>
      <c r="Q5">
        <v>6.8548021377081506E-2</v>
      </c>
      <c r="R5">
        <v>0.99455068180626105</v>
      </c>
      <c r="S5" t="s">
        <v>6407</v>
      </c>
      <c r="T5" t="s">
        <v>12802</v>
      </c>
      <c r="U5" t="s">
        <v>12802</v>
      </c>
      <c r="V5" t="s">
        <v>12802</v>
      </c>
      <c r="W5" t="s">
        <v>12807</v>
      </c>
      <c r="X5">
        <v>25</v>
      </c>
      <c r="Y5" t="s">
        <v>19130</v>
      </c>
      <c r="Z5" t="s">
        <v>25323</v>
      </c>
      <c r="AA5">
        <v>0.40559445992155868</v>
      </c>
      <c r="AB5" t="str">
        <f>HYPERLINK("Melting_Curves/meltCurve_A0MZ66_KIAA1598.pdf", "Melting_Curves/meltCurve_A0MZ66_KIAA1598.pdf")</f>
        <v>Melting_Curves/meltCurve_A0MZ66_KIAA1598.pdf</v>
      </c>
    </row>
    <row r="6" spans="1:28" x14ac:dyDescent="0.25">
      <c r="A6" t="s">
        <v>10</v>
      </c>
      <c r="B6">
        <v>0.99542014353169495</v>
      </c>
      <c r="C6">
        <v>0.99162687191437404</v>
      </c>
      <c r="D6">
        <v>0.86457808000119996</v>
      </c>
      <c r="E6">
        <v>0.77234347407134596</v>
      </c>
      <c r="F6">
        <v>0.64890979818429495</v>
      </c>
      <c r="G6">
        <v>0.32402007035347102</v>
      </c>
      <c r="H6">
        <v>0.136248873636413</v>
      </c>
      <c r="I6">
        <v>7.7418947475557207E-2</v>
      </c>
      <c r="J6">
        <v>8.3831130060353504E-2</v>
      </c>
      <c r="K6">
        <v>6.6412390886003994E-2</v>
      </c>
      <c r="L6">
        <v>713.48711466994303</v>
      </c>
      <c r="M6">
        <v>13.9346055604033</v>
      </c>
      <c r="N6">
        <v>51.231579058608098</v>
      </c>
      <c r="O6">
        <v>50.182593805555101</v>
      </c>
      <c r="P6">
        <v>-6.9155710761317199E-2</v>
      </c>
      <c r="Q6">
        <v>3.9344122135019097E-3</v>
      </c>
      <c r="R6">
        <v>0.98855707613690702</v>
      </c>
      <c r="S6" t="s">
        <v>6408</v>
      </c>
      <c r="T6" t="s">
        <v>12802</v>
      </c>
      <c r="U6" t="s">
        <v>12802</v>
      </c>
      <c r="V6" t="s">
        <v>12802</v>
      </c>
      <c r="W6" t="s">
        <v>12808</v>
      </c>
      <c r="X6">
        <v>2</v>
      </c>
      <c r="Y6" t="s">
        <v>19131</v>
      </c>
      <c r="Z6" t="s">
        <v>25324</v>
      </c>
      <c r="AA6">
        <v>0.49724080665793369</v>
      </c>
      <c r="AB6" t="str">
        <f>HYPERLINK("Melting_Curves/meltCurve_A0PJW6_TMEM223.pdf", "Melting_Curves/meltCurve_A0PJW6_TMEM223.pdf")</f>
        <v>Melting_Curves/meltCurve_A0PJW6_TMEM223.pdf</v>
      </c>
    </row>
    <row r="7" spans="1:28" x14ac:dyDescent="0.25">
      <c r="A7" t="s">
        <v>11</v>
      </c>
      <c r="B7">
        <v>0.99542014353169495</v>
      </c>
      <c r="C7">
        <v>0.91608799074906999</v>
      </c>
      <c r="D7">
        <v>0.96780290059950302</v>
      </c>
      <c r="E7">
        <v>0.76789691670004001</v>
      </c>
      <c r="F7">
        <v>0.55998346207183702</v>
      </c>
      <c r="G7">
        <v>0.36090347809654</v>
      </c>
      <c r="H7">
        <v>0.15146299661819901</v>
      </c>
      <c r="I7">
        <v>9.3846498207117393E-2</v>
      </c>
      <c r="J7">
        <v>0.111680352950793</v>
      </c>
      <c r="K7">
        <v>7.9426811823027396E-2</v>
      </c>
      <c r="L7">
        <v>732.22854899590095</v>
      </c>
      <c r="M7">
        <v>14.4500118627974</v>
      </c>
      <c r="N7">
        <v>50.9801792670916</v>
      </c>
      <c r="O7">
        <v>49.732372535466901</v>
      </c>
      <c r="P7">
        <v>-6.9620640509884202E-2</v>
      </c>
      <c r="Q7">
        <v>4.1663114556102901E-2</v>
      </c>
      <c r="R7">
        <v>0.99276706082351995</v>
      </c>
      <c r="S7" t="s">
        <v>6409</v>
      </c>
      <c r="T7" t="s">
        <v>12802</v>
      </c>
      <c r="U7" t="s">
        <v>12802</v>
      </c>
      <c r="V7" t="s">
        <v>12802</v>
      </c>
      <c r="W7" t="s">
        <v>12809</v>
      </c>
      <c r="X7">
        <v>1</v>
      </c>
      <c r="Y7" t="s">
        <v>19132</v>
      </c>
      <c r="Z7" t="s">
        <v>25325</v>
      </c>
      <c r="AA7">
        <v>0.49900031580399712</v>
      </c>
      <c r="AB7" t="str">
        <f>HYPERLINK("Melting_Curves/meltCurve_A1A5A9_KIAA0999.pdf", "Melting_Curves/meltCurve_A1A5A9_KIAA0999.pdf")</f>
        <v>Melting_Curves/meltCurve_A1A5A9_KIAA0999.pdf</v>
      </c>
    </row>
    <row r="8" spans="1:28" x14ac:dyDescent="0.25">
      <c r="A8" t="s">
        <v>12</v>
      </c>
      <c r="B8">
        <v>0.99542014353169495</v>
      </c>
      <c r="C8">
        <v>0.98675860305335195</v>
      </c>
      <c r="D8">
        <v>0.93694516910608705</v>
      </c>
      <c r="E8">
        <v>0.82432380366420899</v>
      </c>
      <c r="F8">
        <v>0.57194932944266297</v>
      </c>
      <c r="G8">
        <v>0.350777793889818</v>
      </c>
      <c r="H8">
        <v>0.194758713209776</v>
      </c>
      <c r="I8">
        <v>0.108273344027865</v>
      </c>
      <c r="J8">
        <v>0.19721574048513699</v>
      </c>
      <c r="K8">
        <v>0.12719269381545101</v>
      </c>
      <c r="L8">
        <v>869.84688071011203</v>
      </c>
      <c r="M8">
        <v>17.2833126467435</v>
      </c>
      <c r="N8">
        <v>51.130041630094503</v>
      </c>
      <c r="O8">
        <v>49.669437145160302</v>
      </c>
      <c r="P8">
        <v>-7.6675240759367894E-2</v>
      </c>
      <c r="Q8">
        <v>0.118642225947503</v>
      </c>
      <c r="R8">
        <v>0.99461414984001895</v>
      </c>
      <c r="S8" t="s">
        <v>6410</v>
      </c>
      <c r="T8" t="s">
        <v>12802</v>
      </c>
      <c r="U8" t="s">
        <v>12802</v>
      </c>
      <c r="V8" t="s">
        <v>12802</v>
      </c>
      <c r="W8" t="s">
        <v>12810</v>
      </c>
      <c r="X8">
        <v>13</v>
      </c>
      <c r="Y8" t="s">
        <v>19133</v>
      </c>
      <c r="Z8" t="s">
        <v>25326</v>
      </c>
      <c r="AA8">
        <v>0.5249728295904118</v>
      </c>
      <c r="AB8" t="str">
        <f>HYPERLINK("Melting_Curves/meltCurve_A1L0T0_ILVBL.pdf", "Melting_Curves/meltCurve_A1L0T0_ILVBL.pdf")</f>
        <v>Melting_Curves/meltCurve_A1L0T0_ILVBL.pdf</v>
      </c>
    </row>
    <row r="9" spans="1:28" x14ac:dyDescent="0.25">
      <c r="A9" t="s">
        <v>13</v>
      </c>
      <c r="B9">
        <v>0.99542014353169495</v>
      </c>
      <c r="C9">
        <v>1.0018228339180399</v>
      </c>
      <c r="D9">
        <v>0.98535437307871498</v>
      </c>
      <c r="E9">
        <v>0.91903317847690302</v>
      </c>
      <c r="F9">
        <v>0.50641268981212095</v>
      </c>
      <c r="G9">
        <v>0.15802295513398301</v>
      </c>
      <c r="H9">
        <v>0.100284764809403</v>
      </c>
      <c r="I9">
        <v>6.6720077347610193E-2</v>
      </c>
      <c r="J9">
        <v>7.1824874173585906E-2</v>
      </c>
      <c r="K9">
        <v>8.1459740446148607E-2</v>
      </c>
      <c r="L9">
        <v>1603.5118927584101</v>
      </c>
      <c r="M9">
        <v>32.078502036771802</v>
      </c>
      <c r="N9">
        <v>50.240936158413298</v>
      </c>
      <c r="O9">
        <v>49.794060433031198</v>
      </c>
      <c r="P9">
        <v>-0.14900876570146099</v>
      </c>
      <c r="Q9">
        <v>7.4805365160428197E-2</v>
      </c>
      <c r="R9">
        <v>0.99975476451601097</v>
      </c>
      <c r="S9" t="s">
        <v>6411</v>
      </c>
      <c r="T9" t="s">
        <v>12802</v>
      </c>
      <c r="U9" t="s">
        <v>12802</v>
      </c>
      <c r="V9" t="s">
        <v>12802</v>
      </c>
      <c r="W9" t="s">
        <v>12811</v>
      </c>
      <c r="X9">
        <v>35</v>
      </c>
      <c r="Y9" t="s">
        <v>19134</v>
      </c>
      <c r="Z9" t="s">
        <v>25327</v>
      </c>
      <c r="AA9">
        <v>0.48029553430697308</v>
      </c>
      <c r="AB9" t="str">
        <f>HYPERLINK("Melting_Curves/meltCurve_A2A274_ACO2.pdf", "Melting_Curves/meltCurve_A2A274_ACO2.pdf")</f>
        <v>Melting_Curves/meltCurve_A2A274_ACO2.pdf</v>
      </c>
    </row>
    <row r="10" spans="1:28" x14ac:dyDescent="0.25">
      <c r="A10" t="s">
        <v>14</v>
      </c>
      <c r="B10">
        <v>0.99542014353169495</v>
      </c>
      <c r="C10">
        <v>0.90121677882543005</v>
      </c>
      <c r="D10">
        <v>0.99045426478847898</v>
      </c>
      <c r="E10">
        <v>0.54296260066166802</v>
      </c>
      <c r="F10">
        <v>0.142918451469874</v>
      </c>
      <c r="G10">
        <v>7.06043129009713E-2</v>
      </c>
      <c r="H10">
        <v>4.0736603861476803E-2</v>
      </c>
      <c r="I10">
        <v>1.6703860090219499E-2</v>
      </c>
      <c r="J10">
        <v>2.0960332573683401E-2</v>
      </c>
      <c r="K10">
        <v>2.2710141292070499E-2</v>
      </c>
      <c r="L10">
        <v>1507.8268144026299</v>
      </c>
      <c r="M10">
        <v>32.192218322512304</v>
      </c>
      <c r="N10">
        <v>46.9339401754101</v>
      </c>
      <c r="O10">
        <v>46.658610430066197</v>
      </c>
      <c r="P10">
        <v>-0.16700957538495301</v>
      </c>
      <c r="Q10">
        <v>3.17664713556286E-2</v>
      </c>
      <c r="R10">
        <v>0.99283953666010505</v>
      </c>
      <c r="S10" t="s">
        <v>6412</v>
      </c>
      <c r="T10" t="s">
        <v>12802</v>
      </c>
      <c r="U10" t="s">
        <v>12802</v>
      </c>
      <c r="V10" t="s">
        <v>12802</v>
      </c>
      <c r="W10" t="s">
        <v>12812</v>
      </c>
      <c r="X10">
        <v>3</v>
      </c>
      <c r="Y10" t="s">
        <v>19135</v>
      </c>
      <c r="Z10" t="s">
        <v>25328</v>
      </c>
      <c r="AA10">
        <v>0.35415387411998739</v>
      </c>
      <c r="AB10" t="str">
        <f>HYPERLINK("Melting_Curves/meltCurve_A2A2F0_RALGAPB.pdf", "Melting_Curves/meltCurve_A2A2F0_RALGAPB.pdf")</f>
        <v>Melting_Curves/meltCurve_A2A2F0_RALGAPB.pdf</v>
      </c>
    </row>
    <row r="11" spans="1:28" x14ac:dyDescent="0.25">
      <c r="A11" t="s">
        <v>15</v>
      </c>
      <c r="B11">
        <v>0.99542014353169495</v>
      </c>
      <c r="C11">
        <v>0.76899834193507299</v>
      </c>
      <c r="D11">
        <v>0.462199576743139</v>
      </c>
      <c r="E11">
        <v>0.24817626063940099</v>
      </c>
      <c r="F11">
        <v>0.10168162140885301</v>
      </c>
      <c r="G11">
        <v>7.98662603140569E-2</v>
      </c>
      <c r="H11">
        <v>2.4188305966397199E-2</v>
      </c>
      <c r="I11">
        <v>2.02641109563984E-2</v>
      </c>
      <c r="J11">
        <v>1.7033731711787299E-2</v>
      </c>
      <c r="K11">
        <v>2.0177602968434499E-2</v>
      </c>
      <c r="L11">
        <v>724.07240644169201</v>
      </c>
      <c r="M11">
        <v>16.921417706212502</v>
      </c>
      <c r="N11">
        <v>42.9141609438404</v>
      </c>
      <c r="O11">
        <v>42.206080194487797</v>
      </c>
      <c r="P11">
        <v>-9.7848125673026504E-2</v>
      </c>
      <c r="Q11">
        <v>2.3834525563341299E-2</v>
      </c>
      <c r="R11">
        <v>0.99424242480235203</v>
      </c>
      <c r="S11" t="s">
        <v>6413</v>
      </c>
      <c r="T11" t="s">
        <v>12802</v>
      </c>
      <c r="U11" t="s">
        <v>12802</v>
      </c>
      <c r="V11" t="s">
        <v>12802</v>
      </c>
      <c r="W11" t="s">
        <v>12813</v>
      </c>
      <c r="X11">
        <v>3</v>
      </c>
      <c r="Y11" t="s">
        <v>19136</v>
      </c>
      <c r="Z11" t="s">
        <v>25329</v>
      </c>
      <c r="AA11">
        <v>0.2323816168319662</v>
      </c>
      <c r="AB11" t="str">
        <f>HYPERLINK("Melting_Curves/meltCurve_A2A2Q9_AAR2.pdf", "Melting_Curves/meltCurve_A2A2Q9_AAR2.pdf")</f>
        <v>Melting_Curves/meltCurve_A2A2Q9_AAR2.pdf</v>
      </c>
    </row>
    <row r="12" spans="1:28" x14ac:dyDescent="0.25">
      <c r="A12" t="s">
        <v>16</v>
      </c>
      <c r="B12">
        <v>0.99542014353169495</v>
      </c>
      <c r="C12">
        <v>0.87139433926642296</v>
      </c>
      <c r="D12">
        <v>0.81805588574691401</v>
      </c>
      <c r="E12">
        <v>0.753532440722955</v>
      </c>
      <c r="F12">
        <v>0.62830582139275803</v>
      </c>
      <c r="G12">
        <v>0.462003957553213</v>
      </c>
      <c r="H12">
        <v>0.360541863777537</v>
      </c>
      <c r="I12">
        <v>0.28088965129953197</v>
      </c>
      <c r="J12">
        <v>0.30342782219905101</v>
      </c>
      <c r="K12">
        <v>0.45972348017173298</v>
      </c>
      <c r="L12">
        <v>511.395498255164</v>
      </c>
      <c r="M12">
        <v>10.5889879799551</v>
      </c>
      <c r="N12">
        <v>52.726455078180699</v>
      </c>
      <c r="O12">
        <v>46.6680577824485</v>
      </c>
      <c r="P12">
        <v>-4.0025872283332001E-2</v>
      </c>
      <c r="Q12">
        <v>0.29466338538234799</v>
      </c>
      <c r="R12">
        <v>0.93723061356637305</v>
      </c>
      <c r="S12" t="s">
        <v>6414</v>
      </c>
      <c r="T12" t="s">
        <v>12802</v>
      </c>
      <c r="U12" t="s">
        <v>12802</v>
      </c>
      <c r="V12" t="s">
        <v>12802</v>
      </c>
      <c r="W12" t="s">
        <v>12814</v>
      </c>
      <c r="X12">
        <v>1</v>
      </c>
      <c r="Y12" t="s">
        <v>19137</v>
      </c>
      <c r="Z12" t="s">
        <v>25330</v>
      </c>
      <c r="AA12">
        <v>0.58600384174613873</v>
      </c>
      <c r="AB12" t="str">
        <f>HYPERLINK("Melting_Curves/meltCurve_A2A2V1_PRNP.pdf", "Melting_Curves/meltCurve_A2A2V1_PRNP.pdf")</f>
        <v>Melting_Curves/meltCurve_A2A2V1_PRNP.pdf</v>
      </c>
    </row>
    <row r="13" spans="1:28" x14ac:dyDescent="0.25">
      <c r="A13" t="s">
        <v>17</v>
      </c>
      <c r="B13">
        <v>0.99542014353169495</v>
      </c>
      <c r="C13">
        <v>0.89888538152978303</v>
      </c>
      <c r="D13">
        <v>0.89351390513599005</v>
      </c>
      <c r="E13">
        <v>0.84796964252578799</v>
      </c>
      <c r="F13">
        <v>0.51647137834484202</v>
      </c>
      <c r="G13">
        <v>0.28640010925991299</v>
      </c>
      <c r="H13">
        <v>0.14183435846439901</v>
      </c>
      <c r="I13">
        <v>7.2343753808854896E-2</v>
      </c>
      <c r="J13">
        <v>6.7316329847667999E-2</v>
      </c>
      <c r="K13">
        <v>4.9327969795320302E-2</v>
      </c>
      <c r="L13">
        <v>809.39505343574695</v>
      </c>
      <c r="M13">
        <v>16.045239495665399</v>
      </c>
      <c r="N13">
        <v>50.6102155241514</v>
      </c>
      <c r="O13">
        <v>49.680510763453</v>
      </c>
      <c r="P13">
        <v>-7.8682820159070493E-2</v>
      </c>
      <c r="Q13">
        <v>2.5580255644725901E-2</v>
      </c>
      <c r="R13">
        <v>0.99059590633424799</v>
      </c>
      <c r="S13" t="s">
        <v>6415</v>
      </c>
      <c r="T13" t="s">
        <v>12802</v>
      </c>
      <c r="U13" t="s">
        <v>12802</v>
      </c>
      <c r="V13" t="s">
        <v>12802</v>
      </c>
      <c r="W13" t="s">
        <v>12815</v>
      </c>
      <c r="X13">
        <v>5</v>
      </c>
      <c r="Y13" t="s">
        <v>19138</v>
      </c>
      <c r="Z13" t="s">
        <v>25331</v>
      </c>
      <c r="AA13">
        <v>0.48048378494869148</v>
      </c>
      <c r="AB13" t="str">
        <f>HYPERLINK("Melting_Curves/meltCurve_A2A3N6_PIPSL.pdf", "Melting_Curves/meltCurve_A2A3N6_PIPSL.pdf")</f>
        <v>Melting_Curves/meltCurve_A2A3N6_PIPSL.pdf</v>
      </c>
    </row>
    <row r="14" spans="1:28" x14ac:dyDescent="0.25">
      <c r="A14" t="s">
        <v>18</v>
      </c>
      <c r="B14">
        <v>0.99542014353169495</v>
      </c>
      <c r="C14">
        <v>0.82358110438018794</v>
      </c>
      <c r="D14">
        <v>0.84003643116656401</v>
      </c>
      <c r="E14">
        <v>0.29990221099415199</v>
      </c>
      <c r="F14">
        <v>0.156650724475491</v>
      </c>
      <c r="G14">
        <v>9.3640009436615795E-2</v>
      </c>
      <c r="H14">
        <v>6.3689241303395705E-2</v>
      </c>
      <c r="I14">
        <v>4.8655140730666298E-2</v>
      </c>
      <c r="J14">
        <v>5.4066124223603303E-2</v>
      </c>
      <c r="K14">
        <v>5.74245053914181E-2</v>
      </c>
      <c r="L14">
        <v>1078.7894641089899</v>
      </c>
      <c r="M14">
        <v>23.972176411288199</v>
      </c>
      <c r="N14">
        <v>45.237684189700097</v>
      </c>
      <c r="O14">
        <v>44.692083627365299</v>
      </c>
      <c r="P14">
        <v>-0.126217675877552</v>
      </c>
      <c r="Q14">
        <v>5.8768663826291E-2</v>
      </c>
      <c r="R14">
        <v>0.98008073192698197</v>
      </c>
      <c r="S14" t="s">
        <v>6416</v>
      </c>
      <c r="T14" t="s">
        <v>12802</v>
      </c>
      <c r="U14" t="s">
        <v>12802</v>
      </c>
      <c r="V14" t="s">
        <v>12802</v>
      </c>
      <c r="W14" t="s">
        <v>12816</v>
      </c>
      <c r="X14">
        <v>17</v>
      </c>
      <c r="Y14" t="s">
        <v>19139</v>
      </c>
      <c r="Z14" t="s">
        <v>25332</v>
      </c>
      <c r="AA14">
        <v>0.31825810759212148</v>
      </c>
      <c r="AB14" t="str">
        <f>HYPERLINK("Melting_Curves/meltCurve_A2RRP1_NBAS.pdf", "Melting_Curves/meltCurve_A2RRP1_NBAS.pdf")</f>
        <v>Melting_Curves/meltCurve_A2RRP1_NBAS.pdf</v>
      </c>
    </row>
    <row r="15" spans="1:28" x14ac:dyDescent="0.25">
      <c r="A15" t="s">
        <v>19</v>
      </c>
      <c r="B15">
        <v>0.99542014353169495</v>
      </c>
      <c r="C15">
        <v>0.96189117003534497</v>
      </c>
      <c r="D15">
        <v>0.91007202940796394</v>
      </c>
      <c r="E15">
        <v>0.79071038319937104</v>
      </c>
      <c r="F15">
        <v>0.552380079437234</v>
      </c>
      <c r="G15">
        <v>0.32577741422967899</v>
      </c>
      <c r="H15">
        <v>0.22774621878550999</v>
      </c>
      <c r="I15">
        <v>0.16902575251341001</v>
      </c>
      <c r="J15">
        <v>0.14308634510430199</v>
      </c>
      <c r="K15">
        <v>0.144579389211133</v>
      </c>
      <c r="L15">
        <v>755.30648632924601</v>
      </c>
      <c r="M15">
        <v>15.1142812685445</v>
      </c>
      <c r="N15">
        <v>50.865787761940297</v>
      </c>
      <c r="O15">
        <v>49.122720583048</v>
      </c>
      <c r="P15">
        <v>-6.7966273598548899E-2</v>
      </c>
      <c r="Q15">
        <v>0.11650167836012799</v>
      </c>
      <c r="R15">
        <v>0.99885730117385096</v>
      </c>
      <c r="S15" t="s">
        <v>6417</v>
      </c>
      <c r="T15" t="s">
        <v>12802</v>
      </c>
      <c r="U15" t="s">
        <v>12802</v>
      </c>
      <c r="V15" t="s">
        <v>12802</v>
      </c>
      <c r="W15" t="s">
        <v>12817</v>
      </c>
      <c r="X15">
        <v>1</v>
      </c>
      <c r="Y15" t="s">
        <v>19140</v>
      </c>
      <c r="Z15" t="s">
        <v>25333</v>
      </c>
      <c r="AA15">
        <v>0.51683774648891156</v>
      </c>
      <c r="AB15" t="str">
        <f>HYPERLINK("Melting_Curves/meltCurve_A2RUC4_2_TYW5.pdf", "Melting_Curves/meltCurve_A2RUC4_2_TYW5.pdf")</f>
        <v>Melting_Curves/meltCurve_A2RUC4_2_TYW5.pdf</v>
      </c>
    </row>
    <row r="16" spans="1:28" x14ac:dyDescent="0.25">
      <c r="A16" t="s">
        <v>20</v>
      </c>
      <c r="B16">
        <v>0.99542014353169495</v>
      </c>
      <c r="C16">
        <v>1.02505428809665</v>
      </c>
      <c r="D16">
        <v>1.0491567152804799</v>
      </c>
      <c r="E16">
        <v>0.87001540871583904</v>
      </c>
      <c r="F16">
        <v>0.72255797832856095</v>
      </c>
      <c r="G16">
        <v>0.53366890698768599</v>
      </c>
      <c r="H16">
        <v>0.46581131660721398</v>
      </c>
      <c r="I16">
        <v>0.39175533352633901</v>
      </c>
      <c r="J16">
        <v>0.29323147393065502</v>
      </c>
      <c r="K16">
        <v>0.18690687578135801</v>
      </c>
      <c r="L16">
        <v>627.68393291676898</v>
      </c>
      <c r="M16">
        <v>11.689803407866201</v>
      </c>
      <c r="N16">
        <v>55.679779829964097</v>
      </c>
      <c r="O16">
        <v>52.195865087196502</v>
      </c>
      <c r="P16">
        <v>-4.6462286736201001E-2</v>
      </c>
      <c r="Q16">
        <v>0.170390578792247</v>
      </c>
      <c r="R16">
        <v>0.97785886345407003</v>
      </c>
      <c r="S16" t="s">
        <v>6418</v>
      </c>
      <c r="T16" t="s">
        <v>12802</v>
      </c>
      <c r="U16" t="s">
        <v>12802</v>
      </c>
      <c r="V16" t="s">
        <v>12802</v>
      </c>
      <c r="W16" t="s">
        <v>12818</v>
      </c>
      <c r="X16">
        <v>3</v>
      </c>
      <c r="Y16" t="s">
        <v>19141</v>
      </c>
      <c r="Z16" t="s">
        <v>25334</v>
      </c>
      <c r="AA16">
        <v>0.64788446891951879</v>
      </c>
      <c r="AB16" t="str">
        <f>HYPERLINK("Melting_Curves/meltCurve_A2VDF0_2_FUOM.pdf", "Melting_Curves/meltCurve_A2VDF0_2_FUOM.pdf")</f>
        <v>Melting_Curves/meltCurve_A2VDF0_2_FUOM.pdf</v>
      </c>
    </row>
    <row r="17" spans="1:28" x14ac:dyDescent="0.25">
      <c r="A17" t="s">
        <v>21</v>
      </c>
      <c r="B17">
        <v>0.99542014353169495</v>
      </c>
      <c r="C17">
        <v>0.96082042057213402</v>
      </c>
      <c r="D17">
        <v>0.95021087478184496</v>
      </c>
      <c r="E17">
        <v>0.79575881209030397</v>
      </c>
      <c r="F17">
        <v>0.57598584705581002</v>
      </c>
      <c r="G17">
        <v>0.19230261881062899</v>
      </c>
      <c r="H17">
        <v>8.3523402162392804E-2</v>
      </c>
      <c r="I17">
        <v>6.41736349491972E-2</v>
      </c>
      <c r="J17">
        <v>5.5403825507013602E-2</v>
      </c>
      <c r="K17">
        <v>6.4725208386243002E-2</v>
      </c>
      <c r="L17">
        <v>1021.06802313223</v>
      </c>
      <c r="M17">
        <v>20.3356628211091</v>
      </c>
      <c r="N17">
        <v>50.396113495392903</v>
      </c>
      <c r="O17">
        <v>49.732726508901997</v>
      </c>
      <c r="P17">
        <v>-9.8543362573579804E-2</v>
      </c>
      <c r="Q17">
        <v>3.6042095207907597E-2</v>
      </c>
      <c r="R17">
        <v>0.99429044367234598</v>
      </c>
      <c r="S17" t="s">
        <v>6419</v>
      </c>
      <c r="T17" t="s">
        <v>12802</v>
      </c>
      <c r="U17" t="s">
        <v>12802</v>
      </c>
      <c r="V17" t="s">
        <v>12802</v>
      </c>
      <c r="W17" t="s">
        <v>12819</v>
      </c>
      <c r="X17">
        <v>33</v>
      </c>
      <c r="Y17" t="s">
        <v>19142</v>
      </c>
      <c r="Z17" t="s">
        <v>25335</v>
      </c>
      <c r="AA17">
        <v>0.47285084286472728</v>
      </c>
      <c r="AB17" t="str">
        <f>HYPERLINK("Melting_Curves/meltCurve_A3KN83_3_SBNO1.pdf", "Melting_Curves/meltCurve_A3KN83_3_SBNO1.pdf")</f>
        <v>Melting_Curves/meltCurve_A3KN83_3_SBNO1.pdf</v>
      </c>
    </row>
    <row r="18" spans="1:28" x14ac:dyDescent="0.25">
      <c r="A18" t="s">
        <v>22</v>
      </c>
      <c r="B18">
        <v>0.99542014353169495</v>
      </c>
      <c r="C18">
        <v>0.92925284561463095</v>
      </c>
      <c r="D18">
        <v>0.89426540750171601</v>
      </c>
      <c r="E18">
        <v>0.84548878738414901</v>
      </c>
      <c r="F18">
        <v>0.66676684713592904</v>
      </c>
      <c r="G18">
        <v>0.58359986383307505</v>
      </c>
      <c r="H18">
        <v>0.52387557305823895</v>
      </c>
      <c r="I18">
        <v>0.48773458559594302</v>
      </c>
      <c r="J18">
        <v>0.67060768967946305</v>
      </c>
      <c r="K18">
        <v>0.52142126879333295</v>
      </c>
      <c r="L18">
        <v>740.72347265545204</v>
      </c>
      <c r="M18">
        <v>15.6323595776409</v>
      </c>
      <c r="O18">
        <v>46.628896052470502</v>
      </c>
      <c r="P18">
        <v>-3.8824692375267499E-2</v>
      </c>
      <c r="Q18">
        <v>0.53680778418720099</v>
      </c>
      <c r="R18">
        <v>0.91455164311061798</v>
      </c>
      <c r="S18" t="s">
        <v>6420</v>
      </c>
      <c r="T18" t="s">
        <v>12802</v>
      </c>
      <c r="U18" t="s">
        <v>12802</v>
      </c>
      <c r="V18" t="s">
        <v>12802</v>
      </c>
      <c r="W18" t="s">
        <v>12820</v>
      </c>
      <c r="X18">
        <v>7</v>
      </c>
      <c r="Y18" t="s">
        <v>19143</v>
      </c>
      <c r="Z18" t="s">
        <v>25336</v>
      </c>
      <c r="AA18">
        <v>0.70674610755006095</v>
      </c>
      <c r="AB18" t="str">
        <f>HYPERLINK("Melting_Curves/meltCurve_A4D126_ISPD.pdf", "Melting_Curves/meltCurve_A4D126_ISPD.pdf")</f>
        <v>Melting_Curves/meltCurve_A4D126_ISPD.pdf</v>
      </c>
    </row>
    <row r="19" spans="1:28" x14ac:dyDescent="0.25">
      <c r="A19" t="s">
        <v>23</v>
      </c>
      <c r="B19">
        <v>0.99542014353169495</v>
      </c>
      <c r="C19">
        <v>1.00572403044516</v>
      </c>
      <c r="D19">
        <v>0.98032240248082603</v>
      </c>
      <c r="E19">
        <v>0.70379916094558304</v>
      </c>
      <c r="F19">
        <v>0.35696728457018101</v>
      </c>
      <c r="G19">
        <v>0.17890712766834899</v>
      </c>
      <c r="H19">
        <v>9.1993464934479102E-2</v>
      </c>
      <c r="I19">
        <v>4.4484130905372003E-2</v>
      </c>
      <c r="J19">
        <v>5.9868203968732797E-2</v>
      </c>
      <c r="K19">
        <v>7.2309527484893096E-2</v>
      </c>
      <c r="L19">
        <v>1053.66099726934</v>
      </c>
      <c r="M19">
        <v>21.747552613840401</v>
      </c>
      <c r="N19">
        <v>48.731903817555398</v>
      </c>
      <c r="O19">
        <v>48.045570343654298</v>
      </c>
      <c r="P19">
        <v>-0.1064671211422</v>
      </c>
      <c r="Q19">
        <v>5.9176374593778898E-2</v>
      </c>
      <c r="R19">
        <v>0.998058805807712</v>
      </c>
      <c r="S19" t="s">
        <v>6421</v>
      </c>
      <c r="T19" t="s">
        <v>12802</v>
      </c>
      <c r="U19" t="s">
        <v>12802</v>
      </c>
      <c r="V19" t="s">
        <v>12802</v>
      </c>
      <c r="W19" t="s">
        <v>12821</v>
      </c>
      <c r="X19">
        <v>5</v>
      </c>
      <c r="Y19" t="s">
        <v>19144</v>
      </c>
      <c r="Z19" t="s">
        <v>25337</v>
      </c>
      <c r="AA19">
        <v>0.42881681370323138</v>
      </c>
      <c r="AB19" t="str">
        <f>HYPERLINK("Melting_Curves/meltCurve_A4D1E9_GTPBP10.pdf", "Melting_Curves/meltCurve_A4D1E9_GTPBP10.pdf")</f>
        <v>Melting_Curves/meltCurve_A4D1E9_GTPBP10.pdf</v>
      </c>
    </row>
    <row r="20" spans="1:28" x14ac:dyDescent="0.25">
      <c r="A20" t="s">
        <v>24</v>
      </c>
      <c r="B20">
        <v>0.99542014353169495</v>
      </c>
      <c r="C20">
        <v>0.87082416871011403</v>
      </c>
      <c r="D20">
        <v>0.79204042376967299</v>
      </c>
      <c r="E20">
        <v>0.53208639643040101</v>
      </c>
      <c r="F20">
        <v>0.40240064259984099</v>
      </c>
      <c r="G20">
        <v>0.24454346666724699</v>
      </c>
      <c r="H20">
        <v>0.48568397725811002</v>
      </c>
      <c r="I20">
        <v>0.46984012768171601</v>
      </c>
      <c r="J20">
        <v>0.45477159867361999</v>
      </c>
      <c r="K20">
        <v>0.33591738221870798</v>
      </c>
      <c r="L20">
        <v>951.89732903139395</v>
      </c>
      <c r="M20">
        <v>21.723409886868101</v>
      </c>
      <c r="N20">
        <v>47.165761713636499</v>
      </c>
      <c r="O20">
        <v>43.452708243845997</v>
      </c>
      <c r="P20">
        <v>-7.5870858275860306E-2</v>
      </c>
      <c r="Q20">
        <v>0.39296513400265798</v>
      </c>
      <c r="R20">
        <v>0.90343122028330503</v>
      </c>
      <c r="S20" t="s">
        <v>6422</v>
      </c>
      <c r="T20" t="s">
        <v>12802</v>
      </c>
      <c r="U20" t="s">
        <v>12802</v>
      </c>
      <c r="V20" t="s">
        <v>12802</v>
      </c>
      <c r="W20" t="s">
        <v>12822</v>
      </c>
      <c r="X20">
        <v>13</v>
      </c>
      <c r="Y20" t="s">
        <v>19145</v>
      </c>
      <c r="Z20" t="s">
        <v>25338</v>
      </c>
      <c r="AA20">
        <v>0.53774739571451202</v>
      </c>
      <c r="AB20" t="str">
        <f>HYPERLINK("Melting_Curves/meltCurve_A4D212_DKFZP586J0619.pdf", "Melting_Curves/meltCurve_A4D212_DKFZP586J0619.pdf")</f>
        <v>Melting_Curves/meltCurve_A4D212_DKFZP586J0619.pdf</v>
      </c>
    </row>
    <row r="21" spans="1:28" x14ac:dyDescent="0.25">
      <c r="A21" t="s">
        <v>25</v>
      </c>
      <c r="B21">
        <v>0.99542014353169495</v>
      </c>
      <c r="C21">
        <v>1.0555033396825699</v>
      </c>
      <c r="D21">
        <v>0.91610071245548996</v>
      </c>
      <c r="E21">
        <v>0.87338648537744201</v>
      </c>
      <c r="F21">
        <v>0.76669616665829998</v>
      </c>
      <c r="G21">
        <v>0.54566167770625795</v>
      </c>
      <c r="H21">
        <v>0.38670457930973801</v>
      </c>
      <c r="I21">
        <v>0.41025875014872798</v>
      </c>
      <c r="J21">
        <v>0.48125110546670602</v>
      </c>
      <c r="K21">
        <v>0.48784331266592901</v>
      </c>
      <c r="L21">
        <v>1068.74824410223</v>
      </c>
      <c r="M21">
        <v>21.260298173454501</v>
      </c>
      <c r="N21">
        <v>55.478761693406497</v>
      </c>
      <c r="O21">
        <v>49.831262219185803</v>
      </c>
      <c r="P21">
        <v>-6.0577271776434599E-2</v>
      </c>
      <c r="Q21">
        <v>0.43207481534894498</v>
      </c>
      <c r="R21">
        <v>0.95879111621076496</v>
      </c>
      <c r="S21" t="s">
        <v>6423</v>
      </c>
      <c r="T21" t="s">
        <v>12802</v>
      </c>
      <c r="U21" t="s">
        <v>12802</v>
      </c>
      <c r="V21" t="s">
        <v>12802</v>
      </c>
      <c r="W21" t="s">
        <v>12823</v>
      </c>
      <c r="X21">
        <v>3</v>
      </c>
      <c r="Y21" t="s">
        <v>19146</v>
      </c>
      <c r="Z21" t="s">
        <v>25339</v>
      </c>
      <c r="AA21">
        <v>0.68999266267714721</v>
      </c>
      <c r="AB21" t="str">
        <f>HYPERLINK("Melting_Curves/meltCurve_A4D2B0_MBLAC1.pdf", "Melting_Curves/meltCurve_A4D2B0_MBLAC1.pdf")</f>
        <v>Melting_Curves/meltCurve_A4D2B0_MBLAC1.pdf</v>
      </c>
    </row>
    <row r="22" spans="1:28" x14ac:dyDescent="0.25">
      <c r="A22" t="s">
        <v>26</v>
      </c>
      <c r="B22">
        <v>0.99542014353169495</v>
      </c>
      <c r="C22">
        <v>0.82189278450588299</v>
      </c>
      <c r="D22">
        <v>0.932878772500082</v>
      </c>
      <c r="E22">
        <v>0.58637367839531696</v>
      </c>
      <c r="F22">
        <v>0.43737241703541102</v>
      </c>
      <c r="G22">
        <v>0.174182964631349</v>
      </c>
      <c r="H22">
        <v>0.45740229591732101</v>
      </c>
      <c r="I22">
        <v>0.51944515558552495</v>
      </c>
      <c r="J22">
        <v>0.293731738082817</v>
      </c>
      <c r="K22">
        <v>0.304961101775996</v>
      </c>
      <c r="L22">
        <v>1218.0515138789999</v>
      </c>
      <c r="M22">
        <v>26.673067479894701</v>
      </c>
      <c r="N22">
        <v>47.861732104345002</v>
      </c>
      <c r="O22">
        <v>45.411603340464502</v>
      </c>
      <c r="P22">
        <v>-9.50174583242306E-2</v>
      </c>
      <c r="Q22">
        <v>0.35292778282172699</v>
      </c>
      <c r="R22">
        <v>0.84597790695396502</v>
      </c>
      <c r="S22" t="s">
        <v>6424</v>
      </c>
      <c r="T22" t="s">
        <v>12802</v>
      </c>
      <c r="U22" t="s">
        <v>12802</v>
      </c>
      <c r="V22" t="s">
        <v>12802</v>
      </c>
      <c r="W22" t="s">
        <v>12824</v>
      </c>
      <c r="X22">
        <v>2</v>
      </c>
      <c r="Y22" t="s">
        <v>19147</v>
      </c>
      <c r="Z22" t="s">
        <v>25340</v>
      </c>
      <c r="AA22">
        <v>0.5445179103663752</v>
      </c>
      <c r="AB22" t="str">
        <f>HYPERLINK("Melting_Curves/meltCurve_A4UGR9_2_XIRP2.pdf", "Melting_Curves/meltCurve_A4UGR9_2_XIRP2.pdf")</f>
        <v>Melting_Curves/meltCurve_A4UGR9_2_XIRP2.pdf</v>
      </c>
    </row>
    <row r="23" spans="1:28" x14ac:dyDescent="0.25">
      <c r="A23" t="s">
        <v>27</v>
      </c>
      <c r="B23">
        <v>0.99542014353169495</v>
      </c>
      <c r="C23">
        <v>0.78593052069234903</v>
      </c>
      <c r="D23">
        <v>0.80939295302093095</v>
      </c>
      <c r="E23">
        <v>0.52407513118567794</v>
      </c>
      <c r="F23">
        <v>0.265394503853007</v>
      </c>
      <c r="G23">
        <v>0.104666699806696</v>
      </c>
      <c r="H23">
        <v>6.7739885101134198E-2</v>
      </c>
      <c r="I23">
        <v>4.3548606223986402E-2</v>
      </c>
      <c r="J23">
        <v>4.2741203706284897E-2</v>
      </c>
      <c r="K23">
        <v>4.5457162721335001E-2</v>
      </c>
      <c r="L23">
        <v>631.71886672755204</v>
      </c>
      <c r="M23">
        <v>13.572661765876701</v>
      </c>
      <c r="N23">
        <v>46.587389564845999</v>
      </c>
      <c r="O23">
        <v>45.567966981192903</v>
      </c>
      <c r="P23">
        <v>-7.4001583778410998E-2</v>
      </c>
      <c r="Q23">
        <v>6.35605966131791E-3</v>
      </c>
      <c r="R23">
        <v>0.98347186216489402</v>
      </c>
      <c r="S23" t="s">
        <v>6425</v>
      </c>
      <c r="T23" t="s">
        <v>12802</v>
      </c>
      <c r="U23" t="s">
        <v>12802</v>
      </c>
      <c r="V23" t="s">
        <v>12802</v>
      </c>
      <c r="W23" t="s">
        <v>12825</v>
      </c>
      <c r="X23">
        <v>38</v>
      </c>
      <c r="Y23" t="s">
        <v>19148</v>
      </c>
      <c r="Z23" t="s">
        <v>25341</v>
      </c>
      <c r="AA23">
        <v>0.34951265508273449</v>
      </c>
      <c r="AB23" t="str">
        <f>HYPERLINK("Melting_Curves/meltCurve_A5YKK6_CNOT1.pdf", "Melting_Curves/meltCurve_A5YKK6_CNOT1.pdf")</f>
        <v>Melting_Curves/meltCurve_A5YKK6_CNOT1.pdf</v>
      </c>
    </row>
    <row r="24" spans="1:28" x14ac:dyDescent="0.25">
      <c r="A24" t="s">
        <v>28</v>
      </c>
      <c r="B24">
        <v>0.99542014353169495</v>
      </c>
      <c r="C24">
        <v>1.2190319443422599</v>
      </c>
      <c r="D24">
        <v>0.847258949540307</v>
      </c>
      <c r="E24">
        <v>0.80789354070809305</v>
      </c>
      <c r="F24">
        <v>0.77950940130935198</v>
      </c>
      <c r="G24">
        <v>0.36323260785297101</v>
      </c>
      <c r="H24">
        <v>0.18574087105218201</v>
      </c>
      <c r="I24">
        <v>6.2987735626163305E-2</v>
      </c>
      <c r="J24">
        <v>7.7290190754749494E-2</v>
      </c>
      <c r="K24">
        <v>0.110029433325909</v>
      </c>
      <c r="L24">
        <v>953.40183768005897</v>
      </c>
      <c r="M24">
        <v>18.2771964671626</v>
      </c>
      <c r="N24">
        <v>52.431027088763202</v>
      </c>
      <c r="O24">
        <v>51.551024782354098</v>
      </c>
      <c r="P24">
        <v>-8.4693619100553896E-2</v>
      </c>
      <c r="Q24">
        <v>4.4527140842842899E-2</v>
      </c>
      <c r="R24">
        <v>0.94592054541439896</v>
      </c>
      <c r="S24" t="s">
        <v>6426</v>
      </c>
      <c r="T24" t="s">
        <v>12802</v>
      </c>
      <c r="U24" t="s">
        <v>12802</v>
      </c>
      <c r="V24" t="s">
        <v>12802</v>
      </c>
      <c r="W24" t="s">
        <v>12826</v>
      </c>
      <c r="X24">
        <v>3</v>
      </c>
      <c r="Y24" t="s">
        <v>19149</v>
      </c>
      <c r="Z24" t="s">
        <v>25342</v>
      </c>
      <c r="AA24">
        <v>0.5415328468625068</v>
      </c>
      <c r="AB24" t="str">
        <f>HYPERLINK("Melting_Curves/meltCurve_A6NCS9_SDCCAG8.pdf", "Melting_Curves/meltCurve_A6NCS9_SDCCAG8.pdf")</f>
        <v>Melting_Curves/meltCurve_A6NCS9_SDCCAG8.pdf</v>
      </c>
    </row>
    <row r="25" spans="1:28" x14ac:dyDescent="0.25">
      <c r="A25" t="s">
        <v>29</v>
      </c>
      <c r="B25">
        <v>0.99542014353169495</v>
      </c>
      <c r="C25">
        <v>0.86110662089344803</v>
      </c>
      <c r="D25">
        <v>0.59969811669996598</v>
      </c>
      <c r="E25">
        <v>0.39434099240631798</v>
      </c>
      <c r="F25">
        <v>0.16750022613046001</v>
      </c>
      <c r="G25">
        <v>8.9833514293651107E-2</v>
      </c>
      <c r="H25">
        <v>6.4913963162800903E-2</v>
      </c>
      <c r="I25">
        <v>5.6861302675594097E-2</v>
      </c>
      <c r="J25">
        <v>7.1309027166138197E-2</v>
      </c>
      <c r="K25">
        <v>9.7522287634366406E-2</v>
      </c>
      <c r="L25">
        <v>707.66394360624702</v>
      </c>
      <c r="M25">
        <v>15.9975586570463</v>
      </c>
      <c r="N25">
        <v>44.582888759630599</v>
      </c>
      <c r="O25">
        <v>43.561830947285202</v>
      </c>
      <c r="P25">
        <v>-8.6439976221657694E-2</v>
      </c>
      <c r="Q25">
        <v>5.8559153100798997E-2</v>
      </c>
      <c r="R25">
        <v>0.99394101781556199</v>
      </c>
      <c r="S25" t="s">
        <v>6427</v>
      </c>
      <c r="T25" t="s">
        <v>12802</v>
      </c>
      <c r="U25" t="s">
        <v>12802</v>
      </c>
      <c r="V25" t="s">
        <v>12802</v>
      </c>
      <c r="W25" t="s">
        <v>12827</v>
      </c>
      <c r="X25">
        <v>1</v>
      </c>
      <c r="Y25" t="s">
        <v>19150</v>
      </c>
      <c r="Z25" t="s">
        <v>25343</v>
      </c>
      <c r="AA25">
        <v>0.30584332131460418</v>
      </c>
      <c r="AB25" t="str">
        <f>HYPERLINK("Melting_Curves/meltCurve_A6ND22_MRPS16.pdf", "Melting_Curves/meltCurve_A6ND22_MRPS16.pdf")</f>
        <v>Melting_Curves/meltCurve_A6ND22_MRPS16.pdf</v>
      </c>
    </row>
    <row r="26" spans="1:28" x14ac:dyDescent="0.25">
      <c r="A26" t="s">
        <v>30</v>
      </c>
      <c r="B26">
        <v>0.99542014353169495</v>
      </c>
      <c r="C26">
        <v>1.04974825309859</v>
      </c>
      <c r="D26">
        <v>0.842320584404328</v>
      </c>
      <c r="E26">
        <v>0.68980343466373495</v>
      </c>
      <c r="F26">
        <v>0.44175734739518402</v>
      </c>
      <c r="G26">
        <v>0.22906390643772201</v>
      </c>
      <c r="H26">
        <v>0.18447682143014499</v>
      </c>
      <c r="I26">
        <v>0.139332239814449</v>
      </c>
      <c r="J26">
        <v>0.173940405265153</v>
      </c>
      <c r="K26">
        <v>0.158428898765755</v>
      </c>
      <c r="L26">
        <v>824.62144991105697</v>
      </c>
      <c r="M26">
        <v>17.167763748633998</v>
      </c>
      <c r="N26">
        <v>48.966909142091801</v>
      </c>
      <c r="O26">
        <v>47.395615354815597</v>
      </c>
      <c r="P26">
        <v>-7.7919222327404003E-2</v>
      </c>
      <c r="Q26">
        <v>0.13959444287325801</v>
      </c>
      <c r="R26">
        <v>0.99071057414448704</v>
      </c>
      <c r="S26" t="s">
        <v>6428</v>
      </c>
      <c r="T26" t="s">
        <v>12802</v>
      </c>
      <c r="U26" t="s">
        <v>12802</v>
      </c>
      <c r="V26" t="s">
        <v>12802</v>
      </c>
      <c r="W26" t="s">
        <v>12828</v>
      </c>
      <c r="X26">
        <v>1</v>
      </c>
      <c r="Y26" t="s">
        <v>19151</v>
      </c>
      <c r="Z26" t="s">
        <v>25344</v>
      </c>
      <c r="AA26">
        <v>0.47100590304485468</v>
      </c>
      <c r="AB26" t="str">
        <f>HYPERLINK("Melting_Curves/meltCurve_A6ND36_2_FAM83G.pdf", "Melting_Curves/meltCurve_A6ND36_2_FAM83G.pdf")</f>
        <v>Melting_Curves/meltCurve_A6ND36_2_FAM83G.pdf</v>
      </c>
    </row>
    <row r="27" spans="1:28" x14ac:dyDescent="0.25">
      <c r="A27" t="s">
        <v>31</v>
      </c>
      <c r="B27">
        <v>0.99542014353169495</v>
      </c>
      <c r="C27">
        <v>1.00117601027251</v>
      </c>
      <c r="D27">
        <v>1.01646762219194</v>
      </c>
      <c r="E27">
        <v>0.85681894601398001</v>
      </c>
      <c r="F27">
        <v>0.72721541827190495</v>
      </c>
      <c r="G27">
        <v>0.445646050322895</v>
      </c>
      <c r="H27">
        <v>0.322198674505766</v>
      </c>
      <c r="I27">
        <v>0.285380158053059</v>
      </c>
      <c r="J27">
        <v>0.44559994770619099</v>
      </c>
      <c r="K27">
        <v>0.55898334187425602</v>
      </c>
      <c r="L27">
        <v>1389.3035929827599</v>
      </c>
      <c r="M27">
        <v>27.823775796303298</v>
      </c>
      <c r="N27">
        <v>52.955394008819397</v>
      </c>
      <c r="O27">
        <v>49.676454417773698</v>
      </c>
      <c r="P27">
        <v>-8.4313144442679899E-2</v>
      </c>
      <c r="Q27">
        <v>0.39787596946118498</v>
      </c>
      <c r="R27">
        <v>0.92252089785857805</v>
      </c>
      <c r="S27" t="s">
        <v>6429</v>
      </c>
      <c r="T27" t="s">
        <v>12802</v>
      </c>
      <c r="U27" t="s">
        <v>12802</v>
      </c>
      <c r="V27" t="s">
        <v>12802</v>
      </c>
      <c r="W27" t="s">
        <v>12829</v>
      </c>
      <c r="X27">
        <v>11</v>
      </c>
      <c r="Y27" t="s">
        <v>19152</v>
      </c>
      <c r="Z27" t="s">
        <v>25345</v>
      </c>
      <c r="AA27">
        <v>0.66171548128854629</v>
      </c>
      <c r="AB27" t="str">
        <f>HYPERLINK("Melting_Curves/meltCurve_A6NDB9_PALM3.pdf", "Melting_Curves/meltCurve_A6NDB9_PALM3.pdf")</f>
        <v>Melting_Curves/meltCurve_A6NDB9_PALM3.pdf</v>
      </c>
    </row>
    <row r="28" spans="1:28" x14ac:dyDescent="0.25">
      <c r="A28" t="s">
        <v>32</v>
      </c>
      <c r="B28">
        <v>0.99542014353169495</v>
      </c>
      <c r="C28">
        <v>0.97966097803016206</v>
      </c>
      <c r="D28">
        <v>0.89625869336780595</v>
      </c>
      <c r="E28">
        <v>0.88302788606775395</v>
      </c>
      <c r="F28">
        <v>0.72685260073223001</v>
      </c>
      <c r="G28">
        <v>0.65865022009043905</v>
      </c>
      <c r="H28">
        <v>0.46210673117216799</v>
      </c>
      <c r="I28">
        <v>0.40145076694814402</v>
      </c>
      <c r="J28">
        <v>0.38952757588752202</v>
      </c>
      <c r="K28">
        <v>0.142539599625539</v>
      </c>
      <c r="L28">
        <v>457.16884624092501</v>
      </c>
      <c r="M28">
        <v>7.9788417475383104</v>
      </c>
      <c r="N28">
        <v>57.297644755369298</v>
      </c>
      <c r="O28">
        <v>54.034222179979501</v>
      </c>
      <c r="P28">
        <v>-3.6957852447218199E-2</v>
      </c>
      <c r="Q28">
        <v>0</v>
      </c>
      <c r="R28">
        <v>0.97037277361542196</v>
      </c>
      <c r="S28" t="s">
        <v>6430</v>
      </c>
      <c r="T28" t="s">
        <v>12802</v>
      </c>
      <c r="U28" t="s">
        <v>12802</v>
      </c>
      <c r="V28" t="s">
        <v>12802</v>
      </c>
      <c r="W28" t="s">
        <v>12830</v>
      </c>
      <c r="X28">
        <v>13</v>
      </c>
      <c r="Y28" t="s">
        <v>19153</v>
      </c>
      <c r="Z28" t="s">
        <v>25346</v>
      </c>
      <c r="AA28">
        <v>0.66262710351522003</v>
      </c>
      <c r="AB28" t="str">
        <f>HYPERLINK("Melting_Curves/meltCurve_A6NDG6_PGP.pdf", "Melting_Curves/meltCurve_A6NDG6_PGP.pdf")</f>
        <v>Melting_Curves/meltCurve_A6NDG6_PGP.pdf</v>
      </c>
    </row>
    <row r="29" spans="1:28" x14ac:dyDescent="0.25">
      <c r="A29" t="s">
        <v>33</v>
      </c>
      <c r="B29">
        <v>0.99542014353169495</v>
      </c>
      <c r="C29">
        <v>1.1034809628206499</v>
      </c>
      <c r="D29">
        <v>1.00142985884659</v>
      </c>
      <c r="E29">
        <v>0.92639844222164502</v>
      </c>
      <c r="F29">
        <v>0.75664800825679301</v>
      </c>
      <c r="G29">
        <v>0.592955876335854</v>
      </c>
      <c r="H29">
        <v>0.38852201138364201</v>
      </c>
      <c r="I29">
        <v>0.20331721512541701</v>
      </c>
      <c r="J29">
        <v>5.5601031335705098E-2</v>
      </c>
      <c r="K29">
        <v>6.1232346124941897E-2</v>
      </c>
      <c r="L29">
        <v>798.59579415913197</v>
      </c>
      <c r="M29">
        <v>14.5200335042421</v>
      </c>
      <c r="N29">
        <v>54.999583735824501</v>
      </c>
      <c r="O29">
        <v>53.987942138025097</v>
      </c>
      <c r="P29">
        <v>-6.7245106292312395E-2</v>
      </c>
      <c r="Q29">
        <v>0</v>
      </c>
      <c r="R29">
        <v>0.987413311658217</v>
      </c>
      <c r="S29" t="s">
        <v>6431</v>
      </c>
      <c r="T29" t="s">
        <v>12802</v>
      </c>
      <c r="U29" t="s">
        <v>12802</v>
      </c>
      <c r="V29" t="s">
        <v>12802</v>
      </c>
      <c r="W29" t="s">
        <v>12831</v>
      </c>
      <c r="X29">
        <v>2</v>
      </c>
      <c r="Z29" t="s">
        <v>25347</v>
      </c>
      <c r="AA29">
        <v>0.61424524456038232</v>
      </c>
      <c r="AB29" t="str">
        <f>HYPERLINK("Melting_Curves/meltCurve_A6NDJ8_.pdf", "Melting_Curves/meltCurve_A6NDJ8_.pdf")</f>
        <v>Melting_Curves/meltCurve_A6NDJ8_.pdf</v>
      </c>
    </row>
    <row r="30" spans="1:28" x14ac:dyDescent="0.25">
      <c r="A30" t="s">
        <v>34</v>
      </c>
      <c r="B30">
        <v>0.99542014353169495</v>
      </c>
      <c r="C30">
        <v>0.99488151451663598</v>
      </c>
      <c r="D30">
        <v>1.05279112083671</v>
      </c>
      <c r="E30">
        <v>0.97283400063251402</v>
      </c>
      <c r="F30">
        <v>0.37247827798431898</v>
      </c>
      <c r="G30">
        <v>0.13181692369724499</v>
      </c>
      <c r="H30">
        <v>8.4315652763180302E-2</v>
      </c>
      <c r="I30">
        <v>6.0804053110053199E-2</v>
      </c>
      <c r="J30">
        <v>6.5636541757068401E-2</v>
      </c>
      <c r="K30">
        <v>6.5738628169793506E-2</v>
      </c>
      <c r="L30">
        <v>2491.3141863383598</v>
      </c>
      <c r="M30">
        <v>50.356025924987499</v>
      </c>
      <c r="N30">
        <v>49.640168300036699</v>
      </c>
      <c r="O30">
        <v>49.396167145673203</v>
      </c>
      <c r="P30">
        <v>-0.235091886210684</v>
      </c>
      <c r="Q30">
        <v>7.7558030294521602E-2</v>
      </c>
      <c r="R30">
        <v>0.99730680503214997</v>
      </c>
      <c r="S30" t="s">
        <v>6432</v>
      </c>
      <c r="T30" t="s">
        <v>12802</v>
      </c>
      <c r="U30" t="s">
        <v>12802</v>
      </c>
      <c r="V30" t="s">
        <v>12802</v>
      </c>
      <c r="W30" t="s">
        <v>12832</v>
      </c>
      <c r="X30">
        <v>4</v>
      </c>
      <c r="Y30" t="s">
        <v>19154</v>
      </c>
      <c r="Z30" t="s">
        <v>25348</v>
      </c>
      <c r="AA30">
        <v>0.46309392942388189</v>
      </c>
      <c r="AB30" t="str">
        <f>HYPERLINK("Melting_Curves/meltCurve_A6NDU8_C5orf51.pdf", "Melting_Curves/meltCurve_A6NDU8_C5orf51.pdf")</f>
        <v>Melting_Curves/meltCurve_A6NDU8_C5orf51.pdf</v>
      </c>
    </row>
    <row r="31" spans="1:28" x14ac:dyDescent="0.25">
      <c r="A31" t="s">
        <v>35</v>
      </c>
      <c r="B31">
        <v>0.99542014353169495</v>
      </c>
      <c r="C31">
        <v>1.1317931257946401</v>
      </c>
      <c r="D31">
        <v>1.02527931194902</v>
      </c>
      <c r="E31">
        <v>0.89920503094279702</v>
      </c>
      <c r="F31">
        <v>0.69910738894540003</v>
      </c>
      <c r="G31">
        <v>0.44334669378641101</v>
      </c>
      <c r="H31">
        <v>0.177331176663968</v>
      </c>
      <c r="I31">
        <v>6.7789349415196001E-2</v>
      </c>
      <c r="J31">
        <v>7.9994282111945494E-2</v>
      </c>
      <c r="K31">
        <v>8.2785275969625594E-2</v>
      </c>
      <c r="L31">
        <v>1014.28902854889</v>
      </c>
      <c r="M31">
        <v>19.3406050053458</v>
      </c>
      <c r="N31">
        <v>52.693965851566503</v>
      </c>
      <c r="O31">
        <v>51.892491043964</v>
      </c>
      <c r="P31">
        <v>-8.9087711975172304E-2</v>
      </c>
      <c r="Q31">
        <v>4.3915861954273397E-2</v>
      </c>
      <c r="R31">
        <v>0.98618974603751597</v>
      </c>
      <c r="S31" t="s">
        <v>6433</v>
      </c>
      <c r="T31" t="s">
        <v>12802</v>
      </c>
      <c r="U31" t="s">
        <v>12802</v>
      </c>
      <c r="V31" t="s">
        <v>12802</v>
      </c>
      <c r="W31" t="s">
        <v>12833</v>
      </c>
      <c r="X31">
        <v>6</v>
      </c>
      <c r="Y31" t="s">
        <v>19155</v>
      </c>
      <c r="Z31" t="s">
        <v>25349</v>
      </c>
      <c r="AA31">
        <v>0.5489503349446514</v>
      </c>
      <c r="AB31" t="str">
        <f>HYPERLINK("Melting_Curves/meltCurve_A6NED2_RCCD1.pdf", "Melting_Curves/meltCurve_A6NED2_RCCD1.pdf")</f>
        <v>Melting_Curves/meltCurve_A6NED2_RCCD1.pdf</v>
      </c>
    </row>
    <row r="32" spans="1:28" x14ac:dyDescent="0.25">
      <c r="A32" t="s">
        <v>36</v>
      </c>
      <c r="B32">
        <v>0.99542014353169495</v>
      </c>
      <c r="C32">
        <v>0.93902307974937105</v>
      </c>
      <c r="D32">
        <v>0.89347067308056405</v>
      </c>
      <c r="E32">
        <v>0.80171296609378795</v>
      </c>
      <c r="F32">
        <v>0.599642413707971</v>
      </c>
      <c r="G32">
        <v>0.39231042844290998</v>
      </c>
      <c r="H32">
        <v>0.16938395479571799</v>
      </c>
      <c r="I32">
        <v>9.0540234519751295E-2</v>
      </c>
      <c r="J32">
        <v>0.12537378404333399</v>
      </c>
      <c r="K32">
        <v>0.116385088305152</v>
      </c>
      <c r="L32">
        <v>700.60924162099502</v>
      </c>
      <c r="M32">
        <v>13.719391921648</v>
      </c>
      <c r="N32">
        <v>51.427113348693403</v>
      </c>
      <c r="O32">
        <v>50.018759046902403</v>
      </c>
      <c r="P32">
        <v>-6.5440776025475197E-2</v>
      </c>
      <c r="Q32">
        <v>4.5789286243245103E-2</v>
      </c>
      <c r="R32">
        <v>0.99137503920150905</v>
      </c>
      <c r="S32" t="s">
        <v>6434</v>
      </c>
      <c r="T32" t="s">
        <v>12802</v>
      </c>
      <c r="U32" t="s">
        <v>12802</v>
      </c>
      <c r="V32" t="s">
        <v>12802</v>
      </c>
      <c r="W32" t="s">
        <v>12834</v>
      </c>
      <c r="X32">
        <v>40</v>
      </c>
      <c r="Y32" t="s">
        <v>19156</v>
      </c>
      <c r="Z32" t="s">
        <v>25350</v>
      </c>
      <c r="AA32">
        <v>0.51460965096087896</v>
      </c>
      <c r="AB32" t="str">
        <f>HYPERLINK("Melting_Curves/meltCurve_A6NEM2_HCFC1.pdf", "Melting_Curves/meltCurve_A6NEM2_HCFC1.pdf")</f>
        <v>Melting_Curves/meltCurve_A6NEM2_HCFC1.pdf</v>
      </c>
    </row>
    <row r="33" spans="1:28" x14ac:dyDescent="0.25">
      <c r="A33" t="s">
        <v>37</v>
      </c>
      <c r="B33">
        <v>0.99542014353169495</v>
      </c>
      <c r="C33">
        <v>0.86522696747125205</v>
      </c>
      <c r="D33">
        <v>0.94952269836537795</v>
      </c>
      <c r="E33">
        <v>0.67148813143887898</v>
      </c>
      <c r="F33">
        <v>0.61049475055159197</v>
      </c>
      <c r="G33">
        <v>0.15278808157649701</v>
      </c>
      <c r="H33">
        <v>0.107860836442265</v>
      </c>
      <c r="I33">
        <v>7.1396868496577795E-2</v>
      </c>
      <c r="J33">
        <v>6.0279033965970799E-2</v>
      </c>
      <c r="K33">
        <v>6.3895321316774001E-2</v>
      </c>
      <c r="L33">
        <v>757.39287705777497</v>
      </c>
      <c r="M33">
        <v>15.216106293443501</v>
      </c>
      <c r="N33">
        <v>49.873716802134801</v>
      </c>
      <c r="O33">
        <v>48.939775138791902</v>
      </c>
      <c r="P33">
        <v>-7.6591684970598997E-2</v>
      </c>
      <c r="Q33">
        <v>1.47228309053228E-2</v>
      </c>
      <c r="R33">
        <v>0.96634977090215501</v>
      </c>
      <c r="S33" t="s">
        <v>6435</v>
      </c>
      <c r="T33" t="s">
        <v>12802</v>
      </c>
      <c r="U33" t="s">
        <v>12802</v>
      </c>
      <c r="V33" t="s">
        <v>12802</v>
      </c>
      <c r="W33" t="s">
        <v>12835</v>
      </c>
      <c r="X33">
        <v>5</v>
      </c>
      <c r="Y33" t="s">
        <v>19157</v>
      </c>
      <c r="Z33" t="s">
        <v>25351</v>
      </c>
      <c r="AA33">
        <v>0.45461695639758759</v>
      </c>
      <c r="AB33" t="str">
        <f>HYPERLINK("Melting_Curves/meltCurve_A6NEM5_PIGK.pdf", "Melting_Curves/meltCurve_A6NEM5_PIGK.pdf")</f>
        <v>Melting_Curves/meltCurve_A6NEM5_PIGK.pdf</v>
      </c>
    </row>
    <row r="34" spans="1:28" x14ac:dyDescent="0.25">
      <c r="A34" t="s">
        <v>38</v>
      </c>
      <c r="B34">
        <v>0.99542014353169495</v>
      </c>
      <c r="C34">
        <v>0.97085322875741198</v>
      </c>
      <c r="D34">
        <v>0.91997213743092798</v>
      </c>
      <c r="E34">
        <v>0.80363257903156904</v>
      </c>
      <c r="F34">
        <v>0.90270481778429701</v>
      </c>
      <c r="G34">
        <v>0.46015166600914897</v>
      </c>
      <c r="H34">
        <v>0.600692728374012</v>
      </c>
      <c r="I34">
        <v>0.30185579554771003</v>
      </c>
      <c r="J34">
        <v>9.5431872529085707E-2</v>
      </c>
      <c r="K34">
        <v>0.120311028211389</v>
      </c>
      <c r="L34">
        <v>613.66062737607103</v>
      </c>
      <c r="M34">
        <v>10.961940164257401</v>
      </c>
      <c r="N34">
        <v>55.9810232830228</v>
      </c>
      <c r="O34">
        <v>54.2147524483632</v>
      </c>
      <c r="P34">
        <v>-5.05659934640336E-2</v>
      </c>
      <c r="Q34">
        <v>0</v>
      </c>
      <c r="R34">
        <v>0.92058093042316502</v>
      </c>
      <c r="S34" t="s">
        <v>6436</v>
      </c>
      <c r="T34" t="s">
        <v>12802</v>
      </c>
      <c r="U34" t="s">
        <v>12802</v>
      </c>
      <c r="V34" t="s">
        <v>12802</v>
      </c>
      <c r="W34" t="s">
        <v>12836</v>
      </c>
      <c r="X34">
        <v>2</v>
      </c>
      <c r="Y34" t="s">
        <v>19158</v>
      </c>
      <c r="Z34" t="s">
        <v>25352</v>
      </c>
      <c r="AA34">
        <v>0.64103318820940136</v>
      </c>
      <c r="AB34" t="str">
        <f>HYPERLINK("Melting_Curves/meltCurve_A6NF31_OFD1.pdf", "Melting_Curves/meltCurve_A6NF31_OFD1.pdf")</f>
        <v>Melting_Curves/meltCurve_A6NF31_OFD1.pdf</v>
      </c>
    </row>
    <row r="35" spans="1:28" x14ac:dyDescent="0.25">
      <c r="A35" t="s">
        <v>39</v>
      </c>
      <c r="B35">
        <v>0.99542014353169495</v>
      </c>
      <c r="C35">
        <v>0.88226484288319695</v>
      </c>
      <c r="D35">
        <v>0.99478172554865796</v>
      </c>
      <c r="E35">
        <v>0.52311544942958399</v>
      </c>
      <c r="F35">
        <v>0.20438364864054101</v>
      </c>
      <c r="G35">
        <v>7.5480487246827002E-2</v>
      </c>
      <c r="H35">
        <v>6.3142625569924102E-2</v>
      </c>
      <c r="I35">
        <v>4.2524078818587302E-2</v>
      </c>
      <c r="J35">
        <v>9.4331751198845501E-2</v>
      </c>
      <c r="K35">
        <v>4.3027966430406697E-2</v>
      </c>
      <c r="L35">
        <v>1382.91778701262</v>
      </c>
      <c r="M35">
        <v>29.597651592152602</v>
      </c>
      <c r="N35">
        <v>46.938199547947697</v>
      </c>
      <c r="O35">
        <v>46.512166057121703</v>
      </c>
      <c r="P35">
        <v>-0.149032925145683</v>
      </c>
      <c r="Q35">
        <v>6.3196419815141194E-2</v>
      </c>
      <c r="R35">
        <v>0.98710525115274705</v>
      </c>
      <c r="S35" t="s">
        <v>6437</v>
      </c>
      <c r="T35" t="s">
        <v>12802</v>
      </c>
      <c r="U35" t="s">
        <v>12802</v>
      </c>
      <c r="V35" t="s">
        <v>12802</v>
      </c>
      <c r="W35" t="s">
        <v>12837</v>
      </c>
      <c r="X35">
        <v>3</v>
      </c>
      <c r="Y35" t="s">
        <v>19159</v>
      </c>
      <c r="Z35" t="s">
        <v>25353</v>
      </c>
      <c r="AA35">
        <v>0.37240948059572931</v>
      </c>
      <c r="AB35" t="str">
        <f>HYPERLINK("Melting_Curves/meltCurve_A6NFI3_ZNF316.pdf", "Melting_Curves/meltCurve_A6NFI3_ZNF316.pdf")</f>
        <v>Melting_Curves/meltCurve_A6NFI3_ZNF316.pdf</v>
      </c>
    </row>
    <row r="36" spans="1:28" x14ac:dyDescent="0.25">
      <c r="A36" t="s">
        <v>40</v>
      </c>
      <c r="B36">
        <v>0.99542014353169495</v>
      </c>
      <c r="C36">
        <v>0.91656466553833704</v>
      </c>
      <c r="D36">
        <v>0.6907188780272</v>
      </c>
      <c r="E36">
        <v>0.24612681240405401</v>
      </c>
      <c r="F36">
        <v>0.110558950821683</v>
      </c>
      <c r="G36">
        <v>7.4770711519755104E-2</v>
      </c>
      <c r="H36">
        <v>4.5130932030738397E-2</v>
      </c>
      <c r="I36">
        <v>3.4446981820162398E-2</v>
      </c>
      <c r="J36">
        <v>3.2543035621450001E-2</v>
      </c>
      <c r="K36">
        <v>3.1349881439354597E-2</v>
      </c>
      <c r="L36">
        <v>1042.9669298122401</v>
      </c>
      <c r="M36">
        <v>23.574213769156501</v>
      </c>
      <c r="N36">
        <v>44.3998819845268</v>
      </c>
      <c r="O36">
        <v>43.927206275802199</v>
      </c>
      <c r="P36">
        <v>-0.12876915196955399</v>
      </c>
      <c r="Q36">
        <v>4.0244419882177501E-2</v>
      </c>
      <c r="R36">
        <v>0.998861621793112</v>
      </c>
      <c r="S36" t="s">
        <v>6438</v>
      </c>
      <c r="T36" t="s">
        <v>12802</v>
      </c>
      <c r="U36" t="s">
        <v>12802</v>
      </c>
      <c r="V36" t="s">
        <v>12802</v>
      </c>
      <c r="W36" t="s">
        <v>12838</v>
      </c>
      <c r="X36">
        <v>10</v>
      </c>
      <c r="Y36" t="s">
        <v>19160</v>
      </c>
      <c r="Z36" t="s">
        <v>25354</v>
      </c>
      <c r="AA36">
        <v>0.28085907056948722</v>
      </c>
      <c r="AB36" t="str">
        <f>HYPERLINK("Melting_Curves/meltCurve_A6NFQ2_3_FAM115C.pdf", "Melting_Curves/meltCurve_A6NFQ2_3_FAM115C.pdf")</f>
        <v>Melting_Curves/meltCurve_A6NFQ2_3_FAM115C.pdf</v>
      </c>
    </row>
    <row r="37" spans="1:28" x14ac:dyDescent="0.25">
      <c r="A37" t="s">
        <v>41</v>
      </c>
      <c r="B37">
        <v>0.99542014353169495</v>
      </c>
      <c r="C37">
        <v>0.95898452572661896</v>
      </c>
      <c r="D37">
        <v>0.963884215347245</v>
      </c>
      <c r="E37">
        <v>0.86862845320274296</v>
      </c>
      <c r="F37">
        <v>0.81945789747765396</v>
      </c>
      <c r="G37">
        <v>0.59091526054093602</v>
      </c>
      <c r="H37">
        <v>0.50150218928732604</v>
      </c>
      <c r="I37">
        <v>0.53449336373001599</v>
      </c>
      <c r="J37">
        <v>0.75569772819282999</v>
      </c>
      <c r="K37">
        <v>1.2210294991239501</v>
      </c>
      <c r="L37">
        <v>1400.52824651488</v>
      </c>
      <c r="M37">
        <v>29.951502742736899</v>
      </c>
      <c r="O37">
        <v>46.552906821697498</v>
      </c>
      <c r="P37">
        <v>-4.34333102652198E-2</v>
      </c>
      <c r="Q37">
        <v>0.72997233490050695</v>
      </c>
      <c r="R37">
        <v>0.24202587943517201</v>
      </c>
      <c r="S37" t="s">
        <v>6439</v>
      </c>
      <c r="T37" t="s">
        <v>12802</v>
      </c>
      <c r="U37" t="s">
        <v>12802</v>
      </c>
      <c r="V37" t="s">
        <v>12802</v>
      </c>
      <c r="W37" t="s">
        <v>12839</v>
      </c>
      <c r="X37">
        <v>12</v>
      </c>
      <c r="Y37" t="s">
        <v>19161</v>
      </c>
      <c r="Z37" t="s">
        <v>25355</v>
      </c>
      <c r="AA37">
        <v>0.81938759097932246</v>
      </c>
      <c r="AB37" t="str">
        <f>HYPERLINK("Melting_Curves/meltCurve_A6NFX8_NUDT5.pdf", "Melting_Curves/meltCurve_A6NFX8_NUDT5.pdf")</f>
        <v>Melting_Curves/meltCurve_A6NFX8_NUDT5.pdf</v>
      </c>
    </row>
    <row r="38" spans="1:28" x14ac:dyDescent="0.25">
      <c r="A38" t="s">
        <v>42</v>
      </c>
      <c r="B38">
        <v>0.99542014353169495</v>
      </c>
      <c r="C38">
        <v>1.0416213937939001</v>
      </c>
      <c r="D38">
        <v>0.924321139820792</v>
      </c>
      <c r="E38">
        <v>0.80345095785713305</v>
      </c>
      <c r="F38">
        <v>0.64016233059285998</v>
      </c>
      <c r="G38">
        <v>0.45200881808699001</v>
      </c>
      <c r="H38">
        <v>0.34934449228877901</v>
      </c>
      <c r="I38">
        <v>0.26147906560412898</v>
      </c>
      <c r="J38">
        <v>0.412506010262571</v>
      </c>
      <c r="K38">
        <v>0.47990903619991798</v>
      </c>
      <c r="L38">
        <v>965.88922539096598</v>
      </c>
      <c r="M38">
        <v>19.787114423925299</v>
      </c>
      <c r="N38">
        <v>52.334195106088302</v>
      </c>
      <c r="O38">
        <v>48.323700727562901</v>
      </c>
      <c r="P38">
        <v>-6.4710290209884197E-2</v>
      </c>
      <c r="Q38">
        <v>0.36788496478046201</v>
      </c>
      <c r="R38">
        <v>0.95166940084391305</v>
      </c>
      <c r="S38" t="s">
        <v>6440</v>
      </c>
      <c r="T38" t="s">
        <v>12802</v>
      </c>
      <c r="U38" t="s">
        <v>12802</v>
      </c>
      <c r="V38" t="s">
        <v>12802</v>
      </c>
      <c r="W38" t="s">
        <v>12840</v>
      </c>
      <c r="X38">
        <v>9</v>
      </c>
      <c r="Y38" t="s">
        <v>19162</v>
      </c>
      <c r="Z38" t="s">
        <v>25356</v>
      </c>
      <c r="AA38">
        <v>0.6253029528738947</v>
      </c>
      <c r="AB38" t="str">
        <f>HYPERLINK("Melting_Curves/meltCurve_A6NG32_CHMP1A.pdf", "Melting_Curves/meltCurve_A6NG32_CHMP1A.pdf")</f>
        <v>Melting_Curves/meltCurve_A6NG32_CHMP1A.pdf</v>
      </c>
    </row>
    <row r="39" spans="1:28" x14ac:dyDescent="0.25">
      <c r="A39" t="s">
        <v>43</v>
      </c>
      <c r="B39">
        <v>0.99542014353169495</v>
      </c>
      <c r="C39">
        <v>1.0073545839661</v>
      </c>
      <c r="D39">
        <v>1.0440987878019099</v>
      </c>
      <c r="E39">
        <v>0.82674154929092303</v>
      </c>
      <c r="F39">
        <v>0.55185044359318802</v>
      </c>
      <c r="G39">
        <v>0.221259926895678</v>
      </c>
      <c r="H39">
        <v>9.9427892754595695E-2</v>
      </c>
      <c r="I39">
        <v>6.2348996217649402E-2</v>
      </c>
      <c r="J39">
        <v>6.3085952278910201E-2</v>
      </c>
      <c r="K39">
        <v>6.7790428919363002E-2</v>
      </c>
      <c r="L39">
        <v>1138.6553666667101</v>
      </c>
      <c r="M39">
        <v>22.652518336808299</v>
      </c>
      <c r="N39">
        <v>50.516059333261197</v>
      </c>
      <c r="O39">
        <v>49.879377182749501</v>
      </c>
      <c r="P39">
        <v>-0.107520954114599</v>
      </c>
      <c r="Q39">
        <v>5.3002611384179402E-2</v>
      </c>
      <c r="R39">
        <v>0.99636640636211005</v>
      </c>
      <c r="S39" t="s">
        <v>6441</v>
      </c>
      <c r="T39" t="s">
        <v>12802</v>
      </c>
      <c r="U39" t="s">
        <v>12802</v>
      </c>
      <c r="V39" t="s">
        <v>12802</v>
      </c>
      <c r="W39" t="s">
        <v>12841</v>
      </c>
      <c r="X39">
        <v>21</v>
      </c>
      <c r="Y39" t="s">
        <v>19163</v>
      </c>
      <c r="Z39" t="s">
        <v>25357</v>
      </c>
      <c r="AA39">
        <v>0.48174985019872418</v>
      </c>
      <c r="AB39" t="str">
        <f>HYPERLINK("Melting_Curves/meltCurve_A6NG51_SPTAN1.pdf", "Melting_Curves/meltCurve_A6NG51_SPTAN1.pdf")</f>
        <v>Melting_Curves/meltCurve_A6NG51_SPTAN1.pdf</v>
      </c>
    </row>
    <row r="40" spans="1:28" x14ac:dyDescent="0.25">
      <c r="A40" t="s">
        <v>44</v>
      </c>
      <c r="B40">
        <v>0.99542014353169495</v>
      </c>
      <c r="C40">
        <v>1.08705355084516</v>
      </c>
      <c r="D40">
        <v>1.0113566736234501</v>
      </c>
      <c r="E40">
        <v>0.95362407110846403</v>
      </c>
      <c r="F40">
        <v>0.680622124887719</v>
      </c>
      <c r="G40">
        <v>0.52010101280962595</v>
      </c>
      <c r="H40">
        <v>0.36825323456020098</v>
      </c>
      <c r="I40">
        <v>0.32540356626334199</v>
      </c>
      <c r="J40">
        <v>0.53598292459401098</v>
      </c>
      <c r="K40">
        <v>0.56576070994689198</v>
      </c>
      <c r="L40">
        <v>1772.50917245396</v>
      </c>
      <c r="M40">
        <v>35.626060416666803</v>
      </c>
      <c r="N40">
        <v>53.335390781899001</v>
      </c>
      <c r="O40">
        <v>49.597188337364997</v>
      </c>
      <c r="P40">
        <v>-9.7993169253472401E-2</v>
      </c>
      <c r="Q40">
        <v>0.45431305365389402</v>
      </c>
      <c r="R40">
        <v>0.92721809558770996</v>
      </c>
      <c r="S40" t="s">
        <v>6442</v>
      </c>
      <c r="T40" t="s">
        <v>12802</v>
      </c>
      <c r="U40" t="s">
        <v>12802</v>
      </c>
      <c r="V40" t="s">
        <v>12802</v>
      </c>
      <c r="W40" t="s">
        <v>12842</v>
      </c>
      <c r="X40">
        <v>9</v>
      </c>
      <c r="Y40" t="s">
        <v>19164</v>
      </c>
      <c r="Z40" t="s">
        <v>25358</v>
      </c>
      <c r="AA40">
        <v>0.68865435727291213</v>
      </c>
      <c r="AB40" t="str">
        <f>HYPERLINK("Melting_Curves/meltCurve_A6NG79_PRCC.pdf", "Melting_Curves/meltCurve_A6NG79_PRCC.pdf")</f>
        <v>Melting_Curves/meltCurve_A6NG79_PRCC.pdf</v>
      </c>
    </row>
    <row r="41" spans="1:28" x14ac:dyDescent="0.25">
      <c r="A41" t="s">
        <v>45</v>
      </c>
      <c r="B41">
        <v>0.99542014353169495</v>
      </c>
      <c r="C41">
        <v>0.99616165647390098</v>
      </c>
      <c r="D41">
        <v>0.96964598564606896</v>
      </c>
      <c r="E41">
        <v>0.85030409475181401</v>
      </c>
      <c r="F41">
        <v>0.72968236994008195</v>
      </c>
      <c r="G41">
        <v>0.53762014677317904</v>
      </c>
      <c r="H41">
        <v>0.39130805172293798</v>
      </c>
      <c r="I41">
        <v>0.341585094420781</v>
      </c>
      <c r="J41">
        <v>0.47640594138249998</v>
      </c>
      <c r="K41">
        <v>0.47835123133160701</v>
      </c>
      <c r="L41">
        <v>1005.28152624569</v>
      </c>
      <c r="M41">
        <v>20.119693837062002</v>
      </c>
      <c r="N41">
        <v>54.696132262586097</v>
      </c>
      <c r="O41">
        <v>49.479307756126502</v>
      </c>
      <c r="P41">
        <v>-5.9749185657806299E-2</v>
      </c>
      <c r="Q41">
        <v>0.41226653457029899</v>
      </c>
      <c r="R41">
        <v>0.96518113179452802</v>
      </c>
      <c r="S41" t="s">
        <v>6443</v>
      </c>
      <c r="T41" t="s">
        <v>12802</v>
      </c>
      <c r="U41" t="s">
        <v>12802</v>
      </c>
      <c r="V41" t="s">
        <v>12802</v>
      </c>
      <c r="W41" t="s">
        <v>12843</v>
      </c>
      <c r="X41">
        <v>6</v>
      </c>
      <c r="Y41" t="s">
        <v>19165</v>
      </c>
      <c r="Z41" t="s">
        <v>25359</v>
      </c>
      <c r="AA41">
        <v>0.67392628039931568</v>
      </c>
      <c r="AB41" t="str">
        <f>HYPERLINK("Melting_Curves/meltCurve_A6NGB9_WIPF3.pdf", "Melting_Curves/meltCurve_A6NGB9_WIPF3.pdf")</f>
        <v>Melting_Curves/meltCurve_A6NGB9_WIPF3.pdf</v>
      </c>
    </row>
    <row r="42" spans="1:28" x14ac:dyDescent="0.25">
      <c r="A42" t="s">
        <v>46</v>
      </c>
      <c r="B42">
        <v>0.99542014353169495</v>
      </c>
      <c r="C42">
        <v>1.1403198919053401</v>
      </c>
      <c r="D42">
        <v>1.0674413033115899</v>
      </c>
      <c r="E42">
        <v>0.73012619273145296</v>
      </c>
      <c r="F42">
        <v>0.24195682000199201</v>
      </c>
      <c r="G42">
        <v>0.118288066877818</v>
      </c>
      <c r="H42">
        <v>4.3341673876754902E-2</v>
      </c>
      <c r="I42">
        <v>3.7774093766718399E-2</v>
      </c>
      <c r="J42">
        <v>4.1966529840608897E-2</v>
      </c>
      <c r="K42">
        <v>6.4776447686049607E-2</v>
      </c>
      <c r="L42">
        <v>1590.7051538317601</v>
      </c>
      <c r="M42">
        <v>33.120744981592402</v>
      </c>
      <c r="N42">
        <v>48.196811701538898</v>
      </c>
      <c r="O42">
        <v>47.8533906350305</v>
      </c>
      <c r="P42">
        <v>-0.163528152930975</v>
      </c>
      <c r="Q42">
        <v>5.49316652751866E-2</v>
      </c>
      <c r="R42">
        <v>0.98521453441310203</v>
      </c>
      <c r="S42" t="s">
        <v>6444</v>
      </c>
      <c r="T42" t="s">
        <v>12802</v>
      </c>
      <c r="U42" t="s">
        <v>12802</v>
      </c>
      <c r="V42" t="s">
        <v>12802</v>
      </c>
      <c r="W42" t="s">
        <v>12844</v>
      </c>
      <c r="X42">
        <v>1</v>
      </c>
      <c r="Y42" t="s">
        <v>19166</v>
      </c>
      <c r="Z42" t="s">
        <v>25360</v>
      </c>
      <c r="AA42">
        <v>0.40691107619876338</v>
      </c>
      <c r="AB42" t="str">
        <f>HYPERLINK("Melting_Curves/meltCurve_A6NGH7_CCDC160.pdf", "Melting_Curves/meltCurve_A6NGH7_CCDC160.pdf")</f>
        <v>Melting_Curves/meltCurve_A6NGH7_CCDC160.pdf</v>
      </c>
    </row>
    <row r="43" spans="1:28" x14ac:dyDescent="0.25">
      <c r="A43" t="s">
        <v>47</v>
      </c>
      <c r="B43">
        <v>0.99542014353169495</v>
      </c>
      <c r="C43">
        <v>1.12632121268299</v>
      </c>
      <c r="D43">
        <v>1.21139964269199</v>
      </c>
      <c r="E43">
        <v>1.2743680225967</v>
      </c>
      <c r="F43">
        <v>1.14740060388805</v>
      </c>
      <c r="G43">
        <v>0.94077010479044398</v>
      </c>
      <c r="H43">
        <v>0.77826874319672901</v>
      </c>
      <c r="I43">
        <v>0.80338906628426199</v>
      </c>
      <c r="J43">
        <v>1.09517350126739</v>
      </c>
      <c r="K43">
        <v>1.5133012786444799</v>
      </c>
      <c r="L43">
        <v>15000</v>
      </c>
      <c r="M43">
        <v>232.56176796529999</v>
      </c>
      <c r="O43">
        <v>64.494224344943603</v>
      </c>
      <c r="P43">
        <v>0.45074146517108798</v>
      </c>
      <c r="Q43">
        <v>1.5</v>
      </c>
      <c r="R43">
        <v>0.437605368268352</v>
      </c>
      <c r="S43" t="s">
        <v>6445</v>
      </c>
      <c r="T43" t="s">
        <v>12802</v>
      </c>
      <c r="U43" t="s">
        <v>12802</v>
      </c>
      <c r="V43" t="s">
        <v>12802</v>
      </c>
      <c r="W43" t="s">
        <v>12845</v>
      </c>
      <c r="X43">
        <v>18</v>
      </c>
      <c r="Y43" t="s">
        <v>19167</v>
      </c>
      <c r="Z43" t="s">
        <v>25361</v>
      </c>
      <c r="AA43">
        <v>1.041618887564782</v>
      </c>
      <c r="AB43" t="str">
        <f>HYPERLINK("Melting_Curves/meltCurve_A6NGP5_HN1L.pdf", "Melting_Curves/meltCurve_A6NGP5_HN1L.pdf")</f>
        <v>Melting_Curves/meltCurve_A6NGP5_HN1L.pdf</v>
      </c>
    </row>
    <row r="44" spans="1:28" x14ac:dyDescent="0.25">
      <c r="A44" t="s">
        <v>48</v>
      </c>
      <c r="B44">
        <v>0.99542014353169495</v>
      </c>
      <c r="C44">
        <v>1.1481183022275401</v>
      </c>
      <c r="D44">
        <v>1.0163733664460901</v>
      </c>
      <c r="E44">
        <v>0.86584519926883796</v>
      </c>
      <c r="F44">
        <v>0.75090338057018902</v>
      </c>
      <c r="G44">
        <v>0.46605078242599401</v>
      </c>
      <c r="H44">
        <v>0.54668022857388698</v>
      </c>
      <c r="I44">
        <v>0.42445496664799698</v>
      </c>
      <c r="J44">
        <v>0.35952016133638598</v>
      </c>
      <c r="K44">
        <v>0.456305609601109</v>
      </c>
      <c r="L44">
        <v>1085.9189853779201</v>
      </c>
      <c r="M44">
        <v>21.631229083636502</v>
      </c>
      <c r="N44">
        <v>54.911797914904596</v>
      </c>
      <c r="O44">
        <v>49.778313844225003</v>
      </c>
      <c r="P44">
        <v>-6.2814236157795397E-2</v>
      </c>
      <c r="Q44">
        <v>0.42181524344513599</v>
      </c>
      <c r="R44">
        <v>0.93990991933168799</v>
      </c>
      <c r="S44" t="s">
        <v>6446</v>
      </c>
      <c r="T44" t="s">
        <v>12802</v>
      </c>
      <c r="U44" t="s">
        <v>12802</v>
      </c>
      <c r="V44" t="s">
        <v>12802</v>
      </c>
      <c r="W44" t="s">
        <v>12846</v>
      </c>
      <c r="X44">
        <v>4</v>
      </c>
      <c r="Y44" t="s">
        <v>19168</v>
      </c>
      <c r="Z44" t="s">
        <v>25362</v>
      </c>
      <c r="AA44">
        <v>0.68286846337254981</v>
      </c>
      <c r="AB44" t="str">
        <f>HYPERLINK("Melting_Curves/meltCurve_A6NGU5_GGT3P.pdf", "Melting_Curves/meltCurve_A6NGU5_GGT3P.pdf")</f>
        <v>Melting_Curves/meltCurve_A6NGU5_GGT3P.pdf</v>
      </c>
    </row>
    <row r="45" spans="1:28" x14ac:dyDescent="0.25">
      <c r="A45" t="s">
        <v>49</v>
      </c>
      <c r="B45">
        <v>0.99542014353169495</v>
      </c>
      <c r="C45">
        <v>0.94982921274976295</v>
      </c>
      <c r="D45">
        <v>0.85940621625689995</v>
      </c>
      <c r="E45">
        <v>0.76553679625858695</v>
      </c>
      <c r="F45">
        <v>0.71379641309581499</v>
      </c>
      <c r="G45">
        <v>0.47394080511348302</v>
      </c>
      <c r="H45">
        <v>0.39206765252639902</v>
      </c>
      <c r="I45">
        <v>0.216265237173902</v>
      </c>
      <c r="J45">
        <v>5.6716975794557402E-2</v>
      </c>
      <c r="K45">
        <v>3.1598972404706098E-2</v>
      </c>
      <c r="L45">
        <v>567.92607413446603</v>
      </c>
      <c r="M45">
        <v>10.658341832713999</v>
      </c>
      <c r="N45">
        <v>53.284658931510897</v>
      </c>
      <c r="O45">
        <v>51.511602477667097</v>
      </c>
      <c r="P45">
        <v>-5.17475742124721E-2</v>
      </c>
      <c r="Q45">
        <v>0</v>
      </c>
      <c r="R45">
        <v>0.97524970543528</v>
      </c>
      <c r="S45" t="s">
        <v>6447</v>
      </c>
      <c r="T45" t="s">
        <v>12802</v>
      </c>
      <c r="U45" t="s">
        <v>12802</v>
      </c>
      <c r="V45" t="s">
        <v>12802</v>
      </c>
      <c r="W45" t="s">
        <v>12847</v>
      </c>
      <c r="X45">
        <v>10</v>
      </c>
      <c r="Y45" t="s">
        <v>19169</v>
      </c>
      <c r="Z45" t="s">
        <v>25363</v>
      </c>
      <c r="AA45">
        <v>0.5637866629280498</v>
      </c>
      <c r="AB45" t="str">
        <f>HYPERLINK("Melting_Curves/meltCurve_A6NHL2_2_TUBAL3.pdf", "Melting_Curves/meltCurve_A6NHL2_2_TUBAL3.pdf")</f>
        <v>Melting_Curves/meltCurve_A6NHL2_2_TUBAL3.pdf</v>
      </c>
    </row>
    <row r="46" spans="1:28" x14ac:dyDescent="0.25">
      <c r="A46" t="s">
        <v>50</v>
      </c>
      <c r="B46">
        <v>0.99542014353169495</v>
      </c>
      <c r="C46">
        <v>0.73861134325608202</v>
      </c>
      <c r="D46">
        <v>0.65010424527372501</v>
      </c>
      <c r="E46">
        <v>0.55217120627008498</v>
      </c>
      <c r="F46">
        <v>0.42476136447981899</v>
      </c>
      <c r="G46">
        <v>0.350514255504147</v>
      </c>
      <c r="H46">
        <v>0.271472920218499</v>
      </c>
      <c r="I46">
        <v>0.21262358624466901</v>
      </c>
      <c r="J46">
        <v>0.26412277522719702</v>
      </c>
      <c r="K46">
        <v>0.26786388554457002</v>
      </c>
      <c r="L46">
        <v>436.458996051535</v>
      </c>
      <c r="M46">
        <v>9.8063319245100402</v>
      </c>
      <c r="N46">
        <v>47.181029699393697</v>
      </c>
      <c r="O46">
        <v>42.7754613777036</v>
      </c>
      <c r="P46">
        <v>-4.51210370103685E-2</v>
      </c>
      <c r="Q46">
        <v>0.21313640884264001</v>
      </c>
      <c r="R46">
        <v>0.96792800979172</v>
      </c>
      <c r="S46" t="s">
        <v>6448</v>
      </c>
      <c r="T46" t="s">
        <v>12802</v>
      </c>
      <c r="U46" t="s">
        <v>12802</v>
      </c>
      <c r="V46" t="s">
        <v>12802</v>
      </c>
      <c r="W46" t="s">
        <v>12848</v>
      </c>
      <c r="X46">
        <v>8</v>
      </c>
      <c r="Y46" t="s">
        <v>19170</v>
      </c>
      <c r="Z46" t="s">
        <v>25364</v>
      </c>
      <c r="AA46">
        <v>0.45177800734663393</v>
      </c>
      <c r="AB46" t="str">
        <f>HYPERLINK("Melting_Curves/meltCurve_A6NHN7_ZMYM3.pdf", "Melting_Curves/meltCurve_A6NHN7_ZMYM3.pdf")</f>
        <v>Melting_Curves/meltCurve_A6NHN7_ZMYM3.pdf</v>
      </c>
    </row>
    <row r="47" spans="1:28" x14ac:dyDescent="0.25">
      <c r="A47" t="s">
        <v>51</v>
      </c>
      <c r="B47">
        <v>0.99542014353169495</v>
      </c>
      <c r="C47">
        <v>0.91067375937880601</v>
      </c>
      <c r="D47">
        <v>0.90399268477734396</v>
      </c>
      <c r="E47">
        <v>0.37105130404264203</v>
      </c>
      <c r="F47">
        <v>0.156618147794712</v>
      </c>
      <c r="G47">
        <v>9.1105892366246596E-2</v>
      </c>
      <c r="H47">
        <v>6.0668809548844099E-2</v>
      </c>
      <c r="I47">
        <v>4.5683501416477403E-2</v>
      </c>
      <c r="J47">
        <v>4.7213225212386398E-2</v>
      </c>
      <c r="K47">
        <v>4.77662447532183E-2</v>
      </c>
      <c r="L47">
        <v>1336.0867054870901</v>
      </c>
      <c r="M47">
        <v>29.2590734067781</v>
      </c>
      <c r="N47">
        <v>45.863177058935797</v>
      </c>
      <c r="O47">
        <v>45.452310895086001</v>
      </c>
      <c r="P47">
        <v>-0.15133275625055401</v>
      </c>
      <c r="Q47">
        <v>5.9659587574537799E-2</v>
      </c>
      <c r="R47">
        <v>0.99348700929693301</v>
      </c>
      <c r="S47" t="s">
        <v>6449</v>
      </c>
      <c r="T47" t="s">
        <v>12802</v>
      </c>
      <c r="U47" t="s">
        <v>12802</v>
      </c>
      <c r="V47" t="s">
        <v>12802</v>
      </c>
      <c r="W47" t="s">
        <v>12849</v>
      </c>
      <c r="X47">
        <v>49</v>
      </c>
      <c r="Y47" t="s">
        <v>19171</v>
      </c>
      <c r="Z47" t="s">
        <v>25365</v>
      </c>
      <c r="AA47">
        <v>0.33684460110072828</v>
      </c>
      <c r="AB47" t="str">
        <f>HYPERLINK("Melting_Curves/meltCurve_A6NHR9_SMCHD1.pdf", "Melting_Curves/meltCurve_A6NHR9_SMCHD1.pdf")</f>
        <v>Melting_Curves/meltCurve_A6NHR9_SMCHD1.pdf</v>
      </c>
    </row>
    <row r="48" spans="1:28" x14ac:dyDescent="0.25">
      <c r="A48" t="s">
        <v>52</v>
      </c>
      <c r="B48">
        <v>0.99542014353169495</v>
      </c>
      <c r="C48">
        <v>1.0533302708355801</v>
      </c>
      <c r="D48">
        <v>0.94432770136820099</v>
      </c>
      <c r="E48">
        <v>0.89224402416104298</v>
      </c>
      <c r="F48">
        <v>0.67017650339398904</v>
      </c>
      <c r="G48">
        <v>0.40906780508804202</v>
      </c>
      <c r="H48">
        <v>0.31655547699641201</v>
      </c>
      <c r="I48">
        <v>0.26939692476383897</v>
      </c>
      <c r="J48">
        <v>0.34650923687659602</v>
      </c>
      <c r="K48">
        <v>0.38812067292442898</v>
      </c>
      <c r="L48">
        <v>1289.8463010667299</v>
      </c>
      <c r="M48">
        <v>25.768489600837601</v>
      </c>
      <c r="N48">
        <v>52.1445082547867</v>
      </c>
      <c r="O48">
        <v>49.756639083803698</v>
      </c>
      <c r="P48">
        <v>-8.7791230256137595E-2</v>
      </c>
      <c r="Q48">
        <v>0.32194016093519501</v>
      </c>
      <c r="R48">
        <v>0.98310463084058797</v>
      </c>
      <c r="S48" t="s">
        <v>6450</v>
      </c>
      <c r="T48" t="s">
        <v>12802</v>
      </c>
      <c r="U48" t="s">
        <v>12802</v>
      </c>
      <c r="V48" t="s">
        <v>12802</v>
      </c>
      <c r="W48" t="s">
        <v>12850</v>
      </c>
      <c r="X48">
        <v>4</v>
      </c>
      <c r="Y48" t="s">
        <v>19172</v>
      </c>
      <c r="Z48" t="s">
        <v>25366</v>
      </c>
      <c r="AA48">
        <v>0.62261301474005959</v>
      </c>
      <c r="AB48" t="str">
        <f>HYPERLINK("Melting_Curves/meltCurve_A6NIH7_UNC119B.pdf", "Melting_Curves/meltCurve_A6NIH7_UNC119B.pdf")</f>
        <v>Melting_Curves/meltCurve_A6NIH7_UNC119B.pdf</v>
      </c>
    </row>
    <row r="49" spans="1:28" x14ac:dyDescent="0.25">
      <c r="A49" t="s">
        <v>53</v>
      </c>
      <c r="B49">
        <v>0.99542014353169495</v>
      </c>
      <c r="C49">
        <v>0.91630426577105695</v>
      </c>
      <c r="D49">
        <v>0.93003863945103704</v>
      </c>
      <c r="E49">
        <v>0.57369117473736797</v>
      </c>
      <c r="F49">
        <v>0.21730635970687301</v>
      </c>
      <c r="G49">
        <v>0.13049047995028701</v>
      </c>
      <c r="H49">
        <v>8.2701797541370706E-2</v>
      </c>
      <c r="I49">
        <v>5.0897627217440802E-2</v>
      </c>
      <c r="J49">
        <v>4.7566134724891899E-2</v>
      </c>
      <c r="K49">
        <v>5.2899767095349201E-2</v>
      </c>
      <c r="L49">
        <v>1093.9200301041501</v>
      </c>
      <c r="M49">
        <v>23.2713708226023</v>
      </c>
      <c r="N49">
        <v>47.251546825115703</v>
      </c>
      <c r="O49">
        <v>46.664130377828101</v>
      </c>
      <c r="P49">
        <v>-0.117606737508482</v>
      </c>
      <c r="Q49">
        <v>5.67090980291051E-2</v>
      </c>
      <c r="R49">
        <v>0.995488808797929</v>
      </c>
      <c r="S49" t="s">
        <v>6451</v>
      </c>
      <c r="T49" t="s">
        <v>12802</v>
      </c>
      <c r="U49" t="s">
        <v>12802</v>
      </c>
      <c r="V49" t="s">
        <v>12802</v>
      </c>
      <c r="W49" t="s">
        <v>12851</v>
      </c>
      <c r="X49">
        <v>13</v>
      </c>
      <c r="Y49" t="s">
        <v>19173</v>
      </c>
      <c r="Z49" t="s">
        <v>25367</v>
      </c>
      <c r="AA49">
        <v>0.38051075286915542</v>
      </c>
      <c r="AB49" t="str">
        <f>HYPERLINK("Melting_Curves/meltCurve_A6NIW2_DOCK11.pdf", "Melting_Curves/meltCurve_A6NIW2_DOCK11.pdf")</f>
        <v>Melting_Curves/meltCurve_A6NIW2_DOCK11.pdf</v>
      </c>
    </row>
    <row r="50" spans="1:28" x14ac:dyDescent="0.25">
      <c r="A50" t="s">
        <v>54</v>
      </c>
      <c r="B50">
        <v>0.99542014353169495</v>
      </c>
      <c r="C50">
        <v>0.906606043907905</v>
      </c>
      <c r="D50">
        <v>0.92384360562809198</v>
      </c>
      <c r="E50">
        <v>0.76515593983900598</v>
      </c>
      <c r="F50">
        <v>0.59605575104729502</v>
      </c>
      <c r="G50">
        <v>0.305128790086659</v>
      </c>
      <c r="H50">
        <v>0.24210263119974901</v>
      </c>
      <c r="I50">
        <v>0.193180519820005</v>
      </c>
      <c r="J50">
        <v>0.191172033518486</v>
      </c>
      <c r="K50">
        <v>0.20074990565296799</v>
      </c>
      <c r="L50">
        <v>769.51810426750603</v>
      </c>
      <c r="M50">
        <v>15.5101269405602</v>
      </c>
      <c r="N50">
        <v>50.881472209191301</v>
      </c>
      <c r="O50">
        <v>48.8111118133844</v>
      </c>
      <c r="P50">
        <v>-6.6715396296564103E-2</v>
      </c>
      <c r="Q50">
        <v>0.16024826039064899</v>
      </c>
      <c r="R50">
        <v>0.98864265581374999</v>
      </c>
      <c r="S50" t="s">
        <v>6452</v>
      </c>
      <c r="T50" t="s">
        <v>12802</v>
      </c>
      <c r="U50" t="s">
        <v>12802</v>
      </c>
      <c r="V50" t="s">
        <v>12802</v>
      </c>
      <c r="W50" t="s">
        <v>12852</v>
      </c>
      <c r="X50">
        <v>4</v>
      </c>
      <c r="Y50" t="s">
        <v>19174</v>
      </c>
      <c r="Z50" t="s">
        <v>25368</v>
      </c>
      <c r="AA50">
        <v>0.53022058838812813</v>
      </c>
      <c r="AB50" t="str">
        <f>HYPERLINK("Melting_Curves/meltCurve_A6NIZ0_NDEL1.pdf", "Melting_Curves/meltCurve_A6NIZ0_NDEL1.pdf")</f>
        <v>Melting_Curves/meltCurve_A6NIZ0_NDEL1.pdf</v>
      </c>
    </row>
    <row r="51" spans="1:28" x14ac:dyDescent="0.25">
      <c r="A51" t="s">
        <v>55</v>
      </c>
      <c r="B51">
        <v>0.99542014353169495</v>
      </c>
      <c r="C51">
        <v>1.0799648864100599</v>
      </c>
      <c r="D51">
        <v>1.04710342748324</v>
      </c>
      <c r="E51">
        <v>0.68897065326843798</v>
      </c>
      <c r="F51">
        <v>0.27125834582171798</v>
      </c>
      <c r="G51">
        <v>0.14503385067997801</v>
      </c>
      <c r="H51">
        <v>0.11129133437699699</v>
      </c>
      <c r="I51">
        <v>7.5762443004352795E-2</v>
      </c>
      <c r="J51">
        <v>7.6545769922806706E-2</v>
      </c>
      <c r="K51">
        <v>8.9959917605973702E-2</v>
      </c>
      <c r="L51">
        <v>1472.02499280133</v>
      </c>
      <c r="M51">
        <v>30.822302593060201</v>
      </c>
      <c r="N51">
        <v>48.082243824493503</v>
      </c>
      <c r="O51">
        <v>47.558754333811201</v>
      </c>
      <c r="P51">
        <v>-0.14683802283314501</v>
      </c>
      <c r="Q51">
        <v>9.3722194087449098E-2</v>
      </c>
      <c r="R51">
        <v>0.991662908206839</v>
      </c>
      <c r="S51" t="s">
        <v>6453</v>
      </c>
      <c r="T51" t="s">
        <v>12802</v>
      </c>
      <c r="U51" t="s">
        <v>12802</v>
      </c>
      <c r="V51" t="s">
        <v>12802</v>
      </c>
      <c r="W51" t="s">
        <v>12853</v>
      </c>
      <c r="X51">
        <v>5</v>
      </c>
      <c r="Y51" t="s">
        <v>19175</v>
      </c>
      <c r="Z51" t="s">
        <v>25369</v>
      </c>
      <c r="AA51">
        <v>0.42378685521835191</v>
      </c>
      <c r="AB51" t="str">
        <f>HYPERLINK("Melting_Curves/meltCurve_A6NJ78_METTL15.pdf", "Melting_Curves/meltCurve_A6NJ78_METTL15.pdf")</f>
        <v>Melting_Curves/meltCurve_A6NJ78_METTL15.pdf</v>
      </c>
    </row>
    <row r="52" spans="1:28" x14ac:dyDescent="0.25">
      <c r="A52" t="s">
        <v>56</v>
      </c>
      <c r="B52">
        <v>0.99542014353169495</v>
      </c>
      <c r="C52">
        <v>0.95038648725991204</v>
      </c>
      <c r="D52">
        <v>0.86694862977825904</v>
      </c>
      <c r="E52">
        <v>0.77596070028134501</v>
      </c>
      <c r="F52">
        <v>0.48793150779154598</v>
      </c>
      <c r="G52">
        <v>0.34572192269152002</v>
      </c>
      <c r="H52">
        <v>0.200590928819599</v>
      </c>
      <c r="I52">
        <v>0.16108584729478101</v>
      </c>
      <c r="J52">
        <v>0.18706084328236799</v>
      </c>
      <c r="K52">
        <v>0.23915094994435299</v>
      </c>
      <c r="L52">
        <v>775.80542937090604</v>
      </c>
      <c r="M52">
        <v>15.875349048618199</v>
      </c>
      <c r="N52">
        <v>50.165800019879001</v>
      </c>
      <c r="O52">
        <v>48.1128432631862</v>
      </c>
      <c r="P52">
        <v>-6.8608650586938699E-2</v>
      </c>
      <c r="Q52">
        <v>0.168347987911935</v>
      </c>
      <c r="R52">
        <v>0.98876046795042305</v>
      </c>
      <c r="S52" t="s">
        <v>6454</v>
      </c>
      <c r="T52" t="s">
        <v>12802</v>
      </c>
      <c r="U52" t="s">
        <v>12802</v>
      </c>
      <c r="V52" t="s">
        <v>12802</v>
      </c>
      <c r="W52" t="s">
        <v>12854</v>
      </c>
      <c r="X52">
        <v>2</v>
      </c>
      <c r="Y52" t="s">
        <v>19176</v>
      </c>
      <c r="Z52" t="s">
        <v>25370</v>
      </c>
      <c r="AA52">
        <v>0.5137461269127529</v>
      </c>
      <c r="AB52" t="str">
        <f>HYPERLINK("Melting_Curves/meltCurve_A6NJX6_CHCHD1.pdf", "Melting_Curves/meltCurve_A6NJX6_CHCHD1.pdf")</f>
        <v>Melting_Curves/meltCurve_A6NJX6_CHCHD1.pdf</v>
      </c>
    </row>
    <row r="53" spans="1:28" x14ac:dyDescent="0.25">
      <c r="A53" t="s">
        <v>57</v>
      </c>
      <c r="B53">
        <v>0.99542014353169495</v>
      </c>
      <c r="C53">
        <v>0.94519659473296003</v>
      </c>
      <c r="D53">
        <v>0.80988563297870697</v>
      </c>
      <c r="E53">
        <v>0.68488704209486695</v>
      </c>
      <c r="F53">
        <v>0.35536958984862799</v>
      </c>
      <c r="G53">
        <v>0.17167028190991601</v>
      </c>
      <c r="H53">
        <v>6.9468594793918106E-2</v>
      </c>
      <c r="I53">
        <v>6.4102180471938594E-2</v>
      </c>
      <c r="J53">
        <v>4.8685182279816303E-2</v>
      </c>
      <c r="K53">
        <v>9.4839981510227198E-2</v>
      </c>
      <c r="L53">
        <v>756.06924696294595</v>
      </c>
      <c r="M53">
        <v>15.7429593283383</v>
      </c>
      <c r="N53">
        <v>48.2565928227962</v>
      </c>
      <c r="O53">
        <v>47.2709875560424</v>
      </c>
      <c r="P53">
        <v>-8.0247608932949202E-2</v>
      </c>
      <c r="Q53">
        <v>3.6250780538195998E-2</v>
      </c>
      <c r="R53">
        <v>0.99259252719842905</v>
      </c>
      <c r="S53" t="s">
        <v>6455</v>
      </c>
      <c r="T53" t="s">
        <v>12802</v>
      </c>
      <c r="U53" t="s">
        <v>12802</v>
      </c>
      <c r="V53" t="s">
        <v>12802</v>
      </c>
      <c r="W53" t="s">
        <v>12855</v>
      </c>
      <c r="X53">
        <v>2</v>
      </c>
      <c r="Y53" t="s">
        <v>19177</v>
      </c>
      <c r="Z53" t="s">
        <v>25371</v>
      </c>
      <c r="AA53">
        <v>0.40999559440246902</v>
      </c>
      <c r="AB53" t="str">
        <f>HYPERLINK("Melting_Curves/meltCurve_A6NK88_CDKN1C.pdf", "Melting_Curves/meltCurve_A6NK88_CDKN1C.pdf")</f>
        <v>Melting_Curves/meltCurve_A6NK88_CDKN1C.pdf</v>
      </c>
    </row>
    <row r="54" spans="1:28" x14ac:dyDescent="0.25">
      <c r="A54" t="s">
        <v>58</v>
      </c>
      <c r="B54">
        <v>0.99542014353169495</v>
      </c>
      <c r="C54">
        <v>0.94953793952783805</v>
      </c>
      <c r="D54">
        <v>0.93778910559014905</v>
      </c>
      <c r="E54">
        <v>0.60103148890375002</v>
      </c>
      <c r="F54">
        <v>0.28994348223666999</v>
      </c>
      <c r="G54">
        <v>0.16225481220586099</v>
      </c>
      <c r="H54">
        <v>0.11091748943741001</v>
      </c>
      <c r="I54">
        <v>8.3588093288704604E-2</v>
      </c>
      <c r="J54">
        <v>0.124095355632693</v>
      </c>
      <c r="K54">
        <v>0.17620306208349301</v>
      </c>
      <c r="L54">
        <v>1140.8747784403599</v>
      </c>
      <c r="M54">
        <v>24.2522580314821</v>
      </c>
      <c r="N54">
        <v>47.5882822947381</v>
      </c>
      <c r="O54">
        <v>46.725660815380799</v>
      </c>
      <c r="P54">
        <v>-0.113994258560129</v>
      </c>
      <c r="Q54">
        <v>0.12150425516996601</v>
      </c>
      <c r="R54">
        <v>0.99461706548367701</v>
      </c>
      <c r="S54" t="s">
        <v>6456</v>
      </c>
      <c r="T54" t="s">
        <v>12802</v>
      </c>
      <c r="U54" t="s">
        <v>12802</v>
      </c>
      <c r="V54" t="s">
        <v>12802</v>
      </c>
      <c r="W54" t="s">
        <v>12856</v>
      </c>
      <c r="X54">
        <v>7</v>
      </c>
      <c r="Y54" t="s">
        <v>19178</v>
      </c>
      <c r="Z54" t="s">
        <v>25372</v>
      </c>
      <c r="AA54">
        <v>0.42341257857395448</v>
      </c>
      <c r="AB54" t="str">
        <f>HYPERLINK("Melting_Curves/meltCurve_A6NKD9_CCDC85C.pdf", "Melting_Curves/meltCurve_A6NKD9_CCDC85C.pdf")</f>
        <v>Melting_Curves/meltCurve_A6NKD9_CCDC85C.pdf</v>
      </c>
    </row>
    <row r="55" spans="1:28" x14ac:dyDescent="0.25">
      <c r="A55" t="s">
        <v>59</v>
      </c>
      <c r="B55">
        <v>0.99542014353169495</v>
      </c>
      <c r="C55">
        <v>0.82413591607487702</v>
      </c>
      <c r="D55">
        <v>0.84461073294701705</v>
      </c>
      <c r="E55">
        <v>0.61946712739215004</v>
      </c>
      <c r="F55">
        <v>0.423123094585174</v>
      </c>
      <c r="G55">
        <v>0.256237332421204</v>
      </c>
      <c r="H55">
        <v>0.161637979079333</v>
      </c>
      <c r="I55">
        <v>8.9559333980508193E-2</v>
      </c>
      <c r="J55">
        <v>5.77156305543833E-2</v>
      </c>
      <c r="K55">
        <v>0.111665471109665</v>
      </c>
      <c r="L55">
        <v>531.82094647295401</v>
      </c>
      <c r="M55">
        <v>10.983388390907599</v>
      </c>
      <c r="N55">
        <v>48.5934877962043</v>
      </c>
      <c r="O55">
        <v>46.898395957407701</v>
      </c>
      <c r="P55">
        <v>-5.7445682339911097E-2</v>
      </c>
      <c r="Q55">
        <v>1.9174679864855101E-2</v>
      </c>
      <c r="R55">
        <v>0.98761317760701395</v>
      </c>
      <c r="S55" t="s">
        <v>6457</v>
      </c>
      <c r="T55" t="s">
        <v>12802</v>
      </c>
      <c r="U55" t="s">
        <v>12802</v>
      </c>
      <c r="V55" t="s">
        <v>12802</v>
      </c>
      <c r="W55" t="s">
        <v>12857</v>
      </c>
      <c r="X55">
        <v>2</v>
      </c>
      <c r="Y55" t="s">
        <v>19179</v>
      </c>
      <c r="Z55" t="s">
        <v>25373</v>
      </c>
      <c r="AA55">
        <v>0.42646178620967717</v>
      </c>
      <c r="AB55" t="str">
        <f>HYPERLINK("Melting_Curves/meltCurve_A6NKF9_GPR89C.pdf", "Melting_Curves/meltCurve_A6NKF9_GPR89C.pdf")</f>
        <v>Melting_Curves/meltCurve_A6NKF9_GPR89C.pdf</v>
      </c>
    </row>
    <row r="56" spans="1:28" x14ac:dyDescent="0.25">
      <c r="A56" t="s">
        <v>60</v>
      </c>
      <c r="B56">
        <v>0.99542014353169495</v>
      </c>
      <c r="C56">
        <v>0.95298433207104705</v>
      </c>
      <c r="D56">
        <v>0.92355891719869598</v>
      </c>
      <c r="E56">
        <v>0.87178476319923903</v>
      </c>
      <c r="F56">
        <v>0.68348685518776697</v>
      </c>
      <c r="G56">
        <v>0.53006728875502096</v>
      </c>
      <c r="H56">
        <v>0.40224557852260501</v>
      </c>
      <c r="I56">
        <v>0.25514791354454402</v>
      </c>
      <c r="J56">
        <v>0.20330596001654</v>
      </c>
      <c r="K56">
        <v>0.15130016215921699</v>
      </c>
      <c r="L56">
        <v>536.84377600665698</v>
      </c>
      <c r="M56">
        <v>9.8717028859223497</v>
      </c>
      <c r="N56">
        <v>54.596628229306901</v>
      </c>
      <c r="O56">
        <v>52.291502034556999</v>
      </c>
      <c r="P56">
        <v>-4.6321295871877201E-2</v>
      </c>
      <c r="Q56">
        <v>1.9025277525717001E-2</v>
      </c>
      <c r="R56">
        <v>0.99769297856071004</v>
      </c>
      <c r="S56" t="s">
        <v>6458</v>
      </c>
      <c r="T56" t="s">
        <v>12802</v>
      </c>
      <c r="U56" t="s">
        <v>12802</v>
      </c>
      <c r="V56" t="s">
        <v>12802</v>
      </c>
      <c r="W56" t="s">
        <v>12858</v>
      </c>
      <c r="X56">
        <v>5</v>
      </c>
      <c r="Y56" t="s">
        <v>19180</v>
      </c>
      <c r="Z56" t="s">
        <v>25374</v>
      </c>
      <c r="AA56">
        <v>0.60256397407633855</v>
      </c>
      <c r="AB56" t="str">
        <f>HYPERLINK("Melting_Curves/meltCurve_A6NKZ2_RENBP.pdf", "Melting_Curves/meltCurve_A6NKZ2_RENBP.pdf")</f>
        <v>Melting_Curves/meltCurve_A6NKZ2_RENBP.pdf</v>
      </c>
    </row>
    <row r="57" spans="1:28" x14ac:dyDescent="0.25">
      <c r="A57" t="s">
        <v>61</v>
      </c>
      <c r="B57">
        <v>0.99542014353169495</v>
      </c>
      <c r="C57">
        <v>0.91749133460490895</v>
      </c>
      <c r="D57">
        <v>1.0506251367178501</v>
      </c>
      <c r="E57">
        <v>0.67376130829911896</v>
      </c>
      <c r="F57">
        <v>0.62178531677882498</v>
      </c>
      <c r="G57">
        <v>0.41156884296229501</v>
      </c>
      <c r="H57">
        <v>0.266929318761704</v>
      </c>
      <c r="I57">
        <v>0.21806064726088101</v>
      </c>
      <c r="J57">
        <v>0.272407122149394</v>
      </c>
      <c r="K57">
        <v>0.14489221118503701</v>
      </c>
      <c r="L57">
        <v>677.13184043779597</v>
      </c>
      <c r="M57">
        <v>13.5062635948211</v>
      </c>
      <c r="N57">
        <v>51.641294703942599</v>
      </c>
      <c r="O57">
        <v>49.073881671776398</v>
      </c>
      <c r="P57">
        <v>-5.7610333432924599E-2</v>
      </c>
      <c r="Q57">
        <v>0.162838090920565</v>
      </c>
      <c r="R57">
        <v>0.96119715750208701</v>
      </c>
      <c r="S57" t="s">
        <v>6459</v>
      </c>
      <c r="T57" t="s">
        <v>12802</v>
      </c>
      <c r="U57" t="s">
        <v>12802</v>
      </c>
      <c r="V57" t="s">
        <v>12802</v>
      </c>
      <c r="W57" t="s">
        <v>12859</v>
      </c>
      <c r="X57">
        <v>1</v>
      </c>
      <c r="Y57" t="s">
        <v>19181</v>
      </c>
      <c r="Z57" t="s">
        <v>25375</v>
      </c>
      <c r="AA57">
        <v>0.54946613199346417</v>
      </c>
      <c r="AB57" t="str">
        <f>HYPERLINK("Melting_Curves/meltCurve_A6NLH6_CNIH4.pdf", "Melting_Curves/meltCurve_A6NLH6_CNIH4.pdf")</f>
        <v>Melting_Curves/meltCurve_A6NLH6_CNIH4.pdf</v>
      </c>
    </row>
    <row r="58" spans="1:28" x14ac:dyDescent="0.25">
      <c r="A58" t="s">
        <v>62</v>
      </c>
      <c r="B58">
        <v>0.99542014353169495</v>
      </c>
      <c r="C58">
        <v>0.92189666879338905</v>
      </c>
      <c r="D58">
        <v>0.92994973304450101</v>
      </c>
      <c r="E58">
        <v>0.79438287592780699</v>
      </c>
      <c r="F58">
        <v>0.61213675415943203</v>
      </c>
      <c r="G58">
        <v>0.43308123049971597</v>
      </c>
      <c r="H58">
        <v>0.24059752244709501</v>
      </c>
      <c r="I58">
        <v>0.180033332612244</v>
      </c>
      <c r="J58">
        <v>0.159931064818646</v>
      </c>
      <c r="K58">
        <v>7.5641370802089894E-2</v>
      </c>
      <c r="L58">
        <v>587.05832136876995</v>
      </c>
      <c r="M58">
        <v>11.2881646858996</v>
      </c>
      <c r="N58">
        <v>52.214005890309203</v>
      </c>
      <c r="O58">
        <v>50.45454737747</v>
      </c>
      <c r="P58">
        <v>-5.4722391966565899E-2</v>
      </c>
      <c r="Q58">
        <v>2.1931186983243499E-2</v>
      </c>
      <c r="R58">
        <v>0.995501280099376</v>
      </c>
      <c r="S58" t="s">
        <v>6460</v>
      </c>
      <c r="T58" t="s">
        <v>12802</v>
      </c>
      <c r="U58" t="s">
        <v>12802</v>
      </c>
      <c r="V58" t="s">
        <v>12802</v>
      </c>
      <c r="W58" t="s">
        <v>12860</v>
      </c>
      <c r="X58">
        <v>21</v>
      </c>
      <c r="Y58" t="s">
        <v>19182</v>
      </c>
      <c r="Z58" t="s">
        <v>25376</v>
      </c>
      <c r="AA58">
        <v>0.53546034576919732</v>
      </c>
      <c r="AB58" t="str">
        <f>HYPERLINK("Melting_Curves/meltCurve_A6NMH6_SEPT8.pdf", "Melting_Curves/meltCurve_A6NMH6_SEPT8.pdf")</f>
        <v>Melting_Curves/meltCurve_A6NMH6_SEPT8.pdf</v>
      </c>
    </row>
    <row r="59" spans="1:28" x14ac:dyDescent="0.25">
      <c r="A59" t="s">
        <v>63</v>
      </c>
      <c r="B59">
        <v>0.99542014353169495</v>
      </c>
      <c r="C59">
        <v>0.84742971170744197</v>
      </c>
      <c r="D59">
        <v>0.87744411711977899</v>
      </c>
      <c r="E59">
        <v>0.48602414347933698</v>
      </c>
      <c r="F59">
        <v>0.181609946938739</v>
      </c>
      <c r="G59">
        <v>5.97013223293269E-2</v>
      </c>
      <c r="H59">
        <v>4.0077477846384497E-2</v>
      </c>
      <c r="I59">
        <v>2.74232912175069E-2</v>
      </c>
      <c r="J59">
        <v>2.6309258660220498E-2</v>
      </c>
      <c r="K59">
        <v>2.6199285371360102E-2</v>
      </c>
      <c r="L59">
        <v>940.42046224589899</v>
      </c>
      <c r="M59">
        <v>20.273240790155999</v>
      </c>
      <c r="N59">
        <v>46.467932262567302</v>
      </c>
      <c r="O59">
        <v>45.942994938515099</v>
      </c>
      <c r="P59">
        <v>-0.108413490047578</v>
      </c>
      <c r="Q59">
        <v>1.7288084330075601E-2</v>
      </c>
      <c r="R59">
        <v>0.98918793510540703</v>
      </c>
      <c r="S59" t="s">
        <v>6461</v>
      </c>
      <c r="T59" t="s">
        <v>12802</v>
      </c>
      <c r="U59" t="s">
        <v>12802</v>
      </c>
      <c r="V59" t="s">
        <v>12802</v>
      </c>
      <c r="W59" t="s">
        <v>12861</v>
      </c>
      <c r="X59">
        <v>23</v>
      </c>
      <c r="Y59" t="s">
        <v>19183</v>
      </c>
      <c r="Z59" t="s">
        <v>25377</v>
      </c>
      <c r="AA59">
        <v>0.33729142510207821</v>
      </c>
      <c r="AB59" t="str">
        <f>HYPERLINK("Melting_Curves/meltCurve_A6NMQ1_POLA1.pdf", "Melting_Curves/meltCurve_A6NMQ1_POLA1.pdf")</f>
        <v>Melting_Curves/meltCurve_A6NMQ1_POLA1.pdf</v>
      </c>
    </row>
    <row r="60" spans="1:28" x14ac:dyDescent="0.25">
      <c r="A60" t="s">
        <v>64</v>
      </c>
      <c r="B60">
        <v>0.99542014353169495</v>
      </c>
      <c r="C60">
        <v>0.88959570577024205</v>
      </c>
      <c r="D60">
        <v>0.72448657232230596</v>
      </c>
      <c r="E60">
        <v>0.30881781050491502</v>
      </c>
      <c r="F60">
        <v>0.16266320582583799</v>
      </c>
      <c r="G60">
        <v>5.0971441506444698E-2</v>
      </c>
      <c r="H60">
        <v>4.4688030149230298E-2</v>
      </c>
      <c r="I60">
        <v>2.65492778159717E-2</v>
      </c>
      <c r="J60">
        <v>4.3058384778817099E-2</v>
      </c>
      <c r="K60">
        <v>1.7195562394288402E-2</v>
      </c>
      <c r="L60">
        <v>870.457882557012</v>
      </c>
      <c r="M60">
        <v>19.442617471154399</v>
      </c>
      <c r="N60">
        <v>44.900821420791701</v>
      </c>
      <c r="O60">
        <v>44.305033700771602</v>
      </c>
      <c r="P60">
        <v>-0.106705382446488</v>
      </c>
      <c r="Q60">
        <v>2.74116155053944E-2</v>
      </c>
      <c r="R60">
        <v>0.99729430988196499</v>
      </c>
      <c r="S60" t="s">
        <v>6462</v>
      </c>
      <c r="T60" t="s">
        <v>12802</v>
      </c>
      <c r="U60" t="s">
        <v>12802</v>
      </c>
      <c r="V60" t="s">
        <v>12802</v>
      </c>
      <c r="W60" t="s">
        <v>12862</v>
      </c>
      <c r="X60">
        <v>3</v>
      </c>
      <c r="Y60" t="s">
        <v>19184</v>
      </c>
      <c r="Z60" t="s">
        <v>25378</v>
      </c>
      <c r="AA60">
        <v>0.29293983630597908</v>
      </c>
      <c r="AB60" t="str">
        <f>HYPERLINK("Melting_Curves/meltCurve_A6NN40_SHROOM1.pdf", "Melting_Curves/meltCurve_A6NN40_SHROOM1.pdf")</f>
        <v>Melting_Curves/meltCurve_A6NN40_SHROOM1.pdf</v>
      </c>
    </row>
    <row r="61" spans="1:28" x14ac:dyDescent="0.25">
      <c r="A61" t="s">
        <v>65</v>
      </c>
      <c r="B61">
        <v>0.99542014353169495</v>
      </c>
      <c r="C61">
        <v>0.87749607628972803</v>
      </c>
      <c r="D61">
        <v>0.85846881452038404</v>
      </c>
      <c r="E61">
        <v>0.837897500929221</v>
      </c>
      <c r="F61">
        <v>0.67249300579432603</v>
      </c>
      <c r="G61">
        <v>0.53037954733788095</v>
      </c>
      <c r="H61">
        <v>0.24925373374573501</v>
      </c>
      <c r="I61">
        <v>0.114242993049057</v>
      </c>
      <c r="J61">
        <v>6.0546485207535097E-2</v>
      </c>
      <c r="K61">
        <v>5.4020844224216297E-2</v>
      </c>
      <c r="L61">
        <v>665.09095314910405</v>
      </c>
      <c r="M61">
        <v>12.5685844257474</v>
      </c>
      <c r="N61">
        <v>52.916934227533503</v>
      </c>
      <c r="O61">
        <v>51.630939061303799</v>
      </c>
      <c r="P61">
        <v>-6.0870073551715601E-2</v>
      </c>
      <c r="Q61">
        <v>0</v>
      </c>
      <c r="R61">
        <v>0.97586584443069702</v>
      </c>
      <c r="S61" t="s">
        <v>6463</v>
      </c>
      <c r="T61" t="s">
        <v>12802</v>
      </c>
      <c r="U61" t="s">
        <v>12802</v>
      </c>
      <c r="V61" t="s">
        <v>12802</v>
      </c>
      <c r="W61" t="s">
        <v>12863</v>
      </c>
      <c r="X61">
        <v>9</v>
      </c>
      <c r="Y61" t="s">
        <v>19185</v>
      </c>
      <c r="Z61" t="s">
        <v>25379</v>
      </c>
      <c r="AA61">
        <v>0.55130451544304448</v>
      </c>
      <c r="AB61" t="str">
        <f>HYPERLINK("Melting_Curves/meltCurve_A6PVN5_PPP2R4.pdf", "Melting_Curves/meltCurve_A6PVN5_PPP2R4.pdf")</f>
        <v>Melting_Curves/meltCurve_A6PVN5_PPP2R4.pdf</v>
      </c>
    </row>
    <row r="62" spans="1:28" x14ac:dyDescent="0.25">
      <c r="A62" t="s">
        <v>66</v>
      </c>
      <c r="B62">
        <v>0.99542014353169495</v>
      </c>
      <c r="C62">
        <v>0.84468807131284795</v>
      </c>
      <c r="D62">
        <v>0.85467676984142404</v>
      </c>
      <c r="E62">
        <v>0.58523835205281205</v>
      </c>
      <c r="F62">
        <v>0.63399414305991197</v>
      </c>
      <c r="G62">
        <v>0.35730589283673603</v>
      </c>
      <c r="H62">
        <v>0.57648837080304205</v>
      </c>
      <c r="I62">
        <v>0.49074055696542201</v>
      </c>
      <c r="J62">
        <v>0.26832788792227702</v>
      </c>
      <c r="K62">
        <v>0.10545333809320701</v>
      </c>
      <c r="L62">
        <v>297.260353274024</v>
      </c>
      <c r="M62">
        <v>5.5263379586712</v>
      </c>
      <c r="N62">
        <v>53.789752903612502</v>
      </c>
      <c r="O62">
        <v>47.977172807236499</v>
      </c>
      <c r="P62">
        <v>-2.8921430533579599E-2</v>
      </c>
      <c r="Q62">
        <v>0</v>
      </c>
      <c r="R62">
        <v>0.83692179907242703</v>
      </c>
      <c r="S62" t="s">
        <v>6464</v>
      </c>
      <c r="T62" t="s">
        <v>12802</v>
      </c>
      <c r="U62" t="s">
        <v>12802</v>
      </c>
      <c r="V62" t="s">
        <v>12802</v>
      </c>
      <c r="W62" t="s">
        <v>12864</v>
      </c>
      <c r="X62">
        <v>1</v>
      </c>
      <c r="Y62" t="s">
        <v>19186</v>
      </c>
      <c r="Z62" t="s">
        <v>25380</v>
      </c>
      <c r="AA62">
        <v>0.56613615780688242</v>
      </c>
      <c r="AB62" t="str">
        <f>HYPERLINK("Melting_Curves/meltCurve_A6PW58_PIP5K1A.pdf", "Melting_Curves/meltCurve_A6PW58_PIP5K1A.pdf")</f>
        <v>Melting_Curves/meltCurve_A6PW58_PIP5K1A.pdf</v>
      </c>
    </row>
    <row r="63" spans="1:28" x14ac:dyDescent="0.25">
      <c r="A63" t="s">
        <v>67</v>
      </c>
      <c r="B63">
        <v>0.99542014353169495</v>
      </c>
      <c r="C63">
        <v>0.973827517729425</v>
      </c>
      <c r="D63">
        <v>0.78925401488235503</v>
      </c>
      <c r="E63">
        <v>0.70751130255105299</v>
      </c>
      <c r="F63">
        <v>0.50322502483211096</v>
      </c>
      <c r="G63">
        <v>0.40870386611577803</v>
      </c>
      <c r="H63">
        <v>3.8138895513086503E-2</v>
      </c>
      <c r="I63">
        <v>2.26041447580521E-2</v>
      </c>
      <c r="J63">
        <v>1.9866856941439699E-2</v>
      </c>
      <c r="K63">
        <v>1.9847390892068099E-2</v>
      </c>
      <c r="L63">
        <v>643.93478411846604</v>
      </c>
      <c r="M63">
        <v>12.9174251790709</v>
      </c>
      <c r="N63">
        <v>49.850101150534499</v>
      </c>
      <c r="O63">
        <v>48.700722122604198</v>
      </c>
      <c r="P63">
        <v>-6.6322243356921204E-2</v>
      </c>
      <c r="Q63">
        <v>0</v>
      </c>
      <c r="R63">
        <v>0.96884236388658695</v>
      </c>
      <c r="S63" t="s">
        <v>6465</v>
      </c>
      <c r="T63" t="s">
        <v>12802</v>
      </c>
      <c r="U63" t="s">
        <v>12802</v>
      </c>
      <c r="V63" t="s">
        <v>12802</v>
      </c>
      <c r="W63" t="s">
        <v>12865</v>
      </c>
      <c r="X63">
        <v>2</v>
      </c>
      <c r="Y63" t="s">
        <v>19187</v>
      </c>
      <c r="Z63" t="s">
        <v>25381</v>
      </c>
      <c r="AA63">
        <v>0.4541343692460687</v>
      </c>
      <c r="AB63" t="str">
        <f>HYPERLINK("Melting_Curves/meltCurve_A8K0B5_ZBTB8OS.pdf", "Melting_Curves/meltCurve_A8K0B5_ZBTB8OS.pdf")</f>
        <v>Melting_Curves/meltCurve_A8K0B5_ZBTB8OS.pdf</v>
      </c>
    </row>
    <row r="64" spans="1:28" x14ac:dyDescent="0.25">
      <c r="A64" t="s">
        <v>68</v>
      </c>
      <c r="B64">
        <v>0.99542014353169495</v>
      </c>
      <c r="C64">
        <v>0.87400885081431601</v>
      </c>
      <c r="D64">
        <v>1.0430604810880599</v>
      </c>
      <c r="E64">
        <v>1.0354708958827099</v>
      </c>
      <c r="F64">
        <v>0.78821563383529902</v>
      </c>
      <c r="G64">
        <v>0.35819452568496901</v>
      </c>
      <c r="H64">
        <v>0.42774799777281802</v>
      </c>
      <c r="I64">
        <v>0</v>
      </c>
      <c r="J64">
        <v>0.28004859781719499</v>
      </c>
      <c r="K64">
        <v>0.294686386476605</v>
      </c>
      <c r="L64">
        <v>1774.7050519801301</v>
      </c>
      <c r="M64">
        <v>34.384155408370802</v>
      </c>
      <c r="N64">
        <v>52.5956169409381</v>
      </c>
      <c r="O64">
        <v>51.440391207580902</v>
      </c>
      <c r="P64">
        <v>-0.127535960233192</v>
      </c>
      <c r="Q64">
        <v>0.23680260696067901</v>
      </c>
      <c r="R64">
        <v>0.91294585539140505</v>
      </c>
      <c r="S64" t="s">
        <v>6466</v>
      </c>
      <c r="T64" t="s">
        <v>12802</v>
      </c>
      <c r="U64" t="s">
        <v>12802</v>
      </c>
      <c r="V64" t="s">
        <v>12802</v>
      </c>
      <c r="W64" t="s">
        <v>12866</v>
      </c>
      <c r="X64">
        <v>3</v>
      </c>
      <c r="Y64" t="s">
        <v>19188</v>
      </c>
      <c r="Z64" t="s">
        <v>25382</v>
      </c>
      <c r="AA64">
        <v>0.61225414279751988</v>
      </c>
      <c r="AB64" t="str">
        <f>HYPERLINK("Melting_Curves/meltCurve_A8K0M9_SELK.pdf", "Melting_Curves/meltCurve_A8K0M9_SELK.pdf")</f>
        <v>Melting_Curves/meltCurve_A8K0M9_SELK.pdf</v>
      </c>
    </row>
    <row r="65" spans="1:28" x14ac:dyDescent="0.25">
      <c r="A65" t="s">
        <v>69</v>
      </c>
      <c r="B65">
        <v>0.99542014353169495</v>
      </c>
      <c r="C65">
        <v>1.03797788768426</v>
      </c>
      <c r="D65">
        <v>0.76449073732010098</v>
      </c>
      <c r="E65">
        <v>0.71029314742446004</v>
      </c>
      <c r="F65">
        <v>0.37315749449901398</v>
      </c>
      <c r="G65">
        <v>0.174472905271081</v>
      </c>
      <c r="H65">
        <v>0.112587135178562</v>
      </c>
      <c r="I65">
        <v>6.3056884000895499E-2</v>
      </c>
      <c r="J65">
        <v>3.2970758491519099E-2</v>
      </c>
      <c r="K65">
        <v>0</v>
      </c>
      <c r="L65">
        <v>700.23432851392602</v>
      </c>
      <c r="M65">
        <v>14.411441508950899</v>
      </c>
      <c r="N65">
        <v>48.5887777853034</v>
      </c>
      <c r="O65">
        <v>47.681973957328701</v>
      </c>
      <c r="P65">
        <v>-7.5569182770718502E-2</v>
      </c>
      <c r="Q65">
        <v>0</v>
      </c>
      <c r="R65">
        <v>0.98555742140214997</v>
      </c>
      <c r="S65" t="s">
        <v>6467</v>
      </c>
      <c r="T65" t="s">
        <v>12802</v>
      </c>
      <c r="U65" t="s">
        <v>12802</v>
      </c>
      <c r="V65" t="s">
        <v>12802</v>
      </c>
      <c r="W65" t="s">
        <v>12867</v>
      </c>
      <c r="X65">
        <v>3</v>
      </c>
      <c r="Y65" t="s">
        <v>19189</v>
      </c>
      <c r="Z65" t="s">
        <v>25383</v>
      </c>
      <c r="AA65">
        <v>0.40945795381910582</v>
      </c>
      <c r="AB65" t="str">
        <f>HYPERLINK("Melting_Curves/meltCurve_A8MPP1_DDX11L8.pdf", "Melting_Curves/meltCurve_A8MPP1_DDX11L8.pdf")</f>
        <v>Melting_Curves/meltCurve_A8MPP1_DDX11L8.pdf</v>
      </c>
    </row>
    <row r="66" spans="1:28" x14ac:dyDescent="0.25">
      <c r="A66" t="s">
        <v>70</v>
      </c>
      <c r="B66">
        <v>0.99542014353169495</v>
      </c>
      <c r="C66">
        <v>0.91489177436869296</v>
      </c>
      <c r="D66">
        <v>0.85423332384430295</v>
      </c>
      <c r="E66">
        <v>0.72265163066231097</v>
      </c>
      <c r="F66">
        <v>0.55093198604127802</v>
      </c>
      <c r="G66">
        <v>0.33102551113826401</v>
      </c>
      <c r="H66">
        <v>0.10383498728785</v>
      </c>
      <c r="I66">
        <v>5.4347555224998297E-2</v>
      </c>
      <c r="J66">
        <v>3.7405499278548499E-2</v>
      </c>
      <c r="K66">
        <v>3.2675539030268097E-2</v>
      </c>
      <c r="L66">
        <v>656.55317998682699</v>
      </c>
      <c r="M66">
        <v>13.074900921851</v>
      </c>
      <c r="N66">
        <v>50.214778809776803</v>
      </c>
      <c r="O66">
        <v>49.083690472960299</v>
      </c>
      <c r="P66">
        <v>-6.6606441042753206E-2</v>
      </c>
      <c r="Q66">
        <v>0</v>
      </c>
      <c r="R66">
        <v>0.99007455857786197</v>
      </c>
      <c r="S66" t="s">
        <v>6468</v>
      </c>
      <c r="T66" t="s">
        <v>12802</v>
      </c>
      <c r="U66" t="s">
        <v>12802</v>
      </c>
      <c r="V66" t="s">
        <v>12802</v>
      </c>
      <c r="W66" t="s">
        <v>12868</v>
      </c>
      <c r="X66">
        <v>9</v>
      </c>
      <c r="Y66" t="s">
        <v>19190</v>
      </c>
      <c r="Z66" t="s">
        <v>25384</v>
      </c>
      <c r="AA66">
        <v>0.4654111921062265</v>
      </c>
      <c r="AB66" t="str">
        <f>HYPERLINK("Melting_Curves/meltCurve_A8MPS7_YDJC.pdf", "Melting_Curves/meltCurve_A8MPS7_YDJC.pdf")</f>
        <v>Melting_Curves/meltCurve_A8MPS7_YDJC.pdf</v>
      </c>
    </row>
    <row r="67" spans="1:28" x14ac:dyDescent="0.25">
      <c r="A67" t="s">
        <v>71</v>
      </c>
      <c r="B67">
        <v>0.99542014353169495</v>
      </c>
      <c r="C67">
        <v>1.06795465241676</v>
      </c>
      <c r="D67">
        <v>0.92034713410904401</v>
      </c>
      <c r="E67">
        <v>0.895981029409462</v>
      </c>
      <c r="F67">
        <v>0.76462811979549905</v>
      </c>
      <c r="G67">
        <v>0.64711060717204405</v>
      </c>
      <c r="H67">
        <v>0.51050488809271799</v>
      </c>
      <c r="I67">
        <v>0.52337620917682603</v>
      </c>
      <c r="J67">
        <v>0.71838520393373495</v>
      </c>
      <c r="K67">
        <v>0.86207499915067598</v>
      </c>
      <c r="L67">
        <v>1290.3371688028301</v>
      </c>
      <c r="M67">
        <v>26.852703320632699</v>
      </c>
      <c r="O67">
        <v>47.7882885765856</v>
      </c>
      <c r="P67">
        <v>-4.8890028217407303E-2</v>
      </c>
      <c r="Q67">
        <v>0.651975880321918</v>
      </c>
      <c r="R67">
        <v>0.70442947643492604</v>
      </c>
      <c r="S67" t="s">
        <v>6469</v>
      </c>
      <c r="T67" t="s">
        <v>12802</v>
      </c>
      <c r="U67" t="s">
        <v>12802</v>
      </c>
      <c r="V67" t="s">
        <v>12802</v>
      </c>
      <c r="W67" t="s">
        <v>12869</v>
      </c>
      <c r="X67">
        <v>1</v>
      </c>
      <c r="Y67" t="s">
        <v>19191</v>
      </c>
      <c r="Z67" t="s">
        <v>25385</v>
      </c>
      <c r="AA67">
        <v>0.78276811285651016</v>
      </c>
      <c r="AB67" t="str">
        <f>HYPERLINK("Melting_Curves/meltCurve_A8MRB1_S100B.pdf", "Melting_Curves/meltCurve_A8MRB1_S100B.pdf")</f>
        <v>Melting_Curves/meltCurve_A8MRB1_S100B.pdf</v>
      </c>
    </row>
    <row r="68" spans="1:28" x14ac:dyDescent="0.25">
      <c r="A68" t="s">
        <v>72</v>
      </c>
      <c r="B68">
        <v>0.99542014353169495</v>
      </c>
      <c r="C68">
        <v>0.95637444618582301</v>
      </c>
      <c r="D68">
        <v>1.12635908191834</v>
      </c>
      <c r="E68">
        <v>0.77114832185070203</v>
      </c>
      <c r="F68">
        <v>0.74798945283458995</v>
      </c>
      <c r="G68">
        <v>0.38309132821535402</v>
      </c>
      <c r="H68">
        <v>0.44459796186453898</v>
      </c>
      <c r="I68">
        <v>0.327701283927395</v>
      </c>
      <c r="J68">
        <v>0.29044884726054199</v>
      </c>
      <c r="K68">
        <v>0.30708858155684898</v>
      </c>
      <c r="L68">
        <v>943.39473385772897</v>
      </c>
      <c r="M68">
        <v>18.693944574793498</v>
      </c>
      <c r="N68">
        <v>53.103803770800397</v>
      </c>
      <c r="O68">
        <v>49.8984241151135</v>
      </c>
      <c r="P68">
        <v>-6.5331230877184704E-2</v>
      </c>
      <c r="Q68">
        <v>0.30249371311388801</v>
      </c>
      <c r="R68">
        <v>0.93919741512149402</v>
      </c>
      <c r="S68" t="s">
        <v>6470</v>
      </c>
      <c r="T68" t="s">
        <v>12802</v>
      </c>
      <c r="U68" t="s">
        <v>12802</v>
      </c>
      <c r="V68" t="s">
        <v>12802</v>
      </c>
      <c r="W68" t="s">
        <v>12870</v>
      </c>
      <c r="X68">
        <v>3</v>
      </c>
      <c r="Y68" t="s">
        <v>19192</v>
      </c>
      <c r="Z68" t="s">
        <v>25386</v>
      </c>
      <c r="AA68">
        <v>0.62583273984052601</v>
      </c>
      <c r="AB68" t="str">
        <f>HYPERLINK("Melting_Curves/meltCurve_A8MT02_SNRPB.pdf", "Melting_Curves/meltCurve_A8MT02_SNRPB.pdf")</f>
        <v>Melting_Curves/meltCurve_A8MT02_SNRPB.pdf</v>
      </c>
    </row>
    <row r="69" spans="1:28" x14ac:dyDescent="0.25">
      <c r="A69" t="s">
        <v>73</v>
      </c>
      <c r="B69">
        <v>0.99542014353169495</v>
      </c>
      <c r="C69">
        <v>1.0216331783706201</v>
      </c>
      <c r="D69">
        <v>0.895972023335321</v>
      </c>
      <c r="E69">
        <v>0.88932599215342101</v>
      </c>
      <c r="F69">
        <v>0.76881306505037394</v>
      </c>
      <c r="G69">
        <v>0.60056591346613597</v>
      </c>
      <c r="H69">
        <v>0.148974234083323</v>
      </c>
      <c r="I69">
        <v>8.2686947087663207E-2</v>
      </c>
      <c r="J69">
        <v>6.8541092482034202E-2</v>
      </c>
      <c r="K69">
        <v>8.0979658694872503E-2</v>
      </c>
      <c r="L69">
        <v>1035.4737046733301</v>
      </c>
      <c r="M69">
        <v>19.2758680098102</v>
      </c>
      <c r="N69">
        <v>53.817345403938702</v>
      </c>
      <c r="O69">
        <v>53.150536483916603</v>
      </c>
      <c r="P69">
        <v>-8.9095317475122199E-2</v>
      </c>
      <c r="Q69">
        <v>1.7365385529430399E-2</v>
      </c>
      <c r="R69">
        <v>0.97740742330005603</v>
      </c>
      <c r="S69" t="s">
        <v>6471</v>
      </c>
      <c r="T69" t="s">
        <v>12802</v>
      </c>
      <c r="U69" t="s">
        <v>12802</v>
      </c>
      <c r="V69" t="s">
        <v>12802</v>
      </c>
      <c r="W69" t="s">
        <v>12871</v>
      </c>
      <c r="X69">
        <v>12</v>
      </c>
      <c r="Y69" t="s">
        <v>19193</v>
      </c>
      <c r="Z69" t="s">
        <v>25387</v>
      </c>
      <c r="AA69">
        <v>0.5776135805773166</v>
      </c>
      <c r="AB69" t="str">
        <f>HYPERLINK("Melting_Curves/meltCurve_A8MT40_PDPR.pdf", "Melting_Curves/meltCurve_A8MT40_PDPR.pdf")</f>
        <v>Melting_Curves/meltCurve_A8MT40_PDPR.pdf</v>
      </c>
    </row>
    <row r="70" spans="1:28" x14ac:dyDescent="0.25">
      <c r="A70" t="s">
        <v>74</v>
      </c>
      <c r="B70">
        <v>0.99542014353169495</v>
      </c>
      <c r="C70">
        <v>1.1661613430764199</v>
      </c>
      <c r="D70">
        <v>0.95153626730624097</v>
      </c>
      <c r="E70">
        <v>1.0417294445765299</v>
      </c>
      <c r="F70">
        <v>0.89196222730677499</v>
      </c>
      <c r="G70">
        <v>0.85301655319902103</v>
      </c>
      <c r="H70">
        <v>0.51911139143254503</v>
      </c>
      <c r="I70">
        <v>0.37414692003740702</v>
      </c>
      <c r="J70">
        <v>0.57197929935869296</v>
      </c>
      <c r="K70">
        <v>0.96311988803950799</v>
      </c>
      <c r="L70">
        <v>13477.691641568101</v>
      </c>
      <c r="M70">
        <v>250</v>
      </c>
      <c r="O70">
        <v>53.907321352538297</v>
      </c>
      <c r="P70">
        <v>-0.45553955016645498</v>
      </c>
      <c r="Q70">
        <v>0.60708936408580605</v>
      </c>
      <c r="R70">
        <v>0.60643751247592204</v>
      </c>
      <c r="S70" t="s">
        <v>6472</v>
      </c>
      <c r="T70" t="s">
        <v>12802</v>
      </c>
      <c r="U70" t="s">
        <v>12802</v>
      </c>
      <c r="V70" t="s">
        <v>12802</v>
      </c>
      <c r="W70" t="s">
        <v>12872</v>
      </c>
      <c r="X70">
        <v>1</v>
      </c>
      <c r="Y70" t="s">
        <v>19194</v>
      </c>
      <c r="Z70" t="s">
        <v>25388</v>
      </c>
      <c r="AA70">
        <v>0.82860720654381492</v>
      </c>
      <c r="AB70" t="str">
        <f>HYPERLINK("Melting_Curves/meltCurve_A8MT87_PNMT.pdf", "Melting_Curves/meltCurve_A8MT87_PNMT.pdf")</f>
        <v>Melting_Curves/meltCurve_A8MT87_PNMT.pdf</v>
      </c>
    </row>
    <row r="71" spans="1:28" x14ac:dyDescent="0.25">
      <c r="A71" t="s">
        <v>75</v>
      </c>
      <c r="B71">
        <v>0.99542014353169495</v>
      </c>
      <c r="C71">
        <v>0.97467247142253399</v>
      </c>
      <c r="D71">
        <v>1.0095309588351</v>
      </c>
      <c r="E71">
        <v>0.75532347681567602</v>
      </c>
      <c r="F71">
        <v>0.35315952778801701</v>
      </c>
      <c r="G71">
        <v>7.3376579035826395E-2</v>
      </c>
      <c r="H71">
        <v>3.2370807647959202E-2</v>
      </c>
      <c r="I71">
        <v>2.8454939221322601E-2</v>
      </c>
      <c r="J71">
        <v>2.89156840605082E-2</v>
      </c>
      <c r="K71">
        <v>3.7574549225063598E-2</v>
      </c>
      <c r="L71">
        <v>1288.69415841051</v>
      </c>
      <c r="M71">
        <v>26.440494524879298</v>
      </c>
      <c r="N71">
        <v>48.825023530045797</v>
      </c>
      <c r="O71">
        <v>48.463175390323897</v>
      </c>
      <c r="P71">
        <v>-0.13330664116129401</v>
      </c>
      <c r="Q71">
        <v>2.2651674160272899E-2</v>
      </c>
      <c r="R71">
        <v>0.99798348186263297</v>
      </c>
      <c r="S71" t="s">
        <v>6473</v>
      </c>
      <c r="T71" t="s">
        <v>12802</v>
      </c>
      <c r="U71" t="s">
        <v>12802</v>
      </c>
      <c r="V71" t="s">
        <v>12802</v>
      </c>
      <c r="W71" t="s">
        <v>12873</v>
      </c>
      <c r="X71">
        <v>2</v>
      </c>
      <c r="Y71" t="s">
        <v>19195</v>
      </c>
      <c r="Z71" t="s">
        <v>25389</v>
      </c>
      <c r="AA71">
        <v>0.41264135841109317</v>
      </c>
      <c r="AB71" t="str">
        <f>HYPERLINK("Melting_Curves/meltCurve_A8MTK3_POT1.pdf", "Melting_Curves/meltCurve_A8MTK3_POT1.pdf")</f>
        <v>Melting_Curves/meltCurve_A8MTK3_POT1.pdf</v>
      </c>
    </row>
    <row r="72" spans="1:28" x14ac:dyDescent="0.25">
      <c r="A72" t="s">
        <v>76</v>
      </c>
      <c r="B72">
        <v>0.99542014353169495</v>
      </c>
      <c r="C72">
        <v>1.0944954276660599</v>
      </c>
      <c r="D72">
        <v>1.13241260792124</v>
      </c>
      <c r="E72">
        <v>0.96061355800585202</v>
      </c>
      <c r="F72">
        <v>0.53650694575831004</v>
      </c>
      <c r="G72">
        <v>0.26326136972041397</v>
      </c>
      <c r="H72">
        <v>0.179027337394214</v>
      </c>
      <c r="I72">
        <v>0.136803098936611</v>
      </c>
      <c r="J72">
        <v>0.16442516757050199</v>
      </c>
      <c r="K72">
        <v>0.15244648721916201</v>
      </c>
      <c r="L72">
        <v>1758.3647863634999</v>
      </c>
      <c r="M72">
        <v>35.155507386123297</v>
      </c>
      <c r="N72">
        <v>50.579591610052802</v>
      </c>
      <c r="O72">
        <v>49.855755378588903</v>
      </c>
      <c r="P72">
        <v>-0.147750129861459</v>
      </c>
      <c r="Q72">
        <v>0.1618759775345</v>
      </c>
      <c r="R72">
        <v>0.982281554865017</v>
      </c>
      <c r="S72" t="s">
        <v>6474</v>
      </c>
      <c r="T72" t="s">
        <v>12802</v>
      </c>
      <c r="U72" t="s">
        <v>12802</v>
      </c>
      <c r="V72" t="s">
        <v>12802</v>
      </c>
      <c r="W72" t="s">
        <v>12874</v>
      </c>
      <c r="X72">
        <v>3</v>
      </c>
      <c r="Y72" t="s">
        <v>19196</v>
      </c>
      <c r="Z72" t="s">
        <v>25390</v>
      </c>
      <c r="AA72">
        <v>0.52928336296352285</v>
      </c>
      <c r="AB72" t="str">
        <f>HYPERLINK("Melting_Curves/meltCurve_A8MTP9_DDX52.pdf", "Melting_Curves/meltCurve_A8MTP9_DDX52.pdf")</f>
        <v>Melting_Curves/meltCurve_A8MTP9_DDX52.pdf</v>
      </c>
    </row>
    <row r="73" spans="1:28" x14ac:dyDescent="0.25">
      <c r="A73" t="s">
        <v>77</v>
      </c>
      <c r="B73">
        <v>0.99542014353169495</v>
      </c>
      <c r="C73">
        <v>0.89156728725501799</v>
      </c>
      <c r="D73">
        <v>0.98425884244546702</v>
      </c>
      <c r="E73">
        <v>0.65432253020032205</v>
      </c>
      <c r="F73">
        <v>0.40735231902177499</v>
      </c>
      <c r="G73">
        <v>0.120507733985893</v>
      </c>
      <c r="H73">
        <v>5.48527942670246E-2</v>
      </c>
      <c r="I73">
        <v>4.5746418694877597E-2</v>
      </c>
      <c r="J73">
        <v>4.3274488176570897E-2</v>
      </c>
      <c r="K73">
        <v>6.2741462973031903E-2</v>
      </c>
      <c r="L73">
        <v>942.21791139628101</v>
      </c>
      <c r="M73">
        <v>19.4368949799482</v>
      </c>
      <c r="N73">
        <v>48.635999009910002</v>
      </c>
      <c r="O73">
        <v>47.971366490647902</v>
      </c>
      <c r="P73">
        <v>-9.8155836588302806E-2</v>
      </c>
      <c r="Q73">
        <v>3.1018464188705401E-2</v>
      </c>
      <c r="R73">
        <v>0.98798865818077197</v>
      </c>
      <c r="S73" t="s">
        <v>6475</v>
      </c>
      <c r="T73" t="s">
        <v>12802</v>
      </c>
      <c r="U73" t="s">
        <v>12802</v>
      </c>
      <c r="V73" t="s">
        <v>12802</v>
      </c>
      <c r="W73" t="s">
        <v>12875</v>
      </c>
      <c r="X73">
        <v>5</v>
      </c>
      <c r="Y73" t="s">
        <v>19197</v>
      </c>
      <c r="Z73" t="s">
        <v>25391</v>
      </c>
      <c r="AA73">
        <v>0.41512080743694391</v>
      </c>
      <c r="AB73" t="str">
        <f>HYPERLINK("Melting_Curves/meltCurve_A8MTY9_DSCR3.pdf", "Melting_Curves/meltCurve_A8MTY9_DSCR3.pdf")</f>
        <v>Melting_Curves/meltCurve_A8MTY9_DSCR3.pdf</v>
      </c>
    </row>
    <row r="74" spans="1:28" x14ac:dyDescent="0.25">
      <c r="A74" t="s">
        <v>78</v>
      </c>
      <c r="B74">
        <v>0.99542014353169495</v>
      </c>
      <c r="C74">
        <v>0.96376680077267396</v>
      </c>
      <c r="D74">
        <v>0.85280001333199695</v>
      </c>
      <c r="E74">
        <v>0.73285972438472502</v>
      </c>
      <c r="F74">
        <v>0.55770038223888097</v>
      </c>
      <c r="G74">
        <v>0.386100222447396</v>
      </c>
      <c r="H74">
        <v>0.24457565181214599</v>
      </c>
      <c r="I74">
        <v>0.237086825189567</v>
      </c>
      <c r="J74">
        <v>0.35664657517147602</v>
      </c>
      <c r="K74">
        <v>0.58311457708905701</v>
      </c>
      <c r="L74">
        <v>866.67234831155304</v>
      </c>
      <c r="M74">
        <v>18.3830369840713</v>
      </c>
      <c r="N74">
        <v>50.455133420958902</v>
      </c>
      <c r="O74">
        <v>46.5979686835351</v>
      </c>
      <c r="P74">
        <v>-6.4080409226484406E-2</v>
      </c>
      <c r="Q74">
        <v>0.35029668159701899</v>
      </c>
      <c r="R74">
        <v>0.87594791693047402</v>
      </c>
      <c r="S74" t="s">
        <v>6476</v>
      </c>
      <c r="T74" t="s">
        <v>12802</v>
      </c>
      <c r="U74" t="s">
        <v>12802</v>
      </c>
      <c r="V74" t="s">
        <v>12802</v>
      </c>
      <c r="W74" t="s">
        <v>12876</v>
      </c>
      <c r="X74">
        <v>4</v>
      </c>
      <c r="Y74" t="s">
        <v>19198</v>
      </c>
      <c r="Z74" t="s">
        <v>25392</v>
      </c>
      <c r="AA74">
        <v>0.5800225096478433</v>
      </c>
      <c r="AB74" t="str">
        <f>HYPERLINK("Melting_Curves/meltCurve_A8MTZ6_S100PBP.pdf", "Melting_Curves/meltCurve_A8MTZ6_S100PBP.pdf")</f>
        <v>Melting_Curves/meltCurve_A8MTZ6_S100PBP.pdf</v>
      </c>
    </row>
    <row r="75" spans="1:28" x14ac:dyDescent="0.25">
      <c r="A75" t="s">
        <v>79</v>
      </c>
      <c r="B75">
        <v>0.99542014353169495</v>
      </c>
      <c r="C75">
        <v>1.10056926058933</v>
      </c>
      <c r="D75">
        <v>0.98135891828470301</v>
      </c>
      <c r="E75">
        <v>0.596088042142352</v>
      </c>
      <c r="F75">
        <v>0.37011264830017898</v>
      </c>
      <c r="G75">
        <v>0.40810218403228299</v>
      </c>
      <c r="H75">
        <v>0.41206918922990698</v>
      </c>
      <c r="I75">
        <v>0.342389883491374</v>
      </c>
      <c r="J75">
        <v>0.61802692996375996</v>
      </c>
      <c r="K75">
        <v>0.64005537451685901</v>
      </c>
      <c r="L75">
        <v>11597.5149000127</v>
      </c>
      <c r="M75">
        <v>250</v>
      </c>
      <c r="N75">
        <v>46.889501351313399</v>
      </c>
      <c r="O75">
        <v>46.387090718301202</v>
      </c>
      <c r="P75">
        <v>-0.72066650814595101</v>
      </c>
      <c r="Q75">
        <v>0.46512603496890298</v>
      </c>
      <c r="R75">
        <v>0.86932961444887003</v>
      </c>
      <c r="S75" t="s">
        <v>6477</v>
      </c>
      <c r="T75" t="s">
        <v>12802</v>
      </c>
      <c r="U75" t="s">
        <v>12802</v>
      </c>
      <c r="V75" t="s">
        <v>12802</v>
      </c>
      <c r="W75" t="s">
        <v>12877</v>
      </c>
      <c r="X75">
        <v>3</v>
      </c>
      <c r="Y75" t="s">
        <v>19199</v>
      </c>
      <c r="Z75" t="s">
        <v>25393</v>
      </c>
      <c r="AA75">
        <v>0.63258619478027533</v>
      </c>
      <c r="AB75" t="str">
        <f>HYPERLINK("Melting_Curves/meltCurve_A8MUA9_SUMO3.pdf", "Melting_Curves/meltCurve_A8MUA9_SUMO3.pdf")</f>
        <v>Melting_Curves/meltCurve_A8MUA9_SUMO3.pdf</v>
      </c>
    </row>
    <row r="76" spans="1:28" x14ac:dyDescent="0.25">
      <c r="A76" t="s">
        <v>80</v>
      </c>
      <c r="B76">
        <v>0.99542014353169495</v>
      </c>
      <c r="C76">
        <v>0.91864931239467795</v>
      </c>
      <c r="D76">
        <v>0.86401640322528594</v>
      </c>
      <c r="E76">
        <v>0.77651637733954504</v>
      </c>
      <c r="F76">
        <v>0.64977431941238495</v>
      </c>
      <c r="G76">
        <v>0.52074476935400305</v>
      </c>
      <c r="H76">
        <v>0.29128817448434802</v>
      </c>
      <c r="I76">
        <v>0.138326921290267</v>
      </c>
      <c r="J76">
        <v>4.61462139342994E-2</v>
      </c>
      <c r="K76">
        <v>3.3205032653108403E-2</v>
      </c>
      <c r="L76">
        <v>601.8650186548</v>
      </c>
      <c r="M76">
        <v>11.4368545761624</v>
      </c>
      <c r="N76">
        <v>52.625031873772102</v>
      </c>
      <c r="O76">
        <v>51.0932328197595</v>
      </c>
      <c r="P76">
        <v>-5.5976961146962101E-2</v>
      </c>
      <c r="Q76">
        <v>0</v>
      </c>
      <c r="R76">
        <v>0.980839497631112</v>
      </c>
      <c r="S76" t="s">
        <v>6478</v>
      </c>
      <c r="T76" t="s">
        <v>12802</v>
      </c>
      <c r="U76" t="s">
        <v>12802</v>
      </c>
      <c r="V76" t="s">
        <v>12802</v>
      </c>
      <c r="W76" t="s">
        <v>12878</v>
      </c>
      <c r="X76">
        <v>29</v>
      </c>
      <c r="Y76" t="s">
        <v>19200</v>
      </c>
      <c r="Z76" t="s">
        <v>25394</v>
      </c>
      <c r="AA76">
        <v>0.54359905342903925</v>
      </c>
      <c r="AB76" t="str">
        <f>HYPERLINK("Melting_Curves/meltCurve_A8MUB1_TUBA4A.pdf", "Melting_Curves/meltCurve_A8MUB1_TUBA4A.pdf")</f>
        <v>Melting_Curves/meltCurve_A8MUB1_TUBA4A.pdf</v>
      </c>
    </row>
    <row r="77" spans="1:28" x14ac:dyDescent="0.25">
      <c r="A77" t="s">
        <v>81</v>
      </c>
      <c r="B77">
        <v>0.99542014353169495</v>
      </c>
      <c r="C77">
        <v>1.05859298150346</v>
      </c>
      <c r="D77">
        <v>1.0439166581281001</v>
      </c>
      <c r="E77">
        <v>1.01550630118681</v>
      </c>
      <c r="F77">
        <v>0.77467255626060105</v>
      </c>
      <c r="G77">
        <v>0.51908338736423099</v>
      </c>
      <c r="H77">
        <v>0.87781804373901295</v>
      </c>
      <c r="I77">
        <v>0.85392120358950396</v>
      </c>
      <c r="J77">
        <v>0.76677911321004399</v>
      </c>
      <c r="K77">
        <v>0.73755172801176205</v>
      </c>
      <c r="L77">
        <v>12436.822284914</v>
      </c>
      <c r="M77">
        <v>250</v>
      </c>
      <c r="O77">
        <v>49.744105664388997</v>
      </c>
      <c r="P77">
        <v>-0.31281256927540502</v>
      </c>
      <c r="Q77">
        <v>0.75103069641133402</v>
      </c>
      <c r="R77">
        <v>0.67122609731682803</v>
      </c>
      <c r="S77" t="s">
        <v>6479</v>
      </c>
      <c r="T77" t="s">
        <v>12802</v>
      </c>
      <c r="U77" t="s">
        <v>12802</v>
      </c>
      <c r="V77" t="s">
        <v>12802</v>
      </c>
      <c r="W77" t="s">
        <v>12879</v>
      </c>
      <c r="X77">
        <v>10</v>
      </c>
      <c r="Y77" t="s">
        <v>19201</v>
      </c>
      <c r="Z77" t="s">
        <v>25395</v>
      </c>
      <c r="AA77">
        <v>0.85684188951331131</v>
      </c>
      <c r="AB77" t="str">
        <f>HYPERLINK("Melting_Curves/meltCurve_A8MUF7_HBE1.pdf", "Melting_Curves/meltCurve_A8MUF7_HBE1.pdf")</f>
        <v>Melting_Curves/meltCurve_A8MUF7_HBE1.pdf</v>
      </c>
    </row>
    <row r="78" spans="1:28" x14ac:dyDescent="0.25">
      <c r="A78" t="s">
        <v>82</v>
      </c>
      <c r="B78">
        <v>0.99542014353169495</v>
      </c>
      <c r="C78">
        <v>0.83659304535276402</v>
      </c>
      <c r="D78">
        <v>0.93721644545550598</v>
      </c>
      <c r="E78">
        <v>0.79378865394625797</v>
      </c>
      <c r="F78">
        <v>0.61920355254675097</v>
      </c>
      <c r="G78">
        <v>0.65506414043609296</v>
      </c>
      <c r="H78">
        <v>0.24430558968339899</v>
      </c>
      <c r="I78">
        <v>5.9589100656992598E-2</v>
      </c>
      <c r="J78">
        <v>4.8264345637155898E-2</v>
      </c>
      <c r="K78">
        <v>4.99280514115314E-2</v>
      </c>
      <c r="L78">
        <v>677.24551561997805</v>
      </c>
      <c r="M78">
        <v>12.755817650966</v>
      </c>
      <c r="N78">
        <v>53.093069694626998</v>
      </c>
      <c r="O78">
        <v>51.838931631146302</v>
      </c>
      <c r="P78">
        <v>-6.1528291685000402E-2</v>
      </c>
      <c r="Q78">
        <v>0</v>
      </c>
      <c r="R78">
        <v>0.93820448528947298</v>
      </c>
      <c r="S78" t="s">
        <v>6480</v>
      </c>
      <c r="T78" t="s">
        <v>12802</v>
      </c>
      <c r="U78" t="s">
        <v>12802</v>
      </c>
      <c r="V78" t="s">
        <v>12802</v>
      </c>
      <c r="W78" t="s">
        <v>12880</v>
      </c>
      <c r="X78">
        <v>12</v>
      </c>
      <c r="Y78" t="s">
        <v>19202</v>
      </c>
      <c r="Z78" t="s">
        <v>25396</v>
      </c>
      <c r="AA78">
        <v>0.5565439197805595</v>
      </c>
      <c r="AB78" t="str">
        <f>HYPERLINK("Melting_Curves/meltCurve_A8MUM1_TSSC1.pdf", "Melting_Curves/meltCurve_A8MUM1_TSSC1.pdf")</f>
        <v>Melting_Curves/meltCurve_A8MUM1_TSSC1.pdf</v>
      </c>
    </row>
    <row r="79" spans="1:28" x14ac:dyDescent="0.25">
      <c r="A79" t="s">
        <v>83</v>
      </c>
      <c r="B79">
        <v>0.99542014353169495</v>
      </c>
      <c r="C79">
        <v>0.85230785974662904</v>
      </c>
      <c r="D79">
        <v>0.67864585568589697</v>
      </c>
      <c r="E79">
        <v>0.52315427518833801</v>
      </c>
      <c r="F79">
        <v>0.36857483984635497</v>
      </c>
      <c r="G79">
        <v>0.22703188235166399</v>
      </c>
      <c r="H79">
        <v>0.132779764123169</v>
      </c>
      <c r="I79">
        <v>0.116549296337254</v>
      </c>
      <c r="J79">
        <v>9.4364771865772301E-2</v>
      </c>
      <c r="K79">
        <v>5.9889565075141302E-2</v>
      </c>
      <c r="L79">
        <v>482.49084426353102</v>
      </c>
      <c r="M79">
        <v>10.339915808721599</v>
      </c>
      <c r="N79">
        <v>46.942855304861297</v>
      </c>
      <c r="O79">
        <v>45.018722315627699</v>
      </c>
      <c r="P79">
        <v>-5.5727236566109097E-2</v>
      </c>
      <c r="Q79">
        <v>2.9897053804499901E-2</v>
      </c>
      <c r="R79">
        <v>0.99445646737623905</v>
      </c>
      <c r="S79" t="s">
        <v>6481</v>
      </c>
      <c r="T79" t="s">
        <v>12802</v>
      </c>
      <c r="U79" t="s">
        <v>12802</v>
      </c>
      <c r="V79" t="s">
        <v>12802</v>
      </c>
      <c r="W79" t="s">
        <v>12881</v>
      </c>
      <c r="X79">
        <v>3</v>
      </c>
      <c r="Y79" t="s">
        <v>19203</v>
      </c>
      <c r="Z79" t="s">
        <v>25397</v>
      </c>
      <c r="AA79">
        <v>0.38318764046536608</v>
      </c>
      <c r="AB79" t="str">
        <f>HYPERLINK("Melting_Curves/meltCurve_A8MVF6_NPRL3.pdf", "Melting_Curves/meltCurve_A8MVF6_NPRL3.pdf")</f>
        <v>Melting_Curves/meltCurve_A8MVF6_NPRL3.pdf</v>
      </c>
    </row>
    <row r="80" spans="1:28" x14ac:dyDescent="0.25">
      <c r="A80" t="s">
        <v>84</v>
      </c>
      <c r="B80">
        <v>0.99542014353169495</v>
      </c>
      <c r="C80">
        <v>0.93282149618798205</v>
      </c>
      <c r="D80">
        <v>0.97311144026649099</v>
      </c>
      <c r="E80">
        <v>0.84590501210019498</v>
      </c>
      <c r="F80">
        <v>0.48327783838316601</v>
      </c>
      <c r="G80">
        <v>0.16051767376566001</v>
      </c>
      <c r="H80">
        <v>7.0115618769198598E-2</v>
      </c>
      <c r="I80">
        <v>3.4178984752551198E-2</v>
      </c>
      <c r="J80">
        <v>3.1744793062228001E-2</v>
      </c>
      <c r="K80">
        <v>2.74380687544581E-2</v>
      </c>
      <c r="L80">
        <v>1185.8418664711701</v>
      </c>
      <c r="M80">
        <v>23.76676960735</v>
      </c>
      <c r="N80">
        <v>49.997702134702898</v>
      </c>
      <c r="O80">
        <v>49.545741484883898</v>
      </c>
      <c r="P80">
        <v>-0.11706700140609599</v>
      </c>
      <c r="Q80">
        <v>2.3834349781812599E-2</v>
      </c>
      <c r="R80">
        <v>0.99741849559225304</v>
      </c>
      <c r="S80" t="s">
        <v>6482</v>
      </c>
      <c r="T80" t="s">
        <v>12802</v>
      </c>
      <c r="U80" t="s">
        <v>12802</v>
      </c>
      <c r="V80" t="s">
        <v>12802</v>
      </c>
      <c r="W80" t="s">
        <v>12882</v>
      </c>
      <c r="X80">
        <v>8</v>
      </c>
      <c r="Y80" t="s">
        <v>19204</v>
      </c>
      <c r="Z80" t="s">
        <v>25398</v>
      </c>
      <c r="AA80">
        <v>0.45280723883220758</v>
      </c>
      <c r="AB80" t="str">
        <f>HYPERLINK("Melting_Curves/meltCurve_A8MVN1_DGKZ.pdf", "Melting_Curves/meltCurve_A8MVN1_DGKZ.pdf")</f>
        <v>Melting_Curves/meltCurve_A8MVN1_DGKZ.pdf</v>
      </c>
    </row>
    <row r="81" spans="1:28" x14ac:dyDescent="0.25">
      <c r="A81" t="s">
        <v>85</v>
      </c>
      <c r="B81">
        <v>0.99542014353169495</v>
      </c>
      <c r="C81">
        <v>0.95976337063369699</v>
      </c>
      <c r="D81">
        <v>1.00049162998213</v>
      </c>
      <c r="E81">
        <v>0.88041493151694405</v>
      </c>
      <c r="F81">
        <v>0.81175543270192896</v>
      </c>
      <c r="G81">
        <v>0.58867507348350301</v>
      </c>
      <c r="H81">
        <v>0.36944654014735501</v>
      </c>
      <c r="I81">
        <v>0.17766574149683501</v>
      </c>
      <c r="J81">
        <v>0.18296038526818501</v>
      </c>
      <c r="K81">
        <v>0.20274253841739701</v>
      </c>
      <c r="L81">
        <v>887.53968266756397</v>
      </c>
      <c r="M81">
        <v>16.474701596164799</v>
      </c>
      <c r="N81">
        <v>54.852834034960402</v>
      </c>
      <c r="O81">
        <v>53.097893193892801</v>
      </c>
      <c r="P81">
        <v>-6.7683944538779794E-2</v>
      </c>
      <c r="Q81">
        <v>0.127480698548364</v>
      </c>
      <c r="R81">
        <v>0.99019879432112301</v>
      </c>
      <c r="S81" t="s">
        <v>6483</v>
      </c>
      <c r="T81" t="s">
        <v>12802</v>
      </c>
      <c r="U81" t="s">
        <v>12802</v>
      </c>
      <c r="V81" t="s">
        <v>12802</v>
      </c>
      <c r="W81" t="s">
        <v>12883</v>
      </c>
      <c r="X81">
        <v>4</v>
      </c>
      <c r="Y81" t="s">
        <v>19205</v>
      </c>
      <c r="Z81" t="s">
        <v>25399</v>
      </c>
      <c r="AA81">
        <v>0.63144431247370181</v>
      </c>
      <c r="AB81" t="str">
        <f>HYPERLINK("Melting_Curves/meltCurve_A8MVZ6_BICD1.pdf", "Melting_Curves/meltCurve_A8MVZ6_BICD1.pdf")</f>
        <v>Melting_Curves/meltCurve_A8MVZ6_BICD1.pdf</v>
      </c>
    </row>
    <row r="82" spans="1:28" x14ac:dyDescent="0.25">
      <c r="A82" t="s">
        <v>86</v>
      </c>
      <c r="B82">
        <v>0.99542014353169495</v>
      </c>
      <c r="C82">
        <v>0.897389554686017</v>
      </c>
      <c r="D82">
        <v>0.94285005354960805</v>
      </c>
      <c r="E82">
        <v>0.76172629420958804</v>
      </c>
      <c r="F82">
        <v>0.74691415357008295</v>
      </c>
      <c r="G82">
        <v>0.49222443365630503</v>
      </c>
      <c r="H82">
        <v>0.36198212628547199</v>
      </c>
      <c r="I82">
        <v>0.26405041173902699</v>
      </c>
      <c r="J82">
        <v>0.27361667704614501</v>
      </c>
      <c r="K82">
        <v>0.23417430206849499</v>
      </c>
      <c r="L82">
        <v>541.07274198501204</v>
      </c>
      <c r="M82">
        <v>10.325777562494</v>
      </c>
      <c r="N82">
        <v>54.061788404213203</v>
      </c>
      <c r="O82">
        <v>50.5490514445939</v>
      </c>
      <c r="P82">
        <v>-4.4143502221222097E-2</v>
      </c>
      <c r="Q82">
        <v>0.13596720949399599</v>
      </c>
      <c r="R82">
        <v>0.97839443833466899</v>
      </c>
      <c r="S82" t="s">
        <v>6484</v>
      </c>
      <c r="T82" t="s">
        <v>12802</v>
      </c>
      <c r="U82" t="s">
        <v>12802</v>
      </c>
      <c r="V82" t="s">
        <v>12802</v>
      </c>
      <c r="W82" t="s">
        <v>12884</v>
      </c>
      <c r="X82">
        <v>13</v>
      </c>
      <c r="Y82" t="s">
        <v>19206</v>
      </c>
      <c r="Z82" t="s">
        <v>25400</v>
      </c>
      <c r="AA82">
        <v>0.60085392573998253</v>
      </c>
      <c r="AB82" t="str">
        <f>HYPERLINK("Melting_Curves/meltCurve_A8MW61_PLRG1.pdf", "Melting_Curves/meltCurve_A8MW61_PLRG1.pdf")</f>
        <v>Melting_Curves/meltCurve_A8MW61_PLRG1.pdf</v>
      </c>
    </row>
    <row r="83" spans="1:28" x14ac:dyDescent="0.25">
      <c r="A83" t="s">
        <v>87</v>
      </c>
      <c r="B83">
        <v>0.99542014353169495</v>
      </c>
      <c r="C83">
        <v>0.95825406167302796</v>
      </c>
      <c r="D83">
        <v>1.1418314282369499</v>
      </c>
      <c r="E83">
        <v>0.93104907082946897</v>
      </c>
      <c r="F83">
        <v>0.84861925505012303</v>
      </c>
      <c r="G83">
        <v>0.388976640117013</v>
      </c>
      <c r="H83">
        <v>0.33009330540576298</v>
      </c>
      <c r="I83">
        <v>0.13714127403639301</v>
      </c>
      <c r="J83">
        <v>0.10161624556182899</v>
      </c>
      <c r="K83">
        <v>0.18636218510263899</v>
      </c>
      <c r="L83">
        <v>1405.5075838145101</v>
      </c>
      <c r="M83">
        <v>26.7568545939858</v>
      </c>
      <c r="N83">
        <v>53.250985412412803</v>
      </c>
      <c r="O83">
        <v>52.238113292186299</v>
      </c>
      <c r="P83">
        <v>-0.108570446706375</v>
      </c>
      <c r="Q83">
        <v>0.15214918141064601</v>
      </c>
      <c r="R83">
        <v>0.97050024044549099</v>
      </c>
      <c r="S83" t="s">
        <v>6485</v>
      </c>
      <c r="T83" t="s">
        <v>12802</v>
      </c>
      <c r="U83" t="s">
        <v>12802</v>
      </c>
      <c r="V83" t="s">
        <v>12802</v>
      </c>
      <c r="W83" t="s">
        <v>12885</v>
      </c>
      <c r="X83">
        <v>4</v>
      </c>
      <c r="Y83" t="s">
        <v>19207</v>
      </c>
      <c r="Z83" t="s">
        <v>25401</v>
      </c>
      <c r="AA83">
        <v>0.59767180671171294</v>
      </c>
      <c r="AB83" t="str">
        <f>HYPERLINK("Melting_Curves/meltCurve_A8MWY0_KIAA1324L.pdf", "Melting_Curves/meltCurve_A8MWY0_KIAA1324L.pdf")</f>
        <v>Melting_Curves/meltCurve_A8MWY0_KIAA1324L.pdf</v>
      </c>
    </row>
    <row r="84" spans="1:28" x14ac:dyDescent="0.25">
      <c r="A84" t="s">
        <v>88</v>
      </c>
      <c r="B84">
        <v>0.99542014353169495</v>
      </c>
      <c r="C84">
        <v>0.982799446309363</v>
      </c>
      <c r="D84">
        <v>0.86744441575197395</v>
      </c>
      <c r="E84">
        <v>0.735621587186438</v>
      </c>
      <c r="F84">
        <v>0.35739175094256997</v>
      </c>
      <c r="G84">
        <v>0.143028227183947</v>
      </c>
      <c r="H84">
        <v>6.6038939828225604E-2</v>
      </c>
      <c r="I84">
        <v>4.5085620140539399E-2</v>
      </c>
      <c r="J84">
        <v>4.7952376941858901E-2</v>
      </c>
      <c r="K84">
        <v>6.0808431224289097E-2</v>
      </c>
      <c r="L84">
        <v>954.70381140721099</v>
      </c>
      <c r="M84">
        <v>19.683948925249499</v>
      </c>
      <c r="N84">
        <v>48.679881204944202</v>
      </c>
      <c r="O84">
        <v>48.009372196370002</v>
      </c>
      <c r="P84">
        <v>-9.8940232141772097E-2</v>
      </c>
      <c r="Q84">
        <v>3.4768121952749899E-2</v>
      </c>
      <c r="R84">
        <v>0.99631288952833397</v>
      </c>
      <c r="S84" t="s">
        <v>6486</v>
      </c>
      <c r="T84" t="s">
        <v>12802</v>
      </c>
      <c r="U84" t="s">
        <v>12802</v>
      </c>
      <c r="V84" t="s">
        <v>12802</v>
      </c>
      <c r="W84" t="s">
        <v>12886</v>
      </c>
      <c r="X84">
        <v>7</v>
      </c>
      <c r="Y84" t="s">
        <v>19208</v>
      </c>
      <c r="Z84" t="s">
        <v>25402</v>
      </c>
      <c r="AA84">
        <v>0.41790942107854262</v>
      </c>
      <c r="AB84" t="str">
        <f>HYPERLINK("Melting_Curves/meltCurve_A8MXB9_SUMF2.pdf", "Melting_Curves/meltCurve_A8MXB9_SUMF2.pdf")</f>
        <v>Melting_Curves/meltCurve_A8MXB9_SUMF2.pdf</v>
      </c>
    </row>
    <row r="85" spans="1:28" x14ac:dyDescent="0.25">
      <c r="A85" t="s">
        <v>89</v>
      </c>
      <c r="B85">
        <v>0.99542014353169495</v>
      </c>
      <c r="C85">
        <v>0.99485037553464795</v>
      </c>
      <c r="D85">
        <v>1.1217341210702001</v>
      </c>
      <c r="E85">
        <v>0.78253349860982702</v>
      </c>
      <c r="F85">
        <v>0.85659328757971798</v>
      </c>
      <c r="G85">
        <v>0</v>
      </c>
      <c r="H85">
        <v>0</v>
      </c>
      <c r="I85">
        <v>0</v>
      </c>
      <c r="J85">
        <v>0</v>
      </c>
      <c r="K85">
        <v>0</v>
      </c>
      <c r="L85">
        <v>5977.0739717714096</v>
      </c>
      <c r="M85">
        <v>117.278466196526</v>
      </c>
      <c r="N85">
        <v>50.964795393335798</v>
      </c>
      <c r="O85">
        <v>50.949989020307001</v>
      </c>
      <c r="P85">
        <v>-0.57545875752765296</v>
      </c>
      <c r="Q85">
        <v>0</v>
      </c>
      <c r="R85">
        <v>0.97329712302715499</v>
      </c>
      <c r="S85" t="s">
        <v>6487</v>
      </c>
      <c r="T85" t="s">
        <v>12802</v>
      </c>
      <c r="U85" t="s">
        <v>12802</v>
      </c>
      <c r="V85" t="s">
        <v>12802</v>
      </c>
      <c r="W85" t="s">
        <v>12887</v>
      </c>
      <c r="X85">
        <v>1</v>
      </c>
      <c r="Y85" t="s">
        <v>19209</v>
      </c>
      <c r="Z85" t="s">
        <v>25403</v>
      </c>
      <c r="AA85">
        <v>0.46590019688894452</v>
      </c>
      <c r="AB85" t="str">
        <f>HYPERLINK("Melting_Curves/meltCurve_A8MXE8_RAI1.pdf", "Melting_Curves/meltCurve_A8MXE8_RAI1.pdf")</f>
        <v>Melting_Curves/meltCurve_A8MXE8_RAI1.pdf</v>
      </c>
    </row>
    <row r="86" spans="1:28" x14ac:dyDescent="0.25">
      <c r="A86" t="s">
        <v>90</v>
      </c>
      <c r="B86">
        <v>0.99542014353169495</v>
      </c>
      <c r="C86">
        <v>0.89925975059337204</v>
      </c>
      <c r="D86">
        <v>0.81655224891412503</v>
      </c>
      <c r="E86">
        <v>0.40527492204339299</v>
      </c>
      <c r="F86">
        <v>0.26673637750068802</v>
      </c>
      <c r="G86">
        <v>0.17923341164110801</v>
      </c>
      <c r="H86">
        <v>0.124493209535668</v>
      </c>
      <c r="I86">
        <v>9.3262819444697304E-2</v>
      </c>
      <c r="J86">
        <v>0.13211817210562399</v>
      </c>
      <c r="K86">
        <v>0.10398230682269299</v>
      </c>
      <c r="L86">
        <v>858.69828484506195</v>
      </c>
      <c r="M86">
        <v>18.9157339948508</v>
      </c>
      <c r="N86">
        <v>46.019719994375002</v>
      </c>
      <c r="O86">
        <v>44.8977430588996</v>
      </c>
      <c r="P86">
        <v>-9.3420642113175301E-2</v>
      </c>
      <c r="Q86">
        <v>0.1130757369001</v>
      </c>
      <c r="R86">
        <v>0.99301441221665698</v>
      </c>
      <c r="S86" t="s">
        <v>6488</v>
      </c>
      <c r="T86" t="s">
        <v>12802</v>
      </c>
      <c r="U86" t="s">
        <v>12802</v>
      </c>
      <c r="V86" t="s">
        <v>12802</v>
      </c>
      <c r="W86" t="s">
        <v>12888</v>
      </c>
      <c r="X86">
        <v>11</v>
      </c>
      <c r="Y86" t="s">
        <v>19210</v>
      </c>
      <c r="Z86" t="s">
        <v>25404</v>
      </c>
      <c r="AA86">
        <v>0.3743335670792497</v>
      </c>
      <c r="AB86" t="str">
        <f>HYPERLINK("Melting_Curves/meltCurve_A8MXP9_MATR3.pdf", "Melting_Curves/meltCurve_A8MXP9_MATR3.pdf")</f>
        <v>Melting_Curves/meltCurve_A8MXP9_MATR3.pdf</v>
      </c>
    </row>
    <row r="87" spans="1:28" x14ac:dyDescent="0.25">
      <c r="A87" t="s">
        <v>91</v>
      </c>
      <c r="B87">
        <v>0.99542014353169495</v>
      </c>
      <c r="C87">
        <v>0.96403614401075899</v>
      </c>
      <c r="D87">
        <v>0.895153950381821</v>
      </c>
      <c r="E87">
        <v>0.83665758233791998</v>
      </c>
      <c r="F87">
        <v>0.60276099638543901</v>
      </c>
      <c r="G87">
        <v>0.44406046647085801</v>
      </c>
      <c r="H87">
        <v>0.39398369640396502</v>
      </c>
      <c r="I87">
        <v>0.39666282185638102</v>
      </c>
      <c r="J87">
        <v>0.60718139309768004</v>
      </c>
      <c r="K87">
        <v>0.75062043152434199</v>
      </c>
      <c r="L87">
        <v>1424.2471342470201</v>
      </c>
      <c r="M87">
        <v>30.097028665949701</v>
      </c>
      <c r="O87">
        <v>47.114430580357201</v>
      </c>
      <c r="P87">
        <v>-7.6852530232688704E-2</v>
      </c>
      <c r="Q87">
        <v>0.51877795165096896</v>
      </c>
      <c r="R87">
        <v>0.77498034285870698</v>
      </c>
      <c r="S87" t="s">
        <v>6489</v>
      </c>
      <c r="T87" t="s">
        <v>12802</v>
      </c>
      <c r="U87" t="s">
        <v>12802</v>
      </c>
      <c r="V87" t="s">
        <v>12802</v>
      </c>
      <c r="W87" t="s">
        <v>12889</v>
      </c>
      <c r="X87">
        <v>4</v>
      </c>
      <c r="Y87" t="s">
        <v>19211</v>
      </c>
      <c r="Z87" t="s">
        <v>25405</v>
      </c>
      <c r="AA87">
        <v>0.6871436994829766</v>
      </c>
      <c r="AB87" t="str">
        <f>HYPERLINK("Melting_Curves/meltCurve_A8MXQ1_PTTG1IP.pdf", "Melting_Curves/meltCurve_A8MXQ1_PTTG1IP.pdf")</f>
        <v>Melting_Curves/meltCurve_A8MXQ1_PTTG1IP.pdf</v>
      </c>
    </row>
    <row r="88" spans="1:28" x14ac:dyDescent="0.25">
      <c r="A88" t="s">
        <v>92</v>
      </c>
      <c r="B88">
        <v>0.99542014353169495</v>
      </c>
      <c r="C88">
        <v>1.06234843092107</v>
      </c>
      <c r="D88">
        <v>0.94636476644705103</v>
      </c>
      <c r="E88">
        <v>1.00683895241847</v>
      </c>
      <c r="F88">
        <v>0.78283763633335501</v>
      </c>
      <c r="G88">
        <v>0.50614643253721603</v>
      </c>
      <c r="H88">
        <v>0.21132233894343999</v>
      </c>
      <c r="I88">
        <v>9.53310971290669E-2</v>
      </c>
      <c r="J88">
        <v>5.8226256284835499E-2</v>
      </c>
      <c r="K88">
        <v>5.8276866322185601E-2</v>
      </c>
      <c r="L88">
        <v>1147.8230531924701</v>
      </c>
      <c r="M88">
        <v>21.454627534898901</v>
      </c>
      <c r="N88">
        <v>53.686853787497903</v>
      </c>
      <c r="O88">
        <v>53.041732117827003</v>
      </c>
      <c r="P88">
        <v>-9.7486337601421502E-2</v>
      </c>
      <c r="Q88">
        <v>3.5971758818218E-2</v>
      </c>
      <c r="R88">
        <v>0.99425401757357001</v>
      </c>
      <c r="S88" t="s">
        <v>6490</v>
      </c>
      <c r="T88" t="s">
        <v>12802</v>
      </c>
      <c r="U88" t="s">
        <v>12802</v>
      </c>
      <c r="V88" t="s">
        <v>12802</v>
      </c>
      <c r="W88" t="s">
        <v>12890</v>
      </c>
      <c r="X88">
        <v>5</v>
      </c>
      <c r="Y88" t="s">
        <v>19212</v>
      </c>
      <c r="Z88" t="s">
        <v>25406</v>
      </c>
      <c r="AA88">
        <v>0.57698045690927369</v>
      </c>
      <c r="AB88" t="str">
        <f>HYPERLINK("Melting_Curves/meltCurve_A8MXV4_NUDT19.pdf", "Melting_Curves/meltCurve_A8MXV4_NUDT19.pdf")</f>
        <v>Melting_Curves/meltCurve_A8MXV4_NUDT19.pdf</v>
      </c>
    </row>
    <row r="89" spans="1:28" x14ac:dyDescent="0.25">
      <c r="A89" t="s">
        <v>93</v>
      </c>
      <c r="B89">
        <v>0.99542014353169495</v>
      </c>
      <c r="C89">
        <v>1.0444871283391599</v>
      </c>
      <c r="D89">
        <v>0.82884281218187805</v>
      </c>
      <c r="E89">
        <v>0.64902213474982495</v>
      </c>
      <c r="F89">
        <v>0.48761342888273801</v>
      </c>
      <c r="G89">
        <v>0.34854446901881703</v>
      </c>
      <c r="H89">
        <v>0.17438381289429</v>
      </c>
      <c r="I89">
        <v>7.1639809564757406E-2</v>
      </c>
      <c r="J89">
        <v>7.2521386987414102E-2</v>
      </c>
      <c r="K89">
        <v>7.5072030349000896E-2</v>
      </c>
      <c r="L89">
        <v>574.81504419017597</v>
      </c>
      <c r="M89">
        <v>11.5416464069918</v>
      </c>
      <c r="N89">
        <v>49.847400732447802</v>
      </c>
      <c r="O89">
        <v>48.378817317330501</v>
      </c>
      <c r="P89">
        <v>-5.9357548529869401E-2</v>
      </c>
      <c r="Q89">
        <v>5.0484277669952697E-3</v>
      </c>
      <c r="R89">
        <v>0.98731812059449198</v>
      </c>
      <c r="S89" t="s">
        <v>6491</v>
      </c>
      <c r="T89" t="s">
        <v>12802</v>
      </c>
      <c r="U89" t="s">
        <v>12802</v>
      </c>
      <c r="V89" t="s">
        <v>12802</v>
      </c>
      <c r="W89" t="s">
        <v>12891</v>
      </c>
      <c r="X89">
        <v>7</v>
      </c>
      <c r="Y89" t="s">
        <v>19213</v>
      </c>
      <c r="Z89" t="s">
        <v>25407</v>
      </c>
      <c r="AA89">
        <v>0.45920607021441567</v>
      </c>
      <c r="AB89" t="str">
        <f>HYPERLINK("Melting_Curves/meltCurve_A9UHW6_MIF4GD.pdf", "Melting_Curves/meltCurve_A9UHW6_MIF4GD.pdf")</f>
        <v>Melting_Curves/meltCurve_A9UHW6_MIF4GD.pdf</v>
      </c>
    </row>
    <row r="90" spans="1:28" x14ac:dyDescent="0.25">
      <c r="A90" t="s">
        <v>94</v>
      </c>
      <c r="B90">
        <v>0.99542014353169495</v>
      </c>
      <c r="C90">
        <v>1.03101969331775</v>
      </c>
      <c r="D90">
        <v>1.11160308511065</v>
      </c>
      <c r="E90">
        <v>0.99149694186374504</v>
      </c>
      <c r="F90">
        <v>0.816558350482262</v>
      </c>
      <c r="G90">
        <v>0.45478431466720798</v>
      </c>
      <c r="H90">
        <v>0.234518579635076</v>
      </c>
      <c r="I90">
        <v>0.160069292354724</v>
      </c>
      <c r="J90">
        <v>0.18239971393803101</v>
      </c>
      <c r="K90">
        <v>0.207420304194745</v>
      </c>
      <c r="L90">
        <v>1551.4958277779399</v>
      </c>
      <c r="M90">
        <v>29.571971355519501</v>
      </c>
      <c r="N90">
        <v>53.257375474554799</v>
      </c>
      <c r="O90">
        <v>52.226914264409402</v>
      </c>
      <c r="P90">
        <v>-0.11636470718484999</v>
      </c>
      <c r="Q90">
        <v>0.17796107896916799</v>
      </c>
      <c r="R90">
        <v>0.98927941807034103</v>
      </c>
      <c r="S90" t="s">
        <v>6492</v>
      </c>
      <c r="T90" t="s">
        <v>12802</v>
      </c>
      <c r="U90" t="s">
        <v>12802</v>
      </c>
      <c r="V90" t="s">
        <v>12802</v>
      </c>
      <c r="W90" t="s">
        <v>12892</v>
      </c>
      <c r="X90">
        <v>13</v>
      </c>
      <c r="Y90" t="s">
        <v>19214</v>
      </c>
      <c r="Z90" t="s">
        <v>25408</v>
      </c>
      <c r="AA90">
        <v>0.60707882957265569</v>
      </c>
      <c r="AB90" t="str">
        <f>HYPERLINK("Melting_Curves/meltCurve_A9Z1X7_SRRM1.pdf", "Melting_Curves/meltCurve_A9Z1X7_SRRM1.pdf")</f>
        <v>Melting_Curves/meltCurve_A9Z1X7_SRRM1.pdf</v>
      </c>
    </row>
    <row r="91" spans="1:28" x14ac:dyDescent="0.25">
      <c r="A91" t="s">
        <v>95</v>
      </c>
      <c r="B91">
        <v>0.99542014353169495</v>
      </c>
      <c r="C91">
        <v>0.98145957257389604</v>
      </c>
      <c r="D91">
        <v>0.93500348120598697</v>
      </c>
      <c r="E91">
        <v>0.85576942297033198</v>
      </c>
      <c r="F91">
        <v>0.67916036005934499</v>
      </c>
      <c r="G91">
        <v>0.47032927433694399</v>
      </c>
      <c r="H91">
        <v>0.17587922499759001</v>
      </c>
      <c r="I91">
        <v>6.8044470835626397E-2</v>
      </c>
      <c r="J91">
        <v>6.4080443111995899E-2</v>
      </c>
      <c r="K91">
        <v>6.3548304296615496E-2</v>
      </c>
      <c r="L91">
        <v>810.67160856903695</v>
      </c>
      <c r="M91">
        <v>15.404577153875699</v>
      </c>
      <c r="N91">
        <v>52.625372750544201</v>
      </c>
      <c r="O91">
        <v>51.762459896417298</v>
      </c>
      <c r="P91">
        <v>-7.4407122175972701E-2</v>
      </c>
      <c r="Q91">
        <v>0</v>
      </c>
      <c r="R91">
        <v>0.99405068095368698</v>
      </c>
      <c r="S91" t="s">
        <v>6493</v>
      </c>
      <c r="T91" t="s">
        <v>12802</v>
      </c>
      <c r="U91" t="s">
        <v>12802</v>
      </c>
      <c r="V91" t="s">
        <v>12802</v>
      </c>
      <c r="W91" t="s">
        <v>12893</v>
      </c>
      <c r="X91">
        <v>17</v>
      </c>
      <c r="Y91" t="s">
        <v>19215</v>
      </c>
      <c r="Z91" t="s">
        <v>25409</v>
      </c>
      <c r="AA91">
        <v>0.53870358595306056</v>
      </c>
      <c r="AB91" t="str">
        <f>HYPERLINK("Melting_Curves/meltCurve_B0FLL2_PFKFB2.pdf", "Melting_Curves/meltCurve_B0FLL2_PFKFB2.pdf")</f>
        <v>Melting_Curves/meltCurve_B0FLL2_PFKFB2.pdf</v>
      </c>
    </row>
    <row r="92" spans="1:28" x14ac:dyDescent="0.25">
      <c r="A92" t="s">
        <v>96</v>
      </c>
      <c r="B92">
        <v>0.99542014353169495</v>
      </c>
      <c r="C92">
        <v>0.82452618440763004</v>
      </c>
      <c r="D92">
        <v>0.75067025319370695</v>
      </c>
      <c r="E92">
        <v>0.41496807726125201</v>
      </c>
      <c r="F92">
        <v>0.20106913841204099</v>
      </c>
      <c r="G92">
        <v>0.149015131017879</v>
      </c>
      <c r="H92">
        <v>5.8469556069966101E-2</v>
      </c>
      <c r="I92">
        <v>4.9187356192038401E-2</v>
      </c>
      <c r="J92">
        <v>1.3154364813989201E-2</v>
      </c>
      <c r="K92">
        <v>0.106568073334374</v>
      </c>
      <c r="L92">
        <v>686.20556231741296</v>
      </c>
      <c r="M92">
        <v>15.1417796435088</v>
      </c>
      <c r="N92">
        <v>45.577631552291699</v>
      </c>
      <c r="O92">
        <v>44.550302204295797</v>
      </c>
      <c r="P92">
        <v>-8.1476189111660005E-2</v>
      </c>
      <c r="Q92">
        <v>4.1213366749958402E-2</v>
      </c>
      <c r="R92">
        <v>0.98868295839374498</v>
      </c>
      <c r="S92" t="s">
        <v>6494</v>
      </c>
      <c r="T92" t="s">
        <v>12802</v>
      </c>
      <c r="U92" t="s">
        <v>12802</v>
      </c>
      <c r="V92" t="s">
        <v>12802</v>
      </c>
      <c r="W92" t="s">
        <v>12894</v>
      </c>
      <c r="X92">
        <v>1</v>
      </c>
      <c r="Y92" t="s">
        <v>19216</v>
      </c>
      <c r="Z92" t="s">
        <v>25410</v>
      </c>
      <c r="AA92">
        <v>0.32922030260807239</v>
      </c>
      <c r="AB92" t="str">
        <f>HYPERLINK("Melting_Curves/meltCurve_B0QXZ5_DNAL4.pdf", "Melting_Curves/meltCurve_B0QXZ5_DNAL4.pdf")</f>
        <v>Melting_Curves/meltCurve_B0QXZ5_DNAL4.pdf</v>
      </c>
    </row>
    <row r="93" spans="1:28" x14ac:dyDescent="0.25">
      <c r="A93" t="s">
        <v>97</v>
      </c>
      <c r="B93">
        <v>0.99542014353169495</v>
      </c>
      <c r="C93">
        <v>0.84416251701970701</v>
      </c>
      <c r="D93">
        <v>0.89594602981542604</v>
      </c>
      <c r="E93">
        <v>0.734467301318671</v>
      </c>
      <c r="F93">
        <v>1.0058266662622899</v>
      </c>
      <c r="G93">
        <v>0.33489865066458002</v>
      </c>
      <c r="H93">
        <v>7.8670348206281798E-2</v>
      </c>
      <c r="I93">
        <v>4.7423074974806002E-2</v>
      </c>
      <c r="J93">
        <v>4.1998056244890399E-2</v>
      </c>
      <c r="K93">
        <v>4.5086054892853999E-2</v>
      </c>
      <c r="L93">
        <v>4900.8249364572603</v>
      </c>
      <c r="M93">
        <v>91.949901701908303</v>
      </c>
      <c r="N93">
        <v>53.363774311251703</v>
      </c>
      <c r="O93">
        <v>53.273663929414099</v>
      </c>
      <c r="P93">
        <v>-0.40866928698222099</v>
      </c>
      <c r="Q93">
        <v>5.29056273207738E-2</v>
      </c>
      <c r="R93">
        <v>0.935738470288215</v>
      </c>
      <c r="S93" t="s">
        <v>6495</v>
      </c>
      <c r="T93" t="s">
        <v>12802</v>
      </c>
      <c r="U93" t="s">
        <v>12802</v>
      </c>
      <c r="V93" t="s">
        <v>12802</v>
      </c>
      <c r="W93" t="s">
        <v>12895</v>
      </c>
      <c r="X93">
        <v>18</v>
      </c>
      <c r="Y93" t="s">
        <v>19217</v>
      </c>
      <c r="Z93" t="s">
        <v>25411</v>
      </c>
      <c r="AA93">
        <v>0.56811338902396646</v>
      </c>
      <c r="AB93" t="str">
        <f>HYPERLINK("Melting_Curves/meltCurve_B0QY89_EIF3L.pdf", "Melting_Curves/meltCurve_B0QY89_EIF3L.pdf")</f>
        <v>Melting_Curves/meltCurve_B0QY89_EIF3L.pdf</v>
      </c>
    </row>
    <row r="94" spans="1:28" x14ac:dyDescent="0.25">
      <c r="A94" t="s">
        <v>98</v>
      </c>
      <c r="B94">
        <v>0.99542014353169495</v>
      </c>
      <c r="C94">
        <v>1.0158327982062301</v>
      </c>
      <c r="D94">
        <v>0.89222433575234805</v>
      </c>
      <c r="E94">
        <v>0.722414257248018</v>
      </c>
      <c r="F94">
        <v>0.57013482430782103</v>
      </c>
      <c r="G94">
        <v>0.367837758189269</v>
      </c>
      <c r="H94">
        <v>9.7189497547799403E-2</v>
      </c>
      <c r="I94">
        <v>7.1083883771117795E-2</v>
      </c>
      <c r="J94">
        <v>7.2557397291927603E-2</v>
      </c>
      <c r="K94">
        <v>7.4409815478404001E-2</v>
      </c>
      <c r="L94">
        <v>674.37989856302397</v>
      </c>
      <c r="M94">
        <v>13.297115639965201</v>
      </c>
      <c r="N94">
        <v>50.718370403740401</v>
      </c>
      <c r="O94">
        <v>49.6103593744593</v>
      </c>
      <c r="P94">
        <v>-6.7000001498596598E-2</v>
      </c>
      <c r="Q94">
        <v>2.7710315906076999E-4</v>
      </c>
      <c r="R94">
        <v>0.98887107068729296</v>
      </c>
      <c r="S94" t="s">
        <v>6496</v>
      </c>
      <c r="T94" t="s">
        <v>12802</v>
      </c>
      <c r="U94" t="s">
        <v>12802</v>
      </c>
      <c r="V94" t="s">
        <v>12802</v>
      </c>
      <c r="W94" t="s">
        <v>12896</v>
      </c>
      <c r="X94">
        <v>10</v>
      </c>
      <c r="Y94" t="s">
        <v>19218</v>
      </c>
      <c r="Z94" t="s">
        <v>25412</v>
      </c>
      <c r="AA94">
        <v>0.48108858288943251</v>
      </c>
      <c r="AB94" t="str">
        <f>HYPERLINK("Melting_Curves/meltCurve_B0QY95_SMCR7L.pdf", "Melting_Curves/meltCurve_B0QY95_SMCR7L.pdf")</f>
        <v>Melting_Curves/meltCurve_B0QY95_SMCR7L.pdf</v>
      </c>
    </row>
    <row r="95" spans="1:28" x14ac:dyDescent="0.25">
      <c r="A95" t="s">
        <v>99</v>
      </c>
      <c r="B95">
        <v>0.99542014353169495</v>
      </c>
      <c r="C95">
        <v>1.02555275697807</v>
      </c>
      <c r="D95">
        <v>0.89012549362306104</v>
      </c>
      <c r="E95">
        <v>1.01713612126983</v>
      </c>
      <c r="F95">
        <v>0.89122499297005997</v>
      </c>
      <c r="G95">
        <v>0.831044298226431</v>
      </c>
      <c r="H95">
        <v>0.40402193856736801</v>
      </c>
      <c r="I95">
        <v>5.7614083022282901E-2</v>
      </c>
      <c r="J95">
        <v>0</v>
      </c>
      <c r="K95">
        <v>2.90704444867072E-2</v>
      </c>
      <c r="L95">
        <v>1755.2697622707401</v>
      </c>
      <c r="M95">
        <v>31.052144346812199</v>
      </c>
      <c r="N95">
        <v>56.526523298818901</v>
      </c>
      <c r="O95">
        <v>56.293640239104</v>
      </c>
      <c r="P95">
        <v>-0.13790332767633801</v>
      </c>
      <c r="Q95">
        <v>0</v>
      </c>
      <c r="R95">
        <v>0.98642229089357303</v>
      </c>
      <c r="S95" t="s">
        <v>6497</v>
      </c>
      <c r="T95" t="s">
        <v>12802</v>
      </c>
      <c r="U95" t="s">
        <v>12802</v>
      </c>
      <c r="V95" t="s">
        <v>12802</v>
      </c>
      <c r="W95" t="s">
        <v>12897</v>
      </c>
      <c r="X95">
        <v>3</v>
      </c>
      <c r="Y95" t="s">
        <v>19219</v>
      </c>
      <c r="Z95" t="s">
        <v>25413</v>
      </c>
      <c r="AA95">
        <v>0.65668855194144704</v>
      </c>
      <c r="AB95" t="str">
        <f>HYPERLINK("Melting_Curves/meltCurve_B0QYI3_TBC1D22A.pdf", "Melting_Curves/meltCurve_B0QYI3_TBC1D22A.pdf")</f>
        <v>Melting_Curves/meltCurve_B0QYI3_TBC1D22A.pdf</v>
      </c>
    </row>
    <row r="96" spans="1:28" x14ac:dyDescent="0.25">
      <c r="A96" t="s">
        <v>100</v>
      </c>
      <c r="B96">
        <v>0.99542014353169495</v>
      </c>
      <c r="C96">
        <v>1.02231796007011</v>
      </c>
      <c r="D96">
        <v>1.01141847605007</v>
      </c>
      <c r="E96">
        <v>1.01448313342056</v>
      </c>
      <c r="F96">
        <v>0.62118041665318602</v>
      </c>
      <c r="G96">
        <v>0.56545612949916202</v>
      </c>
      <c r="H96">
        <v>0.40313616829805898</v>
      </c>
      <c r="I96">
        <v>0.35904042190890501</v>
      </c>
      <c r="J96">
        <v>0.54598591628582505</v>
      </c>
      <c r="K96">
        <v>0.62608267360905101</v>
      </c>
      <c r="L96">
        <v>4765.3490949459401</v>
      </c>
      <c r="M96">
        <v>96.061636676855201</v>
      </c>
      <c r="N96">
        <v>54.096242600142901</v>
      </c>
      <c r="O96">
        <v>49.58569138915</v>
      </c>
      <c r="P96">
        <v>-0.242244167612051</v>
      </c>
      <c r="Q96">
        <v>0.49982740485904398</v>
      </c>
      <c r="R96">
        <v>0.91840517287835299</v>
      </c>
      <c r="S96" t="s">
        <v>6498</v>
      </c>
      <c r="T96" t="s">
        <v>12802</v>
      </c>
      <c r="U96" t="s">
        <v>12802</v>
      </c>
      <c r="V96" t="s">
        <v>12802</v>
      </c>
      <c r="W96" t="s">
        <v>12898</v>
      </c>
      <c r="X96">
        <v>6</v>
      </c>
      <c r="Y96" t="s">
        <v>19220</v>
      </c>
      <c r="Z96" t="s">
        <v>25414</v>
      </c>
      <c r="AA96">
        <v>0.71031529057274834</v>
      </c>
      <c r="AB96" t="str">
        <f>HYPERLINK("Melting_Curves/meltCurve_B0QYK0_EWSR1.pdf", "Melting_Curves/meltCurve_B0QYK0_EWSR1.pdf")</f>
        <v>Melting_Curves/meltCurve_B0QYK0_EWSR1.pdf</v>
      </c>
    </row>
    <row r="97" spans="1:28" x14ac:dyDescent="0.25">
      <c r="A97" t="s">
        <v>101</v>
      </c>
      <c r="B97">
        <v>0.99542014353169495</v>
      </c>
      <c r="C97">
        <v>0.92157794940316295</v>
      </c>
      <c r="D97">
        <v>0.90428970991747004</v>
      </c>
      <c r="E97">
        <v>0.53154237202616805</v>
      </c>
      <c r="F97">
        <v>0.21684178112777</v>
      </c>
      <c r="G97">
        <v>0.10699013233457599</v>
      </c>
      <c r="H97">
        <v>6.5198163577094306E-2</v>
      </c>
      <c r="I97">
        <v>4.40081841772446E-2</v>
      </c>
      <c r="J97">
        <v>4.3508673947208802E-2</v>
      </c>
      <c r="K97">
        <v>4.1089565569839198E-2</v>
      </c>
      <c r="L97">
        <v>1017.08482200852</v>
      </c>
      <c r="M97">
        <v>21.749080026977399</v>
      </c>
      <c r="N97">
        <v>46.960511920519501</v>
      </c>
      <c r="O97">
        <v>46.374530730940002</v>
      </c>
      <c r="P97">
        <v>-0.11216206170409899</v>
      </c>
      <c r="Q97">
        <v>4.3390999038593198E-2</v>
      </c>
      <c r="R97">
        <v>0.99719028924003394</v>
      </c>
      <c r="S97" t="s">
        <v>6499</v>
      </c>
      <c r="T97" t="s">
        <v>12802</v>
      </c>
      <c r="U97" t="s">
        <v>12802</v>
      </c>
      <c r="V97" t="s">
        <v>12802</v>
      </c>
      <c r="W97" t="s">
        <v>12899</v>
      </c>
      <c r="X97">
        <v>32</v>
      </c>
      <c r="Y97" t="s">
        <v>19221</v>
      </c>
      <c r="Z97" t="s">
        <v>25415</v>
      </c>
      <c r="AA97">
        <v>0.36534638321633478</v>
      </c>
      <c r="AB97" t="str">
        <f>HYPERLINK("Melting_Curves/meltCurve_B0UX83_BAG6.pdf", "Melting_Curves/meltCurve_B0UX83_BAG6.pdf")</f>
        <v>Melting_Curves/meltCurve_B0UX83_BAG6.pdf</v>
      </c>
    </row>
    <row r="98" spans="1:28" x14ac:dyDescent="0.25">
      <c r="A98" t="s">
        <v>102</v>
      </c>
      <c r="B98">
        <v>0.99542014353169495</v>
      </c>
      <c r="C98">
        <v>1.0279285357206001</v>
      </c>
      <c r="D98">
        <v>0.99638346800515298</v>
      </c>
      <c r="E98">
        <v>0.73667219910732296</v>
      </c>
      <c r="F98">
        <v>0.29349092602322002</v>
      </c>
      <c r="G98">
        <v>0.115553348400845</v>
      </c>
      <c r="H98">
        <v>7.0639061863542504E-2</v>
      </c>
      <c r="I98">
        <v>4.78841817797424E-2</v>
      </c>
      <c r="J98">
        <v>5.2572810357609898E-2</v>
      </c>
      <c r="K98">
        <v>6.3105612643435297E-2</v>
      </c>
      <c r="L98">
        <v>1360.3040341578301</v>
      </c>
      <c r="M98">
        <v>28.200599424481101</v>
      </c>
      <c r="N98">
        <v>48.445708834112999</v>
      </c>
      <c r="O98">
        <v>47.996105170518497</v>
      </c>
      <c r="P98">
        <v>-0.138477904662277</v>
      </c>
      <c r="Q98">
        <v>5.7276134571352701E-2</v>
      </c>
      <c r="R98">
        <v>0.99886694862451098</v>
      </c>
      <c r="S98" t="s">
        <v>6500</v>
      </c>
      <c r="T98" t="s">
        <v>12802</v>
      </c>
      <c r="U98" t="s">
        <v>12802</v>
      </c>
      <c r="V98" t="s">
        <v>12802</v>
      </c>
      <c r="W98" t="s">
        <v>12900</v>
      </c>
      <c r="X98">
        <v>14</v>
      </c>
      <c r="Y98" t="s">
        <v>19222</v>
      </c>
      <c r="Z98" t="s">
        <v>25416</v>
      </c>
      <c r="AA98">
        <v>0.4167266098518656</v>
      </c>
      <c r="AB98" t="str">
        <f>HYPERLINK("Melting_Curves/meltCurve_B0UXB6_ABHD16A.pdf", "Melting_Curves/meltCurve_B0UXB6_ABHD16A.pdf")</f>
        <v>Melting_Curves/meltCurve_B0UXB6_ABHD16A.pdf</v>
      </c>
    </row>
    <row r="99" spans="1:28" x14ac:dyDescent="0.25">
      <c r="A99" t="s">
        <v>103</v>
      </c>
      <c r="B99">
        <v>0.99542014353169495</v>
      </c>
      <c r="C99">
        <v>0.85188363735365302</v>
      </c>
      <c r="D99">
        <v>0.64698450208169</v>
      </c>
      <c r="E99">
        <v>0.44068100732368298</v>
      </c>
      <c r="F99">
        <v>0.24553385115377399</v>
      </c>
      <c r="G99">
        <v>0.152162197627558</v>
      </c>
      <c r="H99">
        <v>0.112801238129068</v>
      </c>
      <c r="I99">
        <v>8.0174366534866107E-2</v>
      </c>
      <c r="J99">
        <v>0.124546248116005</v>
      </c>
      <c r="K99">
        <v>0.15896617572721</v>
      </c>
      <c r="L99">
        <v>662.78110626922796</v>
      </c>
      <c r="M99">
        <v>14.879489414534699</v>
      </c>
      <c r="N99">
        <v>45.247771298487002</v>
      </c>
      <c r="O99">
        <v>43.761950747548902</v>
      </c>
      <c r="P99">
        <v>-7.6221437206743695E-2</v>
      </c>
      <c r="Q99">
        <v>0.10339676544247201</v>
      </c>
      <c r="R99">
        <v>0.99239077926980301</v>
      </c>
      <c r="S99" t="s">
        <v>6501</v>
      </c>
      <c r="T99" t="s">
        <v>12802</v>
      </c>
      <c r="U99" t="s">
        <v>12802</v>
      </c>
      <c r="V99" t="s">
        <v>12802</v>
      </c>
      <c r="W99" t="s">
        <v>12901</v>
      </c>
      <c r="X99">
        <v>8</v>
      </c>
      <c r="Y99" t="s">
        <v>19223</v>
      </c>
      <c r="Z99" t="s">
        <v>25417</v>
      </c>
      <c r="AA99">
        <v>0.35091094278083079</v>
      </c>
      <c r="AB99" t="str">
        <f>HYPERLINK("Melting_Curves/meltCurve_B0UZY3_EHMT2.pdf", "Melting_Curves/meltCurve_B0UZY3_EHMT2.pdf")</f>
        <v>Melting_Curves/meltCurve_B0UZY3_EHMT2.pdf</v>
      </c>
    </row>
    <row r="100" spans="1:28" x14ac:dyDescent="0.25">
      <c r="A100" t="s">
        <v>104</v>
      </c>
      <c r="B100">
        <v>0.99542014353169495</v>
      </c>
      <c r="C100">
        <v>0.92559682252697895</v>
      </c>
      <c r="D100">
        <v>0.99676969790800796</v>
      </c>
      <c r="E100">
        <v>1.07604786171137</v>
      </c>
      <c r="F100">
        <v>0.65506480154285995</v>
      </c>
      <c r="G100">
        <v>0.68194864918756304</v>
      </c>
      <c r="H100">
        <v>0.50342254945044596</v>
      </c>
      <c r="I100">
        <v>0.59912383319693796</v>
      </c>
      <c r="J100">
        <v>0.79884450321091205</v>
      </c>
      <c r="K100">
        <v>1.1948272025666</v>
      </c>
      <c r="L100">
        <v>4104.9753163060705</v>
      </c>
      <c r="M100">
        <v>84.970172085235305</v>
      </c>
      <c r="O100">
        <v>48.284039975413997</v>
      </c>
      <c r="P100">
        <v>-0.114914361422062</v>
      </c>
      <c r="Q100">
        <v>0.73880109252697801</v>
      </c>
      <c r="R100">
        <v>0.33650258402500499</v>
      </c>
      <c r="S100" t="s">
        <v>6502</v>
      </c>
      <c r="T100" t="s">
        <v>12802</v>
      </c>
      <c r="U100" t="s">
        <v>12802</v>
      </c>
      <c r="V100" t="s">
        <v>12802</v>
      </c>
      <c r="W100" t="s">
        <v>12902</v>
      </c>
      <c r="X100">
        <v>1</v>
      </c>
      <c r="Y100" t="s">
        <v>19224</v>
      </c>
      <c r="Z100" t="s">
        <v>25418</v>
      </c>
      <c r="AA100">
        <v>0.83747190649959247</v>
      </c>
      <c r="AB100" t="str">
        <f>HYPERLINK("Melting_Curves/meltCurve_B0YIW2_APOC3.pdf", "Melting_Curves/meltCurve_B0YIW2_APOC3.pdf")</f>
        <v>Melting_Curves/meltCurve_B0YIW2_APOC3.pdf</v>
      </c>
    </row>
    <row r="101" spans="1:28" x14ac:dyDescent="0.25">
      <c r="A101" t="s">
        <v>105</v>
      </c>
      <c r="B101">
        <v>0.99542014353169495</v>
      </c>
      <c r="C101">
        <v>1.0360177005670701</v>
      </c>
      <c r="D101">
        <v>0.81560351925332097</v>
      </c>
      <c r="E101">
        <v>0.68412435696833596</v>
      </c>
      <c r="F101">
        <v>0.59378364452267696</v>
      </c>
      <c r="G101">
        <v>0.49894959138587303</v>
      </c>
      <c r="H101">
        <v>0.37138451691533098</v>
      </c>
      <c r="I101">
        <v>0.25390907543268398</v>
      </c>
      <c r="J101">
        <v>0.38632910675737597</v>
      </c>
      <c r="K101">
        <v>0.36350560627005002</v>
      </c>
      <c r="L101">
        <v>598.22539163909403</v>
      </c>
      <c r="M101">
        <v>12.4876490011321</v>
      </c>
      <c r="N101">
        <v>52.013851587296998</v>
      </c>
      <c r="O101">
        <v>46.726619980273597</v>
      </c>
      <c r="P101">
        <v>-4.5873557962307999E-2</v>
      </c>
      <c r="Q101">
        <v>0.31353792170951</v>
      </c>
      <c r="R101">
        <v>0.95792603009548505</v>
      </c>
      <c r="S101" t="s">
        <v>6503</v>
      </c>
      <c r="T101" t="s">
        <v>12802</v>
      </c>
      <c r="U101" t="s">
        <v>12802</v>
      </c>
      <c r="V101" t="s">
        <v>12802</v>
      </c>
      <c r="W101" t="s">
        <v>12903</v>
      </c>
      <c r="X101">
        <v>2</v>
      </c>
      <c r="Y101" t="s">
        <v>19225</v>
      </c>
      <c r="Z101" t="s">
        <v>25419</v>
      </c>
      <c r="AA101">
        <v>0.58341769904402474</v>
      </c>
      <c r="AB101" t="str">
        <f>HYPERLINK("Melting_Curves/meltCurve_B1AH87_TSPO.pdf", "Melting_Curves/meltCurve_B1AH87_TSPO.pdf")</f>
        <v>Melting_Curves/meltCurve_B1AH87_TSPO.pdf</v>
      </c>
    </row>
    <row r="102" spans="1:28" x14ac:dyDescent="0.25">
      <c r="A102" t="s">
        <v>106</v>
      </c>
      <c r="B102">
        <v>0.99542014353169495</v>
      </c>
      <c r="C102">
        <v>0.97736791301950798</v>
      </c>
      <c r="D102">
        <v>1.02730597867819</v>
      </c>
      <c r="E102">
        <v>0.99899863038821002</v>
      </c>
      <c r="F102">
        <v>0.73841006072353599</v>
      </c>
      <c r="G102">
        <v>0.64666891157998296</v>
      </c>
      <c r="H102">
        <v>0.33341178855384501</v>
      </c>
      <c r="I102">
        <v>0.16233369540762699</v>
      </c>
      <c r="J102">
        <v>0.17072899727476401</v>
      </c>
      <c r="K102">
        <v>0.187857842466127</v>
      </c>
      <c r="L102">
        <v>986.23377432047801</v>
      </c>
      <c r="M102">
        <v>18.267924060297201</v>
      </c>
      <c r="N102">
        <v>54.839441258227303</v>
      </c>
      <c r="O102">
        <v>53.352719291232397</v>
      </c>
      <c r="P102">
        <v>-7.5024685778613806E-2</v>
      </c>
      <c r="Q102">
        <v>0.12358192983015701</v>
      </c>
      <c r="R102">
        <v>0.98352506481004498</v>
      </c>
      <c r="S102" t="s">
        <v>6504</v>
      </c>
      <c r="T102" t="s">
        <v>12802</v>
      </c>
      <c r="U102" t="s">
        <v>12802</v>
      </c>
      <c r="V102" t="s">
        <v>12802</v>
      </c>
      <c r="W102" t="s">
        <v>12904</v>
      </c>
      <c r="X102">
        <v>5</v>
      </c>
      <c r="Y102" t="s">
        <v>19226</v>
      </c>
      <c r="Z102" t="s">
        <v>25420</v>
      </c>
      <c r="AA102">
        <v>0.63167804309346465</v>
      </c>
      <c r="AB102" t="str">
        <f>HYPERLINK("Melting_Curves/meltCurve_B1AHD1_NHP2L1.pdf", "Melting_Curves/meltCurve_B1AHD1_NHP2L1.pdf")</f>
        <v>Melting_Curves/meltCurve_B1AHD1_NHP2L1.pdf</v>
      </c>
    </row>
    <row r="103" spans="1:28" x14ac:dyDescent="0.25">
      <c r="A103" t="s">
        <v>107</v>
      </c>
      <c r="B103">
        <v>0.99542014353169495</v>
      </c>
      <c r="C103">
        <v>0.958803303075211</v>
      </c>
      <c r="D103">
        <v>1.09998016350219</v>
      </c>
      <c r="E103">
        <v>0.80668219869193902</v>
      </c>
      <c r="F103">
        <v>0.404490526310263</v>
      </c>
      <c r="G103">
        <v>0.16594577425597001</v>
      </c>
      <c r="H103">
        <v>9.0225269784632606E-2</v>
      </c>
      <c r="I103">
        <v>8.1986789162399903E-2</v>
      </c>
      <c r="J103">
        <v>0.16685182519903299</v>
      </c>
      <c r="K103">
        <v>7.8324755588520006E-2</v>
      </c>
      <c r="L103">
        <v>1443.26877873941</v>
      </c>
      <c r="M103">
        <v>29.4851080955257</v>
      </c>
      <c r="N103">
        <v>49.333690838835302</v>
      </c>
      <c r="O103">
        <v>48.725571684267898</v>
      </c>
      <c r="P103">
        <v>-0.13574850443133399</v>
      </c>
      <c r="Q103">
        <v>0.102682308481716</v>
      </c>
      <c r="R103">
        <v>0.98705751967552802</v>
      </c>
      <c r="S103" t="s">
        <v>6505</v>
      </c>
      <c r="T103" t="s">
        <v>12802</v>
      </c>
      <c r="U103" t="s">
        <v>12802</v>
      </c>
      <c r="V103" t="s">
        <v>12802</v>
      </c>
      <c r="W103" t="s">
        <v>12905</v>
      </c>
      <c r="X103">
        <v>3</v>
      </c>
      <c r="Y103" t="s">
        <v>19227</v>
      </c>
      <c r="Z103" t="s">
        <v>25421</v>
      </c>
      <c r="AA103">
        <v>0.46568344181656662</v>
      </c>
      <c r="AB103" t="str">
        <f>HYPERLINK("Melting_Curves/meltCurve_B1AJY7_PSMD10.pdf", "Melting_Curves/meltCurve_B1AJY7_PSMD10.pdf")</f>
        <v>Melting_Curves/meltCurve_B1AJY7_PSMD10.pdf</v>
      </c>
    </row>
    <row r="104" spans="1:28" x14ac:dyDescent="0.25">
      <c r="A104" t="s">
        <v>108</v>
      </c>
      <c r="B104">
        <v>0.99542014353169495</v>
      </c>
      <c r="C104">
        <v>0.95643109120636205</v>
      </c>
      <c r="D104">
        <v>0.94951205538310701</v>
      </c>
      <c r="E104">
        <v>0.91368100608166203</v>
      </c>
      <c r="F104">
        <v>0.72243344942470999</v>
      </c>
      <c r="G104">
        <v>0.54747608323714503</v>
      </c>
      <c r="H104">
        <v>0.23396714494107801</v>
      </c>
      <c r="I104">
        <v>0.13333868452532799</v>
      </c>
      <c r="J104">
        <v>0.17021787670659799</v>
      </c>
      <c r="K104">
        <v>0.199233412668296</v>
      </c>
      <c r="L104">
        <v>966.72378384011404</v>
      </c>
      <c r="M104">
        <v>18.367406807808099</v>
      </c>
      <c r="N104">
        <v>53.495027526781797</v>
      </c>
      <c r="O104">
        <v>52.020578210563897</v>
      </c>
      <c r="P104">
        <v>-7.6961463452074899E-2</v>
      </c>
      <c r="Q104">
        <v>0.12815187667802599</v>
      </c>
      <c r="R104">
        <v>0.98545950872264698</v>
      </c>
      <c r="S104" t="s">
        <v>6506</v>
      </c>
      <c r="T104" t="s">
        <v>12802</v>
      </c>
      <c r="U104" t="s">
        <v>12802</v>
      </c>
      <c r="V104" t="s">
        <v>12802</v>
      </c>
      <c r="W104" t="s">
        <v>12906</v>
      </c>
      <c r="X104">
        <v>11</v>
      </c>
      <c r="Y104" t="s">
        <v>19228</v>
      </c>
      <c r="Z104" t="s">
        <v>25422</v>
      </c>
      <c r="AA104">
        <v>0.59499750556209308</v>
      </c>
      <c r="AB104" t="str">
        <f>HYPERLINK("Melting_Curves/meltCurve_B1AK13_HMGCL.pdf", "Melting_Curves/meltCurve_B1AK13_HMGCL.pdf")</f>
        <v>Melting_Curves/meltCurve_B1AK13_HMGCL.pdf</v>
      </c>
    </row>
    <row r="105" spans="1:28" x14ac:dyDescent="0.25">
      <c r="A105" t="s">
        <v>109</v>
      </c>
      <c r="B105">
        <v>0.99542014353169495</v>
      </c>
      <c r="C105">
        <v>0.88861301118642799</v>
      </c>
      <c r="D105">
        <v>0.79764688119581895</v>
      </c>
      <c r="E105">
        <v>0.54287800609494696</v>
      </c>
      <c r="F105">
        <v>0.28550478694349801</v>
      </c>
      <c r="G105">
        <v>0.13226351687236099</v>
      </c>
      <c r="H105">
        <v>9.3527439004056495E-2</v>
      </c>
      <c r="I105">
        <v>6.5731074520007204E-2</v>
      </c>
      <c r="J105">
        <v>6.5484710257489004E-2</v>
      </c>
      <c r="K105">
        <v>6.2639889529579204E-2</v>
      </c>
      <c r="L105">
        <v>702.97911391305695</v>
      </c>
      <c r="M105">
        <v>15.0660285606857</v>
      </c>
      <c r="N105">
        <v>46.929440864084498</v>
      </c>
      <c r="O105">
        <v>45.8609892595708</v>
      </c>
      <c r="P105">
        <v>-7.8732388616023302E-2</v>
      </c>
      <c r="Q105">
        <v>4.1449661170325197E-2</v>
      </c>
      <c r="R105">
        <v>0.997612439605576</v>
      </c>
      <c r="S105" t="s">
        <v>6507</v>
      </c>
      <c r="T105" t="s">
        <v>12802</v>
      </c>
      <c r="U105" t="s">
        <v>12802</v>
      </c>
      <c r="V105" t="s">
        <v>12802</v>
      </c>
      <c r="W105" t="s">
        <v>12907</v>
      </c>
      <c r="X105">
        <v>2</v>
      </c>
      <c r="Y105" t="s">
        <v>19229</v>
      </c>
      <c r="Z105" t="s">
        <v>25423</v>
      </c>
      <c r="AA105">
        <v>0.37167192406408511</v>
      </c>
      <c r="AB105" t="str">
        <f>HYPERLINK("Melting_Curves/meltCurve_B1AK44_MAD2L2.pdf", "Melting_Curves/meltCurve_B1AK44_MAD2L2.pdf")</f>
        <v>Melting_Curves/meltCurve_B1AK44_MAD2L2.pdf</v>
      </c>
    </row>
    <row r="106" spans="1:28" x14ac:dyDescent="0.25">
      <c r="A106" t="s">
        <v>110</v>
      </c>
      <c r="B106">
        <v>0.99542014353169495</v>
      </c>
      <c r="C106">
        <v>1.04192060297214</v>
      </c>
      <c r="D106">
        <v>0.90670617507770301</v>
      </c>
      <c r="E106">
        <v>0.89174102220006202</v>
      </c>
      <c r="F106">
        <v>0.69463168853789103</v>
      </c>
      <c r="G106">
        <v>0.12019880773913499</v>
      </c>
      <c r="H106">
        <v>5.9114328449076103E-2</v>
      </c>
      <c r="I106">
        <v>3.85715373323414E-2</v>
      </c>
      <c r="J106">
        <v>6.3982293655634195E-2</v>
      </c>
      <c r="K106">
        <v>4.3256189207250502E-2</v>
      </c>
      <c r="L106">
        <v>2129.52703734543</v>
      </c>
      <c r="M106">
        <v>41.745262153190197</v>
      </c>
      <c r="N106">
        <v>51.126587944735398</v>
      </c>
      <c r="O106">
        <v>50.895777457026398</v>
      </c>
      <c r="P106">
        <v>-0.195928501379353</v>
      </c>
      <c r="Q106">
        <v>4.4498370676534602E-2</v>
      </c>
      <c r="R106">
        <v>0.98925545855645203</v>
      </c>
      <c r="S106" t="s">
        <v>6508</v>
      </c>
      <c r="T106" t="s">
        <v>12802</v>
      </c>
      <c r="U106" t="s">
        <v>12802</v>
      </c>
      <c r="V106" t="s">
        <v>12802</v>
      </c>
      <c r="W106" t="s">
        <v>12908</v>
      </c>
      <c r="X106">
        <v>2</v>
      </c>
      <c r="Y106" t="s">
        <v>19230</v>
      </c>
      <c r="Z106" t="s">
        <v>25424</v>
      </c>
      <c r="AA106">
        <v>0.49388349622338612</v>
      </c>
      <c r="AB106" t="str">
        <f>HYPERLINK("Melting_Curves/meltCurve_B1AKD8_CROCC.pdf", "Melting_Curves/meltCurve_B1AKD8_CROCC.pdf")</f>
        <v>Melting_Curves/meltCurve_B1AKD8_CROCC.pdf</v>
      </c>
    </row>
    <row r="107" spans="1:28" x14ac:dyDescent="0.25">
      <c r="A107" t="s">
        <v>111</v>
      </c>
      <c r="B107">
        <v>0.99542014353169495</v>
      </c>
      <c r="C107">
        <v>0.95825138354467299</v>
      </c>
      <c r="D107">
        <v>0.95140263397216795</v>
      </c>
      <c r="E107">
        <v>0.83239313794264902</v>
      </c>
      <c r="F107">
        <v>0.39170558048091803</v>
      </c>
      <c r="G107">
        <v>0.14971299273185101</v>
      </c>
      <c r="H107">
        <v>8.9819534729618705E-2</v>
      </c>
      <c r="I107">
        <v>6.4524965704933407E-2</v>
      </c>
      <c r="J107">
        <v>7.3580743267486801E-2</v>
      </c>
      <c r="K107">
        <v>7.4266001882073399E-2</v>
      </c>
      <c r="L107">
        <v>1331.47034063555</v>
      </c>
      <c r="M107">
        <v>27.133997289417401</v>
      </c>
      <c r="N107">
        <v>49.341677878149703</v>
      </c>
      <c r="O107">
        <v>48.805997659286497</v>
      </c>
      <c r="P107">
        <v>-0.12935249257843601</v>
      </c>
      <c r="Q107">
        <v>6.93425428903887E-2</v>
      </c>
      <c r="R107">
        <v>0.99831093701922702</v>
      </c>
      <c r="S107" t="s">
        <v>6509</v>
      </c>
      <c r="T107" t="s">
        <v>12802</v>
      </c>
      <c r="U107" t="s">
        <v>12802</v>
      </c>
      <c r="V107" t="s">
        <v>12802</v>
      </c>
      <c r="W107" t="s">
        <v>12909</v>
      </c>
      <c r="X107">
        <v>34</v>
      </c>
      <c r="Y107" t="s">
        <v>19231</v>
      </c>
      <c r="Z107" t="s">
        <v>25425</v>
      </c>
      <c r="AA107">
        <v>0.45064054143683102</v>
      </c>
      <c r="AB107" t="str">
        <f>HYPERLINK("Melting_Curves/meltCurve_B1AKJ5_NRD1.pdf", "Melting_Curves/meltCurve_B1AKJ5_NRD1.pdf")</f>
        <v>Melting_Curves/meltCurve_B1AKJ5_NRD1.pdf</v>
      </c>
    </row>
    <row r="108" spans="1:28" x14ac:dyDescent="0.25">
      <c r="A108" t="s">
        <v>112</v>
      </c>
      <c r="B108">
        <v>0.99542014353169495</v>
      </c>
      <c r="C108">
        <v>0.96481680837357797</v>
      </c>
      <c r="D108">
        <v>0.88051005270758598</v>
      </c>
      <c r="E108">
        <v>0.31856042154665098</v>
      </c>
      <c r="F108">
        <v>0.18580675480991499</v>
      </c>
      <c r="G108">
        <v>0.11358117561447301</v>
      </c>
      <c r="H108">
        <v>7.5913537130282593E-2</v>
      </c>
      <c r="I108">
        <v>5.0013439725696898E-2</v>
      </c>
      <c r="J108">
        <v>4.9401200495164499E-2</v>
      </c>
      <c r="K108">
        <v>4.4789413344349202E-2</v>
      </c>
      <c r="L108">
        <v>1410.3266424237499</v>
      </c>
      <c r="M108">
        <v>31.125069819295199</v>
      </c>
      <c r="N108">
        <v>45.547742779900602</v>
      </c>
      <c r="O108">
        <v>45.125808362286698</v>
      </c>
      <c r="P108">
        <v>-0.15958758033232001</v>
      </c>
      <c r="Q108">
        <v>7.4511382961205894E-2</v>
      </c>
      <c r="R108">
        <v>0.99331475662747204</v>
      </c>
      <c r="S108" t="s">
        <v>6510</v>
      </c>
      <c r="T108" t="s">
        <v>12802</v>
      </c>
      <c r="U108" t="s">
        <v>12802</v>
      </c>
      <c r="V108" t="s">
        <v>12802</v>
      </c>
      <c r="W108" t="s">
        <v>12910</v>
      </c>
      <c r="X108">
        <v>16</v>
      </c>
      <c r="Y108" t="s">
        <v>19232</v>
      </c>
      <c r="Z108" t="s">
        <v>25426</v>
      </c>
      <c r="AA108">
        <v>0.3357596025443586</v>
      </c>
      <c r="AB108" t="str">
        <f>HYPERLINK("Melting_Curves/meltCurve_B1AKJ6_OSBPL9.pdf", "Melting_Curves/meltCurve_B1AKJ6_OSBPL9.pdf")</f>
        <v>Melting_Curves/meltCurve_B1AKJ6_OSBPL9.pdf</v>
      </c>
    </row>
    <row r="109" spans="1:28" x14ac:dyDescent="0.25">
      <c r="A109" t="s">
        <v>113</v>
      </c>
      <c r="B109">
        <v>0.99542014353169495</v>
      </c>
      <c r="C109">
        <v>0.85399858634217396</v>
      </c>
      <c r="D109">
        <v>0.76255537860406197</v>
      </c>
      <c r="E109">
        <v>0.49365894696384899</v>
      </c>
      <c r="F109">
        <v>0.36109565104563801</v>
      </c>
      <c r="G109">
        <v>0.19355272214960401</v>
      </c>
      <c r="H109">
        <v>0.15035881369863199</v>
      </c>
      <c r="I109">
        <v>0.124871507869198</v>
      </c>
      <c r="J109">
        <v>0.113376740340747</v>
      </c>
      <c r="K109">
        <v>0.12505261835089801</v>
      </c>
      <c r="L109">
        <v>591.86035946505899</v>
      </c>
      <c r="M109">
        <v>12.8423574278644</v>
      </c>
      <c r="N109">
        <v>46.826656376401701</v>
      </c>
      <c r="O109">
        <v>45.012023932293999</v>
      </c>
      <c r="P109">
        <v>-6.4788140296146601E-2</v>
      </c>
      <c r="Q109">
        <v>9.1847673838288901E-2</v>
      </c>
      <c r="R109">
        <v>0.99484888409857797</v>
      </c>
      <c r="S109" t="s">
        <v>6511</v>
      </c>
      <c r="T109" t="s">
        <v>12802</v>
      </c>
      <c r="U109" t="s">
        <v>12802</v>
      </c>
      <c r="V109" t="s">
        <v>12802</v>
      </c>
      <c r="W109" t="s">
        <v>12911</v>
      </c>
      <c r="X109">
        <v>2</v>
      </c>
      <c r="Y109" t="s">
        <v>19233</v>
      </c>
      <c r="Z109" t="s">
        <v>25427</v>
      </c>
      <c r="AA109">
        <v>0.39465947689063752</v>
      </c>
      <c r="AB109" t="str">
        <f>HYPERLINK("Melting_Curves/meltCurve_B1AKL4_EIF4ENIF1.pdf", "Melting_Curves/meltCurve_B1AKL4_EIF4ENIF1.pdf")</f>
        <v>Melting_Curves/meltCurve_B1AKL4_EIF4ENIF1.pdf</v>
      </c>
    </row>
    <row r="110" spans="1:28" x14ac:dyDescent="0.25">
      <c r="A110" t="s">
        <v>114</v>
      </c>
      <c r="B110">
        <v>0.99542014353169495</v>
      </c>
      <c r="C110">
        <v>1.05825644755093</v>
      </c>
      <c r="D110">
        <v>1.0630277093125999</v>
      </c>
      <c r="E110">
        <v>0.81092586512923104</v>
      </c>
      <c r="F110">
        <v>0.42573041274353901</v>
      </c>
      <c r="G110">
        <v>0.13557587294722201</v>
      </c>
      <c r="H110">
        <v>9.64946806449406E-2</v>
      </c>
      <c r="I110">
        <v>7.1680301929310894E-2</v>
      </c>
      <c r="J110">
        <v>6.3688850555790696E-2</v>
      </c>
      <c r="K110">
        <v>7.8600018635025901E-2</v>
      </c>
      <c r="L110">
        <v>1369.8992646397601</v>
      </c>
      <c r="M110">
        <v>27.835962056699898</v>
      </c>
      <c r="N110">
        <v>49.481675399516703</v>
      </c>
      <c r="O110">
        <v>48.961398028303897</v>
      </c>
      <c r="P110">
        <v>-0.132174531034985</v>
      </c>
      <c r="Q110">
        <v>7.0067274066758903E-2</v>
      </c>
      <c r="R110">
        <v>0.99380169377788696</v>
      </c>
      <c r="S110" t="s">
        <v>6512</v>
      </c>
      <c r="T110" t="s">
        <v>12802</v>
      </c>
      <c r="U110" t="s">
        <v>12802</v>
      </c>
      <c r="V110" t="s">
        <v>12802</v>
      </c>
      <c r="W110" t="s">
        <v>12912</v>
      </c>
      <c r="X110">
        <v>3</v>
      </c>
      <c r="Y110" t="s">
        <v>19234</v>
      </c>
      <c r="Z110" t="s">
        <v>25428</v>
      </c>
      <c r="AA110">
        <v>0.4551825052416284</v>
      </c>
      <c r="AB110" t="str">
        <f>HYPERLINK("Melting_Curves/meltCurve_B1AL69_CDC37L1.pdf", "Melting_Curves/meltCurve_B1AL69_CDC37L1.pdf")</f>
        <v>Melting_Curves/meltCurve_B1AL69_CDC37L1.pdf</v>
      </c>
    </row>
    <row r="111" spans="1:28" x14ac:dyDescent="0.25">
      <c r="A111" t="s">
        <v>115</v>
      </c>
      <c r="B111">
        <v>0.99542014353169495</v>
      </c>
      <c r="C111">
        <v>0.936945125792078</v>
      </c>
      <c r="D111">
        <v>0.91954854010064802</v>
      </c>
      <c r="E111">
        <v>0.74764841556792705</v>
      </c>
      <c r="F111">
        <v>0.58157843979356205</v>
      </c>
      <c r="G111">
        <v>0.361702102065942</v>
      </c>
      <c r="H111">
        <v>0.21841353486069301</v>
      </c>
      <c r="I111">
        <v>0.16962115738296099</v>
      </c>
      <c r="J111">
        <v>0.20932991511277499</v>
      </c>
      <c r="K111">
        <v>0.27235966422109698</v>
      </c>
      <c r="L111">
        <v>770.21464820401104</v>
      </c>
      <c r="M111">
        <v>15.612708793094599</v>
      </c>
      <c r="N111">
        <v>50.835156904614401</v>
      </c>
      <c r="O111">
        <v>48.544472470405303</v>
      </c>
      <c r="P111">
        <v>-6.5548895020609593E-2</v>
      </c>
      <c r="Q111">
        <v>0.18482773966742899</v>
      </c>
      <c r="R111">
        <v>0.985080109014837</v>
      </c>
      <c r="S111" t="s">
        <v>6513</v>
      </c>
      <c r="T111" t="s">
        <v>12802</v>
      </c>
      <c r="U111" t="s">
        <v>12802</v>
      </c>
      <c r="V111" t="s">
        <v>12802</v>
      </c>
      <c r="W111" t="s">
        <v>12913</v>
      </c>
      <c r="X111">
        <v>5</v>
      </c>
      <c r="Y111" t="s">
        <v>19235</v>
      </c>
      <c r="Z111" t="s">
        <v>25429</v>
      </c>
      <c r="AA111">
        <v>0.53626868984620712</v>
      </c>
      <c r="AB111" t="str">
        <f>HYPERLINK("Melting_Curves/meltCurve_B1ALM5_TMEM9.pdf", "Melting_Curves/meltCurve_B1ALM5_TMEM9.pdf")</f>
        <v>Melting_Curves/meltCurve_B1ALM5_TMEM9.pdf</v>
      </c>
    </row>
    <row r="112" spans="1:28" x14ac:dyDescent="0.25">
      <c r="A112" t="s">
        <v>116</v>
      </c>
      <c r="B112">
        <v>0.99542014353169495</v>
      </c>
      <c r="C112">
        <v>1.12965483844949</v>
      </c>
      <c r="D112">
        <v>1.0596957427809801</v>
      </c>
      <c r="E112">
        <v>0.87356079905898498</v>
      </c>
      <c r="F112">
        <v>0.75710532788412199</v>
      </c>
      <c r="G112">
        <v>0.32082588675769802</v>
      </c>
      <c r="H112">
        <v>0.206656297952795</v>
      </c>
      <c r="I112">
        <v>0.19618580836293001</v>
      </c>
      <c r="J112">
        <v>0.184770434209588</v>
      </c>
      <c r="K112">
        <v>0.15769285312075601</v>
      </c>
      <c r="L112">
        <v>1497.86235768866</v>
      </c>
      <c r="M112">
        <v>29.155416270811401</v>
      </c>
      <c r="N112">
        <v>52.123407701263901</v>
      </c>
      <c r="O112">
        <v>51.135222942621503</v>
      </c>
      <c r="P112">
        <v>-0.118166245467102</v>
      </c>
      <c r="Q112">
        <v>0.171006431457422</v>
      </c>
      <c r="R112">
        <v>0.97958217770663003</v>
      </c>
      <c r="S112" t="s">
        <v>6514</v>
      </c>
      <c r="T112" t="s">
        <v>12802</v>
      </c>
      <c r="U112" t="s">
        <v>12802</v>
      </c>
      <c r="V112" t="s">
        <v>12802</v>
      </c>
      <c r="W112" t="s">
        <v>12914</v>
      </c>
      <c r="X112">
        <v>3</v>
      </c>
      <c r="Y112" t="s">
        <v>19236</v>
      </c>
      <c r="Z112" t="s">
        <v>25430</v>
      </c>
      <c r="AA112">
        <v>0.57372089493859335</v>
      </c>
      <c r="AB112" t="str">
        <f>HYPERLINK("Melting_Curves/meltCurve_B1AMF0_UBE2J2.pdf", "Melting_Curves/meltCurve_B1AMF0_UBE2J2.pdf")</f>
        <v>Melting_Curves/meltCurve_B1AMF0_UBE2J2.pdf</v>
      </c>
    </row>
    <row r="113" spans="1:28" x14ac:dyDescent="0.25">
      <c r="A113" t="s">
        <v>117</v>
      </c>
      <c r="B113">
        <v>0.99542014353169495</v>
      </c>
      <c r="C113">
        <v>0.94113331937368105</v>
      </c>
      <c r="D113">
        <v>0.96641071748226504</v>
      </c>
      <c r="E113">
        <v>0.79596436859180497</v>
      </c>
      <c r="F113">
        <v>0.657719958616241</v>
      </c>
      <c r="G113">
        <v>0.43903596983048399</v>
      </c>
      <c r="H113">
        <v>0.29601468282351201</v>
      </c>
      <c r="I113">
        <v>0.20352520578493899</v>
      </c>
      <c r="J113">
        <v>0.188778432675348</v>
      </c>
      <c r="K113">
        <v>0.104390682162517</v>
      </c>
      <c r="L113">
        <v>619.97795606033799</v>
      </c>
      <c r="M113">
        <v>11.8818318577841</v>
      </c>
      <c r="N113">
        <v>52.7875785526549</v>
      </c>
      <c r="O113">
        <v>50.766493559314</v>
      </c>
      <c r="P113">
        <v>-5.4778657944813999E-2</v>
      </c>
      <c r="Q113">
        <v>6.4041979028427606E-2</v>
      </c>
      <c r="R113">
        <v>0.995553804386202</v>
      </c>
      <c r="S113" t="s">
        <v>6515</v>
      </c>
      <c r="T113" t="s">
        <v>12802</v>
      </c>
      <c r="U113" t="s">
        <v>12802</v>
      </c>
      <c r="V113" t="s">
        <v>12802</v>
      </c>
      <c r="W113" t="s">
        <v>12915</v>
      </c>
      <c r="X113">
        <v>13</v>
      </c>
      <c r="Y113" t="s">
        <v>19237</v>
      </c>
      <c r="Z113" t="s">
        <v>25431</v>
      </c>
      <c r="AA113">
        <v>0.55957031360881659</v>
      </c>
      <c r="AB113" t="str">
        <f>HYPERLINK("Melting_Curves/meltCurve_B1AMS2_SEPT6.pdf", "Melting_Curves/meltCurve_B1AMS2_SEPT6.pdf")</f>
        <v>Melting_Curves/meltCurve_B1AMS2_SEPT6.pdf</v>
      </c>
    </row>
    <row r="114" spans="1:28" x14ac:dyDescent="0.25">
      <c r="A114" t="s">
        <v>118</v>
      </c>
      <c r="B114">
        <v>0.99542014353169495</v>
      </c>
      <c r="C114">
        <v>1.05937077960784</v>
      </c>
      <c r="D114">
        <v>1.4930778841065699</v>
      </c>
      <c r="E114">
        <v>1.38355117219253</v>
      </c>
      <c r="F114">
        <v>0.40551541982310202</v>
      </c>
      <c r="G114">
        <v>0.177749650132661</v>
      </c>
      <c r="H114">
        <v>7.4811285774143296E-2</v>
      </c>
      <c r="I114">
        <v>5.7033076575541297E-2</v>
      </c>
      <c r="J114">
        <v>4.9259229237097801E-2</v>
      </c>
      <c r="K114">
        <v>5.6032394322055097E-2</v>
      </c>
      <c r="L114">
        <v>12519.304067548899</v>
      </c>
      <c r="M114">
        <v>250</v>
      </c>
      <c r="N114">
        <v>50.113592300907001</v>
      </c>
      <c r="O114">
        <v>50.0740116791033</v>
      </c>
      <c r="P114">
        <v>-1.1445843523703001</v>
      </c>
      <c r="Q114">
        <v>8.2977117762443001E-2</v>
      </c>
      <c r="R114">
        <v>0.87166758670743105</v>
      </c>
      <c r="S114" t="s">
        <v>6516</v>
      </c>
      <c r="T114" t="s">
        <v>12802</v>
      </c>
      <c r="U114" t="s">
        <v>12802</v>
      </c>
      <c r="V114" t="s">
        <v>12802</v>
      </c>
      <c r="W114" t="s">
        <v>12916</v>
      </c>
      <c r="X114">
        <v>4</v>
      </c>
      <c r="Y114" t="s">
        <v>19238</v>
      </c>
      <c r="Z114" t="s">
        <v>25432</v>
      </c>
      <c r="AA114">
        <v>0.48279459526689061</v>
      </c>
      <c r="AB114" t="str">
        <f>HYPERLINK("Melting_Curves/meltCurve_B1AMU7_EXOSC1.pdf", "Melting_Curves/meltCurve_B1AMU7_EXOSC1.pdf")</f>
        <v>Melting_Curves/meltCurve_B1AMU7_EXOSC1.pdf</v>
      </c>
    </row>
    <row r="115" spans="1:28" x14ac:dyDescent="0.25">
      <c r="A115" t="s">
        <v>119</v>
      </c>
      <c r="B115">
        <v>0.99542014353169495</v>
      </c>
      <c r="C115">
        <v>0.951610827760211</v>
      </c>
      <c r="D115">
        <v>1.0362071190917499</v>
      </c>
      <c r="E115">
        <v>0.90896025309546602</v>
      </c>
      <c r="F115">
        <v>0.81329566706999301</v>
      </c>
      <c r="G115">
        <v>0.58837355845837502</v>
      </c>
      <c r="H115">
        <v>0.48666475924170499</v>
      </c>
      <c r="I115">
        <v>0.41811039958059498</v>
      </c>
      <c r="J115">
        <v>0.51356465620513003</v>
      </c>
      <c r="K115">
        <v>0.60705472834378504</v>
      </c>
      <c r="L115">
        <v>1426.3146998124701</v>
      </c>
      <c r="M115">
        <v>28.083387420459299</v>
      </c>
      <c r="O115">
        <v>50.533123897894598</v>
      </c>
      <c r="P115">
        <v>-6.9194237448557794E-2</v>
      </c>
      <c r="Q115">
        <v>0.50197299231352299</v>
      </c>
      <c r="R115">
        <v>0.94441250148003597</v>
      </c>
      <c r="S115" t="s">
        <v>6517</v>
      </c>
      <c r="T115" t="s">
        <v>12802</v>
      </c>
      <c r="U115" t="s">
        <v>12802</v>
      </c>
      <c r="V115" t="s">
        <v>12802</v>
      </c>
      <c r="W115" t="s">
        <v>12917</v>
      </c>
      <c r="X115">
        <v>5</v>
      </c>
      <c r="Y115" t="s">
        <v>19239</v>
      </c>
      <c r="Z115" t="s">
        <v>25433</v>
      </c>
      <c r="AA115">
        <v>0.73439225881405057</v>
      </c>
      <c r="AB115" t="str">
        <f>HYPERLINK("Melting_Curves/meltCurve_B1AMW1_CD58.pdf", "Melting_Curves/meltCurve_B1AMW1_CD58.pdf")</f>
        <v>Melting_Curves/meltCurve_B1AMW1_CD58.pdf</v>
      </c>
    </row>
    <row r="116" spans="1:28" x14ac:dyDescent="0.25">
      <c r="A116" t="s">
        <v>120</v>
      </c>
      <c r="B116">
        <v>0.99542014353169495</v>
      </c>
      <c r="C116">
        <v>0.89474995212860897</v>
      </c>
      <c r="D116">
        <v>0.94793389655627203</v>
      </c>
      <c r="E116">
        <v>1.03465316878423</v>
      </c>
      <c r="F116">
        <v>1.24716664834966</v>
      </c>
      <c r="G116">
        <v>0.83916840627292</v>
      </c>
      <c r="H116">
        <v>2.0510093563372802</v>
      </c>
      <c r="I116">
        <v>2.00198265297661</v>
      </c>
      <c r="J116">
        <v>1.86446242285886</v>
      </c>
      <c r="K116">
        <v>2.3614766694509601</v>
      </c>
      <c r="L116">
        <v>5917.5925589131202</v>
      </c>
      <c r="M116">
        <v>107.130673391285</v>
      </c>
      <c r="O116">
        <v>55.217904917110097</v>
      </c>
      <c r="P116">
        <v>0.24251797928098101</v>
      </c>
      <c r="Q116">
        <v>1.5</v>
      </c>
      <c r="R116">
        <v>0.48543299493601699</v>
      </c>
      <c r="S116" t="s">
        <v>6518</v>
      </c>
      <c r="T116" t="s">
        <v>12802</v>
      </c>
      <c r="U116" t="s">
        <v>12802</v>
      </c>
      <c r="V116" t="s">
        <v>12802</v>
      </c>
      <c r="W116" t="s">
        <v>12918</v>
      </c>
      <c r="X116">
        <v>1</v>
      </c>
      <c r="Y116" t="s">
        <v>19240</v>
      </c>
      <c r="Z116" t="s">
        <v>25434</v>
      </c>
      <c r="AA116">
        <v>1.195783367132361</v>
      </c>
      <c r="AB116" t="str">
        <f>HYPERLINK("Melting_Curves/meltCurve_B1AN99_PRSS3.pdf", "Melting_Curves/meltCurve_B1AN99_PRSS3.pdf")</f>
        <v>Melting_Curves/meltCurve_B1AN99_PRSS3.pdf</v>
      </c>
    </row>
    <row r="117" spans="1:28" x14ac:dyDescent="0.25">
      <c r="A117" t="s">
        <v>121</v>
      </c>
      <c r="B117">
        <v>0.99542014353169495</v>
      </c>
      <c r="C117">
        <v>1.05155544481823</v>
      </c>
      <c r="D117">
        <v>1.0001223731987801</v>
      </c>
      <c r="E117">
        <v>0.81925079655566901</v>
      </c>
      <c r="F117">
        <v>0.23119243978064499</v>
      </c>
      <c r="G117">
        <v>7.9434777707296705E-2</v>
      </c>
      <c r="H117">
        <v>4.2045330234721401E-2</v>
      </c>
      <c r="I117">
        <v>2.76629015928633E-2</v>
      </c>
      <c r="J117">
        <v>2.6647394096265899E-2</v>
      </c>
      <c r="K117">
        <v>2.8160479569254802E-2</v>
      </c>
      <c r="L117">
        <v>1813.91020475852</v>
      </c>
      <c r="M117">
        <v>37.467143080141</v>
      </c>
      <c r="N117">
        <v>48.506998572164498</v>
      </c>
      <c r="O117">
        <v>48.276058783841002</v>
      </c>
      <c r="P117">
        <v>-0.18725796024035801</v>
      </c>
      <c r="Q117">
        <v>3.4882168217618803E-2</v>
      </c>
      <c r="R117">
        <v>0.99822863718724897</v>
      </c>
      <c r="S117" t="s">
        <v>6519</v>
      </c>
      <c r="T117" t="s">
        <v>12802</v>
      </c>
      <c r="U117" t="s">
        <v>12802</v>
      </c>
      <c r="V117" t="s">
        <v>12802</v>
      </c>
      <c r="W117" t="s">
        <v>12919</v>
      </c>
      <c r="X117">
        <v>10</v>
      </c>
      <c r="Y117" t="s">
        <v>19241</v>
      </c>
      <c r="Z117" t="s">
        <v>25435</v>
      </c>
      <c r="AA117">
        <v>0.40574109016797433</v>
      </c>
      <c r="AB117" t="str">
        <f>HYPERLINK("Melting_Curves/meltCurve_B1ANH0_GUK1.pdf", "Melting_Curves/meltCurve_B1ANH0_GUK1.pdf")</f>
        <v>Melting_Curves/meltCurve_B1ANH0_GUK1.pdf</v>
      </c>
    </row>
    <row r="118" spans="1:28" x14ac:dyDescent="0.25">
      <c r="A118" t="s">
        <v>122</v>
      </c>
      <c r="B118">
        <v>0.99542014353169495</v>
      </c>
      <c r="C118">
        <v>0.99917943312857704</v>
      </c>
      <c r="D118">
        <v>1.2903691973757401</v>
      </c>
      <c r="E118">
        <v>0.85082598159288403</v>
      </c>
      <c r="F118">
        <v>0.67859134213054295</v>
      </c>
      <c r="G118">
        <v>0.28449186315946301</v>
      </c>
      <c r="H118">
        <v>0.215775760185062</v>
      </c>
      <c r="I118">
        <v>0.12640530753607301</v>
      </c>
      <c r="J118">
        <v>0.143725533482225</v>
      </c>
      <c r="K118">
        <v>0.106615441980767</v>
      </c>
      <c r="L118">
        <v>1314.8073988523199</v>
      </c>
      <c r="M118">
        <v>25.768627794075101</v>
      </c>
      <c r="N118">
        <v>51.612723105664799</v>
      </c>
      <c r="O118">
        <v>50.719277566550197</v>
      </c>
      <c r="P118">
        <v>-0.11083344100796801</v>
      </c>
      <c r="Q118">
        <v>0.127415989701363</v>
      </c>
      <c r="R118">
        <v>0.94445576296780098</v>
      </c>
      <c r="S118" t="s">
        <v>6520</v>
      </c>
      <c r="T118" t="s">
        <v>12802</v>
      </c>
      <c r="U118" t="s">
        <v>12802</v>
      </c>
      <c r="V118" t="s">
        <v>12802</v>
      </c>
      <c r="W118" t="s">
        <v>12920</v>
      </c>
      <c r="X118">
        <v>3</v>
      </c>
      <c r="Y118" t="s">
        <v>19242</v>
      </c>
      <c r="Z118" t="s">
        <v>25436</v>
      </c>
      <c r="AA118">
        <v>0.54258407199799841</v>
      </c>
      <c r="AB118" t="str">
        <f>HYPERLINK("Melting_Curves/meltCurve_B1APM4_SOAT1.pdf", "Melting_Curves/meltCurve_B1APM4_SOAT1.pdf")</f>
        <v>Melting_Curves/meltCurve_B1APM4_SOAT1.pdf</v>
      </c>
    </row>
    <row r="119" spans="1:28" x14ac:dyDescent="0.25">
      <c r="A119" t="s">
        <v>123</v>
      </c>
      <c r="B119">
        <v>0.99542014353169495</v>
      </c>
      <c r="C119">
        <v>0.997794856197457</v>
      </c>
      <c r="D119">
        <v>0.94024561835810505</v>
      </c>
      <c r="E119">
        <v>0.68884398548245096</v>
      </c>
      <c r="F119">
        <v>0.43638678793722102</v>
      </c>
      <c r="G119">
        <v>0.22560122304420699</v>
      </c>
      <c r="H119">
        <v>0.20365333243595099</v>
      </c>
      <c r="I119">
        <v>0.15630664910876399</v>
      </c>
      <c r="J119">
        <v>0.1954893259594</v>
      </c>
      <c r="K119">
        <v>0.20174606164867201</v>
      </c>
      <c r="L119">
        <v>1000.8476711982599</v>
      </c>
      <c r="M119">
        <v>20.881780537762499</v>
      </c>
      <c r="N119">
        <v>48.9510018034713</v>
      </c>
      <c r="O119">
        <v>47.496165244387903</v>
      </c>
      <c r="P119">
        <v>-9.0499336569203295E-2</v>
      </c>
      <c r="Q119">
        <v>0.17664996173327099</v>
      </c>
      <c r="R119">
        <v>0.99683271465428902</v>
      </c>
      <c r="S119" t="s">
        <v>6521</v>
      </c>
      <c r="T119" t="s">
        <v>12802</v>
      </c>
      <c r="U119" t="s">
        <v>12802</v>
      </c>
      <c r="V119" t="s">
        <v>12802</v>
      </c>
      <c r="W119" t="s">
        <v>12921</v>
      </c>
      <c r="X119">
        <v>3</v>
      </c>
      <c r="Y119" t="s">
        <v>19243</v>
      </c>
      <c r="Z119" t="s">
        <v>25437</v>
      </c>
      <c r="AA119">
        <v>0.4865633607715425</v>
      </c>
      <c r="AB119" t="str">
        <f>HYPERLINK("Melting_Curves/meltCurve_B1AQP1_USF1.pdf", "Melting_Curves/meltCurve_B1AQP1_USF1.pdf")</f>
        <v>Melting_Curves/meltCurve_B1AQP1_USF1.pdf</v>
      </c>
    </row>
    <row r="120" spans="1:28" x14ac:dyDescent="0.25">
      <c r="A120" t="s">
        <v>124</v>
      </c>
      <c r="B120">
        <v>0.99542014353169495</v>
      </c>
      <c r="C120">
        <v>1.02755287864626</v>
      </c>
      <c r="D120">
        <v>0.95867577272540605</v>
      </c>
      <c r="E120">
        <v>0.89148180838878999</v>
      </c>
      <c r="F120">
        <v>0.83457211975434098</v>
      </c>
      <c r="G120">
        <v>0.60520924781157404</v>
      </c>
      <c r="H120">
        <v>0.53133500210010398</v>
      </c>
      <c r="I120">
        <v>0.46442649178759599</v>
      </c>
      <c r="J120">
        <v>0.686738009350913</v>
      </c>
      <c r="K120">
        <v>0.82843801511604198</v>
      </c>
      <c r="L120">
        <v>1454.9383708016801</v>
      </c>
      <c r="M120">
        <v>29.318846984588099</v>
      </c>
      <c r="O120">
        <v>49.395532776742101</v>
      </c>
      <c r="P120">
        <v>-5.6299863212226901E-2</v>
      </c>
      <c r="Q120">
        <v>0.62059328013543302</v>
      </c>
      <c r="R120">
        <v>0.74027092726837496</v>
      </c>
      <c r="S120" t="s">
        <v>6522</v>
      </c>
      <c r="T120" t="s">
        <v>12802</v>
      </c>
      <c r="U120" t="s">
        <v>12802</v>
      </c>
      <c r="V120" t="s">
        <v>12802</v>
      </c>
      <c r="W120" t="s">
        <v>12922</v>
      </c>
      <c r="X120">
        <v>5</v>
      </c>
      <c r="Y120" t="s">
        <v>19244</v>
      </c>
      <c r="Z120" t="s">
        <v>25438</v>
      </c>
      <c r="AA120">
        <v>0.78267724868279209</v>
      </c>
      <c r="AB120" t="str">
        <f>HYPERLINK("Melting_Curves/meltCurve_B1AVQ5_MUC1.pdf", "Melting_Curves/meltCurve_B1AVQ5_MUC1.pdf")</f>
        <v>Melting_Curves/meltCurve_B1AVQ5_MUC1.pdf</v>
      </c>
    </row>
    <row r="121" spans="1:28" x14ac:dyDescent="0.25">
      <c r="A121" t="s">
        <v>125</v>
      </c>
      <c r="B121">
        <v>0.99542014353169495</v>
      </c>
      <c r="C121">
        <v>1.0049058515498801</v>
      </c>
      <c r="D121">
        <v>0.87520276354430604</v>
      </c>
      <c r="E121">
        <v>0.764089848298934</v>
      </c>
      <c r="F121">
        <v>0.712071564392736</v>
      </c>
      <c r="G121">
        <v>0.50192558614895399</v>
      </c>
      <c r="H121">
        <v>0.26061235911937602</v>
      </c>
      <c r="I121">
        <v>0.16046802381424199</v>
      </c>
      <c r="J121">
        <v>0.26259575502104798</v>
      </c>
      <c r="K121">
        <v>0.17385911491478601</v>
      </c>
      <c r="L121">
        <v>604.33299082923804</v>
      </c>
      <c r="M121">
        <v>11.6218008437201</v>
      </c>
      <c r="N121">
        <v>53.014150544886597</v>
      </c>
      <c r="O121">
        <v>50.531897488595398</v>
      </c>
      <c r="P121">
        <v>-5.1780333911494697E-2</v>
      </c>
      <c r="Q121">
        <v>9.9676642801724294E-2</v>
      </c>
      <c r="R121">
        <v>0.97305722132318895</v>
      </c>
      <c r="S121" t="s">
        <v>6523</v>
      </c>
      <c r="T121" t="s">
        <v>12802</v>
      </c>
      <c r="U121" t="s">
        <v>12802</v>
      </c>
      <c r="V121" t="s">
        <v>12802</v>
      </c>
      <c r="W121" t="s">
        <v>12923</v>
      </c>
      <c r="X121">
        <v>3</v>
      </c>
      <c r="Y121" t="s">
        <v>19245</v>
      </c>
      <c r="Z121" t="s">
        <v>25439</v>
      </c>
      <c r="AA121">
        <v>0.57175008455663889</v>
      </c>
      <c r="AB121" t="str">
        <f>HYPERLINK("Melting_Curves/meltCurve_B1B1H9_FGF13.pdf", "Melting_Curves/meltCurve_B1B1H9_FGF13.pdf")</f>
        <v>Melting_Curves/meltCurve_B1B1H9_FGF13.pdf</v>
      </c>
    </row>
    <row r="122" spans="1:28" x14ac:dyDescent="0.25">
      <c r="A122" t="s">
        <v>126</v>
      </c>
      <c r="B122">
        <v>0.99542014353169495</v>
      </c>
      <c r="C122">
        <v>1.00417133092358</v>
      </c>
      <c r="D122">
        <v>0.94723391102597998</v>
      </c>
      <c r="E122">
        <v>0.53239351550282998</v>
      </c>
      <c r="F122">
        <v>0.22608819573847699</v>
      </c>
      <c r="G122">
        <v>0.122959287577455</v>
      </c>
      <c r="H122">
        <v>7.8688967722979203E-2</v>
      </c>
      <c r="I122">
        <v>5.77623380279884E-2</v>
      </c>
      <c r="J122">
        <v>4.8950460725698697E-2</v>
      </c>
      <c r="K122">
        <v>5.6087859344960099E-2</v>
      </c>
      <c r="L122">
        <v>1193.09793115609</v>
      </c>
      <c r="M122">
        <v>25.490625185783799</v>
      </c>
      <c r="N122">
        <v>47.063382066647499</v>
      </c>
      <c r="O122">
        <v>46.520162208670499</v>
      </c>
      <c r="P122">
        <v>-0.12805547330745801</v>
      </c>
      <c r="Q122">
        <v>6.5211536223595906E-2</v>
      </c>
      <c r="R122">
        <v>0.99766625233689499</v>
      </c>
      <c r="S122" t="s">
        <v>6524</v>
      </c>
      <c r="T122" t="s">
        <v>12802</v>
      </c>
      <c r="U122" t="s">
        <v>12802</v>
      </c>
      <c r="V122" t="s">
        <v>12802</v>
      </c>
      <c r="W122" t="s">
        <v>12924</v>
      </c>
      <c r="X122">
        <v>7</v>
      </c>
      <c r="Y122" t="s">
        <v>19246</v>
      </c>
      <c r="Z122" t="s">
        <v>25440</v>
      </c>
      <c r="AA122">
        <v>0.37827027096208871</v>
      </c>
      <c r="AB122" t="str">
        <f>HYPERLINK("Melting_Curves/meltCurve_B2WTI3_JMJD6.pdf", "Melting_Curves/meltCurve_B2WTI3_JMJD6.pdf")</f>
        <v>Melting_Curves/meltCurve_B2WTI3_JMJD6.pdf</v>
      </c>
    </row>
    <row r="123" spans="1:28" x14ac:dyDescent="0.25">
      <c r="A123" t="s">
        <v>127</v>
      </c>
      <c r="B123">
        <v>0.99542014353169495</v>
      </c>
      <c r="C123">
        <v>0.91973496632533802</v>
      </c>
      <c r="D123">
        <v>0.86287693204691795</v>
      </c>
      <c r="E123">
        <v>0.59078103246496605</v>
      </c>
      <c r="F123">
        <v>0.32326024807058301</v>
      </c>
      <c r="G123">
        <v>0.19094507347890499</v>
      </c>
      <c r="H123">
        <v>0.15015684643367599</v>
      </c>
      <c r="I123">
        <v>0.101366770587937</v>
      </c>
      <c r="J123">
        <v>0.131809409815551</v>
      </c>
      <c r="K123">
        <v>0.136756460322979</v>
      </c>
      <c r="L123">
        <v>826.25560348766805</v>
      </c>
      <c r="M123">
        <v>17.606048950154001</v>
      </c>
      <c r="N123">
        <v>47.624131017752099</v>
      </c>
      <c r="O123">
        <v>46.337314587514697</v>
      </c>
      <c r="P123">
        <v>-8.4246530217317095E-2</v>
      </c>
      <c r="Q123">
        <v>0.11313477942823701</v>
      </c>
      <c r="R123">
        <v>0.99732853498471497</v>
      </c>
      <c r="S123" t="s">
        <v>6525</v>
      </c>
      <c r="T123" t="s">
        <v>12802</v>
      </c>
      <c r="U123" t="s">
        <v>12802</v>
      </c>
      <c r="V123" t="s">
        <v>12802</v>
      </c>
      <c r="W123" t="s">
        <v>12925</v>
      </c>
      <c r="X123">
        <v>4</v>
      </c>
      <c r="Y123" t="s">
        <v>19247</v>
      </c>
      <c r="Z123" t="s">
        <v>25441</v>
      </c>
      <c r="AA123">
        <v>0.42155042441882878</v>
      </c>
      <c r="AB123" t="str">
        <f>HYPERLINK("Melting_Curves/meltCurve_B3KPJ4_PHC2.pdf", "Melting_Curves/meltCurve_B3KPJ4_PHC2.pdf")</f>
        <v>Melting_Curves/meltCurve_B3KPJ4_PHC2.pdf</v>
      </c>
    </row>
    <row r="124" spans="1:28" x14ac:dyDescent="0.25">
      <c r="A124" t="s">
        <v>128</v>
      </c>
      <c r="B124">
        <v>0.99542014353169495</v>
      </c>
      <c r="C124">
        <v>0.91928212843622403</v>
      </c>
      <c r="D124">
        <v>1.0101335102496201</v>
      </c>
      <c r="E124">
        <v>0.84540042026670803</v>
      </c>
      <c r="F124">
        <v>0.57012753633504198</v>
      </c>
      <c r="G124">
        <v>0.20699400084521399</v>
      </c>
      <c r="H124">
        <v>0.50834617384127001</v>
      </c>
      <c r="I124">
        <v>0.445215121583451</v>
      </c>
      <c r="J124">
        <v>0.38945451714625001</v>
      </c>
      <c r="K124">
        <v>0.628591380538014</v>
      </c>
      <c r="L124">
        <v>1878.94366172185</v>
      </c>
      <c r="M124">
        <v>39.217349570345696</v>
      </c>
      <c r="N124">
        <v>50.698848736235099</v>
      </c>
      <c r="O124">
        <v>47.786966478811301</v>
      </c>
      <c r="P124">
        <v>-0.114456332594582</v>
      </c>
      <c r="Q124">
        <v>0.44213382089761899</v>
      </c>
      <c r="R124">
        <v>0.84114430771984305</v>
      </c>
      <c r="S124" t="s">
        <v>6526</v>
      </c>
      <c r="T124" t="s">
        <v>12802</v>
      </c>
      <c r="U124" t="s">
        <v>12802</v>
      </c>
      <c r="V124" t="s">
        <v>12802</v>
      </c>
      <c r="W124" t="s">
        <v>12926</v>
      </c>
      <c r="X124">
        <v>17</v>
      </c>
      <c r="Y124" t="s">
        <v>19248</v>
      </c>
      <c r="Z124" t="s">
        <v>25442</v>
      </c>
      <c r="AA124">
        <v>0.64695301583748566</v>
      </c>
      <c r="AB124" t="str">
        <f>HYPERLINK("Melting_Curves/meltCurve_B3KQ25_PSME3.pdf", "Melting_Curves/meltCurve_B3KQ25_PSME3.pdf")</f>
        <v>Melting_Curves/meltCurve_B3KQ25_PSME3.pdf</v>
      </c>
    </row>
    <row r="125" spans="1:28" x14ac:dyDescent="0.25">
      <c r="A125" t="s">
        <v>129</v>
      </c>
      <c r="B125">
        <v>0.99542014353169495</v>
      </c>
      <c r="C125">
        <v>0.90569294263366695</v>
      </c>
      <c r="D125">
        <v>0.85217814912818501</v>
      </c>
      <c r="E125">
        <v>0.70334274738531</v>
      </c>
      <c r="F125">
        <v>0.456452907709894</v>
      </c>
      <c r="G125">
        <v>0.19237530620644</v>
      </c>
      <c r="H125">
        <v>0.122313740499904</v>
      </c>
      <c r="I125">
        <v>9.5882939074971696E-2</v>
      </c>
      <c r="J125">
        <v>0.121265990068603</v>
      </c>
      <c r="K125">
        <v>0.106742717037716</v>
      </c>
      <c r="L125">
        <v>733.81599304539702</v>
      </c>
      <c r="M125">
        <v>15.118050062968599</v>
      </c>
      <c r="N125">
        <v>49.016642886437303</v>
      </c>
      <c r="O125">
        <v>47.713545450613601</v>
      </c>
      <c r="P125">
        <v>-7.3795205035458597E-2</v>
      </c>
      <c r="Q125">
        <v>6.8481472877291297E-2</v>
      </c>
      <c r="R125">
        <v>0.990797806866066</v>
      </c>
      <c r="S125" t="s">
        <v>6527</v>
      </c>
      <c r="T125" t="s">
        <v>12802</v>
      </c>
      <c r="U125" t="s">
        <v>12802</v>
      </c>
      <c r="V125" t="s">
        <v>12802</v>
      </c>
      <c r="W125" t="s">
        <v>12927</v>
      </c>
      <c r="X125">
        <v>3</v>
      </c>
      <c r="Y125" t="s">
        <v>19249</v>
      </c>
      <c r="Z125" t="s">
        <v>25443</v>
      </c>
      <c r="AA125">
        <v>0.44678634627972258</v>
      </c>
      <c r="AB125" t="str">
        <f>HYPERLINK("Melting_Curves/meltCurve_B3KQC5_MAN1B1.pdf", "Melting_Curves/meltCurve_B3KQC5_MAN1B1.pdf")</f>
        <v>Melting_Curves/meltCurve_B3KQC5_MAN1B1.pdf</v>
      </c>
    </row>
    <row r="126" spans="1:28" x14ac:dyDescent="0.25">
      <c r="A126" t="s">
        <v>130</v>
      </c>
      <c r="B126">
        <v>0.99542014353169495</v>
      </c>
      <c r="C126">
        <v>0.90913682153189701</v>
      </c>
      <c r="D126">
        <v>0.99691137895502402</v>
      </c>
      <c r="E126">
        <v>0.65973307335068199</v>
      </c>
      <c r="F126">
        <v>0.59087281400667302</v>
      </c>
      <c r="G126">
        <v>0.26850270080369598</v>
      </c>
      <c r="H126">
        <v>0.118959859470573</v>
      </c>
      <c r="I126">
        <v>6.1994869497386099E-2</v>
      </c>
      <c r="J126">
        <v>5.5860238182183601E-2</v>
      </c>
      <c r="K126">
        <v>5.1844895836603198E-2</v>
      </c>
      <c r="L126">
        <v>706.57126564639498</v>
      </c>
      <c r="M126">
        <v>14.0433843757825</v>
      </c>
      <c r="N126">
        <v>50.313465163424802</v>
      </c>
      <c r="O126">
        <v>49.326192138701501</v>
      </c>
      <c r="P126">
        <v>-7.1185402739547599E-2</v>
      </c>
      <c r="Q126">
        <v>0</v>
      </c>
      <c r="R126">
        <v>0.98044869413873603</v>
      </c>
      <c r="S126" t="s">
        <v>6528</v>
      </c>
      <c r="T126" t="s">
        <v>12802</v>
      </c>
      <c r="U126" t="s">
        <v>12802</v>
      </c>
      <c r="V126" t="s">
        <v>12802</v>
      </c>
      <c r="W126" t="s">
        <v>12928</v>
      </c>
      <c r="X126">
        <v>15</v>
      </c>
      <c r="Y126" t="s">
        <v>19250</v>
      </c>
      <c r="Z126" t="s">
        <v>25444</v>
      </c>
      <c r="AA126">
        <v>0.46640784508298538</v>
      </c>
      <c r="AB126" t="str">
        <f>HYPERLINK("Melting_Curves/meltCurve_B3KS98_EIF3S3.pdf", "Melting_Curves/meltCurve_B3KS98_EIF3S3.pdf")</f>
        <v>Melting_Curves/meltCurve_B3KS98_EIF3S3.pdf</v>
      </c>
    </row>
    <row r="127" spans="1:28" x14ac:dyDescent="0.25">
      <c r="A127" t="s">
        <v>131</v>
      </c>
      <c r="B127">
        <v>0.99542014353169495</v>
      </c>
      <c r="C127">
        <v>0.92642843313144496</v>
      </c>
      <c r="D127">
        <v>0.84004215463514498</v>
      </c>
      <c r="E127">
        <v>0.62820079017750396</v>
      </c>
      <c r="F127">
        <v>0.38506993623445002</v>
      </c>
      <c r="G127">
        <v>0.14181973210677501</v>
      </c>
      <c r="H127">
        <v>8.5542670515160596E-2</v>
      </c>
      <c r="I127">
        <v>6.2781613877792894E-2</v>
      </c>
      <c r="J127">
        <v>7.2058302546670394E-2</v>
      </c>
      <c r="K127">
        <v>7.4189975285387802E-2</v>
      </c>
      <c r="L127">
        <v>738.39557925614895</v>
      </c>
      <c r="M127">
        <v>15.4315218957501</v>
      </c>
      <c r="N127">
        <v>48.092052730179198</v>
      </c>
      <c r="O127">
        <v>47.067869136270801</v>
      </c>
      <c r="P127">
        <v>-7.8906820486634402E-2</v>
      </c>
      <c r="Q127">
        <v>3.7388482122953301E-2</v>
      </c>
      <c r="R127">
        <v>0.99580085208531699</v>
      </c>
      <c r="S127" t="s">
        <v>6529</v>
      </c>
      <c r="T127" t="s">
        <v>12802</v>
      </c>
      <c r="U127" t="s">
        <v>12802</v>
      </c>
      <c r="V127" t="s">
        <v>12802</v>
      </c>
      <c r="W127" t="s">
        <v>12929</v>
      </c>
      <c r="X127">
        <v>10</v>
      </c>
      <c r="Y127" t="s">
        <v>19251</v>
      </c>
      <c r="Z127" t="s">
        <v>25445</v>
      </c>
      <c r="AA127">
        <v>0.40579065631941152</v>
      </c>
      <c r="AB127" t="str">
        <f>HYPERLINK("Melting_Curves/meltCurve_B3KSH1_EIF3F.pdf", "Melting_Curves/meltCurve_B3KSH1_EIF3F.pdf")</f>
        <v>Melting_Curves/meltCurve_B3KSH1_EIF3F.pdf</v>
      </c>
    </row>
    <row r="128" spans="1:28" x14ac:dyDescent="0.25">
      <c r="A128" t="s">
        <v>132</v>
      </c>
      <c r="B128">
        <v>0.99542014353169495</v>
      </c>
      <c r="C128">
        <v>1.07410962695712</v>
      </c>
      <c r="D128">
        <v>0.97744319506100996</v>
      </c>
      <c r="E128">
        <v>0.97141570403077004</v>
      </c>
      <c r="F128">
        <v>0.80706327210291595</v>
      </c>
      <c r="G128">
        <v>0.43688102453281602</v>
      </c>
      <c r="H128">
        <v>0.13589525110284201</v>
      </c>
      <c r="I128">
        <v>0.10199295529381699</v>
      </c>
      <c r="J128">
        <v>0.12744146628019101</v>
      </c>
      <c r="K128">
        <v>0.15184981445597101</v>
      </c>
      <c r="L128">
        <v>1556.34441942737</v>
      </c>
      <c r="M128">
        <v>29.6129918878555</v>
      </c>
      <c r="N128">
        <v>53.009882081279997</v>
      </c>
      <c r="O128">
        <v>52.318230111447598</v>
      </c>
      <c r="P128">
        <v>-0.125663510027403</v>
      </c>
      <c r="Q128">
        <v>0.11195121786727801</v>
      </c>
      <c r="R128">
        <v>0.99309704743622895</v>
      </c>
      <c r="S128" t="s">
        <v>6530</v>
      </c>
      <c r="T128" t="s">
        <v>12802</v>
      </c>
      <c r="U128" t="s">
        <v>12802</v>
      </c>
      <c r="V128" t="s">
        <v>12802</v>
      </c>
      <c r="W128" t="s">
        <v>12930</v>
      </c>
      <c r="X128">
        <v>9</v>
      </c>
      <c r="Y128" t="s">
        <v>19252</v>
      </c>
      <c r="Z128" t="s">
        <v>25446</v>
      </c>
      <c r="AA128">
        <v>0.57821180442157427</v>
      </c>
      <c r="AB128" t="str">
        <f>HYPERLINK("Melting_Curves/meltCurve_B3KSI9_LZTFL1.pdf", "Melting_Curves/meltCurve_B3KSI9_LZTFL1.pdf")</f>
        <v>Melting_Curves/meltCurve_B3KSI9_LZTFL1.pdf</v>
      </c>
    </row>
    <row r="129" spans="1:28" x14ac:dyDescent="0.25">
      <c r="A129" t="s">
        <v>133</v>
      </c>
      <c r="B129">
        <v>0.99542014353169495</v>
      </c>
      <c r="C129">
        <v>1.2279886423264801</v>
      </c>
      <c r="D129">
        <v>0.95070404563065602</v>
      </c>
      <c r="E129">
        <v>0.89399167304719496</v>
      </c>
      <c r="F129">
        <v>0.63462830119843405</v>
      </c>
      <c r="G129">
        <v>8.9328426774948497E-2</v>
      </c>
      <c r="H129">
        <v>3.7546537927756897E-2</v>
      </c>
      <c r="I129">
        <v>3.6028082968309699E-2</v>
      </c>
      <c r="J129">
        <v>1.04087731216692E-2</v>
      </c>
      <c r="K129">
        <v>2.5580813336522599E-2</v>
      </c>
      <c r="L129">
        <v>1927.5057603057201</v>
      </c>
      <c r="M129">
        <v>37.968717172306</v>
      </c>
      <c r="N129">
        <v>50.815264145024898</v>
      </c>
      <c r="O129">
        <v>50.625399819700498</v>
      </c>
      <c r="P129">
        <v>-0.18408562418841101</v>
      </c>
      <c r="Q129">
        <v>1.8203536217631301E-2</v>
      </c>
      <c r="R129">
        <v>0.97208532792187996</v>
      </c>
      <c r="S129" t="s">
        <v>6531</v>
      </c>
      <c r="T129" t="s">
        <v>12802</v>
      </c>
      <c r="U129" t="s">
        <v>12802</v>
      </c>
      <c r="V129" t="s">
        <v>12802</v>
      </c>
      <c r="W129" t="s">
        <v>12931</v>
      </c>
      <c r="X129">
        <v>9</v>
      </c>
      <c r="Y129" t="s">
        <v>19253</v>
      </c>
      <c r="Z129" t="s">
        <v>25447</v>
      </c>
      <c r="AA129">
        <v>0.47252527067755551</v>
      </c>
      <c r="AB129" t="str">
        <f>HYPERLINK("Melting_Curves/meltCurve_B3KSP0_WHSC2.pdf", "Melting_Curves/meltCurve_B3KSP0_WHSC2.pdf")</f>
        <v>Melting_Curves/meltCurve_B3KSP0_WHSC2.pdf</v>
      </c>
    </row>
    <row r="130" spans="1:28" x14ac:dyDescent="0.25">
      <c r="A130" t="s">
        <v>134</v>
      </c>
      <c r="B130">
        <v>0.99542014353169495</v>
      </c>
      <c r="C130">
        <v>1.4292620336847199</v>
      </c>
      <c r="D130">
        <v>0.91263810644731003</v>
      </c>
      <c r="E130">
        <v>0.87731659891995994</v>
      </c>
      <c r="F130">
        <v>0.89775903321245598</v>
      </c>
      <c r="G130">
        <v>0.64338476697407698</v>
      </c>
      <c r="H130">
        <v>0.33926908693795499</v>
      </c>
      <c r="I130">
        <v>0.28557489602154701</v>
      </c>
      <c r="J130">
        <v>0.29683254316448698</v>
      </c>
      <c r="K130">
        <v>0.31300258776354101</v>
      </c>
      <c r="L130">
        <v>1477.3097322148601</v>
      </c>
      <c r="M130">
        <v>27.5985297449783</v>
      </c>
      <c r="N130">
        <v>55.174908501936599</v>
      </c>
      <c r="O130">
        <v>53.249894101853698</v>
      </c>
      <c r="P130">
        <v>-9.3220065504848501E-2</v>
      </c>
      <c r="Q130">
        <v>0.28055391577406702</v>
      </c>
      <c r="R130">
        <v>0.84640652165916297</v>
      </c>
      <c r="S130" t="s">
        <v>6532</v>
      </c>
      <c r="T130" t="s">
        <v>12802</v>
      </c>
      <c r="U130" t="s">
        <v>12802</v>
      </c>
      <c r="V130" t="s">
        <v>12802</v>
      </c>
      <c r="W130" t="s">
        <v>12932</v>
      </c>
      <c r="X130">
        <v>4</v>
      </c>
      <c r="Y130" t="s">
        <v>19254</v>
      </c>
      <c r="Z130" t="s">
        <v>25448</v>
      </c>
      <c r="AA130">
        <v>0.68227105870865778</v>
      </c>
      <c r="AB130" t="str">
        <f>HYPERLINK("Melting_Curves/meltCurve_B3KTR6_MXRA8.pdf", "Melting_Curves/meltCurve_B3KTR6_MXRA8.pdf")</f>
        <v>Melting_Curves/meltCurve_B3KTR6_MXRA8.pdf</v>
      </c>
    </row>
    <row r="131" spans="1:28" x14ac:dyDescent="0.25">
      <c r="A131" t="s">
        <v>135</v>
      </c>
      <c r="B131">
        <v>0.99542014353169495</v>
      </c>
      <c r="C131">
        <v>0.95269532751813601</v>
      </c>
      <c r="D131">
        <v>0.94609030611757206</v>
      </c>
      <c r="E131">
        <v>1.2789679603133799</v>
      </c>
      <c r="F131">
        <v>0.93408070001151999</v>
      </c>
      <c r="G131">
        <v>0.55736415527541905</v>
      </c>
      <c r="H131">
        <v>0.346205458392778</v>
      </c>
      <c r="I131">
        <v>0.456530609219505</v>
      </c>
      <c r="J131">
        <v>0.50306996003933702</v>
      </c>
      <c r="K131">
        <v>0.86738460075646295</v>
      </c>
      <c r="L131">
        <v>4474.3770840171601</v>
      </c>
      <c r="M131">
        <v>87.337801374530798</v>
      </c>
      <c r="O131">
        <v>51.2038672712916</v>
      </c>
      <c r="P131">
        <v>-0.19415552806102901</v>
      </c>
      <c r="Q131">
        <v>0.54468686067115601</v>
      </c>
      <c r="R131">
        <v>0.70599306329407296</v>
      </c>
      <c r="S131" t="s">
        <v>6533</v>
      </c>
      <c r="T131" t="s">
        <v>12802</v>
      </c>
      <c r="U131" t="s">
        <v>12802</v>
      </c>
      <c r="V131" t="s">
        <v>12802</v>
      </c>
      <c r="W131" t="s">
        <v>12933</v>
      </c>
      <c r="X131">
        <v>5</v>
      </c>
      <c r="Y131" t="s">
        <v>19255</v>
      </c>
      <c r="Z131" t="s">
        <v>25449</v>
      </c>
      <c r="AA131">
        <v>0.76100370633931891</v>
      </c>
      <c r="AB131" t="str">
        <f>HYPERLINK("Melting_Curves/meltCurve_B3KUK2_SOD2.pdf", "Melting_Curves/meltCurve_B3KUK2_SOD2.pdf")</f>
        <v>Melting_Curves/meltCurve_B3KUK2_SOD2.pdf</v>
      </c>
    </row>
    <row r="132" spans="1:28" x14ac:dyDescent="0.25">
      <c r="A132" t="s">
        <v>136</v>
      </c>
      <c r="B132">
        <v>0.99542014353169495</v>
      </c>
      <c r="C132">
        <v>0.92762354872645503</v>
      </c>
      <c r="D132">
        <v>0.82521939684022505</v>
      </c>
      <c r="E132">
        <v>0.72786647068124</v>
      </c>
      <c r="F132">
        <v>0.57193067200163705</v>
      </c>
      <c r="G132">
        <v>0.39503070156220099</v>
      </c>
      <c r="H132">
        <v>0.26607343291987301</v>
      </c>
      <c r="I132">
        <v>0.205986395901501</v>
      </c>
      <c r="J132">
        <v>0.24084096509602401</v>
      </c>
      <c r="K132">
        <v>0.25063390850858702</v>
      </c>
      <c r="L132">
        <v>558.40477752171796</v>
      </c>
      <c r="M132">
        <v>11.358577852090701</v>
      </c>
      <c r="N132">
        <v>51.019910863690598</v>
      </c>
      <c r="O132">
        <v>47.711671387298402</v>
      </c>
      <c r="P132">
        <v>-4.9448659721735302E-2</v>
      </c>
      <c r="Q132">
        <v>0.16941184908463799</v>
      </c>
      <c r="R132">
        <v>0.98910072152101602</v>
      </c>
      <c r="S132" t="s">
        <v>6534</v>
      </c>
      <c r="T132" t="s">
        <v>12802</v>
      </c>
      <c r="U132" t="s">
        <v>12802</v>
      </c>
      <c r="V132" t="s">
        <v>12802</v>
      </c>
      <c r="W132" t="s">
        <v>12934</v>
      </c>
      <c r="X132">
        <v>5</v>
      </c>
      <c r="Y132" t="s">
        <v>19256</v>
      </c>
      <c r="Z132" t="s">
        <v>25450</v>
      </c>
      <c r="AA132">
        <v>0.53234706238602869</v>
      </c>
      <c r="AB132" t="str">
        <f>HYPERLINK("Melting_Curves/meltCurve_B3KVH8_PHF23.pdf", "Melting_Curves/meltCurve_B3KVH8_PHF23.pdf")</f>
        <v>Melting_Curves/meltCurve_B3KVH8_PHF23.pdf</v>
      </c>
    </row>
    <row r="133" spans="1:28" x14ac:dyDescent="0.25">
      <c r="A133" t="s">
        <v>137</v>
      </c>
      <c r="B133">
        <v>0.99542014353169495</v>
      </c>
      <c r="C133">
        <v>0.99551332977407803</v>
      </c>
      <c r="D133">
        <v>1.02030230089948</v>
      </c>
      <c r="E133">
        <v>0.70355093480511799</v>
      </c>
      <c r="F133">
        <v>0.46108418593814898</v>
      </c>
      <c r="G133">
        <v>0.10303723310302999</v>
      </c>
      <c r="H133">
        <v>5.7279817388292902E-2</v>
      </c>
      <c r="I133">
        <v>4.5290039507790002E-2</v>
      </c>
      <c r="J133">
        <v>4.8227379243980399E-2</v>
      </c>
      <c r="K133">
        <v>2.1062179976739301E-2</v>
      </c>
      <c r="L133">
        <v>1046.63088101627</v>
      </c>
      <c r="M133">
        <v>21.306651336954101</v>
      </c>
      <c r="N133">
        <v>49.2222564452425</v>
      </c>
      <c r="O133">
        <v>48.695690487266099</v>
      </c>
      <c r="P133">
        <v>-0.107072571393885</v>
      </c>
      <c r="Q133">
        <v>2.11806475356991E-2</v>
      </c>
      <c r="R133">
        <v>0.99158366829784605</v>
      </c>
      <c r="S133" t="s">
        <v>6535</v>
      </c>
      <c r="T133" t="s">
        <v>12802</v>
      </c>
      <c r="U133" t="s">
        <v>12802</v>
      </c>
      <c r="V133" t="s">
        <v>12802</v>
      </c>
      <c r="W133" t="s">
        <v>12935</v>
      </c>
      <c r="X133">
        <v>4</v>
      </c>
      <c r="Y133" t="s">
        <v>19257</v>
      </c>
      <c r="Z133" t="s">
        <v>25451</v>
      </c>
      <c r="AA133">
        <v>0.42817947777342069</v>
      </c>
      <c r="AB133" t="str">
        <f>HYPERLINK("Melting_Curves/meltCurve_B3KWN8_PYROXD1.pdf", "Melting_Curves/meltCurve_B3KWN8_PYROXD1.pdf")</f>
        <v>Melting_Curves/meltCurve_B3KWN8_PYROXD1.pdf</v>
      </c>
    </row>
    <row r="134" spans="1:28" x14ac:dyDescent="0.25">
      <c r="A134" t="s">
        <v>138</v>
      </c>
      <c r="B134">
        <v>0.99542014353169495</v>
      </c>
      <c r="C134">
        <v>0.97587424176224902</v>
      </c>
      <c r="D134">
        <v>0.86772580929509202</v>
      </c>
      <c r="E134">
        <v>0.74800045648115898</v>
      </c>
      <c r="F134">
        <v>0.59820260689859095</v>
      </c>
      <c r="G134">
        <v>0.27104797242583301</v>
      </c>
      <c r="H134">
        <v>0.27493609991665802</v>
      </c>
      <c r="I134">
        <v>7.9288314489963596E-2</v>
      </c>
      <c r="J134">
        <v>0.16621292598773599</v>
      </c>
      <c r="K134">
        <v>0.181690446940346</v>
      </c>
      <c r="L134">
        <v>706.52731614810898</v>
      </c>
      <c r="M134">
        <v>14.1913460461029</v>
      </c>
      <c r="N134">
        <v>50.6783457797574</v>
      </c>
      <c r="O134">
        <v>48.828497237840701</v>
      </c>
      <c r="P134">
        <v>-6.4632840549100401E-2</v>
      </c>
      <c r="Q134">
        <v>0.110576701495594</v>
      </c>
      <c r="R134">
        <v>0.97848098311472598</v>
      </c>
      <c r="S134" t="s">
        <v>6536</v>
      </c>
      <c r="T134" t="s">
        <v>12802</v>
      </c>
      <c r="U134" t="s">
        <v>12802</v>
      </c>
      <c r="V134" t="s">
        <v>12802</v>
      </c>
      <c r="W134" t="s">
        <v>12936</v>
      </c>
      <c r="X134">
        <v>5</v>
      </c>
      <c r="Y134" t="s">
        <v>19258</v>
      </c>
      <c r="Z134" t="s">
        <v>25452</v>
      </c>
      <c r="AA134">
        <v>0.50991645423340093</v>
      </c>
      <c r="AB134" t="str">
        <f>HYPERLINK("Melting_Curves/meltCurve_B3KXX3_SLC12A6.pdf", "Melting_Curves/meltCurve_B3KXX3_SLC12A6.pdf")</f>
        <v>Melting_Curves/meltCurve_B3KXX3_SLC12A6.pdf</v>
      </c>
    </row>
    <row r="135" spans="1:28" x14ac:dyDescent="0.25">
      <c r="A135" t="s">
        <v>139</v>
      </c>
      <c r="B135">
        <v>0.99542014353169495</v>
      </c>
      <c r="C135">
        <v>0.95805903115581603</v>
      </c>
      <c r="D135">
        <v>0.86122939066406901</v>
      </c>
      <c r="E135">
        <v>0.46248388803991303</v>
      </c>
      <c r="F135">
        <v>0.27021836428543</v>
      </c>
      <c r="G135">
        <v>0.153753131151177</v>
      </c>
      <c r="H135">
        <v>9.6468466575359804E-2</v>
      </c>
      <c r="I135">
        <v>8.4257992171867704E-2</v>
      </c>
      <c r="J135">
        <v>9.6376651559175894E-2</v>
      </c>
      <c r="K135">
        <v>0.103655948969947</v>
      </c>
      <c r="L135">
        <v>947.56029081294696</v>
      </c>
      <c r="M135">
        <v>20.554807275754101</v>
      </c>
      <c r="N135">
        <v>46.5780099956377</v>
      </c>
      <c r="O135">
        <v>45.669524220184002</v>
      </c>
      <c r="P135">
        <v>-0.101806776114184</v>
      </c>
      <c r="Q135">
        <v>9.5232275951251194E-2</v>
      </c>
      <c r="R135">
        <v>0.99706405071922</v>
      </c>
      <c r="S135" t="s">
        <v>6537</v>
      </c>
      <c r="T135" t="s">
        <v>12802</v>
      </c>
      <c r="U135" t="s">
        <v>12802</v>
      </c>
      <c r="V135" t="s">
        <v>12802</v>
      </c>
      <c r="W135" t="s">
        <v>12937</v>
      </c>
      <c r="X135">
        <v>9</v>
      </c>
      <c r="Y135" t="s">
        <v>19259</v>
      </c>
      <c r="Z135" t="s">
        <v>25453</v>
      </c>
      <c r="AA135">
        <v>0.38084490265982912</v>
      </c>
      <c r="AB135" t="str">
        <f>HYPERLINK("Melting_Curves/meltCurve_B3KY83_RXRA.pdf", "Melting_Curves/meltCurve_B3KY83_RXRA.pdf")</f>
        <v>Melting_Curves/meltCurve_B3KY83_RXRA.pdf</v>
      </c>
    </row>
    <row r="136" spans="1:28" x14ac:dyDescent="0.25">
      <c r="A136" t="s">
        <v>140</v>
      </c>
      <c r="B136">
        <v>0.99542014353169495</v>
      </c>
      <c r="C136">
        <v>1.0800711376604499</v>
      </c>
      <c r="D136">
        <v>1.0711966675697899</v>
      </c>
      <c r="E136">
        <v>0.86848194133518997</v>
      </c>
      <c r="F136">
        <v>1.01198469857365</v>
      </c>
      <c r="G136">
        <v>0.63724415384891098</v>
      </c>
      <c r="H136">
        <v>0.57039218790115298</v>
      </c>
      <c r="I136">
        <v>0.35556021600869803</v>
      </c>
      <c r="J136">
        <v>0.72858397131873998</v>
      </c>
      <c r="K136">
        <v>0.90136433717076303</v>
      </c>
      <c r="L136">
        <v>13039.806999659</v>
      </c>
      <c r="M136">
        <v>250</v>
      </c>
      <c r="O136">
        <v>52.155890154104497</v>
      </c>
      <c r="P136">
        <v>-0.433083902381797</v>
      </c>
      <c r="Q136">
        <v>0.63859397738210799</v>
      </c>
      <c r="R136">
        <v>0.63789645353203295</v>
      </c>
      <c r="S136" t="s">
        <v>6538</v>
      </c>
      <c r="T136" t="s">
        <v>12802</v>
      </c>
      <c r="U136" t="s">
        <v>12802</v>
      </c>
      <c r="V136" t="s">
        <v>12802</v>
      </c>
      <c r="W136" t="s">
        <v>12938</v>
      </c>
      <c r="X136">
        <v>9</v>
      </c>
      <c r="Y136" t="s">
        <v>19260</v>
      </c>
      <c r="Z136" t="s">
        <v>25454</v>
      </c>
      <c r="AA136">
        <v>0.8212482698936675</v>
      </c>
      <c r="AB136" t="str">
        <f>HYPERLINK("Melting_Curves/meltCurve_B3V0L1_ARL6IP4.pdf", "Melting_Curves/meltCurve_B3V0L1_ARL6IP4.pdf")</f>
        <v>Melting_Curves/meltCurve_B3V0L1_ARL6IP4.pdf</v>
      </c>
    </row>
    <row r="137" spans="1:28" x14ac:dyDescent="0.25">
      <c r="A137" t="s">
        <v>141</v>
      </c>
      <c r="B137">
        <v>0.99542014353169495</v>
      </c>
      <c r="C137">
        <v>1.02174618475889</v>
      </c>
      <c r="D137">
        <v>1.0284245483355301</v>
      </c>
      <c r="E137">
        <v>0.682022467508412</v>
      </c>
      <c r="F137">
        <v>0.22147141268436599</v>
      </c>
      <c r="G137">
        <v>0.113396635185413</v>
      </c>
      <c r="H137">
        <v>7.2127825456970301E-2</v>
      </c>
      <c r="I137">
        <v>5.41335663013984E-2</v>
      </c>
      <c r="J137">
        <v>5.8894629827471803E-2</v>
      </c>
      <c r="K137">
        <v>6.6450670850116994E-2</v>
      </c>
      <c r="L137">
        <v>1562.8389018657699</v>
      </c>
      <c r="M137">
        <v>32.8141762063496</v>
      </c>
      <c r="N137">
        <v>47.841404995724403</v>
      </c>
      <c r="O137">
        <v>47.451105438647303</v>
      </c>
      <c r="P137">
        <v>-0.16106101035502701</v>
      </c>
      <c r="Q137">
        <v>6.8391891935248694E-2</v>
      </c>
      <c r="R137">
        <v>0.99734529762989199</v>
      </c>
      <c r="S137" t="s">
        <v>6539</v>
      </c>
      <c r="T137" t="s">
        <v>12802</v>
      </c>
      <c r="U137" t="s">
        <v>12802</v>
      </c>
      <c r="V137" t="s">
        <v>12802</v>
      </c>
      <c r="W137" t="s">
        <v>12939</v>
      </c>
      <c r="X137">
        <v>18</v>
      </c>
      <c r="Y137" t="s">
        <v>19261</v>
      </c>
      <c r="Z137" t="s">
        <v>25455</v>
      </c>
      <c r="AA137">
        <v>0.40296997570680049</v>
      </c>
      <c r="AB137" t="str">
        <f>HYPERLINK("Melting_Curves/meltCurve_B4DDF4_CNN2.pdf", "Melting_Curves/meltCurve_B4DDF4_CNN2.pdf")</f>
        <v>Melting_Curves/meltCurve_B4DDF4_CNN2.pdf</v>
      </c>
    </row>
    <row r="138" spans="1:28" x14ac:dyDescent="0.25">
      <c r="A138" t="s">
        <v>142</v>
      </c>
      <c r="B138">
        <v>0.99542014353169495</v>
      </c>
      <c r="C138">
        <v>0.93752937243373002</v>
      </c>
      <c r="D138">
        <v>0.97897447279144001</v>
      </c>
      <c r="E138">
        <v>0.69944060112227302</v>
      </c>
      <c r="F138">
        <v>0.77081471659392498</v>
      </c>
      <c r="G138">
        <v>0.35447023515550002</v>
      </c>
      <c r="H138">
        <v>0.32811270181556101</v>
      </c>
      <c r="I138">
        <v>0.22916083452354999</v>
      </c>
      <c r="J138">
        <v>0.21203300168712999</v>
      </c>
      <c r="K138">
        <v>0.16519610565020701</v>
      </c>
      <c r="L138">
        <v>625.75631896696996</v>
      </c>
      <c r="M138">
        <v>12.147734268244999</v>
      </c>
      <c r="N138">
        <v>52.687832523456898</v>
      </c>
      <c r="O138">
        <v>50.175852161780398</v>
      </c>
      <c r="P138">
        <v>-5.3352922388391497E-2</v>
      </c>
      <c r="Q138">
        <v>0.118712026619535</v>
      </c>
      <c r="R138">
        <v>0.95683364624479506</v>
      </c>
      <c r="S138" t="s">
        <v>6540</v>
      </c>
      <c r="T138" t="s">
        <v>12802</v>
      </c>
      <c r="U138" t="s">
        <v>12802</v>
      </c>
      <c r="V138" t="s">
        <v>12802</v>
      </c>
      <c r="W138" t="s">
        <v>12940</v>
      </c>
      <c r="X138">
        <v>13</v>
      </c>
      <c r="Y138" t="s">
        <v>19262</v>
      </c>
      <c r="Z138" t="s">
        <v>25456</v>
      </c>
      <c r="AA138">
        <v>0.56673963469010702</v>
      </c>
      <c r="AB138" t="str">
        <f>HYPERLINK("Melting_Curves/meltCurve_B4DDM6_BUB3.pdf", "Melting_Curves/meltCurve_B4DDM6_BUB3.pdf")</f>
        <v>Melting_Curves/meltCurve_B4DDM6_BUB3.pdf</v>
      </c>
    </row>
    <row r="139" spans="1:28" x14ac:dyDescent="0.25">
      <c r="A139" t="s">
        <v>143</v>
      </c>
      <c r="B139">
        <v>0.99542014353169495</v>
      </c>
      <c r="C139">
        <v>0.87140356099050698</v>
      </c>
      <c r="D139">
        <v>0.98003982830310499</v>
      </c>
      <c r="E139">
        <v>0.82168414351799302</v>
      </c>
      <c r="F139">
        <v>0.65774155274705504</v>
      </c>
      <c r="G139">
        <v>0.44516460681690401</v>
      </c>
      <c r="H139">
        <v>0.36650651079024699</v>
      </c>
      <c r="I139">
        <v>0.238921295979067</v>
      </c>
      <c r="J139">
        <v>0.16642736332802099</v>
      </c>
      <c r="K139">
        <v>0.146642394123154</v>
      </c>
      <c r="L139">
        <v>562.48960829355497</v>
      </c>
      <c r="M139">
        <v>10.6535901337654</v>
      </c>
      <c r="N139">
        <v>53.369189438108002</v>
      </c>
      <c r="O139">
        <v>51.039781417582098</v>
      </c>
      <c r="P139">
        <v>-4.9390575219326903E-2</v>
      </c>
      <c r="Q139">
        <v>5.3869135158156001E-2</v>
      </c>
      <c r="R139">
        <v>0.98481539868759405</v>
      </c>
      <c r="S139" t="s">
        <v>6541</v>
      </c>
      <c r="T139" t="s">
        <v>12802</v>
      </c>
      <c r="U139" t="s">
        <v>12802</v>
      </c>
      <c r="V139" t="s">
        <v>12802</v>
      </c>
      <c r="W139" t="s">
        <v>12941</v>
      </c>
      <c r="X139">
        <v>14</v>
      </c>
      <c r="Y139" t="s">
        <v>19263</v>
      </c>
      <c r="Z139" t="s">
        <v>25457</v>
      </c>
      <c r="AA139">
        <v>0.57375669521483286</v>
      </c>
      <c r="AB139" t="str">
        <f>HYPERLINK("Melting_Curves/meltCurve_B4DDY8_HARS2.pdf", "Melting_Curves/meltCurve_B4DDY8_HARS2.pdf")</f>
        <v>Melting_Curves/meltCurve_B4DDY8_HARS2.pdf</v>
      </c>
    </row>
    <row r="140" spans="1:28" x14ac:dyDescent="0.25">
      <c r="A140" t="s">
        <v>144</v>
      </c>
      <c r="B140">
        <v>0.99542014353169495</v>
      </c>
      <c r="C140">
        <v>0.86279601107668902</v>
      </c>
      <c r="D140">
        <v>0.86883956674526497</v>
      </c>
      <c r="E140">
        <v>0.73528894209391904</v>
      </c>
      <c r="F140">
        <v>0.69454957644525805</v>
      </c>
      <c r="G140">
        <v>0.52198446379039198</v>
      </c>
      <c r="H140">
        <v>0.35697510028340401</v>
      </c>
      <c r="I140">
        <v>0.29745386576198801</v>
      </c>
      <c r="J140">
        <v>0.220933848553684</v>
      </c>
      <c r="K140">
        <v>0.147281058205393</v>
      </c>
      <c r="L140">
        <v>413.915090586551</v>
      </c>
      <c r="M140">
        <v>7.6926243177852296</v>
      </c>
      <c r="N140">
        <v>53.806747019487602</v>
      </c>
      <c r="O140">
        <v>50.532723480435699</v>
      </c>
      <c r="P140">
        <v>-3.8107443860205703E-2</v>
      </c>
      <c r="Q140">
        <v>0</v>
      </c>
      <c r="R140">
        <v>0.984363576526887</v>
      </c>
      <c r="S140" t="s">
        <v>6542</v>
      </c>
      <c r="T140" t="s">
        <v>12802</v>
      </c>
      <c r="U140" t="s">
        <v>12802</v>
      </c>
      <c r="V140" t="s">
        <v>12802</v>
      </c>
      <c r="W140" t="s">
        <v>12942</v>
      </c>
      <c r="X140">
        <v>1</v>
      </c>
      <c r="Y140" t="s">
        <v>19264</v>
      </c>
      <c r="Z140" t="s">
        <v>25458</v>
      </c>
      <c r="AA140">
        <v>0.57553713739023826</v>
      </c>
      <c r="AB140" t="str">
        <f>HYPERLINK("Melting_Curves/meltCurve_B4DE11_SLC35A2.pdf", "Melting_Curves/meltCurve_B4DE11_SLC35A2.pdf")</f>
        <v>Melting_Curves/meltCurve_B4DE11_SLC35A2.pdf</v>
      </c>
    </row>
    <row r="141" spans="1:28" x14ac:dyDescent="0.25">
      <c r="A141" t="s">
        <v>145</v>
      </c>
      <c r="B141">
        <v>0.99542014353169495</v>
      </c>
      <c r="C141">
        <v>0.98243311315458004</v>
      </c>
      <c r="D141">
        <v>0.90702575089834003</v>
      </c>
      <c r="E141">
        <v>0.36120092893182398</v>
      </c>
      <c r="F141">
        <v>0.25323327224093101</v>
      </c>
      <c r="G141">
        <v>0.13459898314236199</v>
      </c>
      <c r="H141">
        <v>9.3012145331080598E-2</v>
      </c>
      <c r="I141">
        <v>7.8875655129885203E-2</v>
      </c>
      <c r="J141">
        <v>7.9927746014299306E-2</v>
      </c>
      <c r="K141">
        <v>8.1198749492365996E-2</v>
      </c>
      <c r="L141">
        <v>1343.1764749423201</v>
      </c>
      <c r="M141">
        <v>29.487453464991901</v>
      </c>
      <c r="N141">
        <v>45.912778759402798</v>
      </c>
      <c r="O141">
        <v>45.342824895665302</v>
      </c>
      <c r="P141">
        <v>-0.145718275967191</v>
      </c>
      <c r="Q141">
        <v>0.103722925465886</v>
      </c>
      <c r="R141">
        <v>0.98952627461857501</v>
      </c>
      <c r="S141" t="s">
        <v>6543</v>
      </c>
      <c r="T141" t="s">
        <v>12802</v>
      </c>
      <c r="U141" t="s">
        <v>12802</v>
      </c>
      <c r="V141" t="s">
        <v>12802</v>
      </c>
      <c r="W141" t="s">
        <v>12943</v>
      </c>
      <c r="X141">
        <v>13</v>
      </c>
      <c r="Y141" t="s">
        <v>19265</v>
      </c>
      <c r="Z141" t="s">
        <v>25459</v>
      </c>
      <c r="AA141">
        <v>0.36444193786368217</v>
      </c>
      <c r="AB141" t="str">
        <f>HYPERLINK("Melting_Curves/meltCurve_B4DE16_CTNNBL1.pdf", "Melting_Curves/meltCurve_B4DE16_CTNNBL1.pdf")</f>
        <v>Melting_Curves/meltCurve_B4DE16_CTNNBL1.pdf</v>
      </c>
    </row>
    <row r="142" spans="1:28" x14ac:dyDescent="0.25">
      <c r="A142" t="s">
        <v>146</v>
      </c>
      <c r="B142">
        <v>0.99542014353169495</v>
      </c>
      <c r="C142">
        <v>1.0177090695481299</v>
      </c>
      <c r="D142">
        <v>1.01711189998473</v>
      </c>
      <c r="E142">
        <v>0.69120492533260502</v>
      </c>
      <c r="F142">
        <v>0.367681030383328</v>
      </c>
      <c r="G142">
        <v>0.186249000042748</v>
      </c>
      <c r="H142">
        <v>0.119206287867717</v>
      </c>
      <c r="I142">
        <v>7.1260344694844394E-2</v>
      </c>
      <c r="J142">
        <v>7.7915349551914995E-2</v>
      </c>
      <c r="K142">
        <v>4.5243430059679998E-2</v>
      </c>
      <c r="L142">
        <v>1062.2904946547201</v>
      </c>
      <c r="M142">
        <v>21.928085493409402</v>
      </c>
      <c r="N142">
        <v>48.783032186656001</v>
      </c>
      <c r="O142">
        <v>48.046801881331596</v>
      </c>
      <c r="P142">
        <v>-0.106042832282149</v>
      </c>
      <c r="Q142">
        <v>7.0616058193454997E-2</v>
      </c>
      <c r="R142">
        <v>0.99468577586228002</v>
      </c>
      <c r="S142" t="s">
        <v>6544</v>
      </c>
      <c r="T142" t="s">
        <v>12802</v>
      </c>
      <c r="U142" t="s">
        <v>12802</v>
      </c>
      <c r="V142" t="s">
        <v>12802</v>
      </c>
      <c r="W142" t="s">
        <v>12944</v>
      </c>
      <c r="X142">
        <v>1</v>
      </c>
      <c r="Y142" t="s">
        <v>19266</v>
      </c>
      <c r="Z142" t="s">
        <v>25460</v>
      </c>
      <c r="AA142">
        <v>0.43543227513488553</v>
      </c>
      <c r="AB142" t="str">
        <f>HYPERLINK("Melting_Curves/meltCurve_B4DE92_TBC1D25.pdf", "Melting_Curves/meltCurve_B4DE92_TBC1D25.pdf")</f>
        <v>Melting_Curves/meltCurve_B4DE92_TBC1D25.pdf</v>
      </c>
    </row>
    <row r="143" spans="1:28" x14ac:dyDescent="0.25">
      <c r="A143" t="s">
        <v>147</v>
      </c>
      <c r="B143">
        <v>0.99542014353169495</v>
      </c>
      <c r="C143">
        <v>0.90257517343488203</v>
      </c>
      <c r="D143">
        <v>0.87575336441407203</v>
      </c>
      <c r="E143">
        <v>0.68729748214776998</v>
      </c>
      <c r="F143">
        <v>0.41238779026142502</v>
      </c>
      <c r="G143">
        <v>0.22129453795367801</v>
      </c>
      <c r="H143">
        <v>0.20535698624600299</v>
      </c>
      <c r="I143">
        <v>0.144897784079141</v>
      </c>
      <c r="J143">
        <v>0.121030043268086</v>
      </c>
      <c r="K143">
        <v>4.8513885742689597E-2</v>
      </c>
      <c r="L143">
        <v>670.846018471668</v>
      </c>
      <c r="M143">
        <v>13.8417178376707</v>
      </c>
      <c r="N143">
        <v>49.013155002343296</v>
      </c>
      <c r="O143">
        <v>47.4875299477102</v>
      </c>
      <c r="P143">
        <v>-6.7658812588209702E-2</v>
      </c>
      <c r="Q143">
        <v>7.1645442105241305E-2</v>
      </c>
      <c r="R143">
        <v>0.99230872829579198</v>
      </c>
      <c r="S143" t="s">
        <v>6545</v>
      </c>
      <c r="T143" t="s">
        <v>12802</v>
      </c>
      <c r="U143" t="s">
        <v>12802</v>
      </c>
      <c r="V143" t="s">
        <v>12802</v>
      </c>
      <c r="W143" t="s">
        <v>12945</v>
      </c>
      <c r="X143">
        <v>1</v>
      </c>
      <c r="Y143" t="s">
        <v>19267</v>
      </c>
      <c r="Z143" t="s">
        <v>25461</v>
      </c>
      <c r="AA143">
        <v>0.44944031547402807</v>
      </c>
      <c r="AB143" t="str">
        <f>HYPERLINK("Melting_Curves/meltCurve_B4DEQ4_MKNK2.pdf", "Melting_Curves/meltCurve_B4DEQ4_MKNK2.pdf")</f>
        <v>Melting_Curves/meltCurve_B4DEQ4_MKNK2.pdf</v>
      </c>
    </row>
    <row r="144" spans="1:28" x14ac:dyDescent="0.25">
      <c r="A144" t="s">
        <v>148</v>
      </c>
      <c r="B144">
        <v>0.99542014353169495</v>
      </c>
      <c r="C144">
        <v>0.86434420440371595</v>
      </c>
      <c r="D144">
        <v>0.78731438572673995</v>
      </c>
      <c r="E144">
        <v>0.79524264366548303</v>
      </c>
      <c r="F144">
        <v>0.53779805517781498</v>
      </c>
      <c r="G144">
        <v>0.39485549411638998</v>
      </c>
      <c r="H144">
        <v>0.254696734925489</v>
      </c>
      <c r="I144">
        <v>0.13519294363930501</v>
      </c>
      <c r="J144">
        <v>0.13297300618836599</v>
      </c>
      <c r="K144">
        <v>6.3289866186166596E-2</v>
      </c>
      <c r="L144">
        <v>491.28728855396099</v>
      </c>
      <c r="M144">
        <v>9.6239860408217108</v>
      </c>
      <c r="N144">
        <v>51.048212582349699</v>
      </c>
      <c r="O144">
        <v>48.990202163558401</v>
      </c>
      <c r="P144">
        <v>-4.9139439538156103E-2</v>
      </c>
      <c r="Q144">
        <v>0</v>
      </c>
      <c r="R144">
        <v>0.98178211763212997</v>
      </c>
      <c r="S144" t="s">
        <v>6546</v>
      </c>
      <c r="T144" t="s">
        <v>12802</v>
      </c>
      <c r="U144" t="s">
        <v>12802</v>
      </c>
      <c r="V144" t="s">
        <v>12802</v>
      </c>
      <c r="W144" t="s">
        <v>12946</v>
      </c>
      <c r="X144">
        <v>4</v>
      </c>
      <c r="Y144" t="s">
        <v>19268</v>
      </c>
      <c r="Z144" t="s">
        <v>25462</v>
      </c>
      <c r="AA144">
        <v>0.49940511586925779</v>
      </c>
      <c r="AB144" t="str">
        <f>HYPERLINK("Melting_Curves/meltCurve_B4DEX5_PRNPIP.pdf", "Melting_Curves/meltCurve_B4DEX5_PRNPIP.pdf")</f>
        <v>Melting_Curves/meltCurve_B4DEX5_PRNPIP.pdf</v>
      </c>
    </row>
    <row r="145" spans="1:28" x14ac:dyDescent="0.25">
      <c r="A145" t="s">
        <v>149</v>
      </c>
      <c r="B145">
        <v>0.99542014353169495</v>
      </c>
      <c r="C145">
        <v>0.95574247054389605</v>
      </c>
      <c r="D145">
        <v>0.97470711424714096</v>
      </c>
      <c r="E145">
        <v>0.68948879688147202</v>
      </c>
      <c r="F145">
        <v>0.58870278840746004</v>
      </c>
      <c r="G145">
        <v>0.27815378039569999</v>
      </c>
      <c r="H145">
        <v>0.18535510393446999</v>
      </c>
      <c r="I145">
        <v>0.102266279492506</v>
      </c>
      <c r="J145">
        <v>8.2892744493548304E-2</v>
      </c>
      <c r="K145">
        <v>8.0456529093078696E-2</v>
      </c>
      <c r="L145">
        <v>710.13160594242902</v>
      </c>
      <c r="M145">
        <v>14.1317841339952</v>
      </c>
      <c r="N145">
        <v>50.550654852526897</v>
      </c>
      <c r="O145">
        <v>49.276540076073097</v>
      </c>
      <c r="P145">
        <v>-6.8821180341208404E-2</v>
      </c>
      <c r="Q145">
        <v>4.0223924924099597E-2</v>
      </c>
      <c r="R145">
        <v>0.98955949959154799</v>
      </c>
      <c r="S145" t="s">
        <v>6547</v>
      </c>
      <c r="T145" t="s">
        <v>12802</v>
      </c>
      <c r="U145" t="s">
        <v>12802</v>
      </c>
      <c r="V145" t="s">
        <v>12802</v>
      </c>
      <c r="W145" t="s">
        <v>12947</v>
      </c>
      <c r="X145">
        <v>3</v>
      </c>
      <c r="Y145" t="s">
        <v>19269</v>
      </c>
      <c r="Z145" t="s">
        <v>25463</v>
      </c>
      <c r="AA145">
        <v>0.4857410557625827</v>
      </c>
      <c r="AB145" t="str">
        <f>HYPERLINK("Melting_Curves/meltCurve_B4DEZ3_NDUFA13.pdf", "Melting_Curves/meltCurve_B4DEZ3_NDUFA13.pdf")</f>
        <v>Melting_Curves/meltCurve_B4DEZ3_NDUFA13.pdf</v>
      </c>
    </row>
    <row r="146" spans="1:28" x14ac:dyDescent="0.25">
      <c r="A146" t="s">
        <v>150</v>
      </c>
      <c r="B146">
        <v>0.99542014353169495</v>
      </c>
      <c r="C146">
        <v>0.81507627022655005</v>
      </c>
      <c r="D146">
        <v>0.76467067720815596</v>
      </c>
      <c r="E146">
        <v>0.35571139595643803</v>
      </c>
      <c r="F146">
        <v>0.180526307575955</v>
      </c>
      <c r="G146">
        <v>9.8587933808949105E-2</v>
      </c>
      <c r="H146">
        <v>7.3822810612256901E-2</v>
      </c>
      <c r="I146">
        <v>5.7565936563747998E-2</v>
      </c>
      <c r="J146">
        <v>6.9850796864151396E-2</v>
      </c>
      <c r="K146">
        <v>5.3075748573557797E-2</v>
      </c>
      <c r="L146">
        <v>772.00163256003998</v>
      </c>
      <c r="M146">
        <v>17.186392123155699</v>
      </c>
      <c r="N146">
        <v>45.198004759625199</v>
      </c>
      <c r="O146">
        <v>44.324432021659597</v>
      </c>
      <c r="P146">
        <v>-9.2067812916688696E-2</v>
      </c>
      <c r="Q146">
        <v>5.0269188290595901E-2</v>
      </c>
      <c r="R146">
        <v>0.98922862349566998</v>
      </c>
      <c r="S146" t="s">
        <v>6548</v>
      </c>
      <c r="T146" t="s">
        <v>12802</v>
      </c>
      <c r="U146" t="s">
        <v>12802</v>
      </c>
      <c r="V146" t="s">
        <v>12802</v>
      </c>
      <c r="W146" t="s">
        <v>12948</v>
      </c>
      <c r="X146">
        <v>3</v>
      </c>
      <c r="Y146" t="s">
        <v>19270</v>
      </c>
      <c r="Z146" t="s">
        <v>25464</v>
      </c>
      <c r="AA146">
        <v>0.31814369909974172</v>
      </c>
      <c r="AB146" t="str">
        <f>HYPERLINK("Melting_Curves/meltCurve_B4DF64_HAUS3.pdf", "Melting_Curves/meltCurve_B4DF64_HAUS3.pdf")</f>
        <v>Melting_Curves/meltCurve_B4DF64_HAUS3.pdf</v>
      </c>
    </row>
    <row r="147" spans="1:28" x14ac:dyDescent="0.25">
      <c r="A147" t="s">
        <v>151</v>
      </c>
      <c r="B147">
        <v>0.99542014353169495</v>
      </c>
      <c r="C147">
        <v>0.90387912640985701</v>
      </c>
      <c r="D147">
        <v>0.85857961291621998</v>
      </c>
      <c r="E147">
        <v>0.73809404389519495</v>
      </c>
      <c r="F147">
        <v>0.42861059164283399</v>
      </c>
      <c r="G147">
        <v>0.26055622060350903</v>
      </c>
      <c r="H147">
        <v>0.23822585421855899</v>
      </c>
      <c r="I147">
        <v>0.170463836690118</v>
      </c>
      <c r="J147">
        <v>0.19634546042818499</v>
      </c>
      <c r="K147">
        <v>0.245038999369139</v>
      </c>
      <c r="L147">
        <v>811.24188293960901</v>
      </c>
      <c r="M147">
        <v>16.9514645383864</v>
      </c>
      <c r="N147">
        <v>49.205588021443297</v>
      </c>
      <c r="O147">
        <v>47.205645078200803</v>
      </c>
      <c r="P147">
        <v>-7.3096161655250597E-2</v>
      </c>
      <c r="Q147">
        <v>0.18583221299594499</v>
      </c>
      <c r="R147">
        <v>0.98542161467522404</v>
      </c>
      <c r="S147" t="s">
        <v>6549</v>
      </c>
      <c r="T147" t="s">
        <v>12802</v>
      </c>
      <c r="U147" t="s">
        <v>12802</v>
      </c>
      <c r="V147" t="s">
        <v>12802</v>
      </c>
      <c r="W147" t="s">
        <v>12949</v>
      </c>
      <c r="X147">
        <v>1</v>
      </c>
      <c r="Y147" t="s">
        <v>19271</v>
      </c>
      <c r="Z147" t="s">
        <v>25465</v>
      </c>
      <c r="AA147">
        <v>0.49499588137559608</v>
      </c>
      <c r="AB147" t="str">
        <f>HYPERLINK("Melting_Curves/meltCurve_B4DFF2_SLC17A5.pdf", "Melting_Curves/meltCurve_B4DFF2_SLC17A5.pdf")</f>
        <v>Melting_Curves/meltCurve_B4DFF2_SLC17A5.pdf</v>
      </c>
    </row>
    <row r="148" spans="1:28" x14ac:dyDescent="0.25">
      <c r="A148" t="s">
        <v>152</v>
      </c>
      <c r="B148">
        <v>0.99542014353169495</v>
      </c>
      <c r="C148">
        <v>1.1378994530448501</v>
      </c>
      <c r="D148">
        <v>1.1582529295738899</v>
      </c>
      <c r="E148">
        <v>1.1531455505703501</v>
      </c>
      <c r="F148">
        <v>1.0040331157843601</v>
      </c>
      <c r="G148">
        <v>0.82551092950612104</v>
      </c>
      <c r="H148">
        <v>0.51539469783052005</v>
      </c>
      <c r="I148">
        <v>0.22339107726687901</v>
      </c>
      <c r="J148">
        <v>0.15642445583752701</v>
      </c>
      <c r="K148">
        <v>0.106060273496711</v>
      </c>
      <c r="L148">
        <v>1533.83109399521</v>
      </c>
      <c r="M148">
        <v>26.919929029655201</v>
      </c>
      <c r="N148">
        <v>57.453743335043796</v>
      </c>
      <c r="O148">
        <v>56.665897714807102</v>
      </c>
      <c r="P148">
        <v>-0.106891173884304</v>
      </c>
      <c r="Q148">
        <v>9.9994121217347895E-2</v>
      </c>
      <c r="R148">
        <v>0.95898001040904801</v>
      </c>
      <c r="S148" t="s">
        <v>6550</v>
      </c>
      <c r="T148" t="s">
        <v>12802</v>
      </c>
      <c r="U148" t="s">
        <v>12802</v>
      </c>
      <c r="V148" t="s">
        <v>12802</v>
      </c>
      <c r="W148" t="s">
        <v>12950</v>
      </c>
      <c r="X148">
        <v>2</v>
      </c>
      <c r="Y148" t="s">
        <v>19272</v>
      </c>
      <c r="Z148" t="s">
        <v>25466</v>
      </c>
      <c r="AA148">
        <v>0.70552911396940232</v>
      </c>
      <c r="AB148" t="str">
        <f>HYPERLINK("Melting_Curves/meltCurve_B4DFI9_HUS1.pdf", "Melting_Curves/meltCurve_B4DFI9_HUS1.pdf")</f>
        <v>Melting_Curves/meltCurve_B4DFI9_HUS1.pdf</v>
      </c>
    </row>
    <row r="149" spans="1:28" x14ac:dyDescent="0.25">
      <c r="A149" t="s">
        <v>153</v>
      </c>
      <c r="B149">
        <v>0.99542014353169495</v>
      </c>
      <c r="C149">
        <v>0.73844854110400804</v>
      </c>
      <c r="D149">
        <v>0.83945314158123396</v>
      </c>
      <c r="E149">
        <v>0.47484697893300998</v>
      </c>
      <c r="F149">
        <v>0.34492418204227698</v>
      </c>
      <c r="G149">
        <v>0.21272874172359199</v>
      </c>
      <c r="H149">
        <v>0.201892578737948</v>
      </c>
      <c r="I149">
        <v>0.105631188523366</v>
      </c>
      <c r="J149">
        <v>0.12767262548859101</v>
      </c>
      <c r="K149">
        <v>0</v>
      </c>
      <c r="L149">
        <v>471.04458842672102</v>
      </c>
      <c r="M149">
        <v>10.0298058667103</v>
      </c>
      <c r="N149">
        <v>47.123617500566198</v>
      </c>
      <c r="O149">
        <v>45.212068057756298</v>
      </c>
      <c r="P149">
        <v>-5.4562486727949298E-2</v>
      </c>
      <c r="Q149">
        <v>1.66521318510191E-2</v>
      </c>
      <c r="R149">
        <v>0.95921149311154896</v>
      </c>
      <c r="S149" t="s">
        <v>6551</v>
      </c>
      <c r="T149" t="s">
        <v>12802</v>
      </c>
      <c r="U149" t="s">
        <v>12802</v>
      </c>
      <c r="V149" t="s">
        <v>12802</v>
      </c>
      <c r="W149" t="s">
        <v>12951</v>
      </c>
      <c r="X149">
        <v>1</v>
      </c>
      <c r="Y149" t="s">
        <v>19273</v>
      </c>
      <c r="Z149" t="s">
        <v>25467</v>
      </c>
      <c r="AA149">
        <v>0.38563495245416901</v>
      </c>
      <c r="AB149" t="str">
        <f>HYPERLINK("Melting_Curves/meltCurve_B4DFQ4_COMMD1.pdf", "Melting_Curves/meltCurve_B4DFQ4_COMMD1.pdf")</f>
        <v>Melting_Curves/meltCurve_B4DFQ4_COMMD1.pdf</v>
      </c>
    </row>
    <row r="150" spans="1:28" x14ac:dyDescent="0.25">
      <c r="A150" t="s">
        <v>154</v>
      </c>
      <c r="B150">
        <v>0.99542014353169495</v>
      </c>
      <c r="C150">
        <v>1.01348360926438</v>
      </c>
      <c r="D150">
        <v>0.86012236362003802</v>
      </c>
      <c r="E150">
        <v>0.812358660977337</v>
      </c>
      <c r="F150">
        <v>0.76066909127828997</v>
      </c>
      <c r="G150">
        <v>0.88395335210280102</v>
      </c>
      <c r="H150">
        <v>0.72636651295688004</v>
      </c>
      <c r="I150">
        <v>0.60627586134370903</v>
      </c>
      <c r="J150">
        <v>0.74749855070531002</v>
      </c>
      <c r="K150">
        <v>0.81108993293390097</v>
      </c>
      <c r="L150">
        <v>908.98537991960802</v>
      </c>
      <c r="M150">
        <v>20.860360921751901</v>
      </c>
      <c r="O150">
        <v>43.180265737798997</v>
      </c>
      <c r="P150">
        <v>-2.9966551115968399E-2</v>
      </c>
      <c r="Q150">
        <v>0.75188778418699098</v>
      </c>
      <c r="R150">
        <v>0.67111183438095801</v>
      </c>
      <c r="S150" t="s">
        <v>6552</v>
      </c>
      <c r="T150" t="s">
        <v>12802</v>
      </c>
      <c r="U150" t="s">
        <v>12802</v>
      </c>
      <c r="V150" t="s">
        <v>12802</v>
      </c>
      <c r="W150" t="s">
        <v>12952</v>
      </c>
      <c r="X150">
        <v>3</v>
      </c>
      <c r="Y150" t="s">
        <v>19274</v>
      </c>
      <c r="Z150" t="s">
        <v>25468</v>
      </c>
      <c r="AA150">
        <v>0.80932894625034613</v>
      </c>
      <c r="AB150" t="str">
        <f>HYPERLINK("Melting_Curves/meltCurve_B4DFR2_DYNLRB1.pdf", "Melting_Curves/meltCurve_B4DFR2_DYNLRB1.pdf")</f>
        <v>Melting_Curves/meltCurve_B4DFR2_DYNLRB1.pdf</v>
      </c>
    </row>
    <row r="151" spans="1:28" x14ac:dyDescent="0.25">
      <c r="A151" t="s">
        <v>155</v>
      </c>
      <c r="B151">
        <v>0.99542014353169495</v>
      </c>
      <c r="C151">
        <v>0.91698222290502196</v>
      </c>
      <c r="D151">
        <v>0.79814004725745802</v>
      </c>
      <c r="E151">
        <v>0.37324498930681099</v>
      </c>
      <c r="F151">
        <v>0.19468429693953099</v>
      </c>
      <c r="G151">
        <v>0.109639493733033</v>
      </c>
      <c r="H151">
        <v>8.0428727157630497E-2</v>
      </c>
      <c r="I151">
        <v>5.9430438222071502E-2</v>
      </c>
      <c r="J151">
        <v>7.5402190508448305E-2</v>
      </c>
      <c r="K151">
        <v>8.5853837550415799E-2</v>
      </c>
      <c r="L151">
        <v>968.59934064374499</v>
      </c>
      <c r="M151">
        <v>21.4117275992019</v>
      </c>
      <c r="N151">
        <v>45.580713220666702</v>
      </c>
      <c r="O151">
        <v>44.847825267523703</v>
      </c>
      <c r="P151">
        <v>-0.110458986471326</v>
      </c>
      <c r="Q151">
        <v>7.4577830775504894E-2</v>
      </c>
      <c r="R151">
        <v>0.99748392346766801</v>
      </c>
      <c r="S151" t="s">
        <v>6553</v>
      </c>
      <c r="T151" t="s">
        <v>12802</v>
      </c>
      <c r="U151" t="s">
        <v>12802</v>
      </c>
      <c r="V151" t="s">
        <v>12802</v>
      </c>
      <c r="W151" t="s">
        <v>12953</v>
      </c>
      <c r="X151">
        <v>10</v>
      </c>
      <c r="Y151" t="s">
        <v>19275</v>
      </c>
      <c r="Z151" t="s">
        <v>25469</v>
      </c>
      <c r="AA151">
        <v>0.33918584438599519</v>
      </c>
      <c r="AB151" t="str">
        <f>HYPERLINK("Melting_Curves/meltCurve_B4DGM3_SMARCE1.pdf", "Melting_Curves/meltCurve_B4DGM3_SMARCE1.pdf")</f>
        <v>Melting_Curves/meltCurve_B4DGM3_SMARCE1.pdf</v>
      </c>
    </row>
    <row r="152" spans="1:28" x14ac:dyDescent="0.25">
      <c r="A152" t="s">
        <v>156</v>
      </c>
      <c r="B152">
        <v>0.99542014353169495</v>
      </c>
      <c r="C152">
        <v>0.94807823386977597</v>
      </c>
      <c r="D152">
        <v>0.88659979218256901</v>
      </c>
      <c r="E152">
        <v>0.80414674788618101</v>
      </c>
      <c r="F152">
        <v>0.492038616686578</v>
      </c>
      <c r="G152">
        <v>0.23712890701470801</v>
      </c>
      <c r="H152">
        <v>7.8998459603525403E-2</v>
      </c>
      <c r="I152">
        <v>5.1848902753547498E-2</v>
      </c>
      <c r="J152">
        <v>5.4478194848838597E-2</v>
      </c>
      <c r="K152">
        <v>5.0596780848236399E-2</v>
      </c>
      <c r="L152">
        <v>865.17022683302002</v>
      </c>
      <c r="M152">
        <v>17.336298027544299</v>
      </c>
      <c r="N152">
        <v>50.022541484267897</v>
      </c>
      <c r="O152">
        <v>49.255307538674302</v>
      </c>
      <c r="P152">
        <v>-8.6242666889356598E-2</v>
      </c>
      <c r="Q152">
        <v>1.9937003865836401E-2</v>
      </c>
      <c r="R152">
        <v>0.99527443403986204</v>
      </c>
      <c r="S152" t="s">
        <v>6554</v>
      </c>
      <c r="T152" t="s">
        <v>12802</v>
      </c>
      <c r="U152" t="s">
        <v>12802</v>
      </c>
      <c r="V152" t="s">
        <v>12802</v>
      </c>
      <c r="W152" t="s">
        <v>12954</v>
      </c>
      <c r="X152">
        <v>12</v>
      </c>
      <c r="Y152" t="s">
        <v>19276</v>
      </c>
      <c r="Z152" t="s">
        <v>25470</v>
      </c>
      <c r="AA152">
        <v>0.45797166441038301</v>
      </c>
      <c r="AB152" t="str">
        <f>HYPERLINK("Melting_Curves/meltCurve_B4DGX2_PIP4K2A.pdf", "Melting_Curves/meltCurve_B4DGX2_PIP4K2A.pdf")</f>
        <v>Melting_Curves/meltCurve_B4DGX2_PIP4K2A.pdf</v>
      </c>
    </row>
    <row r="153" spans="1:28" x14ac:dyDescent="0.25">
      <c r="A153" t="s">
        <v>157</v>
      </c>
      <c r="B153">
        <v>0.99542014353169495</v>
      </c>
      <c r="C153">
        <v>1.0423613000324099</v>
      </c>
      <c r="D153">
        <v>0.91951995487846605</v>
      </c>
      <c r="E153">
        <v>0.80035925912419803</v>
      </c>
      <c r="F153">
        <v>0.360421582831363</v>
      </c>
      <c r="G153">
        <v>0.103677604390347</v>
      </c>
      <c r="H153">
        <v>5.3071309091831498E-2</v>
      </c>
      <c r="I153">
        <v>3.7444727938131001E-2</v>
      </c>
      <c r="J153">
        <v>3.8306096356773199E-2</v>
      </c>
      <c r="K153">
        <v>3.8514570650095899E-2</v>
      </c>
      <c r="L153">
        <v>1267.5972498685601</v>
      </c>
      <c r="M153">
        <v>25.924796828613101</v>
      </c>
      <c r="N153">
        <v>49.021794196263997</v>
      </c>
      <c r="O153">
        <v>48.606999137073601</v>
      </c>
      <c r="P153">
        <v>-0.129021865575002</v>
      </c>
      <c r="Q153">
        <v>3.2386596136766803E-2</v>
      </c>
      <c r="R153">
        <v>0.99706187599838303</v>
      </c>
      <c r="S153" t="s">
        <v>6555</v>
      </c>
      <c r="T153" t="s">
        <v>12802</v>
      </c>
      <c r="U153" t="s">
        <v>12802</v>
      </c>
      <c r="V153" t="s">
        <v>12802</v>
      </c>
      <c r="W153" t="s">
        <v>12955</v>
      </c>
      <c r="X153">
        <v>14</v>
      </c>
      <c r="Y153" t="s">
        <v>19277</v>
      </c>
      <c r="Z153" t="s">
        <v>25471</v>
      </c>
      <c r="AA153">
        <v>0.4238282337983113</v>
      </c>
      <c r="AB153" t="str">
        <f>HYPERLINK("Melting_Curves/meltCurve_B4DH53_MAP1S.pdf", "Melting_Curves/meltCurve_B4DH53_MAP1S.pdf")</f>
        <v>Melting_Curves/meltCurve_B4DH53_MAP1S.pdf</v>
      </c>
    </row>
    <row r="154" spans="1:28" x14ac:dyDescent="0.25">
      <c r="A154" t="s">
        <v>158</v>
      </c>
      <c r="B154">
        <v>0.99542014353169495</v>
      </c>
      <c r="C154">
        <v>0.96881095534314698</v>
      </c>
      <c r="D154">
        <v>0.87796413460313805</v>
      </c>
      <c r="E154">
        <v>0.63004346310826098</v>
      </c>
      <c r="F154">
        <v>0.42204720116552502</v>
      </c>
      <c r="G154">
        <v>0.258514019172081</v>
      </c>
      <c r="H154">
        <v>0.13306652224597099</v>
      </c>
      <c r="I154">
        <v>8.2225219031397401E-2</v>
      </c>
      <c r="J154">
        <v>9.8284611263091001E-2</v>
      </c>
      <c r="K154">
        <v>8.1783780603192704E-2</v>
      </c>
      <c r="L154">
        <v>691.16467193190101</v>
      </c>
      <c r="M154">
        <v>14.280510408415401</v>
      </c>
      <c r="N154">
        <v>48.817736685195896</v>
      </c>
      <c r="O154">
        <v>47.479752767153997</v>
      </c>
      <c r="P154">
        <v>-7.0868492750379999E-2</v>
      </c>
      <c r="Q154">
        <v>5.7622901226231003E-2</v>
      </c>
      <c r="R154">
        <v>0.99814566720387798</v>
      </c>
      <c r="S154" t="s">
        <v>6556</v>
      </c>
      <c r="T154" t="s">
        <v>12802</v>
      </c>
      <c r="U154" t="s">
        <v>12802</v>
      </c>
      <c r="V154" t="s">
        <v>12802</v>
      </c>
      <c r="W154" t="s">
        <v>12956</v>
      </c>
      <c r="X154">
        <v>4</v>
      </c>
      <c r="Y154" t="s">
        <v>19278</v>
      </c>
      <c r="Z154" t="s">
        <v>25472</v>
      </c>
      <c r="AA154">
        <v>0.43796846797210959</v>
      </c>
      <c r="AB154" t="str">
        <f>HYPERLINK("Melting_Curves/meltCurve_B4DH70_FBXW11.pdf", "Melting_Curves/meltCurve_B4DH70_FBXW11.pdf")</f>
        <v>Melting_Curves/meltCurve_B4DH70_FBXW11.pdf</v>
      </c>
    </row>
    <row r="155" spans="1:28" x14ac:dyDescent="0.25">
      <c r="A155" t="s">
        <v>159</v>
      </c>
      <c r="B155">
        <v>0.99542014353169495</v>
      </c>
      <c r="C155">
        <v>0.87623314484220205</v>
      </c>
      <c r="D155">
        <v>0.75406322209942001</v>
      </c>
      <c r="E155">
        <v>0.64854827824315397</v>
      </c>
      <c r="F155">
        <v>0.65480856243710495</v>
      </c>
      <c r="G155">
        <v>0.51423695841128103</v>
      </c>
      <c r="H155">
        <v>0.34010847337917399</v>
      </c>
      <c r="I155">
        <v>0.30452276903794101</v>
      </c>
      <c r="J155">
        <v>0.36712610894524</v>
      </c>
      <c r="K155">
        <v>0.30835667348076801</v>
      </c>
      <c r="L155">
        <v>370.174001706593</v>
      </c>
      <c r="M155">
        <v>7.5140401379045496</v>
      </c>
      <c r="N155">
        <v>52.927051162838303</v>
      </c>
      <c r="O155">
        <v>46.137283391990501</v>
      </c>
      <c r="P155">
        <v>-3.2507355309854699E-2</v>
      </c>
      <c r="Q155">
        <v>0.202739121967974</v>
      </c>
      <c r="R155">
        <v>0.95744779262699198</v>
      </c>
      <c r="S155" t="s">
        <v>6557</v>
      </c>
      <c r="T155" t="s">
        <v>12802</v>
      </c>
      <c r="U155" t="s">
        <v>12802</v>
      </c>
      <c r="V155" t="s">
        <v>12802</v>
      </c>
      <c r="W155" t="s">
        <v>12957</v>
      </c>
      <c r="X155">
        <v>3</v>
      </c>
      <c r="Y155" t="s">
        <v>19279</v>
      </c>
      <c r="Z155" t="s">
        <v>25473</v>
      </c>
      <c r="AA155">
        <v>0.56635081419915001</v>
      </c>
      <c r="AB155" t="str">
        <f>HYPERLINK("Melting_Curves/meltCurve_B4DHW1_TMEM165.pdf", "Melting_Curves/meltCurve_B4DHW1_TMEM165.pdf")</f>
        <v>Melting_Curves/meltCurve_B4DHW1_TMEM165.pdf</v>
      </c>
    </row>
    <row r="156" spans="1:28" x14ac:dyDescent="0.25">
      <c r="A156" t="s">
        <v>160</v>
      </c>
      <c r="B156">
        <v>0.99542014353169495</v>
      </c>
      <c r="C156">
        <v>1.06764496754073</v>
      </c>
      <c r="D156">
        <v>0.89948263914832105</v>
      </c>
      <c r="E156">
        <v>0.80047771055677597</v>
      </c>
      <c r="F156">
        <v>0.68427220555531598</v>
      </c>
      <c r="G156">
        <v>0.65123691473922996</v>
      </c>
      <c r="H156">
        <v>0.55752837598731297</v>
      </c>
      <c r="I156">
        <v>0.56305686186057402</v>
      </c>
      <c r="J156">
        <v>0.96390141890210401</v>
      </c>
      <c r="K156">
        <v>1.44781839836435</v>
      </c>
      <c r="L156">
        <v>15000</v>
      </c>
      <c r="M156">
        <v>226.02743001632001</v>
      </c>
      <c r="O156">
        <v>66.358415761407201</v>
      </c>
      <c r="P156">
        <v>0.42576999149136202</v>
      </c>
      <c r="Q156">
        <v>1.5</v>
      </c>
      <c r="R156">
        <v>1.93066300543677E-2</v>
      </c>
      <c r="S156" t="s">
        <v>6558</v>
      </c>
      <c r="T156" t="s">
        <v>12802</v>
      </c>
      <c r="U156" t="s">
        <v>12802</v>
      </c>
      <c r="V156" t="s">
        <v>12802</v>
      </c>
      <c r="W156" t="s">
        <v>12958</v>
      </c>
      <c r="X156">
        <v>1</v>
      </c>
      <c r="Y156" t="s">
        <v>19280</v>
      </c>
      <c r="Z156" t="s">
        <v>25474</v>
      </c>
      <c r="AA156">
        <v>1.0110913349603901</v>
      </c>
      <c r="AB156" t="str">
        <f>HYPERLINK("Melting_Curves/meltCurve_B4DIG7_PIP5K1B.pdf", "Melting_Curves/meltCurve_B4DIG7_PIP5K1B.pdf")</f>
        <v>Melting_Curves/meltCurve_B4DIG7_PIP5K1B.pdf</v>
      </c>
    </row>
    <row r="157" spans="1:28" x14ac:dyDescent="0.25">
      <c r="A157" t="s">
        <v>161</v>
      </c>
      <c r="B157">
        <v>0.99542014353169495</v>
      </c>
      <c r="C157">
        <v>0.97673739835986595</v>
      </c>
      <c r="D157">
        <v>0.94195584469773597</v>
      </c>
      <c r="E157">
        <v>0.91640593610348398</v>
      </c>
      <c r="F157">
        <v>0.79725029564165895</v>
      </c>
      <c r="G157">
        <v>0.70462641660756198</v>
      </c>
      <c r="H157">
        <v>0.50848136252230003</v>
      </c>
      <c r="I157">
        <v>0.38694278414545602</v>
      </c>
      <c r="J157">
        <v>0.31312726269321101</v>
      </c>
      <c r="K157">
        <v>0.14784292096705201</v>
      </c>
      <c r="L157">
        <v>572.80078251242196</v>
      </c>
      <c r="M157">
        <v>9.9023063380449905</v>
      </c>
      <c r="N157">
        <v>57.845191658576297</v>
      </c>
      <c r="O157">
        <v>55.634335679256999</v>
      </c>
      <c r="P157">
        <v>-4.45197494255751E-2</v>
      </c>
      <c r="Q157">
        <v>0</v>
      </c>
      <c r="R157">
        <v>0.99186054064686802</v>
      </c>
      <c r="S157" t="s">
        <v>6559</v>
      </c>
      <c r="T157" t="s">
        <v>12802</v>
      </c>
      <c r="U157" t="s">
        <v>12802</v>
      </c>
      <c r="V157" t="s">
        <v>12802</v>
      </c>
      <c r="W157" t="s">
        <v>12959</v>
      </c>
      <c r="X157">
        <v>8</v>
      </c>
      <c r="Y157" t="s">
        <v>19281</v>
      </c>
      <c r="Z157" t="s">
        <v>25475</v>
      </c>
      <c r="AA157">
        <v>0.68707206444937408</v>
      </c>
      <c r="AB157" t="str">
        <f>HYPERLINK("Melting_Curves/meltCurve_B4DJA5_RAB5A.pdf", "Melting_Curves/meltCurve_B4DJA5_RAB5A.pdf")</f>
        <v>Melting_Curves/meltCurve_B4DJA5_RAB5A.pdf</v>
      </c>
    </row>
    <row r="158" spans="1:28" x14ac:dyDescent="0.25">
      <c r="A158" t="s">
        <v>162</v>
      </c>
      <c r="B158">
        <v>0.99542014353169495</v>
      </c>
      <c r="C158">
        <v>0.90919337374656195</v>
      </c>
      <c r="D158">
        <v>1.0345952794762201</v>
      </c>
      <c r="E158">
        <v>0.86802369418453995</v>
      </c>
      <c r="F158">
        <v>0.71924358080939099</v>
      </c>
      <c r="G158">
        <v>0.46289584297345598</v>
      </c>
      <c r="H158">
        <v>0.35535618622653198</v>
      </c>
      <c r="I158">
        <v>0.31753423299454198</v>
      </c>
      <c r="J158">
        <v>0.504298684964953</v>
      </c>
      <c r="K158">
        <v>0.48360308380552902</v>
      </c>
      <c r="L158">
        <v>1355.281132612</v>
      </c>
      <c r="M158">
        <v>27.1764279618458</v>
      </c>
      <c r="N158">
        <v>53.228322743824698</v>
      </c>
      <c r="O158">
        <v>49.602064635861701</v>
      </c>
      <c r="P158">
        <v>-8.0814746280635605E-2</v>
      </c>
      <c r="Q158">
        <v>0.40999774172310199</v>
      </c>
      <c r="R158">
        <v>0.93493368525616405</v>
      </c>
      <c r="S158" t="s">
        <v>6560</v>
      </c>
      <c r="T158" t="s">
        <v>12802</v>
      </c>
      <c r="U158" t="s">
        <v>12802</v>
      </c>
      <c r="V158" t="s">
        <v>12802</v>
      </c>
      <c r="W158" t="s">
        <v>12960</v>
      </c>
      <c r="X158">
        <v>5</v>
      </c>
      <c r="Y158" t="s">
        <v>19282</v>
      </c>
      <c r="Z158" t="s">
        <v>25476</v>
      </c>
      <c r="AA158">
        <v>0.66748932441710473</v>
      </c>
      <c r="AB158" t="str">
        <f>HYPERLINK("Melting_Curves/meltCurve_B4DJP7_SNRPD3.pdf", "Melting_Curves/meltCurve_B4DJP7_SNRPD3.pdf")</f>
        <v>Melting_Curves/meltCurve_B4DJP7_SNRPD3.pdf</v>
      </c>
    </row>
    <row r="159" spans="1:28" x14ac:dyDescent="0.25">
      <c r="A159" t="s">
        <v>163</v>
      </c>
      <c r="B159">
        <v>0.99542014353169495</v>
      </c>
      <c r="C159">
        <v>0.99554635483531995</v>
      </c>
      <c r="D159">
        <v>0.96143073904160503</v>
      </c>
      <c r="E159">
        <v>0.79959191197901203</v>
      </c>
      <c r="F159">
        <v>0.48483215791693401</v>
      </c>
      <c r="G159">
        <v>0.21611820073658999</v>
      </c>
      <c r="H159">
        <v>6.3724022030006003E-2</v>
      </c>
      <c r="I159">
        <v>4.45083660003813E-2</v>
      </c>
      <c r="J159">
        <v>4.6823800325300501E-2</v>
      </c>
      <c r="K159">
        <v>5.19429694669028E-2</v>
      </c>
      <c r="L159">
        <v>1009.34109803052</v>
      </c>
      <c r="M159">
        <v>20.257709784006501</v>
      </c>
      <c r="N159">
        <v>49.973331003161498</v>
      </c>
      <c r="O159">
        <v>49.3471194470321</v>
      </c>
      <c r="P159">
        <v>-9.9637841639228203E-2</v>
      </c>
      <c r="Q159">
        <v>2.9171802683438899E-2</v>
      </c>
      <c r="R159">
        <v>0.99913926875099901</v>
      </c>
      <c r="S159" t="s">
        <v>6561</v>
      </c>
      <c r="T159" t="s">
        <v>12802</v>
      </c>
      <c r="U159" t="s">
        <v>12802</v>
      </c>
      <c r="V159" t="s">
        <v>12802</v>
      </c>
      <c r="W159" t="s">
        <v>12961</v>
      </c>
      <c r="X159">
        <v>19</v>
      </c>
      <c r="Y159" t="s">
        <v>19283</v>
      </c>
      <c r="Z159" t="s">
        <v>25477</v>
      </c>
      <c r="AA159">
        <v>0.4567055306950708</v>
      </c>
      <c r="AB159" t="str">
        <f>HYPERLINK("Melting_Curves/meltCurve_B4DJV2_CS.pdf", "Melting_Curves/meltCurve_B4DJV2_CS.pdf")</f>
        <v>Melting_Curves/meltCurve_B4DJV2_CS.pdf</v>
      </c>
    </row>
    <row r="160" spans="1:28" x14ac:dyDescent="0.25">
      <c r="A160" t="s">
        <v>164</v>
      </c>
      <c r="B160">
        <v>0.99542014353169495</v>
      </c>
      <c r="C160">
        <v>0.98655559522537395</v>
      </c>
      <c r="D160">
        <v>1.04136933948119</v>
      </c>
      <c r="E160">
        <v>0.80159382356831699</v>
      </c>
      <c r="F160">
        <v>0.43494583494557898</v>
      </c>
      <c r="G160">
        <v>0.21991252400790501</v>
      </c>
      <c r="H160">
        <v>0.191530619675949</v>
      </c>
      <c r="I160">
        <v>0.120974482491852</v>
      </c>
      <c r="J160">
        <v>0.16735187833410001</v>
      </c>
      <c r="K160">
        <v>0.20756854205569999</v>
      </c>
      <c r="L160">
        <v>1362.3465508839399</v>
      </c>
      <c r="M160">
        <v>27.942905803209101</v>
      </c>
      <c r="N160">
        <v>49.478265195233</v>
      </c>
      <c r="O160">
        <v>48.506977668899601</v>
      </c>
      <c r="P160">
        <v>-0.11985947245383199</v>
      </c>
      <c r="Q160">
        <v>0.16773544235951099</v>
      </c>
      <c r="R160">
        <v>0.99385079506832696</v>
      </c>
      <c r="S160" t="s">
        <v>6562</v>
      </c>
      <c r="T160" t="s">
        <v>12802</v>
      </c>
      <c r="U160" t="s">
        <v>12802</v>
      </c>
      <c r="V160" t="s">
        <v>12802</v>
      </c>
      <c r="W160" t="s">
        <v>12962</v>
      </c>
      <c r="X160">
        <v>1</v>
      </c>
      <c r="Y160" t="s">
        <v>19284</v>
      </c>
      <c r="Z160" t="s">
        <v>25478</v>
      </c>
      <c r="AA160">
        <v>0.49959190362710959</v>
      </c>
      <c r="AB160" t="str">
        <f>HYPERLINK("Melting_Curves/meltCurve_B4DK44_NAPB.pdf", "Melting_Curves/meltCurve_B4DK44_NAPB.pdf")</f>
        <v>Melting_Curves/meltCurve_B4DK44_NAPB.pdf</v>
      </c>
    </row>
    <row r="161" spans="1:28" x14ac:dyDescent="0.25">
      <c r="A161" t="s">
        <v>165</v>
      </c>
      <c r="B161">
        <v>0.99542014353169495</v>
      </c>
      <c r="C161">
        <v>1.0977180759355001</v>
      </c>
      <c r="D161">
        <v>0.90928421263386505</v>
      </c>
      <c r="E161">
        <v>0.88050661513942996</v>
      </c>
      <c r="F161">
        <v>0.66885635305982905</v>
      </c>
      <c r="G161">
        <v>0.590238171250687</v>
      </c>
      <c r="H161">
        <v>0.40881410929253797</v>
      </c>
      <c r="I161">
        <v>0.34210699899531299</v>
      </c>
      <c r="J161">
        <v>0.49365391568978301</v>
      </c>
      <c r="K161">
        <v>0.60501210434387398</v>
      </c>
      <c r="L161">
        <v>1057.3766482554199</v>
      </c>
      <c r="M161">
        <v>21.525046399468799</v>
      </c>
      <c r="N161">
        <v>56.091271483148397</v>
      </c>
      <c r="O161">
        <v>48.704972215640602</v>
      </c>
      <c r="P161">
        <v>-5.9055163035347802E-2</v>
      </c>
      <c r="Q161">
        <v>0.46551353074499202</v>
      </c>
      <c r="R161">
        <v>0.89840111457354199</v>
      </c>
      <c r="S161" t="s">
        <v>6563</v>
      </c>
      <c r="T161" t="s">
        <v>12802</v>
      </c>
      <c r="U161" t="s">
        <v>12802</v>
      </c>
      <c r="V161" t="s">
        <v>12802</v>
      </c>
      <c r="W161" t="s">
        <v>12963</v>
      </c>
      <c r="X161">
        <v>3</v>
      </c>
      <c r="Y161" t="s">
        <v>19285</v>
      </c>
      <c r="Z161" t="s">
        <v>25479</v>
      </c>
      <c r="AA161">
        <v>0.68765294739393257</v>
      </c>
      <c r="AB161" t="str">
        <f>HYPERLINK("Melting_Curves/meltCurve_B4DKF9_ZNF286A.pdf", "Melting_Curves/meltCurve_B4DKF9_ZNF286A.pdf")</f>
        <v>Melting_Curves/meltCurve_B4DKF9_ZNF286A.pdf</v>
      </c>
    </row>
    <row r="162" spans="1:28" x14ac:dyDescent="0.25">
      <c r="A162" t="s">
        <v>166</v>
      </c>
      <c r="B162">
        <v>0.99542014353169495</v>
      </c>
      <c r="C162">
        <v>1.01973355801332</v>
      </c>
      <c r="D162">
        <v>0.994088338890596</v>
      </c>
      <c r="E162">
        <v>0.83476740261339399</v>
      </c>
      <c r="F162">
        <v>0.68377578747083101</v>
      </c>
      <c r="G162">
        <v>0.481262221811116</v>
      </c>
      <c r="H162">
        <v>0.36731451787664199</v>
      </c>
      <c r="I162">
        <v>0.30927231167231101</v>
      </c>
      <c r="J162">
        <v>0.43598625675596098</v>
      </c>
      <c r="K162">
        <v>0.48158556200160302</v>
      </c>
      <c r="L162">
        <v>1091.54275561485</v>
      </c>
      <c r="M162">
        <v>22.070276473692999</v>
      </c>
      <c r="N162">
        <v>53.158692509648603</v>
      </c>
      <c r="O162">
        <v>49.056923758099202</v>
      </c>
      <c r="P162">
        <v>-6.83348364680232E-2</v>
      </c>
      <c r="Q162">
        <v>0.39244567295953398</v>
      </c>
      <c r="R162">
        <v>0.96573317229427202</v>
      </c>
      <c r="S162" t="s">
        <v>6564</v>
      </c>
      <c r="T162" t="s">
        <v>12802</v>
      </c>
      <c r="U162" t="s">
        <v>12802</v>
      </c>
      <c r="V162" t="s">
        <v>12802</v>
      </c>
      <c r="W162" t="s">
        <v>12964</v>
      </c>
      <c r="X162">
        <v>17</v>
      </c>
      <c r="Y162" t="s">
        <v>19286</v>
      </c>
      <c r="Z162" t="s">
        <v>25480</v>
      </c>
      <c r="AA162">
        <v>0.65142268764237332</v>
      </c>
      <c r="AB162" t="str">
        <f>HYPERLINK("Melting_Curves/meltCurve_B4DKL4_LSR.pdf", "Melting_Curves/meltCurve_B4DKL4_LSR.pdf")</f>
        <v>Melting_Curves/meltCurve_B4DKL4_LSR.pdf</v>
      </c>
    </row>
    <row r="163" spans="1:28" x14ac:dyDescent="0.25">
      <c r="A163" t="s">
        <v>167</v>
      </c>
      <c r="B163">
        <v>0.99542014353169495</v>
      </c>
      <c r="C163">
        <v>0.91693868767631703</v>
      </c>
      <c r="D163">
        <v>0.85853883390071095</v>
      </c>
      <c r="E163">
        <v>0.78409573989210901</v>
      </c>
      <c r="F163">
        <v>0.45992354912695299</v>
      </c>
      <c r="G163">
        <v>0.26080639604010802</v>
      </c>
      <c r="H163">
        <v>0.106229539565061</v>
      </c>
      <c r="I163">
        <v>4.9463624798161E-2</v>
      </c>
      <c r="J163">
        <v>4.7720087131715098E-2</v>
      </c>
      <c r="K163">
        <v>5.8172875681920901E-2</v>
      </c>
      <c r="L163">
        <v>727.22382989937296</v>
      </c>
      <c r="M163">
        <v>14.614124703794801</v>
      </c>
      <c r="N163">
        <v>49.804713211631999</v>
      </c>
      <c r="O163">
        <v>48.857807962724998</v>
      </c>
      <c r="P163">
        <v>-7.43185182832478E-2</v>
      </c>
      <c r="Q163">
        <v>6.2672302532998997E-3</v>
      </c>
      <c r="R163">
        <v>0.99250642263707201</v>
      </c>
      <c r="S163" t="s">
        <v>6565</v>
      </c>
      <c r="T163" t="s">
        <v>12802</v>
      </c>
      <c r="U163" t="s">
        <v>12802</v>
      </c>
      <c r="V163" t="s">
        <v>12802</v>
      </c>
      <c r="W163" t="s">
        <v>12965</v>
      </c>
      <c r="X163">
        <v>5</v>
      </c>
      <c r="Y163" t="s">
        <v>19287</v>
      </c>
      <c r="Z163" t="s">
        <v>25481</v>
      </c>
      <c r="AA163">
        <v>0.45073244601555568</v>
      </c>
      <c r="AB163" t="str">
        <f>HYPERLINK("Melting_Curves/meltCurve_B4DL54_CHURC1_FNTB.pdf", "Melting_Curves/meltCurve_B4DL54_CHURC1_FNTB.pdf")</f>
        <v>Melting_Curves/meltCurve_B4DL54_CHURC1_FNTB.pdf</v>
      </c>
    </row>
    <row r="164" spans="1:28" x14ac:dyDescent="0.25">
      <c r="A164" t="s">
        <v>168</v>
      </c>
      <c r="B164">
        <v>0.99542014353169495</v>
      </c>
      <c r="C164">
        <v>1.0018864146084601</v>
      </c>
      <c r="D164">
        <v>0.89790968114049696</v>
      </c>
      <c r="E164">
        <v>0.53254159641882803</v>
      </c>
      <c r="F164">
        <v>0.28887243126842199</v>
      </c>
      <c r="G164">
        <v>0.180893154931657</v>
      </c>
      <c r="H164">
        <v>0.11816879781591599</v>
      </c>
      <c r="I164">
        <v>6.9061361662657597E-2</v>
      </c>
      <c r="J164">
        <v>6.3175085544761395E-2</v>
      </c>
      <c r="K164">
        <v>5.8498543729803898E-2</v>
      </c>
      <c r="L164">
        <v>910.06297103369798</v>
      </c>
      <c r="M164">
        <v>19.383655615312499</v>
      </c>
      <c r="N164">
        <v>47.335925335915597</v>
      </c>
      <c r="O164">
        <v>46.458876557319101</v>
      </c>
      <c r="P164">
        <v>-9.6685741957396099E-2</v>
      </c>
      <c r="Q164">
        <v>7.3085991333785696E-2</v>
      </c>
      <c r="R164">
        <v>0.99599899739204001</v>
      </c>
      <c r="S164" t="s">
        <v>6566</v>
      </c>
      <c r="T164" t="s">
        <v>12802</v>
      </c>
      <c r="U164" t="s">
        <v>12802</v>
      </c>
      <c r="V164" t="s">
        <v>12802</v>
      </c>
      <c r="W164" t="s">
        <v>12966</v>
      </c>
      <c r="X164">
        <v>5</v>
      </c>
      <c r="Y164" t="s">
        <v>19288</v>
      </c>
      <c r="Z164" t="s">
        <v>25482</v>
      </c>
      <c r="AA164">
        <v>0.39341190868014331</v>
      </c>
      <c r="AB164" t="str">
        <f>HYPERLINK("Melting_Curves/meltCurve_B4DL79_KIF20A.pdf", "Melting_Curves/meltCurve_B4DL79_KIF20A.pdf")</f>
        <v>Melting_Curves/meltCurve_B4DL79_KIF20A.pdf</v>
      </c>
    </row>
    <row r="165" spans="1:28" x14ac:dyDescent="0.25">
      <c r="A165" t="s">
        <v>169</v>
      </c>
      <c r="B165">
        <v>0.99542014353169495</v>
      </c>
      <c r="C165">
        <v>0.99883922370603195</v>
      </c>
      <c r="D165">
        <v>0.98626844871195096</v>
      </c>
      <c r="E165">
        <v>0.793156135446623</v>
      </c>
      <c r="F165">
        <v>0.78007020350096901</v>
      </c>
      <c r="G165">
        <v>0.49482859891859299</v>
      </c>
      <c r="H165">
        <v>0.44087152373918198</v>
      </c>
      <c r="I165">
        <v>0.40939490643127202</v>
      </c>
      <c r="J165">
        <v>0.63882071776989902</v>
      </c>
      <c r="K165">
        <v>0.68473875662168504</v>
      </c>
      <c r="L165">
        <v>1076.9325251047001</v>
      </c>
      <c r="M165">
        <v>22.3248563490619</v>
      </c>
      <c r="O165">
        <v>47.857116575182502</v>
      </c>
      <c r="P165">
        <v>-5.4219287903124601E-2</v>
      </c>
      <c r="Q165">
        <v>0.53509682945140602</v>
      </c>
      <c r="R165">
        <v>0.82138905655989902</v>
      </c>
      <c r="S165" t="s">
        <v>6567</v>
      </c>
      <c r="T165" t="s">
        <v>12802</v>
      </c>
      <c r="U165" t="s">
        <v>12802</v>
      </c>
      <c r="V165" t="s">
        <v>12802</v>
      </c>
      <c r="W165" t="s">
        <v>12967</v>
      </c>
      <c r="X165">
        <v>3</v>
      </c>
      <c r="Y165" t="s">
        <v>19289</v>
      </c>
      <c r="Z165" t="s">
        <v>25483</v>
      </c>
      <c r="AA165">
        <v>0.71422579566293876</v>
      </c>
      <c r="AB165" t="str">
        <f>HYPERLINK("Melting_Curves/meltCurve_B4DLH2_C2orf18.pdf", "Melting_Curves/meltCurve_B4DLH2_C2orf18.pdf")</f>
        <v>Melting_Curves/meltCurve_B4DLH2_C2orf18.pdf</v>
      </c>
    </row>
    <row r="166" spans="1:28" x14ac:dyDescent="0.25">
      <c r="A166" t="s">
        <v>170</v>
      </c>
      <c r="B166">
        <v>0.99542014353169495</v>
      </c>
      <c r="C166">
        <v>0.94482003460966701</v>
      </c>
      <c r="D166">
        <v>0.87249242544144701</v>
      </c>
      <c r="E166">
        <v>0.76685153125292205</v>
      </c>
      <c r="F166">
        <v>0.62841899425263303</v>
      </c>
      <c r="G166">
        <v>0.43361565760764997</v>
      </c>
      <c r="H166">
        <v>0.32432254886481898</v>
      </c>
      <c r="I166">
        <v>0.29788948529864701</v>
      </c>
      <c r="J166">
        <v>0.51419296809968296</v>
      </c>
      <c r="K166">
        <v>0.64535528169007705</v>
      </c>
      <c r="L166">
        <v>888.98453105321505</v>
      </c>
      <c r="M166">
        <v>18.892840523171699</v>
      </c>
      <c r="N166">
        <v>52.923400579193498</v>
      </c>
      <c r="O166">
        <v>46.536369591526203</v>
      </c>
      <c r="P166">
        <v>-5.6993642982837801E-2</v>
      </c>
      <c r="Q166">
        <v>0.43848154523389499</v>
      </c>
      <c r="R166">
        <v>0.82866806433082196</v>
      </c>
      <c r="S166" t="s">
        <v>6568</v>
      </c>
      <c r="T166" t="s">
        <v>12802</v>
      </c>
      <c r="U166" t="s">
        <v>12802</v>
      </c>
      <c r="V166" t="s">
        <v>12802</v>
      </c>
      <c r="W166" t="s">
        <v>12968</v>
      </c>
      <c r="X166">
        <v>19</v>
      </c>
      <c r="Y166" t="s">
        <v>19290</v>
      </c>
      <c r="Z166" t="s">
        <v>25484</v>
      </c>
      <c r="AA166">
        <v>0.63487848515973677</v>
      </c>
      <c r="AB166" t="str">
        <f>HYPERLINK("Melting_Curves/meltCurve_B4DLN1_SLC25A10.pdf", "Melting_Curves/meltCurve_B4DLN1_SLC25A10.pdf")</f>
        <v>Melting_Curves/meltCurve_B4DLN1_SLC25A10.pdf</v>
      </c>
    </row>
    <row r="167" spans="1:28" x14ac:dyDescent="0.25">
      <c r="A167" t="s">
        <v>171</v>
      </c>
      <c r="B167">
        <v>0.99542014353169495</v>
      </c>
      <c r="C167">
        <v>0.95313353976029103</v>
      </c>
      <c r="D167">
        <v>1.02535476464068</v>
      </c>
      <c r="E167">
        <v>0.94275027110405896</v>
      </c>
      <c r="F167">
        <v>0.53670116448667804</v>
      </c>
      <c r="G167">
        <v>0.21542283719844399</v>
      </c>
      <c r="H167">
        <v>9.53101182276333E-2</v>
      </c>
      <c r="I167">
        <v>7.1704046956453105E-2</v>
      </c>
      <c r="J167">
        <v>7.7712988772967798E-2</v>
      </c>
      <c r="K167">
        <v>6.9061144531275195E-2</v>
      </c>
      <c r="L167">
        <v>1496.27445420809</v>
      </c>
      <c r="M167">
        <v>29.7336607558499</v>
      </c>
      <c r="N167">
        <v>50.596448362454602</v>
      </c>
      <c r="O167">
        <v>50.096599794064097</v>
      </c>
      <c r="P167">
        <v>-0.13735331580602</v>
      </c>
      <c r="Q167">
        <v>7.4330252646848005E-2</v>
      </c>
      <c r="R167">
        <v>0.99735527051383399</v>
      </c>
      <c r="S167" t="s">
        <v>6569</v>
      </c>
      <c r="T167" t="s">
        <v>12802</v>
      </c>
      <c r="U167" t="s">
        <v>12802</v>
      </c>
      <c r="V167" t="s">
        <v>12802</v>
      </c>
      <c r="W167" t="s">
        <v>12969</v>
      </c>
      <c r="X167">
        <v>8</v>
      </c>
      <c r="Y167" t="s">
        <v>19291</v>
      </c>
      <c r="Z167" t="s">
        <v>25485</v>
      </c>
      <c r="AA167">
        <v>0.49121710968695731</v>
      </c>
      <c r="AB167" t="str">
        <f>HYPERLINK("Melting_Curves/meltCurve_B4DLR8_NQO1.pdf", "Melting_Curves/meltCurve_B4DLR8_NQO1.pdf")</f>
        <v>Melting_Curves/meltCurve_B4DLR8_NQO1.pdf</v>
      </c>
    </row>
    <row r="168" spans="1:28" x14ac:dyDescent="0.25">
      <c r="A168" t="s">
        <v>172</v>
      </c>
      <c r="B168">
        <v>0.99542014353169495</v>
      </c>
      <c r="C168">
        <v>1.01200488351528</v>
      </c>
      <c r="D168">
        <v>0.96029958805333504</v>
      </c>
      <c r="E168">
        <v>0.82111120584395603</v>
      </c>
      <c r="F168">
        <v>0.45395061030432898</v>
      </c>
      <c r="G168">
        <v>0.194453106380404</v>
      </c>
      <c r="H168">
        <v>0.116540336510285</v>
      </c>
      <c r="I168">
        <v>8.3119844250695005E-2</v>
      </c>
      <c r="J168">
        <v>9.0482106086494596E-2</v>
      </c>
      <c r="K168">
        <v>9.3723136216550706E-2</v>
      </c>
      <c r="L168">
        <v>1171.0451987506599</v>
      </c>
      <c r="M168">
        <v>23.724276033102399</v>
      </c>
      <c r="N168">
        <v>49.7452923685792</v>
      </c>
      <c r="O168">
        <v>49.013922148206703</v>
      </c>
      <c r="P168">
        <v>-0.11086881125754899</v>
      </c>
      <c r="Q168">
        <v>8.3803192693634093E-2</v>
      </c>
      <c r="R168">
        <v>0.99960415503287803</v>
      </c>
      <c r="S168" t="s">
        <v>6570</v>
      </c>
      <c r="T168" t="s">
        <v>12802</v>
      </c>
      <c r="U168" t="s">
        <v>12802</v>
      </c>
      <c r="V168" t="s">
        <v>12802</v>
      </c>
      <c r="W168" t="s">
        <v>12970</v>
      </c>
      <c r="X168">
        <v>6</v>
      </c>
      <c r="Y168" t="s">
        <v>19292</v>
      </c>
      <c r="Z168" t="s">
        <v>25486</v>
      </c>
      <c r="AA168">
        <v>0.4700901667708966</v>
      </c>
      <c r="AB168" t="str">
        <f>HYPERLINK("Melting_Curves/meltCurve_B4DLT4_RPS6KB1.pdf", "Melting_Curves/meltCurve_B4DLT4_RPS6KB1.pdf")</f>
        <v>Melting_Curves/meltCurve_B4DLT4_RPS6KB1.pdf</v>
      </c>
    </row>
    <row r="169" spans="1:28" x14ac:dyDescent="0.25">
      <c r="A169" t="s">
        <v>173</v>
      </c>
      <c r="B169">
        <v>0.99542014353169495</v>
      </c>
      <c r="C169">
        <v>1.0017837619475201</v>
      </c>
      <c r="D169">
        <v>0.98555225614688802</v>
      </c>
      <c r="E169">
        <v>0.891295281475325</v>
      </c>
      <c r="F169">
        <v>0.61895015012973698</v>
      </c>
      <c r="G169">
        <v>0.29084452938496003</v>
      </c>
      <c r="H169">
        <v>0.15237969501026499</v>
      </c>
      <c r="I169">
        <v>9.2987038235973998E-2</v>
      </c>
      <c r="J169">
        <v>0.116226971302429</v>
      </c>
      <c r="K169">
        <v>0.122583458234228</v>
      </c>
      <c r="L169">
        <v>1193.38994650461</v>
      </c>
      <c r="M169">
        <v>23.4982174350944</v>
      </c>
      <c r="N169">
        <v>51.277845065966901</v>
      </c>
      <c r="O169">
        <v>50.4228866140501</v>
      </c>
      <c r="P169">
        <v>-0.104761010308866</v>
      </c>
      <c r="Q169">
        <v>0.100823573952773</v>
      </c>
      <c r="R169">
        <v>0.99914369359048505</v>
      </c>
      <c r="S169" t="s">
        <v>6571</v>
      </c>
      <c r="T169" t="s">
        <v>12802</v>
      </c>
      <c r="U169" t="s">
        <v>12802</v>
      </c>
      <c r="V169" t="s">
        <v>12802</v>
      </c>
      <c r="W169" t="s">
        <v>12971</v>
      </c>
      <c r="X169">
        <v>7</v>
      </c>
      <c r="Y169" t="s">
        <v>19293</v>
      </c>
      <c r="Z169" t="s">
        <v>25487</v>
      </c>
      <c r="AA169">
        <v>0.52291890723327883</v>
      </c>
      <c r="AB169" t="str">
        <f>HYPERLINK("Melting_Curves/meltCurve_B4DLZ9_RNF220.pdf", "Melting_Curves/meltCurve_B4DLZ9_RNF220.pdf")</f>
        <v>Melting_Curves/meltCurve_B4DLZ9_RNF220.pdf</v>
      </c>
    </row>
    <row r="170" spans="1:28" x14ac:dyDescent="0.25">
      <c r="A170" t="s">
        <v>174</v>
      </c>
      <c r="B170">
        <v>0.99542014353169495</v>
      </c>
      <c r="C170">
        <v>0.90944246511718296</v>
      </c>
      <c r="D170">
        <v>0.88288118511046199</v>
      </c>
      <c r="E170">
        <v>0.88191738732010605</v>
      </c>
      <c r="F170">
        <v>0.75382135203756895</v>
      </c>
      <c r="G170">
        <v>0.62595739868165801</v>
      </c>
      <c r="H170">
        <v>0.55009984575099202</v>
      </c>
      <c r="I170">
        <v>0.48246436422052802</v>
      </c>
      <c r="J170">
        <v>0.60043341535245598</v>
      </c>
      <c r="K170">
        <v>0.56064223950874104</v>
      </c>
      <c r="L170">
        <v>570.81039819694104</v>
      </c>
      <c r="M170">
        <v>11.6006445831501</v>
      </c>
      <c r="O170">
        <v>47.811080752225003</v>
      </c>
      <c r="P170">
        <v>-2.9815947115903699E-2</v>
      </c>
      <c r="Q170">
        <v>0.50859936841827302</v>
      </c>
      <c r="R170">
        <v>0.93276230426044804</v>
      </c>
      <c r="S170" t="s">
        <v>6572</v>
      </c>
      <c r="T170" t="s">
        <v>12802</v>
      </c>
      <c r="U170" t="s">
        <v>12802</v>
      </c>
      <c r="V170" t="s">
        <v>12802</v>
      </c>
      <c r="W170" t="s">
        <v>12972</v>
      </c>
      <c r="X170">
        <v>3</v>
      </c>
      <c r="Y170" t="s">
        <v>19294</v>
      </c>
      <c r="Z170" t="s">
        <v>25488</v>
      </c>
      <c r="AA170">
        <v>0.72359199763957105</v>
      </c>
      <c r="AB170" t="str">
        <f>HYPERLINK("Melting_Curves/meltCurve_B4DMX0_KDSR.pdf", "Melting_Curves/meltCurve_B4DMX0_KDSR.pdf")</f>
        <v>Melting_Curves/meltCurve_B4DMX0_KDSR.pdf</v>
      </c>
    </row>
    <row r="171" spans="1:28" x14ac:dyDescent="0.25">
      <c r="A171" t="s">
        <v>175</v>
      </c>
      <c r="B171">
        <v>0.99542014353169495</v>
      </c>
      <c r="C171">
        <v>0.99495530479995198</v>
      </c>
      <c r="D171">
        <v>1.0463434307241399</v>
      </c>
      <c r="E171">
        <v>0.63856661092839095</v>
      </c>
      <c r="F171">
        <v>0.24479313521191201</v>
      </c>
      <c r="G171">
        <v>7.4880376160541398E-2</v>
      </c>
      <c r="H171">
        <v>4.1641812771074302E-2</v>
      </c>
      <c r="I171">
        <v>2.2951642799544199E-2</v>
      </c>
      <c r="J171">
        <v>2.34322162811983E-2</v>
      </c>
      <c r="K171">
        <v>1.8444005253739602E-2</v>
      </c>
      <c r="L171">
        <v>1345.1679434908001</v>
      </c>
      <c r="M171">
        <v>28.188294690831398</v>
      </c>
      <c r="N171">
        <v>47.819807407253201</v>
      </c>
      <c r="O171">
        <v>47.482563540721799</v>
      </c>
      <c r="P171">
        <v>-0.144208377776369</v>
      </c>
      <c r="Q171">
        <v>2.83447220353658E-2</v>
      </c>
      <c r="R171">
        <v>0.99474543442193097</v>
      </c>
      <c r="S171" t="s">
        <v>6573</v>
      </c>
      <c r="T171" t="s">
        <v>12802</v>
      </c>
      <c r="U171" t="s">
        <v>12802</v>
      </c>
      <c r="V171" t="s">
        <v>12802</v>
      </c>
      <c r="W171" t="s">
        <v>12973</v>
      </c>
      <c r="X171">
        <v>4</v>
      </c>
      <c r="Y171" t="s">
        <v>19295</v>
      </c>
      <c r="Z171" t="s">
        <v>25489</v>
      </c>
      <c r="AA171">
        <v>0.3820634214633582</v>
      </c>
      <c r="AB171" t="str">
        <f>HYPERLINK("Melting_Curves/meltCurve_B4DN34_MRPL48.pdf", "Melting_Curves/meltCurve_B4DN34_MRPL48.pdf")</f>
        <v>Melting_Curves/meltCurve_B4DN34_MRPL48.pdf</v>
      </c>
    </row>
    <row r="172" spans="1:28" x14ac:dyDescent="0.25">
      <c r="A172" t="s">
        <v>176</v>
      </c>
      <c r="B172">
        <v>0.99542014353169495</v>
      </c>
      <c r="C172">
        <v>0.87695295401001305</v>
      </c>
      <c r="D172">
        <v>0.83151920569789395</v>
      </c>
      <c r="E172">
        <v>0.57807149182131501</v>
      </c>
      <c r="F172">
        <v>0.38726945566764398</v>
      </c>
      <c r="G172">
        <v>0.29138534956066697</v>
      </c>
      <c r="H172">
        <v>0.20835339811120801</v>
      </c>
      <c r="I172">
        <v>0.12995460625000799</v>
      </c>
      <c r="J172">
        <v>0.19486509050693801</v>
      </c>
      <c r="K172">
        <v>0.26883234531871802</v>
      </c>
      <c r="L172">
        <v>681.66012864723496</v>
      </c>
      <c r="M172">
        <v>14.684901826678599</v>
      </c>
      <c r="N172">
        <v>47.890488807618198</v>
      </c>
      <c r="O172">
        <v>45.583801310930298</v>
      </c>
      <c r="P172">
        <v>-6.5922745157167603E-2</v>
      </c>
      <c r="Q172">
        <v>0.18155963975858</v>
      </c>
      <c r="R172">
        <v>0.98234741144051196</v>
      </c>
      <c r="S172" t="s">
        <v>6574</v>
      </c>
      <c r="T172" t="s">
        <v>12802</v>
      </c>
      <c r="U172" t="s">
        <v>12802</v>
      </c>
      <c r="V172" t="s">
        <v>12802</v>
      </c>
      <c r="W172" t="s">
        <v>12974</v>
      </c>
      <c r="X172">
        <v>3</v>
      </c>
      <c r="Y172" t="s">
        <v>19296</v>
      </c>
      <c r="Z172" t="s">
        <v>25490</v>
      </c>
      <c r="AA172">
        <v>0.45794615859734528</v>
      </c>
      <c r="AB172" t="str">
        <f>HYPERLINK("Melting_Curves/meltCurve_B4DN73_DNAJB6.pdf", "Melting_Curves/meltCurve_B4DN73_DNAJB6.pdf")</f>
        <v>Melting_Curves/meltCurve_B4DN73_DNAJB6.pdf</v>
      </c>
    </row>
    <row r="173" spans="1:28" x14ac:dyDescent="0.25">
      <c r="A173" t="s">
        <v>177</v>
      </c>
      <c r="B173">
        <v>0.99542014353169495</v>
      </c>
      <c r="C173">
        <v>0.86389985935122005</v>
      </c>
      <c r="D173">
        <v>0.61260771414355497</v>
      </c>
      <c r="E173">
        <v>0.32306590542785701</v>
      </c>
      <c r="F173">
        <v>0.16362420430815899</v>
      </c>
      <c r="G173">
        <v>0.12240017206813</v>
      </c>
      <c r="H173">
        <v>7.9024508303519106E-2</v>
      </c>
      <c r="I173">
        <v>5.1440613209314402E-2</v>
      </c>
      <c r="J173">
        <v>5.5764526683755998E-2</v>
      </c>
      <c r="K173">
        <v>8.57812680424241E-2</v>
      </c>
      <c r="L173">
        <v>765.41552678355299</v>
      </c>
      <c r="M173">
        <v>17.411816674213298</v>
      </c>
      <c r="N173">
        <v>44.318511059546204</v>
      </c>
      <c r="O173">
        <v>43.391987707964198</v>
      </c>
      <c r="P173">
        <v>-9.3724565113159894E-2</v>
      </c>
      <c r="Q173">
        <v>6.5768601307075403E-2</v>
      </c>
      <c r="R173">
        <v>0.99797617536292504</v>
      </c>
      <c r="S173" t="s">
        <v>6575</v>
      </c>
      <c r="T173" t="s">
        <v>12802</v>
      </c>
      <c r="U173" t="s">
        <v>12802</v>
      </c>
      <c r="V173" t="s">
        <v>12802</v>
      </c>
      <c r="W173" t="s">
        <v>12975</v>
      </c>
      <c r="X173">
        <v>2</v>
      </c>
      <c r="Y173" t="s">
        <v>19297</v>
      </c>
      <c r="Z173" t="s">
        <v>25491</v>
      </c>
      <c r="AA173">
        <v>0.29943439758394202</v>
      </c>
      <c r="AB173" t="str">
        <f>HYPERLINK("Melting_Curves/meltCurve_B4DNX9_ZNF460.pdf", "Melting_Curves/meltCurve_B4DNX9_ZNF460.pdf")</f>
        <v>Melting_Curves/meltCurve_B4DNX9_ZNF460.pdf</v>
      </c>
    </row>
    <row r="174" spans="1:28" x14ac:dyDescent="0.25">
      <c r="A174" t="s">
        <v>178</v>
      </c>
      <c r="B174">
        <v>0.99542014353169495</v>
      </c>
      <c r="C174">
        <v>1.0034746552817699</v>
      </c>
      <c r="D174">
        <v>0.86868851457945695</v>
      </c>
      <c r="E174">
        <v>0.69946043229509303</v>
      </c>
      <c r="F174">
        <v>0.19715959647769499</v>
      </c>
      <c r="G174">
        <v>9.9876070703087294E-2</v>
      </c>
      <c r="H174">
        <v>5.2088649274807601E-2</v>
      </c>
      <c r="I174">
        <v>3.5713275355717E-2</v>
      </c>
      <c r="J174">
        <v>3.8385083098306197E-2</v>
      </c>
      <c r="K174">
        <v>3.9582355399546097E-2</v>
      </c>
      <c r="L174">
        <v>1267.47265409391</v>
      </c>
      <c r="M174">
        <v>26.600088766685399</v>
      </c>
      <c r="N174">
        <v>47.788241806884898</v>
      </c>
      <c r="O174">
        <v>47.382332008091701</v>
      </c>
      <c r="P174">
        <v>-0.13512307358943401</v>
      </c>
      <c r="Q174">
        <v>3.7239495766830902E-2</v>
      </c>
      <c r="R174">
        <v>0.99402672915843604</v>
      </c>
      <c r="S174" t="s">
        <v>6576</v>
      </c>
      <c r="T174" t="s">
        <v>12802</v>
      </c>
      <c r="U174" t="s">
        <v>12802</v>
      </c>
      <c r="V174" t="s">
        <v>12802</v>
      </c>
      <c r="W174" t="s">
        <v>12976</v>
      </c>
      <c r="X174">
        <v>11</v>
      </c>
      <c r="Y174" t="s">
        <v>19298</v>
      </c>
      <c r="Z174" t="s">
        <v>25492</v>
      </c>
      <c r="AA174">
        <v>0.38620538716377018</v>
      </c>
      <c r="AB174" t="str">
        <f>HYPERLINK("Melting_Curves/meltCurve_B4DP21_PTGES3.pdf", "Melting_Curves/meltCurve_B4DP21_PTGES3.pdf")</f>
        <v>Melting_Curves/meltCurve_B4DP21_PTGES3.pdf</v>
      </c>
    </row>
    <row r="175" spans="1:28" x14ac:dyDescent="0.25">
      <c r="A175" t="s">
        <v>179</v>
      </c>
      <c r="B175">
        <v>0.99542014353169495</v>
      </c>
      <c r="C175">
        <v>1.05046577007296</v>
      </c>
      <c r="D175">
        <v>0.95572938671123298</v>
      </c>
      <c r="E175">
        <v>0.79910669920330502</v>
      </c>
      <c r="F175">
        <v>0.499563974245406</v>
      </c>
      <c r="G175">
        <v>0.25805889872652998</v>
      </c>
      <c r="H175">
        <v>0.11230060677194501</v>
      </c>
      <c r="I175">
        <v>6.2298512333041803E-2</v>
      </c>
      <c r="J175">
        <v>7.4095946353811407E-2</v>
      </c>
      <c r="K175">
        <v>6.6514956907293005E-2</v>
      </c>
      <c r="L175">
        <v>951.58923025107799</v>
      </c>
      <c r="M175">
        <v>19.0573485886257</v>
      </c>
      <c r="N175">
        <v>50.214555209678501</v>
      </c>
      <c r="O175">
        <v>49.392862346129</v>
      </c>
      <c r="P175">
        <v>-9.1572779731764101E-2</v>
      </c>
      <c r="Q175">
        <v>5.0683488649730102E-2</v>
      </c>
      <c r="R175">
        <v>0.99733480269297703</v>
      </c>
      <c r="S175" t="s">
        <v>6577</v>
      </c>
      <c r="T175" t="s">
        <v>12802</v>
      </c>
      <c r="U175" t="s">
        <v>12802</v>
      </c>
      <c r="V175" t="s">
        <v>12802</v>
      </c>
      <c r="W175" t="s">
        <v>12977</v>
      </c>
      <c r="X175">
        <v>7</v>
      </c>
      <c r="Y175" t="s">
        <v>19299</v>
      </c>
      <c r="Z175" t="s">
        <v>25493</v>
      </c>
      <c r="AA175">
        <v>0.47352711268098963</v>
      </c>
      <c r="AB175" t="str">
        <f>HYPERLINK("Melting_Curves/meltCurve_B4DPY5_SNX11.pdf", "Melting_Curves/meltCurve_B4DPY5_SNX11.pdf")</f>
        <v>Melting_Curves/meltCurve_B4DPY5_SNX11.pdf</v>
      </c>
    </row>
    <row r="176" spans="1:28" x14ac:dyDescent="0.25">
      <c r="A176" t="s">
        <v>180</v>
      </c>
      <c r="B176">
        <v>0.99542014353169495</v>
      </c>
      <c r="C176">
        <v>1.00391328901579</v>
      </c>
      <c r="D176">
        <v>0.96234231518760205</v>
      </c>
      <c r="E176">
        <v>0.65299788592589603</v>
      </c>
      <c r="F176">
        <v>0.425036897147899</v>
      </c>
      <c r="G176">
        <v>0.17219587532869299</v>
      </c>
      <c r="H176">
        <v>8.0222952999979294E-2</v>
      </c>
      <c r="I176">
        <v>5.4467954369125403E-2</v>
      </c>
      <c r="J176">
        <v>6.4901025857228803E-2</v>
      </c>
      <c r="K176">
        <v>8.5950434768503906E-2</v>
      </c>
      <c r="L176">
        <v>912.74723166587398</v>
      </c>
      <c r="M176">
        <v>18.808448014721399</v>
      </c>
      <c r="N176">
        <v>48.816850733348502</v>
      </c>
      <c r="O176">
        <v>47.989977276814898</v>
      </c>
      <c r="P176">
        <v>-9.2835048563110395E-2</v>
      </c>
      <c r="Q176">
        <v>5.25604013089465E-2</v>
      </c>
      <c r="R176">
        <v>0.99496802732574396</v>
      </c>
      <c r="S176" t="s">
        <v>6578</v>
      </c>
      <c r="T176" t="s">
        <v>12802</v>
      </c>
      <c r="U176" t="s">
        <v>12802</v>
      </c>
      <c r="V176" t="s">
        <v>12802</v>
      </c>
      <c r="W176" t="s">
        <v>12978</v>
      </c>
      <c r="X176">
        <v>7</v>
      </c>
      <c r="Y176" t="s">
        <v>19300</v>
      </c>
      <c r="Z176" t="s">
        <v>25494</v>
      </c>
      <c r="AA176">
        <v>0.43060603108682238</v>
      </c>
      <c r="AB176" t="str">
        <f>HYPERLINK("Melting_Curves/meltCurve_B4DPY8_TOX4.pdf", "Melting_Curves/meltCurve_B4DPY8_TOX4.pdf")</f>
        <v>Melting_Curves/meltCurve_B4DPY8_TOX4.pdf</v>
      </c>
    </row>
    <row r="177" spans="1:28" x14ac:dyDescent="0.25">
      <c r="A177" t="s">
        <v>181</v>
      </c>
      <c r="B177">
        <v>0.99542014353169495</v>
      </c>
      <c r="C177">
        <v>0.82915746650430899</v>
      </c>
      <c r="D177">
        <v>0.893433183943253</v>
      </c>
      <c r="E177">
        <v>0.61825439289739603</v>
      </c>
      <c r="F177">
        <v>0.401607317404998</v>
      </c>
      <c r="G177">
        <v>0.23784266350208499</v>
      </c>
      <c r="H177">
        <v>0.16066858730028899</v>
      </c>
      <c r="I177">
        <v>0.103884221595714</v>
      </c>
      <c r="J177">
        <v>0.116446373469971</v>
      </c>
      <c r="K177">
        <v>0.18827180482221201</v>
      </c>
      <c r="L177">
        <v>684.24721977385298</v>
      </c>
      <c r="M177">
        <v>14.392090915628399</v>
      </c>
      <c r="N177">
        <v>48.360210415055398</v>
      </c>
      <c r="O177">
        <v>46.653653291378902</v>
      </c>
      <c r="P177">
        <v>-6.8807852107651099E-2</v>
      </c>
      <c r="Q177">
        <v>0.107911031867993</v>
      </c>
      <c r="R177">
        <v>0.97857055481717903</v>
      </c>
      <c r="S177" t="s">
        <v>6579</v>
      </c>
      <c r="T177" t="s">
        <v>12802</v>
      </c>
      <c r="U177" t="s">
        <v>12802</v>
      </c>
      <c r="V177" t="s">
        <v>12802</v>
      </c>
      <c r="W177" t="s">
        <v>12979</v>
      </c>
      <c r="X177">
        <v>2</v>
      </c>
      <c r="Y177" t="s">
        <v>19301</v>
      </c>
      <c r="Z177" t="s">
        <v>25495</v>
      </c>
      <c r="AA177">
        <v>0.44273373902365959</v>
      </c>
      <c r="AB177" t="str">
        <f>HYPERLINK("Melting_Curves/meltCurve_B4DQI6_TRA2A.pdf", "Melting_Curves/meltCurve_B4DQI6_TRA2A.pdf")</f>
        <v>Melting_Curves/meltCurve_B4DQI6_TRA2A.pdf</v>
      </c>
    </row>
    <row r="178" spans="1:28" x14ac:dyDescent="0.25">
      <c r="A178" t="s">
        <v>182</v>
      </c>
      <c r="B178">
        <v>0.99542014353169495</v>
      </c>
      <c r="C178">
        <v>1.0029827384905301</v>
      </c>
      <c r="D178">
        <v>0.99207035128562504</v>
      </c>
      <c r="E178">
        <v>0.936558611100612</v>
      </c>
      <c r="F178">
        <v>0.76986596519058004</v>
      </c>
      <c r="G178">
        <v>0.48185587971260602</v>
      </c>
      <c r="H178">
        <v>7.9013891742014106E-2</v>
      </c>
      <c r="I178">
        <v>5.4385971863846999E-2</v>
      </c>
      <c r="J178">
        <v>5.1371189159743001E-2</v>
      </c>
      <c r="K178">
        <v>5.3554715631156699E-2</v>
      </c>
      <c r="L178">
        <v>1285.77025672836</v>
      </c>
      <c r="M178">
        <v>24.259712797613901</v>
      </c>
      <c r="N178">
        <v>53.094294206016102</v>
      </c>
      <c r="O178">
        <v>52.644037603452603</v>
      </c>
      <c r="P178">
        <v>-0.11278466028713501</v>
      </c>
      <c r="Q178">
        <v>2.1035460910511301E-2</v>
      </c>
      <c r="R178">
        <v>0.99338177082164902</v>
      </c>
      <c r="S178" t="s">
        <v>6580</v>
      </c>
      <c r="T178" t="s">
        <v>12802</v>
      </c>
      <c r="U178" t="s">
        <v>12802</v>
      </c>
      <c r="V178" t="s">
        <v>12802</v>
      </c>
      <c r="W178" t="s">
        <v>12980</v>
      </c>
      <c r="X178">
        <v>30</v>
      </c>
      <c r="Y178" t="s">
        <v>19302</v>
      </c>
      <c r="Z178" t="s">
        <v>25496</v>
      </c>
      <c r="AA178">
        <v>0.55226270566833791</v>
      </c>
      <c r="AB178" t="str">
        <f>HYPERLINK("Melting_Curves/meltCurve_B4DQJ8_PGD.pdf", "Melting_Curves/meltCurve_B4DQJ8_PGD.pdf")</f>
        <v>Melting_Curves/meltCurve_B4DQJ8_PGD.pdf</v>
      </c>
    </row>
    <row r="179" spans="1:28" x14ac:dyDescent="0.25">
      <c r="A179" t="s">
        <v>183</v>
      </c>
      <c r="B179">
        <v>0.99542014353169495</v>
      </c>
      <c r="C179">
        <v>0.77991631935822103</v>
      </c>
      <c r="D179">
        <v>0.685735932556371</v>
      </c>
      <c r="E179">
        <v>0.40283205498976898</v>
      </c>
      <c r="F179">
        <v>0.15205893566260401</v>
      </c>
      <c r="G179">
        <v>0.106186221438461</v>
      </c>
      <c r="H179">
        <v>5.7665192421196401E-2</v>
      </c>
      <c r="I179">
        <v>4.8941800249716699E-2</v>
      </c>
      <c r="J179">
        <v>7.5214687998924501E-2</v>
      </c>
      <c r="K179">
        <v>0.121790865650015</v>
      </c>
      <c r="L179">
        <v>679.45324374091899</v>
      </c>
      <c r="M179">
        <v>15.274019902468501</v>
      </c>
      <c r="N179">
        <v>44.8290911086698</v>
      </c>
      <c r="O179">
        <v>43.7426613065129</v>
      </c>
      <c r="P179">
        <v>-8.24640360025959E-2</v>
      </c>
      <c r="Q179">
        <v>5.54274572077883E-2</v>
      </c>
      <c r="R179">
        <v>0.98445307324609299</v>
      </c>
      <c r="S179" t="s">
        <v>6581</v>
      </c>
      <c r="T179" t="s">
        <v>12802</v>
      </c>
      <c r="U179" t="s">
        <v>12802</v>
      </c>
      <c r="V179" t="s">
        <v>12802</v>
      </c>
      <c r="W179" t="s">
        <v>12981</v>
      </c>
      <c r="X179">
        <v>7</v>
      </c>
      <c r="Y179" t="s">
        <v>19303</v>
      </c>
      <c r="Z179" t="s">
        <v>25497</v>
      </c>
      <c r="AA179">
        <v>0.31317245201877469</v>
      </c>
      <c r="AB179" t="str">
        <f>HYPERLINK("Melting_Curves/meltCurve_B4DR52_HIST2H2BF.pdf", "Melting_Curves/meltCurve_B4DR52_HIST2H2BF.pdf")</f>
        <v>Melting_Curves/meltCurve_B4DR52_HIST2H2BF.pdf</v>
      </c>
    </row>
    <row r="180" spans="1:28" x14ac:dyDescent="0.25">
      <c r="A180" t="s">
        <v>184</v>
      </c>
      <c r="B180">
        <v>0.99542014353169495</v>
      </c>
      <c r="C180">
        <v>0.95240880654585003</v>
      </c>
      <c r="D180">
        <v>1.00577486211696</v>
      </c>
      <c r="E180">
        <v>0.86512938348185597</v>
      </c>
      <c r="F180">
        <v>0.72746377113430105</v>
      </c>
      <c r="G180">
        <v>0.45694532783583702</v>
      </c>
      <c r="H180">
        <v>0.342471676020417</v>
      </c>
      <c r="I180">
        <v>0.29048941548361601</v>
      </c>
      <c r="J180">
        <v>0.33735868823095799</v>
      </c>
      <c r="K180">
        <v>0.32299617048745299</v>
      </c>
      <c r="L180">
        <v>1061.7587835019999</v>
      </c>
      <c r="M180">
        <v>20.899261770154201</v>
      </c>
      <c r="N180">
        <v>53.147481092709</v>
      </c>
      <c r="O180">
        <v>50.345381002969702</v>
      </c>
      <c r="P180">
        <v>-7.2536313102327096E-2</v>
      </c>
      <c r="Q180">
        <v>0.30107239132511698</v>
      </c>
      <c r="R180">
        <v>0.99076763366884102</v>
      </c>
      <c r="S180" t="s">
        <v>6582</v>
      </c>
      <c r="T180" t="s">
        <v>12802</v>
      </c>
      <c r="U180" t="s">
        <v>12802</v>
      </c>
      <c r="V180" t="s">
        <v>12802</v>
      </c>
      <c r="W180" t="s">
        <v>12982</v>
      </c>
      <c r="X180">
        <v>7</v>
      </c>
      <c r="Y180" t="s">
        <v>19304</v>
      </c>
      <c r="Z180" t="s">
        <v>25498</v>
      </c>
      <c r="AA180">
        <v>0.63116803748405559</v>
      </c>
      <c r="AB180" t="str">
        <f>HYPERLINK("Melting_Curves/meltCurve_B4DR61_SEC61A1.pdf", "Melting_Curves/meltCurve_B4DR61_SEC61A1.pdf")</f>
        <v>Melting_Curves/meltCurve_B4DR61_SEC61A1.pdf</v>
      </c>
    </row>
    <row r="181" spans="1:28" x14ac:dyDescent="0.25">
      <c r="A181" t="s">
        <v>185</v>
      </c>
      <c r="B181">
        <v>0.99542014353169495</v>
      </c>
      <c r="C181">
        <v>1.02307294276038</v>
      </c>
      <c r="D181">
        <v>1.0027895460187299</v>
      </c>
      <c r="E181">
        <v>0.90961863626463701</v>
      </c>
      <c r="F181">
        <v>0.58880004296898303</v>
      </c>
      <c r="G181">
        <v>0.32711519064884298</v>
      </c>
      <c r="H181">
        <v>0.12546398230976499</v>
      </c>
      <c r="I181">
        <v>5.72193896522354E-2</v>
      </c>
      <c r="J181">
        <v>5.6548506615455997E-2</v>
      </c>
      <c r="K181">
        <v>5.1773742900821297E-2</v>
      </c>
      <c r="L181">
        <v>1059.0650197145301</v>
      </c>
      <c r="M181">
        <v>20.6788807152139</v>
      </c>
      <c r="N181">
        <v>51.415043896207003</v>
      </c>
      <c r="O181">
        <v>50.743100566645097</v>
      </c>
      <c r="P181">
        <v>-9.7941651564514495E-2</v>
      </c>
      <c r="Q181">
        <v>3.8687022411188897E-2</v>
      </c>
      <c r="R181">
        <v>0.99794425869661996</v>
      </c>
      <c r="S181" t="s">
        <v>6583</v>
      </c>
      <c r="T181" t="s">
        <v>12802</v>
      </c>
      <c r="U181" t="s">
        <v>12802</v>
      </c>
      <c r="V181" t="s">
        <v>12802</v>
      </c>
      <c r="W181" t="s">
        <v>12983</v>
      </c>
      <c r="X181">
        <v>21</v>
      </c>
      <c r="Y181" t="s">
        <v>19305</v>
      </c>
      <c r="Z181" t="s">
        <v>25499</v>
      </c>
      <c r="AA181">
        <v>0.50606347697592691</v>
      </c>
      <c r="AB181" t="str">
        <f>HYPERLINK("Melting_Curves/meltCurve_B4DR80_STK24.pdf", "Melting_Curves/meltCurve_B4DR80_STK24.pdf")</f>
        <v>Melting_Curves/meltCurve_B4DR80_STK24.pdf</v>
      </c>
    </row>
    <row r="182" spans="1:28" x14ac:dyDescent="0.25">
      <c r="A182" t="s">
        <v>186</v>
      </c>
      <c r="B182">
        <v>0.99542014353169495</v>
      </c>
      <c r="C182">
        <v>1.11081772482609</v>
      </c>
      <c r="D182">
        <v>1.07716864195878</v>
      </c>
      <c r="E182">
        <v>0.97043910847016501</v>
      </c>
      <c r="F182">
        <v>0.77446866025971095</v>
      </c>
      <c r="G182">
        <v>0.43302073990922402</v>
      </c>
      <c r="H182">
        <v>0.154151367525732</v>
      </c>
      <c r="I182">
        <v>0.116881496875269</v>
      </c>
      <c r="J182">
        <v>0.13260712343209999</v>
      </c>
      <c r="K182">
        <v>0.14811429474541701</v>
      </c>
      <c r="L182">
        <v>1438.41485487144</v>
      </c>
      <c r="M182">
        <v>27.467560663231499</v>
      </c>
      <c r="N182">
        <v>52.885419431385102</v>
      </c>
      <c r="O182">
        <v>52.092570167214298</v>
      </c>
      <c r="P182">
        <v>-0.116283803025686</v>
      </c>
      <c r="Q182">
        <v>0.117873693746054</v>
      </c>
      <c r="R182">
        <v>0.98679591199389505</v>
      </c>
      <c r="S182" t="s">
        <v>6584</v>
      </c>
      <c r="T182" t="s">
        <v>12802</v>
      </c>
      <c r="U182" t="s">
        <v>12802</v>
      </c>
      <c r="V182" t="s">
        <v>12802</v>
      </c>
      <c r="W182" t="s">
        <v>12984</v>
      </c>
      <c r="X182">
        <v>4</v>
      </c>
      <c r="Y182" t="s">
        <v>19306</v>
      </c>
      <c r="Z182" t="s">
        <v>25500</v>
      </c>
      <c r="AA182">
        <v>0.57634166619307559</v>
      </c>
      <c r="AB182" t="str">
        <f>HYPERLINK("Melting_Curves/meltCurve_B4DRL9_CHM.pdf", "Melting_Curves/meltCurve_B4DRL9_CHM.pdf")</f>
        <v>Melting_Curves/meltCurve_B4DRL9_CHM.pdf</v>
      </c>
    </row>
    <row r="183" spans="1:28" x14ac:dyDescent="0.25">
      <c r="A183" t="s">
        <v>187</v>
      </c>
      <c r="B183">
        <v>0.99542014353169495</v>
      </c>
      <c r="C183">
        <v>1.14064111100235</v>
      </c>
      <c r="D183">
        <v>1.04135631547259</v>
      </c>
      <c r="E183">
        <v>0.71786804794805403</v>
      </c>
      <c r="F183">
        <v>0.37726498439175599</v>
      </c>
      <c r="G183">
        <v>0.189435466805638</v>
      </c>
      <c r="H183">
        <v>0.138812007838478</v>
      </c>
      <c r="I183">
        <v>0.115990043755241</v>
      </c>
      <c r="J183">
        <v>7.23619222459847E-2</v>
      </c>
      <c r="K183">
        <v>2.5660399087730799E-2</v>
      </c>
      <c r="L183">
        <v>1148.20388859849</v>
      </c>
      <c r="M183">
        <v>23.6288383539077</v>
      </c>
      <c r="N183">
        <v>48.969047451058898</v>
      </c>
      <c r="O183">
        <v>48.249290645916702</v>
      </c>
      <c r="P183">
        <v>-0.11228270652320101</v>
      </c>
      <c r="Q183">
        <v>8.2905443520655903E-2</v>
      </c>
      <c r="R183">
        <v>0.98032933846841497</v>
      </c>
      <c r="S183" t="s">
        <v>6585</v>
      </c>
      <c r="T183" t="s">
        <v>12802</v>
      </c>
      <c r="U183" t="s">
        <v>12802</v>
      </c>
      <c r="V183" t="s">
        <v>12802</v>
      </c>
      <c r="W183" t="s">
        <v>12985</v>
      </c>
      <c r="X183">
        <v>2</v>
      </c>
      <c r="Y183" t="s">
        <v>19307</v>
      </c>
      <c r="Z183" t="s">
        <v>25501</v>
      </c>
      <c r="AA183">
        <v>0.44610841036001381</v>
      </c>
      <c r="AB183" t="str">
        <f>HYPERLINK("Melting_Curves/meltCurve_B4DRS7_SH2D3A.pdf", "Melting_Curves/meltCurve_B4DRS7_SH2D3A.pdf")</f>
        <v>Melting_Curves/meltCurve_B4DRS7_SH2D3A.pdf</v>
      </c>
    </row>
    <row r="184" spans="1:28" x14ac:dyDescent="0.25">
      <c r="A184" t="s">
        <v>188</v>
      </c>
      <c r="B184">
        <v>0.99542014353169495</v>
      </c>
      <c r="C184">
        <v>0.88665825791044395</v>
      </c>
      <c r="D184">
        <v>1.0242886277529399</v>
      </c>
      <c r="E184">
        <v>0.87002343627693002</v>
      </c>
      <c r="F184">
        <v>0.61716351664089697</v>
      </c>
      <c r="G184">
        <v>0.28840684891184498</v>
      </c>
      <c r="H184">
        <v>0.13189703794305399</v>
      </c>
      <c r="I184">
        <v>7.3730152609293595E-2</v>
      </c>
      <c r="J184">
        <v>5.3301165184558699E-2</v>
      </c>
      <c r="K184">
        <v>5.4663226740042599E-2</v>
      </c>
      <c r="L184">
        <v>1055.0309875928899</v>
      </c>
      <c r="M184">
        <v>20.646178818307401</v>
      </c>
      <c r="N184">
        <v>51.319305503991501</v>
      </c>
      <c r="O184">
        <v>50.628392928734399</v>
      </c>
      <c r="P184">
        <v>-9.7657921204035603E-2</v>
      </c>
      <c r="Q184">
        <v>4.21236413763596E-2</v>
      </c>
      <c r="R184">
        <v>0.99084421125654498</v>
      </c>
      <c r="S184" t="s">
        <v>6586</v>
      </c>
      <c r="T184" t="s">
        <v>12802</v>
      </c>
      <c r="U184" t="s">
        <v>12802</v>
      </c>
      <c r="V184" t="s">
        <v>12802</v>
      </c>
      <c r="W184" t="s">
        <v>12986</v>
      </c>
      <c r="X184">
        <v>2</v>
      </c>
      <c r="Y184" t="s">
        <v>19308</v>
      </c>
      <c r="Z184" t="s">
        <v>25502</v>
      </c>
      <c r="AA184">
        <v>0.50422269611299075</v>
      </c>
      <c r="AB184" t="str">
        <f>HYPERLINK("Melting_Curves/meltCurve_B4DSD4_C9orf41.pdf", "Melting_Curves/meltCurve_B4DSD4_C9orf41.pdf")</f>
        <v>Melting_Curves/meltCurve_B4DSD4_C9orf41.pdf</v>
      </c>
    </row>
    <row r="185" spans="1:28" x14ac:dyDescent="0.25">
      <c r="A185" t="s">
        <v>189</v>
      </c>
      <c r="B185">
        <v>0.99542014353169495</v>
      </c>
      <c r="C185">
        <v>0.88346953045971299</v>
      </c>
      <c r="D185">
        <v>0.97310116494114696</v>
      </c>
      <c r="E185">
        <v>0.66144867502401095</v>
      </c>
      <c r="F185">
        <v>0.28065396750535498</v>
      </c>
      <c r="G185">
        <v>5.5754729415012902E-2</v>
      </c>
      <c r="H185">
        <v>2.94564477274303E-2</v>
      </c>
      <c r="I185">
        <v>1.78500161595289E-2</v>
      </c>
      <c r="J185">
        <v>2.00671638287028E-2</v>
      </c>
      <c r="K185">
        <v>1.60908651461306E-2</v>
      </c>
      <c r="L185">
        <v>1142.9558086587699</v>
      </c>
      <c r="M185">
        <v>23.8253710739348</v>
      </c>
      <c r="N185">
        <v>48.0138158747585</v>
      </c>
      <c r="O185">
        <v>47.638091650936303</v>
      </c>
      <c r="P185">
        <v>-0.123757900656376</v>
      </c>
      <c r="Q185">
        <v>1.0215790643213599E-2</v>
      </c>
      <c r="R185">
        <v>0.991812381242968</v>
      </c>
      <c r="S185" t="s">
        <v>6587</v>
      </c>
      <c r="T185" t="s">
        <v>12802</v>
      </c>
      <c r="U185" t="s">
        <v>12802</v>
      </c>
      <c r="V185" t="s">
        <v>12802</v>
      </c>
      <c r="W185" t="s">
        <v>12987</v>
      </c>
      <c r="X185">
        <v>2</v>
      </c>
      <c r="Y185" t="s">
        <v>19309</v>
      </c>
      <c r="Z185" t="s">
        <v>25503</v>
      </c>
      <c r="AA185">
        <v>0.38149085037627578</v>
      </c>
      <c r="AB185" t="str">
        <f>HYPERLINK("Melting_Curves/meltCurve_B4DSF9_AGPAT4.pdf", "Melting_Curves/meltCurve_B4DSF9_AGPAT4.pdf")</f>
        <v>Melting_Curves/meltCurve_B4DSF9_AGPAT4.pdf</v>
      </c>
    </row>
    <row r="186" spans="1:28" x14ac:dyDescent="0.25">
      <c r="A186" t="s">
        <v>190</v>
      </c>
      <c r="B186">
        <v>0.99542014353169495</v>
      </c>
      <c r="C186">
        <v>0.969447699898488</v>
      </c>
      <c r="D186">
        <v>0.99403396309677305</v>
      </c>
      <c r="E186">
        <v>0.74739207144448505</v>
      </c>
      <c r="F186">
        <v>0.20863085871977999</v>
      </c>
      <c r="G186">
        <v>9.2674252283056396E-2</v>
      </c>
      <c r="H186">
        <v>4.9325373313525399E-2</v>
      </c>
      <c r="I186">
        <v>3.31240036372644E-2</v>
      </c>
      <c r="J186">
        <v>3.7188177686412797E-2</v>
      </c>
      <c r="K186">
        <v>5.9423455541461299E-2</v>
      </c>
      <c r="L186">
        <v>1673.8348291315499</v>
      </c>
      <c r="M186">
        <v>34.903796509541401</v>
      </c>
      <c r="N186">
        <v>48.096313254369697</v>
      </c>
      <c r="O186">
        <v>47.799071493728697</v>
      </c>
      <c r="P186">
        <v>-0.17369858209421599</v>
      </c>
      <c r="Q186">
        <v>4.8516017494666698E-2</v>
      </c>
      <c r="R186">
        <v>0.99882855682913296</v>
      </c>
      <c r="S186" t="s">
        <v>6588</v>
      </c>
      <c r="T186" t="s">
        <v>12802</v>
      </c>
      <c r="U186" t="s">
        <v>12802</v>
      </c>
      <c r="V186" t="s">
        <v>12802</v>
      </c>
      <c r="W186" t="s">
        <v>12988</v>
      </c>
      <c r="X186">
        <v>3</v>
      </c>
      <c r="Y186" t="s">
        <v>19310</v>
      </c>
      <c r="Z186" t="s">
        <v>25504</v>
      </c>
      <c r="AA186">
        <v>0.40013874913456038</v>
      </c>
      <c r="AB186" t="str">
        <f>HYPERLINK("Melting_Curves/meltCurve_B4DSS5_KIAA0513.pdf", "Melting_Curves/meltCurve_B4DSS5_KIAA0513.pdf")</f>
        <v>Melting_Curves/meltCurve_B4DSS5_KIAA0513.pdf</v>
      </c>
    </row>
    <row r="187" spans="1:28" x14ac:dyDescent="0.25">
      <c r="A187" t="s">
        <v>191</v>
      </c>
      <c r="B187">
        <v>0.99542014353169495</v>
      </c>
      <c r="C187">
        <v>1.0280792266729599</v>
      </c>
      <c r="D187">
        <v>1.02725054018143</v>
      </c>
      <c r="E187">
        <v>0.70092082754530605</v>
      </c>
      <c r="F187">
        <v>0.21868334588125099</v>
      </c>
      <c r="G187">
        <v>0.11990067640933499</v>
      </c>
      <c r="H187">
        <v>7.7024697651524393E-2</v>
      </c>
      <c r="I187">
        <v>4.3473712642647502E-2</v>
      </c>
      <c r="J187">
        <v>3.8131439418013002E-2</v>
      </c>
      <c r="K187">
        <v>4.7213904582725598E-2</v>
      </c>
      <c r="L187">
        <v>1555.3887649937999</v>
      </c>
      <c r="M187">
        <v>32.561874946689102</v>
      </c>
      <c r="N187">
        <v>47.950936171954297</v>
      </c>
      <c r="O187">
        <v>47.5880987716872</v>
      </c>
      <c r="P187">
        <v>-0.16102892272886701</v>
      </c>
      <c r="Q187">
        <v>5.8650852622091403E-2</v>
      </c>
      <c r="R187">
        <v>0.996629832787987</v>
      </c>
      <c r="S187" t="s">
        <v>6589</v>
      </c>
      <c r="T187" t="s">
        <v>12802</v>
      </c>
      <c r="U187" t="s">
        <v>12802</v>
      </c>
      <c r="V187" t="s">
        <v>12802</v>
      </c>
      <c r="W187" t="s">
        <v>12989</v>
      </c>
      <c r="X187">
        <v>4</v>
      </c>
      <c r="Y187" t="s">
        <v>19311</v>
      </c>
      <c r="Z187" t="s">
        <v>25505</v>
      </c>
      <c r="AA187">
        <v>0.40121307834063452</v>
      </c>
      <c r="AB187" t="str">
        <f>HYPERLINK("Melting_Curves/meltCurve_B4DSS8_PTBP2.pdf", "Melting_Curves/meltCurve_B4DSS8_PTBP2.pdf")</f>
        <v>Melting_Curves/meltCurve_B4DSS8_PTBP2.pdf</v>
      </c>
    </row>
    <row r="188" spans="1:28" x14ac:dyDescent="0.25">
      <c r="A188" t="s">
        <v>192</v>
      </c>
      <c r="B188">
        <v>0.99542014353169495</v>
      </c>
      <c r="C188">
        <v>1.00111873967462</v>
      </c>
      <c r="D188">
        <v>0.91746821816775903</v>
      </c>
      <c r="E188">
        <v>0.823273992096345</v>
      </c>
      <c r="F188">
        <v>0.58863876903124901</v>
      </c>
      <c r="G188">
        <v>0.349737742388325</v>
      </c>
      <c r="H188">
        <v>0.134692975577307</v>
      </c>
      <c r="I188">
        <v>5.7849719278546499E-2</v>
      </c>
      <c r="J188">
        <v>4.5564360396906603E-2</v>
      </c>
      <c r="K188">
        <v>5.3017625001918402E-2</v>
      </c>
      <c r="L188">
        <v>790.06565014139699</v>
      </c>
      <c r="M188">
        <v>15.4038270924051</v>
      </c>
      <c r="N188">
        <v>51.290218186547399</v>
      </c>
      <c r="O188">
        <v>50.449107540957399</v>
      </c>
      <c r="P188">
        <v>-7.6340445680243799E-2</v>
      </c>
      <c r="Q188">
        <v>0</v>
      </c>
      <c r="R188">
        <v>0.99754041740747401</v>
      </c>
      <c r="S188" t="s">
        <v>6590</v>
      </c>
      <c r="T188" t="s">
        <v>12802</v>
      </c>
      <c r="U188" t="s">
        <v>12802</v>
      </c>
      <c r="V188" t="s">
        <v>12802</v>
      </c>
      <c r="W188" t="s">
        <v>12990</v>
      </c>
      <c r="X188">
        <v>6</v>
      </c>
      <c r="Y188" t="s">
        <v>19312</v>
      </c>
      <c r="Z188" t="s">
        <v>25506</v>
      </c>
      <c r="AA188">
        <v>0.49554229397090871</v>
      </c>
      <c r="AB188" t="str">
        <f>HYPERLINK("Melting_Curves/meltCurve_B4DT55_WDR41.pdf", "Melting_Curves/meltCurve_B4DT55_WDR41.pdf")</f>
        <v>Melting_Curves/meltCurve_B4DT55_WDR41.pdf</v>
      </c>
    </row>
    <row r="189" spans="1:28" x14ac:dyDescent="0.25">
      <c r="A189" t="s">
        <v>193</v>
      </c>
      <c r="B189">
        <v>0.99542014353169495</v>
      </c>
      <c r="C189">
        <v>0.97016654979955497</v>
      </c>
      <c r="D189">
        <v>0.88312684215255999</v>
      </c>
      <c r="E189">
        <v>0.86991234023980502</v>
      </c>
      <c r="F189">
        <v>0.56859755482574403</v>
      </c>
      <c r="G189">
        <v>0.108006107984623</v>
      </c>
      <c r="H189">
        <v>6.5541634830322798E-2</v>
      </c>
      <c r="I189">
        <v>3.9726267095751701E-2</v>
      </c>
      <c r="J189">
        <v>3.6957478282348299E-2</v>
      </c>
      <c r="K189">
        <v>3.6277105204380898E-2</v>
      </c>
      <c r="L189">
        <v>1402.52656078626</v>
      </c>
      <c r="M189">
        <v>27.8809512647709</v>
      </c>
      <c r="N189">
        <v>50.402348133348198</v>
      </c>
      <c r="O189">
        <v>50.047466498161498</v>
      </c>
      <c r="P189">
        <v>-0.13559067083614401</v>
      </c>
      <c r="Q189">
        <v>2.6445003509682201E-2</v>
      </c>
      <c r="R189">
        <v>0.98906285526576099</v>
      </c>
      <c r="S189" t="s">
        <v>6591</v>
      </c>
      <c r="T189" t="s">
        <v>12802</v>
      </c>
      <c r="U189" t="s">
        <v>12802</v>
      </c>
      <c r="V189" t="s">
        <v>12802</v>
      </c>
      <c r="W189" t="s">
        <v>12991</v>
      </c>
      <c r="X189">
        <v>27</v>
      </c>
      <c r="Y189" t="s">
        <v>19313</v>
      </c>
      <c r="Z189" t="s">
        <v>25507</v>
      </c>
      <c r="AA189">
        <v>0.46511523979660929</v>
      </c>
      <c r="AB189" t="str">
        <f>HYPERLINK("Melting_Curves/meltCurve_B4DT77_ANXA7.pdf", "Melting_Curves/meltCurve_B4DT77_ANXA7.pdf")</f>
        <v>Melting_Curves/meltCurve_B4DT77_ANXA7.pdf</v>
      </c>
    </row>
    <row r="190" spans="1:28" x14ac:dyDescent="0.25">
      <c r="A190" t="s">
        <v>194</v>
      </c>
      <c r="B190">
        <v>0.99542014353169495</v>
      </c>
      <c r="C190">
        <v>0.94968462164929801</v>
      </c>
      <c r="D190">
        <v>0.86975483360369299</v>
      </c>
      <c r="E190">
        <v>0.73782904684571704</v>
      </c>
      <c r="F190">
        <v>0.66216902312710602</v>
      </c>
      <c r="G190">
        <v>0.50876306937323101</v>
      </c>
      <c r="H190">
        <v>0.30197202249687399</v>
      </c>
      <c r="I190">
        <v>0.113688280629501</v>
      </c>
      <c r="J190">
        <v>0.100868457628978</v>
      </c>
      <c r="K190">
        <v>0.15561408266995599</v>
      </c>
      <c r="L190">
        <v>532.06294056331205</v>
      </c>
      <c r="M190">
        <v>10.108152845927499</v>
      </c>
      <c r="N190">
        <v>52.637009813268698</v>
      </c>
      <c r="O190">
        <v>50.701456696793997</v>
      </c>
      <c r="P190">
        <v>-4.9864811144659703E-2</v>
      </c>
      <c r="Q190">
        <v>0</v>
      </c>
      <c r="R190">
        <v>0.98067027531162199</v>
      </c>
      <c r="S190" t="s">
        <v>6592</v>
      </c>
      <c r="T190" t="s">
        <v>12802</v>
      </c>
      <c r="U190" t="s">
        <v>12802</v>
      </c>
      <c r="V190" t="s">
        <v>12802</v>
      </c>
      <c r="W190" t="s">
        <v>12992</v>
      </c>
      <c r="X190">
        <v>3</v>
      </c>
      <c r="Y190" t="s">
        <v>19314</v>
      </c>
      <c r="Z190" t="s">
        <v>25508</v>
      </c>
      <c r="AA190">
        <v>0.54515923197478622</v>
      </c>
      <c r="AB190" t="str">
        <f>HYPERLINK("Melting_Curves/meltCurve_B4DTA3_SLC25A46.pdf", "Melting_Curves/meltCurve_B4DTA3_SLC25A46.pdf")</f>
        <v>Melting_Curves/meltCurve_B4DTA3_SLC25A46.pdf</v>
      </c>
    </row>
    <row r="191" spans="1:28" x14ac:dyDescent="0.25">
      <c r="A191" t="s">
        <v>195</v>
      </c>
      <c r="B191">
        <v>0.99542014353169495</v>
      </c>
      <c r="C191">
        <v>0.97703096185898297</v>
      </c>
      <c r="D191">
        <v>0.99238290134122198</v>
      </c>
      <c r="E191">
        <v>0.79557346215301705</v>
      </c>
      <c r="F191">
        <v>0.25092539464848301</v>
      </c>
      <c r="G191">
        <v>0.103376969836877</v>
      </c>
      <c r="H191">
        <v>6.2522048071715103E-2</v>
      </c>
      <c r="I191">
        <v>4.7835969240180298E-2</v>
      </c>
      <c r="J191">
        <v>5.1894495650442601E-2</v>
      </c>
      <c r="K191">
        <v>4.83836156850979E-2</v>
      </c>
      <c r="L191">
        <v>1673.7913928390701</v>
      </c>
      <c r="M191">
        <v>34.646371461149599</v>
      </c>
      <c r="N191">
        <v>48.475335450634603</v>
      </c>
      <c r="O191">
        <v>48.1506296813006</v>
      </c>
      <c r="P191">
        <v>-0.16990304109441801</v>
      </c>
      <c r="Q191">
        <v>5.5496089945264698E-2</v>
      </c>
      <c r="R191">
        <v>0.99933410832290004</v>
      </c>
      <c r="S191" t="s">
        <v>6593</v>
      </c>
      <c r="T191" t="s">
        <v>12802</v>
      </c>
      <c r="U191" t="s">
        <v>12802</v>
      </c>
      <c r="V191" t="s">
        <v>12802</v>
      </c>
      <c r="W191" t="s">
        <v>12993</v>
      </c>
      <c r="X191">
        <v>38</v>
      </c>
      <c r="Y191" t="s">
        <v>19315</v>
      </c>
      <c r="Z191" t="s">
        <v>25509</v>
      </c>
      <c r="AA191">
        <v>0.41580960457794519</v>
      </c>
      <c r="AB191" t="str">
        <f>HYPERLINK("Melting_Curves/meltCurve_B4DTU4_LIG1.pdf", "Melting_Curves/meltCurve_B4DTU4_LIG1.pdf")</f>
        <v>Melting_Curves/meltCurve_B4DTU4_LIG1.pdf</v>
      </c>
    </row>
    <row r="192" spans="1:28" x14ac:dyDescent="0.25">
      <c r="A192" t="s">
        <v>196</v>
      </c>
      <c r="B192">
        <v>0.99542014353169495</v>
      </c>
      <c r="C192">
        <v>0.90141452666175603</v>
      </c>
      <c r="D192">
        <v>0.96967875439948403</v>
      </c>
      <c r="E192">
        <v>0.84834082548993395</v>
      </c>
      <c r="F192">
        <v>0.75184032973505799</v>
      </c>
      <c r="G192">
        <v>0.51215046983090495</v>
      </c>
      <c r="H192">
        <v>0.42666541198290497</v>
      </c>
      <c r="I192">
        <v>0.36130209585766598</v>
      </c>
      <c r="J192">
        <v>0.48610711511409399</v>
      </c>
      <c r="K192">
        <v>0.62954100571780103</v>
      </c>
      <c r="L192">
        <v>1107.1035023057</v>
      </c>
      <c r="M192">
        <v>22.396048801684898</v>
      </c>
      <c r="N192">
        <v>56.379985325721101</v>
      </c>
      <c r="O192">
        <v>49.043927600495103</v>
      </c>
      <c r="P192">
        <v>-6.0697179501336997E-2</v>
      </c>
      <c r="Q192">
        <v>0.46834082895252799</v>
      </c>
      <c r="R192">
        <v>0.88160565049038198</v>
      </c>
      <c r="S192" t="s">
        <v>6594</v>
      </c>
      <c r="T192" t="s">
        <v>12802</v>
      </c>
      <c r="U192" t="s">
        <v>12802</v>
      </c>
      <c r="V192" t="s">
        <v>12802</v>
      </c>
      <c r="W192" t="s">
        <v>12994</v>
      </c>
      <c r="X192">
        <v>1</v>
      </c>
      <c r="Y192" t="s">
        <v>19316</v>
      </c>
      <c r="Z192" t="s">
        <v>25510</v>
      </c>
      <c r="AA192">
        <v>0.69437173876248182</v>
      </c>
      <c r="AB192" t="str">
        <f>HYPERLINK("Melting_Curves/meltCurve_B4DUE9_SERINC3.pdf", "Melting_Curves/meltCurve_B4DUE9_SERINC3.pdf")</f>
        <v>Melting_Curves/meltCurve_B4DUE9_SERINC3.pdf</v>
      </c>
    </row>
    <row r="193" spans="1:28" x14ac:dyDescent="0.25">
      <c r="A193" t="s">
        <v>197</v>
      </c>
      <c r="B193">
        <v>0.99542014353169495</v>
      </c>
      <c r="C193">
        <v>1.0068496137821099</v>
      </c>
      <c r="D193">
        <v>0.96057655817142196</v>
      </c>
      <c r="E193">
        <v>1.0031748215109599</v>
      </c>
      <c r="F193">
        <v>0.810056004376843</v>
      </c>
      <c r="G193">
        <v>0.72942454519864697</v>
      </c>
      <c r="H193">
        <v>0.518210496000998</v>
      </c>
      <c r="I193">
        <v>0.47998439146211502</v>
      </c>
      <c r="J193">
        <v>0.66543342200315103</v>
      </c>
      <c r="K193">
        <v>0.18041760879057001</v>
      </c>
      <c r="L193">
        <v>466.05730954937002</v>
      </c>
      <c r="M193">
        <v>7.6349189882123003</v>
      </c>
      <c r="N193">
        <v>61.042860528820199</v>
      </c>
      <c r="O193">
        <v>57.277794637854697</v>
      </c>
      <c r="P193">
        <v>-3.3368927100507602E-2</v>
      </c>
      <c r="Q193">
        <v>0</v>
      </c>
      <c r="R193">
        <v>0.84223774559348197</v>
      </c>
      <c r="S193" t="s">
        <v>6595</v>
      </c>
      <c r="T193" t="s">
        <v>12802</v>
      </c>
      <c r="U193" t="s">
        <v>12802</v>
      </c>
      <c r="V193" t="s">
        <v>12802</v>
      </c>
      <c r="W193" t="s">
        <v>12995</v>
      </c>
      <c r="X193">
        <v>20</v>
      </c>
      <c r="Y193" t="s">
        <v>19317</v>
      </c>
      <c r="Z193" t="s">
        <v>25511</v>
      </c>
      <c r="AA193">
        <v>0.74059437810452233</v>
      </c>
      <c r="AB193" t="str">
        <f>HYPERLINK("Melting_Curves/meltCurve_B4DUS9_BPNT1.pdf", "Melting_Curves/meltCurve_B4DUS9_BPNT1.pdf")</f>
        <v>Melting_Curves/meltCurve_B4DUS9_BPNT1.pdf</v>
      </c>
    </row>
    <row r="194" spans="1:28" x14ac:dyDescent="0.25">
      <c r="A194" t="s">
        <v>198</v>
      </c>
      <c r="B194">
        <v>0.99542014353169495</v>
      </c>
      <c r="C194">
        <v>1.0056231205475401</v>
      </c>
      <c r="D194">
        <v>0.94277749194482197</v>
      </c>
      <c r="E194">
        <v>0.87358699704376996</v>
      </c>
      <c r="F194">
        <v>0.36778717706133002</v>
      </c>
      <c r="G194">
        <v>0.136560651084879</v>
      </c>
      <c r="H194">
        <v>7.2366456795956394E-2</v>
      </c>
      <c r="I194">
        <v>4.7621545463376901E-2</v>
      </c>
      <c r="J194">
        <v>5.2447317786982299E-2</v>
      </c>
      <c r="K194">
        <v>4.9133428983236402E-2</v>
      </c>
      <c r="L194">
        <v>1531.8822133189001</v>
      </c>
      <c r="M194">
        <v>31.156170131086501</v>
      </c>
      <c r="N194">
        <v>49.352985532271397</v>
      </c>
      <c r="O194">
        <v>48.966634344272798</v>
      </c>
      <c r="P194">
        <v>-0.15029677915199599</v>
      </c>
      <c r="Q194">
        <v>5.5148802796334002E-2</v>
      </c>
      <c r="R194">
        <v>0.99810061787494098</v>
      </c>
      <c r="S194" t="s">
        <v>6596</v>
      </c>
      <c r="T194" t="s">
        <v>12802</v>
      </c>
      <c r="U194" t="s">
        <v>12802</v>
      </c>
      <c r="V194" t="s">
        <v>12802</v>
      </c>
      <c r="W194" t="s">
        <v>12991</v>
      </c>
      <c r="X194">
        <v>28</v>
      </c>
      <c r="Y194" t="s">
        <v>19318</v>
      </c>
      <c r="Z194" t="s">
        <v>25512</v>
      </c>
      <c r="AA194">
        <v>0.44367704146787662</v>
      </c>
      <c r="AB194" t="str">
        <f>HYPERLINK("Melting_Curves/meltCurve_B4DVE7_ANXA11.pdf", "Melting_Curves/meltCurve_B4DVE7_ANXA11.pdf")</f>
        <v>Melting_Curves/meltCurve_B4DVE7_ANXA11.pdf</v>
      </c>
    </row>
    <row r="195" spans="1:28" x14ac:dyDescent="0.25">
      <c r="A195" t="s">
        <v>199</v>
      </c>
      <c r="B195">
        <v>0.99542014353169495</v>
      </c>
      <c r="C195">
        <v>0.99967676402787098</v>
      </c>
      <c r="D195">
        <v>0.98244579088204997</v>
      </c>
      <c r="E195">
        <v>0.80687340032424004</v>
      </c>
      <c r="F195">
        <v>0.46238315273998598</v>
      </c>
      <c r="G195">
        <v>0.202737136326895</v>
      </c>
      <c r="H195">
        <v>9.6329076560809204E-2</v>
      </c>
      <c r="I195">
        <v>6.1639802160592803E-2</v>
      </c>
      <c r="J195">
        <v>6.5792866346061296E-2</v>
      </c>
      <c r="K195">
        <v>7.2635567227134795E-2</v>
      </c>
      <c r="L195">
        <v>1098.5631433732301</v>
      </c>
      <c r="M195">
        <v>22.175623085248301</v>
      </c>
      <c r="N195">
        <v>49.819812061717002</v>
      </c>
      <c r="O195">
        <v>49.141646304409498</v>
      </c>
      <c r="P195">
        <v>-0.106194762506854</v>
      </c>
      <c r="Q195">
        <v>5.87010702969099E-2</v>
      </c>
      <c r="R195">
        <v>0.99964466110509898</v>
      </c>
      <c r="S195" t="s">
        <v>6597</v>
      </c>
      <c r="T195" t="s">
        <v>12802</v>
      </c>
      <c r="U195" t="s">
        <v>12802</v>
      </c>
      <c r="V195" t="s">
        <v>12802</v>
      </c>
      <c r="W195" t="s">
        <v>12996</v>
      </c>
      <c r="X195">
        <v>6</v>
      </c>
      <c r="Y195" t="s">
        <v>19319</v>
      </c>
      <c r="Z195" t="s">
        <v>25513</v>
      </c>
      <c r="AA195">
        <v>0.46241568967968222</v>
      </c>
      <c r="AB195" t="str">
        <f>HYPERLINK("Melting_Curves/meltCurve_B4DVT3_VWA9.pdf", "Melting_Curves/meltCurve_B4DVT3_VWA9.pdf")</f>
        <v>Melting_Curves/meltCurve_B4DVT3_VWA9.pdf</v>
      </c>
    </row>
    <row r="196" spans="1:28" x14ac:dyDescent="0.25">
      <c r="A196" t="s">
        <v>200</v>
      </c>
      <c r="B196">
        <v>0.99542014353169495</v>
      </c>
      <c r="C196">
        <v>0.82105034110723296</v>
      </c>
      <c r="D196">
        <v>0.876149161344426</v>
      </c>
      <c r="E196">
        <v>0.48544276452878998</v>
      </c>
      <c r="F196">
        <v>0.138562889223037</v>
      </c>
      <c r="G196">
        <v>8.0702322957361697E-2</v>
      </c>
      <c r="H196">
        <v>4.4439850722595098E-2</v>
      </c>
      <c r="I196">
        <v>3.10962454085273E-2</v>
      </c>
      <c r="J196">
        <v>3.2271564842406002E-2</v>
      </c>
      <c r="K196">
        <v>3.4956952102434498E-2</v>
      </c>
      <c r="L196">
        <v>981.13872793734902</v>
      </c>
      <c r="M196">
        <v>21.2283969829817</v>
      </c>
      <c r="N196">
        <v>46.333129189420802</v>
      </c>
      <c r="O196">
        <v>45.813940298457702</v>
      </c>
      <c r="P196">
        <v>-0.11287267936984099</v>
      </c>
      <c r="Q196">
        <v>2.5642873404395899E-2</v>
      </c>
      <c r="R196">
        <v>0.98266288124338397</v>
      </c>
      <c r="S196" t="s">
        <v>6598</v>
      </c>
      <c r="T196" t="s">
        <v>12802</v>
      </c>
      <c r="U196" t="s">
        <v>12802</v>
      </c>
      <c r="V196" t="s">
        <v>12802</v>
      </c>
      <c r="W196" t="s">
        <v>12997</v>
      </c>
      <c r="X196">
        <v>22</v>
      </c>
      <c r="Y196" t="s">
        <v>19320</v>
      </c>
      <c r="Z196" t="s">
        <v>25514</v>
      </c>
      <c r="AA196">
        <v>0.33633029557654093</v>
      </c>
      <c r="AB196" t="str">
        <f>HYPERLINK("Melting_Curves/meltCurve_B4DVY1_EIF3D.pdf", "Melting_Curves/meltCurve_B4DVY1_EIF3D.pdf")</f>
        <v>Melting_Curves/meltCurve_B4DVY1_EIF3D.pdf</v>
      </c>
    </row>
    <row r="197" spans="1:28" x14ac:dyDescent="0.25">
      <c r="A197" t="s">
        <v>201</v>
      </c>
      <c r="B197">
        <v>0.99542014353169495</v>
      </c>
      <c r="C197">
        <v>1.09002545549082</v>
      </c>
      <c r="D197">
        <v>0.87262593371749997</v>
      </c>
      <c r="E197">
        <v>0.74319815597280003</v>
      </c>
      <c r="F197">
        <v>0.47752788811306801</v>
      </c>
      <c r="G197">
        <v>0.32737848453878399</v>
      </c>
      <c r="H197">
        <v>0.19579950137823199</v>
      </c>
      <c r="I197">
        <v>0.13163361236632401</v>
      </c>
      <c r="J197">
        <v>0.15720797049471499</v>
      </c>
      <c r="K197">
        <v>0.138604601231196</v>
      </c>
      <c r="L197">
        <v>779.76488228236406</v>
      </c>
      <c r="M197">
        <v>15.8661903089654</v>
      </c>
      <c r="N197">
        <v>50.025429721915998</v>
      </c>
      <c r="O197">
        <v>48.385474629365198</v>
      </c>
      <c r="P197">
        <v>-7.2010407845448501E-2</v>
      </c>
      <c r="Q197">
        <v>0.121660558565915</v>
      </c>
      <c r="R197">
        <v>0.98726858620964097</v>
      </c>
      <c r="S197" t="s">
        <v>6599</v>
      </c>
      <c r="T197" t="s">
        <v>12802</v>
      </c>
      <c r="U197" t="s">
        <v>12802</v>
      </c>
      <c r="V197" t="s">
        <v>12802</v>
      </c>
      <c r="W197" t="s">
        <v>12998</v>
      </c>
      <c r="X197">
        <v>1</v>
      </c>
      <c r="Y197" t="s">
        <v>19321</v>
      </c>
      <c r="Z197" t="s">
        <v>25515</v>
      </c>
      <c r="AA197">
        <v>0.49450512481452258</v>
      </c>
      <c r="AB197" t="str">
        <f>HYPERLINK("Melting_Curves/meltCurve_B4DVZ6_FOXO3.pdf", "Melting_Curves/meltCurve_B4DVZ6_FOXO3.pdf")</f>
        <v>Melting_Curves/meltCurve_B4DVZ6_FOXO3.pdf</v>
      </c>
    </row>
    <row r="198" spans="1:28" x14ac:dyDescent="0.25">
      <c r="A198" t="s">
        <v>202</v>
      </c>
      <c r="B198">
        <v>0.99542014353169495</v>
      </c>
      <c r="C198">
        <v>0.86164629126873804</v>
      </c>
      <c r="D198">
        <v>0.90022966230919299</v>
      </c>
      <c r="E198">
        <v>0.75276075976399104</v>
      </c>
      <c r="F198">
        <v>0.57638045095523505</v>
      </c>
      <c r="G198">
        <v>0.31674170441218502</v>
      </c>
      <c r="H198">
        <v>0.24672879103687001</v>
      </c>
      <c r="I198">
        <v>0.175553132020314</v>
      </c>
      <c r="J198">
        <v>0.112573854593044</v>
      </c>
      <c r="K198">
        <v>7.9050599127635901E-2</v>
      </c>
      <c r="L198">
        <v>542.82847872600905</v>
      </c>
      <c r="M198">
        <v>10.648346822324401</v>
      </c>
      <c r="N198">
        <v>51.083587238026603</v>
      </c>
      <c r="O198">
        <v>49.2784218233584</v>
      </c>
      <c r="P198">
        <v>-5.3452247052497702E-2</v>
      </c>
      <c r="Q198">
        <v>1.0912848271919099E-2</v>
      </c>
      <c r="R198">
        <v>0.98842348703992</v>
      </c>
      <c r="S198" t="s">
        <v>6600</v>
      </c>
      <c r="T198" t="s">
        <v>12802</v>
      </c>
      <c r="U198" t="s">
        <v>12802</v>
      </c>
      <c r="V198" t="s">
        <v>12802</v>
      </c>
      <c r="W198" t="s">
        <v>12999</v>
      </c>
      <c r="X198">
        <v>13</v>
      </c>
      <c r="Y198" t="s">
        <v>19322</v>
      </c>
      <c r="Z198" t="s">
        <v>25516</v>
      </c>
      <c r="AA198">
        <v>0.50052078669726696</v>
      </c>
      <c r="AB198" t="str">
        <f>HYPERLINK("Melting_Curves/meltCurve_B4DWI1_HACL1.pdf", "Melting_Curves/meltCurve_B4DWI1_HACL1.pdf")</f>
        <v>Melting_Curves/meltCurve_B4DWI1_HACL1.pdf</v>
      </c>
    </row>
    <row r="199" spans="1:28" x14ac:dyDescent="0.25">
      <c r="A199" t="s">
        <v>203</v>
      </c>
      <c r="B199">
        <v>0.99542014353169495</v>
      </c>
      <c r="C199">
        <v>0.96124837108983696</v>
      </c>
      <c r="D199">
        <v>0.96313272148065698</v>
      </c>
      <c r="E199">
        <v>0.43475179151947002</v>
      </c>
      <c r="F199">
        <v>0.22654405782572201</v>
      </c>
      <c r="G199">
        <v>0.121073800212511</v>
      </c>
      <c r="H199">
        <v>7.3810112256770394E-2</v>
      </c>
      <c r="I199">
        <v>5.61428690392946E-2</v>
      </c>
      <c r="J199">
        <v>6.87273175246398E-2</v>
      </c>
      <c r="K199">
        <v>6.8594525137067194E-2</v>
      </c>
      <c r="L199">
        <v>1353.8056349506801</v>
      </c>
      <c r="M199">
        <v>29.328481019212798</v>
      </c>
      <c r="N199">
        <v>46.444367528498603</v>
      </c>
      <c r="O199">
        <v>45.947091469152497</v>
      </c>
      <c r="P199">
        <v>-0.14646849696311701</v>
      </c>
      <c r="Q199">
        <v>8.2154519787697305E-2</v>
      </c>
      <c r="R199">
        <v>0.99203632597028801</v>
      </c>
      <c r="S199" t="s">
        <v>6601</v>
      </c>
      <c r="T199" t="s">
        <v>12802</v>
      </c>
      <c r="U199" t="s">
        <v>12802</v>
      </c>
      <c r="V199" t="s">
        <v>12802</v>
      </c>
      <c r="W199" t="s">
        <v>13000</v>
      </c>
      <c r="X199">
        <v>21</v>
      </c>
      <c r="Y199" t="s">
        <v>19323</v>
      </c>
      <c r="Z199" t="s">
        <v>25517</v>
      </c>
      <c r="AA199">
        <v>0.36790631732215689</v>
      </c>
      <c r="AB199" t="str">
        <f>HYPERLINK("Melting_Curves/meltCurve_B4DXZ6_FXR1.pdf", "Melting_Curves/meltCurve_B4DXZ6_FXR1.pdf")</f>
        <v>Melting_Curves/meltCurve_B4DXZ6_FXR1.pdf</v>
      </c>
    </row>
    <row r="200" spans="1:28" x14ac:dyDescent="0.25">
      <c r="A200" t="s">
        <v>204</v>
      </c>
      <c r="B200">
        <v>0.99542014353169495</v>
      </c>
      <c r="C200">
        <v>0.93538046320345003</v>
      </c>
      <c r="D200">
        <v>0.854402381514344</v>
      </c>
      <c r="E200">
        <v>0.42728639486632802</v>
      </c>
      <c r="F200">
        <v>0.30031964836960501</v>
      </c>
      <c r="G200">
        <v>0.16670510243825301</v>
      </c>
      <c r="H200">
        <v>0.114814901642628</v>
      </c>
      <c r="I200">
        <v>8.9264640901959999E-2</v>
      </c>
      <c r="J200">
        <v>0.126136727762057</v>
      </c>
      <c r="K200">
        <v>0.128733413641716</v>
      </c>
      <c r="L200">
        <v>920.14434626702905</v>
      </c>
      <c r="M200">
        <v>20.097093651804698</v>
      </c>
      <c r="N200">
        <v>46.396811703505399</v>
      </c>
      <c r="O200">
        <v>45.338856018957102</v>
      </c>
      <c r="P200">
        <v>-9.7919110315279195E-2</v>
      </c>
      <c r="Q200">
        <v>0.116409840504138</v>
      </c>
      <c r="R200">
        <v>0.99201045458074599</v>
      </c>
      <c r="S200" t="s">
        <v>6602</v>
      </c>
      <c r="T200" t="s">
        <v>12802</v>
      </c>
      <c r="U200" t="s">
        <v>12802</v>
      </c>
      <c r="V200" t="s">
        <v>12802</v>
      </c>
      <c r="W200" t="s">
        <v>13001</v>
      </c>
      <c r="X200">
        <v>3</v>
      </c>
      <c r="Y200" t="s">
        <v>19324</v>
      </c>
      <c r="Z200" t="s">
        <v>25518</v>
      </c>
      <c r="AA200">
        <v>0.38659483899606512</v>
      </c>
      <c r="AB200" t="str">
        <f>HYPERLINK("Melting_Curves/meltCurve_B4DY13_GTPBP4.pdf", "Melting_Curves/meltCurve_B4DY13_GTPBP4.pdf")</f>
        <v>Melting_Curves/meltCurve_B4DY13_GTPBP4.pdf</v>
      </c>
    </row>
    <row r="201" spans="1:28" x14ac:dyDescent="0.25">
      <c r="A201" t="s">
        <v>205</v>
      </c>
      <c r="B201">
        <v>0.99542014353169495</v>
      </c>
      <c r="C201">
        <v>0.87978570167592896</v>
      </c>
      <c r="D201">
        <v>0.97730994931460002</v>
      </c>
      <c r="E201">
        <v>0.63927557278788405</v>
      </c>
      <c r="F201">
        <v>0.34087055734571903</v>
      </c>
      <c r="G201">
        <v>0.20026251750996499</v>
      </c>
      <c r="H201">
        <v>9.7220321971775894E-2</v>
      </c>
      <c r="I201">
        <v>7.4274896886609501E-2</v>
      </c>
      <c r="J201">
        <v>8.7049242949363906E-2</v>
      </c>
      <c r="K201">
        <v>0.11148616512613101</v>
      </c>
      <c r="L201">
        <v>961.11016469905201</v>
      </c>
      <c r="M201">
        <v>20.0927368454972</v>
      </c>
      <c r="N201">
        <v>48.280798923915903</v>
      </c>
      <c r="O201">
        <v>47.367459837204599</v>
      </c>
      <c r="P201">
        <v>-9.7048029834167701E-2</v>
      </c>
      <c r="Q201">
        <v>8.4888889932002595E-2</v>
      </c>
      <c r="R201">
        <v>0.98737175113784303</v>
      </c>
      <c r="S201" t="s">
        <v>6603</v>
      </c>
      <c r="T201" t="s">
        <v>12802</v>
      </c>
      <c r="U201" t="s">
        <v>12802</v>
      </c>
      <c r="V201" t="s">
        <v>12802</v>
      </c>
      <c r="W201" t="s">
        <v>13002</v>
      </c>
      <c r="X201">
        <v>3</v>
      </c>
      <c r="Y201" t="s">
        <v>19325</v>
      </c>
      <c r="Z201" t="s">
        <v>25519</v>
      </c>
      <c r="AA201">
        <v>0.42726777705332603</v>
      </c>
      <c r="AB201" t="str">
        <f>HYPERLINK("Melting_Curves/meltCurve_B4DY26_TGFBR1.pdf", "Melting_Curves/meltCurve_B4DY26_TGFBR1.pdf")</f>
        <v>Melting_Curves/meltCurve_B4DY26_TGFBR1.pdf</v>
      </c>
    </row>
    <row r="202" spans="1:28" x14ac:dyDescent="0.25">
      <c r="A202" t="s">
        <v>206</v>
      </c>
      <c r="B202">
        <v>0.99542014353169495</v>
      </c>
      <c r="C202">
        <v>0.95688075734326505</v>
      </c>
      <c r="D202">
        <v>0.84472659286693497</v>
      </c>
      <c r="E202">
        <v>0.68924674409768905</v>
      </c>
      <c r="F202">
        <v>1.10875934975401</v>
      </c>
      <c r="G202">
        <v>1.03013656735671</v>
      </c>
      <c r="H202">
        <v>0.258616591852041</v>
      </c>
      <c r="I202">
        <v>0.129964245818664</v>
      </c>
      <c r="J202">
        <v>0.142423590678281</v>
      </c>
      <c r="K202">
        <v>0.15069440568863501</v>
      </c>
      <c r="L202">
        <v>14244.308258786399</v>
      </c>
      <c r="M202">
        <v>250</v>
      </c>
      <c r="N202">
        <v>57.052832549467603</v>
      </c>
      <c r="O202">
        <v>56.973586683031101</v>
      </c>
      <c r="P202">
        <v>-0.942292604852636</v>
      </c>
      <c r="Q202">
        <v>0.14102736773187899</v>
      </c>
      <c r="R202">
        <v>0.91170352106088604</v>
      </c>
      <c r="S202" t="s">
        <v>6604</v>
      </c>
      <c r="T202" t="s">
        <v>12802</v>
      </c>
      <c r="U202" t="s">
        <v>12802</v>
      </c>
      <c r="V202" t="s">
        <v>12802</v>
      </c>
      <c r="W202" t="s">
        <v>13003</v>
      </c>
      <c r="X202">
        <v>5</v>
      </c>
      <c r="Y202" t="s">
        <v>19326</v>
      </c>
      <c r="Z202" t="s">
        <v>25520</v>
      </c>
      <c r="AA202">
        <v>0.71310980816406933</v>
      </c>
      <c r="AB202" t="str">
        <f>HYPERLINK("Melting_Curves/meltCurve_B4DYB4_NUP35.pdf", "Melting_Curves/meltCurve_B4DYB4_NUP35.pdf")</f>
        <v>Melting_Curves/meltCurve_B4DYB4_NUP35.pdf</v>
      </c>
    </row>
    <row r="203" spans="1:28" x14ac:dyDescent="0.25">
      <c r="A203" t="s">
        <v>207</v>
      </c>
      <c r="B203">
        <v>0.99542014353169495</v>
      </c>
      <c r="C203">
        <v>1.0611922216649099</v>
      </c>
      <c r="D203">
        <v>1.0035720655676299</v>
      </c>
      <c r="E203">
        <v>0.87768144912673896</v>
      </c>
      <c r="F203">
        <v>0.673811718674315</v>
      </c>
      <c r="G203">
        <v>0.20139557410429701</v>
      </c>
      <c r="H203">
        <v>0.17066433663657599</v>
      </c>
      <c r="I203">
        <v>0.104447200158842</v>
      </c>
      <c r="J203">
        <v>6.9722017755623006E-2</v>
      </c>
      <c r="K203">
        <v>5.5511749915832201E-2</v>
      </c>
      <c r="L203">
        <v>1384.4571298318799</v>
      </c>
      <c r="M203">
        <v>27.162916557024602</v>
      </c>
      <c r="N203">
        <v>51.2855986601921</v>
      </c>
      <c r="O203">
        <v>50.694800567760701</v>
      </c>
      <c r="P203">
        <v>-0.12360403596785501</v>
      </c>
      <c r="Q203">
        <v>7.72682613843933E-2</v>
      </c>
      <c r="R203">
        <v>0.991199542716793</v>
      </c>
      <c r="S203" t="s">
        <v>6605</v>
      </c>
      <c r="T203" t="s">
        <v>12802</v>
      </c>
      <c r="U203" t="s">
        <v>12802</v>
      </c>
      <c r="V203" t="s">
        <v>12802</v>
      </c>
      <c r="W203" t="s">
        <v>13004</v>
      </c>
      <c r="X203">
        <v>2</v>
      </c>
      <c r="Y203" t="s">
        <v>19327</v>
      </c>
      <c r="Z203" t="s">
        <v>25521</v>
      </c>
      <c r="AA203">
        <v>0.51387303789997762</v>
      </c>
      <c r="AB203" t="str">
        <f>HYPERLINK("Melting_Curves/meltCurve_B4DYI6_AUH.pdf", "Melting_Curves/meltCurve_B4DYI6_AUH.pdf")</f>
        <v>Melting_Curves/meltCurve_B4DYI6_AUH.pdf</v>
      </c>
    </row>
    <row r="204" spans="1:28" x14ac:dyDescent="0.25">
      <c r="A204" t="s">
        <v>208</v>
      </c>
      <c r="B204">
        <v>0.99542014353169495</v>
      </c>
      <c r="C204">
        <v>0.86875332084459</v>
      </c>
      <c r="D204">
        <v>0.73882789936335302</v>
      </c>
      <c r="E204">
        <v>0.56185257794905297</v>
      </c>
      <c r="F204">
        <v>0.29919515305609701</v>
      </c>
      <c r="G204">
        <v>0.192007887211949</v>
      </c>
      <c r="H204">
        <v>0.13539302149447199</v>
      </c>
      <c r="I204">
        <v>0.10665346383886901</v>
      </c>
      <c r="J204">
        <v>6.93937658395372E-2</v>
      </c>
      <c r="K204">
        <v>0.14106612406324701</v>
      </c>
      <c r="L204">
        <v>612.91704818795097</v>
      </c>
      <c r="M204">
        <v>13.239209916417799</v>
      </c>
      <c r="N204">
        <v>46.881687431922202</v>
      </c>
      <c r="O204">
        <v>45.277579119118698</v>
      </c>
      <c r="P204">
        <v>-6.7536018051910104E-2</v>
      </c>
      <c r="Q204">
        <v>7.6269868638464702E-2</v>
      </c>
      <c r="R204">
        <v>0.99282884827777995</v>
      </c>
      <c r="S204" t="s">
        <v>6606</v>
      </c>
      <c r="T204" t="s">
        <v>12802</v>
      </c>
      <c r="U204" t="s">
        <v>12802</v>
      </c>
      <c r="V204" t="s">
        <v>12802</v>
      </c>
      <c r="W204" t="s">
        <v>13005</v>
      </c>
      <c r="X204">
        <v>1</v>
      </c>
      <c r="Y204" t="s">
        <v>19328</v>
      </c>
      <c r="Z204" t="s">
        <v>25522</v>
      </c>
      <c r="AA204">
        <v>0.38901374214992468</v>
      </c>
      <c r="AB204" t="str">
        <f>HYPERLINK("Melting_Curves/meltCurve_B4DZ85_NCOA4.pdf", "Melting_Curves/meltCurve_B4DZ85_NCOA4.pdf")</f>
        <v>Melting_Curves/meltCurve_B4DZ85_NCOA4.pdf</v>
      </c>
    </row>
    <row r="205" spans="1:28" x14ac:dyDescent="0.25">
      <c r="A205" t="s">
        <v>209</v>
      </c>
      <c r="B205">
        <v>0.99542014353169495</v>
      </c>
      <c r="C205">
        <v>1.05399687784324</v>
      </c>
      <c r="D205">
        <v>0.938064569932621</v>
      </c>
      <c r="E205">
        <v>0.92050477276412601</v>
      </c>
      <c r="F205">
        <v>0.72546571552086203</v>
      </c>
      <c r="G205">
        <v>0.44832951491714901</v>
      </c>
      <c r="H205">
        <v>0.18654698278058801</v>
      </c>
      <c r="I205">
        <v>0.132899097623458</v>
      </c>
      <c r="J205">
        <v>0.161321242125432</v>
      </c>
      <c r="K205">
        <v>0.11654206177701699</v>
      </c>
      <c r="L205">
        <v>1077.6224226340801</v>
      </c>
      <c r="M205">
        <v>20.644374332175399</v>
      </c>
      <c r="N205">
        <v>52.815724983959399</v>
      </c>
      <c r="O205">
        <v>51.7169383545559</v>
      </c>
      <c r="P205">
        <v>-8.9114270302714599E-2</v>
      </c>
      <c r="Q205">
        <v>0.107052645150624</v>
      </c>
      <c r="R205">
        <v>0.99315187472851996</v>
      </c>
      <c r="S205" t="s">
        <v>6607</v>
      </c>
      <c r="T205" t="s">
        <v>12802</v>
      </c>
      <c r="U205" t="s">
        <v>12802</v>
      </c>
      <c r="V205" t="s">
        <v>12802</v>
      </c>
      <c r="W205" t="s">
        <v>13006</v>
      </c>
      <c r="X205">
        <v>4</v>
      </c>
      <c r="Y205" t="s">
        <v>19329</v>
      </c>
      <c r="Z205" t="s">
        <v>25523</v>
      </c>
      <c r="AA205">
        <v>0.57039017658562818</v>
      </c>
      <c r="AB205" t="str">
        <f>HYPERLINK("Melting_Curves/meltCurve_B4DZG7_ARL1.pdf", "Melting_Curves/meltCurve_B4DZG7_ARL1.pdf")</f>
        <v>Melting_Curves/meltCurve_B4DZG7_ARL1.pdf</v>
      </c>
    </row>
    <row r="206" spans="1:28" x14ac:dyDescent="0.25">
      <c r="A206" t="s">
        <v>210</v>
      </c>
      <c r="B206">
        <v>0.99542014353169495</v>
      </c>
      <c r="C206">
        <v>1.00659843082775</v>
      </c>
      <c r="D206">
        <v>0.91925415102419195</v>
      </c>
      <c r="E206">
        <v>0.77889455888719195</v>
      </c>
      <c r="F206">
        <v>0.55533752108964096</v>
      </c>
      <c r="G206">
        <v>0.345236592965256</v>
      </c>
      <c r="H206">
        <v>0.20219624849633</v>
      </c>
      <c r="I206">
        <v>0.107799457810031</v>
      </c>
      <c r="J206">
        <v>7.5335061655614696E-2</v>
      </c>
      <c r="K206">
        <v>8.0717319353599298E-2</v>
      </c>
      <c r="L206">
        <v>701.89252888017199</v>
      </c>
      <c r="M206">
        <v>13.8175644787236</v>
      </c>
      <c r="N206">
        <v>51.051652272479402</v>
      </c>
      <c r="O206">
        <v>49.768623945088898</v>
      </c>
      <c r="P206">
        <v>-6.7108105341858598E-2</v>
      </c>
      <c r="Q206">
        <v>3.3284739943850297E-2</v>
      </c>
      <c r="R206">
        <v>0.99897189154877997</v>
      </c>
      <c r="S206" t="s">
        <v>6608</v>
      </c>
      <c r="T206" t="s">
        <v>12802</v>
      </c>
      <c r="U206" t="s">
        <v>12802</v>
      </c>
      <c r="V206" t="s">
        <v>12802</v>
      </c>
      <c r="W206" t="s">
        <v>13007</v>
      </c>
      <c r="X206">
        <v>8</v>
      </c>
      <c r="Y206" t="s">
        <v>19330</v>
      </c>
      <c r="Z206" t="s">
        <v>25524</v>
      </c>
      <c r="AA206">
        <v>0.49969014455076249</v>
      </c>
      <c r="AB206" t="str">
        <f>HYPERLINK("Melting_Curves/meltCurve_B4DZH6_HDAC6.pdf", "Melting_Curves/meltCurve_B4DZH6_HDAC6.pdf")</f>
        <v>Melting_Curves/meltCurve_B4DZH6_HDAC6.pdf</v>
      </c>
    </row>
    <row r="207" spans="1:28" x14ac:dyDescent="0.25">
      <c r="A207" t="s">
        <v>211</v>
      </c>
      <c r="B207">
        <v>0.99542014353169495</v>
      </c>
      <c r="C207">
        <v>0.800870393346789</v>
      </c>
      <c r="D207">
        <v>0.71833402945328495</v>
      </c>
      <c r="E207">
        <v>0.32151783994625699</v>
      </c>
      <c r="F207">
        <v>0.23795355723503001</v>
      </c>
      <c r="G207">
        <v>0.160597050870674</v>
      </c>
      <c r="H207">
        <v>0.11991444640671201</v>
      </c>
      <c r="I207">
        <v>6.89784928398115E-2</v>
      </c>
      <c r="J207">
        <v>4.29232949164901E-2</v>
      </c>
      <c r="K207">
        <v>3.9942864579576999E-2</v>
      </c>
      <c r="L207">
        <v>636.65847688103702</v>
      </c>
      <c r="M207">
        <v>14.251529015656899</v>
      </c>
      <c r="N207">
        <v>45.024379778698503</v>
      </c>
      <c r="O207">
        <v>43.821029624714299</v>
      </c>
      <c r="P207">
        <v>-7.7035639109528195E-2</v>
      </c>
      <c r="Q207">
        <v>5.2631013381889802E-2</v>
      </c>
      <c r="R207">
        <v>0.98519490541834298</v>
      </c>
      <c r="S207" t="s">
        <v>6609</v>
      </c>
      <c r="T207" t="s">
        <v>12802</v>
      </c>
      <c r="U207" t="s">
        <v>12802</v>
      </c>
      <c r="V207" t="s">
        <v>12802</v>
      </c>
      <c r="W207" t="s">
        <v>13008</v>
      </c>
      <c r="X207">
        <v>5</v>
      </c>
      <c r="Y207" t="s">
        <v>19331</v>
      </c>
      <c r="Z207" t="s">
        <v>25525</v>
      </c>
      <c r="AA207">
        <v>0.3202189220083887</v>
      </c>
      <c r="AB207" t="str">
        <f>HYPERLINK("Melting_Curves/meltCurve_B4E0T2_PEX5.pdf", "Melting_Curves/meltCurve_B4E0T2_PEX5.pdf")</f>
        <v>Melting_Curves/meltCurve_B4E0T2_PEX5.pdf</v>
      </c>
    </row>
    <row r="208" spans="1:28" x14ac:dyDescent="0.25">
      <c r="A208" t="s">
        <v>212</v>
      </c>
      <c r="B208">
        <v>0.99542014353169495</v>
      </c>
      <c r="C208">
        <v>0.77154548791477295</v>
      </c>
      <c r="D208">
        <v>0.65591274679730405</v>
      </c>
      <c r="E208">
        <v>0.26224060477517702</v>
      </c>
      <c r="F208">
        <v>0.15540758418921399</v>
      </c>
      <c r="G208">
        <v>6.8633658966960401E-2</v>
      </c>
      <c r="H208">
        <v>4.3951066758638302E-2</v>
      </c>
      <c r="I208">
        <v>2.6339957900917699E-2</v>
      </c>
      <c r="J208">
        <v>2.5667432645406101E-2</v>
      </c>
      <c r="K208">
        <v>1.9926245884034698E-2</v>
      </c>
      <c r="L208">
        <v>697.08362542000498</v>
      </c>
      <c r="M208">
        <v>15.8449023515089</v>
      </c>
      <c r="N208">
        <v>44.091704395936702</v>
      </c>
      <c r="O208">
        <v>43.311292953938498</v>
      </c>
      <c r="P208">
        <v>-8.9891917724669396E-2</v>
      </c>
      <c r="Q208">
        <v>1.72182674261721E-2</v>
      </c>
      <c r="R208">
        <v>0.99026206233382197</v>
      </c>
      <c r="S208" t="s">
        <v>6610</v>
      </c>
      <c r="T208" t="s">
        <v>12802</v>
      </c>
      <c r="U208" t="s">
        <v>12802</v>
      </c>
      <c r="V208" t="s">
        <v>12802</v>
      </c>
      <c r="W208" t="s">
        <v>13009</v>
      </c>
      <c r="X208">
        <v>4</v>
      </c>
      <c r="Y208" t="s">
        <v>19332</v>
      </c>
      <c r="Z208" t="s">
        <v>25526</v>
      </c>
      <c r="AA208">
        <v>0.26811253882781189</v>
      </c>
      <c r="AB208" t="str">
        <f>HYPERLINK("Melting_Curves/meltCurve_B4E0T7_LRCH3.pdf", "Melting_Curves/meltCurve_B4E0T7_LRCH3.pdf")</f>
        <v>Melting_Curves/meltCurve_B4E0T7_LRCH3.pdf</v>
      </c>
    </row>
    <row r="209" spans="1:28" x14ac:dyDescent="0.25">
      <c r="A209" t="s">
        <v>213</v>
      </c>
      <c r="B209">
        <v>0.99542014353169495</v>
      </c>
      <c r="C209">
        <v>1.0124954515623701</v>
      </c>
      <c r="D209">
        <v>1.0061564491101</v>
      </c>
      <c r="E209">
        <v>0.94912763587079496</v>
      </c>
      <c r="F209">
        <v>0.73269502068549197</v>
      </c>
      <c r="G209">
        <v>0.52913690139619096</v>
      </c>
      <c r="H209">
        <v>0.17232539990456699</v>
      </c>
      <c r="I209">
        <v>0.101983582125466</v>
      </c>
      <c r="J209">
        <v>8.3618313434064603E-2</v>
      </c>
      <c r="K209">
        <v>8.4641398351984601E-2</v>
      </c>
      <c r="L209">
        <v>1062.5178130423101</v>
      </c>
      <c r="M209">
        <v>19.989677455041502</v>
      </c>
      <c r="N209">
        <v>53.416854335952301</v>
      </c>
      <c r="O209">
        <v>52.629952435508301</v>
      </c>
      <c r="P209">
        <v>-9.0498225397961402E-2</v>
      </c>
      <c r="Q209">
        <v>4.6955722448347802E-2</v>
      </c>
      <c r="R209">
        <v>0.99399708583783597</v>
      </c>
      <c r="S209" t="s">
        <v>6611</v>
      </c>
      <c r="T209" t="s">
        <v>12802</v>
      </c>
      <c r="U209" t="s">
        <v>12802</v>
      </c>
      <c r="V209" t="s">
        <v>12802</v>
      </c>
      <c r="W209" t="s">
        <v>13010</v>
      </c>
      <c r="X209">
        <v>8</v>
      </c>
      <c r="Y209" t="s">
        <v>19333</v>
      </c>
      <c r="Z209" t="s">
        <v>25527</v>
      </c>
      <c r="AA209">
        <v>0.57206980335174296</v>
      </c>
      <c r="AB209" t="str">
        <f>HYPERLINK("Melting_Curves/meltCurve_B4E0V0_PNPO.pdf", "Melting_Curves/meltCurve_B4E0V0_PNPO.pdf")</f>
        <v>Melting_Curves/meltCurve_B4E0V0_PNPO.pdf</v>
      </c>
    </row>
    <row r="210" spans="1:28" x14ac:dyDescent="0.25">
      <c r="A210" t="s">
        <v>214</v>
      </c>
      <c r="B210">
        <v>0.99542014353169495</v>
      </c>
      <c r="C210">
        <v>0.98067826711674599</v>
      </c>
      <c r="D210">
        <v>0.976538679176708</v>
      </c>
      <c r="E210">
        <v>0.88911197670841502</v>
      </c>
      <c r="F210">
        <v>0.56961438416473997</v>
      </c>
      <c r="G210">
        <v>0.17147732994126499</v>
      </c>
      <c r="H210">
        <v>9.63488950941815E-2</v>
      </c>
      <c r="I210">
        <v>6.6262132370535007E-2</v>
      </c>
      <c r="J210">
        <v>7.4851764234732499E-2</v>
      </c>
      <c r="K210">
        <v>7.9225841082485093E-2</v>
      </c>
      <c r="L210">
        <v>1432.3657980038799</v>
      </c>
      <c r="M210">
        <v>28.4618546145485</v>
      </c>
      <c r="N210">
        <v>50.580608341867602</v>
      </c>
      <c r="O210">
        <v>50.079321746008397</v>
      </c>
      <c r="P210">
        <v>-0.132595579988221</v>
      </c>
      <c r="Q210">
        <v>6.6786746223449198E-2</v>
      </c>
      <c r="R210">
        <v>0.99858724848431302</v>
      </c>
      <c r="S210" t="s">
        <v>6612</v>
      </c>
      <c r="T210" t="s">
        <v>12802</v>
      </c>
      <c r="U210" t="s">
        <v>12802</v>
      </c>
      <c r="V210" t="s">
        <v>12802</v>
      </c>
      <c r="W210" t="s">
        <v>13011</v>
      </c>
      <c r="X210">
        <v>6</v>
      </c>
      <c r="Y210" t="s">
        <v>19334</v>
      </c>
      <c r="Z210" t="s">
        <v>25528</v>
      </c>
      <c r="AA210">
        <v>0.48769500109716868</v>
      </c>
      <c r="AB210" t="str">
        <f>HYPERLINK("Melting_Curves/meltCurve_B4E107_ATE1.pdf", "Melting_Curves/meltCurve_B4E107_ATE1.pdf")</f>
        <v>Melting_Curves/meltCurve_B4E107_ATE1.pdf</v>
      </c>
    </row>
    <row r="211" spans="1:28" x14ac:dyDescent="0.25">
      <c r="A211" t="s">
        <v>215</v>
      </c>
      <c r="B211">
        <v>0.99542014353169495</v>
      </c>
      <c r="C211">
        <v>0.97073722047482902</v>
      </c>
      <c r="D211">
        <v>0.73645350213933503</v>
      </c>
      <c r="E211">
        <v>0.65161298273021195</v>
      </c>
      <c r="F211">
        <v>0.47292418564294503</v>
      </c>
      <c r="G211">
        <v>0.336861635154593</v>
      </c>
      <c r="H211">
        <v>0.207078813654516</v>
      </c>
      <c r="I211">
        <v>0.193673367881214</v>
      </c>
      <c r="J211">
        <v>0.242828640027651</v>
      </c>
      <c r="K211">
        <v>0.23680999785547299</v>
      </c>
      <c r="L211">
        <v>588.66105371993297</v>
      </c>
      <c r="M211">
        <v>12.4781284041559</v>
      </c>
      <c r="N211">
        <v>48.981250101479198</v>
      </c>
      <c r="O211">
        <v>46.012958949712903</v>
      </c>
      <c r="P211">
        <v>-5.5308604423675502E-2</v>
      </c>
      <c r="Q211">
        <v>0.18436953292211899</v>
      </c>
      <c r="R211">
        <v>0.98137135155441302</v>
      </c>
      <c r="S211" t="s">
        <v>6613</v>
      </c>
      <c r="T211" t="s">
        <v>12802</v>
      </c>
      <c r="U211" t="s">
        <v>12802</v>
      </c>
      <c r="V211" t="s">
        <v>12802</v>
      </c>
      <c r="W211" t="s">
        <v>13012</v>
      </c>
      <c r="X211">
        <v>12</v>
      </c>
      <c r="Y211" t="s">
        <v>19335</v>
      </c>
      <c r="Z211" t="s">
        <v>25529</v>
      </c>
      <c r="AA211">
        <v>0.48599389319418929</v>
      </c>
      <c r="AB211" t="str">
        <f>HYPERLINK("Melting_Curves/meltCurve_B4E1J0_PBXIP1.pdf", "Melting_Curves/meltCurve_B4E1J0_PBXIP1.pdf")</f>
        <v>Melting_Curves/meltCurve_B4E1J0_PBXIP1.pdf</v>
      </c>
    </row>
    <row r="212" spans="1:28" x14ac:dyDescent="0.25">
      <c r="A212" t="s">
        <v>216</v>
      </c>
      <c r="B212">
        <v>0.99542014353169495</v>
      </c>
      <c r="C212">
        <v>0.93903021998816005</v>
      </c>
      <c r="D212">
        <v>0.97102928618749196</v>
      </c>
      <c r="E212">
        <v>0.86942788507709101</v>
      </c>
      <c r="F212">
        <v>0.606597283616923</v>
      </c>
      <c r="G212">
        <v>0.44644312596820102</v>
      </c>
      <c r="H212">
        <v>0.24174808380400201</v>
      </c>
      <c r="I212">
        <v>0.17640542533607401</v>
      </c>
      <c r="J212">
        <v>0.138713726283899</v>
      </c>
      <c r="K212">
        <v>7.2139895892989706E-2</v>
      </c>
      <c r="L212">
        <v>715.71539409555396</v>
      </c>
      <c r="M212">
        <v>13.751622191291601</v>
      </c>
      <c r="N212">
        <v>52.4728634464621</v>
      </c>
      <c r="O212">
        <v>50.982311445284999</v>
      </c>
      <c r="P212">
        <v>-6.3872973238014302E-2</v>
      </c>
      <c r="Q212">
        <v>5.29321737047483E-2</v>
      </c>
      <c r="R212">
        <v>0.99475367158924999</v>
      </c>
      <c r="S212" t="s">
        <v>6614</v>
      </c>
      <c r="T212" t="s">
        <v>12802</v>
      </c>
      <c r="U212" t="s">
        <v>12802</v>
      </c>
      <c r="V212" t="s">
        <v>12802</v>
      </c>
      <c r="W212" t="s">
        <v>13013</v>
      </c>
      <c r="X212">
        <v>15</v>
      </c>
      <c r="Y212" t="s">
        <v>19336</v>
      </c>
      <c r="Z212" t="s">
        <v>25530</v>
      </c>
      <c r="AA212">
        <v>0.54775412344022734</v>
      </c>
      <c r="AB212" t="str">
        <f>HYPERLINK("Melting_Curves/meltCurve_B4E1Q4_RIOK3.pdf", "Melting_Curves/meltCurve_B4E1Q4_RIOK3.pdf")</f>
        <v>Melting_Curves/meltCurve_B4E1Q4_RIOK3.pdf</v>
      </c>
    </row>
    <row r="213" spans="1:28" x14ac:dyDescent="0.25">
      <c r="A213" t="s">
        <v>217</v>
      </c>
      <c r="B213">
        <v>0.99542014353169495</v>
      </c>
      <c r="C213">
        <v>1.04786319804544</v>
      </c>
      <c r="D213">
        <v>1.0785635296524501</v>
      </c>
      <c r="E213">
        <v>0.92762194603717096</v>
      </c>
      <c r="F213">
        <v>0.76417851213075305</v>
      </c>
      <c r="G213">
        <v>0.61837899355275705</v>
      </c>
      <c r="H213">
        <v>0.374986487809363</v>
      </c>
      <c r="I213">
        <v>0.31783930656576798</v>
      </c>
      <c r="J213">
        <v>0.47305804150716202</v>
      </c>
      <c r="K213">
        <v>1.2463354908620601</v>
      </c>
      <c r="L213">
        <v>1884.00283186357</v>
      </c>
      <c r="M213">
        <v>38.115197376803998</v>
      </c>
      <c r="O213">
        <v>49.293700273170103</v>
      </c>
      <c r="P213">
        <v>-7.6496756469744298E-2</v>
      </c>
      <c r="Q213">
        <v>0.60427345741315996</v>
      </c>
      <c r="R213">
        <v>0.39068550880374803</v>
      </c>
      <c r="S213" t="s">
        <v>6615</v>
      </c>
      <c r="T213" t="s">
        <v>12802</v>
      </c>
      <c r="U213" t="s">
        <v>12802</v>
      </c>
      <c r="V213" t="s">
        <v>12802</v>
      </c>
      <c r="W213" t="s">
        <v>13014</v>
      </c>
      <c r="X213">
        <v>9</v>
      </c>
      <c r="Y213" t="s">
        <v>19337</v>
      </c>
      <c r="Z213" t="s">
        <v>25531</v>
      </c>
      <c r="AA213">
        <v>0.76971465267247174</v>
      </c>
      <c r="AB213" t="str">
        <f>HYPERLINK("Melting_Curves/meltCurve_B4E241_SFRS3.pdf", "Melting_Curves/meltCurve_B4E241_SFRS3.pdf")</f>
        <v>Melting_Curves/meltCurve_B4E241_SFRS3.pdf</v>
      </c>
    </row>
    <row r="214" spans="1:28" x14ac:dyDescent="0.25">
      <c r="A214" t="s">
        <v>218</v>
      </c>
      <c r="B214">
        <v>0.99542014353169495</v>
      </c>
      <c r="C214">
        <v>1.04029338326734</v>
      </c>
      <c r="D214">
        <v>1.0103023511638001</v>
      </c>
      <c r="E214">
        <v>0.92749157399403404</v>
      </c>
      <c r="F214">
        <v>0.64129030160455702</v>
      </c>
      <c r="G214">
        <v>0.32020535362713898</v>
      </c>
      <c r="H214">
        <v>0.17976184162599501</v>
      </c>
      <c r="I214">
        <v>0.15833739116980999</v>
      </c>
      <c r="J214">
        <v>0.14906167168937501</v>
      </c>
      <c r="K214">
        <v>0.174446505753442</v>
      </c>
      <c r="L214">
        <v>1350.97121987438</v>
      </c>
      <c r="M214">
        <v>26.589433595953199</v>
      </c>
      <c r="N214">
        <v>51.521403201259297</v>
      </c>
      <c r="O214">
        <v>50.5237928783013</v>
      </c>
      <c r="P214">
        <v>-0.111321681555566</v>
      </c>
      <c r="Q214">
        <v>0.153899294749475</v>
      </c>
      <c r="R214">
        <v>0.99813402187992994</v>
      </c>
      <c r="S214" t="s">
        <v>6616</v>
      </c>
      <c r="T214" t="s">
        <v>12802</v>
      </c>
      <c r="U214" t="s">
        <v>12802</v>
      </c>
      <c r="V214" t="s">
        <v>12802</v>
      </c>
      <c r="W214" t="s">
        <v>13015</v>
      </c>
      <c r="X214">
        <v>7</v>
      </c>
      <c r="Y214" t="s">
        <v>19338</v>
      </c>
      <c r="Z214" t="s">
        <v>25532</v>
      </c>
      <c r="AA214">
        <v>0.54998389518689494</v>
      </c>
      <c r="AB214" t="str">
        <f>HYPERLINK("Melting_Curves/meltCurve_B4E2B6_PUM2.pdf", "Melting_Curves/meltCurve_B4E2B6_PUM2.pdf")</f>
        <v>Melting_Curves/meltCurve_B4E2B6_PUM2.pdf</v>
      </c>
    </row>
    <row r="215" spans="1:28" x14ac:dyDescent="0.25">
      <c r="A215" t="s">
        <v>219</v>
      </c>
      <c r="B215">
        <v>0.99542014353169495</v>
      </c>
      <c r="C215">
        <v>0.82358775005530105</v>
      </c>
      <c r="D215">
        <v>0.96254528528185501</v>
      </c>
      <c r="E215">
        <v>0.60200653467992005</v>
      </c>
      <c r="F215">
        <v>0.54903993334715795</v>
      </c>
      <c r="G215">
        <v>0.28554907637728599</v>
      </c>
      <c r="H215">
        <v>0.244026246192829</v>
      </c>
      <c r="I215">
        <v>0.13854512699751501</v>
      </c>
      <c r="J215">
        <v>0.25152891485550299</v>
      </c>
      <c r="K215">
        <v>0.14582871736349201</v>
      </c>
      <c r="L215">
        <v>607.39572589731904</v>
      </c>
      <c r="M215">
        <v>12.5268850209339</v>
      </c>
      <c r="N215">
        <v>49.734308985601402</v>
      </c>
      <c r="O215">
        <v>47.301482010156199</v>
      </c>
      <c r="P215">
        <v>-5.7296791402563697E-2</v>
      </c>
      <c r="Q215">
        <v>0.134766463621808</v>
      </c>
      <c r="R215">
        <v>0.95152619282103201</v>
      </c>
      <c r="S215" t="s">
        <v>6617</v>
      </c>
      <c r="T215" t="s">
        <v>12802</v>
      </c>
      <c r="U215" t="s">
        <v>12802</v>
      </c>
      <c r="V215" t="s">
        <v>12802</v>
      </c>
      <c r="W215" t="s">
        <v>13016</v>
      </c>
      <c r="X215">
        <v>11</v>
      </c>
      <c r="Y215" t="s">
        <v>19339</v>
      </c>
      <c r="Z215" t="s">
        <v>25533</v>
      </c>
      <c r="AA215">
        <v>0.49093863649125502</v>
      </c>
      <c r="AB215" t="str">
        <f>HYPERLINK("Melting_Curves/meltCurve_B4E2V5_STOM.pdf", "Melting_Curves/meltCurve_B4E2V5_STOM.pdf")</f>
        <v>Melting_Curves/meltCurve_B4E2V5_STOM.pdf</v>
      </c>
    </row>
    <row r="216" spans="1:28" x14ac:dyDescent="0.25">
      <c r="A216" t="s">
        <v>220</v>
      </c>
      <c r="B216">
        <v>0.99542014353169495</v>
      </c>
      <c r="C216">
        <v>0.87549332959341997</v>
      </c>
      <c r="D216">
        <v>0.96404878464816901</v>
      </c>
      <c r="E216">
        <v>0.75945999149228505</v>
      </c>
      <c r="F216">
        <v>0.28519414607464</v>
      </c>
      <c r="G216">
        <v>0.13288325638975701</v>
      </c>
      <c r="H216">
        <v>8.1995897314516702E-2</v>
      </c>
      <c r="I216">
        <v>5.7503488246578201E-2</v>
      </c>
      <c r="J216">
        <v>6.1275338191424798E-2</v>
      </c>
      <c r="K216">
        <v>7.248869148506E-2</v>
      </c>
      <c r="L216">
        <v>1361.8642813246299</v>
      </c>
      <c r="M216">
        <v>28.232227507021602</v>
      </c>
      <c r="N216">
        <v>48.485335020882403</v>
      </c>
      <c r="O216">
        <v>47.997858727099199</v>
      </c>
      <c r="P216">
        <v>-0.13718625839729601</v>
      </c>
      <c r="Q216">
        <v>6.7081483695617297E-2</v>
      </c>
      <c r="R216">
        <v>0.98974181536299499</v>
      </c>
      <c r="S216" t="s">
        <v>6618</v>
      </c>
      <c r="T216" t="s">
        <v>12802</v>
      </c>
      <c r="U216" t="s">
        <v>12802</v>
      </c>
      <c r="V216" t="s">
        <v>12802</v>
      </c>
      <c r="W216" t="s">
        <v>13017</v>
      </c>
      <c r="X216">
        <v>20</v>
      </c>
      <c r="Y216" t="s">
        <v>19340</v>
      </c>
      <c r="Z216" t="s">
        <v>25534</v>
      </c>
      <c r="AA216">
        <v>0.42281750338973079</v>
      </c>
      <c r="AB216" t="str">
        <f>HYPERLINK("Melting_Curves/meltCurve_B4E2W0_HADHB.pdf", "Melting_Curves/meltCurve_B4E2W0_HADHB.pdf")</f>
        <v>Melting_Curves/meltCurve_B4E2W0_HADHB.pdf</v>
      </c>
    </row>
    <row r="217" spans="1:28" x14ac:dyDescent="0.25">
      <c r="A217" t="s">
        <v>221</v>
      </c>
      <c r="B217">
        <v>0.99542014353169495</v>
      </c>
      <c r="C217">
        <v>0.97992850418098099</v>
      </c>
      <c r="D217">
        <v>0.90237449412610304</v>
      </c>
      <c r="E217">
        <v>0.67567406617339298</v>
      </c>
      <c r="F217">
        <v>0.194545658668102</v>
      </c>
      <c r="G217">
        <v>0.12271451301882499</v>
      </c>
      <c r="H217">
        <v>7.7878149246517897E-2</v>
      </c>
      <c r="I217">
        <v>5.1651568694382803E-2</v>
      </c>
      <c r="J217">
        <v>5.1608205940432597E-2</v>
      </c>
      <c r="K217">
        <v>4.7274628436857001E-2</v>
      </c>
      <c r="L217">
        <v>1305.82814119042</v>
      </c>
      <c r="M217">
        <v>27.5040218641102</v>
      </c>
      <c r="N217">
        <v>47.685154811970797</v>
      </c>
      <c r="O217">
        <v>47.228860861463602</v>
      </c>
      <c r="P217">
        <v>-0.13738160672674199</v>
      </c>
      <c r="Q217">
        <v>5.6382850762795401E-2</v>
      </c>
      <c r="R217">
        <v>0.99644370231059998</v>
      </c>
      <c r="S217" t="s">
        <v>6619</v>
      </c>
      <c r="T217" t="s">
        <v>12802</v>
      </c>
      <c r="U217" t="s">
        <v>12802</v>
      </c>
      <c r="V217" t="s">
        <v>12802</v>
      </c>
      <c r="W217" t="s">
        <v>13018</v>
      </c>
      <c r="X217">
        <v>15</v>
      </c>
      <c r="Y217" t="s">
        <v>19341</v>
      </c>
      <c r="Z217" t="s">
        <v>25535</v>
      </c>
      <c r="AA217">
        <v>0.39253924292904308</v>
      </c>
      <c r="AB217" t="str">
        <f>HYPERLINK("Melting_Curves/meltCurve_B4E2X3_METTL13.pdf", "Melting_Curves/meltCurve_B4E2X3_METTL13.pdf")</f>
        <v>Melting_Curves/meltCurve_B4E2X3_METTL13.pdf</v>
      </c>
    </row>
    <row r="218" spans="1:28" x14ac:dyDescent="0.25">
      <c r="A218" t="s">
        <v>222</v>
      </c>
      <c r="B218">
        <v>0.99542014353169495</v>
      </c>
      <c r="C218">
        <v>0.90046390551043798</v>
      </c>
      <c r="D218">
        <v>0.81442973937603602</v>
      </c>
      <c r="E218">
        <v>0.47608061475938401</v>
      </c>
      <c r="F218">
        <v>0.24683699074659499</v>
      </c>
      <c r="G218">
        <v>0.16631989659511601</v>
      </c>
      <c r="H218">
        <v>0.116971704278409</v>
      </c>
      <c r="I218">
        <v>0.10333271516595199</v>
      </c>
      <c r="J218">
        <v>0.156863607274143</v>
      </c>
      <c r="K218">
        <v>0.14766549714685101</v>
      </c>
      <c r="L218">
        <v>882.82644029272103</v>
      </c>
      <c r="M218">
        <v>19.345963016755402</v>
      </c>
      <c r="N218">
        <v>46.312601228695797</v>
      </c>
      <c r="O218">
        <v>45.154434570474798</v>
      </c>
      <c r="P218">
        <v>-9.3888017456405695E-2</v>
      </c>
      <c r="Q218">
        <v>0.123475596519121</v>
      </c>
      <c r="R218">
        <v>0.99528508675893901</v>
      </c>
      <c r="S218" t="s">
        <v>6620</v>
      </c>
      <c r="T218" t="s">
        <v>12802</v>
      </c>
      <c r="U218" t="s">
        <v>12802</v>
      </c>
      <c r="V218" t="s">
        <v>12802</v>
      </c>
      <c r="W218" t="s">
        <v>13019</v>
      </c>
      <c r="X218">
        <v>3</v>
      </c>
      <c r="Y218" t="s">
        <v>19342</v>
      </c>
      <c r="Z218" t="s">
        <v>25536</v>
      </c>
      <c r="AA218">
        <v>0.38800702085091687</v>
      </c>
      <c r="AB218" t="str">
        <f>HYPERLINK("Melting_Curves/meltCurve_B4E3E5_DVL3.pdf", "Melting_Curves/meltCurve_B4E3E5_DVL3.pdf")</f>
        <v>Melting_Curves/meltCurve_B4E3E5_DVL3.pdf</v>
      </c>
    </row>
    <row r="219" spans="1:28" x14ac:dyDescent="0.25">
      <c r="A219" t="s">
        <v>223</v>
      </c>
      <c r="B219">
        <v>0.99542014353169495</v>
      </c>
      <c r="C219">
        <v>0.93133042484136797</v>
      </c>
      <c r="D219">
        <v>0.86688897131849096</v>
      </c>
      <c r="E219">
        <v>0.86889469017735399</v>
      </c>
      <c r="F219">
        <v>0.78011207280884898</v>
      </c>
      <c r="G219">
        <v>1.0039816912753901</v>
      </c>
      <c r="H219">
        <v>0.71053354363882903</v>
      </c>
      <c r="I219">
        <v>0.79638442547385202</v>
      </c>
      <c r="J219">
        <v>1.2904916923779901</v>
      </c>
      <c r="K219">
        <v>1.96363783047936</v>
      </c>
      <c r="L219">
        <v>15000</v>
      </c>
      <c r="M219">
        <v>234.33655700892501</v>
      </c>
      <c r="O219">
        <v>64.005837267264596</v>
      </c>
      <c r="P219">
        <v>0.45764684878067502</v>
      </c>
      <c r="Q219">
        <v>1.5</v>
      </c>
      <c r="R219">
        <v>0.64954179982766402</v>
      </c>
      <c r="S219" t="s">
        <v>6621</v>
      </c>
      <c r="T219" t="s">
        <v>12802</v>
      </c>
      <c r="U219" t="s">
        <v>12802</v>
      </c>
      <c r="V219" t="s">
        <v>12802</v>
      </c>
      <c r="W219" t="s">
        <v>13020</v>
      </c>
      <c r="X219">
        <v>2</v>
      </c>
      <c r="Y219" t="s">
        <v>19343</v>
      </c>
      <c r="Z219" t="s">
        <v>25537</v>
      </c>
      <c r="AA219">
        <v>1.049761227361703</v>
      </c>
      <c r="AB219" t="str">
        <f>HYPERLINK("Melting_Curves/meltCurve_B5MBW9_CHCHD10.pdf", "Melting_Curves/meltCurve_B5MBW9_CHCHD10.pdf")</f>
        <v>Melting_Curves/meltCurve_B5MBW9_CHCHD10.pdf</v>
      </c>
    </row>
    <row r="220" spans="1:28" x14ac:dyDescent="0.25">
      <c r="A220" t="s">
        <v>224</v>
      </c>
      <c r="B220">
        <v>0.99542014353169495</v>
      </c>
      <c r="C220">
        <v>1.15489548712658</v>
      </c>
      <c r="D220">
        <v>0.93904452823766704</v>
      </c>
      <c r="E220">
        <v>0.775632283224024</v>
      </c>
      <c r="F220">
        <v>0.487212998699527</v>
      </c>
      <c r="G220">
        <v>0.251911959565563</v>
      </c>
      <c r="H220">
        <v>0.16844511767608999</v>
      </c>
      <c r="I220">
        <v>0.14537451417682601</v>
      </c>
      <c r="J220">
        <v>0.16911906927109299</v>
      </c>
      <c r="K220">
        <v>0.20635485534255499</v>
      </c>
      <c r="L220">
        <v>1096.65613895519</v>
      </c>
      <c r="M220">
        <v>22.4140585740974</v>
      </c>
      <c r="N220">
        <v>49.797000764327002</v>
      </c>
      <c r="O220">
        <v>48.542687396866903</v>
      </c>
      <c r="P220">
        <v>-9.6737802220083699E-2</v>
      </c>
      <c r="Q220">
        <v>0.16198737585005499</v>
      </c>
      <c r="R220">
        <v>0.97886965419826899</v>
      </c>
      <c r="S220" t="s">
        <v>6622</v>
      </c>
      <c r="T220" t="s">
        <v>12802</v>
      </c>
      <c r="U220" t="s">
        <v>12802</v>
      </c>
      <c r="V220" t="s">
        <v>12802</v>
      </c>
      <c r="W220" t="s">
        <v>13021</v>
      </c>
      <c r="X220">
        <v>5</v>
      </c>
      <c r="Y220" t="s">
        <v>19344</v>
      </c>
      <c r="Z220" t="s">
        <v>25538</v>
      </c>
      <c r="AA220">
        <v>0.50408320234606785</v>
      </c>
      <c r="AB220" t="str">
        <f>HYPERLINK("Melting_Curves/meltCurve_B5MBX0_CDCA5.pdf", "Melting_Curves/meltCurve_B5MBX0_CDCA5.pdf")</f>
        <v>Melting_Curves/meltCurve_B5MBX0_CDCA5.pdf</v>
      </c>
    </row>
    <row r="221" spans="1:28" x14ac:dyDescent="0.25">
      <c r="A221" t="s">
        <v>225</v>
      </c>
      <c r="B221">
        <v>0.99542014353169495</v>
      </c>
      <c r="C221">
        <v>0.98570499102902298</v>
      </c>
      <c r="D221">
        <v>0.95336341481790698</v>
      </c>
      <c r="E221">
        <v>0.87753021304577505</v>
      </c>
      <c r="F221">
        <v>0.70719298679619502</v>
      </c>
      <c r="G221">
        <v>0.45834577811631799</v>
      </c>
      <c r="H221">
        <v>0.38417460268577203</v>
      </c>
      <c r="I221">
        <v>0.342313823556121</v>
      </c>
      <c r="J221">
        <v>0.47117673502116902</v>
      </c>
      <c r="K221">
        <v>0.47073746500441799</v>
      </c>
      <c r="L221">
        <v>1254.2622488198399</v>
      </c>
      <c r="M221">
        <v>25.226296915772799</v>
      </c>
      <c r="N221">
        <v>53.316243642311498</v>
      </c>
      <c r="O221">
        <v>49.411137712760301</v>
      </c>
      <c r="P221">
        <v>-7.5461063726066702E-2</v>
      </c>
      <c r="Q221">
        <v>0.40878069927092803</v>
      </c>
      <c r="R221">
        <v>0.97040709077921505</v>
      </c>
      <c r="S221" t="s">
        <v>6623</v>
      </c>
      <c r="T221" t="s">
        <v>12802</v>
      </c>
      <c r="U221" t="s">
        <v>12802</v>
      </c>
      <c r="V221" t="s">
        <v>12802</v>
      </c>
      <c r="W221" t="s">
        <v>13022</v>
      </c>
      <c r="X221">
        <v>1</v>
      </c>
      <c r="Y221" t="s">
        <v>19345</v>
      </c>
      <c r="Z221" t="s">
        <v>25539</v>
      </c>
      <c r="AA221">
        <v>0.66453222490665076</v>
      </c>
      <c r="AB221" t="str">
        <f>HYPERLINK("Melting_Curves/meltCurve_B5MBX5_LBH.pdf", "Melting_Curves/meltCurve_B5MBX5_LBH.pdf")</f>
        <v>Melting_Curves/meltCurve_B5MBX5_LBH.pdf</v>
      </c>
    </row>
    <row r="222" spans="1:28" x14ac:dyDescent="0.25">
      <c r="A222" t="s">
        <v>226</v>
      </c>
      <c r="B222">
        <v>0.99542014353169495</v>
      </c>
      <c r="C222">
        <v>0.94924844943401099</v>
      </c>
      <c r="D222">
        <v>0.941180746533958</v>
      </c>
      <c r="E222">
        <v>0.820187794015658</v>
      </c>
      <c r="F222">
        <v>0.65200639285476902</v>
      </c>
      <c r="G222">
        <v>0.39398500999449798</v>
      </c>
      <c r="H222">
        <v>0.24452727355112799</v>
      </c>
      <c r="I222">
        <v>0.168139193159137</v>
      </c>
      <c r="J222">
        <v>0.18702667986051899</v>
      </c>
      <c r="K222">
        <v>0.220039560864524</v>
      </c>
      <c r="L222">
        <v>835.16122401687903</v>
      </c>
      <c r="M222">
        <v>16.458544471298602</v>
      </c>
      <c r="N222">
        <v>51.9456806962936</v>
      </c>
      <c r="O222">
        <v>50.011949502095298</v>
      </c>
      <c r="P222">
        <v>-6.9246193305577103E-2</v>
      </c>
      <c r="Q222">
        <v>0.158395944424114</v>
      </c>
      <c r="R222">
        <v>0.99270474151161503</v>
      </c>
      <c r="S222" t="s">
        <v>6624</v>
      </c>
      <c r="T222" t="s">
        <v>12802</v>
      </c>
      <c r="U222" t="s">
        <v>12802</v>
      </c>
      <c r="V222" t="s">
        <v>12802</v>
      </c>
      <c r="W222" t="s">
        <v>13023</v>
      </c>
      <c r="X222">
        <v>10</v>
      </c>
      <c r="Y222" t="s">
        <v>19346</v>
      </c>
      <c r="Z222" t="s">
        <v>25540</v>
      </c>
      <c r="AA222">
        <v>0.55897316136940811</v>
      </c>
      <c r="AB222" t="str">
        <f>HYPERLINK("Melting_Curves/meltCurve_B5MCA4_EPCAM.pdf", "Melting_Curves/meltCurve_B5MCA4_EPCAM.pdf")</f>
        <v>Melting_Curves/meltCurve_B5MCA4_EPCAM.pdf</v>
      </c>
    </row>
    <row r="223" spans="1:28" x14ac:dyDescent="0.25">
      <c r="A223" t="s">
        <v>227</v>
      </c>
      <c r="B223">
        <v>0.99542014353169495</v>
      </c>
      <c r="C223">
        <v>0.94756401506872601</v>
      </c>
      <c r="D223">
        <v>0.74792498467623902</v>
      </c>
      <c r="E223">
        <v>0.346213133022444</v>
      </c>
      <c r="F223">
        <v>0.19381131403517199</v>
      </c>
      <c r="G223">
        <v>9.2216384184725594E-2</v>
      </c>
      <c r="H223">
        <v>5.46487044784092E-2</v>
      </c>
      <c r="I223">
        <v>4.1469424738952501E-2</v>
      </c>
      <c r="J223">
        <v>4.8590560770481898E-2</v>
      </c>
      <c r="K223">
        <v>5.6826904183183098E-2</v>
      </c>
      <c r="L223">
        <v>917.57209678551305</v>
      </c>
      <c r="M223">
        <v>20.361396595737801</v>
      </c>
      <c r="N223">
        <v>45.307294558944101</v>
      </c>
      <c r="O223">
        <v>44.636377103416798</v>
      </c>
      <c r="P223">
        <v>-0.108144330975882</v>
      </c>
      <c r="Q223">
        <v>5.1730123051565102E-2</v>
      </c>
      <c r="R223">
        <v>0.99806703846994604</v>
      </c>
      <c r="S223" t="s">
        <v>6625</v>
      </c>
      <c r="T223" t="s">
        <v>12802</v>
      </c>
      <c r="U223" t="s">
        <v>12802</v>
      </c>
      <c r="V223" t="s">
        <v>12802</v>
      </c>
      <c r="W223" t="s">
        <v>13024</v>
      </c>
      <c r="X223">
        <v>14</v>
      </c>
      <c r="Y223" t="s">
        <v>19347</v>
      </c>
      <c r="Z223" t="s">
        <v>25541</v>
      </c>
      <c r="AA223">
        <v>0.31862731874324313</v>
      </c>
      <c r="AB223" t="str">
        <f>HYPERLINK("Melting_Curves/meltCurve_B5MCF9_PES1.pdf", "Melting_Curves/meltCurve_B5MCF9_PES1.pdf")</f>
        <v>Melting_Curves/meltCurve_B5MCF9_PES1.pdf</v>
      </c>
    </row>
    <row r="224" spans="1:28" x14ac:dyDescent="0.25">
      <c r="A224" t="s">
        <v>228</v>
      </c>
      <c r="B224">
        <v>0.99542014353169495</v>
      </c>
      <c r="C224">
        <v>0.91840682188549505</v>
      </c>
      <c r="D224">
        <v>0.79450646426605098</v>
      </c>
      <c r="E224">
        <v>0.47301298259226199</v>
      </c>
      <c r="F224">
        <v>0.217800822575521</v>
      </c>
      <c r="G224">
        <v>0.111594807446383</v>
      </c>
      <c r="H224">
        <v>6.4708777100115994E-2</v>
      </c>
      <c r="I224">
        <v>6.8381856827332402E-2</v>
      </c>
      <c r="J224">
        <v>3.0422660261788401E-2</v>
      </c>
      <c r="K224">
        <v>3.76101805704274E-2</v>
      </c>
      <c r="L224">
        <v>798.74473092256005</v>
      </c>
      <c r="M224">
        <v>17.3287166177935</v>
      </c>
      <c r="N224">
        <v>46.291465294884802</v>
      </c>
      <c r="O224">
        <v>45.492995965955899</v>
      </c>
      <c r="P224">
        <v>-9.1835126583433305E-2</v>
      </c>
      <c r="Q224">
        <v>3.5678024130909598E-2</v>
      </c>
      <c r="R224">
        <v>0.99916755382907196</v>
      </c>
      <c r="S224" t="s">
        <v>6626</v>
      </c>
      <c r="T224" t="s">
        <v>12802</v>
      </c>
      <c r="U224" t="s">
        <v>12802</v>
      </c>
      <c r="V224" t="s">
        <v>12802</v>
      </c>
      <c r="W224" t="s">
        <v>13025</v>
      </c>
      <c r="X224">
        <v>3</v>
      </c>
      <c r="Y224" t="s">
        <v>19348</v>
      </c>
      <c r="Z224" t="s">
        <v>25542</v>
      </c>
      <c r="AA224">
        <v>0.34477568302794248</v>
      </c>
      <c r="AB224" t="str">
        <f>HYPERLINK("Melting_Curves/meltCurve_B5MD58_SREBF1.pdf", "Melting_Curves/meltCurve_B5MD58_SREBF1.pdf")</f>
        <v>Melting_Curves/meltCurve_B5MD58_SREBF1.pdf</v>
      </c>
    </row>
    <row r="225" spans="1:28" x14ac:dyDescent="0.25">
      <c r="A225" t="s">
        <v>229</v>
      </c>
      <c r="B225">
        <v>0.99542014353169495</v>
      </c>
      <c r="C225">
        <v>0.94920608702743103</v>
      </c>
      <c r="D225">
        <v>0.98653827212238998</v>
      </c>
      <c r="E225">
        <v>0.80664456723093203</v>
      </c>
      <c r="F225">
        <v>0.65081532653942997</v>
      </c>
      <c r="G225">
        <v>0.420710879901809</v>
      </c>
      <c r="H225">
        <v>0.32104731113398999</v>
      </c>
      <c r="I225">
        <v>0.26812902444701903</v>
      </c>
      <c r="J225">
        <v>0.33819279159203802</v>
      </c>
      <c r="K225">
        <v>0.25003940558314602</v>
      </c>
      <c r="L225">
        <v>857.41854902593604</v>
      </c>
      <c r="M225">
        <v>17.138711944725301</v>
      </c>
      <c r="N225">
        <v>52.292645931971997</v>
      </c>
      <c r="O225">
        <v>49.3619798409187</v>
      </c>
      <c r="P225">
        <v>-6.4066558370374199E-2</v>
      </c>
      <c r="Q225">
        <v>0.26196020612290899</v>
      </c>
      <c r="R225">
        <v>0.98931741755384495</v>
      </c>
      <c r="S225" t="s">
        <v>6627</v>
      </c>
      <c r="T225" t="s">
        <v>12802</v>
      </c>
      <c r="U225" t="s">
        <v>12802</v>
      </c>
      <c r="V225" t="s">
        <v>12802</v>
      </c>
      <c r="W225" t="s">
        <v>13026</v>
      </c>
      <c r="X225">
        <v>3</v>
      </c>
      <c r="Y225" t="s">
        <v>19349</v>
      </c>
      <c r="Z225" t="s">
        <v>25543</v>
      </c>
      <c r="AA225">
        <v>0.59505627227805358</v>
      </c>
      <c r="AB225" t="str">
        <f>HYPERLINK("Melting_Curves/meltCurve_B5MDE0_RFT1.pdf", "Melting_Curves/meltCurve_B5MDE0_RFT1.pdf")</f>
        <v>Melting_Curves/meltCurve_B5MDE0_RFT1.pdf</v>
      </c>
    </row>
    <row r="226" spans="1:28" x14ac:dyDescent="0.25">
      <c r="A226" t="s">
        <v>230</v>
      </c>
      <c r="B226">
        <v>0.99542014353169495</v>
      </c>
      <c r="C226">
        <v>1.0066018500270399</v>
      </c>
      <c r="D226">
        <v>0.98202990443347704</v>
      </c>
      <c r="E226">
        <v>0.98169738544415996</v>
      </c>
      <c r="F226">
        <v>0.74678768548305097</v>
      </c>
      <c r="G226">
        <v>0.80755062945139799</v>
      </c>
      <c r="H226">
        <v>0.423887555821157</v>
      </c>
      <c r="I226">
        <v>0.19507711154730301</v>
      </c>
      <c r="J226">
        <v>5.0846306100931903E-2</v>
      </c>
      <c r="K226">
        <v>5.37387934139502E-2</v>
      </c>
      <c r="L226">
        <v>1024.78836640804</v>
      </c>
      <c r="M226">
        <v>18.155716490148301</v>
      </c>
      <c r="N226">
        <v>56.444391386418303</v>
      </c>
      <c r="O226">
        <v>55.772981516396797</v>
      </c>
      <c r="P226">
        <v>-8.1386094883712901E-2</v>
      </c>
      <c r="Q226">
        <v>0</v>
      </c>
      <c r="R226">
        <v>0.97419415775012597</v>
      </c>
      <c r="S226" t="s">
        <v>6628</v>
      </c>
      <c r="T226" t="s">
        <v>12802</v>
      </c>
      <c r="U226" t="s">
        <v>12802</v>
      </c>
      <c r="V226" t="s">
        <v>12802</v>
      </c>
      <c r="W226" t="s">
        <v>13027</v>
      </c>
      <c r="X226">
        <v>15</v>
      </c>
      <c r="Y226" t="s">
        <v>19350</v>
      </c>
      <c r="Z226" t="s">
        <v>25544</v>
      </c>
      <c r="AA226">
        <v>0.65829973342275916</v>
      </c>
      <c r="AB226" t="str">
        <f>HYPERLINK("Melting_Curves/meltCurve_B5MDF5_RAN.pdf", "Melting_Curves/meltCurve_B5MDF5_RAN.pdf")</f>
        <v>Melting_Curves/meltCurve_B5MDF5_RAN.pdf</v>
      </c>
    </row>
    <row r="227" spans="1:28" x14ac:dyDescent="0.25">
      <c r="A227" t="s">
        <v>231</v>
      </c>
      <c r="B227">
        <v>0.99542014353169495</v>
      </c>
      <c r="C227">
        <v>0.98220957635286199</v>
      </c>
      <c r="D227">
        <v>0.99996998594766695</v>
      </c>
      <c r="E227">
        <v>0.88290549288221198</v>
      </c>
      <c r="F227">
        <v>0.43721119319045598</v>
      </c>
      <c r="G227">
        <v>0.172990058125159</v>
      </c>
      <c r="H227">
        <v>8.16904931262529E-2</v>
      </c>
      <c r="I227">
        <v>6.0314277745405799E-2</v>
      </c>
      <c r="J227">
        <v>5.8212701181409497E-2</v>
      </c>
      <c r="K227">
        <v>6.6398346965602498E-2</v>
      </c>
      <c r="L227">
        <v>1431.7960885377099</v>
      </c>
      <c r="M227">
        <v>28.876526662980201</v>
      </c>
      <c r="N227">
        <v>49.819333215995599</v>
      </c>
      <c r="O227">
        <v>49.3474299398775</v>
      </c>
      <c r="P227">
        <v>-0.13694352638936999</v>
      </c>
      <c r="Q227">
        <v>6.3909739214567995E-2</v>
      </c>
      <c r="R227">
        <v>0.99928062383321803</v>
      </c>
      <c r="S227" t="s">
        <v>6629</v>
      </c>
      <c r="T227" t="s">
        <v>12802</v>
      </c>
      <c r="U227" t="s">
        <v>12802</v>
      </c>
      <c r="V227" t="s">
        <v>12802</v>
      </c>
      <c r="W227" t="s">
        <v>13028</v>
      </c>
      <c r="X227">
        <v>9</v>
      </c>
      <c r="Y227" t="s">
        <v>19351</v>
      </c>
      <c r="Z227" t="s">
        <v>25545</v>
      </c>
      <c r="AA227">
        <v>0.46270057700536188</v>
      </c>
      <c r="AB227" t="str">
        <f>HYPERLINK("Melting_Curves/meltCurve_B5MDU6_C2orf43.pdf", "Melting_Curves/meltCurve_B5MDU6_C2orf43.pdf")</f>
        <v>Melting_Curves/meltCurve_B5MDU6_C2orf43.pdf</v>
      </c>
    </row>
    <row r="228" spans="1:28" x14ac:dyDescent="0.25">
      <c r="A228" t="s">
        <v>232</v>
      </c>
      <c r="B228">
        <v>0.99542014353169495</v>
      </c>
      <c r="C228">
        <v>0.88280835126284196</v>
      </c>
      <c r="D228">
        <v>0.98855804489882704</v>
      </c>
      <c r="E228">
        <v>0.64650636687405505</v>
      </c>
      <c r="F228">
        <v>0.23729469371200501</v>
      </c>
      <c r="G228">
        <v>0.19062315864513901</v>
      </c>
      <c r="H228">
        <v>9.4547725499652596E-2</v>
      </c>
      <c r="I228">
        <v>8.0541567124311902E-2</v>
      </c>
      <c r="J228">
        <v>4.7158761069186199E-2</v>
      </c>
      <c r="K228">
        <v>2.2206606227555201E-2</v>
      </c>
      <c r="L228">
        <v>1157.5502040185399</v>
      </c>
      <c r="M228">
        <v>24.330412268055198</v>
      </c>
      <c r="N228">
        <v>47.856688406685599</v>
      </c>
      <c r="O228">
        <v>47.258363564523201</v>
      </c>
      <c r="P228">
        <v>-0.120160541411135</v>
      </c>
      <c r="Q228">
        <v>6.6434971266019202E-2</v>
      </c>
      <c r="R228">
        <v>0.98445703634558901</v>
      </c>
      <c r="S228" t="s">
        <v>6630</v>
      </c>
      <c r="T228" t="s">
        <v>12802</v>
      </c>
      <c r="U228" t="s">
        <v>12802</v>
      </c>
      <c r="V228" t="s">
        <v>12802</v>
      </c>
      <c r="W228" t="s">
        <v>13029</v>
      </c>
      <c r="X228">
        <v>2</v>
      </c>
      <c r="Y228" t="s">
        <v>19352</v>
      </c>
      <c r="Z228" t="s">
        <v>25546</v>
      </c>
      <c r="AA228">
        <v>0.40390131592287581</v>
      </c>
      <c r="AB228" t="str">
        <f>HYPERLINK("Melting_Curves/meltCurve_B5ME25_METTL8.pdf", "Melting_Curves/meltCurve_B5ME25_METTL8.pdf")</f>
        <v>Melting_Curves/meltCurve_B5ME25_METTL8.pdf</v>
      </c>
    </row>
    <row r="229" spans="1:28" x14ac:dyDescent="0.25">
      <c r="A229" t="s">
        <v>233</v>
      </c>
      <c r="B229">
        <v>0.99542014353169495</v>
      </c>
      <c r="C229">
        <v>0.83263448218775904</v>
      </c>
      <c r="D229">
        <v>0.82013982548304798</v>
      </c>
      <c r="E229">
        <v>0.57471251602804896</v>
      </c>
      <c r="F229">
        <v>0.35993972167995603</v>
      </c>
      <c r="G229">
        <v>0.19848837927291099</v>
      </c>
      <c r="H229">
        <v>0.124984559866676</v>
      </c>
      <c r="I229">
        <v>6.0291158813675701E-2</v>
      </c>
      <c r="J229">
        <v>7.0024585596334593E-2</v>
      </c>
      <c r="K229">
        <v>4.6067289373529802E-2</v>
      </c>
      <c r="L229">
        <v>561.11189576097695</v>
      </c>
      <c r="M229">
        <v>11.7766408401896</v>
      </c>
      <c r="N229">
        <v>47.706361987103399</v>
      </c>
      <c r="O229">
        <v>46.334595279625603</v>
      </c>
      <c r="P229">
        <v>-6.3089162858058101E-2</v>
      </c>
      <c r="Q229">
        <v>7.3729788890187003E-3</v>
      </c>
      <c r="R229">
        <v>0.99280146097632804</v>
      </c>
      <c r="S229" t="s">
        <v>6631</v>
      </c>
      <c r="T229" t="s">
        <v>12802</v>
      </c>
      <c r="U229" t="s">
        <v>12802</v>
      </c>
      <c r="V229" t="s">
        <v>12802</v>
      </c>
      <c r="W229" t="s">
        <v>13030</v>
      </c>
      <c r="X229">
        <v>8</v>
      </c>
      <c r="Y229" t="s">
        <v>19353</v>
      </c>
      <c r="Z229" t="s">
        <v>25547</v>
      </c>
      <c r="AA229">
        <v>0.3921527455807603</v>
      </c>
      <c r="AB229" t="str">
        <f>HYPERLINK("Melting_Curves/meltCurve_B7WNQ9_GATA1.pdf", "Melting_Curves/meltCurve_B7WNQ9_GATA1.pdf")</f>
        <v>Melting_Curves/meltCurve_B7WNQ9_GATA1.pdf</v>
      </c>
    </row>
    <row r="230" spans="1:28" x14ac:dyDescent="0.25">
      <c r="A230" t="s">
        <v>234</v>
      </c>
      <c r="B230">
        <v>0.99542014353169495</v>
      </c>
      <c r="C230">
        <v>0.90615032321185096</v>
      </c>
      <c r="D230">
        <v>0.86181731730315803</v>
      </c>
      <c r="E230">
        <v>0.30509686646314299</v>
      </c>
      <c r="F230">
        <v>0.165141010603234</v>
      </c>
      <c r="G230">
        <v>0.11464474059418001</v>
      </c>
      <c r="H230">
        <v>7.6480101608004794E-2</v>
      </c>
      <c r="I230">
        <v>5.34488857517431E-2</v>
      </c>
      <c r="J230">
        <v>6.7321974695866704E-2</v>
      </c>
      <c r="K230">
        <v>7.0731808346009201E-2</v>
      </c>
      <c r="L230">
        <v>1372.10446149671</v>
      </c>
      <c r="M230">
        <v>30.420934582571999</v>
      </c>
      <c r="N230">
        <v>45.365052216156499</v>
      </c>
      <c r="O230">
        <v>44.910417935148203</v>
      </c>
      <c r="P230">
        <v>-0.155743666296705</v>
      </c>
      <c r="Q230">
        <v>8.0308800573689096E-2</v>
      </c>
      <c r="R230">
        <v>0.99185476173926401</v>
      </c>
      <c r="S230" t="s">
        <v>6632</v>
      </c>
      <c r="T230" t="s">
        <v>12802</v>
      </c>
      <c r="U230" t="s">
        <v>12802</v>
      </c>
      <c r="V230" t="s">
        <v>12802</v>
      </c>
      <c r="W230" t="s">
        <v>13031</v>
      </c>
      <c r="X230">
        <v>15</v>
      </c>
      <c r="Y230" t="s">
        <v>19354</v>
      </c>
      <c r="Z230" t="s">
        <v>25548</v>
      </c>
      <c r="AA230">
        <v>0.33376992495509572</v>
      </c>
      <c r="AB230" t="str">
        <f>HYPERLINK("Melting_Curves/meltCurve_B7WP27_CWC22.pdf", "Melting_Curves/meltCurve_B7WP27_CWC22.pdf")</f>
        <v>Melting_Curves/meltCurve_B7WP27_CWC22.pdf</v>
      </c>
    </row>
    <row r="231" spans="1:28" x14ac:dyDescent="0.25">
      <c r="A231" t="s">
        <v>235</v>
      </c>
      <c r="B231">
        <v>0.99542014353169495</v>
      </c>
      <c r="C231">
        <v>0.95281758774254099</v>
      </c>
      <c r="D231">
        <v>0.90005253063198998</v>
      </c>
      <c r="E231">
        <v>0.67128488245732099</v>
      </c>
      <c r="F231">
        <v>0.480756821810502</v>
      </c>
      <c r="G231">
        <v>0.23805955140028301</v>
      </c>
      <c r="H231">
        <v>0.104939882674891</v>
      </c>
      <c r="I231">
        <v>7.0644553334709398E-2</v>
      </c>
      <c r="J231">
        <v>6.3974719708388098E-2</v>
      </c>
      <c r="K231">
        <v>8.1700785607988796E-2</v>
      </c>
      <c r="L231">
        <v>716.57408538108803</v>
      </c>
      <c r="M231">
        <v>14.5851821954515</v>
      </c>
      <c r="N231">
        <v>49.3491734543571</v>
      </c>
      <c r="O231">
        <v>48.234384252176802</v>
      </c>
      <c r="P231">
        <v>-7.3235710194596307E-2</v>
      </c>
      <c r="Q231">
        <v>3.13229159561908E-2</v>
      </c>
      <c r="R231">
        <v>0.99654514187791099</v>
      </c>
      <c r="S231" t="s">
        <v>6633</v>
      </c>
      <c r="T231" t="s">
        <v>12802</v>
      </c>
      <c r="U231" t="s">
        <v>12802</v>
      </c>
      <c r="V231" t="s">
        <v>12802</v>
      </c>
      <c r="W231" t="s">
        <v>13032</v>
      </c>
      <c r="X231">
        <v>12</v>
      </c>
      <c r="Y231" t="s">
        <v>19355</v>
      </c>
      <c r="Z231" t="s">
        <v>25549</v>
      </c>
      <c r="AA231">
        <v>0.44468449105669761</v>
      </c>
      <c r="AB231" t="str">
        <f>HYPERLINK("Melting_Curves/meltCurve_B7WPE2_EML3.pdf", "Melting_Curves/meltCurve_B7WPE2_EML3.pdf")</f>
        <v>Melting_Curves/meltCurve_B7WPE2_EML3.pdf</v>
      </c>
    </row>
    <row r="232" spans="1:28" x14ac:dyDescent="0.25">
      <c r="A232" t="s">
        <v>236</v>
      </c>
      <c r="B232">
        <v>0.99542014353169495</v>
      </c>
      <c r="C232">
        <v>0.99725547336482701</v>
      </c>
      <c r="D232">
        <v>0.96822820371721696</v>
      </c>
      <c r="E232">
        <v>0.63326840854142197</v>
      </c>
      <c r="F232">
        <v>0.24781550670493699</v>
      </c>
      <c r="G232">
        <v>0.156108115492579</v>
      </c>
      <c r="H232">
        <v>9.7064861029081795E-2</v>
      </c>
      <c r="I232">
        <v>7.7119660980334001E-2</v>
      </c>
      <c r="J232">
        <v>9.84323061147757E-2</v>
      </c>
      <c r="K232">
        <v>0.10729808619470201</v>
      </c>
      <c r="L232">
        <v>1320.8190545906</v>
      </c>
      <c r="M232">
        <v>27.930578360294199</v>
      </c>
      <c r="N232">
        <v>47.665512477840203</v>
      </c>
      <c r="O232">
        <v>47.048951391062701</v>
      </c>
      <c r="P232">
        <v>-0.133735182314007</v>
      </c>
      <c r="Q232">
        <v>9.8902531009980699E-2</v>
      </c>
      <c r="R232">
        <v>0.99872115622662705</v>
      </c>
      <c r="S232" t="s">
        <v>6634</v>
      </c>
      <c r="T232" t="s">
        <v>12802</v>
      </c>
      <c r="U232" t="s">
        <v>12802</v>
      </c>
      <c r="V232" t="s">
        <v>12802</v>
      </c>
      <c r="W232" t="s">
        <v>13033</v>
      </c>
      <c r="X232">
        <v>17</v>
      </c>
      <c r="Y232" t="s">
        <v>19356</v>
      </c>
      <c r="Z232" t="s">
        <v>25550</v>
      </c>
      <c r="AA232">
        <v>0.41404197190863828</v>
      </c>
      <c r="AB232" t="str">
        <f>HYPERLINK("Melting_Curves/meltCurve_B7WPG3_HNRPLL.pdf", "Melting_Curves/meltCurve_B7WPG3_HNRPLL.pdf")</f>
        <v>Melting_Curves/meltCurve_B7WPG3_HNRPLL.pdf</v>
      </c>
    </row>
    <row r="233" spans="1:28" x14ac:dyDescent="0.25">
      <c r="A233" t="s">
        <v>237</v>
      </c>
      <c r="B233">
        <v>0.99542014353169495</v>
      </c>
      <c r="C233">
        <v>0.98732524871254801</v>
      </c>
      <c r="D233">
        <v>0.96397672159848402</v>
      </c>
      <c r="E233">
        <v>0.51865587470423902</v>
      </c>
      <c r="F233">
        <v>0.33047052443753699</v>
      </c>
      <c r="G233">
        <v>0.16387672313026599</v>
      </c>
      <c r="H233">
        <v>3.7292552557573501E-2</v>
      </c>
      <c r="I233">
        <v>6.7483800333931906E-2</v>
      </c>
      <c r="J233">
        <v>0</v>
      </c>
      <c r="K233">
        <v>0</v>
      </c>
      <c r="L233">
        <v>860.57309170683504</v>
      </c>
      <c r="M233">
        <v>18.074426932446102</v>
      </c>
      <c r="N233">
        <v>47.701758808319198</v>
      </c>
      <c r="O233">
        <v>47.041388971937899</v>
      </c>
      <c r="P233">
        <v>-9.4467713711703899E-2</v>
      </c>
      <c r="Q233">
        <v>1.65825403473773E-2</v>
      </c>
      <c r="R233">
        <v>0.98753153793370896</v>
      </c>
      <c r="S233" t="s">
        <v>6635</v>
      </c>
      <c r="T233" t="s">
        <v>12802</v>
      </c>
      <c r="U233" t="s">
        <v>12802</v>
      </c>
      <c r="V233" t="s">
        <v>12802</v>
      </c>
      <c r="W233" t="s">
        <v>13034</v>
      </c>
      <c r="X233">
        <v>2</v>
      </c>
      <c r="Y233" t="s">
        <v>19357</v>
      </c>
      <c r="Z233" t="s">
        <v>25551</v>
      </c>
      <c r="AA233">
        <v>0.38009844726522962</v>
      </c>
      <c r="AB233" t="str">
        <f>HYPERLINK("Melting_Curves/meltCurve_B7WPL0_RIC8B.pdf", "Melting_Curves/meltCurve_B7WPL0_RIC8B.pdf")</f>
        <v>Melting_Curves/meltCurve_B7WPL0_RIC8B.pdf</v>
      </c>
    </row>
    <row r="234" spans="1:28" x14ac:dyDescent="0.25">
      <c r="A234" t="s">
        <v>238</v>
      </c>
      <c r="B234">
        <v>0.99542014353169495</v>
      </c>
      <c r="C234">
        <v>1.00804525394246</v>
      </c>
      <c r="D234">
        <v>0.94839475285462504</v>
      </c>
      <c r="E234">
        <v>0.92932196144526702</v>
      </c>
      <c r="F234">
        <v>0.81486367374785595</v>
      </c>
      <c r="G234">
        <v>0.63618693204153598</v>
      </c>
      <c r="H234">
        <v>0.162649012396235</v>
      </c>
      <c r="I234">
        <v>5.7608321300223801E-2</v>
      </c>
      <c r="J234">
        <v>4.2688117600214598E-2</v>
      </c>
      <c r="K234">
        <v>4.3087686769192397E-2</v>
      </c>
      <c r="L234">
        <v>1299.13831525928</v>
      </c>
      <c r="M234">
        <v>23.9117326654865</v>
      </c>
      <c r="N234">
        <v>54.357428272181302</v>
      </c>
      <c r="O234">
        <v>53.954872562856302</v>
      </c>
      <c r="P234">
        <v>-0.110146640083628</v>
      </c>
      <c r="Q234">
        <v>5.8684470322898198E-3</v>
      </c>
      <c r="R234">
        <v>0.98844888343701398</v>
      </c>
      <c r="S234" t="s">
        <v>6636</v>
      </c>
      <c r="T234" t="s">
        <v>12802</v>
      </c>
      <c r="U234" t="s">
        <v>12802</v>
      </c>
      <c r="V234" t="s">
        <v>12802</v>
      </c>
      <c r="W234" t="s">
        <v>13035</v>
      </c>
      <c r="X234">
        <v>18</v>
      </c>
      <c r="Y234" t="s">
        <v>19358</v>
      </c>
      <c r="Z234" t="s">
        <v>25552</v>
      </c>
      <c r="AA234">
        <v>0.58939788837158558</v>
      </c>
      <c r="AB234" t="str">
        <f>HYPERLINK("Melting_Curves/meltCurve_B7Z254_PDIA6.pdf", "Melting_Curves/meltCurve_B7Z254_PDIA6.pdf")</f>
        <v>Melting_Curves/meltCurve_B7Z254_PDIA6.pdf</v>
      </c>
    </row>
    <row r="235" spans="1:28" x14ac:dyDescent="0.25">
      <c r="A235" t="s">
        <v>239</v>
      </c>
      <c r="B235">
        <v>0.99542014353169495</v>
      </c>
      <c r="C235">
        <v>0.85411433476948895</v>
      </c>
      <c r="D235">
        <v>0.88568816028067299</v>
      </c>
      <c r="E235">
        <v>0.91534629678822199</v>
      </c>
      <c r="F235">
        <v>0.78642956806290099</v>
      </c>
      <c r="G235">
        <v>0.59028925785340103</v>
      </c>
      <c r="H235">
        <v>0.55545164178357997</v>
      </c>
      <c r="I235">
        <v>0.50729425761051505</v>
      </c>
      <c r="J235">
        <v>0.61121733496969599</v>
      </c>
      <c r="K235">
        <v>0.79305060910386604</v>
      </c>
      <c r="L235">
        <v>862.18130203429496</v>
      </c>
      <c r="M235">
        <v>17.8839083472309</v>
      </c>
      <c r="O235">
        <v>47.619229857052801</v>
      </c>
      <c r="P235">
        <v>-3.7147531016957197E-2</v>
      </c>
      <c r="Q235">
        <v>0.60437120142679601</v>
      </c>
      <c r="R235">
        <v>0.67482561592600798</v>
      </c>
      <c r="S235" t="s">
        <v>6637</v>
      </c>
      <c r="T235" t="s">
        <v>12802</v>
      </c>
      <c r="U235" t="s">
        <v>12802</v>
      </c>
      <c r="V235" t="s">
        <v>12802</v>
      </c>
      <c r="W235" t="s">
        <v>13036</v>
      </c>
      <c r="X235">
        <v>2</v>
      </c>
      <c r="Y235" t="s">
        <v>19359</v>
      </c>
      <c r="Z235" t="s">
        <v>25553</v>
      </c>
      <c r="AA235">
        <v>0.75859518121728153</v>
      </c>
      <c r="AB235" t="str">
        <f>HYPERLINK("Melting_Curves/meltCurve_B7Z2B2_MFSD8.pdf", "Melting_Curves/meltCurve_B7Z2B2_MFSD8.pdf")</f>
        <v>Melting_Curves/meltCurve_B7Z2B2_MFSD8.pdf</v>
      </c>
    </row>
    <row r="236" spans="1:28" x14ac:dyDescent="0.25">
      <c r="A236" t="s">
        <v>240</v>
      </c>
      <c r="B236">
        <v>0.99542014353169495</v>
      </c>
      <c r="C236">
        <v>0.90375352633950301</v>
      </c>
      <c r="D236">
        <v>0.74013834554904701</v>
      </c>
      <c r="E236">
        <v>0.52897046735120001</v>
      </c>
      <c r="F236">
        <v>0.21831239459532201</v>
      </c>
      <c r="G236">
        <v>0.127612680211696</v>
      </c>
      <c r="H236">
        <v>6.00210771706274E-2</v>
      </c>
      <c r="I236">
        <v>5.6659412329401297E-2</v>
      </c>
      <c r="J236">
        <v>8.6985018221306706E-2</v>
      </c>
      <c r="K236">
        <v>6.0742483755815001E-2</v>
      </c>
      <c r="L236">
        <v>725.28312212030301</v>
      </c>
      <c r="M236">
        <v>15.7430394103631</v>
      </c>
      <c r="N236">
        <v>46.340448419817498</v>
      </c>
      <c r="O236">
        <v>45.345944407195901</v>
      </c>
      <c r="P236">
        <v>-8.2992569451481299E-2</v>
      </c>
      <c r="Q236">
        <v>4.38791306921264E-2</v>
      </c>
      <c r="R236">
        <v>0.99496082608381897</v>
      </c>
      <c r="S236" t="s">
        <v>6638</v>
      </c>
      <c r="T236" t="s">
        <v>12802</v>
      </c>
      <c r="U236" t="s">
        <v>12802</v>
      </c>
      <c r="V236" t="s">
        <v>12802</v>
      </c>
      <c r="W236" t="s">
        <v>13037</v>
      </c>
      <c r="X236">
        <v>1</v>
      </c>
      <c r="Y236" t="s">
        <v>19360</v>
      </c>
      <c r="Z236" t="s">
        <v>25554</v>
      </c>
      <c r="AA236">
        <v>0.35302215354273442</v>
      </c>
      <c r="AB236" t="str">
        <f>HYPERLINK("Melting_Curves/meltCurve_B7Z2Y5_RPS6KA5.pdf", "Melting_Curves/meltCurve_B7Z2Y5_RPS6KA5.pdf")</f>
        <v>Melting_Curves/meltCurve_B7Z2Y5_RPS6KA5.pdf</v>
      </c>
    </row>
    <row r="237" spans="1:28" x14ac:dyDescent="0.25">
      <c r="A237" t="s">
        <v>241</v>
      </c>
      <c r="B237">
        <v>0.99542014353169495</v>
      </c>
      <c r="C237">
        <v>1.0291930194479699</v>
      </c>
      <c r="D237">
        <v>0.946044220977318</v>
      </c>
      <c r="E237">
        <v>0.741691484236353</v>
      </c>
      <c r="F237">
        <v>0.63017972543383605</v>
      </c>
      <c r="G237">
        <v>0.48865908323096502</v>
      </c>
      <c r="H237">
        <v>0.28715754365797103</v>
      </c>
      <c r="I237">
        <v>0.21922958396992501</v>
      </c>
      <c r="J237">
        <v>0.28309513260861502</v>
      </c>
      <c r="K237">
        <v>0.232437176083991</v>
      </c>
      <c r="L237">
        <v>674.03581921267801</v>
      </c>
      <c r="M237">
        <v>13.363877691400299</v>
      </c>
      <c r="N237">
        <v>52.393266604567401</v>
      </c>
      <c r="O237">
        <v>49.347924356445297</v>
      </c>
      <c r="P237">
        <v>-5.4413344751930798E-2</v>
      </c>
      <c r="Q237">
        <v>0.196412979691858</v>
      </c>
      <c r="R237">
        <v>0.98427247907666304</v>
      </c>
      <c r="S237" t="s">
        <v>6639</v>
      </c>
      <c r="T237" t="s">
        <v>12802</v>
      </c>
      <c r="U237" t="s">
        <v>12802</v>
      </c>
      <c r="V237" t="s">
        <v>12802</v>
      </c>
      <c r="W237" t="s">
        <v>13038</v>
      </c>
      <c r="X237">
        <v>2</v>
      </c>
      <c r="Y237" t="s">
        <v>19361</v>
      </c>
      <c r="Z237" t="s">
        <v>25555</v>
      </c>
      <c r="AA237">
        <v>0.57559973334528913</v>
      </c>
      <c r="AB237" t="str">
        <f>HYPERLINK("Melting_Curves/meltCurve_B7Z3I9_ALAD.pdf", "Melting_Curves/meltCurve_B7Z3I9_ALAD.pdf")</f>
        <v>Melting_Curves/meltCurve_B7Z3I9_ALAD.pdf</v>
      </c>
    </row>
    <row r="238" spans="1:28" x14ac:dyDescent="0.25">
      <c r="A238" t="s">
        <v>242</v>
      </c>
      <c r="B238">
        <v>0.99542014353169495</v>
      </c>
      <c r="C238">
        <v>0.99817200011500495</v>
      </c>
      <c r="D238">
        <v>0.96216704191179703</v>
      </c>
      <c r="E238">
        <v>0.44389931314932402</v>
      </c>
      <c r="F238">
        <v>0.188326907259876</v>
      </c>
      <c r="G238">
        <v>0.123327968628341</v>
      </c>
      <c r="H238">
        <v>7.9332369024712301E-2</v>
      </c>
      <c r="I238">
        <v>5.4388448379299403E-2</v>
      </c>
      <c r="J238">
        <v>7.1447165642020194E-2</v>
      </c>
      <c r="K238">
        <v>7.7455622181298395E-2</v>
      </c>
      <c r="L238">
        <v>1547.4791784500501</v>
      </c>
      <c r="M238">
        <v>33.545116083480899</v>
      </c>
      <c r="N238">
        <v>46.391775347806004</v>
      </c>
      <c r="O238">
        <v>45.9682695310753</v>
      </c>
      <c r="P238">
        <v>-0.166776086963519</v>
      </c>
      <c r="Q238">
        <v>8.5843064444451195E-2</v>
      </c>
      <c r="R238">
        <v>0.99613302864944597</v>
      </c>
      <c r="S238" t="s">
        <v>6640</v>
      </c>
      <c r="T238" t="s">
        <v>12802</v>
      </c>
      <c r="U238" t="s">
        <v>12802</v>
      </c>
      <c r="V238" t="s">
        <v>12802</v>
      </c>
      <c r="W238" t="s">
        <v>13039</v>
      </c>
      <c r="X238">
        <v>19</v>
      </c>
      <c r="Y238" t="s">
        <v>19362</v>
      </c>
      <c r="Z238" t="s">
        <v>25556</v>
      </c>
      <c r="AA238">
        <v>0.36825593213674601</v>
      </c>
      <c r="AB238" t="str">
        <f>HYPERLINK("Melting_Curves/meltCurve_B7Z3P1_TBCE.pdf", "Melting_Curves/meltCurve_B7Z3P1_TBCE.pdf")</f>
        <v>Melting_Curves/meltCurve_B7Z3P1_TBCE.pdf</v>
      </c>
    </row>
    <row r="239" spans="1:28" x14ac:dyDescent="0.25">
      <c r="A239" t="s">
        <v>243</v>
      </c>
      <c r="B239">
        <v>0.99542014353169495</v>
      </c>
      <c r="C239">
        <v>0.94657213454898204</v>
      </c>
      <c r="D239">
        <v>1.20348850771711</v>
      </c>
      <c r="E239">
        <v>0.88839333609437898</v>
      </c>
      <c r="F239">
        <v>0.77980278130315595</v>
      </c>
      <c r="G239">
        <v>0.343718989344795</v>
      </c>
      <c r="H239">
        <v>0.39924037582536298</v>
      </c>
      <c r="I239">
        <v>0.38368233565600801</v>
      </c>
      <c r="J239">
        <v>0</v>
      </c>
      <c r="K239">
        <v>0</v>
      </c>
      <c r="L239">
        <v>726.269017092377</v>
      </c>
      <c r="M239">
        <v>13.410591737526801</v>
      </c>
      <c r="N239">
        <v>54.156373672843998</v>
      </c>
      <c r="O239">
        <v>52.9946928427294</v>
      </c>
      <c r="P239">
        <v>-6.3273758414410602E-2</v>
      </c>
      <c r="Q239">
        <v>0</v>
      </c>
      <c r="R239">
        <v>0.90515886048719196</v>
      </c>
      <c r="S239" t="s">
        <v>6641</v>
      </c>
      <c r="T239" t="s">
        <v>12802</v>
      </c>
      <c r="U239" t="s">
        <v>12802</v>
      </c>
      <c r="V239" t="s">
        <v>12802</v>
      </c>
      <c r="W239" t="s">
        <v>13040</v>
      </c>
      <c r="X239">
        <v>1</v>
      </c>
      <c r="Y239" t="s">
        <v>19363</v>
      </c>
      <c r="Z239" t="s">
        <v>25557</v>
      </c>
      <c r="AA239">
        <v>0.58877138072232904</v>
      </c>
      <c r="AB239" t="str">
        <f>HYPERLINK("Melting_Curves/meltCurve_B7Z3R2_TPCN1.pdf", "Melting_Curves/meltCurve_B7Z3R2_TPCN1.pdf")</f>
        <v>Melting_Curves/meltCurve_B7Z3R2_TPCN1.pdf</v>
      </c>
    </row>
    <row r="240" spans="1:28" x14ac:dyDescent="0.25">
      <c r="A240" t="s">
        <v>244</v>
      </c>
      <c r="B240">
        <v>0.99542014353169495</v>
      </c>
      <c r="C240">
        <v>1.0271285704119799</v>
      </c>
      <c r="D240">
        <v>1.0556898015205001</v>
      </c>
      <c r="E240">
        <v>1.0787981272415801</v>
      </c>
      <c r="F240">
        <v>0.67438456833600802</v>
      </c>
      <c r="G240">
        <v>0.80142337619330095</v>
      </c>
      <c r="H240">
        <v>0.32262277523792499</v>
      </c>
      <c r="I240">
        <v>0.14403759530031501</v>
      </c>
      <c r="J240">
        <v>3.6413647065589E-2</v>
      </c>
      <c r="K240">
        <v>0</v>
      </c>
      <c r="L240">
        <v>1105.00775991046</v>
      </c>
      <c r="M240">
        <v>19.8456538693192</v>
      </c>
      <c r="N240">
        <v>55.680090041359001</v>
      </c>
      <c r="O240">
        <v>55.123990338232304</v>
      </c>
      <c r="P240">
        <v>-9.0007648124583506E-2</v>
      </c>
      <c r="Q240">
        <v>0</v>
      </c>
      <c r="R240">
        <v>0.952222983541543</v>
      </c>
      <c r="S240" t="s">
        <v>6642</v>
      </c>
      <c r="T240" t="s">
        <v>12802</v>
      </c>
      <c r="U240" t="s">
        <v>12802</v>
      </c>
      <c r="V240" t="s">
        <v>12802</v>
      </c>
      <c r="W240" t="s">
        <v>13041</v>
      </c>
      <c r="X240">
        <v>42</v>
      </c>
      <c r="Y240" t="s">
        <v>19364</v>
      </c>
      <c r="Z240" t="s">
        <v>25558</v>
      </c>
      <c r="AA240">
        <v>0.6334026560717807</v>
      </c>
      <c r="AB240" t="str">
        <f>HYPERLINK("Melting_Curves/meltCurve_B7Z463_NPEPPS.pdf", "Melting_Curves/meltCurve_B7Z463_NPEPPS.pdf")</f>
        <v>Melting_Curves/meltCurve_B7Z463_NPEPPS.pdf</v>
      </c>
    </row>
    <row r="241" spans="1:28" x14ac:dyDescent="0.25">
      <c r="A241" t="s">
        <v>245</v>
      </c>
      <c r="B241">
        <v>0.99542014353169495</v>
      </c>
      <c r="C241">
        <v>1.04367902565548</v>
      </c>
      <c r="D241">
        <v>0.99176947986294794</v>
      </c>
      <c r="E241">
        <v>1.40159984680355</v>
      </c>
      <c r="F241">
        <v>1.25251266030008</v>
      </c>
      <c r="G241">
        <v>0.90374186673488999</v>
      </c>
      <c r="H241">
        <v>0.55587479498741699</v>
      </c>
      <c r="I241">
        <v>0.46557449641371301</v>
      </c>
      <c r="J241">
        <v>0.66915577329804599</v>
      </c>
      <c r="K241">
        <v>0.77247979058043503</v>
      </c>
      <c r="L241">
        <v>13508.9553044272</v>
      </c>
      <c r="M241">
        <v>250</v>
      </c>
      <c r="O241">
        <v>54.032343050826498</v>
      </c>
      <c r="P241">
        <v>-0.444442910111843</v>
      </c>
      <c r="Q241">
        <v>0.61577118716012003</v>
      </c>
      <c r="R241">
        <v>0.64503184728440899</v>
      </c>
      <c r="S241" t="s">
        <v>6643</v>
      </c>
      <c r="T241" t="s">
        <v>12802</v>
      </c>
      <c r="U241" t="s">
        <v>12802</v>
      </c>
      <c r="V241" t="s">
        <v>12802</v>
      </c>
      <c r="W241" t="s">
        <v>13042</v>
      </c>
      <c r="X241">
        <v>7</v>
      </c>
      <c r="Y241" t="s">
        <v>19365</v>
      </c>
      <c r="Z241" t="s">
        <v>25559</v>
      </c>
      <c r="AA241">
        <v>0.83399606976435858</v>
      </c>
      <c r="AB241" t="str">
        <f>HYPERLINK("Melting_Curves/meltCurve_B7Z4K6_DNASE2.pdf", "Melting_Curves/meltCurve_B7Z4K6_DNASE2.pdf")</f>
        <v>Melting_Curves/meltCurve_B7Z4K6_DNASE2.pdf</v>
      </c>
    </row>
    <row r="242" spans="1:28" x14ac:dyDescent="0.25">
      <c r="A242" t="s">
        <v>246</v>
      </c>
      <c r="B242">
        <v>0.99542014353169495</v>
      </c>
      <c r="C242">
        <v>0.90261153603044497</v>
      </c>
      <c r="D242">
        <v>0.68903805314103805</v>
      </c>
      <c r="E242">
        <v>0.41667515897191998</v>
      </c>
      <c r="F242">
        <v>0.295713231605157</v>
      </c>
      <c r="G242">
        <v>0.15262845115655899</v>
      </c>
      <c r="H242">
        <v>9.8239980912372502E-2</v>
      </c>
      <c r="I242">
        <v>7.7755969167534106E-2</v>
      </c>
      <c r="J242">
        <v>7.4041539710115803E-2</v>
      </c>
      <c r="K242">
        <v>6.4874517160525905E-2</v>
      </c>
      <c r="L242">
        <v>641.94942041086097</v>
      </c>
      <c r="M242">
        <v>14.145255720524601</v>
      </c>
      <c r="N242">
        <v>45.792818808604103</v>
      </c>
      <c r="O242">
        <v>44.5045271744467</v>
      </c>
      <c r="P242">
        <v>-7.4741406902197494E-2</v>
      </c>
      <c r="Q242">
        <v>5.9498586284433899E-2</v>
      </c>
      <c r="R242">
        <v>0.99618244086194996</v>
      </c>
      <c r="S242" t="s">
        <v>6644</v>
      </c>
      <c r="T242" t="s">
        <v>12802</v>
      </c>
      <c r="U242" t="s">
        <v>12802</v>
      </c>
      <c r="V242" t="s">
        <v>12802</v>
      </c>
      <c r="W242" t="s">
        <v>13043</v>
      </c>
      <c r="X242">
        <v>2</v>
      </c>
      <c r="Y242" t="s">
        <v>19366</v>
      </c>
      <c r="Z242" t="s">
        <v>25560</v>
      </c>
      <c r="AA242">
        <v>0.3470340945399627</v>
      </c>
      <c r="AB242" t="str">
        <f>HYPERLINK("Melting_Curves/meltCurve_B7Z4R0_ERF.pdf", "Melting_Curves/meltCurve_B7Z4R0_ERF.pdf")</f>
        <v>Melting_Curves/meltCurve_B7Z4R0_ERF.pdf</v>
      </c>
    </row>
    <row r="243" spans="1:28" x14ac:dyDescent="0.25">
      <c r="A243" t="s">
        <v>247</v>
      </c>
      <c r="B243">
        <v>0.99542014353169495</v>
      </c>
      <c r="C243">
        <v>1.0157435846842799</v>
      </c>
      <c r="D243">
        <v>0.97924494780081495</v>
      </c>
      <c r="E243">
        <v>0.86612379493380598</v>
      </c>
      <c r="F243">
        <v>0.69509928160324297</v>
      </c>
      <c r="G243">
        <v>0.58571746719862805</v>
      </c>
      <c r="H243">
        <v>0.42355444452867902</v>
      </c>
      <c r="I243">
        <v>0.32416952111424702</v>
      </c>
      <c r="J243">
        <v>0.27505955581562003</v>
      </c>
      <c r="K243">
        <v>0.24060224360850299</v>
      </c>
      <c r="L243">
        <v>629.76082947077998</v>
      </c>
      <c r="M243">
        <v>11.839845472087701</v>
      </c>
      <c r="N243">
        <v>55.248180597960598</v>
      </c>
      <c r="O243">
        <v>51.740656379555297</v>
      </c>
      <c r="P243">
        <v>-4.7017702739663297E-2</v>
      </c>
      <c r="Q243">
        <v>0.17833076853213001</v>
      </c>
      <c r="R243">
        <v>0.99614615255872196</v>
      </c>
      <c r="S243" t="s">
        <v>6645</v>
      </c>
      <c r="T243" t="s">
        <v>12802</v>
      </c>
      <c r="U243" t="s">
        <v>12802</v>
      </c>
      <c r="V243" t="s">
        <v>12802</v>
      </c>
      <c r="W243" t="s">
        <v>13044</v>
      </c>
      <c r="X243">
        <v>10</v>
      </c>
      <c r="Y243" t="s">
        <v>19367</v>
      </c>
      <c r="Z243" t="s">
        <v>25561</v>
      </c>
      <c r="AA243">
        <v>0.63871775483377424</v>
      </c>
      <c r="AB243" t="str">
        <f>HYPERLINK("Melting_Curves/meltCurve_B7Z4W5_CCBL1.pdf", "Melting_Curves/meltCurve_B7Z4W5_CCBL1.pdf")</f>
        <v>Melting_Curves/meltCurve_B7Z4W5_CCBL1.pdf</v>
      </c>
    </row>
    <row r="244" spans="1:28" x14ac:dyDescent="0.25">
      <c r="A244" t="s">
        <v>248</v>
      </c>
      <c r="B244">
        <v>0.99542014353169495</v>
      </c>
      <c r="C244">
        <v>1.16986491823371</v>
      </c>
      <c r="D244">
        <v>0.92894436463603602</v>
      </c>
      <c r="E244">
        <v>0.82493521501945399</v>
      </c>
      <c r="F244">
        <v>0.67631974857590604</v>
      </c>
      <c r="G244">
        <v>0.49990928538756502</v>
      </c>
      <c r="H244">
        <v>0.29702065948113798</v>
      </c>
      <c r="I244">
        <v>0.38377744402823599</v>
      </c>
      <c r="J244">
        <v>0.41825607489101402</v>
      </c>
      <c r="K244">
        <v>0.552895591863104</v>
      </c>
      <c r="L244">
        <v>1087.9387024336199</v>
      </c>
      <c r="M244">
        <v>22.2004125732253</v>
      </c>
      <c r="N244">
        <v>53.222849256515097</v>
      </c>
      <c r="O244">
        <v>48.612910945964202</v>
      </c>
      <c r="P244">
        <v>-6.6914901796383805E-2</v>
      </c>
      <c r="Q244">
        <v>0.41391033192328403</v>
      </c>
      <c r="R244">
        <v>0.90281167031092002</v>
      </c>
      <c r="S244" t="s">
        <v>6646</v>
      </c>
      <c r="T244" t="s">
        <v>12802</v>
      </c>
      <c r="U244" t="s">
        <v>12802</v>
      </c>
      <c r="V244" t="s">
        <v>12802</v>
      </c>
      <c r="W244" t="s">
        <v>13045</v>
      </c>
      <c r="X244">
        <v>1</v>
      </c>
      <c r="Y244" t="s">
        <v>19368</v>
      </c>
      <c r="Z244" t="s">
        <v>25562</v>
      </c>
      <c r="AA244">
        <v>0.65481118817394401</v>
      </c>
      <c r="AB244" t="str">
        <f>HYPERLINK("Melting_Curves/meltCurve_B7Z589_SLC6A9.pdf", "Melting_Curves/meltCurve_B7Z589_SLC6A9.pdf")</f>
        <v>Melting_Curves/meltCurve_B7Z589_SLC6A9.pdf</v>
      </c>
    </row>
    <row r="245" spans="1:28" x14ac:dyDescent="0.25">
      <c r="A245" t="s">
        <v>249</v>
      </c>
      <c r="B245">
        <v>0.99542014353169495</v>
      </c>
      <c r="C245">
        <v>0.93633270763184395</v>
      </c>
      <c r="D245">
        <v>0.963938976444082</v>
      </c>
      <c r="E245">
        <v>0.83112669894967806</v>
      </c>
      <c r="F245">
        <v>0.65021667283036599</v>
      </c>
      <c r="G245">
        <v>0.44979130243086601</v>
      </c>
      <c r="H245">
        <v>0.34072412200511198</v>
      </c>
      <c r="I245">
        <v>0.33813237584641398</v>
      </c>
      <c r="J245">
        <v>0.50949028299779497</v>
      </c>
      <c r="K245">
        <v>0.65476701271145998</v>
      </c>
      <c r="L245">
        <v>1265.0656849679301</v>
      </c>
      <c r="M245">
        <v>26.184105587266998</v>
      </c>
      <c r="N245">
        <v>53.2403832524558</v>
      </c>
      <c r="O245">
        <v>48.035101686647302</v>
      </c>
      <c r="P245">
        <v>-7.4181278563087899E-2</v>
      </c>
      <c r="Q245">
        <v>0.45565988287734799</v>
      </c>
      <c r="R245">
        <v>0.86244038365059805</v>
      </c>
      <c r="S245" t="s">
        <v>6647</v>
      </c>
      <c r="T245" t="s">
        <v>12802</v>
      </c>
      <c r="U245" t="s">
        <v>12802</v>
      </c>
      <c r="V245" t="s">
        <v>12802</v>
      </c>
      <c r="W245" t="s">
        <v>13046</v>
      </c>
      <c r="X245">
        <v>8</v>
      </c>
      <c r="Y245" t="s">
        <v>19369</v>
      </c>
      <c r="Z245" t="s">
        <v>25563</v>
      </c>
      <c r="AA245">
        <v>0.66520625200041106</v>
      </c>
      <c r="AB245" t="str">
        <f>HYPERLINK("Melting_Curves/meltCurve_B7Z5G4_STMN3.pdf", "Melting_Curves/meltCurve_B7Z5G4_STMN3.pdf")</f>
        <v>Melting_Curves/meltCurve_B7Z5G4_STMN3.pdf</v>
      </c>
    </row>
    <row r="246" spans="1:28" x14ac:dyDescent="0.25">
      <c r="A246" t="s">
        <v>250</v>
      </c>
      <c r="B246">
        <v>0.99542014353169495</v>
      </c>
      <c r="C246">
        <v>0.96798399449051997</v>
      </c>
      <c r="D246">
        <v>0.90281305365741704</v>
      </c>
      <c r="E246">
        <v>0.84307472574407405</v>
      </c>
      <c r="F246">
        <v>0.749745418902663</v>
      </c>
      <c r="G246">
        <v>0.65225564802026403</v>
      </c>
      <c r="H246">
        <v>0.51174657876260699</v>
      </c>
      <c r="I246">
        <v>0.47765021745474201</v>
      </c>
      <c r="J246">
        <v>0.52385571192954805</v>
      </c>
      <c r="K246">
        <v>0.44063320349714902</v>
      </c>
      <c r="L246">
        <v>522.33144997311297</v>
      </c>
      <c r="M246">
        <v>10.195116305068099</v>
      </c>
      <c r="N246">
        <v>61.150686340036501</v>
      </c>
      <c r="O246">
        <v>49.3796458260598</v>
      </c>
      <c r="P246">
        <v>-3.0761452460028999E-2</v>
      </c>
      <c r="Q246">
        <v>0.40430154150439701</v>
      </c>
      <c r="R246">
        <v>0.98419236593886295</v>
      </c>
      <c r="S246" t="s">
        <v>6648</v>
      </c>
      <c r="T246" t="s">
        <v>12802</v>
      </c>
      <c r="U246" t="s">
        <v>12802</v>
      </c>
      <c r="V246" t="s">
        <v>12802</v>
      </c>
      <c r="W246" t="s">
        <v>13047</v>
      </c>
      <c r="X246">
        <v>9</v>
      </c>
      <c r="Y246" t="s">
        <v>19370</v>
      </c>
      <c r="Z246" t="s">
        <v>25564</v>
      </c>
      <c r="AA246">
        <v>0.70434047627063479</v>
      </c>
      <c r="AB246" t="str">
        <f>HYPERLINK("Melting_Curves/meltCurve_B7Z5W1_F11R.pdf", "Melting_Curves/meltCurve_B7Z5W1_F11R.pdf")</f>
        <v>Melting_Curves/meltCurve_B7Z5W1_F11R.pdf</v>
      </c>
    </row>
    <row r="247" spans="1:28" x14ac:dyDescent="0.25">
      <c r="A247" t="s">
        <v>251</v>
      </c>
      <c r="B247">
        <v>0.99542014353169495</v>
      </c>
      <c r="C247">
        <v>0.83756645738124702</v>
      </c>
      <c r="D247">
        <v>0.86377074453404201</v>
      </c>
      <c r="E247">
        <v>0.63588932892601302</v>
      </c>
      <c r="F247">
        <v>0.39527507819681501</v>
      </c>
      <c r="G247">
        <v>0.16958235180969999</v>
      </c>
      <c r="H247">
        <v>9.9034014239277199E-2</v>
      </c>
      <c r="I247">
        <v>5.34594589605321E-2</v>
      </c>
      <c r="J247">
        <v>4.6838861684604702E-2</v>
      </c>
      <c r="K247">
        <v>5.5178579005627303E-2</v>
      </c>
      <c r="L247">
        <v>641.36943673492101</v>
      </c>
      <c r="M247">
        <v>13.2907237136347</v>
      </c>
      <c r="N247">
        <v>48.290547450703798</v>
      </c>
      <c r="O247">
        <v>47.203714270134903</v>
      </c>
      <c r="P247">
        <v>-7.0077427818006494E-2</v>
      </c>
      <c r="Q247">
        <v>4.6057131627666899E-3</v>
      </c>
      <c r="R247">
        <v>0.98875310788822401</v>
      </c>
      <c r="S247" t="s">
        <v>6649</v>
      </c>
      <c r="T247" t="s">
        <v>12802</v>
      </c>
      <c r="U247" t="s">
        <v>12802</v>
      </c>
      <c r="V247" t="s">
        <v>12802</v>
      </c>
      <c r="W247" t="s">
        <v>13048</v>
      </c>
      <c r="X247">
        <v>7</v>
      </c>
      <c r="Y247" t="s">
        <v>19371</v>
      </c>
      <c r="Z247" t="s">
        <v>25565</v>
      </c>
      <c r="AA247">
        <v>0.40454876143654023</v>
      </c>
      <c r="AB247" t="str">
        <f>HYPERLINK("Melting_Curves/meltCurve_B7Z637_ARMC8.pdf", "Melting_Curves/meltCurve_B7Z637_ARMC8.pdf")</f>
        <v>Melting_Curves/meltCurve_B7Z637_ARMC8.pdf</v>
      </c>
    </row>
    <row r="248" spans="1:28" x14ac:dyDescent="0.25">
      <c r="A248" t="s">
        <v>252</v>
      </c>
      <c r="B248">
        <v>0.99542014353169495</v>
      </c>
      <c r="C248">
        <v>0.98906311424030902</v>
      </c>
      <c r="D248">
        <v>0.94630661171684105</v>
      </c>
      <c r="E248">
        <v>0.88089992709442799</v>
      </c>
      <c r="F248">
        <v>0.72990515816448998</v>
      </c>
      <c r="G248">
        <v>0.57162110653057496</v>
      </c>
      <c r="H248">
        <v>0.33020746522267203</v>
      </c>
      <c r="I248">
        <v>0.18902167875470599</v>
      </c>
      <c r="J248">
        <v>9.0937596666889595E-2</v>
      </c>
      <c r="K248">
        <v>6.9874520841246193E-2</v>
      </c>
      <c r="L248">
        <v>713.37404118807297</v>
      </c>
      <c r="M248">
        <v>13.129648673030299</v>
      </c>
      <c r="N248">
        <v>54.333063983699603</v>
      </c>
      <c r="O248">
        <v>53.119027738287798</v>
      </c>
      <c r="P248">
        <v>-6.1804032147090203E-2</v>
      </c>
      <c r="Q248">
        <v>0</v>
      </c>
      <c r="R248">
        <v>0.997288978368153</v>
      </c>
      <c r="S248" t="s">
        <v>6650</v>
      </c>
      <c r="T248" t="s">
        <v>12802</v>
      </c>
      <c r="U248" t="s">
        <v>12802</v>
      </c>
      <c r="V248" t="s">
        <v>12802</v>
      </c>
      <c r="W248" t="s">
        <v>13049</v>
      </c>
      <c r="X248">
        <v>19</v>
      </c>
      <c r="Y248" t="s">
        <v>19372</v>
      </c>
      <c r="Z248" t="s">
        <v>25566</v>
      </c>
      <c r="AA248">
        <v>0.59428884585713382</v>
      </c>
      <c r="AB248" t="str">
        <f>HYPERLINK("Melting_Curves/meltCurve_B7Z6B8_DECR1.pdf", "Melting_Curves/meltCurve_B7Z6B8_DECR1.pdf")</f>
        <v>Melting_Curves/meltCurve_B7Z6B8_DECR1.pdf</v>
      </c>
    </row>
    <row r="249" spans="1:28" x14ac:dyDescent="0.25">
      <c r="A249" t="s">
        <v>253</v>
      </c>
      <c r="B249">
        <v>0.99542014353169495</v>
      </c>
      <c r="C249">
        <v>0.86284000528566696</v>
      </c>
      <c r="D249">
        <v>0.88860891594578195</v>
      </c>
      <c r="E249">
        <v>0.72347461232243304</v>
      </c>
      <c r="F249">
        <v>0.62814011965218597</v>
      </c>
      <c r="G249">
        <v>0.211812313500676</v>
      </c>
      <c r="H249">
        <v>0.112648279339765</v>
      </c>
      <c r="I249">
        <v>7.04082384603468E-2</v>
      </c>
      <c r="J249">
        <v>8.2992812149328493E-2</v>
      </c>
      <c r="K249">
        <v>0.10367699430397501</v>
      </c>
      <c r="L249">
        <v>722.52498878450899</v>
      </c>
      <c r="M249">
        <v>14.4243399123551</v>
      </c>
      <c r="N249">
        <v>50.273145749695701</v>
      </c>
      <c r="O249">
        <v>49.157442498421297</v>
      </c>
      <c r="P249">
        <v>-7.1495651473972799E-2</v>
      </c>
      <c r="Q249">
        <v>2.5500060237138199E-2</v>
      </c>
      <c r="R249">
        <v>0.96888440532263798</v>
      </c>
      <c r="S249" t="s">
        <v>6651</v>
      </c>
      <c r="T249" t="s">
        <v>12802</v>
      </c>
      <c r="U249" t="s">
        <v>12802</v>
      </c>
      <c r="V249" t="s">
        <v>12802</v>
      </c>
      <c r="W249" t="s">
        <v>13050</v>
      </c>
      <c r="X249">
        <v>5</v>
      </c>
      <c r="Y249" t="s">
        <v>19373</v>
      </c>
      <c r="Z249" t="s">
        <v>25567</v>
      </c>
      <c r="AA249">
        <v>0.47219070433825072</v>
      </c>
      <c r="AB249" t="str">
        <f>HYPERLINK("Melting_Curves/meltCurve_B7Z6L5_TES.pdf", "Melting_Curves/meltCurve_B7Z6L5_TES.pdf")</f>
        <v>Melting_Curves/meltCurve_B7Z6L5_TES.pdf</v>
      </c>
    </row>
    <row r="250" spans="1:28" x14ac:dyDescent="0.25">
      <c r="A250" t="s">
        <v>254</v>
      </c>
      <c r="B250">
        <v>0.99542014353169495</v>
      </c>
      <c r="C250">
        <v>1.0106709885524801</v>
      </c>
      <c r="D250">
        <v>1.1528301782127199</v>
      </c>
      <c r="E250">
        <v>0.95745069610864197</v>
      </c>
      <c r="F250">
        <v>0.57406506147335101</v>
      </c>
      <c r="G250">
        <v>0.40227898263145101</v>
      </c>
      <c r="H250">
        <v>0.38625851252959897</v>
      </c>
      <c r="I250">
        <v>0.19697552564910401</v>
      </c>
      <c r="J250">
        <v>8.0712792556746599E-2</v>
      </c>
      <c r="K250">
        <v>0.110443751603399</v>
      </c>
      <c r="L250">
        <v>894.233376708793</v>
      </c>
      <c r="M250">
        <v>17.265149949356299</v>
      </c>
      <c r="N250">
        <v>52.615597625614001</v>
      </c>
      <c r="O250">
        <v>51.114254437861703</v>
      </c>
      <c r="P250">
        <v>-7.4471869932851903E-2</v>
      </c>
      <c r="Q250">
        <v>0.11814191099086201</v>
      </c>
      <c r="R250">
        <v>0.95351900808310597</v>
      </c>
      <c r="S250" t="s">
        <v>6652</v>
      </c>
      <c r="T250" t="s">
        <v>12802</v>
      </c>
      <c r="U250" t="s">
        <v>12802</v>
      </c>
      <c r="V250" t="s">
        <v>12802</v>
      </c>
      <c r="W250" t="s">
        <v>13051</v>
      </c>
      <c r="X250">
        <v>2</v>
      </c>
      <c r="Y250" t="s">
        <v>19374</v>
      </c>
      <c r="Z250" t="s">
        <v>25568</v>
      </c>
      <c r="AA250">
        <v>0.56725671562865232</v>
      </c>
      <c r="AB250" t="str">
        <f>HYPERLINK("Melting_Curves/meltCurve_B7Z6M4_TNFAIP1.pdf", "Melting_Curves/meltCurve_B7Z6M4_TNFAIP1.pdf")</f>
        <v>Melting_Curves/meltCurve_B7Z6M4_TNFAIP1.pdf</v>
      </c>
    </row>
    <row r="251" spans="1:28" x14ac:dyDescent="0.25">
      <c r="A251" t="s">
        <v>255</v>
      </c>
      <c r="B251">
        <v>0.99542014353169495</v>
      </c>
      <c r="C251">
        <v>1.0783241700817201</v>
      </c>
      <c r="D251">
        <v>0.96645356983896002</v>
      </c>
      <c r="E251">
        <v>0.92501133011552705</v>
      </c>
      <c r="F251">
        <v>0.78259949583398503</v>
      </c>
      <c r="G251">
        <v>0.56302052111475898</v>
      </c>
      <c r="H251">
        <v>0.32655072918975597</v>
      </c>
      <c r="I251">
        <v>0.15202185790726899</v>
      </c>
      <c r="J251">
        <v>8.9787952166062196E-2</v>
      </c>
      <c r="K251">
        <v>8.2242952026135602E-2</v>
      </c>
      <c r="L251">
        <v>845.361093124332</v>
      </c>
      <c r="M251">
        <v>15.5274412212377</v>
      </c>
      <c r="N251">
        <v>54.538748625059199</v>
      </c>
      <c r="O251">
        <v>53.564006575509801</v>
      </c>
      <c r="P251">
        <v>-7.1503692329304397E-2</v>
      </c>
      <c r="Q251">
        <v>1.34404492745021E-2</v>
      </c>
      <c r="R251">
        <v>0.99449516901474</v>
      </c>
      <c r="S251" t="s">
        <v>6653</v>
      </c>
      <c r="T251" t="s">
        <v>12802</v>
      </c>
      <c r="U251" t="s">
        <v>12802</v>
      </c>
      <c r="V251" t="s">
        <v>12802</v>
      </c>
      <c r="W251" t="s">
        <v>13052</v>
      </c>
      <c r="X251">
        <v>13</v>
      </c>
      <c r="Y251" t="s">
        <v>19375</v>
      </c>
      <c r="Z251" t="s">
        <v>25569</v>
      </c>
      <c r="AA251">
        <v>0.60185806915080775</v>
      </c>
      <c r="AB251" t="str">
        <f>HYPERLINK("Melting_Curves/meltCurve_B7Z7F3_RANBP3.pdf", "Melting_Curves/meltCurve_B7Z7F3_RANBP3.pdf")</f>
        <v>Melting_Curves/meltCurve_B7Z7F3_RANBP3.pdf</v>
      </c>
    </row>
    <row r="252" spans="1:28" x14ac:dyDescent="0.25">
      <c r="A252" t="s">
        <v>256</v>
      </c>
      <c r="B252">
        <v>0.99542014353169495</v>
      </c>
      <c r="C252">
        <v>0.89343036770278095</v>
      </c>
      <c r="D252">
        <v>0.97471672970689605</v>
      </c>
      <c r="E252">
        <v>0.53851984844116496</v>
      </c>
      <c r="F252">
        <v>0.14617218304171101</v>
      </c>
      <c r="G252">
        <v>8.5516028586403406E-2</v>
      </c>
      <c r="H252">
        <v>6.9487938482016301E-2</v>
      </c>
      <c r="I252">
        <v>4.3682558342187497E-2</v>
      </c>
      <c r="J252">
        <v>7.3877269229246506E-2</v>
      </c>
      <c r="K252">
        <v>4.8220110851628598E-2</v>
      </c>
      <c r="L252">
        <v>1580.1395995186399</v>
      </c>
      <c r="M252">
        <v>33.853581510325498</v>
      </c>
      <c r="N252">
        <v>46.859188295237303</v>
      </c>
      <c r="O252">
        <v>46.5137360504905</v>
      </c>
      <c r="P252">
        <v>-0.17066150950405401</v>
      </c>
      <c r="Q252">
        <v>6.20700556539035E-2</v>
      </c>
      <c r="R252">
        <v>0.99222235575545803</v>
      </c>
      <c r="S252" t="s">
        <v>6654</v>
      </c>
      <c r="T252" t="s">
        <v>12802</v>
      </c>
      <c r="U252" t="s">
        <v>12802</v>
      </c>
      <c r="V252" t="s">
        <v>12802</v>
      </c>
      <c r="W252" t="s">
        <v>13053</v>
      </c>
      <c r="X252">
        <v>42</v>
      </c>
      <c r="Y252" t="s">
        <v>19376</v>
      </c>
      <c r="Z252" t="s">
        <v>25570</v>
      </c>
      <c r="AA252">
        <v>0.36881559796830837</v>
      </c>
      <c r="AB252" t="str">
        <f>HYPERLINK("Melting_Curves/meltCurve_B7Z815_USP7.pdf", "Melting_Curves/meltCurve_B7Z815_USP7.pdf")</f>
        <v>Melting_Curves/meltCurve_B7Z815_USP7.pdf</v>
      </c>
    </row>
    <row r="253" spans="1:28" x14ac:dyDescent="0.25">
      <c r="A253" t="s">
        <v>257</v>
      </c>
      <c r="B253">
        <v>0.99542014353169495</v>
      </c>
      <c r="C253">
        <v>0.90007479891552</v>
      </c>
      <c r="D253">
        <v>0.96378676819352305</v>
      </c>
      <c r="E253">
        <v>0.79203373797617704</v>
      </c>
      <c r="F253">
        <v>0.56509589973410101</v>
      </c>
      <c r="G253">
        <v>0.26754521157730299</v>
      </c>
      <c r="H253">
        <v>0.22934997227026199</v>
      </c>
      <c r="I253">
        <v>0.21998952781269701</v>
      </c>
      <c r="J253">
        <v>0.29662457769091299</v>
      </c>
      <c r="K253">
        <v>0.34041737419363899</v>
      </c>
      <c r="L253">
        <v>1164.8224825406901</v>
      </c>
      <c r="M253">
        <v>23.871872990160501</v>
      </c>
      <c r="N253">
        <v>50.322165001343002</v>
      </c>
      <c r="O253">
        <v>48.456199945809999</v>
      </c>
      <c r="P253">
        <v>-9.1420512477073695E-2</v>
      </c>
      <c r="Q253">
        <v>0.25773381844106502</v>
      </c>
      <c r="R253">
        <v>0.96910276922308602</v>
      </c>
      <c r="S253" t="s">
        <v>6655</v>
      </c>
      <c r="T253" t="s">
        <v>12802</v>
      </c>
      <c r="U253" t="s">
        <v>12802</v>
      </c>
      <c r="V253" t="s">
        <v>12802</v>
      </c>
      <c r="W253" t="s">
        <v>13054</v>
      </c>
      <c r="X253">
        <v>15</v>
      </c>
      <c r="Y253" t="s">
        <v>19377</v>
      </c>
      <c r="Z253" t="s">
        <v>25571</v>
      </c>
      <c r="AA253">
        <v>0.55655929814891769</v>
      </c>
      <c r="AB253" t="str">
        <f>HYPERLINK("Melting_Curves/meltCurve_B7Z817_DHCR24.pdf", "Melting_Curves/meltCurve_B7Z817_DHCR24.pdf")</f>
        <v>Melting_Curves/meltCurve_B7Z817_DHCR24.pdf</v>
      </c>
    </row>
    <row r="254" spans="1:28" x14ac:dyDescent="0.25">
      <c r="A254" t="s">
        <v>258</v>
      </c>
      <c r="B254">
        <v>0.99542014353169495</v>
      </c>
      <c r="C254">
        <v>0.92042545232171102</v>
      </c>
      <c r="D254">
        <v>0.63202358355296195</v>
      </c>
      <c r="E254">
        <v>0.1706571839819</v>
      </c>
      <c r="F254">
        <v>7.5553813903906794E-2</v>
      </c>
      <c r="G254">
        <v>3.9521204147095E-2</v>
      </c>
      <c r="H254">
        <v>3.0120245115685101E-2</v>
      </c>
      <c r="I254">
        <v>1.9429234439523099E-2</v>
      </c>
      <c r="J254">
        <v>2.3926014717282101E-2</v>
      </c>
      <c r="K254">
        <v>0</v>
      </c>
      <c r="L254">
        <v>1158.9396358092199</v>
      </c>
      <c r="M254">
        <v>26.482743080920901</v>
      </c>
      <c r="N254">
        <v>43.8393283153666</v>
      </c>
      <c r="O254">
        <v>43.514823269642697</v>
      </c>
      <c r="P254">
        <v>-0.148680544816503</v>
      </c>
      <c r="Q254">
        <v>2.27993492211543E-2</v>
      </c>
      <c r="R254">
        <v>0.99895815648629804</v>
      </c>
      <c r="S254" t="s">
        <v>6656</v>
      </c>
      <c r="T254" t="s">
        <v>12802</v>
      </c>
      <c r="U254" t="s">
        <v>12802</v>
      </c>
      <c r="V254" t="s">
        <v>12802</v>
      </c>
      <c r="W254" t="s">
        <v>13055</v>
      </c>
      <c r="X254">
        <v>2</v>
      </c>
      <c r="Y254" t="s">
        <v>19378</v>
      </c>
      <c r="Z254" t="s">
        <v>25572</v>
      </c>
      <c r="AA254">
        <v>0.2501580442738946</v>
      </c>
      <c r="AB254" t="str">
        <f>HYPERLINK("Melting_Curves/meltCurve_B7Z8H2_TRDMT1.pdf", "Melting_Curves/meltCurve_B7Z8H2_TRDMT1.pdf")</f>
        <v>Melting_Curves/meltCurve_B7Z8H2_TRDMT1.pdf</v>
      </c>
    </row>
    <row r="255" spans="1:28" x14ac:dyDescent="0.25">
      <c r="A255" t="s">
        <v>259</v>
      </c>
      <c r="B255">
        <v>0.99542014353169495</v>
      </c>
      <c r="C255">
        <v>1.0812589606637699</v>
      </c>
      <c r="D255">
        <v>1.06152492074136</v>
      </c>
      <c r="E255">
        <v>0.78366613679756203</v>
      </c>
      <c r="F255">
        <v>0.69049650975459298</v>
      </c>
      <c r="G255">
        <v>0.53652744342445402</v>
      </c>
      <c r="H255">
        <v>0.41339778712053399</v>
      </c>
      <c r="I255">
        <v>0.48703213680874702</v>
      </c>
      <c r="J255">
        <v>0.8997238321005</v>
      </c>
      <c r="K255">
        <v>0.75875835553927795</v>
      </c>
      <c r="L255">
        <v>3543.76502133351</v>
      </c>
      <c r="M255">
        <v>76.377918964489098</v>
      </c>
      <c r="O255">
        <v>46.365990207094498</v>
      </c>
      <c r="P255">
        <v>-0.15210005141992999</v>
      </c>
      <c r="Q255">
        <v>0.63066453862878002</v>
      </c>
      <c r="R255">
        <v>0.65346311263230095</v>
      </c>
      <c r="S255" t="s">
        <v>6657</v>
      </c>
      <c r="T255" t="s">
        <v>12802</v>
      </c>
      <c r="U255" t="s">
        <v>12802</v>
      </c>
      <c r="V255" t="s">
        <v>12802</v>
      </c>
      <c r="W255" t="s">
        <v>13056</v>
      </c>
      <c r="X255">
        <v>3</v>
      </c>
      <c r="Y255" t="s">
        <v>19379</v>
      </c>
      <c r="Z255" t="s">
        <v>25573</v>
      </c>
      <c r="AA255">
        <v>0.74668508394745581</v>
      </c>
      <c r="AB255" t="str">
        <f>HYPERLINK("Melting_Curves/meltCurve_B7Z9C6_SH3PXD2A.pdf", "Melting_Curves/meltCurve_B7Z9C6_SH3PXD2A.pdf")</f>
        <v>Melting_Curves/meltCurve_B7Z9C6_SH3PXD2A.pdf</v>
      </c>
    </row>
    <row r="256" spans="1:28" x14ac:dyDescent="0.25">
      <c r="A256" t="s">
        <v>260</v>
      </c>
      <c r="B256">
        <v>0.99542014353169495</v>
      </c>
      <c r="C256">
        <v>0.96242128161240204</v>
      </c>
      <c r="D256">
        <v>0.919842933476263</v>
      </c>
      <c r="E256">
        <v>0.66649916190092995</v>
      </c>
      <c r="F256">
        <v>0.49097561389892702</v>
      </c>
      <c r="G256">
        <v>0.20890443235424699</v>
      </c>
      <c r="H256">
        <v>8.1587535057267402E-2</v>
      </c>
      <c r="I256">
        <v>5.1061685218839803E-2</v>
      </c>
      <c r="J256">
        <v>6.5137627544848198E-2</v>
      </c>
      <c r="K256">
        <v>6.41634228624203E-2</v>
      </c>
      <c r="L256">
        <v>763.29730424625097</v>
      </c>
      <c r="M256">
        <v>15.5233607140553</v>
      </c>
      <c r="N256">
        <v>49.318728799031</v>
      </c>
      <c r="O256">
        <v>48.376570282112297</v>
      </c>
      <c r="P256">
        <v>-7.8404575486348702E-2</v>
      </c>
      <c r="Q256">
        <v>2.2735057852423399E-2</v>
      </c>
      <c r="R256">
        <v>0.99442346358821398</v>
      </c>
      <c r="S256" t="s">
        <v>6658</v>
      </c>
      <c r="T256" t="s">
        <v>12802</v>
      </c>
      <c r="U256" t="s">
        <v>12802</v>
      </c>
      <c r="V256" t="s">
        <v>12802</v>
      </c>
      <c r="W256" t="s">
        <v>13057</v>
      </c>
      <c r="X256">
        <v>6</v>
      </c>
      <c r="Y256" t="s">
        <v>19380</v>
      </c>
      <c r="Z256" t="s">
        <v>25574</v>
      </c>
      <c r="AA256">
        <v>0.43904252220493761</v>
      </c>
      <c r="AB256" t="str">
        <f>HYPERLINK("Melting_Curves/meltCurve_B7Z9I3_ATP6AP2.pdf", "Melting_Curves/meltCurve_B7Z9I3_ATP6AP2.pdf")</f>
        <v>Melting_Curves/meltCurve_B7Z9I3_ATP6AP2.pdf</v>
      </c>
    </row>
    <row r="257" spans="1:28" x14ac:dyDescent="0.25">
      <c r="A257" t="s">
        <v>261</v>
      </c>
      <c r="B257">
        <v>0.99542014353169495</v>
      </c>
      <c r="C257">
        <v>1.0297658739723801</v>
      </c>
      <c r="D257">
        <v>0.98178185548602603</v>
      </c>
      <c r="E257">
        <v>0.82573510581235798</v>
      </c>
      <c r="F257">
        <v>0.73465674357530397</v>
      </c>
      <c r="G257">
        <v>0.40158083109680998</v>
      </c>
      <c r="H257">
        <v>0.32676055401288001</v>
      </c>
      <c r="I257">
        <v>0.21252243447821301</v>
      </c>
      <c r="J257">
        <v>0.25500809096473598</v>
      </c>
      <c r="K257">
        <v>0.309506488874281</v>
      </c>
      <c r="L257">
        <v>1002.90100001002</v>
      </c>
      <c r="M257">
        <v>19.713988023225902</v>
      </c>
      <c r="N257">
        <v>52.662959586857802</v>
      </c>
      <c r="O257">
        <v>50.357772192284799</v>
      </c>
      <c r="P257">
        <v>-7.3972135938243602E-2</v>
      </c>
      <c r="Q257">
        <v>0.24420292994432299</v>
      </c>
      <c r="R257">
        <v>0.98242194020860096</v>
      </c>
      <c r="S257" t="s">
        <v>6659</v>
      </c>
      <c r="T257" t="s">
        <v>12802</v>
      </c>
      <c r="U257" t="s">
        <v>12802</v>
      </c>
      <c r="V257" t="s">
        <v>12802</v>
      </c>
      <c r="W257" t="s">
        <v>13058</v>
      </c>
      <c r="X257">
        <v>4</v>
      </c>
      <c r="Y257" t="s">
        <v>19381</v>
      </c>
      <c r="Z257" t="s">
        <v>25575</v>
      </c>
      <c r="AA257">
        <v>0.60384523232606524</v>
      </c>
      <c r="AB257" t="str">
        <f>HYPERLINK("Melting_Curves/meltCurve_B7Z9S8_ATP1B1.pdf", "Melting_Curves/meltCurve_B7Z9S8_ATP1B1.pdf")</f>
        <v>Melting_Curves/meltCurve_B7Z9S8_ATP1B1.pdf</v>
      </c>
    </row>
    <row r="258" spans="1:28" x14ac:dyDescent="0.25">
      <c r="A258" t="s">
        <v>262</v>
      </c>
      <c r="B258">
        <v>0.99542014353169495</v>
      </c>
      <c r="C258">
        <v>0.91146792300004598</v>
      </c>
      <c r="D258">
        <v>0.88762076644660004</v>
      </c>
      <c r="E258">
        <v>0.56062895085458997</v>
      </c>
      <c r="F258">
        <v>0.30840627381326502</v>
      </c>
      <c r="G258">
        <v>0.12616600768123801</v>
      </c>
      <c r="H258">
        <v>8.4327314269436696E-2</v>
      </c>
      <c r="I258">
        <v>6.1602544235066302E-2</v>
      </c>
      <c r="J258">
        <v>5.2957309207692399E-2</v>
      </c>
      <c r="K258">
        <v>5.7741013985369002E-2</v>
      </c>
      <c r="L258">
        <v>832.753349467612</v>
      </c>
      <c r="M258">
        <v>17.6421200062365</v>
      </c>
      <c r="N258">
        <v>47.4537594825985</v>
      </c>
      <c r="O258">
        <v>46.608640331464002</v>
      </c>
      <c r="P258">
        <v>-9.0415371024570798E-2</v>
      </c>
      <c r="Q258">
        <v>4.4579577621831103E-2</v>
      </c>
      <c r="R258">
        <v>0.99671456650250601</v>
      </c>
      <c r="S258" t="s">
        <v>6660</v>
      </c>
      <c r="T258" t="s">
        <v>12802</v>
      </c>
      <c r="U258" t="s">
        <v>12802</v>
      </c>
      <c r="V258" t="s">
        <v>12802</v>
      </c>
      <c r="W258" t="s">
        <v>13059</v>
      </c>
      <c r="X258">
        <v>1</v>
      </c>
      <c r="Y258" t="s">
        <v>19382</v>
      </c>
      <c r="Z258" t="s">
        <v>25576</v>
      </c>
      <c r="AA258">
        <v>0.38541936075529731</v>
      </c>
      <c r="AB258" t="str">
        <f>HYPERLINK("Melting_Curves/meltCurve_B7Z9U0_CNOT8.pdf", "Melting_Curves/meltCurve_B7Z9U0_CNOT8.pdf")</f>
        <v>Melting_Curves/meltCurve_B7Z9U0_CNOT8.pdf</v>
      </c>
    </row>
    <row r="259" spans="1:28" x14ac:dyDescent="0.25">
      <c r="A259" t="s">
        <v>263</v>
      </c>
      <c r="B259">
        <v>0.99542014353169495</v>
      </c>
      <c r="C259">
        <v>0.96677941852362304</v>
      </c>
      <c r="D259">
        <v>0.91409584893580698</v>
      </c>
      <c r="E259">
        <v>0.62141406389550402</v>
      </c>
      <c r="F259">
        <v>0.15067189193365599</v>
      </c>
      <c r="G259">
        <v>8.1980974361078499E-2</v>
      </c>
      <c r="H259">
        <v>6.7374173939704907E-2</v>
      </c>
      <c r="I259">
        <v>3.7122391397203802E-2</v>
      </c>
      <c r="J259">
        <v>5.8935458746566E-2</v>
      </c>
      <c r="K259">
        <v>3.9247506969195399E-2</v>
      </c>
      <c r="L259">
        <v>1423.2647110436401</v>
      </c>
      <c r="M259">
        <v>30.2095252818538</v>
      </c>
      <c r="N259">
        <v>47.2713236248158</v>
      </c>
      <c r="O259">
        <v>46.908093468055398</v>
      </c>
      <c r="P259">
        <v>-0.15326329701243499</v>
      </c>
      <c r="Q259">
        <v>4.8082232072849798E-2</v>
      </c>
      <c r="R259">
        <v>0.99763046114924403</v>
      </c>
      <c r="S259" t="s">
        <v>6661</v>
      </c>
      <c r="T259" t="s">
        <v>12802</v>
      </c>
      <c r="U259" t="s">
        <v>12802</v>
      </c>
      <c r="V259" t="s">
        <v>12802</v>
      </c>
      <c r="W259" t="s">
        <v>13060</v>
      </c>
      <c r="X259">
        <v>14</v>
      </c>
      <c r="Y259" t="s">
        <v>19383</v>
      </c>
      <c r="Z259" t="s">
        <v>25577</v>
      </c>
      <c r="AA259">
        <v>0.37444418653275141</v>
      </c>
      <c r="AB259" t="str">
        <f>HYPERLINK("Melting_Curves/meltCurve_B7ZC38_SH3GLB2.pdf", "Melting_Curves/meltCurve_B7ZC38_SH3GLB2.pdf")</f>
        <v>Melting_Curves/meltCurve_B7ZC38_SH3GLB2.pdf</v>
      </c>
    </row>
    <row r="260" spans="1:28" x14ac:dyDescent="0.25">
      <c r="A260" t="s">
        <v>264</v>
      </c>
      <c r="B260">
        <v>0.99542014353169495</v>
      </c>
      <c r="C260">
        <v>0.94759724555348801</v>
      </c>
      <c r="D260">
        <v>0.94388643104098202</v>
      </c>
      <c r="E260">
        <v>0.68305125101933695</v>
      </c>
      <c r="F260">
        <v>0.248368398359778</v>
      </c>
      <c r="G260">
        <v>9.1461178378449901E-2</v>
      </c>
      <c r="H260">
        <v>4.7348543318318899E-2</v>
      </c>
      <c r="I260">
        <v>3.9814043645670302E-2</v>
      </c>
      <c r="J260">
        <v>4.05110168288806E-2</v>
      </c>
      <c r="K260">
        <v>4.2670687158733601E-2</v>
      </c>
      <c r="L260">
        <v>1241.3781743360701</v>
      </c>
      <c r="M260">
        <v>25.962500942745201</v>
      </c>
      <c r="N260">
        <v>47.960250711156903</v>
      </c>
      <c r="O260">
        <v>47.533308020180101</v>
      </c>
      <c r="P260">
        <v>-0.131363132094617</v>
      </c>
      <c r="Q260">
        <v>3.7989147549090801E-2</v>
      </c>
      <c r="R260">
        <v>0.998561877229596</v>
      </c>
      <c r="S260" t="s">
        <v>6662</v>
      </c>
      <c r="T260" t="s">
        <v>12802</v>
      </c>
      <c r="U260" t="s">
        <v>12802</v>
      </c>
      <c r="V260" t="s">
        <v>12802</v>
      </c>
      <c r="W260" t="s">
        <v>13061</v>
      </c>
      <c r="X260">
        <v>12</v>
      </c>
      <c r="Y260" t="s">
        <v>19384</v>
      </c>
      <c r="Z260" t="s">
        <v>25578</v>
      </c>
      <c r="AA260">
        <v>0.39235499270070068</v>
      </c>
      <c r="AB260" t="str">
        <f>HYPERLINK("Melting_Curves/meltCurve_B7ZKK9_PPP2R5E.pdf", "Melting_Curves/meltCurve_B7ZKK9_PPP2R5E.pdf")</f>
        <v>Melting_Curves/meltCurve_B7ZKK9_PPP2R5E.pdf</v>
      </c>
    </row>
    <row r="261" spans="1:28" x14ac:dyDescent="0.25">
      <c r="A261" t="s">
        <v>265</v>
      </c>
      <c r="B261">
        <v>0.99542014353169495</v>
      </c>
      <c r="C261">
        <v>0.914024244913759</v>
      </c>
      <c r="D261">
        <v>0.95986440635109604</v>
      </c>
      <c r="E261">
        <v>0.86116372002812003</v>
      </c>
      <c r="F261">
        <v>0.68256682867360896</v>
      </c>
      <c r="G261">
        <v>0.50188719773560497</v>
      </c>
      <c r="H261">
        <v>0.42094992826605299</v>
      </c>
      <c r="I261">
        <v>0.37759946883020501</v>
      </c>
      <c r="J261">
        <v>0.51382520759903805</v>
      </c>
      <c r="K261">
        <v>0.52726701152798405</v>
      </c>
      <c r="L261">
        <v>1120.33165947717</v>
      </c>
      <c r="M261">
        <v>22.864760905243202</v>
      </c>
      <c r="N261">
        <v>54.694881893942203</v>
      </c>
      <c r="O261">
        <v>48.627985363149399</v>
      </c>
      <c r="P261">
        <v>-6.4207603004749494E-2</v>
      </c>
      <c r="Q261">
        <v>0.45379224977052801</v>
      </c>
      <c r="R261">
        <v>0.94800630985688195</v>
      </c>
      <c r="S261" t="s">
        <v>6663</v>
      </c>
      <c r="T261" t="s">
        <v>12802</v>
      </c>
      <c r="U261" t="s">
        <v>12802</v>
      </c>
      <c r="V261" t="s">
        <v>12802</v>
      </c>
      <c r="W261" t="s">
        <v>13062</v>
      </c>
      <c r="X261">
        <v>7</v>
      </c>
      <c r="Y261" t="s">
        <v>19385</v>
      </c>
      <c r="Z261" t="s">
        <v>25579</v>
      </c>
      <c r="AA261">
        <v>0.67784728039014341</v>
      </c>
      <c r="AB261" t="str">
        <f>HYPERLINK("Melting_Curves/meltCurve_B7ZKQ9_SCARB1.pdf", "Melting_Curves/meltCurve_B7ZKQ9_SCARB1.pdf")</f>
        <v>Melting_Curves/meltCurve_B7ZKQ9_SCARB1.pdf</v>
      </c>
    </row>
    <row r="262" spans="1:28" x14ac:dyDescent="0.25">
      <c r="A262" t="s">
        <v>266</v>
      </c>
      <c r="B262">
        <v>0.99542014353169495</v>
      </c>
      <c r="C262">
        <v>1.0866961250681799</v>
      </c>
      <c r="D262">
        <v>0.98390801507011805</v>
      </c>
      <c r="E262">
        <v>0.91776791343336905</v>
      </c>
      <c r="F262">
        <v>0.849174170507073</v>
      </c>
      <c r="G262">
        <v>0.69118147122311102</v>
      </c>
      <c r="H262">
        <v>0.55795262712146598</v>
      </c>
      <c r="I262">
        <v>0.50732206850343897</v>
      </c>
      <c r="J262">
        <v>0.89793204148922401</v>
      </c>
      <c r="K262">
        <v>1.1804788330092</v>
      </c>
      <c r="L262">
        <v>1624.90710504909</v>
      </c>
      <c r="M262">
        <v>34.0457884066495</v>
      </c>
      <c r="O262">
        <v>47.563354870786199</v>
      </c>
      <c r="P262">
        <v>-4.0722175091291501E-2</v>
      </c>
      <c r="Q262">
        <v>0.77243876303381498</v>
      </c>
      <c r="R262">
        <v>0.27614097014430899</v>
      </c>
      <c r="S262" t="s">
        <v>6664</v>
      </c>
      <c r="T262" t="s">
        <v>12802</v>
      </c>
      <c r="U262" t="s">
        <v>12802</v>
      </c>
      <c r="V262" t="s">
        <v>12802</v>
      </c>
      <c r="W262" t="s">
        <v>13063</v>
      </c>
      <c r="X262">
        <v>17</v>
      </c>
      <c r="Y262" t="s">
        <v>19386</v>
      </c>
      <c r="Z262" t="s">
        <v>25580</v>
      </c>
      <c r="AA262">
        <v>0.85484707447541697</v>
      </c>
      <c r="AB262" t="str">
        <f>HYPERLINK("Melting_Curves/meltCurve_B7ZKW8_RCSD1.pdf", "Melting_Curves/meltCurve_B7ZKW8_RCSD1.pdf")</f>
        <v>Melting_Curves/meltCurve_B7ZKW8_RCSD1.pdf</v>
      </c>
    </row>
    <row r="263" spans="1:28" x14ac:dyDescent="0.25">
      <c r="A263" t="s">
        <v>267</v>
      </c>
      <c r="B263">
        <v>0.99542014353169495</v>
      </c>
      <c r="C263">
        <v>1.04774766100256</v>
      </c>
      <c r="D263">
        <v>1.0742105873164101</v>
      </c>
      <c r="E263">
        <v>0.97992045143999695</v>
      </c>
      <c r="F263">
        <v>0.78379407553122604</v>
      </c>
      <c r="G263">
        <v>0.59399740094407605</v>
      </c>
      <c r="H263">
        <v>0.38760491247554402</v>
      </c>
      <c r="I263">
        <v>0.26124203825998599</v>
      </c>
      <c r="J263">
        <v>0.16001438591158601</v>
      </c>
      <c r="K263">
        <v>0.14368396167005701</v>
      </c>
      <c r="L263">
        <v>883.46832717331301</v>
      </c>
      <c r="M263">
        <v>16.223249793738201</v>
      </c>
      <c r="N263">
        <v>55.271982199730097</v>
      </c>
      <c r="O263">
        <v>53.649665159256202</v>
      </c>
      <c r="P263">
        <v>-6.7560682669229696E-2</v>
      </c>
      <c r="Q263">
        <v>0.106384024590058</v>
      </c>
      <c r="R263">
        <v>0.989796319027623</v>
      </c>
      <c r="S263" t="s">
        <v>6665</v>
      </c>
      <c r="T263" t="s">
        <v>12802</v>
      </c>
      <c r="U263" t="s">
        <v>12802</v>
      </c>
      <c r="V263" t="s">
        <v>12802</v>
      </c>
      <c r="W263" t="s">
        <v>13064</v>
      </c>
      <c r="X263">
        <v>3</v>
      </c>
      <c r="Y263" t="s">
        <v>19387</v>
      </c>
      <c r="Z263" t="s">
        <v>25581</v>
      </c>
      <c r="AA263">
        <v>0.63934278674599276</v>
      </c>
      <c r="AB263" t="str">
        <f>HYPERLINK("Melting_Curves/meltCurve_B7ZL88_COX18.pdf", "Melting_Curves/meltCurve_B7ZL88_COX18.pdf")</f>
        <v>Melting_Curves/meltCurve_B7ZL88_COX18.pdf</v>
      </c>
    </row>
    <row r="264" spans="1:28" x14ac:dyDescent="0.25">
      <c r="A264" t="s">
        <v>268</v>
      </c>
      <c r="B264">
        <v>0.99542014353169495</v>
      </c>
      <c r="C264">
        <v>0.92693357415268396</v>
      </c>
      <c r="D264">
        <v>0.96664264795724997</v>
      </c>
      <c r="E264">
        <v>0.66692021172911597</v>
      </c>
      <c r="F264">
        <v>0.45208619193267902</v>
      </c>
      <c r="G264">
        <v>0.284720435600885</v>
      </c>
      <c r="H264">
        <v>0.24101274920249699</v>
      </c>
      <c r="I264">
        <v>6.5643378430257401E-2</v>
      </c>
      <c r="J264">
        <v>0.107320178929695</v>
      </c>
      <c r="K264">
        <v>0.14013390453090599</v>
      </c>
      <c r="L264">
        <v>736.80447584796605</v>
      </c>
      <c r="M264">
        <v>15.0896351597659</v>
      </c>
      <c r="N264">
        <v>49.527646397919803</v>
      </c>
      <c r="O264">
        <v>47.995048601042299</v>
      </c>
      <c r="P264">
        <v>-7.1067422236760394E-2</v>
      </c>
      <c r="Q264">
        <v>9.5923384096123193E-2</v>
      </c>
      <c r="R264">
        <v>0.98561738264258802</v>
      </c>
      <c r="S264" t="s">
        <v>6666</v>
      </c>
      <c r="T264" t="s">
        <v>12802</v>
      </c>
      <c r="U264" t="s">
        <v>12802</v>
      </c>
      <c r="V264" t="s">
        <v>12802</v>
      </c>
      <c r="W264" t="s">
        <v>13065</v>
      </c>
      <c r="X264">
        <v>4</v>
      </c>
      <c r="Y264" t="s">
        <v>19388</v>
      </c>
      <c r="Z264" t="s">
        <v>25582</v>
      </c>
      <c r="AA264">
        <v>0.47173455258489272</v>
      </c>
      <c r="AB264" t="str">
        <f>HYPERLINK("Melting_Curves/meltCurve_B7ZLP8_TARSL2.pdf", "Melting_Curves/meltCurve_B7ZLP8_TARSL2.pdf")</f>
        <v>Melting_Curves/meltCurve_B7ZLP8_TARSL2.pdf</v>
      </c>
    </row>
    <row r="265" spans="1:28" x14ac:dyDescent="0.25">
      <c r="A265" t="s">
        <v>269</v>
      </c>
      <c r="B265">
        <v>0.99542014353169495</v>
      </c>
      <c r="C265">
        <v>0.85380972744511596</v>
      </c>
      <c r="D265">
        <v>0.77843312229584105</v>
      </c>
      <c r="E265">
        <v>0.44868861299914398</v>
      </c>
      <c r="F265">
        <v>0.27792173939198</v>
      </c>
      <c r="G265">
        <v>0.120708570097007</v>
      </c>
      <c r="H265">
        <v>7.20739147403862E-2</v>
      </c>
      <c r="I265">
        <v>5.1094012973087397E-2</v>
      </c>
      <c r="J265">
        <v>4.5485511483774402E-2</v>
      </c>
      <c r="K265">
        <v>5.0142414921220402E-2</v>
      </c>
      <c r="L265">
        <v>659.92767887490402</v>
      </c>
      <c r="M265">
        <v>14.3316401744245</v>
      </c>
      <c r="N265">
        <v>46.223471701941897</v>
      </c>
      <c r="O265">
        <v>45.178220668622302</v>
      </c>
      <c r="P265">
        <v>-7.7203015628326294E-2</v>
      </c>
      <c r="Q265">
        <v>2.663653677734E-2</v>
      </c>
      <c r="R265">
        <v>0.99524896762262105</v>
      </c>
      <c r="S265" t="s">
        <v>6667</v>
      </c>
      <c r="T265" t="s">
        <v>12802</v>
      </c>
      <c r="U265" t="s">
        <v>12802</v>
      </c>
      <c r="V265" t="s">
        <v>12802</v>
      </c>
      <c r="W265" t="s">
        <v>13066</v>
      </c>
      <c r="X265">
        <v>7</v>
      </c>
      <c r="Y265" t="s">
        <v>19389</v>
      </c>
      <c r="Z265" t="s">
        <v>25583</v>
      </c>
      <c r="AA265">
        <v>0.34458610983336602</v>
      </c>
      <c r="AB265" t="str">
        <f>HYPERLINK("Melting_Curves/meltCurve_B7ZLZ2_EDEM3.pdf", "Melting_Curves/meltCurve_B7ZLZ2_EDEM3.pdf")</f>
        <v>Melting_Curves/meltCurve_B7ZLZ2_EDEM3.pdf</v>
      </c>
    </row>
    <row r="266" spans="1:28" x14ac:dyDescent="0.25">
      <c r="A266" t="s">
        <v>270</v>
      </c>
      <c r="B266">
        <v>0.99542014353169495</v>
      </c>
      <c r="C266">
        <v>1.2187409997632701</v>
      </c>
      <c r="D266">
        <v>0.95135458998622502</v>
      </c>
      <c r="E266">
        <v>0.68960780667980803</v>
      </c>
      <c r="F266">
        <v>0.68026466713804501</v>
      </c>
      <c r="G266">
        <v>0.46670541517087299</v>
      </c>
      <c r="H266">
        <v>0.35315233133604901</v>
      </c>
      <c r="I266">
        <v>0.30000482310902499</v>
      </c>
      <c r="J266">
        <v>0.29979802205549</v>
      </c>
      <c r="K266">
        <v>0.38982449723516299</v>
      </c>
      <c r="L266">
        <v>797.18081216934604</v>
      </c>
      <c r="M266">
        <v>16.1955224605037</v>
      </c>
      <c r="N266">
        <v>52.4404943668656</v>
      </c>
      <c r="O266">
        <v>48.490178491312001</v>
      </c>
      <c r="P266">
        <v>-5.7206569983586697E-2</v>
      </c>
      <c r="Q266">
        <v>0.31493405452804801</v>
      </c>
      <c r="R266">
        <v>0.91569774316868902</v>
      </c>
      <c r="S266" t="s">
        <v>6668</v>
      </c>
      <c r="T266" t="s">
        <v>12802</v>
      </c>
      <c r="U266" t="s">
        <v>12802</v>
      </c>
      <c r="V266" t="s">
        <v>12802</v>
      </c>
      <c r="W266" t="s">
        <v>13067</v>
      </c>
      <c r="X266">
        <v>2</v>
      </c>
      <c r="Y266" t="s">
        <v>19390</v>
      </c>
      <c r="Z266" t="s">
        <v>25584</v>
      </c>
      <c r="AA266">
        <v>0.6070138213462426</v>
      </c>
      <c r="AB266" t="str">
        <f>HYPERLINK("Melting_Curves/meltCurve_B8X2Z3_RLTPR.pdf", "Melting_Curves/meltCurve_B8X2Z3_RLTPR.pdf")</f>
        <v>Melting_Curves/meltCurve_B8X2Z3_RLTPR.pdf</v>
      </c>
    </row>
    <row r="267" spans="1:28" x14ac:dyDescent="0.25">
      <c r="A267" t="s">
        <v>271</v>
      </c>
      <c r="B267">
        <v>0.99542014353169495</v>
      </c>
      <c r="C267">
        <v>0.99585319914352699</v>
      </c>
      <c r="D267">
        <v>1.005654640485</v>
      </c>
      <c r="E267">
        <v>0.75497059380265696</v>
      </c>
      <c r="F267">
        <v>0.40315691037810097</v>
      </c>
      <c r="G267">
        <v>0.17304992194913801</v>
      </c>
      <c r="H267">
        <v>0.22471804950802701</v>
      </c>
      <c r="I267">
        <v>0.26518811791060298</v>
      </c>
      <c r="J267">
        <v>0.15681166541201999</v>
      </c>
      <c r="K267">
        <v>0.15306668226999701</v>
      </c>
      <c r="L267">
        <v>1377.3202757896299</v>
      </c>
      <c r="M267">
        <v>28.6177303486709</v>
      </c>
      <c r="N267">
        <v>48.935896442482601</v>
      </c>
      <c r="O267">
        <v>47.895046368846501</v>
      </c>
      <c r="P267">
        <v>-0.121261364764037</v>
      </c>
      <c r="Q267">
        <v>0.18822732784462001</v>
      </c>
      <c r="R267">
        <v>0.98963258610468996</v>
      </c>
      <c r="S267" t="s">
        <v>6669</v>
      </c>
      <c r="T267" t="s">
        <v>12802</v>
      </c>
      <c r="U267" t="s">
        <v>12802</v>
      </c>
      <c r="V267" t="s">
        <v>12802</v>
      </c>
      <c r="W267" t="s">
        <v>13068</v>
      </c>
      <c r="X267">
        <v>5</v>
      </c>
      <c r="Y267" t="s">
        <v>19391</v>
      </c>
      <c r="Z267" t="s">
        <v>25585</v>
      </c>
      <c r="AA267">
        <v>0.49464363945450779</v>
      </c>
      <c r="AB267" t="str">
        <f>HYPERLINK("Melting_Curves/meltCurve_B8ZZD4_TAX1BP1.pdf", "Melting_Curves/meltCurve_B8ZZD4_TAX1BP1.pdf")</f>
        <v>Melting_Curves/meltCurve_B8ZZD4_TAX1BP1.pdf</v>
      </c>
    </row>
    <row r="268" spans="1:28" x14ac:dyDescent="0.25">
      <c r="A268" t="s">
        <v>272</v>
      </c>
      <c r="B268">
        <v>0.99542014353169495</v>
      </c>
      <c r="C268">
        <v>1.00084542963171</v>
      </c>
      <c r="D268">
        <v>0.74623512265146597</v>
      </c>
      <c r="E268">
        <v>0.45316756355434401</v>
      </c>
      <c r="F268">
        <v>0.25178840590124502</v>
      </c>
      <c r="G268">
        <v>0.205846243125828</v>
      </c>
      <c r="H268">
        <v>0.155100085796163</v>
      </c>
      <c r="I268">
        <v>0.13289514447269099</v>
      </c>
      <c r="J268">
        <v>0.17132066342299601</v>
      </c>
      <c r="K268">
        <v>0.226438038109919</v>
      </c>
      <c r="L268">
        <v>971.65987453649302</v>
      </c>
      <c r="M268">
        <v>21.598067784630199</v>
      </c>
      <c r="N268">
        <v>45.884835620119397</v>
      </c>
      <c r="O268">
        <v>44.607930871815697</v>
      </c>
      <c r="P268">
        <v>-0.100210183680674</v>
      </c>
      <c r="Q268">
        <v>0.17213675817992699</v>
      </c>
      <c r="R268">
        <v>0.99173402532550603</v>
      </c>
      <c r="S268" t="s">
        <v>6670</v>
      </c>
      <c r="T268" t="s">
        <v>12802</v>
      </c>
      <c r="U268" t="s">
        <v>12802</v>
      </c>
      <c r="V268" t="s">
        <v>12802</v>
      </c>
      <c r="W268" t="s">
        <v>13069</v>
      </c>
      <c r="X268">
        <v>4</v>
      </c>
      <c r="Y268" t="s">
        <v>19392</v>
      </c>
      <c r="Z268" t="s">
        <v>25586</v>
      </c>
      <c r="AA268">
        <v>0.40182738856232131</v>
      </c>
      <c r="AB268" t="str">
        <f>HYPERLINK("Melting_Curves/meltCurve_B8ZZN6_SUMO1.pdf", "Melting_Curves/meltCurve_B8ZZN6_SUMO1.pdf")</f>
        <v>Melting_Curves/meltCurve_B8ZZN6_SUMO1.pdf</v>
      </c>
    </row>
    <row r="269" spans="1:28" x14ac:dyDescent="0.25">
      <c r="A269" t="s">
        <v>273</v>
      </c>
      <c r="B269">
        <v>0.99542014353169495</v>
      </c>
      <c r="C269">
        <v>1.07545962932261</v>
      </c>
      <c r="D269">
        <v>1.01026163235886</v>
      </c>
      <c r="E269">
        <v>0.90116052620707099</v>
      </c>
      <c r="F269">
        <v>0.91849004561746905</v>
      </c>
      <c r="G269">
        <v>0.73307502756894505</v>
      </c>
      <c r="H269">
        <v>0.67885140456354698</v>
      </c>
      <c r="I269">
        <v>0.60835638563929895</v>
      </c>
      <c r="J269">
        <v>1.11072416641814</v>
      </c>
      <c r="K269">
        <v>1.26788532843776</v>
      </c>
      <c r="L269">
        <v>11561.920622150699</v>
      </c>
      <c r="M269">
        <v>250</v>
      </c>
      <c r="O269">
        <v>46.244723110933698</v>
      </c>
      <c r="P269">
        <v>-0.15376025642414301</v>
      </c>
      <c r="Q269">
        <v>0.88623039280399896</v>
      </c>
      <c r="R269">
        <v>9.9709056630820303E-2</v>
      </c>
      <c r="S269" t="s">
        <v>6671</v>
      </c>
      <c r="T269" t="s">
        <v>12802</v>
      </c>
      <c r="U269" t="s">
        <v>12802</v>
      </c>
      <c r="V269" t="s">
        <v>12802</v>
      </c>
      <c r="W269" t="s">
        <v>13070</v>
      </c>
      <c r="X269">
        <v>10</v>
      </c>
      <c r="Y269" t="s">
        <v>19393</v>
      </c>
      <c r="Z269" t="s">
        <v>25587</v>
      </c>
      <c r="AA269">
        <v>0.92130980026957565</v>
      </c>
      <c r="AB269" t="str">
        <f>HYPERLINK("Melting_Curves/meltCurve_B8ZZQ6_PTMA.pdf", "Melting_Curves/meltCurve_B8ZZQ6_PTMA.pdf")</f>
        <v>Melting_Curves/meltCurve_B8ZZQ6_PTMA.pdf</v>
      </c>
    </row>
    <row r="270" spans="1:28" x14ac:dyDescent="0.25">
      <c r="A270" t="s">
        <v>274</v>
      </c>
      <c r="B270">
        <v>0.99542014353169495</v>
      </c>
      <c r="C270">
        <v>1.00532475556662</v>
      </c>
      <c r="D270">
        <v>1.01108356144164</v>
      </c>
      <c r="E270">
        <v>0.63993487916856995</v>
      </c>
      <c r="F270">
        <v>0.32184704023135902</v>
      </c>
      <c r="G270">
        <v>0.206338112732697</v>
      </c>
      <c r="H270">
        <v>0.174992980975233</v>
      </c>
      <c r="I270">
        <v>8.8349432175838405E-2</v>
      </c>
      <c r="J270">
        <v>7.30223385797657E-2</v>
      </c>
      <c r="K270">
        <v>3.2178112418225199E-2</v>
      </c>
      <c r="L270">
        <v>1048.4151630030799</v>
      </c>
      <c r="M270">
        <v>21.8969429369171</v>
      </c>
      <c r="N270">
        <v>48.3108562449451</v>
      </c>
      <c r="O270">
        <v>47.485549752832597</v>
      </c>
      <c r="P270">
        <v>-0.105048685156981</v>
      </c>
      <c r="Q270">
        <v>8.8789365575812101E-2</v>
      </c>
      <c r="R270">
        <v>0.98845242451425297</v>
      </c>
      <c r="S270" t="s">
        <v>6672</v>
      </c>
      <c r="T270" t="s">
        <v>12802</v>
      </c>
      <c r="U270" t="s">
        <v>12802</v>
      </c>
      <c r="V270" t="s">
        <v>12802</v>
      </c>
      <c r="W270" t="s">
        <v>13071</v>
      </c>
      <c r="X270">
        <v>1</v>
      </c>
      <c r="Y270" t="s">
        <v>19394</v>
      </c>
      <c r="Z270" t="s">
        <v>25588</v>
      </c>
      <c r="AA270">
        <v>0.42929551383431008</v>
      </c>
      <c r="AB270" t="str">
        <f>HYPERLINK("Melting_Curves/meltCurve_B8ZZT9_SNX13.pdf", "Melting_Curves/meltCurve_B8ZZT9_SNX13.pdf")</f>
        <v>Melting_Curves/meltCurve_B8ZZT9_SNX13.pdf</v>
      </c>
    </row>
    <row r="271" spans="1:28" x14ac:dyDescent="0.25">
      <c r="A271" t="s">
        <v>275</v>
      </c>
      <c r="B271">
        <v>0.99542014353169495</v>
      </c>
      <c r="C271">
        <v>1.0856354079841399</v>
      </c>
      <c r="D271">
        <v>1.0947488009897</v>
      </c>
      <c r="E271">
        <v>0.97077960739365399</v>
      </c>
      <c r="F271">
        <v>0.84190157750049199</v>
      </c>
      <c r="G271">
        <v>0.55945697470964595</v>
      </c>
      <c r="H271">
        <v>0.35170067369887298</v>
      </c>
      <c r="I271">
        <v>0.319831539353157</v>
      </c>
      <c r="J271">
        <v>0.45685691954448998</v>
      </c>
      <c r="K271">
        <v>0.76128291431785999</v>
      </c>
      <c r="L271">
        <v>2204.1368954404802</v>
      </c>
      <c r="M271">
        <v>43.035744464212598</v>
      </c>
      <c r="N271">
        <v>55.126971614547202</v>
      </c>
      <c r="O271">
        <v>51.106205557112801</v>
      </c>
      <c r="P271">
        <v>-0.110231668693739</v>
      </c>
      <c r="Q271">
        <v>0.47638748538363401</v>
      </c>
      <c r="R271">
        <v>0.82754461267629797</v>
      </c>
      <c r="S271" t="s">
        <v>6673</v>
      </c>
      <c r="T271" t="s">
        <v>12802</v>
      </c>
      <c r="U271" t="s">
        <v>12802</v>
      </c>
      <c r="V271" t="s">
        <v>12802</v>
      </c>
      <c r="W271" t="s">
        <v>13072</v>
      </c>
      <c r="X271">
        <v>4</v>
      </c>
      <c r="Y271" t="s">
        <v>19395</v>
      </c>
      <c r="Z271" t="s">
        <v>25589</v>
      </c>
      <c r="AA271">
        <v>0.72611582039621181</v>
      </c>
      <c r="AB271" t="str">
        <f>HYPERLINK("Melting_Curves/meltCurve_B8ZZU6_ATF2.pdf", "Melting_Curves/meltCurve_B8ZZU6_ATF2.pdf")</f>
        <v>Melting_Curves/meltCurve_B8ZZU6_ATF2.pdf</v>
      </c>
    </row>
    <row r="272" spans="1:28" x14ac:dyDescent="0.25">
      <c r="A272" t="s">
        <v>276</v>
      </c>
      <c r="B272">
        <v>0.99542014353169495</v>
      </c>
      <c r="C272">
        <v>1.0182979351082999</v>
      </c>
      <c r="D272">
        <v>0.97888658396471395</v>
      </c>
      <c r="E272">
        <v>0.96800645364633098</v>
      </c>
      <c r="F272">
        <v>0.74787872953484202</v>
      </c>
      <c r="G272">
        <v>0.41038815209926099</v>
      </c>
      <c r="H272">
        <v>0.10991031687328701</v>
      </c>
      <c r="I272">
        <v>5.65113523441758E-2</v>
      </c>
      <c r="J272">
        <v>5.0407134796441502E-2</v>
      </c>
      <c r="K272">
        <v>5.63656458251331E-2</v>
      </c>
      <c r="L272">
        <v>1285.3639937572</v>
      </c>
      <c r="M272">
        <v>24.4615473206964</v>
      </c>
      <c r="N272">
        <v>52.695690574715798</v>
      </c>
      <c r="O272">
        <v>52.1989072166498</v>
      </c>
      <c r="P272">
        <v>-0.11323277782529299</v>
      </c>
      <c r="Q272">
        <v>3.3496853379077998E-2</v>
      </c>
      <c r="R272">
        <v>0.99813185699030804</v>
      </c>
      <c r="S272" t="s">
        <v>6674</v>
      </c>
      <c r="T272" t="s">
        <v>12802</v>
      </c>
      <c r="U272" t="s">
        <v>12802</v>
      </c>
      <c r="V272" t="s">
        <v>12802</v>
      </c>
      <c r="W272" t="s">
        <v>13073</v>
      </c>
      <c r="X272">
        <v>9</v>
      </c>
      <c r="Y272" t="s">
        <v>19396</v>
      </c>
      <c r="Z272" t="s">
        <v>25590</v>
      </c>
      <c r="AA272">
        <v>0.54323962405772686</v>
      </c>
      <c r="AB272" t="str">
        <f>HYPERLINK("Melting_Curves/meltCurve_B8ZZY2_AGFG1.pdf", "Melting_Curves/meltCurve_B8ZZY2_AGFG1.pdf")</f>
        <v>Melting_Curves/meltCurve_B8ZZY2_AGFG1.pdf</v>
      </c>
    </row>
    <row r="273" spans="1:28" x14ac:dyDescent="0.25">
      <c r="A273" t="s">
        <v>277</v>
      </c>
      <c r="B273">
        <v>0.99542014353169495</v>
      </c>
      <c r="C273">
        <v>1.04013706262046</v>
      </c>
      <c r="D273">
        <v>1.14371809298683</v>
      </c>
      <c r="E273">
        <v>1.20846409707028</v>
      </c>
      <c r="F273">
        <v>0.90682057712198405</v>
      </c>
      <c r="G273">
        <v>0.21782011628697501</v>
      </c>
      <c r="H273">
        <v>9.7263138227522E-2</v>
      </c>
      <c r="I273">
        <v>5.28528111907677E-2</v>
      </c>
      <c r="J273">
        <v>6.6162117920529298E-2</v>
      </c>
      <c r="K273">
        <v>7.3279047045523502E-2</v>
      </c>
      <c r="L273">
        <v>2946.9912718782198</v>
      </c>
      <c r="M273">
        <v>56.452646636082797</v>
      </c>
      <c r="N273">
        <v>52.344742009157997</v>
      </c>
      <c r="O273">
        <v>52.137501739666597</v>
      </c>
      <c r="P273">
        <v>-0.25149159690172701</v>
      </c>
      <c r="Q273">
        <v>7.0928422256643003E-2</v>
      </c>
      <c r="R273">
        <v>0.97169002402745297</v>
      </c>
      <c r="S273" t="s">
        <v>6675</v>
      </c>
      <c r="T273" t="s">
        <v>12802</v>
      </c>
      <c r="U273" t="s">
        <v>12802</v>
      </c>
      <c r="V273" t="s">
        <v>12802</v>
      </c>
      <c r="W273" t="s">
        <v>13074</v>
      </c>
      <c r="X273">
        <v>19</v>
      </c>
      <c r="Y273" t="s">
        <v>19397</v>
      </c>
      <c r="Z273" t="s">
        <v>25591</v>
      </c>
      <c r="AA273">
        <v>0.54342353077266592</v>
      </c>
      <c r="AB273" t="str">
        <f>HYPERLINK("Melting_Curves/meltCurve_B9A018_USP39.pdf", "Melting_Curves/meltCurve_B9A018_USP39.pdf")</f>
        <v>Melting_Curves/meltCurve_B9A018_USP39.pdf</v>
      </c>
    </row>
    <row r="274" spans="1:28" x14ac:dyDescent="0.25">
      <c r="A274" t="s">
        <v>278</v>
      </c>
      <c r="B274">
        <v>0.99542014353169495</v>
      </c>
      <c r="C274">
        <v>1.17183882619932</v>
      </c>
      <c r="D274">
        <v>1.27102756943913</v>
      </c>
      <c r="E274">
        <v>0.68678272201664503</v>
      </c>
      <c r="F274">
        <v>0.66161406599444395</v>
      </c>
      <c r="G274">
        <v>0.29740175739902802</v>
      </c>
      <c r="H274">
        <v>0.30438733650528099</v>
      </c>
      <c r="I274">
        <v>0.19822610250077399</v>
      </c>
      <c r="J274">
        <v>0.21353378896039901</v>
      </c>
      <c r="K274">
        <v>7.2418511700323804E-2</v>
      </c>
      <c r="L274">
        <v>971.21713693459299</v>
      </c>
      <c r="M274">
        <v>19.2626299325559</v>
      </c>
      <c r="N274">
        <v>51.431664090103901</v>
      </c>
      <c r="O274">
        <v>49.885780983575899</v>
      </c>
      <c r="P274">
        <v>-8.1311342768878594E-2</v>
      </c>
      <c r="Q274">
        <v>0.15772097829894599</v>
      </c>
      <c r="R274">
        <v>0.89887582127405197</v>
      </c>
      <c r="S274" t="s">
        <v>6676</v>
      </c>
      <c r="T274" t="s">
        <v>12802</v>
      </c>
      <c r="U274" t="s">
        <v>12802</v>
      </c>
      <c r="V274" t="s">
        <v>12802</v>
      </c>
      <c r="W274" t="s">
        <v>13075</v>
      </c>
      <c r="X274">
        <v>1</v>
      </c>
      <c r="Y274" t="s">
        <v>19398</v>
      </c>
      <c r="Z274" t="s">
        <v>25592</v>
      </c>
      <c r="AA274">
        <v>0.54629679211181437</v>
      </c>
      <c r="AB274" t="str">
        <f>HYPERLINK("Melting_Curves/meltCurve_B9A054_RHBDD1.pdf", "Melting_Curves/meltCurve_B9A054_RHBDD1.pdf")</f>
        <v>Melting_Curves/meltCurve_B9A054_RHBDD1.pdf</v>
      </c>
    </row>
    <row r="275" spans="1:28" x14ac:dyDescent="0.25">
      <c r="A275" t="s">
        <v>279</v>
      </c>
      <c r="B275">
        <v>0.99542014353169495</v>
      </c>
      <c r="C275">
        <v>1.01668856896756</v>
      </c>
      <c r="D275">
        <v>0.88061761240766201</v>
      </c>
      <c r="E275">
        <v>0.63821110744197895</v>
      </c>
      <c r="F275">
        <v>0.36806135275129098</v>
      </c>
      <c r="G275">
        <v>0.17811972156858599</v>
      </c>
      <c r="H275">
        <v>0.13228078282803199</v>
      </c>
      <c r="I275">
        <v>7.5212375987786101E-2</v>
      </c>
      <c r="J275">
        <v>9.3195495231601699E-2</v>
      </c>
      <c r="K275">
        <v>0.10184103299781699</v>
      </c>
      <c r="L275">
        <v>867.87356224295297</v>
      </c>
      <c r="M275">
        <v>18.157136957559199</v>
      </c>
      <c r="N275">
        <v>48.272008086992003</v>
      </c>
      <c r="O275">
        <v>47.2294401020268</v>
      </c>
      <c r="P275">
        <v>-8.8266763517360902E-2</v>
      </c>
      <c r="Q275">
        <v>8.1662923586668906E-2</v>
      </c>
      <c r="R275">
        <v>0.99776720616634496</v>
      </c>
      <c r="S275" t="s">
        <v>6677</v>
      </c>
      <c r="T275" t="s">
        <v>12802</v>
      </c>
      <c r="U275" t="s">
        <v>12802</v>
      </c>
      <c r="V275" t="s">
        <v>12802</v>
      </c>
      <c r="W275" t="s">
        <v>13076</v>
      </c>
      <c r="X275">
        <v>2</v>
      </c>
      <c r="Y275" t="s">
        <v>19399</v>
      </c>
      <c r="Z275" t="s">
        <v>25593</v>
      </c>
      <c r="AA275">
        <v>0.42665809050110842</v>
      </c>
      <c r="AB275" t="str">
        <f>HYPERLINK("Melting_Curves/meltCurve_B9ZVM7_ICA1.pdf", "Melting_Curves/meltCurve_B9ZVM7_ICA1.pdf")</f>
        <v>Melting_Curves/meltCurve_B9ZVM7_ICA1.pdf</v>
      </c>
    </row>
    <row r="276" spans="1:28" x14ac:dyDescent="0.25">
      <c r="A276" t="s">
        <v>280</v>
      </c>
      <c r="B276">
        <v>0.99542014353169495</v>
      </c>
      <c r="C276">
        <v>1.0068717691749201</v>
      </c>
      <c r="D276">
        <v>1.06891941073165</v>
      </c>
      <c r="E276">
        <v>0.962014411729466</v>
      </c>
      <c r="F276">
        <v>0.75801692687016298</v>
      </c>
      <c r="G276">
        <v>0.58844547645431999</v>
      </c>
      <c r="H276">
        <v>0.34528417390634902</v>
      </c>
      <c r="I276">
        <v>0.31748214639893202</v>
      </c>
      <c r="J276">
        <v>0.46634418927882598</v>
      </c>
      <c r="K276">
        <v>0.51782991896515895</v>
      </c>
      <c r="L276">
        <v>1454.73776514876</v>
      </c>
      <c r="M276">
        <v>28.473296282728601</v>
      </c>
      <c r="N276">
        <v>54.481770034972598</v>
      </c>
      <c r="O276">
        <v>50.841295836434597</v>
      </c>
      <c r="P276">
        <v>-8.1907286464627901E-2</v>
      </c>
      <c r="Q276">
        <v>0.414997440202164</v>
      </c>
      <c r="R276">
        <v>0.94512302923701796</v>
      </c>
      <c r="S276" t="s">
        <v>6678</v>
      </c>
      <c r="T276" t="s">
        <v>12802</v>
      </c>
      <c r="U276" t="s">
        <v>12802</v>
      </c>
      <c r="V276" t="s">
        <v>12802</v>
      </c>
      <c r="W276" t="s">
        <v>13077</v>
      </c>
      <c r="X276">
        <v>2</v>
      </c>
      <c r="Y276" t="s">
        <v>19400</v>
      </c>
      <c r="Z276" t="s">
        <v>25594</v>
      </c>
      <c r="AA276">
        <v>0.69381678826712223</v>
      </c>
      <c r="AB276" t="str">
        <f>HYPERLINK("Melting_Curves/meltCurve_C0H5Y7_BAK1.pdf", "Melting_Curves/meltCurve_C0H5Y7_BAK1.pdf")</f>
        <v>Melting_Curves/meltCurve_C0H5Y7_BAK1.pdf</v>
      </c>
    </row>
    <row r="277" spans="1:28" x14ac:dyDescent="0.25">
      <c r="A277" t="s">
        <v>281</v>
      </c>
      <c r="B277">
        <v>0.99542014353169495</v>
      </c>
      <c r="C277">
        <v>0.98500972254964703</v>
      </c>
      <c r="D277">
        <v>0.92418218048480105</v>
      </c>
      <c r="E277">
        <v>0.63123511908019003</v>
      </c>
      <c r="F277">
        <v>0.50730037155260699</v>
      </c>
      <c r="G277">
        <v>0.27594395512755399</v>
      </c>
      <c r="H277">
        <v>0.10606890034534</v>
      </c>
      <c r="I277">
        <v>6.24202782123153E-2</v>
      </c>
      <c r="J277">
        <v>6.1957888207848498E-2</v>
      </c>
      <c r="K277">
        <v>6.0438836926186797E-2</v>
      </c>
      <c r="L277">
        <v>675.32040376325097</v>
      </c>
      <c r="M277">
        <v>13.648863707502599</v>
      </c>
      <c r="N277">
        <v>49.569635176948999</v>
      </c>
      <c r="O277">
        <v>48.452277005219301</v>
      </c>
      <c r="P277">
        <v>-6.9558316563848796E-2</v>
      </c>
      <c r="Q277">
        <v>1.2440450287557E-2</v>
      </c>
      <c r="R277">
        <v>0.99180856012561902</v>
      </c>
      <c r="S277" t="s">
        <v>6679</v>
      </c>
      <c r="T277" t="s">
        <v>12802</v>
      </c>
      <c r="U277" t="s">
        <v>12802</v>
      </c>
      <c r="V277" t="s">
        <v>12802</v>
      </c>
      <c r="W277" t="s">
        <v>13078</v>
      </c>
      <c r="X277">
        <v>1</v>
      </c>
      <c r="Y277" t="s">
        <v>19401</v>
      </c>
      <c r="Z277" t="s">
        <v>25595</v>
      </c>
      <c r="AA277">
        <v>0.44727207957660992</v>
      </c>
      <c r="AB277" t="str">
        <f>HYPERLINK("Melting_Curves/meltCurve_C1IDX9_ATG12.pdf", "Melting_Curves/meltCurve_C1IDX9_ATG12.pdf")</f>
        <v>Melting_Curves/meltCurve_C1IDX9_ATG12.pdf</v>
      </c>
    </row>
    <row r="278" spans="1:28" x14ac:dyDescent="0.25">
      <c r="A278" t="s">
        <v>282</v>
      </c>
      <c r="B278">
        <v>0.99542014353169495</v>
      </c>
      <c r="C278">
        <v>1.0106523306317201</v>
      </c>
      <c r="D278">
        <v>0.88700539279623003</v>
      </c>
      <c r="E278">
        <v>0.68652602265593998</v>
      </c>
      <c r="F278">
        <v>0.40381475671719802</v>
      </c>
      <c r="G278">
        <v>0.329673489918616</v>
      </c>
      <c r="H278">
        <v>0.229565844392805</v>
      </c>
      <c r="I278">
        <v>0.162847430650819</v>
      </c>
      <c r="J278">
        <v>0.27700420053619401</v>
      </c>
      <c r="K278">
        <v>0.32252009638693901</v>
      </c>
      <c r="L278">
        <v>986.25394260231894</v>
      </c>
      <c r="M278">
        <v>20.8984683122676</v>
      </c>
      <c r="N278">
        <v>48.779758779288102</v>
      </c>
      <c r="O278">
        <v>46.766904842482298</v>
      </c>
      <c r="P278">
        <v>-8.4160142376803096E-2</v>
      </c>
      <c r="Q278">
        <v>0.24668129697847799</v>
      </c>
      <c r="R278">
        <v>0.98155889138582797</v>
      </c>
      <c r="S278" t="s">
        <v>6680</v>
      </c>
      <c r="T278" t="s">
        <v>12802</v>
      </c>
      <c r="U278" t="s">
        <v>12802</v>
      </c>
      <c r="V278" t="s">
        <v>12802</v>
      </c>
      <c r="W278" t="s">
        <v>13079</v>
      </c>
      <c r="X278">
        <v>2</v>
      </c>
      <c r="Y278" t="s">
        <v>19402</v>
      </c>
      <c r="Z278" t="s">
        <v>25596</v>
      </c>
      <c r="AA278">
        <v>0.51168151512337301</v>
      </c>
      <c r="AB278" t="str">
        <f>HYPERLINK("Melting_Curves/meltCurve_C6GKU9_MED30S.pdf", "Melting_Curves/meltCurve_C6GKU9_MED30S.pdf")</f>
        <v>Melting_Curves/meltCurve_C6GKU9_MED30S.pdf</v>
      </c>
    </row>
    <row r="279" spans="1:28" x14ac:dyDescent="0.25">
      <c r="A279" t="s">
        <v>283</v>
      </c>
      <c r="B279">
        <v>0.99542014353169495</v>
      </c>
      <c r="C279">
        <v>0.95246931219462205</v>
      </c>
      <c r="D279">
        <v>0.75110808702526599</v>
      </c>
      <c r="E279">
        <v>0.32698857613823601</v>
      </c>
      <c r="F279">
        <v>0.17781098456580899</v>
      </c>
      <c r="G279">
        <v>0.105155186368541</v>
      </c>
      <c r="H279">
        <v>0.101230024281677</v>
      </c>
      <c r="I279">
        <v>8.4974182569597198E-2</v>
      </c>
      <c r="J279">
        <v>5.8237039378429001E-2</v>
      </c>
      <c r="K279">
        <v>8.0071096864021002E-2</v>
      </c>
      <c r="L279">
        <v>1042.80995915683</v>
      </c>
      <c r="M279">
        <v>23.301344507521801</v>
      </c>
      <c r="N279">
        <v>45.107106773662501</v>
      </c>
      <c r="O279">
        <v>44.427499643651103</v>
      </c>
      <c r="P279">
        <v>-0.120168371108345</v>
      </c>
      <c r="Q279">
        <v>8.3540385407479406E-2</v>
      </c>
      <c r="R279">
        <v>0.99854457031690103</v>
      </c>
      <c r="S279" t="s">
        <v>6681</v>
      </c>
      <c r="T279" t="s">
        <v>12802</v>
      </c>
      <c r="U279" t="s">
        <v>12802</v>
      </c>
      <c r="V279" t="s">
        <v>12802</v>
      </c>
      <c r="W279" t="s">
        <v>13080</v>
      </c>
      <c r="X279">
        <v>2</v>
      </c>
      <c r="Y279" t="s">
        <v>19403</v>
      </c>
      <c r="Z279" t="s">
        <v>25597</v>
      </c>
      <c r="AA279">
        <v>0.32911531677863431</v>
      </c>
      <c r="AB279" t="str">
        <f>HYPERLINK("Melting_Curves/meltCurve_C9IYZ1_ASNSD1.pdf", "Melting_Curves/meltCurve_C9IYZ1_ASNSD1.pdf")</f>
        <v>Melting_Curves/meltCurve_C9IYZ1_ASNSD1.pdf</v>
      </c>
    </row>
    <row r="280" spans="1:28" x14ac:dyDescent="0.25">
      <c r="A280" t="s">
        <v>284</v>
      </c>
      <c r="B280">
        <v>0.99542014353169495</v>
      </c>
      <c r="C280">
        <v>1.0856214212053299</v>
      </c>
      <c r="D280">
        <v>0.94072598469541102</v>
      </c>
      <c r="E280">
        <v>0.74315930690020504</v>
      </c>
      <c r="F280">
        <v>0.49660721763782401</v>
      </c>
      <c r="G280">
        <v>0.34760657858245803</v>
      </c>
      <c r="H280">
        <v>0.31050657474891202</v>
      </c>
      <c r="I280">
        <v>0.22344094645844101</v>
      </c>
      <c r="J280">
        <v>0.33474404636481703</v>
      </c>
      <c r="K280">
        <v>0.46987751505761599</v>
      </c>
      <c r="L280">
        <v>1202.22484188372</v>
      </c>
      <c r="M280">
        <v>25.2676311279657</v>
      </c>
      <c r="N280">
        <v>49.716761376120701</v>
      </c>
      <c r="O280">
        <v>47.2846458009911</v>
      </c>
      <c r="P280">
        <v>-8.9342512118902706E-2</v>
      </c>
      <c r="Q280">
        <v>0.33124357324165199</v>
      </c>
      <c r="R280">
        <v>0.95448716640840903</v>
      </c>
      <c r="S280" t="s">
        <v>6682</v>
      </c>
      <c r="T280" t="s">
        <v>12802</v>
      </c>
      <c r="U280" t="s">
        <v>12802</v>
      </c>
      <c r="V280" t="s">
        <v>12802</v>
      </c>
      <c r="W280" t="s">
        <v>13081</v>
      </c>
      <c r="X280">
        <v>1</v>
      </c>
      <c r="Y280" t="s">
        <v>19404</v>
      </c>
      <c r="Z280" t="s">
        <v>25598</v>
      </c>
      <c r="AA280">
        <v>0.57262879124107935</v>
      </c>
      <c r="AB280" t="str">
        <f>HYPERLINK("Melting_Curves/meltCurve_C9IZP5_MKRN1.pdf", "Melting_Curves/meltCurve_C9IZP5_MKRN1.pdf")</f>
        <v>Melting_Curves/meltCurve_C9IZP5_MKRN1.pdf</v>
      </c>
    </row>
    <row r="281" spans="1:28" x14ac:dyDescent="0.25">
      <c r="A281" t="s">
        <v>285</v>
      </c>
      <c r="B281">
        <v>0.99542014353169495</v>
      </c>
      <c r="C281">
        <v>1.1058298320293201</v>
      </c>
      <c r="D281">
        <v>1.02622603021468</v>
      </c>
      <c r="E281">
        <v>0.94188308906835905</v>
      </c>
      <c r="F281">
        <v>0.72687743882423606</v>
      </c>
      <c r="G281">
        <v>0.51748095377132397</v>
      </c>
      <c r="H281">
        <v>0.328705728722061</v>
      </c>
      <c r="I281">
        <v>0.26492915815249901</v>
      </c>
      <c r="J281">
        <v>0.29747386198734299</v>
      </c>
      <c r="K281">
        <v>0.39703794120328001</v>
      </c>
      <c r="L281">
        <v>1249.2771376906101</v>
      </c>
      <c r="M281">
        <v>24.354846457847302</v>
      </c>
      <c r="N281">
        <v>53.430415745990402</v>
      </c>
      <c r="O281">
        <v>50.9527181071442</v>
      </c>
      <c r="P281">
        <v>-8.2321454364056607E-2</v>
      </c>
      <c r="Q281">
        <v>0.31111194716544299</v>
      </c>
      <c r="R281">
        <v>0.97425919245635795</v>
      </c>
      <c r="S281" t="s">
        <v>6683</v>
      </c>
      <c r="T281" t="s">
        <v>12802</v>
      </c>
      <c r="U281" t="s">
        <v>12802</v>
      </c>
      <c r="V281" t="s">
        <v>12802</v>
      </c>
      <c r="W281" t="s">
        <v>13082</v>
      </c>
      <c r="X281">
        <v>5</v>
      </c>
      <c r="Y281" t="s">
        <v>19405</v>
      </c>
      <c r="Z281" t="s">
        <v>25599</v>
      </c>
      <c r="AA281">
        <v>0.64575000229389912</v>
      </c>
      <c r="AB281" t="str">
        <f>HYPERLINK("Melting_Curves/meltCurve_C9J0A7_CHMP2B.pdf", "Melting_Curves/meltCurve_C9J0A7_CHMP2B.pdf")</f>
        <v>Melting_Curves/meltCurve_C9J0A7_CHMP2B.pdf</v>
      </c>
    </row>
    <row r="282" spans="1:28" x14ac:dyDescent="0.25">
      <c r="A282" t="s">
        <v>286</v>
      </c>
      <c r="B282">
        <v>0.99542014353169495</v>
      </c>
      <c r="C282">
        <v>1.0442435958184999</v>
      </c>
      <c r="D282">
        <v>0.91327758659430802</v>
      </c>
      <c r="E282">
        <v>0.50784358054079004</v>
      </c>
      <c r="F282">
        <v>8.0192132153855206E-2</v>
      </c>
      <c r="G282">
        <v>4.7076656314669098E-2</v>
      </c>
      <c r="H282">
        <v>2.1584086092450099E-2</v>
      </c>
      <c r="I282">
        <v>2.02102882544512E-2</v>
      </c>
      <c r="J282">
        <v>1.6303152710001399E-2</v>
      </c>
      <c r="K282">
        <v>2.29369239024899E-2</v>
      </c>
      <c r="L282">
        <v>1529.4242839619601</v>
      </c>
      <c r="M282">
        <v>32.872101756322202</v>
      </c>
      <c r="N282">
        <v>46.583840852773399</v>
      </c>
      <c r="O282">
        <v>46.355340910672197</v>
      </c>
      <c r="P282">
        <v>-0.173769769293937</v>
      </c>
      <c r="Q282">
        <v>1.98229131899029E-2</v>
      </c>
      <c r="R282">
        <v>0.99793584337291596</v>
      </c>
      <c r="S282" t="s">
        <v>6684</v>
      </c>
      <c r="T282" t="s">
        <v>12802</v>
      </c>
      <c r="U282" t="s">
        <v>12802</v>
      </c>
      <c r="V282" t="s">
        <v>12802</v>
      </c>
      <c r="W282" t="s">
        <v>13083</v>
      </c>
      <c r="X282">
        <v>9</v>
      </c>
      <c r="Y282" t="s">
        <v>19406</v>
      </c>
      <c r="Z282" t="s">
        <v>25600</v>
      </c>
      <c r="AA282">
        <v>0.33576902889819338</v>
      </c>
      <c r="AB282" t="str">
        <f>HYPERLINK("Melting_Curves/meltCurve_C9J0I9_ZC3HC1.pdf", "Melting_Curves/meltCurve_C9J0I9_ZC3HC1.pdf")</f>
        <v>Melting_Curves/meltCurve_C9J0I9_ZC3HC1.pdf</v>
      </c>
    </row>
    <row r="283" spans="1:28" x14ac:dyDescent="0.25">
      <c r="A283" t="s">
        <v>287</v>
      </c>
      <c r="B283">
        <v>0.99542014353169495</v>
      </c>
      <c r="C283">
        <v>1.0442481402564401</v>
      </c>
      <c r="D283">
        <v>1.0003619975012299</v>
      </c>
      <c r="E283">
        <v>1.0230865106737099</v>
      </c>
      <c r="F283">
        <v>0.76550883179322704</v>
      </c>
      <c r="G283">
        <v>0.51086877200483105</v>
      </c>
      <c r="H283">
        <v>0.14122488180686801</v>
      </c>
      <c r="I283">
        <v>8.3616050458842101E-2</v>
      </c>
      <c r="J283">
        <v>7.7965477450574E-2</v>
      </c>
      <c r="K283">
        <v>8.62117120375063E-2</v>
      </c>
      <c r="L283">
        <v>1307.4675031219799</v>
      </c>
      <c r="M283">
        <v>24.599503811661101</v>
      </c>
      <c r="N283">
        <v>53.412410320124998</v>
      </c>
      <c r="O283">
        <v>52.802651714866897</v>
      </c>
      <c r="P283">
        <v>-0.109845107766621</v>
      </c>
      <c r="Q283">
        <v>5.6886687539888597E-2</v>
      </c>
      <c r="R283">
        <v>0.99230891767592699</v>
      </c>
      <c r="S283" t="s">
        <v>6685</v>
      </c>
      <c r="T283" t="s">
        <v>12802</v>
      </c>
      <c r="U283" t="s">
        <v>12802</v>
      </c>
      <c r="V283" t="s">
        <v>12802</v>
      </c>
      <c r="W283" t="s">
        <v>13084</v>
      </c>
      <c r="X283">
        <v>12</v>
      </c>
      <c r="Y283" t="s">
        <v>19407</v>
      </c>
      <c r="Z283" t="s">
        <v>25601</v>
      </c>
      <c r="AA283">
        <v>0.57315712959454124</v>
      </c>
      <c r="AB283" t="str">
        <f>HYPERLINK("Melting_Curves/meltCurve_C9J0K6_SRI.pdf", "Melting_Curves/meltCurve_C9J0K6_SRI.pdf")</f>
        <v>Melting_Curves/meltCurve_C9J0K6_SRI.pdf</v>
      </c>
    </row>
    <row r="284" spans="1:28" x14ac:dyDescent="0.25">
      <c r="A284" t="s">
        <v>288</v>
      </c>
      <c r="B284">
        <v>0.99542014353169495</v>
      </c>
      <c r="C284">
        <v>0.99900774101071299</v>
      </c>
      <c r="D284">
        <v>0.75732657474311804</v>
      </c>
      <c r="E284">
        <v>0.571724756870297</v>
      </c>
      <c r="F284">
        <v>0.40640138188985803</v>
      </c>
      <c r="G284">
        <v>0.27214453807328498</v>
      </c>
      <c r="H284">
        <v>0.19384051991864501</v>
      </c>
      <c r="I284">
        <v>0.17884911447837501</v>
      </c>
      <c r="J284">
        <v>0.22606658041654901</v>
      </c>
      <c r="K284">
        <v>0.37245134110836597</v>
      </c>
      <c r="L284">
        <v>797.97126293852602</v>
      </c>
      <c r="M284">
        <v>17.458236871288602</v>
      </c>
      <c r="N284">
        <v>47.459109071011298</v>
      </c>
      <c r="O284">
        <v>45.120376988107203</v>
      </c>
      <c r="P284">
        <v>-7.3761551655183999E-2</v>
      </c>
      <c r="Q284">
        <v>0.23750282032596601</v>
      </c>
      <c r="R284">
        <v>0.96260774616049305</v>
      </c>
      <c r="S284" t="s">
        <v>6686</v>
      </c>
      <c r="T284" t="s">
        <v>12802</v>
      </c>
      <c r="U284" t="s">
        <v>12802</v>
      </c>
      <c r="V284" t="s">
        <v>12802</v>
      </c>
      <c r="W284" t="s">
        <v>13085</v>
      </c>
      <c r="X284">
        <v>1</v>
      </c>
      <c r="Y284" t="s">
        <v>19408</v>
      </c>
      <c r="Z284" t="s">
        <v>25602</v>
      </c>
      <c r="AA284">
        <v>0.47196296691868272</v>
      </c>
      <c r="AB284" t="str">
        <f>HYPERLINK("Melting_Curves/meltCurve_C9J0V9_ZNF655.pdf", "Melting_Curves/meltCurve_C9J0V9_ZNF655.pdf")</f>
        <v>Melting_Curves/meltCurve_C9J0V9_ZNF655.pdf</v>
      </c>
    </row>
    <row r="285" spans="1:28" x14ac:dyDescent="0.25">
      <c r="A285" t="s">
        <v>289</v>
      </c>
      <c r="B285">
        <v>0.99542014353169495</v>
      </c>
      <c r="C285">
        <v>0.87211087283098998</v>
      </c>
      <c r="D285">
        <v>0.86758051472293896</v>
      </c>
      <c r="E285">
        <v>0.60901129665619302</v>
      </c>
      <c r="F285">
        <v>0.26846105994715103</v>
      </c>
      <c r="G285">
        <v>0.102739622700192</v>
      </c>
      <c r="H285">
        <v>8.4188601950507397E-2</v>
      </c>
      <c r="I285">
        <v>5.3339027342068503E-2</v>
      </c>
      <c r="J285">
        <v>7.5681542167031601E-2</v>
      </c>
      <c r="K285">
        <v>5.6781580746462598E-2</v>
      </c>
      <c r="L285">
        <v>871.46036785924696</v>
      </c>
      <c r="M285">
        <v>18.468707153371898</v>
      </c>
      <c r="N285">
        <v>47.430038787523699</v>
      </c>
      <c r="O285">
        <v>46.643018376752799</v>
      </c>
      <c r="P285">
        <v>-9.4503318630950406E-2</v>
      </c>
      <c r="Q285">
        <v>4.53640897896323E-2</v>
      </c>
      <c r="R285">
        <v>0.99128391831046003</v>
      </c>
      <c r="S285" t="s">
        <v>6687</v>
      </c>
      <c r="T285" t="s">
        <v>12802</v>
      </c>
      <c r="U285" t="s">
        <v>12802</v>
      </c>
      <c r="V285" t="s">
        <v>12802</v>
      </c>
      <c r="W285" t="s">
        <v>13086</v>
      </c>
      <c r="X285">
        <v>2</v>
      </c>
      <c r="Y285" t="s">
        <v>19409</v>
      </c>
      <c r="Z285" t="s">
        <v>25603</v>
      </c>
      <c r="AA285">
        <v>0.38406879243909808</v>
      </c>
      <c r="AB285" t="str">
        <f>HYPERLINK("Melting_Curves/meltCurve_C9J1X0_WDR91.pdf", "Melting_Curves/meltCurve_C9J1X0_WDR91.pdf")</f>
        <v>Melting_Curves/meltCurve_C9J1X0_WDR91.pdf</v>
      </c>
    </row>
    <row r="286" spans="1:28" x14ac:dyDescent="0.25">
      <c r="A286" t="s">
        <v>290</v>
      </c>
      <c r="B286">
        <v>0.99542014353169495</v>
      </c>
      <c r="C286">
        <v>1.09900114680812</v>
      </c>
      <c r="D286">
        <v>0.84261095561297705</v>
      </c>
      <c r="E286">
        <v>0.64539270200573895</v>
      </c>
      <c r="F286">
        <v>0.43333627438431099</v>
      </c>
      <c r="G286">
        <v>0.20528632018868501</v>
      </c>
      <c r="H286">
        <v>0.13095882374243301</v>
      </c>
      <c r="I286">
        <v>0.13001867174287099</v>
      </c>
      <c r="J286">
        <v>0.13010682586029901</v>
      </c>
      <c r="K286">
        <v>0.180746701077829</v>
      </c>
      <c r="L286">
        <v>859.34180673282799</v>
      </c>
      <c r="M286">
        <v>17.9853756055033</v>
      </c>
      <c r="N286">
        <v>48.566654186160697</v>
      </c>
      <c r="O286">
        <v>47.2010771969247</v>
      </c>
      <c r="P286">
        <v>-8.3226945978232894E-2</v>
      </c>
      <c r="Q286">
        <v>0.12635506337537</v>
      </c>
      <c r="R286">
        <v>0.98122629315051302</v>
      </c>
      <c r="S286" t="s">
        <v>6688</v>
      </c>
      <c r="T286" t="s">
        <v>12802</v>
      </c>
      <c r="U286" t="s">
        <v>12802</v>
      </c>
      <c r="V286" t="s">
        <v>12802</v>
      </c>
      <c r="W286" t="s">
        <v>13087</v>
      </c>
      <c r="X286">
        <v>2</v>
      </c>
      <c r="Y286" t="s">
        <v>19410</v>
      </c>
      <c r="Z286" t="s">
        <v>25604</v>
      </c>
      <c r="AA286">
        <v>0.45428391446940869</v>
      </c>
      <c r="AB286" t="str">
        <f>HYPERLINK("Melting_Curves/meltCurve_C9J1X3_TNK2.pdf", "Melting_Curves/meltCurve_C9J1X3_TNK2.pdf")</f>
        <v>Melting_Curves/meltCurve_C9J1X3_TNK2.pdf</v>
      </c>
    </row>
    <row r="287" spans="1:28" x14ac:dyDescent="0.25">
      <c r="A287" t="s">
        <v>291</v>
      </c>
      <c r="B287">
        <v>0.99542014353169495</v>
      </c>
      <c r="C287">
        <v>1.0337546700589</v>
      </c>
      <c r="D287">
        <v>1.0019996139409499</v>
      </c>
      <c r="E287">
        <v>1.01555437577817</v>
      </c>
      <c r="F287">
        <v>0.76291490211030399</v>
      </c>
      <c r="G287">
        <v>0.55660361601609698</v>
      </c>
      <c r="H287">
        <v>0.13023930923493901</v>
      </c>
      <c r="I287">
        <v>5.42451397664152E-2</v>
      </c>
      <c r="J287">
        <v>6.6770122734642598E-2</v>
      </c>
      <c r="K287">
        <v>3.9851268085923999E-2</v>
      </c>
      <c r="L287">
        <v>1261.3387799859599</v>
      </c>
      <c r="M287">
        <v>23.536370054257301</v>
      </c>
      <c r="N287">
        <v>53.678021749713501</v>
      </c>
      <c r="O287">
        <v>53.208687412471498</v>
      </c>
      <c r="P287">
        <v>-0.10851816968711001</v>
      </c>
      <c r="Q287">
        <v>1.8708567584336099E-2</v>
      </c>
      <c r="R287">
        <v>0.99026471724189302</v>
      </c>
      <c r="S287" t="s">
        <v>6689</v>
      </c>
      <c r="T287" t="s">
        <v>12802</v>
      </c>
      <c r="U287" t="s">
        <v>12802</v>
      </c>
      <c r="V287" t="s">
        <v>12802</v>
      </c>
      <c r="W287" t="s">
        <v>13088</v>
      </c>
      <c r="X287">
        <v>4</v>
      </c>
      <c r="Y287" t="s">
        <v>19411</v>
      </c>
      <c r="Z287" t="s">
        <v>25605</v>
      </c>
      <c r="AA287">
        <v>0.57090727529640328</v>
      </c>
      <c r="AB287" t="str">
        <f>HYPERLINK("Melting_Curves/meltCurve_C9J212_UBE2F.pdf", "Melting_Curves/meltCurve_C9J212_UBE2F.pdf")</f>
        <v>Melting_Curves/meltCurve_C9J212_UBE2F.pdf</v>
      </c>
    </row>
    <row r="288" spans="1:28" x14ac:dyDescent="0.25">
      <c r="A288" t="s">
        <v>292</v>
      </c>
      <c r="B288">
        <v>0.99542014353169495</v>
      </c>
      <c r="C288">
        <v>1.02218709963277</v>
      </c>
      <c r="D288">
        <v>0.97763036853764496</v>
      </c>
      <c r="E288">
        <v>0.77101385044708104</v>
      </c>
      <c r="F288">
        <v>0.22832726125371799</v>
      </c>
      <c r="G288">
        <v>0.103270982015228</v>
      </c>
      <c r="H288">
        <v>6.3949196576025893E-2</v>
      </c>
      <c r="I288">
        <v>3.9542300220285501E-2</v>
      </c>
      <c r="J288">
        <v>3.9789281901503E-2</v>
      </c>
      <c r="K288">
        <v>5.1208573024595201E-2</v>
      </c>
      <c r="L288">
        <v>1649.53408491609</v>
      </c>
      <c r="M288">
        <v>34.277665583964698</v>
      </c>
      <c r="N288">
        <v>48.278359047674897</v>
      </c>
      <c r="O288">
        <v>47.959803597188198</v>
      </c>
      <c r="P288">
        <v>-0.169332646272949</v>
      </c>
      <c r="Q288">
        <v>5.2312438670426002E-2</v>
      </c>
      <c r="R288">
        <v>0.99902076694214303</v>
      </c>
      <c r="S288" t="s">
        <v>6690</v>
      </c>
      <c r="T288" t="s">
        <v>12802</v>
      </c>
      <c r="U288" t="s">
        <v>12802</v>
      </c>
      <c r="V288" t="s">
        <v>12802</v>
      </c>
      <c r="W288" t="s">
        <v>13089</v>
      </c>
      <c r="X288">
        <v>5</v>
      </c>
      <c r="Y288" t="s">
        <v>19412</v>
      </c>
      <c r="Z288" t="s">
        <v>25606</v>
      </c>
      <c r="AA288">
        <v>0.40797692941539521</v>
      </c>
      <c r="AB288" t="str">
        <f>HYPERLINK("Melting_Curves/meltCurve_C9J2P0_UBE2E1.pdf", "Melting_Curves/meltCurve_C9J2P0_UBE2E1.pdf")</f>
        <v>Melting_Curves/meltCurve_C9J2P0_UBE2E1.pdf</v>
      </c>
    </row>
    <row r="289" spans="1:28" x14ac:dyDescent="0.25">
      <c r="A289" t="s">
        <v>293</v>
      </c>
      <c r="B289">
        <v>0.99542014353169495</v>
      </c>
      <c r="C289">
        <v>1.03830343541585</v>
      </c>
      <c r="D289">
        <v>1.0448091202548999</v>
      </c>
      <c r="E289">
        <v>0.95385268805440104</v>
      </c>
      <c r="F289">
        <v>0.37865216888637698</v>
      </c>
      <c r="G289">
        <v>0.30291224994631999</v>
      </c>
      <c r="H289">
        <v>6.4669613082566899E-2</v>
      </c>
      <c r="I289">
        <v>0</v>
      </c>
      <c r="J289">
        <v>0</v>
      </c>
      <c r="K289">
        <v>0</v>
      </c>
      <c r="L289">
        <v>1200.09127048608</v>
      </c>
      <c r="M289">
        <v>23.948382050353899</v>
      </c>
      <c r="N289">
        <v>50.175585933147502</v>
      </c>
      <c r="O289">
        <v>49.766099067126497</v>
      </c>
      <c r="P289">
        <v>-0.118496776094299</v>
      </c>
      <c r="Q289">
        <v>1.5043734967395901E-2</v>
      </c>
      <c r="R289">
        <v>0.97714768628339799</v>
      </c>
      <c r="S289" t="s">
        <v>6691</v>
      </c>
      <c r="T289" t="s">
        <v>12802</v>
      </c>
      <c r="U289" t="s">
        <v>12802</v>
      </c>
      <c r="V289" t="s">
        <v>12802</v>
      </c>
      <c r="W289" t="s">
        <v>13090</v>
      </c>
      <c r="X289">
        <v>5</v>
      </c>
      <c r="Y289" t="s">
        <v>19413</v>
      </c>
      <c r="Z289" t="s">
        <v>25607</v>
      </c>
      <c r="AA289">
        <v>0.45487444867751348</v>
      </c>
      <c r="AB289" t="str">
        <f>HYPERLINK("Melting_Curves/meltCurve_C9J2P9_CBLL1.pdf", "Melting_Curves/meltCurve_C9J2P9_CBLL1.pdf")</f>
        <v>Melting_Curves/meltCurve_C9J2P9_CBLL1.pdf</v>
      </c>
    </row>
    <row r="290" spans="1:28" x14ac:dyDescent="0.25">
      <c r="A290" t="s">
        <v>294</v>
      </c>
      <c r="B290">
        <v>0.99542014353169495</v>
      </c>
      <c r="C290">
        <v>0.973967795526682</v>
      </c>
      <c r="D290">
        <v>0.93956775413053095</v>
      </c>
      <c r="E290">
        <v>0.866850035086417</v>
      </c>
      <c r="F290">
        <v>0.54262650875237595</v>
      </c>
      <c r="G290">
        <v>0.236877240911367</v>
      </c>
      <c r="H290">
        <v>0.101135340747911</v>
      </c>
      <c r="I290">
        <v>7.6558500739836999E-2</v>
      </c>
      <c r="J290">
        <v>0.102276366178251</v>
      </c>
      <c r="K290">
        <v>5.7452318998898501E-2</v>
      </c>
      <c r="L290">
        <v>1122.4826262408501</v>
      </c>
      <c r="M290">
        <v>22.337877121644802</v>
      </c>
      <c r="N290">
        <v>50.560399922938203</v>
      </c>
      <c r="O290">
        <v>49.8526751757081</v>
      </c>
      <c r="P290">
        <v>-0.104848240398772</v>
      </c>
      <c r="Q290">
        <v>6.4037305919081799E-2</v>
      </c>
      <c r="R290">
        <v>0.99772916794709698</v>
      </c>
      <c r="S290" t="s">
        <v>6692</v>
      </c>
      <c r="T290" t="s">
        <v>12802</v>
      </c>
      <c r="U290" t="s">
        <v>12802</v>
      </c>
      <c r="V290" t="s">
        <v>12802</v>
      </c>
      <c r="W290" t="s">
        <v>13091</v>
      </c>
      <c r="X290">
        <v>7</v>
      </c>
      <c r="Y290" t="s">
        <v>19414</v>
      </c>
      <c r="Z290" t="s">
        <v>25608</v>
      </c>
      <c r="AA290">
        <v>0.48754469764926378</v>
      </c>
      <c r="AB290" t="str">
        <f>HYPERLINK("Melting_Curves/meltCurve_C9J2U4_TAMM41.pdf", "Melting_Curves/meltCurve_C9J2U4_TAMM41.pdf")</f>
        <v>Melting_Curves/meltCurve_C9J2U4_TAMM41.pdf</v>
      </c>
    </row>
    <row r="291" spans="1:28" x14ac:dyDescent="0.25">
      <c r="A291" t="s">
        <v>295</v>
      </c>
      <c r="B291">
        <v>0.99542014353169495</v>
      </c>
      <c r="C291">
        <v>0.99490897475974704</v>
      </c>
      <c r="D291">
        <v>1.41159586027065</v>
      </c>
      <c r="E291">
        <v>0.84083123929787296</v>
      </c>
      <c r="F291">
        <v>0.54882307957956999</v>
      </c>
      <c r="G291">
        <v>0.51535983855378698</v>
      </c>
      <c r="H291">
        <v>0.45768004425738101</v>
      </c>
      <c r="I291">
        <v>0.43561300385370999</v>
      </c>
      <c r="J291">
        <v>0.82283378401191498</v>
      </c>
      <c r="K291">
        <v>1.33811052819009</v>
      </c>
      <c r="L291">
        <v>11648.590906781999</v>
      </c>
      <c r="M291">
        <v>250</v>
      </c>
      <c r="O291">
        <v>46.5913819145022</v>
      </c>
      <c r="P291">
        <v>-0.42067412454794501</v>
      </c>
      <c r="Q291">
        <v>0.686403379712196</v>
      </c>
      <c r="R291">
        <v>0.30882975713280603</v>
      </c>
      <c r="S291" t="s">
        <v>6693</v>
      </c>
      <c r="T291" t="s">
        <v>12802</v>
      </c>
      <c r="U291" t="s">
        <v>12802</v>
      </c>
      <c r="V291" t="s">
        <v>12802</v>
      </c>
      <c r="W291" t="s">
        <v>13092</v>
      </c>
      <c r="X291">
        <v>11</v>
      </c>
      <c r="Y291" t="s">
        <v>19415</v>
      </c>
      <c r="Z291" t="s">
        <v>25609</v>
      </c>
      <c r="AA291">
        <v>0.78672102349778927</v>
      </c>
      <c r="AB291" t="str">
        <f>HYPERLINK("Melting_Curves/meltCurve_C9J2V2_IKBKG.pdf", "Melting_Curves/meltCurve_C9J2V2_IKBKG.pdf")</f>
        <v>Melting_Curves/meltCurve_C9J2V2_IKBKG.pdf</v>
      </c>
    </row>
    <row r="292" spans="1:28" x14ac:dyDescent="0.25">
      <c r="A292" t="s">
        <v>296</v>
      </c>
      <c r="B292">
        <v>0.99542014353169495</v>
      </c>
      <c r="C292">
        <v>0.85584761344353599</v>
      </c>
      <c r="D292">
        <v>0.88417134152821297</v>
      </c>
      <c r="E292">
        <v>0.559033606396099</v>
      </c>
      <c r="F292">
        <v>0.37211201727576798</v>
      </c>
      <c r="G292">
        <v>0.16767030923078299</v>
      </c>
      <c r="H292">
        <v>0.109446945368764</v>
      </c>
      <c r="I292">
        <v>7.0604299857979794E-2</v>
      </c>
      <c r="J292">
        <v>6.1680964106658701E-2</v>
      </c>
      <c r="K292">
        <v>7.5445696914087104E-2</v>
      </c>
      <c r="L292">
        <v>681.121387930894</v>
      </c>
      <c r="M292">
        <v>14.3386102244685</v>
      </c>
      <c r="N292">
        <v>47.781340167819501</v>
      </c>
      <c r="O292">
        <v>46.607305692508902</v>
      </c>
      <c r="P292">
        <v>-7.38349592882519E-2</v>
      </c>
      <c r="Q292">
        <v>4.0120700765812103E-2</v>
      </c>
      <c r="R292">
        <v>0.98947065947513202</v>
      </c>
      <c r="S292" t="s">
        <v>6694</v>
      </c>
      <c r="T292" t="s">
        <v>12802</v>
      </c>
      <c r="U292" t="s">
        <v>12802</v>
      </c>
      <c r="V292" t="s">
        <v>12802</v>
      </c>
      <c r="W292" t="s">
        <v>13093</v>
      </c>
      <c r="X292">
        <v>22</v>
      </c>
      <c r="Y292" t="s">
        <v>19416</v>
      </c>
      <c r="Z292" t="s">
        <v>25610</v>
      </c>
      <c r="AA292">
        <v>0.39925568526508998</v>
      </c>
      <c r="AB292" t="str">
        <f>HYPERLINK("Melting_Curves/meltCurve_C9J2Y9_POLR2B.pdf", "Melting_Curves/meltCurve_C9J2Y9_POLR2B.pdf")</f>
        <v>Melting_Curves/meltCurve_C9J2Y9_POLR2B.pdf</v>
      </c>
    </row>
    <row r="293" spans="1:28" x14ac:dyDescent="0.25">
      <c r="A293" t="s">
        <v>297</v>
      </c>
      <c r="B293">
        <v>0.99542014353169495</v>
      </c>
      <c r="C293">
        <v>1.1930806405071499</v>
      </c>
      <c r="D293">
        <v>0.83116600503377502</v>
      </c>
      <c r="E293">
        <v>0.68191194594461102</v>
      </c>
      <c r="F293">
        <v>0.353228002957723</v>
      </c>
      <c r="G293">
        <v>0.18536824637145699</v>
      </c>
      <c r="H293">
        <v>0</v>
      </c>
      <c r="I293">
        <v>0</v>
      </c>
      <c r="J293">
        <v>0</v>
      </c>
      <c r="K293">
        <v>0</v>
      </c>
      <c r="L293">
        <v>895.65042036551495</v>
      </c>
      <c r="M293">
        <v>18.459443955253299</v>
      </c>
      <c r="N293">
        <v>48.519902508893203</v>
      </c>
      <c r="O293">
        <v>47.961235456553098</v>
      </c>
      <c r="P293">
        <v>-9.6224941185322405E-2</v>
      </c>
      <c r="Q293">
        <v>0</v>
      </c>
      <c r="R293">
        <v>0.97036760745913597</v>
      </c>
      <c r="S293" t="s">
        <v>6695</v>
      </c>
      <c r="T293" t="s">
        <v>12802</v>
      </c>
      <c r="U293" t="s">
        <v>12802</v>
      </c>
      <c r="V293" t="s">
        <v>12802</v>
      </c>
      <c r="W293" t="s">
        <v>13094</v>
      </c>
      <c r="X293">
        <v>2</v>
      </c>
      <c r="Y293" t="s">
        <v>19417</v>
      </c>
      <c r="Z293" t="s">
        <v>25611</v>
      </c>
      <c r="AA293">
        <v>0.39923697902875049</v>
      </c>
      <c r="AB293" t="str">
        <f>HYPERLINK("Melting_Curves/meltCurve_C9J3M4_MOSPD3.pdf", "Melting_Curves/meltCurve_C9J3M4_MOSPD3.pdf")</f>
        <v>Melting_Curves/meltCurve_C9J3M4_MOSPD3.pdf</v>
      </c>
    </row>
    <row r="294" spans="1:28" x14ac:dyDescent="0.25">
      <c r="A294" t="s">
        <v>298</v>
      </c>
      <c r="B294">
        <v>0.99542014353169495</v>
      </c>
      <c r="C294">
        <v>0.74574584104873398</v>
      </c>
      <c r="D294">
        <v>0.88707050135002796</v>
      </c>
      <c r="E294">
        <v>0.68717424569624297</v>
      </c>
      <c r="F294">
        <v>0.71921910710635195</v>
      </c>
      <c r="G294">
        <v>0.340734872018571</v>
      </c>
      <c r="H294">
        <v>0.530170171717255</v>
      </c>
      <c r="I294">
        <v>0.52146743685841301</v>
      </c>
      <c r="J294">
        <v>0.62053311619329998</v>
      </c>
      <c r="K294">
        <v>0.54292764606993804</v>
      </c>
      <c r="L294">
        <v>499.0572900235</v>
      </c>
      <c r="M294">
        <v>11.3062165571107</v>
      </c>
      <c r="O294">
        <v>42.826860981987799</v>
      </c>
      <c r="P294">
        <v>-3.2385171483071497E-2</v>
      </c>
      <c r="Q294">
        <v>0.50946146979220397</v>
      </c>
      <c r="R294">
        <v>0.68294387233693798</v>
      </c>
      <c r="S294" t="s">
        <v>6696</v>
      </c>
      <c r="T294" t="s">
        <v>12802</v>
      </c>
      <c r="U294" t="s">
        <v>12802</v>
      </c>
      <c r="V294" t="s">
        <v>12802</v>
      </c>
      <c r="W294" t="s">
        <v>13095</v>
      </c>
      <c r="X294">
        <v>44</v>
      </c>
      <c r="Y294" t="s">
        <v>19418</v>
      </c>
      <c r="Z294" t="s">
        <v>25612</v>
      </c>
      <c r="AA294">
        <v>0.64716141312047692</v>
      </c>
      <c r="AB294" t="str">
        <f>HYPERLINK("Melting_Curves/meltCurve_C9J406_IMMT.pdf", "Melting_Curves/meltCurve_C9J406_IMMT.pdf")</f>
        <v>Melting_Curves/meltCurve_C9J406_IMMT.pdf</v>
      </c>
    </row>
    <row r="295" spans="1:28" x14ac:dyDescent="0.25">
      <c r="A295" t="s">
        <v>299</v>
      </c>
      <c r="B295">
        <v>0.99542014353169495</v>
      </c>
      <c r="C295">
        <v>0.94095024517040504</v>
      </c>
      <c r="D295">
        <v>0.87529696844112304</v>
      </c>
      <c r="E295">
        <v>0.73209553577075104</v>
      </c>
      <c r="F295">
        <v>0.63281276027279398</v>
      </c>
      <c r="G295">
        <v>0.47296150704326301</v>
      </c>
      <c r="H295">
        <v>0.33084909919009797</v>
      </c>
      <c r="I295">
        <v>0.186957485604964</v>
      </c>
      <c r="J295">
        <v>0.120701188769582</v>
      </c>
      <c r="K295">
        <v>8.3204885343541105E-2</v>
      </c>
      <c r="L295">
        <v>504.76260328311798</v>
      </c>
      <c r="M295">
        <v>9.6146000950031105</v>
      </c>
      <c r="N295">
        <v>52.4995941843666</v>
      </c>
      <c r="O295">
        <v>50.379209122483402</v>
      </c>
      <c r="P295">
        <v>-4.7738111561090202E-2</v>
      </c>
      <c r="Q295">
        <v>0</v>
      </c>
      <c r="R295">
        <v>0.99407412157358799</v>
      </c>
      <c r="S295" t="s">
        <v>6697</v>
      </c>
      <c r="T295" t="s">
        <v>12802</v>
      </c>
      <c r="U295" t="s">
        <v>12802</v>
      </c>
      <c r="V295" t="s">
        <v>12802</v>
      </c>
      <c r="W295" t="s">
        <v>13096</v>
      </c>
      <c r="X295">
        <v>1</v>
      </c>
      <c r="Y295" t="s">
        <v>19419</v>
      </c>
      <c r="Z295" t="s">
        <v>25613</v>
      </c>
      <c r="AA295">
        <v>0.54152404646171715</v>
      </c>
      <c r="AB295" t="str">
        <f>HYPERLINK("Melting_Curves/meltCurve_C9J4Z0_SLC22A23.pdf", "Melting_Curves/meltCurve_C9J4Z0_SLC22A23.pdf")</f>
        <v>Melting_Curves/meltCurve_C9J4Z0_SLC22A23.pdf</v>
      </c>
    </row>
    <row r="296" spans="1:28" x14ac:dyDescent="0.25">
      <c r="A296" t="s">
        <v>300</v>
      </c>
      <c r="B296">
        <v>0.99542014353169495</v>
      </c>
      <c r="C296">
        <v>1.02460941522254</v>
      </c>
      <c r="D296">
        <v>1.1507302937655399</v>
      </c>
      <c r="E296">
        <v>1.00265756412139</v>
      </c>
      <c r="F296">
        <v>0.81371387488645897</v>
      </c>
      <c r="G296">
        <v>0.496725397300949</v>
      </c>
      <c r="H296">
        <v>0.35094149312100298</v>
      </c>
      <c r="I296">
        <v>0.24569204310325701</v>
      </c>
      <c r="J296">
        <v>0.26179135309047202</v>
      </c>
      <c r="K296">
        <v>0.254790182756502</v>
      </c>
      <c r="L296">
        <v>1411.7630886465399</v>
      </c>
      <c r="M296">
        <v>26.9374306216368</v>
      </c>
      <c r="N296">
        <v>53.827477673838096</v>
      </c>
      <c r="O296">
        <v>52.1227210124678</v>
      </c>
      <c r="P296">
        <v>-9.6366609783281806E-2</v>
      </c>
      <c r="Q296">
        <v>0.25414752637459298</v>
      </c>
      <c r="R296">
        <v>0.97867668888989101</v>
      </c>
      <c r="S296" t="s">
        <v>6698</v>
      </c>
      <c r="T296" t="s">
        <v>12802</v>
      </c>
      <c r="U296" t="s">
        <v>12802</v>
      </c>
      <c r="V296" t="s">
        <v>12802</v>
      </c>
      <c r="W296" t="s">
        <v>13097</v>
      </c>
      <c r="X296">
        <v>1</v>
      </c>
      <c r="Y296" t="s">
        <v>19420</v>
      </c>
      <c r="Z296" t="s">
        <v>25614</v>
      </c>
      <c r="AA296">
        <v>0.64301843275163828</v>
      </c>
      <c r="AB296" t="str">
        <f>HYPERLINK("Melting_Curves/meltCurve_C9J4Z3_RPL37A.pdf", "Melting_Curves/meltCurve_C9J4Z3_RPL37A.pdf")</f>
        <v>Melting_Curves/meltCurve_C9J4Z3_RPL37A.pdf</v>
      </c>
    </row>
    <row r="297" spans="1:28" x14ac:dyDescent="0.25">
      <c r="A297" t="s">
        <v>301</v>
      </c>
      <c r="B297">
        <v>0.99542014353169495</v>
      </c>
      <c r="C297">
        <v>1.0188161848727999</v>
      </c>
      <c r="D297">
        <v>0.96922870694166796</v>
      </c>
      <c r="E297">
        <v>0.873965281420513</v>
      </c>
      <c r="F297">
        <v>0.56106098179761599</v>
      </c>
      <c r="G297">
        <v>0.31649390748398898</v>
      </c>
      <c r="H297">
        <v>0.14856802863581001</v>
      </c>
      <c r="I297">
        <v>9.2643749342170206E-2</v>
      </c>
      <c r="J297">
        <v>8.6727082178150894E-2</v>
      </c>
      <c r="K297">
        <v>7.8959757499444796E-2</v>
      </c>
      <c r="L297">
        <v>995.52369382027598</v>
      </c>
      <c r="M297">
        <v>19.632542203923698</v>
      </c>
      <c r="N297">
        <v>51.092583453810299</v>
      </c>
      <c r="O297">
        <v>50.190518967581099</v>
      </c>
      <c r="P297">
        <v>-9.1073537925879897E-2</v>
      </c>
      <c r="Q297">
        <v>6.8715980417214106E-2</v>
      </c>
      <c r="R297">
        <v>0.99891236068945899</v>
      </c>
      <c r="S297" t="s">
        <v>6699</v>
      </c>
      <c r="T297" t="s">
        <v>12802</v>
      </c>
      <c r="U297" t="s">
        <v>12802</v>
      </c>
      <c r="V297" t="s">
        <v>12802</v>
      </c>
      <c r="W297" t="s">
        <v>13098</v>
      </c>
      <c r="X297">
        <v>14</v>
      </c>
      <c r="Y297" t="s">
        <v>19421</v>
      </c>
      <c r="Z297" t="s">
        <v>25615</v>
      </c>
      <c r="AA297">
        <v>0.5068551031833729</v>
      </c>
      <c r="AB297" t="str">
        <f>HYPERLINK("Melting_Curves/meltCurve_C9J5C3_PDCD10.pdf", "Melting_Curves/meltCurve_C9J5C3_PDCD10.pdf")</f>
        <v>Melting_Curves/meltCurve_C9J5C3_PDCD10.pdf</v>
      </c>
    </row>
    <row r="298" spans="1:28" x14ac:dyDescent="0.25">
      <c r="A298" t="s">
        <v>302</v>
      </c>
      <c r="B298">
        <v>0.99542014353169495</v>
      </c>
      <c r="C298">
        <v>0.831694218016367</v>
      </c>
      <c r="D298">
        <v>0.59472135542619897</v>
      </c>
      <c r="E298">
        <v>0.43710683930842498</v>
      </c>
      <c r="F298">
        <v>0.30857606025024598</v>
      </c>
      <c r="G298">
        <v>0.18937166874661501</v>
      </c>
      <c r="H298">
        <v>0.128565609619433</v>
      </c>
      <c r="I298">
        <v>9.6598978051643997E-2</v>
      </c>
      <c r="J298">
        <v>6.4143713146851994E-2</v>
      </c>
      <c r="K298">
        <v>7.6150747539892094E-2</v>
      </c>
      <c r="L298">
        <v>517.01937694072205</v>
      </c>
      <c r="M298">
        <v>11.489988272547</v>
      </c>
      <c r="N298">
        <v>45.456608858748403</v>
      </c>
      <c r="O298">
        <v>43.699103499364803</v>
      </c>
      <c r="P298">
        <v>-6.2149146181079799E-2</v>
      </c>
      <c r="Q298">
        <v>5.47987957845062E-2</v>
      </c>
      <c r="R298">
        <v>0.99059150983811195</v>
      </c>
      <c r="S298" t="s">
        <v>6700</v>
      </c>
      <c r="T298" t="s">
        <v>12802</v>
      </c>
      <c r="U298" t="s">
        <v>12802</v>
      </c>
      <c r="V298" t="s">
        <v>12802</v>
      </c>
      <c r="W298" t="s">
        <v>13099</v>
      </c>
      <c r="X298">
        <v>3</v>
      </c>
      <c r="Y298" t="s">
        <v>19422</v>
      </c>
      <c r="Z298" t="s">
        <v>25616</v>
      </c>
      <c r="AA298">
        <v>0.34390733397072448</v>
      </c>
      <c r="AB298" t="str">
        <f>HYPERLINK("Melting_Curves/meltCurve_C9J5J4_LIN9.pdf", "Melting_Curves/meltCurve_C9J5J4_LIN9.pdf")</f>
        <v>Melting_Curves/meltCurve_C9J5J4_LIN9.pdf</v>
      </c>
    </row>
    <row r="299" spans="1:28" x14ac:dyDescent="0.25">
      <c r="A299" t="s">
        <v>303</v>
      </c>
      <c r="B299">
        <v>0.99542014353169495</v>
      </c>
      <c r="C299">
        <v>1.0277036896965801</v>
      </c>
      <c r="D299">
        <v>0.98112912870331104</v>
      </c>
      <c r="E299">
        <v>0.77812304223821205</v>
      </c>
      <c r="F299">
        <v>0.34666859583810999</v>
      </c>
      <c r="G299">
        <v>0.13459268795870299</v>
      </c>
      <c r="H299">
        <v>9.3344103141206905E-2</v>
      </c>
      <c r="I299">
        <v>5.2969257514937598E-2</v>
      </c>
      <c r="J299">
        <v>7.6254429843184396E-2</v>
      </c>
      <c r="K299">
        <v>5.4615877377372099E-2</v>
      </c>
      <c r="L299">
        <v>1305.2615112892699</v>
      </c>
      <c r="M299">
        <v>26.831044360335301</v>
      </c>
      <c r="N299">
        <v>48.898678262308998</v>
      </c>
      <c r="O299">
        <v>48.379611754079001</v>
      </c>
      <c r="P299">
        <v>-0.12972314208139399</v>
      </c>
      <c r="Q299">
        <v>6.4383533377644395E-2</v>
      </c>
      <c r="R299">
        <v>0.99902992874829599</v>
      </c>
      <c r="S299" t="s">
        <v>6701</v>
      </c>
      <c r="T299" t="s">
        <v>12802</v>
      </c>
      <c r="U299" t="s">
        <v>12802</v>
      </c>
      <c r="V299" t="s">
        <v>12802</v>
      </c>
      <c r="W299" t="s">
        <v>13100</v>
      </c>
      <c r="X299">
        <v>19</v>
      </c>
      <c r="Y299" t="s">
        <v>19423</v>
      </c>
      <c r="Z299" t="s">
        <v>25617</v>
      </c>
      <c r="AA299">
        <v>0.4346365390941766</v>
      </c>
      <c r="AB299" t="str">
        <f>HYPERLINK("Melting_Curves/meltCurve_C9J5N1_PTGES3L_AARSD1.pdf", "Melting_Curves/meltCurve_C9J5N1_PTGES3L_AARSD1.pdf")</f>
        <v>Melting_Curves/meltCurve_C9J5N1_PTGES3L_AARSD1.pdf</v>
      </c>
    </row>
    <row r="300" spans="1:28" x14ac:dyDescent="0.25">
      <c r="A300" t="s">
        <v>304</v>
      </c>
      <c r="B300">
        <v>0.99542014353169495</v>
      </c>
      <c r="C300">
        <v>1.08285952538187</v>
      </c>
      <c r="D300">
        <v>1.1175455563538099</v>
      </c>
      <c r="E300">
        <v>0.71613187052236404</v>
      </c>
      <c r="F300">
        <v>0.262666474335227</v>
      </c>
      <c r="G300">
        <v>0.179810333207507</v>
      </c>
      <c r="H300">
        <v>0.13084144267717601</v>
      </c>
      <c r="I300">
        <v>4.57717392053422E-2</v>
      </c>
      <c r="J300">
        <v>7.3540957799252196E-2</v>
      </c>
      <c r="K300">
        <v>6.8736796748055606E-2</v>
      </c>
      <c r="L300">
        <v>1579.0759269673999</v>
      </c>
      <c r="M300">
        <v>32.957661981731</v>
      </c>
      <c r="N300">
        <v>48.214768998364796</v>
      </c>
      <c r="O300">
        <v>47.736892329125403</v>
      </c>
      <c r="P300">
        <v>-0.15647968713945801</v>
      </c>
      <c r="Q300">
        <v>9.3404076661947194E-2</v>
      </c>
      <c r="R300">
        <v>0.98115069482117001</v>
      </c>
      <c r="S300" t="s">
        <v>6702</v>
      </c>
      <c r="T300" t="s">
        <v>12802</v>
      </c>
      <c r="U300" t="s">
        <v>12802</v>
      </c>
      <c r="V300" t="s">
        <v>12802</v>
      </c>
      <c r="W300" t="s">
        <v>13101</v>
      </c>
      <c r="X300">
        <v>1</v>
      </c>
      <c r="Y300" t="s">
        <v>19424</v>
      </c>
      <c r="Z300" t="s">
        <v>25618</v>
      </c>
      <c r="AA300">
        <v>0.42760741403881658</v>
      </c>
      <c r="AB300" t="str">
        <f>HYPERLINK("Melting_Curves/meltCurve_C9J5X1_IGF1R.pdf", "Melting_Curves/meltCurve_C9J5X1_IGF1R.pdf")</f>
        <v>Melting_Curves/meltCurve_C9J5X1_IGF1R.pdf</v>
      </c>
    </row>
    <row r="301" spans="1:28" x14ac:dyDescent="0.25">
      <c r="A301" t="s">
        <v>305</v>
      </c>
      <c r="B301">
        <v>0.99542014353169495</v>
      </c>
      <c r="C301">
        <v>0.93916937007905499</v>
      </c>
      <c r="D301">
        <v>0.78114416659557895</v>
      </c>
      <c r="E301">
        <v>0.27592373157850902</v>
      </c>
      <c r="F301">
        <v>0.12334111134921</v>
      </c>
      <c r="G301">
        <v>8.5119533806404094E-2</v>
      </c>
      <c r="H301">
        <v>4.4824813802804703E-2</v>
      </c>
      <c r="I301">
        <v>3.0001368634800001E-2</v>
      </c>
      <c r="J301">
        <v>3.92647307518387E-2</v>
      </c>
      <c r="K301">
        <v>3.3677511642940298E-2</v>
      </c>
      <c r="L301">
        <v>1189.15009621129</v>
      </c>
      <c r="M301">
        <v>26.5478013863653</v>
      </c>
      <c r="N301">
        <v>44.9560440306931</v>
      </c>
      <c r="O301">
        <v>44.540944194548203</v>
      </c>
      <c r="P301">
        <v>-0.14216220345976099</v>
      </c>
      <c r="Q301">
        <v>4.5951538309572597E-2</v>
      </c>
      <c r="R301">
        <v>0.99770051151072103</v>
      </c>
      <c r="S301" t="s">
        <v>6703</v>
      </c>
      <c r="T301" t="s">
        <v>12802</v>
      </c>
      <c r="U301" t="s">
        <v>12802</v>
      </c>
      <c r="V301" t="s">
        <v>12802</v>
      </c>
      <c r="W301" t="s">
        <v>13102</v>
      </c>
      <c r="X301">
        <v>8</v>
      </c>
      <c r="Y301" t="s">
        <v>19425</v>
      </c>
      <c r="Z301" t="s">
        <v>25619</v>
      </c>
      <c r="AA301">
        <v>0.30066878286209769</v>
      </c>
      <c r="AB301" t="str">
        <f>HYPERLINK("Melting_Curves/meltCurve_C9J6W2_KIF20B.pdf", "Melting_Curves/meltCurve_C9J6W2_KIF20B.pdf")</f>
        <v>Melting_Curves/meltCurve_C9J6W2_KIF20B.pdf</v>
      </c>
    </row>
    <row r="302" spans="1:28" x14ac:dyDescent="0.25">
      <c r="A302" t="s">
        <v>306</v>
      </c>
      <c r="B302">
        <v>0.99542014353169495</v>
      </c>
      <c r="C302">
        <v>0.91742416784384495</v>
      </c>
      <c r="D302">
        <v>0.87469971388025103</v>
      </c>
      <c r="E302">
        <v>0.75773769586582096</v>
      </c>
      <c r="F302">
        <v>0.48010276898611398</v>
      </c>
      <c r="G302">
        <v>0.27293887343509299</v>
      </c>
      <c r="H302">
        <v>0.20763642289370901</v>
      </c>
      <c r="I302">
        <v>0.164808570321194</v>
      </c>
      <c r="J302">
        <v>0.179035764028635</v>
      </c>
      <c r="K302">
        <v>0.21430802969683499</v>
      </c>
      <c r="L302">
        <v>806.37532462914601</v>
      </c>
      <c r="M302">
        <v>16.6013462937273</v>
      </c>
      <c r="N302">
        <v>49.738994601709301</v>
      </c>
      <c r="O302">
        <v>47.884513877906301</v>
      </c>
      <c r="P302">
        <v>-7.2706613228826295E-2</v>
      </c>
      <c r="Q302">
        <v>0.161204258659088</v>
      </c>
      <c r="R302">
        <v>0.99059521007078399</v>
      </c>
      <c r="S302" t="s">
        <v>6704</v>
      </c>
      <c r="T302" t="s">
        <v>12802</v>
      </c>
      <c r="U302" t="s">
        <v>12802</v>
      </c>
      <c r="V302" t="s">
        <v>12802</v>
      </c>
      <c r="W302" t="s">
        <v>13103</v>
      </c>
      <c r="X302">
        <v>2</v>
      </c>
      <c r="Y302" t="s">
        <v>19426</v>
      </c>
      <c r="Z302" t="s">
        <v>25620</v>
      </c>
      <c r="AA302">
        <v>0.50017967131215491</v>
      </c>
      <c r="AB302" t="str">
        <f>HYPERLINK("Melting_Curves/meltCurve_C9J719_EBP.pdf", "Melting_Curves/meltCurve_C9J719_EBP.pdf")</f>
        <v>Melting_Curves/meltCurve_C9J719_EBP.pdf</v>
      </c>
    </row>
    <row r="303" spans="1:28" x14ac:dyDescent="0.25">
      <c r="A303" t="s">
        <v>307</v>
      </c>
      <c r="B303">
        <v>0.99542014353169495</v>
      </c>
      <c r="C303">
        <v>0.97256261146571998</v>
      </c>
      <c r="D303">
        <v>0.95697466509289297</v>
      </c>
      <c r="E303">
        <v>0.73869349347187996</v>
      </c>
      <c r="F303">
        <v>0.47842169457407302</v>
      </c>
      <c r="G303">
        <v>0.28371732810692502</v>
      </c>
      <c r="H303">
        <v>0.118058198179153</v>
      </c>
      <c r="I303">
        <v>9.9830473699094702E-2</v>
      </c>
      <c r="J303">
        <v>9.1139941873393499E-2</v>
      </c>
      <c r="K303">
        <v>0.12159629854771201</v>
      </c>
      <c r="L303">
        <v>857.128556227795</v>
      </c>
      <c r="M303">
        <v>17.366623102797799</v>
      </c>
      <c r="N303">
        <v>49.858887706571203</v>
      </c>
      <c r="O303">
        <v>48.714453461691299</v>
      </c>
      <c r="P303">
        <v>-8.1955083107740301E-2</v>
      </c>
      <c r="Q303">
        <v>8.0495601393605398E-2</v>
      </c>
      <c r="R303">
        <v>0.99692770539270004</v>
      </c>
      <c r="S303" t="s">
        <v>6705</v>
      </c>
      <c r="T303" t="s">
        <v>12802</v>
      </c>
      <c r="U303" t="s">
        <v>12802</v>
      </c>
      <c r="V303" t="s">
        <v>12802</v>
      </c>
      <c r="W303" t="s">
        <v>13104</v>
      </c>
      <c r="X303">
        <v>5</v>
      </c>
      <c r="Y303" t="s">
        <v>19427</v>
      </c>
      <c r="Z303" t="s">
        <v>25621</v>
      </c>
      <c r="AA303">
        <v>0.47466869281301283</v>
      </c>
      <c r="AB303" t="str">
        <f>HYPERLINK("Melting_Curves/meltCurve_C9J7E8_MKLN1.pdf", "Melting_Curves/meltCurve_C9J7E8_MKLN1.pdf")</f>
        <v>Melting_Curves/meltCurve_C9J7E8_MKLN1.pdf</v>
      </c>
    </row>
    <row r="304" spans="1:28" x14ac:dyDescent="0.25">
      <c r="A304" t="s">
        <v>308</v>
      </c>
      <c r="B304">
        <v>0.99542014353169495</v>
      </c>
      <c r="C304">
        <v>1.1651674977489099</v>
      </c>
      <c r="D304">
        <v>0.79467357181227605</v>
      </c>
      <c r="E304">
        <v>0.53434276927817603</v>
      </c>
      <c r="F304">
        <v>0.69958916690077499</v>
      </c>
      <c r="G304">
        <v>0.53824174356813403</v>
      </c>
      <c r="H304">
        <v>0.46977704387048103</v>
      </c>
      <c r="I304">
        <v>0.48036121104819601</v>
      </c>
      <c r="J304">
        <v>0.56754636744793197</v>
      </c>
      <c r="K304">
        <v>0.48771238739740702</v>
      </c>
      <c r="L304">
        <v>10759.3199646058</v>
      </c>
      <c r="M304">
        <v>250</v>
      </c>
      <c r="O304">
        <v>43.034525217568699</v>
      </c>
      <c r="P304">
        <v>-0.66857226395626201</v>
      </c>
      <c r="Q304">
        <v>0.53965295550975301</v>
      </c>
      <c r="R304">
        <v>0.87611400340475698</v>
      </c>
      <c r="S304" t="s">
        <v>6706</v>
      </c>
      <c r="T304" t="s">
        <v>12802</v>
      </c>
      <c r="U304" t="s">
        <v>12802</v>
      </c>
      <c r="V304" t="s">
        <v>12802</v>
      </c>
      <c r="W304" t="s">
        <v>13105</v>
      </c>
      <c r="X304">
        <v>14</v>
      </c>
      <c r="Y304" t="s">
        <v>19428</v>
      </c>
      <c r="Z304" t="s">
        <v>25622</v>
      </c>
      <c r="AA304">
        <v>0.63232919006271071</v>
      </c>
      <c r="AB304" t="str">
        <f>HYPERLINK("Melting_Curves/meltCurve_C9J7H8_LDHB.pdf", "Melting_Curves/meltCurve_C9J7H8_LDHB.pdf")</f>
        <v>Melting_Curves/meltCurve_C9J7H8_LDHB.pdf</v>
      </c>
    </row>
    <row r="305" spans="1:28" x14ac:dyDescent="0.25">
      <c r="A305" t="s">
        <v>309</v>
      </c>
      <c r="B305">
        <v>0.99542014353169495</v>
      </c>
      <c r="C305">
        <v>0.95732640309765205</v>
      </c>
      <c r="D305">
        <v>1.0620253491248901</v>
      </c>
      <c r="E305">
        <v>0.80545222188014798</v>
      </c>
      <c r="F305">
        <v>0.80255681283782399</v>
      </c>
      <c r="G305">
        <v>0.53962428817344399</v>
      </c>
      <c r="H305">
        <v>0.37131331278096402</v>
      </c>
      <c r="I305">
        <v>0.22958169467304401</v>
      </c>
      <c r="J305">
        <v>0.196040647784853</v>
      </c>
      <c r="K305">
        <v>0.14174039464990301</v>
      </c>
      <c r="L305">
        <v>706.58151855220501</v>
      </c>
      <c r="M305">
        <v>13.0737226780666</v>
      </c>
      <c r="N305">
        <v>54.732331805737303</v>
      </c>
      <c r="O305">
        <v>52.828342521072003</v>
      </c>
      <c r="P305">
        <v>-5.7200787180220501E-2</v>
      </c>
      <c r="Q305">
        <v>7.5611243705269199E-2</v>
      </c>
      <c r="R305">
        <v>0.98112466334560799</v>
      </c>
      <c r="S305" t="s">
        <v>6707</v>
      </c>
      <c r="T305" t="s">
        <v>12802</v>
      </c>
      <c r="U305" t="s">
        <v>12802</v>
      </c>
      <c r="V305" t="s">
        <v>12802</v>
      </c>
      <c r="W305" t="s">
        <v>13106</v>
      </c>
      <c r="X305">
        <v>4</v>
      </c>
      <c r="Y305" t="s">
        <v>19429</v>
      </c>
      <c r="Z305" t="s">
        <v>25623</v>
      </c>
      <c r="AA305">
        <v>0.61689636782567814</v>
      </c>
      <c r="AB305" t="str">
        <f>HYPERLINK("Melting_Curves/meltCurve_C9J7K9_PLSCR1.pdf", "Melting_Curves/meltCurve_C9J7K9_PLSCR1.pdf")</f>
        <v>Melting_Curves/meltCurve_C9J7K9_PLSCR1.pdf</v>
      </c>
    </row>
    <row r="306" spans="1:28" x14ac:dyDescent="0.25">
      <c r="A306" t="s">
        <v>310</v>
      </c>
      <c r="B306">
        <v>0.99542014353169495</v>
      </c>
      <c r="C306">
        <v>0.95154589894460595</v>
      </c>
      <c r="D306">
        <v>0.97749842574268997</v>
      </c>
      <c r="E306">
        <v>0.87105414694373395</v>
      </c>
      <c r="F306">
        <v>0.35360754495960001</v>
      </c>
      <c r="G306">
        <v>0.1482068246079</v>
      </c>
      <c r="H306">
        <v>5.14219776420589E-2</v>
      </c>
      <c r="I306">
        <v>5.5469562505769898E-2</v>
      </c>
      <c r="J306">
        <v>8.0462949002253703E-2</v>
      </c>
      <c r="K306">
        <v>9.7891394411593696E-2</v>
      </c>
      <c r="L306">
        <v>1649.0951613781999</v>
      </c>
      <c r="M306">
        <v>33.643471819758503</v>
      </c>
      <c r="N306">
        <v>49.254180132345603</v>
      </c>
      <c r="O306">
        <v>48.844591194200198</v>
      </c>
      <c r="P306">
        <v>-0.159308620882081</v>
      </c>
      <c r="Q306">
        <v>7.48479703554355E-2</v>
      </c>
      <c r="R306">
        <v>0.99676608870327899</v>
      </c>
      <c r="S306" t="s">
        <v>6708</v>
      </c>
      <c r="T306" t="s">
        <v>12802</v>
      </c>
      <c r="U306" t="s">
        <v>12802</v>
      </c>
      <c r="V306" t="s">
        <v>12802</v>
      </c>
      <c r="W306" t="s">
        <v>13107</v>
      </c>
      <c r="X306">
        <v>3</v>
      </c>
      <c r="Y306" t="s">
        <v>19430</v>
      </c>
      <c r="Z306" t="s">
        <v>25624</v>
      </c>
      <c r="AA306">
        <v>0.44986488972610811</v>
      </c>
      <c r="AB306" t="str">
        <f>HYPERLINK("Melting_Curves/meltCurve_C9J7Z4_TSEN2.pdf", "Melting_Curves/meltCurve_C9J7Z4_TSEN2.pdf")</f>
        <v>Melting_Curves/meltCurve_C9J7Z4_TSEN2.pdf</v>
      </c>
    </row>
    <row r="307" spans="1:28" x14ac:dyDescent="0.25">
      <c r="A307" t="s">
        <v>311</v>
      </c>
      <c r="B307">
        <v>0.99542014353169495</v>
      </c>
      <c r="C307">
        <v>1.1025078820521099</v>
      </c>
      <c r="D307">
        <v>0.99351771512758502</v>
      </c>
      <c r="E307">
        <v>0.97158565235466299</v>
      </c>
      <c r="F307">
        <v>0.86570117496694998</v>
      </c>
      <c r="G307">
        <v>0.61630549994390404</v>
      </c>
      <c r="H307">
        <v>0.47025257970208101</v>
      </c>
      <c r="I307">
        <v>0.45511899033197001</v>
      </c>
      <c r="J307">
        <v>0.61441428815493304</v>
      </c>
      <c r="K307">
        <v>0.72984309357670696</v>
      </c>
      <c r="L307">
        <v>2398.8092832574598</v>
      </c>
      <c r="M307">
        <v>46.994185880737803</v>
      </c>
      <c r="O307">
        <v>50.9526346195182</v>
      </c>
      <c r="P307">
        <v>-9.9279292655050602E-2</v>
      </c>
      <c r="Q307">
        <v>0.56943303435066905</v>
      </c>
      <c r="R307">
        <v>0.87470788815148204</v>
      </c>
      <c r="S307" t="s">
        <v>6709</v>
      </c>
      <c r="T307" t="s">
        <v>12802</v>
      </c>
      <c r="U307" t="s">
        <v>12802</v>
      </c>
      <c r="V307" t="s">
        <v>12802</v>
      </c>
      <c r="W307" t="s">
        <v>13108</v>
      </c>
      <c r="X307">
        <v>17</v>
      </c>
      <c r="Y307" t="s">
        <v>19431</v>
      </c>
      <c r="Z307" t="s">
        <v>25625</v>
      </c>
      <c r="AA307">
        <v>0.77210528380074939</v>
      </c>
      <c r="AB307" t="str">
        <f>HYPERLINK("Melting_Curves/meltCurve_C9J815_APOBR.pdf", "Melting_Curves/meltCurve_C9J815_APOBR.pdf")</f>
        <v>Melting_Curves/meltCurve_C9J815_APOBR.pdf</v>
      </c>
    </row>
    <row r="308" spans="1:28" x14ac:dyDescent="0.25">
      <c r="A308" t="s">
        <v>312</v>
      </c>
      <c r="B308">
        <v>0.99542014353169495</v>
      </c>
      <c r="C308">
        <v>0.86086087107914799</v>
      </c>
      <c r="D308">
        <v>0.941474501510974</v>
      </c>
      <c r="E308">
        <v>0.79765700624667302</v>
      </c>
      <c r="F308">
        <v>0.69182760279626399</v>
      </c>
      <c r="G308">
        <v>0.48835404914561098</v>
      </c>
      <c r="H308">
        <v>0.363419411246372</v>
      </c>
      <c r="I308">
        <v>0.16093717638734301</v>
      </c>
      <c r="J308">
        <v>4.6789730457052703E-2</v>
      </c>
      <c r="K308">
        <v>4.6246102402009402E-2</v>
      </c>
      <c r="L308">
        <v>624.36708159896</v>
      </c>
      <c r="M308">
        <v>11.724292411437</v>
      </c>
      <c r="N308">
        <v>53.254140216382901</v>
      </c>
      <c r="O308">
        <v>51.775676735987197</v>
      </c>
      <c r="P308">
        <v>-5.6625955894931898E-2</v>
      </c>
      <c r="Q308">
        <v>0</v>
      </c>
      <c r="R308">
        <v>0.97678499204598701</v>
      </c>
      <c r="S308" t="s">
        <v>6710</v>
      </c>
      <c r="T308" t="s">
        <v>12802</v>
      </c>
      <c r="U308" t="s">
        <v>12802</v>
      </c>
      <c r="V308" t="s">
        <v>12802</v>
      </c>
      <c r="W308" t="s">
        <v>13109</v>
      </c>
      <c r="X308">
        <v>10</v>
      </c>
      <c r="Y308" t="s">
        <v>19432</v>
      </c>
      <c r="Z308" t="s">
        <v>25626</v>
      </c>
      <c r="AA308">
        <v>0.56232703903299908</v>
      </c>
      <c r="AB308" t="str">
        <f>HYPERLINK("Melting_Curves/meltCurve_C9J8Q5_ALDH5A1.pdf", "Melting_Curves/meltCurve_C9J8Q5_ALDH5A1.pdf")</f>
        <v>Melting_Curves/meltCurve_C9J8Q5_ALDH5A1.pdf</v>
      </c>
    </row>
    <row r="309" spans="1:28" x14ac:dyDescent="0.25">
      <c r="A309" t="s">
        <v>313</v>
      </c>
      <c r="B309">
        <v>0.99542014353169495</v>
      </c>
      <c r="C309">
        <v>1.1021437618879899</v>
      </c>
      <c r="D309">
        <v>1.0879502273119099</v>
      </c>
      <c r="E309">
        <v>1.1250093637874901</v>
      </c>
      <c r="F309">
        <v>0.76922137901060295</v>
      </c>
      <c r="G309">
        <v>0.51652537778034802</v>
      </c>
      <c r="H309">
        <v>0.150705972266683</v>
      </c>
      <c r="I309">
        <v>6.0439796920273799E-2</v>
      </c>
      <c r="J309">
        <v>4.7230397164332E-2</v>
      </c>
      <c r="K309">
        <v>4.8573131869472798E-2</v>
      </c>
      <c r="L309">
        <v>1373.47938007266</v>
      </c>
      <c r="M309">
        <v>25.690543016073001</v>
      </c>
      <c r="N309">
        <v>53.595561933384801</v>
      </c>
      <c r="O309">
        <v>53.1416621687112</v>
      </c>
      <c r="P309">
        <v>-0.117124815317786</v>
      </c>
      <c r="Q309">
        <v>3.0906667632369801E-2</v>
      </c>
      <c r="R309">
        <v>0.976530503967032</v>
      </c>
      <c r="S309" t="s">
        <v>6711</v>
      </c>
      <c r="T309" t="s">
        <v>12802</v>
      </c>
      <c r="U309" t="s">
        <v>12802</v>
      </c>
      <c r="V309" t="s">
        <v>12802</v>
      </c>
      <c r="W309" t="s">
        <v>13110</v>
      </c>
      <c r="X309">
        <v>15</v>
      </c>
      <c r="Y309" t="s">
        <v>19433</v>
      </c>
      <c r="Z309" t="s">
        <v>25627</v>
      </c>
      <c r="AA309">
        <v>0.57083939773192216</v>
      </c>
      <c r="AB309" t="str">
        <f>HYPERLINK("Melting_Curves/meltCurve_C9J9K3_RPSA.pdf", "Melting_Curves/meltCurve_C9J9K3_RPSA.pdf")</f>
        <v>Melting_Curves/meltCurve_C9J9K3_RPSA.pdf</v>
      </c>
    </row>
    <row r="310" spans="1:28" x14ac:dyDescent="0.25">
      <c r="A310" t="s">
        <v>314</v>
      </c>
      <c r="B310">
        <v>0.99542014353169495</v>
      </c>
      <c r="C310">
        <v>0.99359671336131605</v>
      </c>
      <c r="D310">
        <v>0.97813371070381905</v>
      </c>
      <c r="E310">
        <v>0.85071445564729897</v>
      </c>
      <c r="F310">
        <v>0.466711552036703</v>
      </c>
      <c r="G310">
        <v>0.22006292973172101</v>
      </c>
      <c r="H310">
        <v>0.101112197789353</v>
      </c>
      <c r="I310">
        <v>6.1524127128575801E-2</v>
      </c>
      <c r="J310">
        <v>5.9532609946045402E-2</v>
      </c>
      <c r="K310">
        <v>5.8649129703134198E-2</v>
      </c>
      <c r="L310">
        <v>1142.0708598067399</v>
      </c>
      <c r="M310">
        <v>22.936699747491801</v>
      </c>
      <c r="N310">
        <v>50.0524167424607</v>
      </c>
      <c r="O310">
        <v>49.418438773089797</v>
      </c>
      <c r="P310">
        <v>-0.109515528009788</v>
      </c>
      <c r="Q310">
        <v>5.6187849786193303E-2</v>
      </c>
      <c r="R310">
        <v>0.99941970091393395</v>
      </c>
      <c r="S310" t="s">
        <v>6712</v>
      </c>
      <c r="T310" t="s">
        <v>12802</v>
      </c>
      <c r="U310" t="s">
        <v>12802</v>
      </c>
      <c r="V310" t="s">
        <v>12802</v>
      </c>
      <c r="W310" t="s">
        <v>13111</v>
      </c>
      <c r="X310">
        <v>24</v>
      </c>
      <c r="Y310" t="s">
        <v>19434</v>
      </c>
      <c r="Z310" t="s">
        <v>25628</v>
      </c>
      <c r="AA310">
        <v>0.46833077967917719</v>
      </c>
      <c r="AB310" t="str">
        <f>HYPERLINK("Melting_Curves/meltCurve_C9JA08_NMD3.pdf", "Melting_Curves/meltCurve_C9JA08_NMD3.pdf")</f>
        <v>Melting_Curves/meltCurve_C9JA08_NMD3.pdf</v>
      </c>
    </row>
    <row r="311" spans="1:28" x14ac:dyDescent="0.25">
      <c r="A311" t="s">
        <v>315</v>
      </c>
      <c r="B311">
        <v>0.99542014353169495</v>
      </c>
      <c r="C311">
        <v>0.88602228027852103</v>
      </c>
      <c r="D311">
        <v>0.86070916468123804</v>
      </c>
      <c r="E311">
        <v>0.66595084550825001</v>
      </c>
      <c r="F311">
        <v>0.68055247859753798</v>
      </c>
      <c r="G311">
        <v>0.48487601778334</v>
      </c>
      <c r="H311">
        <v>0.39436222362906198</v>
      </c>
      <c r="I311">
        <v>0.301306213436415</v>
      </c>
      <c r="J311">
        <v>0.31990828369493102</v>
      </c>
      <c r="K311">
        <v>0.29341378731927797</v>
      </c>
      <c r="L311">
        <v>408.95286941453998</v>
      </c>
      <c r="M311">
        <v>8.0680166254123495</v>
      </c>
      <c r="N311">
        <v>53.550697816594102</v>
      </c>
      <c r="O311">
        <v>47.858907086645203</v>
      </c>
      <c r="P311">
        <v>-3.4800823201687897E-2</v>
      </c>
      <c r="Q311">
        <v>0.17515967700434601</v>
      </c>
      <c r="R311">
        <v>0.97676778472560699</v>
      </c>
      <c r="S311" t="s">
        <v>6713</v>
      </c>
      <c r="T311" t="s">
        <v>12802</v>
      </c>
      <c r="U311" t="s">
        <v>12802</v>
      </c>
      <c r="V311" t="s">
        <v>12802</v>
      </c>
      <c r="W311" t="s">
        <v>13112</v>
      </c>
      <c r="X311">
        <v>5</v>
      </c>
      <c r="Y311" t="s">
        <v>19435</v>
      </c>
      <c r="Z311" t="s">
        <v>25629</v>
      </c>
      <c r="AA311">
        <v>0.58164808567561288</v>
      </c>
      <c r="AB311" t="str">
        <f>HYPERLINK("Melting_Curves/meltCurve_C9JA28_SSR3.pdf", "Melting_Curves/meltCurve_C9JA28_SSR3.pdf")</f>
        <v>Melting_Curves/meltCurve_C9JA28_SSR3.pdf</v>
      </c>
    </row>
    <row r="312" spans="1:28" x14ac:dyDescent="0.25">
      <c r="A312" t="s">
        <v>316</v>
      </c>
      <c r="B312">
        <v>0.99542014353169495</v>
      </c>
      <c r="C312">
        <v>1.0637018849900599</v>
      </c>
      <c r="D312">
        <v>1.0554293966285899</v>
      </c>
      <c r="E312">
        <v>0.92539774272241904</v>
      </c>
      <c r="F312">
        <v>0.64778922453683396</v>
      </c>
      <c r="G312">
        <v>0.42088249118232401</v>
      </c>
      <c r="H312">
        <v>0.21814767756623299</v>
      </c>
      <c r="I312">
        <v>0.20535820848876499</v>
      </c>
      <c r="J312">
        <v>0.42970142871182099</v>
      </c>
      <c r="K312">
        <v>1.0764317366003899</v>
      </c>
      <c r="L312">
        <v>2150.0434885586601</v>
      </c>
      <c r="M312">
        <v>43.691079397324003</v>
      </c>
      <c r="N312">
        <v>52.602799954275099</v>
      </c>
      <c r="O312">
        <v>49.107367524013704</v>
      </c>
      <c r="P312">
        <v>-0.117856197143965</v>
      </c>
      <c r="Q312">
        <v>0.47013448005985597</v>
      </c>
      <c r="R312">
        <v>0.55856447520255903</v>
      </c>
      <c r="S312" t="s">
        <v>6714</v>
      </c>
      <c r="T312" t="s">
        <v>12802</v>
      </c>
      <c r="U312" t="s">
        <v>12802</v>
      </c>
      <c r="V312" t="s">
        <v>12802</v>
      </c>
      <c r="W312" t="s">
        <v>13113</v>
      </c>
      <c r="X312">
        <v>12</v>
      </c>
      <c r="Y312" t="s">
        <v>19436</v>
      </c>
      <c r="Z312" t="s">
        <v>25630</v>
      </c>
      <c r="AA312">
        <v>0.68730055993856998</v>
      </c>
      <c r="AB312" t="str">
        <f>HYPERLINK("Melting_Curves/meltCurve_C9JAB2_SRSF7.pdf", "Melting_Curves/meltCurve_C9JAB2_SRSF7.pdf")</f>
        <v>Melting_Curves/meltCurve_C9JAB2_SRSF7.pdf</v>
      </c>
    </row>
    <row r="313" spans="1:28" x14ac:dyDescent="0.25">
      <c r="A313" t="s">
        <v>317</v>
      </c>
      <c r="B313">
        <v>0.99542014353169495</v>
      </c>
      <c r="C313">
        <v>0.97903616800993398</v>
      </c>
      <c r="D313">
        <v>0.86182386469636796</v>
      </c>
      <c r="E313">
        <v>0.69345745675791903</v>
      </c>
      <c r="F313">
        <v>0.55424123657744095</v>
      </c>
      <c r="G313">
        <v>0.38514612922243802</v>
      </c>
      <c r="H313">
        <v>0.198229989446841</v>
      </c>
      <c r="I313">
        <v>0.148935762737332</v>
      </c>
      <c r="J313">
        <v>0.227552715146837</v>
      </c>
      <c r="K313">
        <v>0.27932088187591098</v>
      </c>
      <c r="L313">
        <v>676.67785450561701</v>
      </c>
      <c r="M313">
        <v>13.8895440400127</v>
      </c>
      <c r="N313">
        <v>50.344158109316197</v>
      </c>
      <c r="O313">
        <v>47.741964875618798</v>
      </c>
      <c r="P313">
        <v>-5.9597156167768499E-2</v>
      </c>
      <c r="Q313">
        <v>0.18070856078780501</v>
      </c>
      <c r="R313">
        <v>0.97689590991519903</v>
      </c>
      <c r="S313" t="s">
        <v>6715</v>
      </c>
      <c r="T313" t="s">
        <v>12802</v>
      </c>
      <c r="U313" t="s">
        <v>12802</v>
      </c>
      <c r="V313" t="s">
        <v>12802</v>
      </c>
      <c r="W313" t="s">
        <v>13114</v>
      </c>
      <c r="X313">
        <v>2</v>
      </c>
      <c r="Y313" t="s">
        <v>19437</v>
      </c>
      <c r="Z313" t="s">
        <v>25631</v>
      </c>
      <c r="AA313">
        <v>0.52075324242991006</v>
      </c>
      <c r="AB313" t="str">
        <f>HYPERLINK("Melting_Curves/meltCurve_C9JAX1_FXN.pdf", "Melting_Curves/meltCurve_C9JAX1_FXN.pdf")</f>
        <v>Melting_Curves/meltCurve_C9JAX1_FXN.pdf</v>
      </c>
    </row>
    <row r="314" spans="1:28" x14ac:dyDescent="0.25">
      <c r="A314" t="s">
        <v>318</v>
      </c>
      <c r="B314">
        <v>0.99542014353169495</v>
      </c>
      <c r="C314">
        <v>1.1466402021873301</v>
      </c>
      <c r="D314">
        <v>1.0127002642799801</v>
      </c>
      <c r="E314">
        <v>0.83591126047934095</v>
      </c>
      <c r="F314">
        <v>0.543693037249669</v>
      </c>
      <c r="G314">
        <v>0.29634873873713902</v>
      </c>
      <c r="H314">
        <v>0.15062026476906301</v>
      </c>
      <c r="I314">
        <v>8.9003220187438101E-2</v>
      </c>
      <c r="J314">
        <v>8.7275424938717996E-2</v>
      </c>
      <c r="K314">
        <v>0.102964928730727</v>
      </c>
      <c r="L314">
        <v>1043.9530178948301</v>
      </c>
      <c r="M314">
        <v>20.743992463710999</v>
      </c>
      <c r="N314">
        <v>50.7765130766266</v>
      </c>
      <c r="O314">
        <v>49.864876679100703</v>
      </c>
      <c r="P314">
        <v>-9.5254435392895506E-2</v>
      </c>
      <c r="Q314">
        <v>8.4126786063327894E-2</v>
      </c>
      <c r="R314">
        <v>0.98482972645369204</v>
      </c>
      <c r="S314" t="s">
        <v>6716</v>
      </c>
      <c r="T314" t="s">
        <v>12802</v>
      </c>
      <c r="U314" t="s">
        <v>12802</v>
      </c>
      <c r="V314" t="s">
        <v>12802</v>
      </c>
      <c r="W314" t="s">
        <v>13115</v>
      </c>
      <c r="X314">
        <v>10</v>
      </c>
      <c r="Y314" t="s">
        <v>19438</v>
      </c>
      <c r="Z314" t="s">
        <v>25632</v>
      </c>
      <c r="AA314">
        <v>0.50224894475761162</v>
      </c>
      <c r="AB314" t="str">
        <f>HYPERLINK("Melting_Curves/meltCurve_C9JB13_BSDC1.pdf", "Melting_Curves/meltCurve_C9JB13_BSDC1.pdf")</f>
        <v>Melting_Curves/meltCurve_C9JB13_BSDC1.pdf</v>
      </c>
    </row>
    <row r="315" spans="1:28" x14ac:dyDescent="0.25">
      <c r="A315" t="s">
        <v>319</v>
      </c>
      <c r="B315">
        <v>0.99542014353169495</v>
      </c>
      <c r="C315">
        <v>1.00884352748755</v>
      </c>
      <c r="D315">
        <v>1.0517801020555699</v>
      </c>
      <c r="E315">
        <v>0.93447086516262601</v>
      </c>
      <c r="F315">
        <v>0.80918507488884905</v>
      </c>
      <c r="G315">
        <v>0.49756683451616601</v>
      </c>
      <c r="H315">
        <v>0.34235189022087698</v>
      </c>
      <c r="I315">
        <v>0.30078035868960501</v>
      </c>
      <c r="J315">
        <v>0.38385345266737098</v>
      </c>
      <c r="K315">
        <v>0.46210189490151599</v>
      </c>
      <c r="L315">
        <v>1716.41401327994</v>
      </c>
      <c r="M315">
        <v>33.394983976472098</v>
      </c>
      <c r="N315">
        <v>53.551309920822703</v>
      </c>
      <c r="O315">
        <v>51.214106392215797</v>
      </c>
      <c r="P315">
        <v>-0.10278270291852799</v>
      </c>
      <c r="Q315">
        <v>0.36949789605078098</v>
      </c>
      <c r="R315">
        <v>0.97522525780339797</v>
      </c>
      <c r="S315" t="s">
        <v>6717</v>
      </c>
      <c r="T315" t="s">
        <v>12802</v>
      </c>
      <c r="U315" t="s">
        <v>12802</v>
      </c>
      <c r="V315" t="s">
        <v>12802</v>
      </c>
      <c r="W315" t="s">
        <v>13116</v>
      </c>
      <c r="X315">
        <v>2</v>
      </c>
      <c r="Y315" t="s">
        <v>19439</v>
      </c>
      <c r="Z315" t="s">
        <v>25633</v>
      </c>
      <c r="AA315">
        <v>0.6752855705620483</v>
      </c>
      <c r="AB315" t="str">
        <f>HYPERLINK("Melting_Curves/meltCurve_C9JBB3_TFPI.pdf", "Melting_Curves/meltCurve_C9JBB3_TFPI.pdf")</f>
        <v>Melting_Curves/meltCurve_C9JBB3_TFPI.pdf</v>
      </c>
    </row>
    <row r="316" spans="1:28" x14ac:dyDescent="0.25">
      <c r="A316" t="s">
        <v>320</v>
      </c>
      <c r="B316">
        <v>0.99542014353169495</v>
      </c>
      <c r="C316">
        <v>0.86738056844206701</v>
      </c>
      <c r="D316">
        <v>1.1367543335218599</v>
      </c>
      <c r="E316">
        <v>0.85095643669950805</v>
      </c>
      <c r="F316">
        <v>0.90418879319113499</v>
      </c>
      <c r="G316">
        <v>0.55452257462451005</v>
      </c>
      <c r="H316">
        <v>0.57423077159209801</v>
      </c>
      <c r="I316">
        <v>0.53074750199362497</v>
      </c>
      <c r="J316">
        <v>0.67096548741919604</v>
      </c>
      <c r="K316">
        <v>0.80612408904702404</v>
      </c>
      <c r="L316">
        <v>12603.270746846199</v>
      </c>
      <c r="M316">
        <v>250</v>
      </c>
      <c r="O316">
        <v>50.409857110855199</v>
      </c>
      <c r="P316">
        <v>-0.46206479325729799</v>
      </c>
      <c r="Q316">
        <v>0.62731807884558699</v>
      </c>
      <c r="R316">
        <v>0.70217113875054704</v>
      </c>
      <c r="S316" t="s">
        <v>6718</v>
      </c>
      <c r="T316" t="s">
        <v>12802</v>
      </c>
      <c r="U316" t="s">
        <v>12802</v>
      </c>
      <c r="V316" t="s">
        <v>12802</v>
      </c>
      <c r="W316" t="s">
        <v>13117</v>
      </c>
      <c r="X316">
        <v>1</v>
      </c>
      <c r="Y316" t="s">
        <v>19440</v>
      </c>
      <c r="Z316" t="s">
        <v>25634</v>
      </c>
      <c r="AA316">
        <v>0.7939781694495609</v>
      </c>
      <c r="AB316" t="str">
        <f>HYPERLINK("Melting_Curves/meltCurve_C9JBL1_SPCS1.pdf", "Melting_Curves/meltCurve_C9JBL1_SPCS1.pdf")</f>
        <v>Melting_Curves/meltCurve_C9JBL1_SPCS1.pdf</v>
      </c>
    </row>
    <row r="317" spans="1:28" x14ac:dyDescent="0.25">
      <c r="A317" t="s">
        <v>321</v>
      </c>
      <c r="B317">
        <v>0.99542014353169495</v>
      </c>
      <c r="C317">
        <v>0.88461316307638505</v>
      </c>
      <c r="D317">
        <v>0.94699213200114796</v>
      </c>
      <c r="E317">
        <v>0.65778452362163298</v>
      </c>
      <c r="F317">
        <v>0.467206129151017</v>
      </c>
      <c r="G317">
        <v>0.36517658337432002</v>
      </c>
      <c r="H317">
        <v>0.21623071747744599</v>
      </c>
      <c r="I317">
        <v>0.112991390941601</v>
      </c>
      <c r="J317">
        <v>0.136460935068386</v>
      </c>
      <c r="K317">
        <v>0.16349931417719701</v>
      </c>
      <c r="L317">
        <v>629.76181922957403</v>
      </c>
      <c r="M317">
        <v>12.8528796649207</v>
      </c>
      <c r="N317">
        <v>49.8672047365081</v>
      </c>
      <c r="O317">
        <v>47.857069046508698</v>
      </c>
      <c r="P317">
        <v>-6.0413239250154502E-2</v>
      </c>
      <c r="Q317">
        <v>0.100383156024566</v>
      </c>
      <c r="R317">
        <v>0.98324610248699496</v>
      </c>
      <c r="S317" t="s">
        <v>6719</v>
      </c>
      <c r="T317" t="s">
        <v>12802</v>
      </c>
      <c r="U317" t="s">
        <v>12802</v>
      </c>
      <c r="V317" t="s">
        <v>12802</v>
      </c>
      <c r="W317" t="s">
        <v>13118</v>
      </c>
      <c r="X317">
        <v>1</v>
      </c>
      <c r="Y317" t="s">
        <v>19441</v>
      </c>
      <c r="Z317" t="s">
        <v>25635</v>
      </c>
      <c r="AA317">
        <v>0.48451207408395802</v>
      </c>
      <c r="AB317" t="str">
        <f>HYPERLINK("Melting_Curves/meltCurve_C9JBT1_C7orf41.pdf", "Melting_Curves/meltCurve_C9JBT1_C7orf41.pdf")</f>
        <v>Melting_Curves/meltCurve_C9JBT1_C7orf41.pdf</v>
      </c>
    </row>
    <row r="318" spans="1:28" x14ac:dyDescent="0.25">
      <c r="A318" t="s">
        <v>322</v>
      </c>
      <c r="B318">
        <v>0.99542014353169495</v>
      </c>
      <c r="C318">
        <v>1.01456771893296</v>
      </c>
      <c r="D318">
        <v>0.95063651726598497</v>
      </c>
      <c r="E318">
        <v>0.78701117725009695</v>
      </c>
      <c r="F318">
        <v>0.66165341438862901</v>
      </c>
      <c r="G318">
        <v>0.38101479288442103</v>
      </c>
      <c r="H318">
        <v>0.107870947297972</v>
      </c>
      <c r="I318">
        <v>4.3809453166678301E-2</v>
      </c>
      <c r="J318">
        <v>4.9942202571867697E-2</v>
      </c>
      <c r="K318">
        <v>3.9249579519483602E-2</v>
      </c>
      <c r="L318">
        <v>842.654584343691</v>
      </c>
      <c r="M318">
        <v>16.302494797127501</v>
      </c>
      <c r="N318">
        <v>51.688689062554197</v>
      </c>
      <c r="O318">
        <v>50.9297125422625</v>
      </c>
      <c r="P318">
        <v>-8.00303079858318E-2</v>
      </c>
      <c r="Q318">
        <v>0</v>
      </c>
      <c r="R318">
        <v>0.99180055655472399</v>
      </c>
      <c r="S318" t="s">
        <v>6720</v>
      </c>
      <c r="T318" t="s">
        <v>12802</v>
      </c>
      <c r="U318" t="s">
        <v>12802</v>
      </c>
      <c r="V318" t="s">
        <v>12802</v>
      </c>
      <c r="W318" t="s">
        <v>13119</v>
      </c>
      <c r="X318">
        <v>2</v>
      </c>
      <c r="Y318" t="s">
        <v>19442</v>
      </c>
      <c r="Z318" t="s">
        <v>25636</v>
      </c>
      <c r="AA318">
        <v>0.50714830519197551</v>
      </c>
      <c r="AB318" t="str">
        <f>HYPERLINK("Melting_Curves/meltCurve_C9JC99_TANGO2.pdf", "Melting_Curves/meltCurve_C9JC99_TANGO2.pdf")</f>
        <v>Melting_Curves/meltCurve_C9JC99_TANGO2.pdf</v>
      </c>
    </row>
    <row r="319" spans="1:28" x14ac:dyDescent="0.25">
      <c r="A319" t="s">
        <v>323</v>
      </c>
      <c r="B319">
        <v>0.99542014353169495</v>
      </c>
      <c r="C319">
        <v>1.09063529118875</v>
      </c>
      <c r="D319">
        <v>0.998529991150373</v>
      </c>
      <c r="E319">
        <v>1.0022214625208501</v>
      </c>
      <c r="F319">
        <v>0.92621539508736705</v>
      </c>
      <c r="G319">
        <v>0.71788713493989298</v>
      </c>
      <c r="H319">
        <v>0.46278171603958002</v>
      </c>
      <c r="I319">
        <v>0.30710695487665102</v>
      </c>
      <c r="J319">
        <v>0.32547461574258102</v>
      </c>
      <c r="K319">
        <v>0.33466809879683601</v>
      </c>
      <c r="L319">
        <v>1475.6989089628601</v>
      </c>
      <c r="M319">
        <v>27.070147779910599</v>
      </c>
      <c r="N319">
        <v>56.520241165049498</v>
      </c>
      <c r="O319">
        <v>54.218995197881704</v>
      </c>
      <c r="P319">
        <v>-8.6283822619204906E-2</v>
      </c>
      <c r="Q319">
        <v>0.30873279391090702</v>
      </c>
      <c r="R319">
        <v>0.98887066741230301</v>
      </c>
      <c r="S319" t="s">
        <v>6721</v>
      </c>
      <c r="T319" t="s">
        <v>12802</v>
      </c>
      <c r="U319" t="s">
        <v>12802</v>
      </c>
      <c r="V319" t="s">
        <v>12802</v>
      </c>
      <c r="W319" t="s">
        <v>13120</v>
      </c>
      <c r="X319">
        <v>4</v>
      </c>
      <c r="Y319" t="s">
        <v>19443</v>
      </c>
      <c r="Z319" t="s">
        <v>25637</v>
      </c>
      <c r="AA319">
        <v>0.71754459050887187</v>
      </c>
      <c r="AB319" t="str">
        <f>HYPERLINK("Melting_Curves/meltCurve_C9JCC6_DRAP1.pdf", "Melting_Curves/meltCurve_C9JCC6_DRAP1.pdf")</f>
        <v>Melting_Curves/meltCurve_C9JCC6_DRAP1.pdf</v>
      </c>
    </row>
    <row r="320" spans="1:28" x14ac:dyDescent="0.25">
      <c r="A320" t="s">
        <v>324</v>
      </c>
      <c r="B320">
        <v>0.99542014353169495</v>
      </c>
      <c r="C320">
        <v>0.88917172941573797</v>
      </c>
      <c r="D320">
        <v>0.54340478966949102</v>
      </c>
      <c r="E320">
        <v>0.25809386707614401</v>
      </c>
      <c r="F320">
        <v>0.158399736411104</v>
      </c>
      <c r="G320">
        <v>0.118232155152593</v>
      </c>
      <c r="H320">
        <v>6.9787504136315098E-2</v>
      </c>
      <c r="I320">
        <v>7.2114454792111302E-2</v>
      </c>
      <c r="J320">
        <v>7.69434029009093E-2</v>
      </c>
      <c r="K320">
        <v>4.5511287364781598E-2</v>
      </c>
      <c r="L320">
        <v>887.307717599385</v>
      </c>
      <c r="M320">
        <v>20.491390115120598</v>
      </c>
      <c r="N320">
        <v>43.653427148148999</v>
      </c>
      <c r="O320">
        <v>42.895426193117203</v>
      </c>
      <c r="P320">
        <v>-0.11033680770314901</v>
      </c>
      <c r="Q320">
        <v>7.6137970672794694E-2</v>
      </c>
      <c r="R320">
        <v>0.99590137142801605</v>
      </c>
      <c r="S320" t="s">
        <v>6722</v>
      </c>
      <c r="T320" t="s">
        <v>12802</v>
      </c>
      <c r="U320" t="s">
        <v>12802</v>
      </c>
      <c r="V320" t="s">
        <v>12802</v>
      </c>
      <c r="W320" t="s">
        <v>13121</v>
      </c>
      <c r="X320">
        <v>3</v>
      </c>
      <c r="Y320" t="s">
        <v>19444</v>
      </c>
      <c r="Z320" t="s">
        <v>25638</v>
      </c>
      <c r="AA320">
        <v>0.2822039185161222</v>
      </c>
      <c r="AB320" t="str">
        <f>HYPERLINK("Melting_Curves/meltCurve_C9JDG0_DIAPH3.pdf", "Melting_Curves/meltCurve_C9JDG0_DIAPH3.pdf")</f>
        <v>Melting_Curves/meltCurve_C9JDG0_DIAPH3.pdf</v>
      </c>
    </row>
    <row r="321" spans="1:28" x14ac:dyDescent="0.25">
      <c r="A321" t="s">
        <v>325</v>
      </c>
      <c r="B321">
        <v>0.99542014353169495</v>
      </c>
      <c r="C321">
        <v>0.950019970754865</v>
      </c>
      <c r="D321">
        <v>1.0157670978698601</v>
      </c>
      <c r="E321">
        <v>0.75549359273136296</v>
      </c>
      <c r="F321">
        <v>0.625526027288135</v>
      </c>
      <c r="G321">
        <v>0.34958154550843901</v>
      </c>
      <c r="H321">
        <v>0.223765160666796</v>
      </c>
      <c r="I321">
        <v>0.142174004924946</v>
      </c>
      <c r="J321">
        <v>0.13175909859570001</v>
      </c>
      <c r="K321">
        <v>0.14459737390296201</v>
      </c>
      <c r="L321">
        <v>794.06373070902396</v>
      </c>
      <c r="M321">
        <v>15.672030303957399</v>
      </c>
      <c r="N321">
        <v>51.4250251998454</v>
      </c>
      <c r="O321">
        <v>49.8641252688736</v>
      </c>
      <c r="P321">
        <v>-7.0481410026762101E-2</v>
      </c>
      <c r="Q321">
        <v>0.103065751587137</v>
      </c>
      <c r="R321">
        <v>0.99013264286133296</v>
      </c>
      <c r="S321" t="s">
        <v>6723</v>
      </c>
      <c r="T321" t="s">
        <v>12802</v>
      </c>
      <c r="U321" t="s">
        <v>12802</v>
      </c>
      <c r="V321" t="s">
        <v>12802</v>
      </c>
      <c r="W321" t="s">
        <v>13122</v>
      </c>
      <c r="X321">
        <v>4</v>
      </c>
      <c r="Y321" t="s">
        <v>19445</v>
      </c>
      <c r="Z321" t="s">
        <v>25639</v>
      </c>
      <c r="AA321">
        <v>0.5289240214016574</v>
      </c>
      <c r="AB321" t="str">
        <f>HYPERLINK("Melting_Curves/meltCurve_C9JE12_TMUB1.pdf", "Melting_Curves/meltCurve_C9JE12_TMUB1.pdf")</f>
        <v>Melting_Curves/meltCurve_C9JE12_TMUB1.pdf</v>
      </c>
    </row>
    <row r="322" spans="1:28" x14ac:dyDescent="0.25">
      <c r="A322" t="s">
        <v>326</v>
      </c>
      <c r="B322">
        <v>0.99542014353169495</v>
      </c>
      <c r="C322">
        <v>0.79240318684183297</v>
      </c>
      <c r="D322">
        <v>0.72736768291756804</v>
      </c>
      <c r="E322">
        <v>0.45559465133515897</v>
      </c>
      <c r="F322">
        <v>0.31537964990253697</v>
      </c>
      <c r="G322">
        <v>0.15324425782974899</v>
      </c>
      <c r="H322">
        <v>9.3584943347572294E-2</v>
      </c>
      <c r="I322">
        <v>7.4138508043378598E-2</v>
      </c>
      <c r="J322">
        <v>8.8925443705644994E-2</v>
      </c>
      <c r="K322">
        <v>0.180728593876715</v>
      </c>
      <c r="L322">
        <v>592.60895589003098</v>
      </c>
      <c r="M322">
        <v>13.083851203665301</v>
      </c>
      <c r="N322">
        <v>45.912169744097199</v>
      </c>
      <c r="O322">
        <v>44.274282047271399</v>
      </c>
      <c r="P322">
        <v>-6.7917381665357199E-2</v>
      </c>
      <c r="Q322">
        <v>8.0859279255938193E-2</v>
      </c>
      <c r="R322">
        <v>0.97941953234931101</v>
      </c>
      <c r="S322" t="s">
        <v>6724</v>
      </c>
      <c r="T322" t="s">
        <v>12802</v>
      </c>
      <c r="U322" t="s">
        <v>12802</v>
      </c>
      <c r="V322" t="s">
        <v>12802</v>
      </c>
      <c r="W322" t="s">
        <v>13123</v>
      </c>
      <c r="X322">
        <v>10</v>
      </c>
      <c r="Y322" t="s">
        <v>19446</v>
      </c>
      <c r="Z322" t="s">
        <v>25640</v>
      </c>
      <c r="AA322">
        <v>0.36305778572630132</v>
      </c>
      <c r="AB322" t="str">
        <f>HYPERLINK("Melting_Curves/meltCurve_C9JE98_NCOR2.pdf", "Melting_Curves/meltCurve_C9JE98_NCOR2.pdf")</f>
        <v>Melting_Curves/meltCurve_C9JE98_NCOR2.pdf</v>
      </c>
    </row>
    <row r="323" spans="1:28" x14ac:dyDescent="0.25">
      <c r="A323" t="s">
        <v>327</v>
      </c>
      <c r="B323">
        <v>0.99542014353169495</v>
      </c>
      <c r="C323">
        <v>0.93363583843832898</v>
      </c>
      <c r="D323">
        <v>0.88965865090734297</v>
      </c>
      <c r="E323">
        <v>0.55948253031467399</v>
      </c>
      <c r="F323">
        <v>0.32822894294143001</v>
      </c>
      <c r="G323">
        <v>0.16028680808437001</v>
      </c>
      <c r="H323">
        <v>9.0294731254412605E-2</v>
      </c>
      <c r="I323">
        <v>8.2617686187173606E-2</v>
      </c>
      <c r="J323">
        <v>6.8154262829762405E-2</v>
      </c>
      <c r="K323">
        <v>6.4930713334302198E-2</v>
      </c>
      <c r="L323">
        <v>816.63449996607699</v>
      </c>
      <c r="M323">
        <v>17.281980640843901</v>
      </c>
      <c r="N323">
        <v>47.597883151156402</v>
      </c>
      <c r="O323">
        <v>46.634456387467701</v>
      </c>
      <c r="P323">
        <v>-8.72067245729541E-2</v>
      </c>
      <c r="Q323">
        <v>5.8765047950761297E-2</v>
      </c>
      <c r="R323">
        <v>0.99767782702423702</v>
      </c>
      <c r="S323" t="s">
        <v>6725</v>
      </c>
      <c r="T323" t="s">
        <v>12802</v>
      </c>
      <c r="U323" t="s">
        <v>12802</v>
      </c>
      <c r="V323" t="s">
        <v>12802</v>
      </c>
      <c r="W323" t="s">
        <v>13124</v>
      </c>
      <c r="X323">
        <v>6</v>
      </c>
      <c r="Y323" t="s">
        <v>19447</v>
      </c>
      <c r="Z323" t="s">
        <v>25641</v>
      </c>
      <c r="AA323">
        <v>0.39675496688680778</v>
      </c>
      <c r="AB323" t="str">
        <f>HYPERLINK("Melting_Curves/meltCurve_C9JEL3_EIF4E2.pdf", "Melting_Curves/meltCurve_C9JEL3_EIF4E2.pdf")</f>
        <v>Melting_Curves/meltCurve_C9JEL3_EIF4E2.pdf</v>
      </c>
    </row>
    <row r="324" spans="1:28" x14ac:dyDescent="0.25">
      <c r="A324" t="s">
        <v>328</v>
      </c>
      <c r="B324">
        <v>0.99542014353169495</v>
      </c>
      <c r="C324">
        <v>1.2312203471018199</v>
      </c>
      <c r="D324">
        <v>0.96679391007507798</v>
      </c>
      <c r="E324">
        <v>1.0286715592265501</v>
      </c>
      <c r="F324">
        <v>0.83629297931689905</v>
      </c>
      <c r="G324">
        <v>0.496930603719688</v>
      </c>
      <c r="H324">
        <v>0.36123390319024901</v>
      </c>
      <c r="I324">
        <v>0.34434197461872201</v>
      </c>
      <c r="J324">
        <v>0.39781640166918097</v>
      </c>
      <c r="K324">
        <v>0.26165042942814998</v>
      </c>
      <c r="L324">
        <v>1752.0659837900801</v>
      </c>
      <c r="M324">
        <v>33.711610293252697</v>
      </c>
      <c r="N324">
        <v>53.723135982271899</v>
      </c>
      <c r="O324">
        <v>51.790324511799</v>
      </c>
      <c r="P324">
        <v>-0.10848462313395101</v>
      </c>
      <c r="Q324">
        <v>0.33335361018681098</v>
      </c>
      <c r="R324">
        <v>0.94203391546986104</v>
      </c>
      <c r="S324" t="s">
        <v>6726</v>
      </c>
      <c r="T324" t="s">
        <v>12802</v>
      </c>
      <c r="U324" t="s">
        <v>12802</v>
      </c>
      <c r="V324" t="s">
        <v>12802</v>
      </c>
      <c r="W324" t="s">
        <v>13125</v>
      </c>
      <c r="X324">
        <v>2</v>
      </c>
      <c r="Y324" t="s">
        <v>19448</v>
      </c>
      <c r="Z324" t="s">
        <v>25642</v>
      </c>
      <c r="AA324">
        <v>0.66941155253608231</v>
      </c>
      <c r="AB324" t="str">
        <f>HYPERLINK("Melting_Curves/meltCurve_C9JFB2_YIPF1.pdf", "Melting_Curves/meltCurve_C9JFB2_YIPF1.pdf")</f>
        <v>Melting_Curves/meltCurve_C9JFB2_YIPF1.pdf</v>
      </c>
    </row>
    <row r="325" spans="1:28" x14ac:dyDescent="0.25">
      <c r="A325" t="s">
        <v>329</v>
      </c>
      <c r="B325">
        <v>0.99542014353169495</v>
      </c>
      <c r="C325">
        <v>0.92178492010639201</v>
      </c>
      <c r="D325">
        <v>1.02067069893145</v>
      </c>
      <c r="E325">
        <v>0.87513726670646497</v>
      </c>
      <c r="F325">
        <v>0.66990442121323102</v>
      </c>
      <c r="G325">
        <v>0.29946044000085797</v>
      </c>
      <c r="H325">
        <v>9.6685563790150295E-2</v>
      </c>
      <c r="I325">
        <v>5.8600351313357897E-2</v>
      </c>
      <c r="J325">
        <v>6.3885644325508306E-2</v>
      </c>
      <c r="K325">
        <v>6.6559819251862495E-2</v>
      </c>
      <c r="L325">
        <v>1176.7112671524401</v>
      </c>
      <c r="M325">
        <v>22.892365909795199</v>
      </c>
      <c r="N325">
        <v>51.606731210967801</v>
      </c>
      <c r="O325">
        <v>51.014490866633899</v>
      </c>
      <c r="P325">
        <v>-0.107315822327422</v>
      </c>
      <c r="Q325">
        <v>4.3426510042983001E-2</v>
      </c>
      <c r="R325">
        <v>0.99365235576253397</v>
      </c>
      <c r="S325" t="s">
        <v>6727</v>
      </c>
      <c r="T325" t="s">
        <v>12802</v>
      </c>
      <c r="U325" t="s">
        <v>12802</v>
      </c>
      <c r="V325" t="s">
        <v>12802</v>
      </c>
      <c r="W325" t="s">
        <v>13126</v>
      </c>
      <c r="X325">
        <v>22</v>
      </c>
      <c r="Y325" t="s">
        <v>19449</v>
      </c>
      <c r="Z325" t="s">
        <v>25643</v>
      </c>
      <c r="AA325">
        <v>0.51255550802868477</v>
      </c>
      <c r="AB325" t="str">
        <f>HYPERLINK("Melting_Curves/meltCurve_C9JFE4_GPS1.pdf", "Melting_Curves/meltCurve_C9JFE4_GPS1.pdf")</f>
        <v>Melting_Curves/meltCurve_C9JFE4_GPS1.pdf</v>
      </c>
    </row>
    <row r="326" spans="1:28" x14ac:dyDescent="0.25">
      <c r="A326" t="s">
        <v>330</v>
      </c>
      <c r="B326">
        <v>0.99542014353169495</v>
      </c>
      <c r="C326">
        <v>0.95179478962873099</v>
      </c>
      <c r="D326">
        <v>0.84181863847418403</v>
      </c>
      <c r="E326">
        <v>0.83923940317294299</v>
      </c>
      <c r="F326">
        <v>0.63078854916780003</v>
      </c>
      <c r="G326">
        <v>0.44332277852471902</v>
      </c>
      <c r="H326">
        <v>0.45321332893864302</v>
      </c>
      <c r="I326">
        <v>0.232311455525992</v>
      </c>
      <c r="J326">
        <v>0.49595909121946402</v>
      </c>
      <c r="K326">
        <v>0.14930467256912</v>
      </c>
      <c r="L326">
        <v>501.34951357797598</v>
      </c>
      <c r="M326">
        <v>9.8010309631923906</v>
      </c>
      <c r="N326">
        <v>53.868759561510302</v>
      </c>
      <c r="O326">
        <v>49.1596395604601</v>
      </c>
      <c r="P326">
        <v>-4.0146644028079201E-2</v>
      </c>
      <c r="Q326">
        <v>0.19495873959158</v>
      </c>
      <c r="R326">
        <v>0.90155206093618501</v>
      </c>
      <c r="S326" t="s">
        <v>6728</v>
      </c>
      <c r="T326" t="s">
        <v>12802</v>
      </c>
      <c r="U326" t="s">
        <v>12802</v>
      </c>
      <c r="V326" t="s">
        <v>12802</v>
      </c>
      <c r="W326" t="s">
        <v>13127</v>
      </c>
      <c r="X326">
        <v>12</v>
      </c>
      <c r="Y326" t="s">
        <v>19450</v>
      </c>
      <c r="Z326" t="s">
        <v>25644</v>
      </c>
      <c r="AA326">
        <v>0.59916781812656372</v>
      </c>
      <c r="AB326" t="str">
        <f>HYPERLINK("Melting_Curves/meltCurve_C9JFR7_CYCS.pdf", "Melting_Curves/meltCurve_C9JFR7_CYCS.pdf")</f>
        <v>Melting_Curves/meltCurve_C9JFR7_CYCS.pdf</v>
      </c>
    </row>
    <row r="327" spans="1:28" x14ac:dyDescent="0.25">
      <c r="A327" t="s">
        <v>331</v>
      </c>
      <c r="B327">
        <v>0.99542014353169495</v>
      </c>
      <c r="C327">
        <v>0.94375449631124297</v>
      </c>
      <c r="D327">
        <v>0.98011614766064403</v>
      </c>
      <c r="E327">
        <v>0.723080759904973</v>
      </c>
      <c r="F327">
        <v>0.61992050321151004</v>
      </c>
      <c r="G327">
        <v>0.383397858214165</v>
      </c>
      <c r="H327">
        <v>0.24973939291998101</v>
      </c>
      <c r="I327">
        <v>0.19636177067646499</v>
      </c>
      <c r="J327">
        <v>0.20641481449548699</v>
      </c>
      <c r="K327">
        <v>0.27641298633948502</v>
      </c>
      <c r="L327">
        <v>771.03085700935196</v>
      </c>
      <c r="M327">
        <v>15.530944700676899</v>
      </c>
      <c r="N327">
        <v>51.288278347627902</v>
      </c>
      <c r="O327">
        <v>48.8436065423749</v>
      </c>
      <c r="P327">
        <v>-6.3916067423524001E-2</v>
      </c>
      <c r="Q327">
        <v>0.196026766214458</v>
      </c>
      <c r="R327">
        <v>0.98182918841184297</v>
      </c>
      <c r="S327" t="s">
        <v>6729</v>
      </c>
      <c r="T327" t="s">
        <v>12802</v>
      </c>
      <c r="U327" t="s">
        <v>12802</v>
      </c>
      <c r="V327" t="s">
        <v>12802</v>
      </c>
      <c r="W327" t="s">
        <v>13128</v>
      </c>
      <c r="X327">
        <v>2</v>
      </c>
      <c r="Y327" t="s">
        <v>19451</v>
      </c>
      <c r="Z327" t="s">
        <v>25645</v>
      </c>
      <c r="AA327">
        <v>0.55101829578312622</v>
      </c>
      <c r="AB327" t="str">
        <f>HYPERLINK("Melting_Curves/meltCurve_C9JG41_ITM2C.pdf", "Melting_Curves/meltCurve_C9JG41_ITM2C.pdf")</f>
        <v>Melting_Curves/meltCurve_C9JG41_ITM2C.pdf</v>
      </c>
    </row>
    <row r="328" spans="1:28" x14ac:dyDescent="0.25">
      <c r="A328" t="s">
        <v>332</v>
      </c>
      <c r="B328">
        <v>0.99542014353169495</v>
      </c>
      <c r="C328">
        <v>0.86046779189112599</v>
      </c>
      <c r="D328">
        <v>0.89186779380641001</v>
      </c>
      <c r="E328">
        <v>0.66109248034860302</v>
      </c>
      <c r="F328">
        <v>0.46526602434158498</v>
      </c>
      <c r="G328">
        <v>0.19813870760371</v>
      </c>
      <c r="H328">
        <v>9.0948213159667501E-2</v>
      </c>
      <c r="I328">
        <v>6.9675052571606305E-2</v>
      </c>
      <c r="J328">
        <v>7.7423157361556305E-2</v>
      </c>
      <c r="K328">
        <v>8.3619942116314405E-2</v>
      </c>
      <c r="L328">
        <v>687.04975534344896</v>
      </c>
      <c r="M328">
        <v>14.096664744625899</v>
      </c>
      <c r="N328">
        <v>48.944023522147504</v>
      </c>
      <c r="O328">
        <v>47.789090867347099</v>
      </c>
      <c r="P328">
        <v>-7.1633743458323601E-2</v>
      </c>
      <c r="Q328">
        <v>2.8743257226229401E-2</v>
      </c>
      <c r="R328">
        <v>0.98697508709187198</v>
      </c>
      <c r="S328" t="s">
        <v>6730</v>
      </c>
      <c r="T328" t="s">
        <v>12802</v>
      </c>
      <c r="U328" t="s">
        <v>12802</v>
      </c>
      <c r="V328" t="s">
        <v>12802</v>
      </c>
      <c r="W328" t="s">
        <v>13129</v>
      </c>
      <c r="X328">
        <v>4</v>
      </c>
      <c r="Y328" t="s">
        <v>19452</v>
      </c>
      <c r="Z328" t="s">
        <v>25646</v>
      </c>
      <c r="AA328">
        <v>0.43196046206941607</v>
      </c>
      <c r="AB328" t="str">
        <f>HYPERLINK("Melting_Curves/meltCurve_C9JG63_SPRED2.pdf", "Melting_Curves/meltCurve_C9JG63_SPRED2.pdf")</f>
        <v>Melting_Curves/meltCurve_C9JG63_SPRED2.pdf</v>
      </c>
    </row>
    <row r="329" spans="1:28" x14ac:dyDescent="0.25">
      <c r="A329" t="s">
        <v>333</v>
      </c>
      <c r="B329">
        <v>0.99542014353169495</v>
      </c>
      <c r="C329">
        <v>1.0419653111240299</v>
      </c>
      <c r="D329">
        <v>0.92631749709465805</v>
      </c>
      <c r="E329">
        <v>0.83517049318355996</v>
      </c>
      <c r="F329">
        <v>0.62506916812798496</v>
      </c>
      <c r="G329">
        <v>0.502522529205091</v>
      </c>
      <c r="H329">
        <v>0.29143835476621799</v>
      </c>
      <c r="I329">
        <v>0.136153675377892</v>
      </c>
      <c r="J329">
        <v>8.5138379203621703E-2</v>
      </c>
      <c r="K329">
        <v>6.5807254546410399E-2</v>
      </c>
      <c r="L329">
        <v>652.21416689123805</v>
      </c>
      <c r="M329">
        <v>12.317718657821001</v>
      </c>
      <c r="N329">
        <v>52.949266784627298</v>
      </c>
      <c r="O329">
        <v>51.611739458439303</v>
      </c>
      <c r="P329">
        <v>-5.96782926186432E-2</v>
      </c>
      <c r="Q329">
        <v>0</v>
      </c>
      <c r="R329">
        <v>0.99311622399019905</v>
      </c>
      <c r="S329" t="s">
        <v>6731</v>
      </c>
      <c r="T329" t="s">
        <v>12802</v>
      </c>
      <c r="U329" t="s">
        <v>12802</v>
      </c>
      <c r="V329" t="s">
        <v>12802</v>
      </c>
      <c r="W329" t="s">
        <v>13130</v>
      </c>
      <c r="X329">
        <v>11</v>
      </c>
      <c r="Y329" t="s">
        <v>19453</v>
      </c>
      <c r="Z329" t="s">
        <v>25647</v>
      </c>
      <c r="AA329">
        <v>0.55255660192583345</v>
      </c>
      <c r="AB329" t="str">
        <f>HYPERLINK("Melting_Curves/meltCurve_C9JG97_AAMP.pdf", "Melting_Curves/meltCurve_C9JG97_AAMP.pdf")</f>
        <v>Melting_Curves/meltCurve_C9JG97_AAMP.pdf</v>
      </c>
    </row>
    <row r="330" spans="1:28" x14ac:dyDescent="0.25">
      <c r="A330" t="s">
        <v>334</v>
      </c>
      <c r="B330">
        <v>0.99542014353169495</v>
      </c>
      <c r="C330">
        <v>1.05483546913409</v>
      </c>
      <c r="D330">
        <v>1.13192345426004</v>
      </c>
      <c r="E330">
        <v>0.70935099602055696</v>
      </c>
      <c r="F330">
        <v>0.55538198797550997</v>
      </c>
      <c r="G330">
        <v>0.13999129468699201</v>
      </c>
      <c r="H330">
        <v>0.14606795034294601</v>
      </c>
      <c r="I330">
        <v>0.112007506298741</v>
      </c>
      <c r="J330">
        <v>0.194220804322221</v>
      </c>
      <c r="K330">
        <v>0.11812121417666401</v>
      </c>
      <c r="L330">
        <v>1182.0417300859799</v>
      </c>
      <c r="M330">
        <v>24.008127717561401</v>
      </c>
      <c r="N330">
        <v>49.823440870394201</v>
      </c>
      <c r="O330">
        <v>48.897287860422402</v>
      </c>
      <c r="P330">
        <v>-0.107598092167695</v>
      </c>
      <c r="Q330">
        <v>0.123434911292512</v>
      </c>
      <c r="R330">
        <v>0.96248905921959005</v>
      </c>
      <c r="S330" t="s">
        <v>6732</v>
      </c>
      <c r="T330" t="s">
        <v>12802</v>
      </c>
      <c r="U330" t="s">
        <v>12802</v>
      </c>
      <c r="V330" t="s">
        <v>12802</v>
      </c>
      <c r="W330" t="s">
        <v>13131</v>
      </c>
      <c r="X330">
        <v>1</v>
      </c>
      <c r="Y330" t="s">
        <v>19454</v>
      </c>
      <c r="Z330" t="s">
        <v>25648</v>
      </c>
      <c r="AA330">
        <v>0.48914332631148189</v>
      </c>
      <c r="AB330" t="str">
        <f>HYPERLINK("Melting_Curves/meltCurve_C9JGD4_GALNT10.pdf", "Melting_Curves/meltCurve_C9JGD4_GALNT10.pdf")</f>
        <v>Melting_Curves/meltCurve_C9JGD4_GALNT10.pdf</v>
      </c>
    </row>
    <row r="331" spans="1:28" x14ac:dyDescent="0.25">
      <c r="A331" t="s">
        <v>335</v>
      </c>
      <c r="B331">
        <v>0.99542014353169495</v>
      </c>
      <c r="C331">
        <v>1.0675920474485401</v>
      </c>
      <c r="D331">
        <v>0.99570912469832795</v>
      </c>
      <c r="E331">
        <v>0.75859438104283305</v>
      </c>
      <c r="F331">
        <v>0.51329596266149802</v>
      </c>
      <c r="G331">
        <v>0.141397172648765</v>
      </c>
      <c r="H331">
        <v>8.8259770241807006E-2</v>
      </c>
      <c r="I331">
        <v>4.4170603878961601E-2</v>
      </c>
      <c r="J331">
        <v>3.0585931612870699E-2</v>
      </c>
      <c r="K331">
        <v>4.9176525562461097E-2</v>
      </c>
      <c r="L331">
        <v>1060.4931779732301</v>
      </c>
      <c r="M331">
        <v>21.3388038355695</v>
      </c>
      <c r="N331">
        <v>49.8303567846609</v>
      </c>
      <c r="O331">
        <v>49.267581942607201</v>
      </c>
      <c r="P331">
        <v>-0.105296760035019</v>
      </c>
      <c r="Q331">
        <v>2.7576892320721299E-2</v>
      </c>
      <c r="R331">
        <v>0.99222081923493699</v>
      </c>
      <c r="S331" t="s">
        <v>6733</v>
      </c>
      <c r="T331" t="s">
        <v>12802</v>
      </c>
      <c r="U331" t="s">
        <v>12802</v>
      </c>
      <c r="V331" t="s">
        <v>12802</v>
      </c>
      <c r="W331" t="s">
        <v>13132</v>
      </c>
      <c r="X331">
        <v>1</v>
      </c>
      <c r="Y331" t="s">
        <v>19455</v>
      </c>
      <c r="Z331" t="s">
        <v>25649</v>
      </c>
      <c r="AA331">
        <v>0.45057082952594368</v>
      </c>
      <c r="AB331" t="str">
        <f>HYPERLINK("Melting_Curves/meltCurve_C9JIE4_SYNM.pdf", "Melting_Curves/meltCurve_C9JIE4_SYNM.pdf")</f>
        <v>Melting_Curves/meltCurve_C9JIE4_SYNM.pdf</v>
      </c>
    </row>
    <row r="332" spans="1:28" x14ac:dyDescent="0.25">
      <c r="A332" t="s">
        <v>336</v>
      </c>
      <c r="B332">
        <v>0.99542014353169495</v>
      </c>
      <c r="C332">
        <v>0.859730558113041</v>
      </c>
      <c r="D332">
        <v>0.89476855055875704</v>
      </c>
      <c r="E332">
        <v>0.70166293728988405</v>
      </c>
      <c r="F332">
        <v>0.61262214185523101</v>
      </c>
      <c r="G332">
        <v>0.40360855293915099</v>
      </c>
      <c r="H332">
        <v>0.38630139315030998</v>
      </c>
      <c r="I332">
        <v>0.40387911465071702</v>
      </c>
      <c r="J332">
        <v>0.25754114641968601</v>
      </c>
      <c r="K332">
        <v>8.7399798069348195E-2</v>
      </c>
      <c r="L332">
        <v>372.38534263837403</v>
      </c>
      <c r="M332">
        <v>7.0089253916409699</v>
      </c>
      <c r="N332">
        <v>53.130162156791201</v>
      </c>
      <c r="O332">
        <v>49.312443345659403</v>
      </c>
      <c r="P332">
        <v>-3.55988305419273E-2</v>
      </c>
      <c r="Q332">
        <v>0</v>
      </c>
      <c r="R332">
        <v>0.95239987768905399</v>
      </c>
      <c r="S332" t="s">
        <v>6734</v>
      </c>
      <c r="T332" t="s">
        <v>12802</v>
      </c>
      <c r="U332" t="s">
        <v>12802</v>
      </c>
      <c r="V332" t="s">
        <v>12802</v>
      </c>
      <c r="W332" t="s">
        <v>13133</v>
      </c>
      <c r="X332">
        <v>23</v>
      </c>
      <c r="Y332" t="s">
        <v>19456</v>
      </c>
      <c r="Z332" t="s">
        <v>25650</v>
      </c>
      <c r="AA332">
        <v>0.55690157805599305</v>
      </c>
      <c r="AB332" t="str">
        <f>HYPERLINK("Melting_Curves/meltCurve_C9JIF9_APEH.pdf", "Melting_Curves/meltCurve_C9JIF9_APEH.pdf")</f>
        <v>Melting_Curves/meltCurve_C9JIF9_APEH.pdf</v>
      </c>
    </row>
    <row r="333" spans="1:28" x14ac:dyDescent="0.25">
      <c r="A333" t="s">
        <v>337</v>
      </c>
      <c r="B333">
        <v>0.99542014353169495</v>
      </c>
      <c r="C333">
        <v>0.98207168420479796</v>
      </c>
      <c r="D333">
        <v>0.96618937347512202</v>
      </c>
      <c r="E333">
        <v>0.947318638769588</v>
      </c>
      <c r="F333">
        <v>0.72579498151875899</v>
      </c>
      <c r="G333">
        <v>0.563715564130986</v>
      </c>
      <c r="H333">
        <v>0.42600083783453901</v>
      </c>
      <c r="I333">
        <v>0.46890005716803901</v>
      </c>
      <c r="J333">
        <v>0.84501187014828105</v>
      </c>
      <c r="K333">
        <v>1.2226124070004101</v>
      </c>
      <c r="L333">
        <v>2935.7699885563502</v>
      </c>
      <c r="M333">
        <v>61.469062495273697</v>
      </c>
      <c r="O333">
        <v>47.709653395442899</v>
      </c>
      <c r="P333">
        <v>-9.46214411906207E-2</v>
      </c>
      <c r="Q333">
        <v>0.70623568241817403</v>
      </c>
      <c r="R333">
        <v>0.27442636675804599</v>
      </c>
      <c r="S333" t="s">
        <v>6735</v>
      </c>
      <c r="T333" t="s">
        <v>12802</v>
      </c>
      <c r="U333" t="s">
        <v>12802</v>
      </c>
      <c r="V333" t="s">
        <v>12802</v>
      </c>
      <c r="W333" t="s">
        <v>13134</v>
      </c>
      <c r="X333">
        <v>19</v>
      </c>
      <c r="Y333" t="s">
        <v>19457</v>
      </c>
      <c r="Z333" t="s">
        <v>25651</v>
      </c>
      <c r="AA333">
        <v>0.81200905796408696</v>
      </c>
      <c r="AB333" t="str">
        <f>HYPERLINK("Melting_Curves/meltCurve_C9JIZ6_PSAP.pdf", "Melting_Curves/meltCurve_C9JIZ6_PSAP.pdf")</f>
        <v>Melting_Curves/meltCurve_C9JIZ6_PSAP.pdf</v>
      </c>
    </row>
    <row r="334" spans="1:28" x14ac:dyDescent="0.25">
      <c r="A334" t="s">
        <v>338</v>
      </c>
      <c r="B334">
        <v>0.99542014353169495</v>
      </c>
      <c r="C334">
        <v>0.98919762167341896</v>
      </c>
      <c r="D334">
        <v>0.88771478252006997</v>
      </c>
      <c r="E334">
        <v>0.68808322003830402</v>
      </c>
      <c r="F334">
        <v>0.43232086060607</v>
      </c>
      <c r="G334">
        <v>0.24031932020135499</v>
      </c>
      <c r="H334">
        <v>0.17623966604802499</v>
      </c>
      <c r="I334">
        <v>0.116015434203257</v>
      </c>
      <c r="J334">
        <v>0.130526889732761</v>
      </c>
      <c r="K334">
        <v>9.8818965808687306E-2</v>
      </c>
      <c r="L334">
        <v>778.57391206659099</v>
      </c>
      <c r="M334">
        <v>16.063421703337902</v>
      </c>
      <c r="N334">
        <v>49.127307984552502</v>
      </c>
      <c r="O334">
        <v>47.736242896139501</v>
      </c>
      <c r="P334">
        <v>-7.5983167066411395E-2</v>
      </c>
      <c r="Q334">
        <v>9.6862198547957898E-2</v>
      </c>
      <c r="R334">
        <v>0.99914190334988895</v>
      </c>
      <c r="S334" t="s">
        <v>6736</v>
      </c>
      <c r="T334" t="s">
        <v>12802</v>
      </c>
      <c r="U334" t="s">
        <v>12802</v>
      </c>
      <c r="V334" t="s">
        <v>12802</v>
      </c>
      <c r="W334" t="s">
        <v>13135</v>
      </c>
      <c r="X334">
        <v>4</v>
      </c>
      <c r="Y334" t="s">
        <v>19458</v>
      </c>
      <c r="Z334" t="s">
        <v>25652</v>
      </c>
      <c r="AA334">
        <v>0.4596873715654855</v>
      </c>
      <c r="AB334" t="str">
        <f>HYPERLINK("Melting_Curves/meltCurve_C9JJN9_VPS8.pdf", "Melting_Curves/meltCurve_C9JJN9_VPS8.pdf")</f>
        <v>Melting_Curves/meltCurve_C9JJN9_VPS8.pdf</v>
      </c>
    </row>
    <row r="335" spans="1:28" x14ac:dyDescent="0.25">
      <c r="A335" t="s">
        <v>339</v>
      </c>
      <c r="B335">
        <v>0.99542014353169495</v>
      </c>
      <c r="C335">
        <v>0.98459689242747395</v>
      </c>
      <c r="D335">
        <v>1.0264863609986301</v>
      </c>
      <c r="E335">
        <v>0.79268762432383699</v>
      </c>
      <c r="F335">
        <v>0.725034524064611</v>
      </c>
      <c r="G335">
        <v>0.40212682333021899</v>
      </c>
      <c r="H335">
        <v>0.28322926656993802</v>
      </c>
      <c r="I335">
        <v>0.20823887506945099</v>
      </c>
      <c r="J335">
        <v>0.28988382434841697</v>
      </c>
      <c r="K335">
        <v>0.32730488738114899</v>
      </c>
      <c r="L335">
        <v>1019.61764024635</v>
      </c>
      <c r="M335">
        <v>20.178670512947299</v>
      </c>
      <c r="N335">
        <v>52.375758085639397</v>
      </c>
      <c r="O335">
        <v>50.041066450078901</v>
      </c>
      <c r="P335">
        <v>-7.5156600834924897E-2</v>
      </c>
      <c r="Q335">
        <v>0.254500287274815</v>
      </c>
      <c r="R335">
        <v>0.972304504815517</v>
      </c>
      <c r="S335" t="s">
        <v>6737</v>
      </c>
      <c r="T335" t="s">
        <v>12802</v>
      </c>
      <c r="U335" t="s">
        <v>12802</v>
      </c>
      <c r="V335" t="s">
        <v>12802</v>
      </c>
      <c r="W335" t="s">
        <v>13136</v>
      </c>
      <c r="X335">
        <v>1</v>
      </c>
      <c r="Y335" t="s">
        <v>19459</v>
      </c>
      <c r="Z335" t="s">
        <v>25653</v>
      </c>
      <c r="AA335">
        <v>0.60035500886085436</v>
      </c>
      <c r="AB335" t="str">
        <f>HYPERLINK("Melting_Curves/meltCurve_C9JJV6_MYADM.pdf", "Melting_Curves/meltCurve_C9JJV6_MYADM.pdf")</f>
        <v>Melting_Curves/meltCurve_C9JJV6_MYADM.pdf</v>
      </c>
    </row>
    <row r="336" spans="1:28" x14ac:dyDescent="0.25">
      <c r="A336" t="s">
        <v>340</v>
      </c>
      <c r="B336">
        <v>0.99542014353169495</v>
      </c>
      <c r="C336">
        <v>0.96860593966005404</v>
      </c>
      <c r="D336">
        <v>1.08374099090443</v>
      </c>
      <c r="E336">
        <v>0.81546011291082299</v>
      </c>
      <c r="F336">
        <v>0.538727068743723</v>
      </c>
      <c r="G336">
        <v>0.24879968674317399</v>
      </c>
      <c r="H336">
        <v>0.19690992715868899</v>
      </c>
      <c r="I336">
        <v>0.140474056629004</v>
      </c>
      <c r="J336">
        <v>0.14771776907037801</v>
      </c>
      <c r="K336">
        <v>0.15757937902696301</v>
      </c>
      <c r="L336">
        <v>1197.3629588976501</v>
      </c>
      <c r="M336">
        <v>24.104590971911101</v>
      </c>
      <c r="N336">
        <v>50.402823422134901</v>
      </c>
      <c r="O336">
        <v>49.335573007892698</v>
      </c>
      <c r="P336">
        <v>-0.104167277348048</v>
      </c>
      <c r="Q336">
        <v>0.147204745218429</v>
      </c>
      <c r="R336">
        <v>0.98987991791041896</v>
      </c>
      <c r="S336" t="s">
        <v>6738</v>
      </c>
      <c r="T336" t="s">
        <v>12802</v>
      </c>
      <c r="U336" t="s">
        <v>12802</v>
      </c>
      <c r="V336" t="s">
        <v>12802</v>
      </c>
      <c r="W336" t="s">
        <v>13137</v>
      </c>
      <c r="X336">
        <v>1</v>
      </c>
      <c r="Y336" t="s">
        <v>19460</v>
      </c>
      <c r="Z336" t="s">
        <v>25654</v>
      </c>
      <c r="AA336">
        <v>0.51543944415882426</v>
      </c>
      <c r="AB336" t="str">
        <f>HYPERLINK("Melting_Curves/meltCurve_C9JK45_SLC35E1.pdf", "Melting_Curves/meltCurve_C9JK45_SLC35E1.pdf")</f>
        <v>Melting_Curves/meltCurve_C9JK45_SLC35E1.pdf</v>
      </c>
    </row>
    <row r="337" spans="1:28" x14ac:dyDescent="0.25">
      <c r="A337" t="s">
        <v>341</v>
      </c>
      <c r="B337">
        <v>0.99542014353169495</v>
      </c>
      <c r="C337">
        <v>0.94132790937850297</v>
      </c>
      <c r="D337">
        <v>0.77678899062215401</v>
      </c>
      <c r="E337">
        <v>0.60200856887349996</v>
      </c>
      <c r="F337">
        <v>0.44974249593496501</v>
      </c>
      <c r="G337">
        <v>0.33723227198762401</v>
      </c>
      <c r="H337">
        <v>0.23269371670574601</v>
      </c>
      <c r="I337">
        <v>0.14845363424774899</v>
      </c>
      <c r="J337">
        <v>0.165405066358328</v>
      </c>
      <c r="K337">
        <v>0.199050443239111</v>
      </c>
      <c r="L337">
        <v>554.79115966760105</v>
      </c>
      <c r="M337">
        <v>11.6829627818675</v>
      </c>
      <c r="N337">
        <v>48.805205342412201</v>
      </c>
      <c r="O337">
        <v>46.159907434207</v>
      </c>
      <c r="P337">
        <v>-5.4728686176143203E-2</v>
      </c>
      <c r="Q337">
        <v>0.13528923982100299</v>
      </c>
      <c r="R337">
        <v>0.99289578523380195</v>
      </c>
      <c r="S337" t="s">
        <v>6739</v>
      </c>
      <c r="T337" t="s">
        <v>12802</v>
      </c>
      <c r="U337" t="s">
        <v>12802</v>
      </c>
      <c r="V337" t="s">
        <v>12802</v>
      </c>
      <c r="W337" t="s">
        <v>13138</v>
      </c>
      <c r="X337">
        <v>1</v>
      </c>
      <c r="Y337" t="s">
        <v>19461</v>
      </c>
      <c r="Z337" t="s">
        <v>25655</v>
      </c>
      <c r="AA337">
        <v>0.46647669107961831</v>
      </c>
      <c r="AB337" t="str">
        <f>HYPERLINK("Melting_Curves/meltCurve_C9JKC7_C7orf49.pdf", "Melting_Curves/meltCurve_C9JKC7_C7orf49.pdf")</f>
        <v>Melting_Curves/meltCurve_C9JKC7_C7orf49.pdf</v>
      </c>
    </row>
    <row r="338" spans="1:28" x14ac:dyDescent="0.25">
      <c r="A338" t="s">
        <v>342</v>
      </c>
      <c r="B338">
        <v>0.99542014353169495</v>
      </c>
      <c r="C338">
        <v>0.93070748449999596</v>
      </c>
      <c r="D338">
        <v>0.83447241324428301</v>
      </c>
      <c r="E338">
        <v>0.65594769944716602</v>
      </c>
      <c r="F338">
        <v>0.59495181923953699</v>
      </c>
      <c r="G338">
        <v>0.37904065043066598</v>
      </c>
      <c r="H338">
        <v>0.36259509478199697</v>
      </c>
      <c r="I338">
        <v>0.395516800232735</v>
      </c>
      <c r="J338">
        <v>0.55409151337304496</v>
      </c>
      <c r="K338">
        <v>0.64076044745470595</v>
      </c>
      <c r="L338">
        <v>865.44318291748505</v>
      </c>
      <c r="M338">
        <v>19.300369692877201</v>
      </c>
      <c r="N338">
        <v>52.809928801401398</v>
      </c>
      <c r="O338">
        <v>44.367694485958097</v>
      </c>
      <c r="P338">
        <v>-5.7333179384838499E-2</v>
      </c>
      <c r="Q338">
        <v>0.472829647004256</v>
      </c>
      <c r="R338">
        <v>0.84365489991318898</v>
      </c>
      <c r="S338" t="s">
        <v>6740</v>
      </c>
      <c r="T338" t="s">
        <v>12802</v>
      </c>
      <c r="U338" t="s">
        <v>12802</v>
      </c>
      <c r="V338" t="s">
        <v>12802</v>
      </c>
      <c r="W338" t="s">
        <v>13139</v>
      </c>
      <c r="X338">
        <v>4</v>
      </c>
      <c r="Y338" t="s">
        <v>19462</v>
      </c>
      <c r="Z338" t="s">
        <v>25656</v>
      </c>
      <c r="AA338">
        <v>0.61809340418242098</v>
      </c>
      <c r="AB338" t="str">
        <f>HYPERLINK("Melting_Curves/meltCurve_C9JKQ2_NDUFB3.pdf", "Melting_Curves/meltCurve_C9JKQ2_NDUFB3.pdf")</f>
        <v>Melting_Curves/meltCurve_C9JKQ2_NDUFB3.pdf</v>
      </c>
    </row>
    <row r="339" spans="1:28" x14ac:dyDescent="0.25">
      <c r="A339" t="s">
        <v>343</v>
      </c>
      <c r="B339">
        <v>0.99542014353169495</v>
      </c>
      <c r="C339">
        <v>0.91580264616243301</v>
      </c>
      <c r="D339">
        <v>0.90717356022102302</v>
      </c>
      <c r="E339">
        <v>0.82998900621115601</v>
      </c>
      <c r="F339">
        <v>0.75395976709657098</v>
      </c>
      <c r="G339">
        <v>0.31347602572049998</v>
      </c>
      <c r="H339">
        <v>0.13581111565293499</v>
      </c>
      <c r="I339">
        <v>8.7489379030837103E-2</v>
      </c>
      <c r="J339">
        <v>7.7488542480776801E-2</v>
      </c>
      <c r="K339">
        <v>9.5183302934563604E-2</v>
      </c>
      <c r="L339">
        <v>1093.0830143911601</v>
      </c>
      <c r="M339">
        <v>21.1314904503195</v>
      </c>
      <c r="N339">
        <v>52.028654706906003</v>
      </c>
      <c r="O339">
        <v>51.271118853102102</v>
      </c>
      <c r="P339">
        <v>-9.7112541175263994E-2</v>
      </c>
      <c r="Q339">
        <v>5.7532030301768698E-2</v>
      </c>
      <c r="R339">
        <v>0.97941579309392102</v>
      </c>
      <c r="S339" t="s">
        <v>6741</v>
      </c>
      <c r="T339" t="s">
        <v>12802</v>
      </c>
      <c r="U339" t="s">
        <v>12802</v>
      </c>
      <c r="V339" t="s">
        <v>12802</v>
      </c>
      <c r="W339" t="s">
        <v>13140</v>
      </c>
      <c r="X339">
        <v>11</v>
      </c>
      <c r="Y339" t="s">
        <v>19463</v>
      </c>
      <c r="Z339" t="s">
        <v>25657</v>
      </c>
      <c r="AA339">
        <v>0.53139249397148836</v>
      </c>
      <c r="AB339" t="str">
        <f>HYPERLINK("Melting_Curves/meltCurve_C9JKQ7_GART.pdf", "Melting_Curves/meltCurve_C9JKQ7_GART.pdf")</f>
        <v>Melting_Curves/meltCurve_C9JKQ7_GART.pdf</v>
      </c>
    </row>
    <row r="340" spans="1:28" x14ac:dyDescent="0.25">
      <c r="A340" t="s">
        <v>344</v>
      </c>
      <c r="B340">
        <v>0.99542014353169495</v>
      </c>
      <c r="C340">
        <v>0.95038049778393696</v>
      </c>
      <c r="D340">
        <v>0.87756364201741099</v>
      </c>
      <c r="E340">
        <v>0.67750257067661201</v>
      </c>
      <c r="F340">
        <v>0.34003135780217603</v>
      </c>
      <c r="G340">
        <v>0.184457053890804</v>
      </c>
      <c r="H340">
        <v>9.8595394082415105E-2</v>
      </c>
      <c r="I340">
        <v>7.0625899291630601E-2</v>
      </c>
      <c r="J340">
        <v>7.1650541200980106E-2</v>
      </c>
      <c r="K340">
        <v>6.3862604370036199E-2</v>
      </c>
      <c r="L340">
        <v>843.44834660651497</v>
      </c>
      <c r="M340">
        <v>17.551068593276</v>
      </c>
      <c r="N340">
        <v>48.366505342044597</v>
      </c>
      <c r="O340">
        <v>47.445953031952499</v>
      </c>
      <c r="P340">
        <v>-8.7568915833883307E-2</v>
      </c>
      <c r="Q340">
        <v>5.3148430300607001E-2</v>
      </c>
      <c r="R340">
        <v>0.99869163702528596</v>
      </c>
      <c r="S340" t="s">
        <v>6742</v>
      </c>
      <c r="T340" t="s">
        <v>12802</v>
      </c>
      <c r="U340" t="s">
        <v>12802</v>
      </c>
      <c r="V340" t="s">
        <v>12802</v>
      </c>
      <c r="W340" t="s">
        <v>13141</v>
      </c>
      <c r="X340">
        <v>5</v>
      </c>
      <c r="Y340" t="s">
        <v>19464</v>
      </c>
      <c r="Z340" t="s">
        <v>25658</v>
      </c>
      <c r="AA340">
        <v>0.41796016299683941</v>
      </c>
      <c r="AB340" t="str">
        <f>HYPERLINK("Melting_Curves/meltCurve_C9JLU1_POLR2H.pdf", "Melting_Curves/meltCurve_C9JLU1_POLR2H.pdf")</f>
        <v>Melting_Curves/meltCurve_C9JLU1_POLR2H.pdf</v>
      </c>
    </row>
    <row r="341" spans="1:28" x14ac:dyDescent="0.25">
      <c r="A341" t="s">
        <v>345</v>
      </c>
      <c r="B341">
        <v>0.99542014353169495</v>
      </c>
      <c r="C341">
        <v>1.22664209624992</v>
      </c>
      <c r="D341">
        <v>1.14355300607846</v>
      </c>
      <c r="E341">
        <v>0.65987758347289704</v>
      </c>
      <c r="F341">
        <v>0.368414134647438</v>
      </c>
      <c r="G341">
        <v>0.101385049683814</v>
      </c>
      <c r="H341">
        <v>6.2124078539410203E-2</v>
      </c>
      <c r="I341">
        <v>3.4056954314395101E-2</v>
      </c>
      <c r="J341">
        <v>7.5224595503666294E-2</v>
      </c>
      <c r="K341">
        <v>0</v>
      </c>
      <c r="L341">
        <v>1249.2041862567601</v>
      </c>
      <c r="M341">
        <v>25.777256627001901</v>
      </c>
      <c r="N341">
        <v>48.618301155226902</v>
      </c>
      <c r="O341">
        <v>48.1726460285782</v>
      </c>
      <c r="P341">
        <v>-0.12844077993650099</v>
      </c>
      <c r="Q341">
        <v>3.9888685246523101E-2</v>
      </c>
      <c r="R341">
        <v>0.955767099126555</v>
      </c>
      <c r="S341" t="s">
        <v>6743</v>
      </c>
      <c r="T341" t="s">
        <v>12802</v>
      </c>
      <c r="U341" t="s">
        <v>12802</v>
      </c>
      <c r="V341" t="s">
        <v>12802</v>
      </c>
      <c r="W341" t="s">
        <v>13142</v>
      </c>
      <c r="X341">
        <v>3</v>
      </c>
      <c r="Y341" t="s">
        <v>19465</v>
      </c>
      <c r="Z341" t="s">
        <v>25659</v>
      </c>
      <c r="AA341">
        <v>0.41445323104539078</v>
      </c>
      <c r="AB341" t="str">
        <f>HYPERLINK("Melting_Curves/meltCurve_C9JLV4_APAF1.pdf", "Melting_Curves/meltCurve_C9JLV4_APAF1.pdf")</f>
        <v>Melting_Curves/meltCurve_C9JLV4_APAF1.pdf</v>
      </c>
    </row>
    <row r="342" spans="1:28" x14ac:dyDescent="0.25">
      <c r="A342" t="s">
        <v>346</v>
      </c>
      <c r="B342">
        <v>0.99542014353169495</v>
      </c>
      <c r="C342">
        <v>0.93804625781958395</v>
      </c>
      <c r="D342">
        <v>0.96860623195093198</v>
      </c>
      <c r="E342">
        <v>0.71258276101073603</v>
      </c>
      <c r="F342">
        <v>0.40119019942694101</v>
      </c>
      <c r="G342">
        <v>0.15236457115647301</v>
      </c>
      <c r="H342">
        <v>9.7108723960804499E-2</v>
      </c>
      <c r="I342">
        <v>6.8716497063297896E-2</v>
      </c>
      <c r="J342">
        <v>0.111705866120391</v>
      </c>
      <c r="K342">
        <v>0.114241490502222</v>
      </c>
      <c r="L342">
        <v>1069.5383885060301</v>
      </c>
      <c r="M342">
        <v>22.077758168016199</v>
      </c>
      <c r="N342">
        <v>48.857086664426397</v>
      </c>
      <c r="O342">
        <v>48.051969136026898</v>
      </c>
      <c r="P342">
        <v>-0.10509014033733299</v>
      </c>
      <c r="Q342">
        <v>8.5110709537563597E-2</v>
      </c>
      <c r="R342">
        <v>0.99507797889161598</v>
      </c>
      <c r="S342" t="s">
        <v>6744</v>
      </c>
      <c r="T342" t="s">
        <v>12802</v>
      </c>
      <c r="U342" t="s">
        <v>12802</v>
      </c>
      <c r="V342" t="s">
        <v>12802</v>
      </c>
      <c r="W342" t="s">
        <v>13143</v>
      </c>
      <c r="X342">
        <v>1</v>
      </c>
      <c r="Y342" t="s">
        <v>19466</v>
      </c>
      <c r="Z342" t="s">
        <v>25660</v>
      </c>
      <c r="AA342">
        <v>0.44410240042889931</v>
      </c>
      <c r="AB342" t="str">
        <f>HYPERLINK("Melting_Curves/meltCurve_C9JMZ9_C7orf43.pdf", "Melting_Curves/meltCurve_C9JMZ9_C7orf43.pdf")</f>
        <v>Melting_Curves/meltCurve_C9JMZ9_C7orf43.pdf</v>
      </c>
    </row>
    <row r="343" spans="1:28" x14ac:dyDescent="0.25">
      <c r="A343" t="s">
        <v>347</v>
      </c>
      <c r="B343">
        <v>0.99542014353169495</v>
      </c>
      <c r="C343">
        <v>1.0453931571441</v>
      </c>
      <c r="D343">
        <v>0.92450650466607198</v>
      </c>
      <c r="E343">
        <v>0.68015043701677502</v>
      </c>
      <c r="F343">
        <v>0.28280509195714998</v>
      </c>
      <c r="G343">
        <v>0.105425338498521</v>
      </c>
      <c r="H343">
        <v>7.1704347387502906E-2</v>
      </c>
      <c r="I343">
        <v>4.99048905069105E-2</v>
      </c>
      <c r="J343">
        <v>5.9411116932199103E-2</v>
      </c>
      <c r="K343">
        <v>5.10139781867366E-2</v>
      </c>
      <c r="L343">
        <v>1166.85456267266</v>
      </c>
      <c r="M343">
        <v>24.3790654031054</v>
      </c>
      <c r="N343">
        <v>48.0747762614468</v>
      </c>
      <c r="O343">
        <v>47.544415117507803</v>
      </c>
      <c r="P343">
        <v>-0.12166539981059001</v>
      </c>
      <c r="Q343">
        <v>5.0919432794121797E-2</v>
      </c>
      <c r="R343">
        <v>0.99805016046973205</v>
      </c>
      <c r="S343" t="s">
        <v>6745</v>
      </c>
      <c r="T343" t="s">
        <v>12802</v>
      </c>
      <c r="U343" t="s">
        <v>12802</v>
      </c>
      <c r="V343" t="s">
        <v>12802</v>
      </c>
      <c r="W343" t="s">
        <v>13144</v>
      </c>
      <c r="X343">
        <v>5</v>
      </c>
      <c r="Y343" t="s">
        <v>19467</v>
      </c>
      <c r="Z343" t="s">
        <v>25661</v>
      </c>
      <c r="AA343">
        <v>0.4030644040888563</v>
      </c>
      <c r="AB343" t="str">
        <f>HYPERLINK("Melting_Curves/meltCurve_C9JNE2_OARD1.pdf", "Melting_Curves/meltCurve_C9JNE2_OARD1.pdf")</f>
        <v>Melting_Curves/meltCurve_C9JNE2_OARD1.pdf</v>
      </c>
    </row>
    <row r="344" spans="1:28" x14ac:dyDescent="0.25">
      <c r="A344" t="s">
        <v>348</v>
      </c>
      <c r="B344">
        <v>0.99542014353169495</v>
      </c>
      <c r="C344">
        <v>0.94838694198776896</v>
      </c>
      <c r="D344">
        <v>0.78913471600775997</v>
      </c>
      <c r="E344">
        <v>0.75837208061872596</v>
      </c>
      <c r="F344">
        <v>0.35401772880917598</v>
      </c>
      <c r="G344">
        <v>0.19235319167126799</v>
      </c>
      <c r="H344">
        <v>9.2336526859188403E-2</v>
      </c>
      <c r="I344">
        <v>6.1867533525217899E-2</v>
      </c>
      <c r="J344">
        <v>6.9995432622463299E-2</v>
      </c>
      <c r="K344">
        <v>8.6508677172538406E-2</v>
      </c>
      <c r="L344">
        <v>775.63346725464999</v>
      </c>
      <c r="M344">
        <v>16.0243315199812</v>
      </c>
      <c r="N344">
        <v>48.670122945461102</v>
      </c>
      <c r="O344">
        <v>47.668498042593001</v>
      </c>
      <c r="P344">
        <v>-8.0515141741035898E-2</v>
      </c>
      <c r="Q344">
        <v>4.2022954856821997E-2</v>
      </c>
      <c r="R344">
        <v>0.98421301689123497</v>
      </c>
      <c r="S344" t="s">
        <v>6746</v>
      </c>
      <c r="T344" t="s">
        <v>12802</v>
      </c>
      <c r="U344" t="s">
        <v>12802</v>
      </c>
      <c r="V344" t="s">
        <v>12802</v>
      </c>
      <c r="W344" t="s">
        <v>13145</v>
      </c>
      <c r="X344">
        <v>12</v>
      </c>
      <c r="Y344" t="s">
        <v>19468</v>
      </c>
      <c r="Z344" t="s">
        <v>25662</v>
      </c>
      <c r="AA344">
        <v>0.42489170038658902</v>
      </c>
      <c r="AB344" t="str">
        <f>HYPERLINK("Melting_Curves/meltCurve_C9JP00_MBNL1.pdf", "Melting_Curves/meltCurve_C9JP00_MBNL1.pdf")</f>
        <v>Melting_Curves/meltCurve_C9JP00_MBNL1.pdf</v>
      </c>
    </row>
    <row r="345" spans="1:28" x14ac:dyDescent="0.25">
      <c r="A345" t="s">
        <v>349</v>
      </c>
      <c r="B345">
        <v>0.99542014353169495</v>
      </c>
      <c r="C345">
        <v>0.82761633990695804</v>
      </c>
      <c r="D345">
        <v>0.95454298198887899</v>
      </c>
      <c r="E345">
        <v>0.74811586760367899</v>
      </c>
      <c r="F345">
        <v>0.42150015367581001</v>
      </c>
      <c r="G345">
        <v>0.11392954314699399</v>
      </c>
      <c r="H345">
        <v>5.2961455134345997E-2</v>
      </c>
      <c r="I345">
        <v>2.6357919961423299E-2</v>
      </c>
      <c r="J345">
        <v>1.7460882977848501E-2</v>
      </c>
      <c r="K345">
        <v>2.6557940696086101E-2</v>
      </c>
      <c r="L345">
        <v>983.13024774274504</v>
      </c>
      <c r="M345">
        <v>20.0168297100847</v>
      </c>
      <c r="N345">
        <v>49.137953879437198</v>
      </c>
      <c r="O345">
        <v>48.632871526341098</v>
      </c>
      <c r="P345">
        <v>-0.102426046781531</v>
      </c>
      <c r="Q345">
        <v>4.61557199431356E-3</v>
      </c>
      <c r="R345">
        <v>0.98174177002148999</v>
      </c>
      <c r="S345" t="s">
        <v>6747</v>
      </c>
      <c r="T345" t="s">
        <v>12802</v>
      </c>
      <c r="U345" t="s">
        <v>12802</v>
      </c>
      <c r="V345" t="s">
        <v>12802</v>
      </c>
      <c r="W345" t="s">
        <v>13146</v>
      </c>
      <c r="X345">
        <v>5</v>
      </c>
      <c r="Y345" t="s">
        <v>19469</v>
      </c>
      <c r="Z345" t="s">
        <v>25663</v>
      </c>
      <c r="AA345">
        <v>0.41968687239229407</v>
      </c>
      <c r="AB345" t="str">
        <f>HYPERLINK("Melting_Curves/meltCurve_C9JP16_CRTAP.pdf", "Melting_Curves/meltCurve_C9JP16_CRTAP.pdf")</f>
        <v>Melting_Curves/meltCurve_C9JP16_CRTAP.pdf</v>
      </c>
    </row>
    <row r="346" spans="1:28" x14ac:dyDescent="0.25">
      <c r="A346" t="s">
        <v>350</v>
      </c>
      <c r="B346">
        <v>0.99542014353169495</v>
      </c>
      <c r="C346">
        <v>0.93473179925452499</v>
      </c>
      <c r="D346">
        <v>0.67833902876632701</v>
      </c>
      <c r="E346">
        <v>0.39132327404556899</v>
      </c>
      <c r="F346">
        <v>0.19321024598946901</v>
      </c>
      <c r="G346">
        <v>9.2171986803200004E-2</v>
      </c>
      <c r="H346">
        <v>4.9127462552416401E-2</v>
      </c>
      <c r="I346">
        <v>4.7817959432440001E-2</v>
      </c>
      <c r="J346">
        <v>8.5711335638675307E-2</v>
      </c>
      <c r="K346">
        <v>8.6571689356916795E-2</v>
      </c>
      <c r="L346">
        <v>812.38230816704402</v>
      </c>
      <c r="M346">
        <v>18.107605538691899</v>
      </c>
      <c r="N346">
        <v>45.184592412033503</v>
      </c>
      <c r="O346">
        <v>44.327707447993298</v>
      </c>
      <c r="P346">
        <v>-9.5974448089813993E-2</v>
      </c>
      <c r="Q346">
        <v>6.0257362997065599E-2</v>
      </c>
      <c r="R346">
        <v>0.99660784057857399</v>
      </c>
      <c r="S346" t="s">
        <v>6748</v>
      </c>
      <c r="T346" t="s">
        <v>12802</v>
      </c>
      <c r="U346" t="s">
        <v>12802</v>
      </c>
      <c r="V346" t="s">
        <v>12802</v>
      </c>
      <c r="W346" t="s">
        <v>13147</v>
      </c>
      <c r="X346">
        <v>4</v>
      </c>
      <c r="Y346" t="s">
        <v>19470</v>
      </c>
      <c r="Z346" t="s">
        <v>25664</v>
      </c>
      <c r="AA346">
        <v>0.32185172328233319</v>
      </c>
      <c r="AB346" t="str">
        <f>HYPERLINK("Melting_Curves/meltCurve_C9JPP2_NKIRAS2.pdf", "Melting_Curves/meltCurve_C9JPP2_NKIRAS2.pdf")</f>
        <v>Melting_Curves/meltCurve_C9JPP2_NKIRAS2.pdf</v>
      </c>
    </row>
    <row r="347" spans="1:28" x14ac:dyDescent="0.25">
      <c r="A347" t="s">
        <v>351</v>
      </c>
      <c r="B347">
        <v>0.99542014353169495</v>
      </c>
      <c r="C347">
        <v>0.98886333756877098</v>
      </c>
      <c r="D347">
        <v>0.89488248435778295</v>
      </c>
      <c r="E347">
        <v>0.86729474861634004</v>
      </c>
      <c r="F347">
        <v>0.73193847497582198</v>
      </c>
      <c r="G347">
        <v>0.65051908359715505</v>
      </c>
      <c r="H347">
        <v>0.42382554442044601</v>
      </c>
      <c r="I347">
        <v>0.37807786497206097</v>
      </c>
      <c r="J347">
        <v>0.47227091295925</v>
      </c>
      <c r="K347">
        <v>0.392625129588132</v>
      </c>
      <c r="L347">
        <v>638.44582891988296</v>
      </c>
      <c r="M347">
        <v>12.413604052233699</v>
      </c>
      <c r="N347">
        <v>57.090789258141299</v>
      </c>
      <c r="O347">
        <v>50.151130600805601</v>
      </c>
      <c r="P347">
        <v>-3.9987075306971299E-2</v>
      </c>
      <c r="Q347">
        <v>0.35394314824526202</v>
      </c>
      <c r="R347">
        <v>0.96610312890783001</v>
      </c>
      <c r="S347" t="s">
        <v>6749</v>
      </c>
      <c r="T347" t="s">
        <v>12802</v>
      </c>
      <c r="U347" t="s">
        <v>12802</v>
      </c>
      <c r="V347" t="s">
        <v>12802</v>
      </c>
      <c r="W347" t="s">
        <v>13148</v>
      </c>
      <c r="X347">
        <v>10</v>
      </c>
      <c r="Y347" t="s">
        <v>19471</v>
      </c>
      <c r="Z347" t="s">
        <v>25665</v>
      </c>
      <c r="AA347">
        <v>0.68042910395839018</v>
      </c>
      <c r="AB347" t="str">
        <f>HYPERLINK("Melting_Curves/meltCurve_C9JQ41_CCDC58.pdf", "Melting_Curves/meltCurve_C9JQ41_CCDC58.pdf")</f>
        <v>Melting_Curves/meltCurve_C9JQ41_CCDC58.pdf</v>
      </c>
    </row>
    <row r="348" spans="1:28" x14ac:dyDescent="0.25">
      <c r="A348" t="s">
        <v>352</v>
      </c>
      <c r="B348">
        <v>0.99542014353169495</v>
      </c>
      <c r="C348">
        <v>1.02623018710381</v>
      </c>
      <c r="D348">
        <v>0.88599448256218605</v>
      </c>
      <c r="E348">
        <v>0.83570601135479206</v>
      </c>
      <c r="F348">
        <v>0.68297737843547901</v>
      </c>
      <c r="G348">
        <v>0.56658236182254096</v>
      </c>
      <c r="H348">
        <v>0.42551638014744397</v>
      </c>
      <c r="I348">
        <v>0.40429273746771299</v>
      </c>
      <c r="J348">
        <v>0.55756875801493899</v>
      </c>
      <c r="K348">
        <v>0.443935426436946</v>
      </c>
      <c r="L348">
        <v>777.15863725583995</v>
      </c>
      <c r="M348">
        <v>15.896085826356501</v>
      </c>
      <c r="N348">
        <v>56.602850677202603</v>
      </c>
      <c r="O348">
        <v>48.135805367026002</v>
      </c>
      <c r="P348">
        <v>-4.6014724391905099E-2</v>
      </c>
      <c r="Q348">
        <v>0.44268576951013699</v>
      </c>
      <c r="R348">
        <v>0.95236681191772399</v>
      </c>
      <c r="S348" t="s">
        <v>6750</v>
      </c>
      <c r="T348" t="s">
        <v>12802</v>
      </c>
      <c r="U348" t="s">
        <v>12802</v>
      </c>
      <c r="V348" t="s">
        <v>12802</v>
      </c>
      <c r="W348" t="s">
        <v>13149</v>
      </c>
      <c r="X348">
        <v>3</v>
      </c>
      <c r="Y348" t="s">
        <v>19472</v>
      </c>
      <c r="Z348" t="s">
        <v>25666</v>
      </c>
      <c r="AA348">
        <v>0.67451645593108756</v>
      </c>
      <c r="AB348" t="str">
        <f>HYPERLINK("Melting_Curves/meltCurve_C9JQB1_NME6.pdf", "Melting_Curves/meltCurve_C9JQB1_NME6.pdf")</f>
        <v>Melting_Curves/meltCurve_C9JQB1_NME6.pdf</v>
      </c>
    </row>
    <row r="349" spans="1:28" x14ac:dyDescent="0.25">
      <c r="A349" t="s">
        <v>353</v>
      </c>
      <c r="B349">
        <v>0.99542014353169495</v>
      </c>
      <c r="C349">
        <v>1.1686009058490801</v>
      </c>
      <c r="D349">
        <v>0.92310679040649002</v>
      </c>
      <c r="E349">
        <v>0.607500755911353</v>
      </c>
      <c r="F349">
        <v>0.32318809406349602</v>
      </c>
      <c r="G349">
        <v>0.18915286580128499</v>
      </c>
      <c r="H349">
        <v>0.125751418359422</v>
      </c>
      <c r="I349">
        <v>0.102243051235667</v>
      </c>
      <c r="J349">
        <v>0.113759660584246</v>
      </c>
      <c r="K349">
        <v>0.13427346012203301</v>
      </c>
      <c r="L349">
        <v>1116.94161949407</v>
      </c>
      <c r="M349">
        <v>23.622992237992001</v>
      </c>
      <c r="N349">
        <v>47.8445106035796</v>
      </c>
      <c r="O349">
        <v>46.947055783681897</v>
      </c>
      <c r="P349">
        <v>-0.11054369796061</v>
      </c>
      <c r="Q349">
        <v>0.121260601826483</v>
      </c>
      <c r="R349">
        <v>0.97792371799352595</v>
      </c>
      <c r="S349" t="s">
        <v>6751</v>
      </c>
      <c r="T349" t="s">
        <v>12802</v>
      </c>
      <c r="U349" t="s">
        <v>12802</v>
      </c>
      <c r="V349" t="s">
        <v>12802</v>
      </c>
      <c r="W349" t="s">
        <v>13150</v>
      </c>
      <c r="X349">
        <v>5</v>
      </c>
      <c r="Y349" t="s">
        <v>19473</v>
      </c>
      <c r="Z349" t="s">
        <v>25667</v>
      </c>
      <c r="AA349">
        <v>0.43073079019695831</v>
      </c>
      <c r="AB349" t="str">
        <f>HYPERLINK("Melting_Curves/meltCurve_C9JQV3_STK11IP.pdf", "Melting_Curves/meltCurve_C9JQV3_STK11IP.pdf")</f>
        <v>Melting_Curves/meltCurve_C9JQV3_STK11IP.pdf</v>
      </c>
    </row>
    <row r="350" spans="1:28" x14ac:dyDescent="0.25">
      <c r="A350" t="s">
        <v>354</v>
      </c>
      <c r="B350">
        <v>0.99542014353169495</v>
      </c>
      <c r="C350">
        <v>1.11308511781068</v>
      </c>
      <c r="D350">
        <v>1.1500450757174601</v>
      </c>
      <c r="E350">
        <v>0.532364454161662</v>
      </c>
      <c r="F350">
        <v>0.25524768167995499</v>
      </c>
      <c r="G350">
        <v>0.15400963333901799</v>
      </c>
      <c r="H350">
        <v>0.130148510435626</v>
      </c>
      <c r="I350">
        <v>2.07687990544702E-2</v>
      </c>
      <c r="J350">
        <v>2.2278324035644601E-2</v>
      </c>
      <c r="K350">
        <v>3.2334240056161097E-2</v>
      </c>
      <c r="L350">
        <v>1638.5328366365</v>
      </c>
      <c r="M350">
        <v>34.921236330991803</v>
      </c>
      <c r="N350">
        <v>47.160601269021903</v>
      </c>
      <c r="O350">
        <v>46.767748103560599</v>
      </c>
      <c r="P350">
        <v>-0.17148970633487101</v>
      </c>
      <c r="Q350">
        <v>8.1343093629260399E-2</v>
      </c>
      <c r="R350">
        <v>0.96222132488827905</v>
      </c>
      <c r="S350" t="s">
        <v>6752</v>
      </c>
      <c r="T350" t="s">
        <v>12802</v>
      </c>
      <c r="U350" t="s">
        <v>12802</v>
      </c>
      <c r="V350" t="s">
        <v>12802</v>
      </c>
      <c r="W350" t="s">
        <v>13151</v>
      </c>
      <c r="X350">
        <v>2</v>
      </c>
      <c r="Y350" t="s">
        <v>19474</v>
      </c>
      <c r="Z350" t="s">
        <v>25668</v>
      </c>
      <c r="AA350">
        <v>0.38905794165941959</v>
      </c>
      <c r="AB350" t="str">
        <f>HYPERLINK("Melting_Curves/meltCurve_C9JR56_SATB2.pdf", "Melting_Curves/meltCurve_C9JR56_SATB2.pdf")</f>
        <v>Melting_Curves/meltCurve_C9JR56_SATB2.pdf</v>
      </c>
    </row>
    <row r="351" spans="1:28" x14ac:dyDescent="0.25">
      <c r="A351" t="s">
        <v>355</v>
      </c>
      <c r="B351">
        <v>0.99542014353169495</v>
      </c>
      <c r="C351">
        <v>0.87874893972726698</v>
      </c>
      <c r="D351">
        <v>0.99662305147075003</v>
      </c>
      <c r="E351">
        <v>0.85192130563478796</v>
      </c>
      <c r="F351">
        <v>0.47301072053083898</v>
      </c>
      <c r="G351">
        <v>0.26313620874814198</v>
      </c>
      <c r="H351">
        <v>7.8952074835482999E-2</v>
      </c>
      <c r="I351">
        <v>3.0440705270091399E-2</v>
      </c>
      <c r="J351">
        <v>0</v>
      </c>
      <c r="K351">
        <v>0</v>
      </c>
      <c r="L351">
        <v>970.89513606670096</v>
      </c>
      <c r="M351">
        <v>19.286020414735599</v>
      </c>
      <c r="N351">
        <v>50.341912360881203</v>
      </c>
      <c r="O351">
        <v>49.810041614813699</v>
      </c>
      <c r="P351">
        <v>-9.6801501198267498E-2</v>
      </c>
      <c r="Q351">
        <v>0</v>
      </c>
      <c r="R351">
        <v>0.98908520422262103</v>
      </c>
      <c r="S351" t="s">
        <v>6753</v>
      </c>
      <c r="T351" t="s">
        <v>12802</v>
      </c>
      <c r="U351" t="s">
        <v>12802</v>
      </c>
      <c r="V351" t="s">
        <v>12802</v>
      </c>
      <c r="W351" t="s">
        <v>13152</v>
      </c>
      <c r="X351">
        <v>2</v>
      </c>
      <c r="Y351" t="s">
        <v>19475</v>
      </c>
      <c r="Z351" t="s">
        <v>25669</v>
      </c>
      <c r="AA351">
        <v>0.45872395672761163</v>
      </c>
      <c r="AB351" t="str">
        <f>HYPERLINK("Melting_Curves/meltCurve_C9JRY4_SEC22A.pdf", "Melting_Curves/meltCurve_C9JRY4_SEC22A.pdf")</f>
        <v>Melting_Curves/meltCurve_C9JRY4_SEC22A.pdf</v>
      </c>
    </row>
    <row r="352" spans="1:28" x14ac:dyDescent="0.25">
      <c r="A352" t="s">
        <v>356</v>
      </c>
      <c r="B352">
        <v>0.99542014353169495</v>
      </c>
      <c r="C352">
        <v>0.74713310592865501</v>
      </c>
      <c r="D352">
        <v>0.84788758295309896</v>
      </c>
      <c r="E352">
        <v>0.56517978238044697</v>
      </c>
      <c r="F352">
        <v>0.57808739351138505</v>
      </c>
      <c r="G352">
        <v>0.34392735672441199</v>
      </c>
      <c r="H352">
        <v>0.23461389078921399</v>
      </c>
      <c r="I352">
        <v>0.185330155618534</v>
      </c>
      <c r="J352">
        <v>0.24703577490050699</v>
      </c>
      <c r="K352">
        <v>0.33238710271888999</v>
      </c>
      <c r="L352">
        <v>459.168787816877</v>
      </c>
      <c r="M352">
        <v>9.7652277498870905</v>
      </c>
      <c r="N352">
        <v>49.396115422182802</v>
      </c>
      <c r="O352">
        <v>45.1761040940169</v>
      </c>
      <c r="P352">
        <v>-4.3937850257038197E-2</v>
      </c>
      <c r="Q352">
        <v>0.18736795204561801</v>
      </c>
      <c r="R352">
        <v>0.91332565657340004</v>
      </c>
      <c r="S352" t="s">
        <v>6754</v>
      </c>
      <c r="T352" t="s">
        <v>12802</v>
      </c>
      <c r="U352" t="s">
        <v>12802</v>
      </c>
      <c r="V352" t="s">
        <v>12802</v>
      </c>
      <c r="W352" t="s">
        <v>13153</v>
      </c>
      <c r="X352">
        <v>19</v>
      </c>
      <c r="Y352" t="s">
        <v>19476</v>
      </c>
      <c r="Z352" t="s">
        <v>25670</v>
      </c>
      <c r="AA352">
        <v>0.49499573564525717</v>
      </c>
      <c r="AB352" t="str">
        <f>HYPERLINK("Melting_Curves/meltCurve_C9JRZ6_CHCHD3.pdf", "Melting_Curves/meltCurve_C9JRZ6_CHCHD3.pdf")</f>
        <v>Melting_Curves/meltCurve_C9JRZ6_CHCHD3.pdf</v>
      </c>
    </row>
    <row r="353" spans="1:28" x14ac:dyDescent="0.25">
      <c r="A353" t="s">
        <v>357</v>
      </c>
      <c r="B353">
        <v>0.99542014353169495</v>
      </c>
      <c r="C353">
        <v>1.1629081587982999</v>
      </c>
      <c r="D353">
        <v>1.2984139719202901</v>
      </c>
      <c r="E353">
        <v>0.89485953935191498</v>
      </c>
      <c r="F353">
        <v>0.82998972337826804</v>
      </c>
      <c r="G353">
        <v>0.45758098560829003</v>
      </c>
      <c r="H353">
        <v>0.38684856795912598</v>
      </c>
      <c r="I353">
        <v>6.9971504587182695E-2</v>
      </c>
      <c r="J353">
        <v>5.1436566583737103E-2</v>
      </c>
      <c r="K353">
        <v>4.5945998460844399E-2</v>
      </c>
      <c r="L353">
        <v>965.35623190743399</v>
      </c>
      <c r="M353">
        <v>17.796900704978999</v>
      </c>
      <c r="N353">
        <v>54.259218905618702</v>
      </c>
      <c r="O353">
        <v>53.571982415597603</v>
      </c>
      <c r="P353">
        <v>-8.2834514886237706E-2</v>
      </c>
      <c r="Q353">
        <v>2.6622728092011E-3</v>
      </c>
      <c r="R353">
        <v>0.928136316108363</v>
      </c>
      <c r="S353" t="s">
        <v>6755</v>
      </c>
      <c r="T353" t="s">
        <v>12802</v>
      </c>
      <c r="U353" t="s">
        <v>12802</v>
      </c>
      <c r="V353" t="s">
        <v>12802</v>
      </c>
      <c r="W353" t="s">
        <v>13154</v>
      </c>
      <c r="X353">
        <v>2</v>
      </c>
      <c r="Y353" t="s">
        <v>19477</v>
      </c>
      <c r="Z353" t="s">
        <v>25671</v>
      </c>
      <c r="AA353">
        <v>0.58948726328742562</v>
      </c>
      <c r="AB353" t="str">
        <f>HYPERLINK("Melting_Curves/meltCurve_C9JSG1_DPP8.pdf", "Melting_Curves/meltCurve_C9JSG1_DPP8.pdf")</f>
        <v>Melting_Curves/meltCurve_C9JSG1_DPP8.pdf</v>
      </c>
    </row>
    <row r="354" spans="1:28" x14ac:dyDescent="0.25">
      <c r="A354" t="s">
        <v>358</v>
      </c>
      <c r="B354">
        <v>0.99542014353169495</v>
      </c>
      <c r="C354">
        <v>0.98350386986083704</v>
      </c>
      <c r="D354">
        <v>0.90595936534997901</v>
      </c>
      <c r="E354">
        <v>0.87453218965324298</v>
      </c>
      <c r="F354">
        <v>0.72866822043986801</v>
      </c>
      <c r="G354">
        <v>0.53036363951208398</v>
      </c>
      <c r="H354">
        <v>0.46916189465695202</v>
      </c>
      <c r="I354">
        <v>0.30735825661286298</v>
      </c>
      <c r="J354">
        <v>0.23718197173362399</v>
      </c>
      <c r="K354">
        <v>8.5517835011018797E-2</v>
      </c>
      <c r="L354">
        <v>531.65236986052503</v>
      </c>
      <c r="M354">
        <v>9.5984539471222892</v>
      </c>
      <c r="N354">
        <v>55.389373504644901</v>
      </c>
      <c r="O354">
        <v>53.145241808157103</v>
      </c>
      <c r="P354">
        <v>-4.5177669959442203E-2</v>
      </c>
      <c r="Q354">
        <v>0</v>
      </c>
      <c r="R354">
        <v>0.98780878788811</v>
      </c>
      <c r="S354" t="s">
        <v>6756</v>
      </c>
      <c r="T354" t="s">
        <v>12802</v>
      </c>
      <c r="U354" t="s">
        <v>12802</v>
      </c>
      <c r="V354" t="s">
        <v>12802</v>
      </c>
      <c r="W354" t="s">
        <v>13155</v>
      </c>
      <c r="X354">
        <v>1</v>
      </c>
      <c r="Y354" t="s">
        <v>19478</v>
      </c>
      <c r="Z354" t="s">
        <v>25672</v>
      </c>
      <c r="AA354">
        <v>0.62194554245751266</v>
      </c>
      <c r="AB354" t="str">
        <f>HYPERLINK("Melting_Curves/meltCurve_C9JT44_SLC25A38.pdf", "Melting_Curves/meltCurve_C9JT44_SLC25A38.pdf")</f>
        <v>Melting_Curves/meltCurve_C9JT44_SLC25A38.pdf</v>
      </c>
    </row>
    <row r="355" spans="1:28" x14ac:dyDescent="0.25">
      <c r="A355" t="s">
        <v>359</v>
      </c>
      <c r="B355">
        <v>0.99542014353169495</v>
      </c>
      <c r="C355">
        <v>1.1008078369787599</v>
      </c>
      <c r="D355">
        <v>1.00808819152105</v>
      </c>
      <c r="E355">
        <v>0.93326894472067801</v>
      </c>
      <c r="F355">
        <v>0.62542064922350804</v>
      </c>
      <c r="G355">
        <v>0.44352273842105699</v>
      </c>
      <c r="H355">
        <v>0.30305640298087899</v>
      </c>
      <c r="I355">
        <v>0.21853310635464801</v>
      </c>
      <c r="J355">
        <v>0.25120296844661499</v>
      </c>
      <c r="K355">
        <v>0.28151712259117301</v>
      </c>
      <c r="L355">
        <v>1157.6480576674101</v>
      </c>
      <c r="M355">
        <v>22.8657646700599</v>
      </c>
      <c r="N355">
        <v>52.2141710208614</v>
      </c>
      <c r="O355">
        <v>50.245541244171903</v>
      </c>
      <c r="P355">
        <v>-8.5287425769839498E-2</v>
      </c>
      <c r="Q355">
        <v>0.25036733318350901</v>
      </c>
      <c r="R355">
        <v>0.98505359995774799</v>
      </c>
      <c r="S355" t="s">
        <v>6757</v>
      </c>
      <c r="T355" t="s">
        <v>12802</v>
      </c>
      <c r="U355" t="s">
        <v>12802</v>
      </c>
      <c r="V355" t="s">
        <v>12802</v>
      </c>
      <c r="W355" t="s">
        <v>13156</v>
      </c>
      <c r="X355">
        <v>11</v>
      </c>
      <c r="Y355" t="s">
        <v>19479</v>
      </c>
      <c r="Z355" t="s">
        <v>25673</v>
      </c>
      <c r="AA355">
        <v>0.59867766988873861</v>
      </c>
      <c r="AB355" t="str">
        <f>HYPERLINK("Melting_Curves/meltCurve_C9JTX5_ACTB.pdf", "Melting_Curves/meltCurve_C9JTX5_ACTB.pdf")</f>
        <v>Melting_Curves/meltCurve_C9JTX5_ACTB.pdf</v>
      </c>
    </row>
    <row r="356" spans="1:28" x14ac:dyDescent="0.25">
      <c r="A356" t="s">
        <v>360</v>
      </c>
      <c r="B356">
        <v>0.99542014353169495</v>
      </c>
      <c r="C356">
        <v>0.84970947881289305</v>
      </c>
      <c r="D356">
        <v>0.85116484888414901</v>
      </c>
      <c r="E356">
        <v>0.73011105191602998</v>
      </c>
      <c r="F356">
        <v>0.66791251769440296</v>
      </c>
      <c r="G356">
        <v>0.39679311888502899</v>
      </c>
      <c r="H356">
        <v>0.59878034452359297</v>
      </c>
      <c r="I356">
        <v>0.66606254879821503</v>
      </c>
      <c r="J356">
        <v>0.400985685566844</v>
      </c>
      <c r="K356">
        <v>0.33012165049160702</v>
      </c>
      <c r="L356">
        <v>348.65030877166902</v>
      </c>
      <c r="M356">
        <v>7.0958600834115</v>
      </c>
      <c r="N356">
        <v>58.495284839583697</v>
      </c>
      <c r="O356">
        <v>45.679983793157398</v>
      </c>
      <c r="P356">
        <v>-2.57003270296913E-2</v>
      </c>
      <c r="Q356">
        <v>0.33937618527539698</v>
      </c>
      <c r="R356">
        <v>0.78898549531682904</v>
      </c>
      <c r="S356" t="s">
        <v>6758</v>
      </c>
      <c r="T356" t="s">
        <v>12802</v>
      </c>
      <c r="U356" t="s">
        <v>12802</v>
      </c>
      <c r="V356" t="s">
        <v>12802</v>
      </c>
      <c r="W356" t="s">
        <v>13157</v>
      </c>
      <c r="X356">
        <v>10</v>
      </c>
      <c r="Y356" t="s">
        <v>19480</v>
      </c>
      <c r="Z356" t="s">
        <v>25674</v>
      </c>
      <c r="AA356">
        <v>0.63980250814974782</v>
      </c>
      <c r="AB356" t="str">
        <f>HYPERLINK("Melting_Curves/meltCurve_C9JUP7_VCP.pdf", "Melting_Curves/meltCurve_C9JUP7_VCP.pdf")</f>
        <v>Melting_Curves/meltCurve_C9JUP7_VCP.pdf</v>
      </c>
    </row>
    <row r="357" spans="1:28" x14ac:dyDescent="0.25">
      <c r="A357" t="s">
        <v>361</v>
      </c>
      <c r="B357">
        <v>0.99542014353169495</v>
      </c>
      <c r="C357">
        <v>1.0833954156966601</v>
      </c>
      <c r="D357">
        <v>1.2039199709219399</v>
      </c>
      <c r="E357">
        <v>0.72108389100891201</v>
      </c>
      <c r="F357">
        <v>0.653528504728632</v>
      </c>
      <c r="G357">
        <v>0.32772133458271402</v>
      </c>
      <c r="H357">
        <v>0.20008735338105699</v>
      </c>
      <c r="I357">
        <v>0.105895610225367</v>
      </c>
      <c r="J357">
        <v>0.18259960426060801</v>
      </c>
      <c r="K357">
        <v>0.20488515766429299</v>
      </c>
      <c r="L357">
        <v>1040.81851556631</v>
      </c>
      <c r="M357">
        <v>20.659809088077601</v>
      </c>
      <c r="N357">
        <v>51.2753413961752</v>
      </c>
      <c r="O357">
        <v>49.914023567451601</v>
      </c>
      <c r="P357">
        <v>-8.7794936421173503E-2</v>
      </c>
      <c r="Q357">
        <v>0.15157531527772999</v>
      </c>
      <c r="R357">
        <v>0.94139874092582598</v>
      </c>
      <c r="S357" t="s">
        <v>6759</v>
      </c>
      <c r="T357" t="s">
        <v>12802</v>
      </c>
      <c r="U357" t="s">
        <v>12802</v>
      </c>
      <c r="V357" t="s">
        <v>12802</v>
      </c>
      <c r="W357" t="s">
        <v>13158</v>
      </c>
      <c r="X357">
        <v>1</v>
      </c>
      <c r="Y357" t="s">
        <v>19481</v>
      </c>
      <c r="Z357" t="s">
        <v>25675</v>
      </c>
      <c r="AA357">
        <v>0.54048768928957691</v>
      </c>
      <c r="AB357" t="str">
        <f>HYPERLINK("Melting_Curves/meltCurve_C9JV08_IFNAR1.pdf", "Melting_Curves/meltCurve_C9JV08_IFNAR1.pdf")</f>
        <v>Melting_Curves/meltCurve_C9JV08_IFNAR1.pdf</v>
      </c>
    </row>
    <row r="358" spans="1:28" x14ac:dyDescent="0.25">
      <c r="A358" t="s">
        <v>362</v>
      </c>
      <c r="B358">
        <v>0.99542014353169495</v>
      </c>
      <c r="C358">
        <v>0.77945627556244801</v>
      </c>
      <c r="D358">
        <v>0.71623820653534198</v>
      </c>
      <c r="E358">
        <v>0.42333405975593502</v>
      </c>
      <c r="F358">
        <v>0.23289024909952399</v>
      </c>
      <c r="G358">
        <v>0.13725211965294301</v>
      </c>
      <c r="H358">
        <v>7.8450851862652202E-2</v>
      </c>
      <c r="I358">
        <v>9.6541069653124006E-2</v>
      </c>
      <c r="J358">
        <v>6.6069887985198902E-2</v>
      </c>
      <c r="K358">
        <v>8.6120830089456105E-2</v>
      </c>
      <c r="L358">
        <v>608.31968595748799</v>
      </c>
      <c r="M358">
        <v>13.514250431615601</v>
      </c>
      <c r="N358">
        <v>45.397428510607099</v>
      </c>
      <c r="O358">
        <v>44.061863821985703</v>
      </c>
      <c r="P358">
        <v>-7.2544869766615894E-2</v>
      </c>
      <c r="Q358">
        <v>5.4042146144371701E-2</v>
      </c>
      <c r="R358">
        <v>0.98941972614983797</v>
      </c>
      <c r="S358" t="s">
        <v>6760</v>
      </c>
      <c r="T358" t="s">
        <v>12802</v>
      </c>
      <c r="U358" t="s">
        <v>12802</v>
      </c>
      <c r="V358" t="s">
        <v>12802</v>
      </c>
      <c r="W358" t="s">
        <v>13159</v>
      </c>
      <c r="X358">
        <v>1</v>
      </c>
      <c r="Y358" t="s">
        <v>19482</v>
      </c>
      <c r="Z358" t="s">
        <v>25676</v>
      </c>
      <c r="AA358">
        <v>0.33428516001913028</v>
      </c>
      <c r="AB358" t="str">
        <f>HYPERLINK("Melting_Curves/meltCurve_C9JV54_TTC32.pdf", "Melting_Curves/meltCurve_C9JV54_TTC32.pdf")</f>
        <v>Melting_Curves/meltCurve_C9JV54_TTC32.pdf</v>
      </c>
    </row>
    <row r="359" spans="1:28" x14ac:dyDescent="0.25">
      <c r="A359" t="s">
        <v>363</v>
      </c>
      <c r="B359">
        <v>0.99542014353169495</v>
      </c>
      <c r="C359">
        <v>0.84824216367306104</v>
      </c>
      <c r="D359">
        <v>0.77961461168166801</v>
      </c>
      <c r="E359">
        <v>0.56948349009947197</v>
      </c>
      <c r="F359">
        <v>0.32705937609309699</v>
      </c>
      <c r="G359">
        <v>0.135132580168146</v>
      </c>
      <c r="H359">
        <v>5.5113273010442602E-2</v>
      </c>
      <c r="I359">
        <v>2.5596694423432001E-2</v>
      </c>
      <c r="J359">
        <v>2.2868643522968E-2</v>
      </c>
      <c r="K359">
        <v>4.8400450640006698E-2</v>
      </c>
      <c r="L359">
        <v>624.44580662827002</v>
      </c>
      <c r="M359">
        <v>13.2467835988601</v>
      </c>
      <c r="N359">
        <v>47.139427329602803</v>
      </c>
      <c r="O359">
        <v>46.104026827856103</v>
      </c>
      <c r="P359">
        <v>-7.1842778175907895E-2</v>
      </c>
      <c r="Q359">
        <v>0</v>
      </c>
      <c r="R359">
        <v>0.992799311500836</v>
      </c>
      <c r="S359" t="s">
        <v>6761</v>
      </c>
      <c r="T359" t="s">
        <v>12802</v>
      </c>
      <c r="U359" t="s">
        <v>12802</v>
      </c>
      <c r="V359" t="s">
        <v>12802</v>
      </c>
      <c r="W359" t="s">
        <v>13160</v>
      </c>
      <c r="X359">
        <v>1</v>
      </c>
      <c r="Y359" t="s">
        <v>19483</v>
      </c>
      <c r="Z359" t="s">
        <v>25677</v>
      </c>
      <c r="AA359">
        <v>0.36578730344226412</v>
      </c>
      <c r="AB359" t="str">
        <f>HYPERLINK("Melting_Curves/meltCurve_C9JVP0_FOXJ3.pdf", "Melting_Curves/meltCurve_C9JVP0_FOXJ3.pdf")</f>
        <v>Melting_Curves/meltCurve_C9JVP0_FOXJ3.pdf</v>
      </c>
    </row>
    <row r="360" spans="1:28" x14ac:dyDescent="0.25">
      <c r="A360" t="s">
        <v>364</v>
      </c>
      <c r="B360">
        <v>0.99542014353169495</v>
      </c>
      <c r="C360">
        <v>1.13960390872557</v>
      </c>
      <c r="D360">
        <v>0.93042493945000904</v>
      </c>
      <c r="E360">
        <v>1.12644839709017</v>
      </c>
      <c r="F360">
        <v>1.0442485455506001</v>
      </c>
      <c r="G360">
        <v>0.53469494819223495</v>
      </c>
      <c r="H360">
        <v>0.47524219081695002</v>
      </c>
      <c r="I360">
        <v>0.39740545548201101</v>
      </c>
      <c r="J360">
        <v>0</v>
      </c>
      <c r="K360">
        <v>0.28636523420175902</v>
      </c>
      <c r="L360">
        <v>1306.7674458741301</v>
      </c>
      <c r="M360">
        <v>23.9210843838407</v>
      </c>
      <c r="N360">
        <v>55.840998010256598</v>
      </c>
      <c r="O360">
        <v>54.250789137938199</v>
      </c>
      <c r="P360">
        <v>-8.7902498737931295E-2</v>
      </c>
      <c r="Q360">
        <v>0.20259408109674401</v>
      </c>
      <c r="R360">
        <v>0.89010050710658495</v>
      </c>
      <c r="S360" t="s">
        <v>6762</v>
      </c>
      <c r="T360" t="s">
        <v>12802</v>
      </c>
      <c r="U360" t="s">
        <v>12802</v>
      </c>
      <c r="V360" t="s">
        <v>12802</v>
      </c>
      <c r="W360" t="s">
        <v>13161</v>
      </c>
      <c r="X360">
        <v>1</v>
      </c>
      <c r="Y360" t="s">
        <v>19484</v>
      </c>
      <c r="Z360" t="s">
        <v>25678</v>
      </c>
      <c r="AA360">
        <v>0.67848896741702203</v>
      </c>
      <c r="AB360" t="str">
        <f>HYPERLINK("Melting_Curves/meltCurve_C9JVW0_PRR24.pdf", "Melting_Curves/meltCurve_C9JVW0_PRR24.pdf")</f>
        <v>Melting_Curves/meltCurve_C9JVW0_PRR24.pdf</v>
      </c>
    </row>
    <row r="361" spans="1:28" x14ac:dyDescent="0.25">
      <c r="A361" t="s">
        <v>365</v>
      </c>
      <c r="B361">
        <v>0.99542014353169495</v>
      </c>
      <c r="C361">
        <v>0.89558181693310102</v>
      </c>
      <c r="D361">
        <v>0.91221755883714895</v>
      </c>
      <c r="E361">
        <v>0.83063733837077103</v>
      </c>
      <c r="F361">
        <v>0.62921095243527003</v>
      </c>
      <c r="G361">
        <v>0.30936789378461499</v>
      </c>
      <c r="H361">
        <v>0.10339108914669901</v>
      </c>
      <c r="I361">
        <v>6.0852110810163701E-2</v>
      </c>
      <c r="J361">
        <v>6.6692632987901498E-2</v>
      </c>
      <c r="K361">
        <v>6.8242748344256393E-2</v>
      </c>
      <c r="L361">
        <v>880.85731427016105</v>
      </c>
      <c r="M361">
        <v>17.234365987062102</v>
      </c>
      <c r="N361">
        <v>51.241795618383598</v>
      </c>
      <c r="O361">
        <v>50.437271341801797</v>
      </c>
      <c r="P361">
        <v>-8.3584757861412604E-2</v>
      </c>
      <c r="Q361">
        <v>2.1596661350259599E-2</v>
      </c>
      <c r="R361">
        <v>0.98785181968691305</v>
      </c>
      <c r="S361" t="s">
        <v>6763</v>
      </c>
      <c r="T361" t="s">
        <v>12802</v>
      </c>
      <c r="U361" t="s">
        <v>12802</v>
      </c>
      <c r="V361" t="s">
        <v>12802</v>
      </c>
      <c r="W361" t="s">
        <v>13162</v>
      </c>
      <c r="X361">
        <v>8</v>
      </c>
      <c r="Y361" t="s">
        <v>19485</v>
      </c>
      <c r="Z361" t="s">
        <v>25679</v>
      </c>
      <c r="AA361">
        <v>0.49795419254725359</v>
      </c>
      <c r="AB361" t="str">
        <f>HYPERLINK("Melting_Curves/meltCurve_C9JXB8_RPL24.pdf", "Melting_Curves/meltCurve_C9JXB8_RPL24.pdf")</f>
        <v>Melting_Curves/meltCurve_C9JXB8_RPL24.pdf</v>
      </c>
    </row>
    <row r="362" spans="1:28" x14ac:dyDescent="0.25">
      <c r="A362" t="s">
        <v>366</v>
      </c>
      <c r="B362">
        <v>0.99542014353169495</v>
      </c>
      <c r="C362">
        <v>0.94823081338494797</v>
      </c>
      <c r="D362">
        <v>0.85274829662928298</v>
      </c>
      <c r="E362">
        <v>0.69956830414877602</v>
      </c>
      <c r="F362">
        <v>0.47578324289505602</v>
      </c>
      <c r="G362">
        <v>0.16216463513368301</v>
      </c>
      <c r="H362">
        <v>7.6531906527773294E-2</v>
      </c>
      <c r="I362">
        <v>5.7217040607379803E-2</v>
      </c>
      <c r="J362">
        <v>6.1166734427881397E-2</v>
      </c>
      <c r="K362">
        <v>4.1363002229687501E-2</v>
      </c>
      <c r="L362">
        <v>744.14446678696402</v>
      </c>
      <c r="M362">
        <v>15.169775498322901</v>
      </c>
      <c r="N362">
        <v>49.1128003897133</v>
      </c>
      <c r="O362">
        <v>48.225653466904397</v>
      </c>
      <c r="P362">
        <v>-7.7944214393578598E-2</v>
      </c>
      <c r="Q362">
        <v>8.9379143446165297E-3</v>
      </c>
      <c r="R362">
        <v>0.99309401391178498</v>
      </c>
      <c r="S362" t="s">
        <v>6764</v>
      </c>
      <c r="T362" t="s">
        <v>12802</v>
      </c>
      <c r="U362" t="s">
        <v>12802</v>
      </c>
      <c r="V362" t="s">
        <v>12802</v>
      </c>
      <c r="W362" t="s">
        <v>13163</v>
      </c>
      <c r="X362">
        <v>3</v>
      </c>
      <c r="Y362" t="s">
        <v>19486</v>
      </c>
      <c r="Z362" t="s">
        <v>25680</v>
      </c>
      <c r="AA362">
        <v>0.42807811489247499</v>
      </c>
      <c r="AB362" t="str">
        <f>HYPERLINK("Melting_Curves/meltCurve_C9JY06_NUDT22.pdf", "Melting_Curves/meltCurve_C9JY06_NUDT22.pdf")</f>
        <v>Melting_Curves/meltCurve_C9JY06_NUDT22.pdf</v>
      </c>
    </row>
    <row r="363" spans="1:28" x14ac:dyDescent="0.25">
      <c r="A363" t="s">
        <v>367</v>
      </c>
      <c r="B363">
        <v>0.99542014353169495</v>
      </c>
      <c r="C363">
        <v>1.1033636391852899</v>
      </c>
      <c r="D363">
        <v>1.1876737517107101</v>
      </c>
      <c r="E363">
        <v>1.1847382498008301</v>
      </c>
      <c r="F363">
        <v>0.95813008757471996</v>
      </c>
      <c r="G363">
        <v>0.82757609624088602</v>
      </c>
      <c r="H363">
        <v>0.46059088134994403</v>
      </c>
      <c r="I363">
        <v>0.18551577984117201</v>
      </c>
      <c r="J363">
        <v>0.19787312953119399</v>
      </c>
      <c r="K363">
        <v>0.14883306250814601</v>
      </c>
      <c r="L363">
        <v>1761.6855774692699</v>
      </c>
      <c r="M363">
        <v>31.317927809904798</v>
      </c>
      <c r="N363">
        <v>56.8999869893645</v>
      </c>
      <c r="O363">
        <v>56.023809066047903</v>
      </c>
      <c r="P363">
        <v>-0.11878295333493</v>
      </c>
      <c r="Q363">
        <v>0.15005407095446599</v>
      </c>
      <c r="R363">
        <v>0.95030180856919999</v>
      </c>
      <c r="S363" t="s">
        <v>6765</v>
      </c>
      <c r="T363" t="s">
        <v>12802</v>
      </c>
      <c r="U363" t="s">
        <v>12802</v>
      </c>
      <c r="V363" t="s">
        <v>12802</v>
      </c>
      <c r="W363" t="s">
        <v>13164</v>
      </c>
      <c r="X363">
        <v>1</v>
      </c>
      <c r="Y363" t="s">
        <v>19487</v>
      </c>
      <c r="Z363" t="s">
        <v>25681</v>
      </c>
      <c r="AA363">
        <v>0.70039244138521162</v>
      </c>
      <c r="AB363" t="str">
        <f>HYPERLINK("Melting_Curves/meltCurve_C9JYK5_BAG1.pdf", "Melting_Curves/meltCurve_C9JYK5_BAG1.pdf")</f>
        <v>Melting_Curves/meltCurve_C9JYK5_BAG1.pdf</v>
      </c>
    </row>
    <row r="364" spans="1:28" x14ac:dyDescent="0.25">
      <c r="A364" t="s">
        <v>368</v>
      </c>
      <c r="B364">
        <v>0.99542014353169495</v>
      </c>
      <c r="C364">
        <v>0.81051022301973397</v>
      </c>
      <c r="D364">
        <v>0.88177842126494599</v>
      </c>
      <c r="E364">
        <v>0.76909582471258997</v>
      </c>
      <c r="F364">
        <v>0.55951008876571395</v>
      </c>
      <c r="G364">
        <v>0.42774685122524803</v>
      </c>
      <c r="H364">
        <v>0.375977653011138</v>
      </c>
      <c r="I364">
        <v>0.38755748921349298</v>
      </c>
      <c r="J364">
        <v>0.60215010901948296</v>
      </c>
      <c r="K364">
        <v>0.70703972964154005</v>
      </c>
      <c r="L364">
        <v>775.14465075027897</v>
      </c>
      <c r="M364">
        <v>17.092267611935402</v>
      </c>
      <c r="N364">
        <v>63.206768069969698</v>
      </c>
      <c r="O364">
        <v>44.743479161024503</v>
      </c>
      <c r="P364">
        <v>-4.8135517808864298E-2</v>
      </c>
      <c r="Q364">
        <v>0.49600128044564001</v>
      </c>
      <c r="R364">
        <v>0.70636361546456705</v>
      </c>
      <c r="S364" t="s">
        <v>6766</v>
      </c>
      <c r="T364" t="s">
        <v>12802</v>
      </c>
      <c r="U364" t="s">
        <v>12802</v>
      </c>
      <c r="V364" t="s">
        <v>12802</v>
      </c>
      <c r="W364" t="s">
        <v>13165</v>
      </c>
      <c r="X364">
        <v>1</v>
      </c>
      <c r="Y364" t="s">
        <v>19488</v>
      </c>
      <c r="Z364" t="s">
        <v>25682</v>
      </c>
      <c r="AA364">
        <v>0.64541636847578265</v>
      </c>
      <c r="AB364" t="str">
        <f>HYPERLINK("Melting_Curves/meltCurve_C9JYN0_SYPL1.pdf", "Melting_Curves/meltCurve_C9JYN0_SYPL1.pdf")</f>
        <v>Melting_Curves/meltCurve_C9JYN0_SYPL1.pdf</v>
      </c>
    </row>
    <row r="365" spans="1:28" x14ac:dyDescent="0.25">
      <c r="A365" t="s">
        <v>369</v>
      </c>
      <c r="B365">
        <v>0.99542014353169495</v>
      </c>
      <c r="C365">
        <v>0.98102774424166295</v>
      </c>
      <c r="D365">
        <v>0.80458271958028005</v>
      </c>
      <c r="E365">
        <v>0.61630093984992695</v>
      </c>
      <c r="F365">
        <v>0.40532392054533301</v>
      </c>
      <c r="G365">
        <v>0.202213435820153</v>
      </c>
      <c r="H365">
        <v>0.13563470518416901</v>
      </c>
      <c r="I365">
        <v>8.1044776906600294E-2</v>
      </c>
      <c r="J365">
        <v>5.7236345347306497E-2</v>
      </c>
      <c r="K365">
        <v>0</v>
      </c>
      <c r="L365">
        <v>612.48569796417303</v>
      </c>
      <c r="M365">
        <v>12.6454253441678</v>
      </c>
      <c r="N365">
        <v>48.435357600264602</v>
      </c>
      <c r="O365">
        <v>47.271995615520801</v>
      </c>
      <c r="P365">
        <v>-6.6889069755481798E-2</v>
      </c>
      <c r="Q365">
        <v>0</v>
      </c>
      <c r="R365">
        <v>0.996492010882844</v>
      </c>
      <c r="S365" t="s">
        <v>6767</v>
      </c>
      <c r="T365" t="s">
        <v>12802</v>
      </c>
      <c r="U365" t="s">
        <v>12802</v>
      </c>
      <c r="V365" t="s">
        <v>12802</v>
      </c>
      <c r="W365" t="s">
        <v>13166</v>
      </c>
      <c r="X365">
        <v>2</v>
      </c>
      <c r="Y365" t="s">
        <v>19489</v>
      </c>
      <c r="Z365" t="s">
        <v>25683</v>
      </c>
      <c r="AA365">
        <v>0.40959109818037831</v>
      </c>
      <c r="AB365" t="str">
        <f>HYPERLINK("Melting_Curves/meltCurve_C9JZB0_INPP5K.pdf", "Melting_Curves/meltCurve_C9JZB0_INPP5K.pdf")</f>
        <v>Melting_Curves/meltCurve_C9JZB0_INPP5K.pdf</v>
      </c>
    </row>
    <row r="366" spans="1:28" x14ac:dyDescent="0.25">
      <c r="A366" t="s">
        <v>370</v>
      </c>
      <c r="B366">
        <v>0.99542014353169495</v>
      </c>
      <c r="C366">
        <v>0.82343934497194504</v>
      </c>
      <c r="D366">
        <v>0.87483131558571503</v>
      </c>
      <c r="E366">
        <v>0.75315860937329104</v>
      </c>
      <c r="F366">
        <v>0.63795332903673496</v>
      </c>
      <c r="G366">
        <v>0.247906942755939</v>
      </c>
      <c r="H366">
        <v>0.112953988252861</v>
      </c>
      <c r="I366">
        <v>6.17582318986995E-2</v>
      </c>
      <c r="J366">
        <v>7.2023794287655304E-2</v>
      </c>
      <c r="K366">
        <v>6.9696490902642294E-2</v>
      </c>
      <c r="L366">
        <v>689.16729433210799</v>
      </c>
      <c r="M366">
        <v>13.627464728563901</v>
      </c>
      <c r="N366">
        <v>50.5719398826147</v>
      </c>
      <c r="O366">
        <v>49.5202326645121</v>
      </c>
      <c r="P366">
        <v>-6.8807601786921399E-2</v>
      </c>
      <c r="Q366">
        <v>0</v>
      </c>
      <c r="R366">
        <v>0.96567011214589205</v>
      </c>
      <c r="S366" t="s">
        <v>6768</v>
      </c>
      <c r="T366" t="s">
        <v>12802</v>
      </c>
      <c r="U366" t="s">
        <v>12802</v>
      </c>
      <c r="V366" t="s">
        <v>12802</v>
      </c>
      <c r="W366" t="s">
        <v>13140</v>
      </c>
      <c r="X366">
        <v>11</v>
      </c>
      <c r="Y366" t="s">
        <v>19463</v>
      </c>
      <c r="Z366" t="s">
        <v>25684</v>
      </c>
      <c r="AA366">
        <v>0.47562096209039961</v>
      </c>
      <c r="AB366" t="str">
        <f>HYPERLINK("Melting_Curves/meltCurve_C9JZG2_GART.pdf", "Melting_Curves/meltCurve_C9JZG2_GART.pdf")</f>
        <v>Melting_Curves/meltCurve_C9JZG2_GART.pdf</v>
      </c>
    </row>
    <row r="367" spans="1:28" x14ac:dyDescent="0.25">
      <c r="A367" t="s">
        <v>371</v>
      </c>
      <c r="B367">
        <v>0.99542014353169495</v>
      </c>
      <c r="C367">
        <v>0.93619062611376003</v>
      </c>
      <c r="D367">
        <v>0.93339610213894297</v>
      </c>
      <c r="E367">
        <v>0.84498703171941003</v>
      </c>
      <c r="F367">
        <v>0.583489161950415</v>
      </c>
      <c r="G367">
        <v>0.25924821131783599</v>
      </c>
      <c r="H367">
        <v>0.112366856824967</v>
      </c>
      <c r="I367">
        <v>8.0169608797243899E-2</v>
      </c>
      <c r="J367">
        <v>8.4160724168134401E-2</v>
      </c>
      <c r="K367">
        <v>8.3537110677515194E-2</v>
      </c>
      <c r="L367">
        <v>1016.64370060431</v>
      </c>
      <c r="M367">
        <v>20.130090461602801</v>
      </c>
      <c r="N367">
        <v>50.821877652603803</v>
      </c>
      <c r="O367">
        <v>50.013201766271997</v>
      </c>
      <c r="P367">
        <v>-9.4669184176278398E-2</v>
      </c>
      <c r="Q367">
        <v>5.9207646740335802E-2</v>
      </c>
      <c r="R367">
        <v>0.99525368338229003</v>
      </c>
      <c r="S367" t="s">
        <v>6769</v>
      </c>
      <c r="T367" t="s">
        <v>12802</v>
      </c>
      <c r="U367" t="s">
        <v>12802</v>
      </c>
      <c r="V367" t="s">
        <v>12802</v>
      </c>
      <c r="W367" t="s">
        <v>13167</v>
      </c>
      <c r="X367">
        <v>15</v>
      </c>
      <c r="Y367" t="s">
        <v>19490</v>
      </c>
      <c r="Z367" t="s">
        <v>25685</v>
      </c>
      <c r="AA367">
        <v>0.49490640328880908</v>
      </c>
      <c r="AB367" t="str">
        <f>HYPERLINK("Melting_Curves/meltCurve_C9JZR4_ARFGAP3.pdf", "Melting_Curves/meltCurve_C9JZR4_ARFGAP3.pdf")</f>
        <v>Melting_Curves/meltCurve_C9JZR4_ARFGAP3.pdf</v>
      </c>
    </row>
    <row r="368" spans="1:28" x14ac:dyDescent="0.25">
      <c r="A368" t="s">
        <v>372</v>
      </c>
      <c r="B368">
        <v>0.99542014353169495</v>
      </c>
      <c r="C368">
        <v>0.93927797125317802</v>
      </c>
      <c r="D368">
        <v>0.95746548320916203</v>
      </c>
      <c r="E368">
        <v>0.92781410372407502</v>
      </c>
      <c r="F368">
        <v>0.64746954766435105</v>
      </c>
      <c r="G368">
        <v>0.34408911290181599</v>
      </c>
      <c r="H368">
        <v>0.11348139045375701</v>
      </c>
      <c r="I368">
        <v>5.8471218054361597E-2</v>
      </c>
      <c r="J368">
        <v>4.7403505784749903E-2</v>
      </c>
      <c r="K368">
        <v>5.0048021668690899E-2</v>
      </c>
      <c r="L368">
        <v>1087.5498186400901</v>
      </c>
      <c r="M368">
        <v>21.0436952553537</v>
      </c>
      <c r="N368">
        <v>51.826017520041503</v>
      </c>
      <c r="O368">
        <v>51.220648769619402</v>
      </c>
      <c r="P368">
        <v>-9.9768187871429603E-2</v>
      </c>
      <c r="Q368">
        <v>2.8677202785286401E-2</v>
      </c>
      <c r="R368">
        <v>0.99639035244377405</v>
      </c>
      <c r="S368" t="s">
        <v>6770</v>
      </c>
      <c r="T368" t="s">
        <v>12802</v>
      </c>
      <c r="U368" t="s">
        <v>12802</v>
      </c>
      <c r="V368" t="s">
        <v>12802</v>
      </c>
      <c r="W368" t="s">
        <v>13168</v>
      </c>
      <c r="X368">
        <v>3</v>
      </c>
      <c r="Y368" t="s">
        <v>19491</v>
      </c>
      <c r="Z368" t="s">
        <v>25686</v>
      </c>
      <c r="AA368">
        <v>0.51560502860198676</v>
      </c>
      <c r="AB368" t="str">
        <f>HYPERLINK("Melting_Curves/meltCurve_C9JZY6_UBE2H.pdf", "Melting_Curves/meltCurve_C9JZY6_UBE2H.pdf")</f>
        <v>Melting_Curves/meltCurve_C9JZY6_UBE2H.pdf</v>
      </c>
    </row>
    <row r="369" spans="1:28" x14ac:dyDescent="0.25">
      <c r="A369" t="s">
        <v>373</v>
      </c>
      <c r="B369">
        <v>0.99542014353169495</v>
      </c>
      <c r="C369">
        <v>1.08546597675463</v>
      </c>
      <c r="D369">
        <v>0.845173033636759</v>
      </c>
      <c r="E369">
        <v>0.59507903079713897</v>
      </c>
      <c r="F369">
        <v>0.33385560070978099</v>
      </c>
      <c r="G369">
        <v>0.27144606363062102</v>
      </c>
      <c r="H369">
        <v>0.16115754316790201</v>
      </c>
      <c r="I369">
        <v>0.11799742886680099</v>
      </c>
      <c r="J369">
        <v>0.121131912133398</v>
      </c>
      <c r="K369">
        <v>9.9100338835705307E-2</v>
      </c>
      <c r="L369">
        <v>830.43410621247597</v>
      </c>
      <c r="M369">
        <v>17.577803564751999</v>
      </c>
      <c r="N369">
        <v>47.973757234641099</v>
      </c>
      <c r="O369">
        <v>46.644622900260899</v>
      </c>
      <c r="P369">
        <v>-8.3155104511981298E-2</v>
      </c>
      <c r="Q369">
        <v>0.117403452620974</v>
      </c>
      <c r="R369">
        <v>0.98533333980499305</v>
      </c>
      <c r="S369" t="s">
        <v>6771</v>
      </c>
      <c r="T369" t="s">
        <v>12802</v>
      </c>
      <c r="U369" t="s">
        <v>12802</v>
      </c>
      <c r="V369" t="s">
        <v>12802</v>
      </c>
      <c r="W369" t="s">
        <v>13169</v>
      </c>
      <c r="X369">
        <v>1</v>
      </c>
      <c r="Y369" t="s">
        <v>19492</v>
      </c>
      <c r="Z369" t="s">
        <v>25687</v>
      </c>
      <c r="AA369">
        <v>0.43356071540807212</v>
      </c>
      <c r="AB369" t="str">
        <f>HYPERLINK("Melting_Curves/meltCurve_C9K0I0_TSKS.pdf", "Melting_Curves/meltCurve_C9K0I0_TSKS.pdf")</f>
        <v>Melting_Curves/meltCurve_C9K0I0_TSKS.pdf</v>
      </c>
    </row>
    <row r="370" spans="1:28" x14ac:dyDescent="0.25">
      <c r="A370" t="s">
        <v>374</v>
      </c>
      <c r="B370">
        <v>0.99542014353169495</v>
      </c>
      <c r="C370">
        <v>1.0330982766733201</v>
      </c>
      <c r="D370">
        <v>0.93088644374306195</v>
      </c>
      <c r="E370">
        <v>0.64023281685381195</v>
      </c>
      <c r="F370">
        <v>0.354099838632427</v>
      </c>
      <c r="G370">
        <v>0.15569228513802899</v>
      </c>
      <c r="H370">
        <v>0.124904938716541</v>
      </c>
      <c r="I370">
        <v>0.100121483921483</v>
      </c>
      <c r="J370">
        <v>0.12260862667788</v>
      </c>
      <c r="K370">
        <v>0.11069069661612101</v>
      </c>
      <c r="L370">
        <v>1037.8869859184899</v>
      </c>
      <c r="M370">
        <v>21.779394565913002</v>
      </c>
      <c r="N370">
        <v>48.177016719044097</v>
      </c>
      <c r="O370">
        <v>47.2582572723841</v>
      </c>
      <c r="P370">
        <v>-0.103098150925616</v>
      </c>
      <c r="Q370">
        <v>0.105186556557439</v>
      </c>
      <c r="R370">
        <v>0.99724875202135399</v>
      </c>
      <c r="S370" t="s">
        <v>6772</v>
      </c>
      <c r="T370" t="s">
        <v>12802</v>
      </c>
      <c r="U370" t="s">
        <v>12802</v>
      </c>
      <c r="V370" t="s">
        <v>12802</v>
      </c>
      <c r="W370" t="s">
        <v>13170</v>
      </c>
      <c r="X370">
        <v>6</v>
      </c>
      <c r="Y370" t="s">
        <v>19493</v>
      </c>
      <c r="Z370" t="s">
        <v>25688</v>
      </c>
      <c r="AA370">
        <v>0.43293865217952571</v>
      </c>
      <c r="AB370" t="str">
        <f>HYPERLINK("Melting_Curves/meltCurve_C9K0X5_SNUPN.pdf", "Melting_Curves/meltCurve_C9K0X5_SNUPN.pdf")</f>
        <v>Melting_Curves/meltCurve_C9K0X5_SNUPN.pdf</v>
      </c>
    </row>
    <row r="371" spans="1:28" x14ac:dyDescent="0.25">
      <c r="A371" t="s">
        <v>375</v>
      </c>
      <c r="B371">
        <v>0.99542014353169495</v>
      </c>
      <c r="C371">
        <v>0.85849330297649995</v>
      </c>
      <c r="D371">
        <v>1.09140049826703</v>
      </c>
      <c r="E371">
        <v>0.93082020339758698</v>
      </c>
      <c r="F371">
        <v>0.36664189625364901</v>
      </c>
      <c r="G371">
        <v>0.26363922095502601</v>
      </c>
      <c r="H371">
        <v>0.151943480631133</v>
      </c>
      <c r="I371">
        <v>6.8503574356698294E-2</v>
      </c>
      <c r="J371">
        <v>8.8397562334345203E-2</v>
      </c>
      <c r="K371">
        <v>9.4118981247585498E-2</v>
      </c>
      <c r="L371">
        <v>1858.0853700497901</v>
      </c>
      <c r="M371">
        <v>37.782441157239496</v>
      </c>
      <c r="N371">
        <v>49.542392025494401</v>
      </c>
      <c r="O371">
        <v>49.041380137458098</v>
      </c>
      <c r="P371">
        <v>-0.169270482220056</v>
      </c>
      <c r="Q371">
        <v>0.121154036285246</v>
      </c>
      <c r="R371">
        <v>0.97026122698476602</v>
      </c>
      <c r="S371" t="s">
        <v>6773</v>
      </c>
      <c r="T371" t="s">
        <v>12802</v>
      </c>
      <c r="U371" t="s">
        <v>12802</v>
      </c>
      <c r="V371" t="s">
        <v>12802</v>
      </c>
      <c r="W371" t="s">
        <v>13171</v>
      </c>
      <c r="X371">
        <v>1</v>
      </c>
      <c r="Y371" t="s">
        <v>19494</v>
      </c>
      <c r="Z371" t="s">
        <v>25689</v>
      </c>
      <c r="AA371">
        <v>0.48127264404006481</v>
      </c>
      <c r="AB371" t="str">
        <f>HYPERLINK("Melting_Curves/meltCurve_D3DTZ5_SUPT4H1.pdf", "Melting_Curves/meltCurve_D3DTZ5_SUPT4H1.pdf")</f>
        <v>Melting_Curves/meltCurve_D3DTZ5_SUPT4H1.pdf</v>
      </c>
    </row>
    <row r="372" spans="1:28" x14ac:dyDescent="0.25">
      <c r="A372" t="s">
        <v>376</v>
      </c>
      <c r="B372">
        <v>0.99542014353169495</v>
      </c>
      <c r="C372">
        <v>0.97045437443935401</v>
      </c>
      <c r="D372">
        <v>1.0032935616035801</v>
      </c>
      <c r="E372">
        <v>0.82677374800937897</v>
      </c>
      <c r="F372">
        <v>0.75735309553302799</v>
      </c>
      <c r="G372">
        <v>0.46711833541522602</v>
      </c>
      <c r="H372">
        <v>0.33250705642984602</v>
      </c>
      <c r="I372">
        <v>0.16780711984244501</v>
      </c>
      <c r="J372">
        <v>0.182859078038135</v>
      </c>
      <c r="K372">
        <v>0.159076227389887</v>
      </c>
      <c r="L372">
        <v>778.63721095373603</v>
      </c>
      <c r="M372">
        <v>14.777453219246601</v>
      </c>
      <c r="N372">
        <v>53.574884829987802</v>
      </c>
      <c r="O372">
        <v>51.754206094723699</v>
      </c>
      <c r="P372">
        <v>-6.3666811723167002E-2</v>
      </c>
      <c r="Q372">
        <v>0.108189396375969</v>
      </c>
      <c r="R372">
        <v>0.99085766271925302</v>
      </c>
      <c r="S372" t="s">
        <v>6774</v>
      </c>
      <c r="T372" t="s">
        <v>12802</v>
      </c>
      <c r="U372" t="s">
        <v>12802</v>
      </c>
      <c r="V372" t="s">
        <v>12802</v>
      </c>
      <c r="W372" t="s">
        <v>13172</v>
      </c>
      <c r="X372">
        <v>2</v>
      </c>
      <c r="Y372" t="s">
        <v>19495</v>
      </c>
      <c r="Z372" t="s">
        <v>25690</v>
      </c>
      <c r="AA372">
        <v>0.59118464550898042</v>
      </c>
      <c r="AB372" t="str">
        <f>HYPERLINK("Melting_Curves/meltCurve_D3DWC4_TMEM23.pdf", "Melting_Curves/meltCurve_D3DWC4_TMEM23.pdf")</f>
        <v>Melting_Curves/meltCurve_D3DWC4_TMEM23.pdf</v>
      </c>
    </row>
    <row r="373" spans="1:28" x14ac:dyDescent="0.25">
      <c r="A373" t="s">
        <v>377</v>
      </c>
      <c r="B373">
        <v>0.99542014353169495</v>
      </c>
      <c r="C373">
        <v>1.06057120104292</v>
      </c>
      <c r="D373">
        <v>0.961618198106311</v>
      </c>
      <c r="E373">
        <v>0.752582776089328</v>
      </c>
      <c r="F373">
        <v>0.52175289498888699</v>
      </c>
      <c r="G373">
        <v>0.306415667558886</v>
      </c>
      <c r="H373">
        <v>0.11277958470383601</v>
      </c>
      <c r="I373">
        <v>5.1761230400805998E-2</v>
      </c>
      <c r="J373">
        <v>5.91620220359532E-2</v>
      </c>
      <c r="K373">
        <v>6.1240899777354099E-2</v>
      </c>
      <c r="L373">
        <v>820.83194801993295</v>
      </c>
      <c r="M373">
        <v>16.331435436695902</v>
      </c>
      <c r="N373">
        <v>50.420567712798103</v>
      </c>
      <c r="O373">
        <v>49.525397026209497</v>
      </c>
      <c r="P373">
        <v>-8.0367527447152295E-2</v>
      </c>
      <c r="Q373">
        <v>2.5206131911527901E-2</v>
      </c>
      <c r="R373">
        <v>0.99375816434294795</v>
      </c>
      <c r="S373" t="s">
        <v>6775</v>
      </c>
      <c r="T373" t="s">
        <v>12802</v>
      </c>
      <c r="U373" t="s">
        <v>12802</v>
      </c>
      <c r="V373" t="s">
        <v>12802</v>
      </c>
      <c r="W373" t="s">
        <v>13173</v>
      </c>
      <c r="X373">
        <v>4</v>
      </c>
      <c r="Y373" t="s">
        <v>19496</v>
      </c>
      <c r="Z373" t="s">
        <v>25691</v>
      </c>
      <c r="AA373">
        <v>0.47392591388997418</v>
      </c>
      <c r="AB373" t="str">
        <f>HYPERLINK("Melting_Curves/meltCurve_D3YTB1_RPL32.pdf", "Melting_Curves/meltCurve_D3YTB1_RPL32.pdf")</f>
        <v>Melting_Curves/meltCurve_D3YTB1_RPL32.pdf</v>
      </c>
    </row>
    <row r="374" spans="1:28" x14ac:dyDescent="0.25">
      <c r="A374" t="s">
        <v>378</v>
      </c>
      <c r="B374">
        <v>0.99542014353169495</v>
      </c>
      <c r="C374">
        <v>0.81022015130181302</v>
      </c>
      <c r="D374">
        <v>0.50815886229272</v>
      </c>
      <c r="E374">
        <v>0.151518827813444</v>
      </c>
      <c r="F374">
        <v>3.9266445412215897E-2</v>
      </c>
      <c r="G374">
        <v>2.2479104077211501E-2</v>
      </c>
      <c r="H374">
        <v>2.1630421354175901E-2</v>
      </c>
      <c r="I374">
        <v>2.0121333371293501E-2</v>
      </c>
      <c r="J374">
        <v>1.8597683665272102E-2</v>
      </c>
      <c r="K374">
        <v>1.7846880709226701E-2</v>
      </c>
      <c r="L374">
        <v>932.84876300557698</v>
      </c>
      <c r="M374">
        <v>21.7620652860329</v>
      </c>
      <c r="N374">
        <v>42.919847590484103</v>
      </c>
      <c r="O374">
        <v>42.508770518791401</v>
      </c>
      <c r="P374">
        <v>-0.12625952258543999</v>
      </c>
      <c r="Q374">
        <v>1.35102565093554E-2</v>
      </c>
      <c r="R374">
        <v>0.99836949479995996</v>
      </c>
      <c r="S374" t="s">
        <v>6776</v>
      </c>
      <c r="T374" t="s">
        <v>12802</v>
      </c>
      <c r="U374" t="s">
        <v>12802</v>
      </c>
      <c r="V374" t="s">
        <v>12802</v>
      </c>
      <c r="W374" t="s">
        <v>13174</v>
      </c>
      <c r="X374">
        <v>4</v>
      </c>
      <c r="Y374" t="s">
        <v>19497</v>
      </c>
      <c r="Z374" t="s">
        <v>25692</v>
      </c>
      <c r="AA374">
        <v>0.21782090196068579</v>
      </c>
      <c r="AB374" t="str">
        <f>HYPERLINK("Melting_Curves/meltCurve_D3YTB5_IRAK1.pdf", "Melting_Curves/meltCurve_D3YTB5_IRAK1.pdf")</f>
        <v>Melting_Curves/meltCurve_D3YTB5_IRAK1.pdf</v>
      </c>
    </row>
    <row r="375" spans="1:28" x14ac:dyDescent="0.25">
      <c r="A375" t="s">
        <v>379</v>
      </c>
      <c r="B375">
        <v>0.99542014353169495</v>
      </c>
      <c r="C375">
        <v>1.0125113752835</v>
      </c>
      <c r="D375">
        <v>0.91290246623666205</v>
      </c>
      <c r="E375">
        <v>0.91470230703216104</v>
      </c>
      <c r="F375">
        <v>0.77235134405131201</v>
      </c>
      <c r="G375">
        <v>0.48961573888479898</v>
      </c>
      <c r="H375">
        <v>0.24521990477344999</v>
      </c>
      <c r="I375">
        <v>0.13577356379129299</v>
      </c>
      <c r="J375">
        <v>0.128767422542171</v>
      </c>
      <c r="K375">
        <v>0.15048783540459901</v>
      </c>
      <c r="L375">
        <v>1019.36779593168</v>
      </c>
      <c r="M375">
        <v>19.294122381524101</v>
      </c>
      <c r="N375">
        <v>53.465532933429699</v>
      </c>
      <c r="O375">
        <v>52.2753378169337</v>
      </c>
      <c r="P375">
        <v>-8.2860109026850495E-2</v>
      </c>
      <c r="Q375">
        <v>0.102031647310448</v>
      </c>
      <c r="R375">
        <v>0.99308284180391604</v>
      </c>
      <c r="S375" t="s">
        <v>6777</v>
      </c>
      <c r="T375" t="s">
        <v>12802</v>
      </c>
      <c r="U375" t="s">
        <v>12802</v>
      </c>
      <c r="V375" t="s">
        <v>12802</v>
      </c>
      <c r="W375" t="s">
        <v>13175</v>
      </c>
      <c r="X375">
        <v>6</v>
      </c>
      <c r="Y375" t="s">
        <v>19498</v>
      </c>
      <c r="Z375" t="s">
        <v>25693</v>
      </c>
      <c r="AA375">
        <v>0.58792411747178808</v>
      </c>
      <c r="AB375" t="str">
        <f>HYPERLINK("Melting_Curves/meltCurve_D3YTG6_NDOR1.pdf", "Melting_Curves/meltCurve_D3YTG6_NDOR1.pdf")</f>
        <v>Melting_Curves/meltCurve_D3YTG6_NDOR1.pdf</v>
      </c>
    </row>
    <row r="376" spans="1:28" x14ac:dyDescent="0.25">
      <c r="A376" t="s">
        <v>380</v>
      </c>
      <c r="B376">
        <v>0.99542014353169495</v>
      </c>
      <c r="C376">
        <v>1.0342320174220401</v>
      </c>
      <c r="D376">
        <v>0.98726478467286605</v>
      </c>
      <c r="E376">
        <v>0.85962242400426603</v>
      </c>
      <c r="F376">
        <v>0.45052119984099298</v>
      </c>
      <c r="G376">
        <v>0.169692054738628</v>
      </c>
      <c r="H376">
        <v>8.1895649629738998E-2</v>
      </c>
      <c r="I376">
        <v>7.1684114053397793E-2</v>
      </c>
      <c r="J376">
        <v>6.0799235792123402E-2</v>
      </c>
      <c r="K376">
        <v>2.65526234485178E-2</v>
      </c>
      <c r="L376">
        <v>1299.2039765038701</v>
      </c>
      <c r="M376">
        <v>26.170826233620801</v>
      </c>
      <c r="N376">
        <v>49.850647995951199</v>
      </c>
      <c r="O376">
        <v>49.356086168386902</v>
      </c>
      <c r="P376">
        <v>-0.12572395940522099</v>
      </c>
      <c r="Q376">
        <v>5.1589364628933002E-2</v>
      </c>
      <c r="R376">
        <v>0.99868065911989801</v>
      </c>
      <c r="S376" t="s">
        <v>6778</v>
      </c>
      <c r="T376" t="s">
        <v>12802</v>
      </c>
      <c r="U376" t="s">
        <v>12802</v>
      </c>
      <c r="V376" t="s">
        <v>12802</v>
      </c>
      <c r="W376" t="s">
        <v>13176</v>
      </c>
      <c r="X376">
        <v>2</v>
      </c>
      <c r="Y376" t="s">
        <v>19499</v>
      </c>
      <c r="Z376" t="s">
        <v>25694</v>
      </c>
      <c r="AA376">
        <v>0.45885081028958369</v>
      </c>
      <c r="AB376" t="str">
        <f>HYPERLINK("Melting_Curves/meltCurve_D3YTI9_TAPBP.pdf", "Melting_Curves/meltCurve_D3YTI9_TAPBP.pdf")</f>
        <v>Melting_Curves/meltCurve_D3YTI9_TAPBP.pdf</v>
      </c>
    </row>
    <row r="377" spans="1:28" x14ac:dyDescent="0.25">
      <c r="A377" t="s">
        <v>381</v>
      </c>
      <c r="B377">
        <v>0.99542014353169495</v>
      </c>
      <c r="C377">
        <v>1.0139698557216299</v>
      </c>
      <c r="D377">
        <v>0.97329588681148904</v>
      </c>
      <c r="E377">
        <v>0.81356991442465498</v>
      </c>
      <c r="F377">
        <v>0.86681777065152799</v>
      </c>
      <c r="G377">
        <v>0.91874178967131304</v>
      </c>
      <c r="H377">
        <v>0.75187263528121195</v>
      </c>
      <c r="I377">
        <v>0.74935790898424604</v>
      </c>
      <c r="J377">
        <v>0.73295059459314504</v>
      </c>
      <c r="K377">
        <v>0.74024015463289194</v>
      </c>
      <c r="L377">
        <v>382.25162209191899</v>
      </c>
      <c r="M377">
        <v>7.2105123279601102</v>
      </c>
      <c r="O377">
        <v>49.390736638357801</v>
      </c>
      <c r="P377">
        <v>-1.21157432731722E-2</v>
      </c>
      <c r="Q377">
        <v>0.668588368898553</v>
      </c>
      <c r="R377">
        <v>0.80498231249065999</v>
      </c>
      <c r="S377" t="s">
        <v>6779</v>
      </c>
      <c r="T377" t="s">
        <v>12802</v>
      </c>
      <c r="U377" t="s">
        <v>12802</v>
      </c>
      <c r="V377" t="s">
        <v>12802</v>
      </c>
      <c r="W377" t="s">
        <v>13177</v>
      </c>
      <c r="X377">
        <v>3</v>
      </c>
      <c r="Y377" t="s">
        <v>19500</v>
      </c>
      <c r="Z377" t="s">
        <v>25695</v>
      </c>
      <c r="AA377">
        <v>0.85232348826272664</v>
      </c>
      <c r="AB377" t="str">
        <f>HYPERLINK("Melting_Curves/meltCurve_D6R941_MRPS36.pdf", "Melting_Curves/meltCurve_D6R941_MRPS36.pdf")</f>
        <v>Melting_Curves/meltCurve_D6R941_MRPS36.pdf</v>
      </c>
    </row>
    <row r="378" spans="1:28" x14ac:dyDescent="0.25">
      <c r="A378" t="s">
        <v>382</v>
      </c>
      <c r="B378">
        <v>0.99542014353169495</v>
      </c>
      <c r="C378">
        <v>1.0296313747943</v>
      </c>
      <c r="D378">
        <v>0.86979139524665305</v>
      </c>
      <c r="E378">
        <v>0.84818458002650299</v>
      </c>
      <c r="F378">
        <v>0.62961720005058297</v>
      </c>
      <c r="G378">
        <v>0.52263351787123602</v>
      </c>
      <c r="H378">
        <v>0.25682129132679199</v>
      </c>
      <c r="I378">
        <v>0.24981725802936899</v>
      </c>
      <c r="J378">
        <v>0.32583493673866598</v>
      </c>
      <c r="K378">
        <v>0.36950342168147099</v>
      </c>
      <c r="L378">
        <v>820.76444646257505</v>
      </c>
      <c r="M378">
        <v>16.4136504504703</v>
      </c>
      <c r="N378">
        <v>52.651379785168203</v>
      </c>
      <c r="O378">
        <v>49.2804054252043</v>
      </c>
      <c r="P378">
        <v>-5.98828912911675E-2</v>
      </c>
      <c r="Q378">
        <v>0.28088045276353601</v>
      </c>
      <c r="R378">
        <v>0.95857421436061097</v>
      </c>
      <c r="S378" t="s">
        <v>6780</v>
      </c>
      <c r="T378" t="s">
        <v>12802</v>
      </c>
      <c r="U378" t="s">
        <v>12802</v>
      </c>
      <c r="V378" t="s">
        <v>12802</v>
      </c>
      <c r="W378" t="s">
        <v>13178</v>
      </c>
      <c r="X378">
        <v>1</v>
      </c>
      <c r="Y378" t="s">
        <v>19501</v>
      </c>
      <c r="Z378" t="s">
        <v>25696</v>
      </c>
      <c r="AA378">
        <v>0.60575032653942518</v>
      </c>
      <c r="AB378" t="str">
        <f>HYPERLINK("Melting_Curves/meltCurve_D6R968_N4BP2L2.pdf", "Melting_Curves/meltCurve_D6R968_N4BP2L2.pdf")</f>
        <v>Melting_Curves/meltCurve_D6R968_N4BP2L2.pdf</v>
      </c>
    </row>
    <row r="379" spans="1:28" x14ac:dyDescent="0.25">
      <c r="A379" t="s">
        <v>383</v>
      </c>
      <c r="B379">
        <v>0.99542014353169495</v>
      </c>
      <c r="C379">
        <v>1.00954889448795</v>
      </c>
      <c r="D379">
        <v>0.97270192823307999</v>
      </c>
      <c r="E379">
        <v>1.10638851827913</v>
      </c>
      <c r="F379">
        <v>0.94822999978142497</v>
      </c>
      <c r="G379">
        <v>0.73298240247798696</v>
      </c>
      <c r="H379">
        <v>0.44146146731132202</v>
      </c>
      <c r="I379">
        <v>0.320226099905422</v>
      </c>
      <c r="J379">
        <v>0.45530398226865898</v>
      </c>
      <c r="K379">
        <v>0.66703601125189005</v>
      </c>
      <c r="L379">
        <v>13448.9743771453</v>
      </c>
      <c r="M379">
        <v>250</v>
      </c>
      <c r="N379">
        <v>54.415706152154797</v>
      </c>
      <c r="O379">
        <v>53.792434906134403</v>
      </c>
      <c r="P379">
        <v>-0.614622820521881</v>
      </c>
      <c r="Q379">
        <v>0.471006873543728</v>
      </c>
      <c r="R379">
        <v>0.89214392242618101</v>
      </c>
      <c r="S379" t="s">
        <v>6781</v>
      </c>
      <c r="T379" t="s">
        <v>12802</v>
      </c>
      <c r="U379" t="s">
        <v>12802</v>
      </c>
      <c r="V379" t="s">
        <v>12802</v>
      </c>
      <c r="W379" t="s">
        <v>13179</v>
      </c>
      <c r="X379">
        <v>8</v>
      </c>
      <c r="Y379" t="s">
        <v>19502</v>
      </c>
      <c r="Z379" t="s">
        <v>25697</v>
      </c>
      <c r="AA379">
        <v>0.76722062745093522</v>
      </c>
      <c r="AB379" t="str">
        <f>HYPERLINK("Melting_Curves/meltCurve_D6R9P3_HNRNPAB.pdf", "Melting_Curves/meltCurve_D6R9P3_HNRNPAB.pdf")</f>
        <v>Melting_Curves/meltCurve_D6R9P3_HNRNPAB.pdf</v>
      </c>
    </row>
    <row r="380" spans="1:28" x14ac:dyDescent="0.25">
      <c r="A380" t="s">
        <v>384</v>
      </c>
      <c r="B380">
        <v>0.99542014353169495</v>
      </c>
      <c r="C380">
        <v>0.97609783137433104</v>
      </c>
      <c r="D380">
        <v>0.94535233521511397</v>
      </c>
      <c r="E380">
        <v>0.72338069117561199</v>
      </c>
      <c r="F380">
        <v>0.68469824089831199</v>
      </c>
      <c r="G380">
        <v>0.46423989749218197</v>
      </c>
      <c r="H380">
        <v>0.28822774739504098</v>
      </c>
      <c r="I380">
        <v>0.23700036868771401</v>
      </c>
      <c r="J380">
        <v>0.29748146784520002</v>
      </c>
      <c r="K380">
        <v>0.338566021475951</v>
      </c>
      <c r="L380">
        <v>704.76854427568298</v>
      </c>
      <c r="M380">
        <v>14.133768298475699</v>
      </c>
      <c r="N380">
        <v>52.4427630872785</v>
      </c>
      <c r="O380">
        <v>48.897791077727597</v>
      </c>
      <c r="P380">
        <v>-5.4170636185678203E-2</v>
      </c>
      <c r="Q380">
        <v>0.25045134834089</v>
      </c>
      <c r="R380">
        <v>0.97010105544743597</v>
      </c>
      <c r="S380" t="s">
        <v>6782</v>
      </c>
      <c r="T380" t="s">
        <v>12802</v>
      </c>
      <c r="U380" t="s">
        <v>12802</v>
      </c>
      <c r="V380" t="s">
        <v>12802</v>
      </c>
      <c r="W380" t="s">
        <v>13180</v>
      </c>
      <c r="X380">
        <v>2</v>
      </c>
      <c r="Y380" t="s">
        <v>19503</v>
      </c>
      <c r="Z380" t="s">
        <v>25698</v>
      </c>
      <c r="AA380">
        <v>0.58899311585655978</v>
      </c>
      <c r="AB380" t="str">
        <f>HYPERLINK("Melting_Curves/meltCurve_D6R9U7_POLR3G.pdf", "Melting_Curves/meltCurve_D6R9U7_POLR3G.pdf")</f>
        <v>Melting_Curves/meltCurve_D6R9U7_POLR3G.pdf</v>
      </c>
    </row>
    <row r="381" spans="1:28" x14ac:dyDescent="0.25">
      <c r="A381" t="s">
        <v>385</v>
      </c>
      <c r="B381">
        <v>0.99542014353169495</v>
      </c>
      <c r="C381">
        <v>0.895806394608191</v>
      </c>
      <c r="D381">
        <v>0.89162332236851605</v>
      </c>
      <c r="E381">
        <v>0.74224018188426599</v>
      </c>
      <c r="F381">
        <v>0.667970297785624</v>
      </c>
      <c r="G381">
        <v>0.41714586428397399</v>
      </c>
      <c r="H381">
        <v>0.34425973370082502</v>
      </c>
      <c r="I381">
        <v>0.317037888788958</v>
      </c>
      <c r="J381">
        <v>0.458605008208955</v>
      </c>
      <c r="K381">
        <v>0.79015502580670705</v>
      </c>
      <c r="L381">
        <v>856.95234212832804</v>
      </c>
      <c r="M381">
        <v>18.3967734225131</v>
      </c>
      <c r="N381">
        <v>54.728874995557803</v>
      </c>
      <c r="O381">
        <v>46.0417232550138</v>
      </c>
      <c r="P381">
        <v>-5.3177759815620999E-2</v>
      </c>
      <c r="Q381">
        <v>0.46767078085726499</v>
      </c>
      <c r="R381">
        <v>0.69684954809573796</v>
      </c>
      <c r="S381" t="s">
        <v>6783</v>
      </c>
      <c r="T381" t="s">
        <v>12802</v>
      </c>
      <c r="U381" t="s">
        <v>12802</v>
      </c>
      <c r="V381" t="s">
        <v>12802</v>
      </c>
      <c r="W381" t="s">
        <v>13181</v>
      </c>
      <c r="X381">
        <v>3</v>
      </c>
      <c r="Y381" t="s">
        <v>19504</v>
      </c>
      <c r="Z381" t="s">
        <v>25699</v>
      </c>
      <c r="AA381">
        <v>0.64589947922212254</v>
      </c>
      <c r="AB381" t="str">
        <f>HYPERLINK("Melting_Curves/meltCurve_D6R9Z7_COX7C.pdf", "Melting_Curves/meltCurve_D6R9Z7_COX7C.pdf")</f>
        <v>Melting_Curves/meltCurve_D6R9Z7_COX7C.pdf</v>
      </c>
    </row>
    <row r="382" spans="1:28" x14ac:dyDescent="0.25">
      <c r="A382" t="s">
        <v>386</v>
      </c>
      <c r="B382">
        <v>0.99542014353169495</v>
      </c>
      <c r="C382">
        <v>0.99293403978028805</v>
      </c>
      <c r="D382">
        <v>1.1996824542686999</v>
      </c>
      <c r="E382">
        <v>0.78549262818288601</v>
      </c>
      <c r="F382">
        <v>0.52895222541597897</v>
      </c>
      <c r="G382">
        <v>0.33121476944552097</v>
      </c>
      <c r="H382">
        <v>0.355483096329823</v>
      </c>
      <c r="I382">
        <v>0.266987855752224</v>
      </c>
      <c r="J382">
        <v>0.30714254613630398</v>
      </c>
      <c r="K382">
        <v>0.50147647210286495</v>
      </c>
      <c r="L382">
        <v>1590.9707728569799</v>
      </c>
      <c r="M382">
        <v>33.051845082552902</v>
      </c>
      <c r="N382">
        <v>49.989212730654003</v>
      </c>
      <c r="O382">
        <v>47.960427219554497</v>
      </c>
      <c r="P382">
        <v>-0.111435408450551</v>
      </c>
      <c r="Q382">
        <v>0.353202086180196</v>
      </c>
      <c r="R382">
        <v>0.92038800496832196</v>
      </c>
      <c r="S382" t="s">
        <v>6784</v>
      </c>
      <c r="T382" t="s">
        <v>12802</v>
      </c>
      <c r="U382" t="s">
        <v>12802</v>
      </c>
      <c r="V382" t="s">
        <v>12802</v>
      </c>
      <c r="W382" t="s">
        <v>13182</v>
      </c>
      <c r="X382">
        <v>1</v>
      </c>
      <c r="Y382" t="s">
        <v>19505</v>
      </c>
      <c r="Z382" t="s">
        <v>25700</v>
      </c>
      <c r="AA382">
        <v>0.59644596986256915</v>
      </c>
      <c r="AB382" t="str">
        <f>HYPERLINK("Melting_Curves/meltCurve_D6RAG3_CPLX1.pdf", "Melting_Curves/meltCurve_D6RAG3_CPLX1.pdf")</f>
        <v>Melting_Curves/meltCurve_D6RAG3_CPLX1.pdf</v>
      </c>
    </row>
    <row r="383" spans="1:28" x14ac:dyDescent="0.25">
      <c r="A383" t="s">
        <v>387</v>
      </c>
      <c r="B383">
        <v>0.99542014353169495</v>
      </c>
      <c r="C383">
        <v>1.18529808857248</v>
      </c>
      <c r="D383">
        <v>0.493163071498811</v>
      </c>
      <c r="E383">
        <v>0.64715212773457398</v>
      </c>
      <c r="F383">
        <v>0.57413689494058895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663.87141524355604</v>
      </c>
      <c r="M383">
        <v>13.9070684343189</v>
      </c>
      <c r="N383">
        <v>47.736264405588599</v>
      </c>
      <c r="O383">
        <v>46.781720454121697</v>
      </c>
      <c r="P383">
        <v>-7.4329017600032396E-2</v>
      </c>
      <c r="Q383">
        <v>0</v>
      </c>
      <c r="R383">
        <v>0.85520553920428199</v>
      </c>
      <c r="S383" t="s">
        <v>6785</v>
      </c>
      <c r="T383" t="s">
        <v>12802</v>
      </c>
      <c r="U383" t="s">
        <v>12802</v>
      </c>
      <c r="V383" t="s">
        <v>12802</v>
      </c>
      <c r="W383" t="s">
        <v>13183</v>
      </c>
      <c r="X383">
        <v>4</v>
      </c>
      <c r="Y383" t="s">
        <v>19506</v>
      </c>
      <c r="Z383" t="s">
        <v>25701</v>
      </c>
      <c r="AA383">
        <v>0.38302695904609119</v>
      </c>
      <c r="AB383" t="str">
        <f>HYPERLINK("Melting_Curves/meltCurve_D6RAM3_DOK3.pdf", "Melting_Curves/meltCurve_D6RAM3_DOK3.pdf")</f>
        <v>Melting_Curves/meltCurve_D6RAM3_DOK3.pdf</v>
      </c>
    </row>
    <row r="384" spans="1:28" x14ac:dyDescent="0.25">
      <c r="A384" t="s">
        <v>388</v>
      </c>
      <c r="B384">
        <v>0.99542014353169495</v>
      </c>
      <c r="C384">
        <v>0.77956934959379198</v>
      </c>
      <c r="D384">
        <v>0.80244123961837999</v>
      </c>
      <c r="E384">
        <v>0.62288539720630898</v>
      </c>
      <c r="F384">
        <v>0.52226492577472095</v>
      </c>
      <c r="G384">
        <v>0.31545956606022102</v>
      </c>
      <c r="H384">
        <v>0.11643954288196599</v>
      </c>
      <c r="I384">
        <v>5.8178945958730903E-2</v>
      </c>
      <c r="J384">
        <v>5.4291193221387403E-2</v>
      </c>
      <c r="K384">
        <v>5.7833010016603299E-2</v>
      </c>
      <c r="L384">
        <v>497.77400541542801</v>
      </c>
      <c r="M384">
        <v>10.176869777319901</v>
      </c>
      <c r="N384">
        <v>48.912275095542597</v>
      </c>
      <c r="O384">
        <v>47.136441430015097</v>
      </c>
      <c r="P384">
        <v>-5.4000127467851398E-2</v>
      </c>
      <c r="Q384">
        <v>0</v>
      </c>
      <c r="R384">
        <v>0.969839030080348</v>
      </c>
      <c r="S384" t="s">
        <v>6786</v>
      </c>
      <c r="T384" t="s">
        <v>12802</v>
      </c>
      <c r="U384" t="s">
        <v>12802</v>
      </c>
      <c r="V384" t="s">
        <v>12802</v>
      </c>
      <c r="W384" t="s">
        <v>13184</v>
      </c>
      <c r="X384">
        <v>1</v>
      </c>
      <c r="Y384" t="s">
        <v>19507</v>
      </c>
      <c r="Z384" t="s">
        <v>25702</v>
      </c>
      <c r="AA384">
        <v>0.43373445521075288</v>
      </c>
      <c r="AB384" t="str">
        <f>HYPERLINK("Melting_Curves/meltCurve_D6RAR3_TMEM161B.pdf", "Melting_Curves/meltCurve_D6RAR3_TMEM161B.pdf")</f>
        <v>Melting_Curves/meltCurve_D6RAR3_TMEM161B.pdf</v>
      </c>
    </row>
    <row r="385" spans="1:28" x14ac:dyDescent="0.25">
      <c r="A385" t="s">
        <v>389</v>
      </c>
      <c r="B385">
        <v>0.99542014353169495</v>
      </c>
      <c r="C385">
        <v>0.996267482405085</v>
      </c>
      <c r="D385">
        <v>0.92261003072769299</v>
      </c>
      <c r="E385">
        <v>0.85600731078532399</v>
      </c>
      <c r="F385">
        <v>0.64514372124521902</v>
      </c>
      <c r="G385">
        <v>0.32130080764039098</v>
      </c>
      <c r="H385">
        <v>9.7090590716102196E-2</v>
      </c>
      <c r="I385">
        <v>6.81401730634799E-2</v>
      </c>
      <c r="J385">
        <v>7.2952407904420202E-2</v>
      </c>
      <c r="K385">
        <v>8.1180183337973902E-2</v>
      </c>
      <c r="L385">
        <v>1008.74048040875</v>
      </c>
      <c r="M385">
        <v>19.687278126764799</v>
      </c>
      <c r="N385">
        <v>51.4680016083487</v>
      </c>
      <c r="O385">
        <v>50.718319156265999</v>
      </c>
      <c r="P385">
        <v>-9.2962264131013897E-2</v>
      </c>
      <c r="Q385">
        <v>4.2076531600462402E-2</v>
      </c>
      <c r="R385">
        <v>0.99471406224907</v>
      </c>
      <c r="S385" t="s">
        <v>6787</v>
      </c>
      <c r="T385" t="s">
        <v>12802</v>
      </c>
      <c r="U385" t="s">
        <v>12802</v>
      </c>
      <c r="V385" t="s">
        <v>12802</v>
      </c>
      <c r="W385" t="s">
        <v>13185</v>
      </c>
      <c r="X385">
        <v>8</v>
      </c>
      <c r="Y385" t="s">
        <v>19508</v>
      </c>
      <c r="Z385" t="s">
        <v>25703</v>
      </c>
      <c r="AA385">
        <v>0.50955073094855441</v>
      </c>
      <c r="AB385" t="str">
        <f>HYPERLINK("Melting_Curves/meltCurve_D6RBS5_ELMOD2.pdf", "Melting_Curves/meltCurve_D6RBS5_ELMOD2.pdf")</f>
        <v>Melting_Curves/meltCurve_D6RBS5_ELMOD2.pdf</v>
      </c>
    </row>
    <row r="386" spans="1:28" x14ac:dyDescent="0.25">
      <c r="A386" t="s">
        <v>390</v>
      </c>
      <c r="B386">
        <v>0.99542014353169495</v>
      </c>
      <c r="C386">
        <v>1.0314899292714601</v>
      </c>
      <c r="D386">
        <v>1.03185879389325</v>
      </c>
      <c r="E386">
        <v>1.01092679688742</v>
      </c>
      <c r="F386">
        <v>0.793552438082891</v>
      </c>
      <c r="G386">
        <v>0.47653232174801202</v>
      </c>
      <c r="H386">
        <v>0.147866305323444</v>
      </c>
      <c r="I386">
        <v>6.7248169458829804E-2</v>
      </c>
      <c r="J386">
        <v>6.1922141488127601E-2</v>
      </c>
      <c r="K386">
        <v>5.8220519339547902E-2</v>
      </c>
      <c r="L386">
        <v>1352.6197289489801</v>
      </c>
      <c r="M386">
        <v>25.4403602232547</v>
      </c>
      <c r="N386">
        <v>53.353312630075003</v>
      </c>
      <c r="O386">
        <v>52.842996257509597</v>
      </c>
      <c r="P386">
        <v>-0.11527713371262301</v>
      </c>
      <c r="Q386">
        <v>4.22283302333748E-2</v>
      </c>
      <c r="R386">
        <v>0.99666774735943398</v>
      </c>
      <c r="S386" t="s">
        <v>6788</v>
      </c>
      <c r="T386" t="s">
        <v>12802</v>
      </c>
      <c r="U386" t="s">
        <v>12802</v>
      </c>
      <c r="V386" t="s">
        <v>12802</v>
      </c>
      <c r="W386" t="s">
        <v>13186</v>
      </c>
      <c r="X386">
        <v>11</v>
      </c>
      <c r="Y386" t="s">
        <v>19509</v>
      </c>
      <c r="Z386" t="s">
        <v>25704</v>
      </c>
      <c r="AA386">
        <v>0.56661582473515115</v>
      </c>
      <c r="AB386" t="str">
        <f>HYPERLINK("Melting_Curves/meltCurve_D6RBW1_EIF4E.pdf", "Melting_Curves/meltCurve_D6RBW1_EIF4E.pdf")</f>
        <v>Melting_Curves/meltCurve_D6RBW1_EIF4E.pdf</v>
      </c>
    </row>
    <row r="387" spans="1:28" x14ac:dyDescent="0.25">
      <c r="A387" t="s">
        <v>391</v>
      </c>
      <c r="B387">
        <v>0.99542014353169495</v>
      </c>
      <c r="C387">
        <v>0.92278669113493705</v>
      </c>
      <c r="D387">
        <v>0.93815315927877596</v>
      </c>
      <c r="E387">
        <v>0.84904592603848605</v>
      </c>
      <c r="F387">
        <v>0.72643046033623104</v>
      </c>
      <c r="G387">
        <v>0.49629993041769899</v>
      </c>
      <c r="H387">
        <v>0.20931926761966799</v>
      </c>
      <c r="I387">
        <v>8.30464884791242E-2</v>
      </c>
      <c r="J387">
        <v>8.1364469502929304E-2</v>
      </c>
      <c r="K387">
        <v>9.0343481991021699E-2</v>
      </c>
      <c r="L387">
        <v>791.89901112685698</v>
      </c>
      <c r="M387">
        <v>14.920778118157701</v>
      </c>
      <c r="N387">
        <v>53.108962356370398</v>
      </c>
      <c r="O387">
        <v>52.147602323778202</v>
      </c>
      <c r="P387">
        <v>-7.1185172542346895E-2</v>
      </c>
      <c r="Q387">
        <v>4.9437997988238504E-3</v>
      </c>
      <c r="R387">
        <v>0.98862436567206902</v>
      </c>
      <c r="S387" t="s">
        <v>6789</v>
      </c>
      <c r="T387" t="s">
        <v>12802</v>
      </c>
      <c r="U387" t="s">
        <v>12802</v>
      </c>
      <c r="V387" t="s">
        <v>12802</v>
      </c>
      <c r="W387" t="s">
        <v>13187</v>
      </c>
      <c r="X387">
        <v>8</v>
      </c>
      <c r="Y387" t="s">
        <v>19510</v>
      </c>
      <c r="Z387" t="s">
        <v>25705</v>
      </c>
      <c r="AA387">
        <v>0.55582116136013016</v>
      </c>
      <c r="AB387" t="str">
        <f>HYPERLINK("Melting_Curves/meltCurve_D6RCD0_HSD17B11.pdf", "Melting_Curves/meltCurve_D6RCD0_HSD17B11.pdf")</f>
        <v>Melting_Curves/meltCurve_D6RCD0_HSD17B11.pdf</v>
      </c>
    </row>
    <row r="388" spans="1:28" x14ac:dyDescent="0.25">
      <c r="A388" t="s">
        <v>392</v>
      </c>
      <c r="B388">
        <v>0.99542014353169495</v>
      </c>
      <c r="C388">
        <v>1.0821257642556601</v>
      </c>
      <c r="D388">
        <v>0.63453899505433897</v>
      </c>
      <c r="E388">
        <v>0.45159351354729599</v>
      </c>
      <c r="F388">
        <v>0.22076135099209099</v>
      </c>
      <c r="G388">
        <v>0.119192450969381</v>
      </c>
      <c r="H388">
        <v>0.10320580914090099</v>
      </c>
      <c r="I388">
        <v>7.6416984093288606E-2</v>
      </c>
      <c r="J388">
        <v>0.10220082738396501</v>
      </c>
      <c r="K388">
        <v>0.14317656836175199</v>
      </c>
      <c r="L388">
        <v>884.36926732254301</v>
      </c>
      <c r="M388">
        <v>19.663850475410399</v>
      </c>
      <c r="N388">
        <v>45.508713278221002</v>
      </c>
      <c r="O388">
        <v>44.517003995659003</v>
      </c>
      <c r="P388">
        <v>-9.9048411833881703E-2</v>
      </c>
      <c r="Q388">
        <v>0.10308858525972101</v>
      </c>
      <c r="R388">
        <v>0.97039252626680195</v>
      </c>
      <c r="S388" t="s">
        <v>6790</v>
      </c>
      <c r="T388" t="s">
        <v>12802</v>
      </c>
      <c r="U388" t="s">
        <v>12802</v>
      </c>
      <c r="V388" t="s">
        <v>12802</v>
      </c>
      <c r="W388" t="s">
        <v>13188</v>
      </c>
      <c r="X388">
        <v>2</v>
      </c>
      <c r="Y388" t="s">
        <v>19511</v>
      </c>
      <c r="Z388" t="s">
        <v>25706</v>
      </c>
      <c r="AA388">
        <v>0.35371643127181968</v>
      </c>
      <c r="AB388" t="str">
        <f>HYPERLINK("Melting_Curves/meltCurve_D6RCM8_TNFAIP8.pdf", "Melting_Curves/meltCurve_D6RCM8_TNFAIP8.pdf")</f>
        <v>Melting_Curves/meltCurve_D6RCM8_TNFAIP8.pdf</v>
      </c>
    </row>
    <row r="389" spans="1:28" x14ac:dyDescent="0.25">
      <c r="A389" t="s">
        <v>393</v>
      </c>
      <c r="B389">
        <v>0.99542014353169495</v>
      </c>
      <c r="C389">
        <v>0.92056998153686098</v>
      </c>
      <c r="D389">
        <v>0.87597227603512395</v>
      </c>
      <c r="E389">
        <v>0.57800850220974997</v>
      </c>
      <c r="F389">
        <v>0.44699859059328001</v>
      </c>
      <c r="G389">
        <v>0.184866464096549</v>
      </c>
      <c r="H389">
        <v>0.246640300523888</v>
      </c>
      <c r="I389">
        <v>0.14272528806347301</v>
      </c>
      <c r="J389">
        <v>0.27532362355191298</v>
      </c>
      <c r="K389">
        <v>0.27934372004242802</v>
      </c>
      <c r="L389">
        <v>856.77689515142401</v>
      </c>
      <c r="M389">
        <v>18.423510461663</v>
      </c>
      <c r="N389">
        <v>47.980670810083602</v>
      </c>
      <c r="O389">
        <v>45.967029125012502</v>
      </c>
      <c r="P389">
        <v>-7.8526761591093397E-2</v>
      </c>
      <c r="Q389">
        <v>0.21633187937871101</v>
      </c>
      <c r="R389">
        <v>0.96929927759327705</v>
      </c>
      <c r="S389" t="s">
        <v>6791</v>
      </c>
      <c r="T389" t="s">
        <v>12802</v>
      </c>
      <c r="U389" t="s">
        <v>12802</v>
      </c>
      <c r="V389" t="s">
        <v>12802</v>
      </c>
      <c r="W389" t="s">
        <v>13189</v>
      </c>
      <c r="X389">
        <v>1</v>
      </c>
      <c r="Y389" t="s">
        <v>19512</v>
      </c>
      <c r="Z389" t="s">
        <v>25707</v>
      </c>
      <c r="AA389">
        <v>0.47666636668712709</v>
      </c>
      <c r="AB389" t="str">
        <f>HYPERLINK("Melting_Curves/meltCurve_D6RCN9_CXXC5.pdf", "Melting_Curves/meltCurve_D6RCN9_CXXC5.pdf")</f>
        <v>Melting_Curves/meltCurve_D6RCN9_CXXC5.pdf</v>
      </c>
    </row>
    <row r="390" spans="1:28" x14ac:dyDescent="0.25">
      <c r="A390" t="s">
        <v>394</v>
      </c>
      <c r="B390">
        <v>0.99542014353169495</v>
      </c>
      <c r="C390">
        <v>0.89224476299241695</v>
      </c>
      <c r="D390">
        <v>0.97924068773408302</v>
      </c>
      <c r="E390">
        <v>0.72611198752454398</v>
      </c>
      <c r="F390">
        <v>0.35184258844617</v>
      </c>
      <c r="G390">
        <v>0.12889864305450099</v>
      </c>
      <c r="H390">
        <v>6.2819808820725506E-2</v>
      </c>
      <c r="I390">
        <v>4.1910531299552099E-2</v>
      </c>
      <c r="J390">
        <v>5.7828187292211501E-2</v>
      </c>
      <c r="K390">
        <v>5.1378214441122699E-2</v>
      </c>
      <c r="L390">
        <v>1112.6969083679701</v>
      </c>
      <c r="M390">
        <v>22.933849006906598</v>
      </c>
      <c r="N390">
        <v>48.708306596732001</v>
      </c>
      <c r="O390">
        <v>48.153296971809198</v>
      </c>
      <c r="P390">
        <v>-0.11395821591783201</v>
      </c>
      <c r="Q390">
        <v>4.29238685922688E-2</v>
      </c>
      <c r="R390">
        <v>0.99283482847900395</v>
      </c>
      <c r="S390" t="s">
        <v>6792</v>
      </c>
      <c r="T390" t="s">
        <v>12802</v>
      </c>
      <c r="U390" t="s">
        <v>12802</v>
      </c>
      <c r="V390" t="s">
        <v>12802</v>
      </c>
      <c r="W390" t="s">
        <v>13190</v>
      </c>
      <c r="X390">
        <v>2</v>
      </c>
      <c r="Y390" t="s">
        <v>19513</v>
      </c>
      <c r="Z390" t="s">
        <v>25708</v>
      </c>
      <c r="AA390">
        <v>0.42008461609432479</v>
      </c>
      <c r="AB390" t="str">
        <f>HYPERLINK("Melting_Curves/meltCurve_D6RCQ0_EEF1E1.pdf", "Melting_Curves/meltCurve_D6RCQ0_EEF1E1.pdf")</f>
        <v>Melting_Curves/meltCurve_D6RCQ0_EEF1E1.pdf</v>
      </c>
    </row>
    <row r="391" spans="1:28" x14ac:dyDescent="0.25">
      <c r="A391" t="s">
        <v>395</v>
      </c>
      <c r="B391">
        <v>0.99542014353169495</v>
      </c>
      <c r="C391">
        <v>0.87965823516395802</v>
      </c>
      <c r="D391">
        <v>0.81541518311207095</v>
      </c>
      <c r="E391">
        <v>0.73161008260842997</v>
      </c>
      <c r="F391">
        <v>0.50458700332940798</v>
      </c>
      <c r="G391">
        <v>0.23090692090573001</v>
      </c>
      <c r="H391">
        <v>0.14149390783528601</v>
      </c>
      <c r="I391">
        <v>0.112744385430564</v>
      </c>
      <c r="J391">
        <v>2.3809615588216499E-2</v>
      </c>
      <c r="K391">
        <v>0</v>
      </c>
      <c r="L391">
        <v>617.80106981795495</v>
      </c>
      <c r="M391">
        <v>12.465470083083799</v>
      </c>
      <c r="N391">
        <v>49.561014414639502</v>
      </c>
      <c r="O391">
        <v>48.337358573145501</v>
      </c>
      <c r="P391">
        <v>-6.4484609319491196E-2</v>
      </c>
      <c r="Q391">
        <v>0</v>
      </c>
      <c r="R391">
        <v>0.98708687250987404</v>
      </c>
      <c r="S391" t="s">
        <v>6793</v>
      </c>
      <c r="T391" t="s">
        <v>12802</v>
      </c>
      <c r="U391" t="s">
        <v>12802</v>
      </c>
      <c r="V391" t="s">
        <v>12802</v>
      </c>
      <c r="W391" t="s">
        <v>13191</v>
      </c>
      <c r="X391">
        <v>5</v>
      </c>
      <c r="Y391" t="s">
        <v>19514</v>
      </c>
      <c r="Z391" t="s">
        <v>25709</v>
      </c>
      <c r="AA391">
        <v>0.44612427507052782</v>
      </c>
      <c r="AB391" t="str">
        <f>HYPERLINK("Melting_Curves/meltCurve_D6RCQ8_PGM3.pdf", "Melting_Curves/meltCurve_D6RCQ8_PGM3.pdf")</f>
        <v>Melting_Curves/meltCurve_D6RCQ8_PGM3.pdf</v>
      </c>
    </row>
    <row r="392" spans="1:28" x14ac:dyDescent="0.25">
      <c r="A392" t="s">
        <v>396</v>
      </c>
      <c r="B392">
        <v>0.99542014353169495</v>
      </c>
      <c r="C392">
        <v>0.96087593872614996</v>
      </c>
      <c r="D392">
        <v>0.90917530058210105</v>
      </c>
      <c r="E392">
        <v>0.84126255644403003</v>
      </c>
      <c r="F392">
        <v>0.56475301748432005</v>
      </c>
      <c r="G392">
        <v>0.27307193239719502</v>
      </c>
      <c r="H392">
        <v>0.141421405352606</v>
      </c>
      <c r="I392">
        <v>0.162608987386478</v>
      </c>
      <c r="J392">
        <v>0.16806967728282199</v>
      </c>
      <c r="K392">
        <v>0.100801056701761</v>
      </c>
      <c r="L392">
        <v>1003.74827714898</v>
      </c>
      <c r="M392">
        <v>20.069977645951401</v>
      </c>
      <c r="N392">
        <v>50.689318562483102</v>
      </c>
      <c r="O392">
        <v>49.523849721349499</v>
      </c>
      <c r="P392">
        <v>-8.9408111913687499E-2</v>
      </c>
      <c r="Q392">
        <v>0.117549243082275</v>
      </c>
      <c r="R392">
        <v>0.99277718433483297</v>
      </c>
      <c r="S392" t="s">
        <v>6794</v>
      </c>
      <c r="T392" t="s">
        <v>12802</v>
      </c>
      <c r="U392" t="s">
        <v>12802</v>
      </c>
      <c r="V392" t="s">
        <v>12802</v>
      </c>
      <c r="W392" t="s">
        <v>13192</v>
      </c>
      <c r="X392">
        <v>3</v>
      </c>
      <c r="Y392" t="s">
        <v>19515</v>
      </c>
      <c r="Z392" t="s">
        <v>25710</v>
      </c>
      <c r="AA392">
        <v>0.51185986348550727</v>
      </c>
      <c r="AB392" t="str">
        <f>HYPERLINK("Melting_Curves/meltCurve_D6RD25_PRELID1.pdf", "Melting_Curves/meltCurve_D6RD25_PRELID1.pdf")</f>
        <v>Melting_Curves/meltCurve_D6RD25_PRELID1.pdf</v>
      </c>
    </row>
    <row r="393" spans="1:28" x14ac:dyDescent="0.25">
      <c r="A393" t="s">
        <v>397</v>
      </c>
      <c r="B393">
        <v>0.99542014353169495</v>
      </c>
      <c r="C393">
        <v>0.99089373878741704</v>
      </c>
      <c r="D393">
        <v>0.85128588533564498</v>
      </c>
      <c r="E393">
        <v>0.81683773159960904</v>
      </c>
      <c r="F393">
        <v>0.76589917287602904</v>
      </c>
      <c r="G393">
        <v>0.57244166658597695</v>
      </c>
      <c r="H393">
        <v>0.30953319808573199</v>
      </c>
      <c r="I393">
        <v>0.11378699044174299</v>
      </c>
      <c r="J393">
        <v>9.5570852938296993E-2</v>
      </c>
      <c r="K393">
        <v>0.101743632578007</v>
      </c>
      <c r="L393">
        <v>689.36855966817598</v>
      </c>
      <c r="M393">
        <v>12.773097519817901</v>
      </c>
      <c r="N393">
        <v>53.970334089469198</v>
      </c>
      <c r="O393">
        <v>52.698780866331703</v>
      </c>
      <c r="P393">
        <v>-6.0606280976153698E-2</v>
      </c>
      <c r="Q393">
        <v>0</v>
      </c>
      <c r="R393">
        <v>0.976883850742159</v>
      </c>
      <c r="S393" t="s">
        <v>6795</v>
      </c>
      <c r="T393" t="s">
        <v>12802</v>
      </c>
      <c r="U393" t="s">
        <v>12802</v>
      </c>
      <c r="V393" t="s">
        <v>12802</v>
      </c>
      <c r="W393" t="s">
        <v>13193</v>
      </c>
      <c r="X393">
        <v>9</v>
      </c>
      <c r="Y393" t="s">
        <v>19516</v>
      </c>
      <c r="Z393" t="s">
        <v>25711</v>
      </c>
      <c r="AA393">
        <v>0.58340324051301162</v>
      </c>
      <c r="AB393" t="str">
        <f>HYPERLINK("Melting_Curves/meltCurve_D6RDK6_OCIAD1.pdf", "Melting_Curves/meltCurve_D6RDK6_OCIAD1.pdf")</f>
        <v>Melting_Curves/meltCurve_D6RDK6_OCIAD1.pdf</v>
      </c>
    </row>
    <row r="394" spans="1:28" x14ac:dyDescent="0.25">
      <c r="A394" t="s">
        <v>398</v>
      </c>
      <c r="B394">
        <v>0.99542014353169495</v>
      </c>
      <c r="C394">
        <v>0.94455054092118396</v>
      </c>
      <c r="D394">
        <v>0.87146071303883699</v>
      </c>
      <c r="E394">
        <v>0.649688000247578</v>
      </c>
      <c r="F394">
        <v>0.42678950050687597</v>
      </c>
      <c r="G394">
        <v>0.31500549317941201</v>
      </c>
      <c r="H394">
        <v>0.13833342226526901</v>
      </c>
      <c r="I394">
        <v>6.0379317868653803E-2</v>
      </c>
      <c r="J394">
        <v>3.8023110645152E-2</v>
      </c>
      <c r="K394">
        <v>4.9141354301784998E-2</v>
      </c>
      <c r="L394">
        <v>603.60437578052802</v>
      </c>
      <c r="M394">
        <v>12.252600245579099</v>
      </c>
      <c r="N394">
        <v>49.263355327127897</v>
      </c>
      <c r="O394">
        <v>48.006244833026898</v>
      </c>
      <c r="P394">
        <v>-6.3821513516031797E-2</v>
      </c>
      <c r="Q394">
        <v>0</v>
      </c>
      <c r="R394">
        <v>0.99631328425814802</v>
      </c>
      <c r="S394" t="s">
        <v>6796</v>
      </c>
      <c r="T394" t="s">
        <v>12802</v>
      </c>
      <c r="U394" t="s">
        <v>12802</v>
      </c>
      <c r="V394" t="s">
        <v>12802</v>
      </c>
      <c r="W394" t="s">
        <v>13194</v>
      </c>
      <c r="X394">
        <v>1</v>
      </c>
      <c r="Y394" t="s">
        <v>19517</v>
      </c>
      <c r="Z394" t="s">
        <v>25712</v>
      </c>
      <c r="AA394">
        <v>0.43728057710797091</v>
      </c>
      <c r="AB394" t="str">
        <f>HYPERLINK("Melting_Curves/meltCurve_D6RDX3_ATG10.pdf", "Melting_Curves/meltCurve_D6RDX3_ATG10.pdf")</f>
        <v>Melting_Curves/meltCurve_D6RDX3_ATG10.pdf</v>
      </c>
    </row>
    <row r="395" spans="1:28" x14ac:dyDescent="0.25">
      <c r="A395" t="s">
        <v>399</v>
      </c>
      <c r="B395">
        <v>0.99542014353169495</v>
      </c>
      <c r="C395">
        <v>0.990494409793507</v>
      </c>
      <c r="D395">
        <v>1.0103089042200999</v>
      </c>
      <c r="E395">
        <v>0.70986132694224302</v>
      </c>
      <c r="F395">
        <v>0.41938056843187099</v>
      </c>
      <c r="G395">
        <v>0.22583306119611801</v>
      </c>
      <c r="H395">
        <v>8.7081434939615204E-2</v>
      </c>
      <c r="I395">
        <v>3.6964481922397797E-2</v>
      </c>
      <c r="J395">
        <v>3.06166852110006E-2</v>
      </c>
      <c r="K395">
        <v>5.6587305442782898E-2</v>
      </c>
      <c r="L395">
        <v>924.395461095359</v>
      </c>
      <c r="M395">
        <v>18.802215764112599</v>
      </c>
      <c r="N395">
        <v>49.3390439395219</v>
      </c>
      <c r="O395">
        <v>48.618181673150801</v>
      </c>
      <c r="P395">
        <v>-9.3570536387451594E-2</v>
      </c>
      <c r="Q395">
        <v>3.2233411137629703E-2</v>
      </c>
      <c r="R395">
        <v>0.99483655350919398</v>
      </c>
      <c r="S395" t="s">
        <v>6797</v>
      </c>
      <c r="T395" t="s">
        <v>12802</v>
      </c>
      <c r="U395" t="s">
        <v>12802</v>
      </c>
      <c r="V395" t="s">
        <v>12802</v>
      </c>
      <c r="W395" t="s">
        <v>13195</v>
      </c>
      <c r="X395">
        <v>7</v>
      </c>
      <c r="Y395" t="s">
        <v>19518</v>
      </c>
      <c r="Z395" t="s">
        <v>25713</v>
      </c>
      <c r="AA395">
        <v>0.43887829466467432</v>
      </c>
      <c r="AB395" t="str">
        <f>HYPERLINK("Melting_Curves/meltCurve_D6REA0_PET112.pdf", "Melting_Curves/meltCurve_D6REA0_PET112.pdf")</f>
        <v>Melting_Curves/meltCurve_D6REA0_PET112.pdf</v>
      </c>
    </row>
    <row r="396" spans="1:28" x14ac:dyDescent="0.25">
      <c r="A396" t="s">
        <v>400</v>
      </c>
      <c r="B396">
        <v>0.99542014353169495</v>
      </c>
      <c r="C396">
        <v>0.96426302715040302</v>
      </c>
      <c r="D396">
        <v>0.95868154585935605</v>
      </c>
      <c r="E396">
        <v>0.97433331158478897</v>
      </c>
      <c r="F396">
        <v>0.71949797874062305</v>
      </c>
      <c r="G396">
        <v>0.65184275906254796</v>
      </c>
      <c r="H396">
        <v>0.52969770398206295</v>
      </c>
      <c r="I396">
        <v>0.68540027353682498</v>
      </c>
      <c r="J396">
        <v>0.98351852620831004</v>
      </c>
      <c r="K396">
        <v>1.11828561925706</v>
      </c>
      <c r="L396">
        <v>11744.0054228431</v>
      </c>
      <c r="M396">
        <v>250</v>
      </c>
      <c r="O396">
        <v>46.9730153767552</v>
      </c>
      <c r="P396">
        <v>-0.290893331608578</v>
      </c>
      <c r="Q396">
        <v>0.78137380848941496</v>
      </c>
      <c r="R396">
        <v>0.25570029571965402</v>
      </c>
      <c r="S396" t="s">
        <v>6798</v>
      </c>
      <c r="T396" t="s">
        <v>12802</v>
      </c>
      <c r="U396" t="s">
        <v>12802</v>
      </c>
      <c r="V396" t="s">
        <v>12802</v>
      </c>
      <c r="W396" t="s">
        <v>13196</v>
      </c>
      <c r="X396">
        <v>1</v>
      </c>
      <c r="Y396" t="s">
        <v>19519</v>
      </c>
      <c r="Z396" t="s">
        <v>25714</v>
      </c>
      <c r="AA396">
        <v>0.85409248680449434</v>
      </c>
      <c r="AB396" t="str">
        <f>HYPERLINK("Melting_Curves/meltCurve_D6REL0_CDC42SE2.pdf", "Melting_Curves/meltCurve_D6REL0_CDC42SE2.pdf")</f>
        <v>Melting_Curves/meltCurve_D6REL0_CDC42SE2.pdf</v>
      </c>
    </row>
    <row r="397" spans="1:28" x14ac:dyDescent="0.25">
      <c r="A397" t="s">
        <v>401</v>
      </c>
      <c r="B397">
        <v>0.99542014353169495</v>
      </c>
      <c r="C397">
        <v>0.91429314599109901</v>
      </c>
      <c r="D397">
        <v>0.78567356074280204</v>
      </c>
      <c r="E397">
        <v>0.52859968504508004</v>
      </c>
      <c r="F397">
        <v>0.381211920778182</v>
      </c>
      <c r="G397">
        <v>0.18790064579974999</v>
      </c>
      <c r="H397">
        <v>7.3429222615271503E-2</v>
      </c>
      <c r="I397">
        <v>5.9796721608248997E-2</v>
      </c>
      <c r="J397">
        <v>4.5132634026287699E-2</v>
      </c>
      <c r="K397">
        <v>6.1530433164782003E-2</v>
      </c>
      <c r="L397">
        <v>600.27706816581895</v>
      </c>
      <c r="M397">
        <v>12.6748993923302</v>
      </c>
      <c r="N397">
        <v>47.453147136135598</v>
      </c>
      <c r="O397">
        <v>46.227049827368603</v>
      </c>
      <c r="P397">
        <v>-6.7713642999341905E-2</v>
      </c>
      <c r="Q397">
        <v>1.2349861870842801E-2</v>
      </c>
      <c r="R397">
        <v>0.99584533706186795</v>
      </c>
      <c r="S397" t="s">
        <v>6799</v>
      </c>
      <c r="T397" t="s">
        <v>12802</v>
      </c>
      <c r="U397" t="s">
        <v>12802</v>
      </c>
      <c r="V397" t="s">
        <v>12802</v>
      </c>
      <c r="W397" t="s">
        <v>13197</v>
      </c>
      <c r="X397">
        <v>13</v>
      </c>
      <c r="Y397" t="s">
        <v>19520</v>
      </c>
      <c r="Z397" t="s">
        <v>25715</v>
      </c>
      <c r="AA397">
        <v>0.38267051356469711</v>
      </c>
      <c r="AB397" t="str">
        <f>HYPERLINK("Melting_Curves/meltCurve_D6REM4_CSNK1A1.pdf", "Melting_Curves/meltCurve_D6REM4_CSNK1A1.pdf")</f>
        <v>Melting_Curves/meltCurve_D6REM4_CSNK1A1.pdf</v>
      </c>
    </row>
    <row r="398" spans="1:28" x14ac:dyDescent="0.25">
      <c r="A398" t="s">
        <v>402</v>
      </c>
      <c r="B398">
        <v>0.99542014353169495</v>
      </c>
      <c r="C398">
        <v>0.87804332251759998</v>
      </c>
      <c r="D398">
        <v>1.05375823984338</v>
      </c>
      <c r="E398">
        <v>0.96132511686670696</v>
      </c>
      <c r="F398">
        <v>0.85933011872642695</v>
      </c>
      <c r="G398">
        <v>0.56028381939115501</v>
      </c>
      <c r="H398">
        <v>0.46396900399436503</v>
      </c>
      <c r="I398">
        <v>0.44819729304752798</v>
      </c>
      <c r="J398">
        <v>0.60568830134653795</v>
      </c>
      <c r="K398">
        <v>0.54057319004315196</v>
      </c>
      <c r="L398">
        <v>2419.7292891966299</v>
      </c>
      <c r="M398">
        <v>47.324773023539997</v>
      </c>
      <c r="O398">
        <v>51.0392403778187</v>
      </c>
      <c r="P398">
        <v>-0.11248813713496</v>
      </c>
      <c r="Q398">
        <v>0.51473170544167002</v>
      </c>
      <c r="R398">
        <v>0.92920670926204096</v>
      </c>
      <c r="S398" t="s">
        <v>6800</v>
      </c>
      <c r="T398" t="s">
        <v>12802</v>
      </c>
      <c r="U398" t="s">
        <v>12802</v>
      </c>
      <c r="V398" t="s">
        <v>12802</v>
      </c>
      <c r="W398" t="s">
        <v>13198</v>
      </c>
      <c r="X398">
        <v>1</v>
      </c>
      <c r="Y398" t="s">
        <v>19521</v>
      </c>
      <c r="Z398" t="s">
        <v>25716</v>
      </c>
      <c r="AA398">
        <v>0.74451980684475672</v>
      </c>
      <c r="AB398" t="str">
        <f>HYPERLINK("Melting_Curves/meltCurve_D6RER8_SLC38A9.pdf", "Melting_Curves/meltCurve_D6RER8_SLC38A9.pdf")</f>
        <v>Melting_Curves/meltCurve_D6RER8_SLC38A9.pdf</v>
      </c>
    </row>
    <row r="399" spans="1:28" x14ac:dyDescent="0.25">
      <c r="A399" t="s">
        <v>403</v>
      </c>
      <c r="B399">
        <v>0.99542014353169495</v>
      </c>
      <c r="C399">
        <v>0.89615802114507304</v>
      </c>
      <c r="D399">
        <v>0.86010678058579004</v>
      </c>
      <c r="E399">
        <v>0.52882358959444098</v>
      </c>
      <c r="F399">
        <v>0.2017043536433</v>
      </c>
      <c r="G399">
        <v>0.11420974045909001</v>
      </c>
      <c r="H399">
        <v>6.3928404026387498E-2</v>
      </c>
      <c r="I399">
        <v>3.9736494778331299E-2</v>
      </c>
      <c r="J399">
        <v>3.9180242225178998E-2</v>
      </c>
      <c r="K399">
        <v>4.2822530489358399E-2</v>
      </c>
      <c r="L399">
        <v>902.84149304450602</v>
      </c>
      <c r="M399">
        <v>19.3772076643342</v>
      </c>
      <c r="N399">
        <v>46.769606909481602</v>
      </c>
      <c r="O399">
        <v>46.105217436243997</v>
      </c>
      <c r="P399">
        <v>-0.101366741805479</v>
      </c>
      <c r="Q399">
        <v>3.5286126103068902E-2</v>
      </c>
      <c r="R399">
        <v>0.99584920170633295</v>
      </c>
      <c r="S399" t="s">
        <v>6801</v>
      </c>
      <c r="T399" t="s">
        <v>12802</v>
      </c>
      <c r="U399" t="s">
        <v>12802</v>
      </c>
      <c r="V399" t="s">
        <v>12802</v>
      </c>
      <c r="W399" t="s">
        <v>13199</v>
      </c>
      <c r="X399">
        <v>27</v>
      </c>
      <c r="Y399" t="s">
        <v>19522</v>
      </c>
      <c r="Z399" t="s">
        <v>25717</v>
      </c>
      <c r="AA399">
        <v>0.35720072731861369</v>
      </c>
      <c r="AB399" t="str">
        <f>HYPERLINK("Melting_Curves/meltCurve_D6REX3_SEC31A.pdf", "Melting_Curves/meltCurve_D6REX3_SEC31A.pdf")</f>
        <v>Melting_Curves/meltCurve_D6REX3_SEC31A.pdf</v>
      </c>
    </row>
    <row r="400" spans="1:28" x14ac:dyDescent="0.25">
      <c r="A400" t="s">
        <v>404</v>
      </c>
      <c r="B400">
        <v>0.99542014353169495</v>
      </c>
      <c r="C400">
        <v>0.92558425721425097</v>
      </c>
      <c r="D400">
        <v>0.892332183294827</v>
      </c>
      <c r="E400">
        <v>0.60523079375507904</v>
      </c>
      <c r="F400">
        <v>0.42442145158806999</v>
      </c>
      <c r="G400">
        <v>0.13806625590794999</v>
      </c>
      <c r="H400">
        <v>0.122464624920259</v>
      </c>
      <c r="I400">
        <v>9.2134227367664898E-2</v>
      </c>
      <c r="J400">
        <v>0.135809356996418</v>
      </c>
      <c r="K400">
        <v>0.163859415412142</v>
      </c>
      <c r="L400">
        <v>839.06497067196005</v>
      </c>
      <c r="M400">
        <v>17.657185427434101</v>
      </c>
      <c r="N400">
        <v>48.164737228547601</v>
      </c>
      <c r="O400">
        <v>46.922804727875302</v>
      </c>
      <c r="P400">
        <v>-8.4175120577534193E-2</v>
      </c>
      <c r="Q400">
        <v>0.105288312333375</v>
      </c>
      <c r="R400">
        <v>0.98654213352198195</v>
      </c>
      <c r="S400" t="s">
        <v>6802</v>
      </c>
      <c r="T400" t="s">
        <v>12802</v>
      </c>
      <c r="U400" t="s">
        <v>12802</v>
      </c>
      <c r="V400" t="s">
        <v>12802</v>
      </c>
      <c r="W400" t="s">
        <v>13200</v>
      </c>
      <c r="X400">
        <v>1</v>
      </c>
      <c r="Y400" t="s">
        <v>19523</v>
      </c>
      <c r="Z400" t="s">
        <v>25718</v>
      </c>
      <c r="AA400">
        <v>0.43387821213739558</v>
      </c>
      <c r="AB400" t="str">
        <f>HYPERLINK("Melting_Curves/meltCurve_D6REX9_CEP120.pdf", "Melting_Curves/meltCurve_D6REX9_CEP120.pdf")</f>
        <v>Melting_Curves/meltCurve_D6REX9_CEP120.pdf</v>
      </c>
    </row>
    <row r="401" spans="1:28" x14ac:dyDescent="0.25">
      <c r="A401" t="s">
        <v>405</v>
      </c>
      <c r="B401">
        <v>0.99542014353169495</v>
      </c>
      <c r="C401">
        <v>0.88487580870633198</v>
      </c>
      <c r="D401">
        <v>1.0189405168830701</v>
      </c>
      <c r="E401">
        <v>0.67131438436525404</v>
      </c>
      <c r="F401">
        <v>0.27316646289785401</v>
      </c>
      <c r="G401">
        <v>4.16877530262822E-2</v>
      </c>
      <c r="H401">
        <v>1.5249580982623301E-2</v>
      </c>
      <c r="I401">
        <v>8.1458529909806E-3</v>
      </c>
      <c r="J401">
        <v>3.2392102875130301E-3</v>
      </c>
      <c r="K401">
        <v>0</v>
      </c>
      <c r="L401">
        <v>1240.4244119436</v>
      </c>
      <c r="M401">
        <v>25.794637620226901</v>
      </c>
      <c r="N401">
        <v>48.0884611110124</v>
      </c>
      <c r="O401">
        <v>47.8022284689063</v>
      </c>
      <c r="P401">
        <v>-0.13490450630246101</v>
      </c>
      <c r="Q401">
        <v>0</v>
      </c>
      <c r="R401">
        <v>0.99026109914954596</v>
      </c>
      <c r="S401" t="s">
        <v>6803</v>
      </c>
      <c r="T401" t="s">
        <v>12802</v>
      </c>
      <c r="U401" t="s">
        <v>12802</v>
      </c>
      <c r="V401" t="s">
        <v>12802</v>
      </c>
      <c r="W401" t="s">
        <v>13201</v>
      </c>
      <c r="X401">
        <v>8</v>
      </c>
      <c r="Y401" t="s">
        <v>19524</v>
      </c>
      <c r="Z401" t="s">
        <v>25719</v>
      </c>
      <c r="AA401">
        <v>0.37763552521918931</v>
      </c>
      <c r="AB401" t="str">
        <f>HYPERLINK("Melting_Curves/meltCurve_D6RF48_STX18.pdf", "Melting_Curves/meltCurve_D6RF48_STX18.pdf")</f>
        <v>Melting_Curves/meltCurve_D6RF48_STX18.pdf</v>
      </c>
    </row>
    <row r="402" spans="1:28" x14ac:dyDescent="0.25">
      <c r="A402" t="s">
        <v>406</v>
      </c>
      <c r="B402">
        <v>0.99542014353169495</v>
      </c>
      <c r="C402">
        <v>1.0657579731809099</v>
      </c>
      <c r="D402">
        <v>0.91085316780754999</v>
      </c>
      <c r="E402">
        <v>0.77739137982469697</v>
      </c>
      <c r="F402">
        <v>0.78222845400857099</v>
      </c>
      <c r="G402">
        <v>0.43364732062259098</v>
      </c>
      <c r="H402">
        <v>0.53508539759704299</v>
      </c>
      <c r="I402">
        <v>0.582816960541643</v>
      </c>
      <c r="J402">
        <v>0.35272272466982901</v>
      </c>
      <c r="K402">
        <v>0.61278719454800001</v>
      </c>
      <c r="L402">
        <v>842.88889317211397</v>
      </c>
      <c r="M402">
        <v>17.471300167617599</v>
      </c>
      <c r="N402">
        <v>64.747520071181199</v>
      </c>
      <c r="O402">
        <v>47.625468476143503</v>
      </c>
      <c r="P402">
        <v>-4.6392368509396702E-2</v>
      </c>
      <c r="Q402">
        <v>0.49417944481011999</v>
      </c>
      <c r="R402">
        <v>0.84202797189493395</v>
      </c>
      <c r="S402" t="s">
        <v>6804</v>
      </c>
      <c r="T402" t="s">
        <v>12802</v>
      </c>
      <c r="U402" t="s">
        <v>12802</v>
      </c>
      <c r="V402" t="s">
        <v>12802</v>
      </c>
      <c r="W402" t="s">
        <v>13202</v>
      </c>
      <c r="X402">
        <v>24</v>
      </c>
      <c r="Y402" t="s">
        <v>19525</v>
      </c>
      <c r="Z402" t="s">
        <v>25720</v>
      </c>
      <c r="AA402">
        <v>0.6922846786318495</v>
      </c>
      <c r="AB402" t="str">
        <f>HYPERLINK("Melting_Curves/meltCurve_D6RF62_PAICS.pdf", "Melting_Curves/meltCurve_D6RF62_PAICS.pdf")</f>
        <v>Melting_Curves/meltCurve_D6RF62_PAICS.pdf</v>
      </c>
    </row>
    <row r="403" spans="1:28" x14ac:dyDescent="0.25">
      <c r="A403" t="s">
        <v>407</v>
      </c>
      <c r="B403">
        <v>0.99542014353169495</v>
      </c>
      <c r="C403">
        <v>1.0209657576250799</v>
      </c>
      <c r="D403">
        <v>0.92702510530815796</v>
      </c>
      <c r="E403">
        <v>0.90637927389130701</v>
      </c>
      <c r="F403">
        <v>0.81284868587291204</v>
      </c>
      <c r="G403">
        <v>0.71756929610206099</v>
      </c>
      <c r="H403">
        <v>0.37398329008591902</v>
      </c>
      <c r="I403">
        <v>0.13203511979676899</v>
      </c>
      <c r="J403">
        <v>6.19077583067369E-2</v>
      </c>
      <c r="K403">
        <v>5.4279875340911297E-2</v>
      </c>
      <c r="L403">
        <v>996.88382016181504</v>
      </c>
      <c r="M403">
        <v>17.906675747509698</v>
      </c>
      <c r="N403">
        <v>55.671072692029597</v>
      </c>
      <c r="O403">
        <v>54.990704633624397</v>
      </c>
      <c r="P403">
        <v>-8.1411855933103502E-2</v>
      </c>
      <c r="Q403">
        <v>0</v>
      </c>
      <c r="R403">
        <v>0.98623522044138601</v>
      </c>
      <c r="S403" t="s">
        <v>6805</v>
      </c>
      <c r="T403" t="s">
        <v>12802</v>
      </c>
      <c r="U403" t="s">
        <v>12802</v>
      </c>
      <c r="V403" t="s">
        <v>12802</v>
      </c>
      <c r="W403" t="s">
        <v>13203</v>
      </c>
      <c r="X403">
        <v>8</v>
      </c>
      <c r="Y403" t="s">
        <v>19526</v>
      </c>
      <c r="Z403" t="s">
        <v>25721</v>
      </c>
      <c r="AA403">
        <v>0.6339902149442056</v>
      </c>
      <c r="AB403" t="str">
        <f>HYPERLINK("Melting_Curves/meltCurve_D6RFG8_DCK.pdf", "Melting_Curves/meltCurve_D6RFG8_DCK.pdf")</f>
        <v>Melting_Curves/meltCurve_D6RFG8_DCK.pdf</v>
      </c>
    </row>
    <row r="404" spans="1:28" x14ac:dyDescent="0.25">
      <c r="A404" t="s">
        <v>408</v>
      </c>
      <c r="B404">
        <v>0.99542014353169495</v>
      </c>
      <c r="C404">
        <v>1.0095253956765</v>
      </c>
      <c r="D404">
        <v>0.59716173869551403</v>
      </c>
      <c r="E404">
        <v>0.93926263468887805</v>
      </c>
      <c r="F404">
        <v>0.77996723080978303</v>
      </c>
      <c r="G404">
        <v>0.543930315763276</v>
      </c>
      <c r="H404">
        <v>0.40448005536539</v>
      </c>
      <c r="I404">
        <v>0.26408538105471102</v>
      </c>
      <c r="J404">
        <v>0.23781071903391501</v>
      </c>
      <c r="K404">
        <v>0.24269965504501201</v>
      </c>
      <c r="L404">
        <v>429.08182774543701</v>
      </c>
      <c r="M404">
        <v>7.7713125861379897</v>
      </c>
      <c r="N404">
        <v>55.213560486877597</v>
      </c>
      <c r="O404">
        <v>51.915111610100098</v>
      </c>
      <c r="P404">
        <v>-3.7470345508957399E-2</v>
      </c>
      <c r="Q404">
        <v>0</v>
      </c>
      <c r="R404">
        <v>0.85520096084200603</v>
      </c>
      <c r="S404" t="s">
        <v>6806</v>
      </c>
      <c r="T404" t="s">
        <v>12802</v>
      </c>
      <c r="U404" t="s">
        <v>12802</v>
      </c>
      <c r="V404" t="s">
        <v>12802</v>
      </c>
      <c r="W404" t="s">
        <v>13204</v>
      </c>
      <c r="X404">
        <v>2</v>
      </c>
      <c r="Y404" t="s">
        <v>19527</v>
      </c>
      <c r="Z404" t="s">
        <v>25722</v>
      </c>
      <c r="AA404">
        <v>0.61112943835101452</v>
      </c>
      <c r="AB404" t="str">
        <f>HYPERLINK("Melting_Curves/meltCurve_D6RFH4_CYB5B.pdf", "Melting_Curves/meltCurve_D6RFH4_CYB5B.pdf")</f>
        <v>Melting_Curves/meltCurve_D6RFH4_CYB5B.pdf</v>
      </c>
    </row>
    <row r="405" spans="1:28" x14ac:dyDescent="0.25">
      <c r="A405" t="s">
        <v>409</v>
      </c>
      <c r="B405">
        <v>0.99542014353169495</v>
      </c>
      <c r="C405">
        <v>0.90732337242455396</v>
      </c>
      <c r="D405">
        <v>0.93768353891219902</v>
      </c>
      <c r="E405">
        <v>0.80756178291115299</v>
      </c>
      <c r="F405">
        <v>0.69301564539014104</v>
      </c>
      <c r="G405">
        <v>0.43625994349793601</v>
      </c>
      <c r="H405">
        <v>0.28018484551642497</v>
      </c>
      <c r="I405">
        <v>0.210503082764048</v>
      </c>
      <c r="J405">
        <v>0.23675566915249499</v>
      </c>
      <c r="K405">
        <v>0.11249652496384401</v>
      </c>
      <c r="L405">
        <v>625.949752259501</v>
      </c>
      <c r="M405">
        <v>12.0188854054015</v>
      </c>
      <c r="N405">
        <v>52.906056895276798</v>
      </c>
      <c r="O405">
        <v>50.701585966288697</v>
      </c>
      <c r="P405">
        <v>-5.4208717121311097E-2</v>
      </c>
      <c r="Q405">
        <v>8.5502722039862006E-2</v>
      </c>
      <c r="R405">
        <v>0.98657866251326798</v>
      </c>
      <c r="S405" t="s">
        <v>6807</v>
      </c>
      <c r="T405" t="s">
        <v>12802</v>
      </c>
      <c r="U405" t="s">
        <v>12802</v>
      </c>
      <c r="V405" t="s">
        <v>12802</v>
      </c>
      <c r="W405" t="s">
        <v>13205</v>
      </c>
      <c r="X405">
        <v>18</v>
      </c>
      <c r="Y405" t="s">
        <v>19528</v>
      </c>
      <c r="Z405" t="s">
        <v>25723</v>
      </c>
      <c r="AA405">
        <v>0.56672205083115246</v>
      </c>
      <c r="AB405" t="str">
        <f>HYPERLINK("Melting_Curves/meltCurve_D6RGI3_SEPT11.pdf", "Melting_Curves/meltCurve_D6RGI3_SEPT11.pdf")</f>
        <v>Melting_Curves/meltCurve_D6RGI3_SEPT11.pdf</v>
      </c>
    </row>
    <row r="406" spans="1:28" x14ac:dyDescent="0.25">
      <c r="A406" t="s">
        <v>410</v>
      </c>
      <c r="B406">
        <v>0.99542014353169495</v>
      </c>
      <c r="C406">
        <v>0.79314898998446803</v>
      </c>
      <c r="D406">
        <v>0.81205284058574001</v>
      </c>
      <c r="E406">
        <v>0.64642432539932604</v>
      </c>
      <c r="F406">
        <v>0.27451004058089501</v>
      </c>
      <c r="G406">
        <v>0.23739606067440799</v>
      </c>
      <c r="H406">
        <v>0.16188679230345701</v>
      </c>
      <c r="I406">
        <v>0.111674025147825</v>
      </c>
      <c r="J406">
        <v>0.205662612831464</v>
      </c>
      <c r="K406">
        <v>0.31512282404862901</v>
      </c>
      <c r="L406">
        <v>731.49480305931604</v>
      </c>
      <c r="M406">
        <v>15.882179506821799</v>
      </c>
      <c r="N406">
        <v>47.348405616116203</v>
      </c>
      <c r="O406">
        <v>45.345948126505803</v>
      </c>
      <c r="P406">
        <v>-7.2181280165469097E-2</v>
      </c>
      <c r="Q406">
        <v>0.17571401443485299</v>
      </c>
      <c r="R406">
        <v>0.93293270269164996</v>
      </c>
      <c r="S406" t="s">
        <v>6808</v>
      </c>
      <c r="T406" t="s">
        <v>12802</v>
      </c>
      <c r="U406" t="s">
        <v>12802</v>
      </c>
      <c r="V406" t="s">
        <v>12802</v>
      </c>
      <c r="W406" t="s">
        <v>13206</v>
      </c>
      <c r="X406">
        <v>3</v>
      </c>
      <c r="Y406" t="s">
        <v>19529</v>
      </c>
      <c r="Z406" t="s">
        <v>25724</v>
      </c>
      <c r="AA406">
        <v>0.44160139901715922</v>
      </c>
      <c r="AB406" t="str">
        <f>HYPERLINK("Melting_Curves/meltCurve_D6RGK9_CNOT6L.pdf", "Melting_Curves/meltCurve_D6RGK9_CNOT6L.pdf")</f>
        <v>Melting_Curves/meltCurve_D6RGK9_CNOT6L.pdf</v>
      </c>
    </row>
    <row r="407" spans="1:28" x14ac:dyDescent="0.25">
      <c r="A407" t="s">
        <v>411</v>
      </c>
      <c r="B407">
        <v>0.99542014353169495</v>
      </c>
      <c r="C407">
        <v>0.96274999113552995</v>
      </c>
      <c r="D407">
        <v>0.72091257821351196</v>
      </c>
      <c r="E407">
        <v>0.420574438026039</v>
      </c>
      <c r="F407">
        <v>0.20888383836590699</v>
      </c>
      <c r="G407">
        <v>0.13701782120709</v>
      </c>
      <c r="H407">
        <v>8.8937770329157603E-2</v>
      </c>
      <c r="I407">
        <v>0.100356543662858</v>
      </c>
      <c r="J407">
        <v>8.2728663779857395E-2</v>
      </c>
      <c r="K407">
        <v>0.116502685802887</v>
      </c>
      <c r="L407">
        <v>866.65239987614905</v>
      </c>
      <c r="M407">
        <v>19.217381777054801</v>
      </c>
      <c r="N407">
        <v>45.5872881434845</v>
      </c>
      <c r="O407">
        <v>44.617488836723901</v>
      </c>
      <c r="P407">
        <v>-9.7634868491230403E-2</v>
      </c>
      <c r="Q407">
        <v>9.3308704101229795E-2</v>
      </c>
      <c r="R407">
        <v>0.99777622502565799</v>
      </c>
      <c r="S407" t="s">
        <v>6809</v>
      </c>
      <c r="T407" t="s">
        <v>12802</v>
      </c>
      <c r="U407" t="s">
        <v>12802</v>
      </c>
      <c r="V407" t="s">
        <v>12802</v>
      </c>
      <c r="W407" t="s">
        <v>13207</v>
      </c>
      <c r="X407">
        <v>4</v>
      </c>
      <c r="Y407" t="s">
        <v>19530</v>
      </c>
      <c r="Z407" t="s">
        <v>25725</v>
      </c>
      <c r="AA407">
        <v>0.35097576096598049</v>
      </c>
      <c r="AB407" t="str">
        <f>HYPERLINK("Melting_Curves/meltCurve_D6RHD3_CENPK.pdf", "Melting_Curves/meltCurve_D6RHD3_CENPK.pdf")</f>
        <v>Melting_Curves/meltCurve_D6RHD3_CENPK.pdf</v>
      </c>
    </row>
    <row r="408" spans="1:28" x14ac:dyDescent="0.25">
      <c r="A408" t="s">
        <v>412</v>
      </c>
      <c r="B408">
        <v>0.99542014353169495</v>
      </c>
      <c r="C408">
        <v>0.91096741519003099</v>
      </c>
      <c r="D408">
        <v>0.97668414389309299</v>
      </c>
      <c r="E408">
        <v>0.79942888786226995</v>
      </c>
      <c r="F408">
        <v>0.71250120101682701</v>
      </c>
      <c r="G408">
        <v>0.46176645267942901</v>
      </c>
      <c r="H408">
        <v>0.20509102064085299</v>
      </c>
      <c r="I408">
        <v>8.0909767634631799E-2</v>
      </c>
      <c r="J408">
        <v>7.5876479078925793E-2</v>
      </c>
      <c r="K408">
        <v>6.6697326271905805E-2</v>
      </c>
      <c r="L408">
        <v>755.29632590776396</v>
      </c>
      <c r="M408">
        <v>14.330360122124899</v>
      </c>
      <c r="N408">
        <v>52.706001715652398</v>
      </c>
      <c r="O408">
        <v>51.711551280364702</v>
      </c>
      <c r="P408">
        <v>-6.9288646412086805E-2</v>
      </c>
      <c r="Q408">
        <v>0</v>
      </c>
      <c r="R408">
        <v>0.98763321991224895</v>
      </c>
      <c r="S408" t="s">
        <v>6810</v>
      </c>
      <c r="T408" t="s">
        <v>12802</v>
      </c>
      <c r="U408" t="s">
        <v>12802</v>
      </c>
      <c r="V408" t="s">
        <v>12802</v>
      </c>
      <c r="W408" t="s">
        <v>13208</v>
      </c>
      <c r="X408">
        <v>10</v>
      </c>
      <c r="Y408" t="s">
        <v>19531</v>
      </c>
      <c r="Z408" t="s">
        <v>25726</v>
      </c>
      <c r="AA408">
        <v>0.5426313344173862</v>
      </c>
      <c r="AB408" t="str">
        <f>HYPERLINK("Melting_Curves/meltCurve_D6RHI7_CCNH.pdf", "Melting_Curves/meltCurve_D6RHI7_CCNH.pdf")</f>
        <v>Melting_Curves/meltCurve_D6RHI7_CCNH.pdf</v>
      </c>
    </row>
    <row r="409" spans="1:28" x14ac:dyDescent="0.25">
      <c r="A409" t="s">
        <v>413</v>
      </c>
      <c r="B409">
        <v>0.99542014353169495</v>
      </c>
      <c r="C409">
        <v>1.02649306026799</v>
      </c>
      <c r="D409">
        <v>0.97669252138963603</v>
      </c>
      <c r="E409">
        <v>0.93845019213523695</v>
      </c>
      <c r="F409">
        <v>0.83424329917600404</v>
      </c>
      <c r="G409">
        <v>0.67836342702416697</v>
      </c>
      <c r="H409">
        <v>0.43419941223171499</v>
      </c>
      <c r="I409">
        <v>0.307514362712901</v>
      </c>
      <c r="J409">
        <v>0.38313051219959798</v>
      </c>
      <c r="K409">
        <v>0.34036670935914598</v>
      </c>
      <c r="L409">
        <v>1062.71353934027</v>
      </c>
      <c r="M409">
        <v>19.876273618695699</v>
      </c>
      <c r="N409">
        <v>56.277006487546899</v>
      </c>
      <c r="O409">
        <v>52.934056128940497</v>
      </c>
      <c r="P409">
        <v>-6.4332783447744804E-2</v>
      </c>
      <c r="Q409">
        <v>0.31470421612285099</v>
      </c>
      <c r="R409">
        <v>0.987238808610852</v>
      </c>
      <c r="S409" t="s">
        <v>6811</v>
      </c>
      <c r="T409" t="s">
        <v>12802</v>
      </c>
      <c r="U409" t="s">
        <v>12802</v>
      </c>
      <c r="V409" t="s">
        <v>12802</v>
      </c>
      <c r="W409" t="s">
        <v>13209</v>
      </c>
      <c r="X409">
        <v>6</v>
      </c>
      <c r="Y409" t="s">
        <v>19532</v>
      </c>
      <c r="Z409" t="s">
        <v>25727</v>
      </c>
      <c r="AA409">
        <v>0.69941216553291696</v>
      </c>
      <c r="AB409" t="str">
        <f>HYPERLINK("Melting_Curves/meltCurve_D6RHI9_RNASET2.pdf", "Melting_Curves/meltCurve_D6RHI9_RNASET2.pdf")</f>
        <v>Melting_Curves/meltCurve_D6RHI9_RNASET2.pdf</v>
      </c>
    </row>
    <row r="410" spans="1:28" x14ac:dyDescent="0.25">
      <c r="A410" t="s">
        <v>414</v>
      </c>
      <c r="B410">
        <v>0.99542014353169495</v>
      </c>
      <c r="C410">
        <v>0.79008737905967696</v>
      </c>
      <c r="D410">
        <v>0.83341046270935604</v>
      </c>
      <c r="E410">
        <v>0.59453099789365105</v>
      </c>
      <c r="F410">
        <v>0.52068373707961302</v>
      </c>
      <c r="G410">
        <v>0.35260795992692701</v>
      </c>
      <c r="H410">
        <v>0.314406505909956</v>
      </c>
      <c r="I410">
        <v>0.31669523625635598</v>
      </c>
      <c r="J410">
        <v>0.46244242237599198</v>
      </c>
      <c r="K410">
        <v>0.42295086327325199</v>
      </c>
      <c r="L410">
        <v>605.38807067921903</v>
      </c>
      <c r="M410">
        <v>13.5198275041594</v>
      </c>
      <c r="N410">
        <v>49.391990870797997</v>
      </c>
      <c r="O410">
        <v>43.832179410109298</v>
      </c>
      <c r="P410">
        <v>-4.9466600952115802E-2</v>
      </c>
      <c r="Q410">
        <v>0.35860091808004002</v>
      </c>
      <c r="R410">
        <v>0.91384231278405803</v>
      </c>
      <c r="S410" t="s">
        <v>6812</v>
      </c>
      <c r="T410" t="s">
        <v>12802</v>
      </c>
      <c r="U410" t="s">
        <v>12802</v>
      </c>
      <c r="V410" t="s">
        <v>12802</v>
      </c>
      <c r="W410" t="s">
        <v>13210</v>
      </c>
      <c r="X410">
        <v>2</v>
      </c>
      <c r="Y410" t="s">
        <v>19533</v>
      </c>
      <c r="Z410" t="s">
        <v>25728</v>
      </c>
      <c r="AA410">
        <v>0.54377653026669603</v>
      </c>
      <c r="AB410" t="str">
        <f>HYPERLINK("Melting_Curves/meltCurve_D6RIE3_COX7A2.pdf", "Melting_Curves/meltCurve_D6RIE3_COX7A2.pdf")</f>
        <v>Melting_Curves/meltCurve_D6RIE3_COX7A2.pdf</v>
      </c>
    </row>
    <row r="411" spans="1:28" x14ac:dyDescent="0.25">
      <c r="A411" t="s">
        <v>415</v>
      </c>
      <c r="B411">
        <v>0.99542014353169495</v>
      </c>
      <c r="C411">
        <v>0.97405596318417897</v>
      </c>
      <c r="D411">
        <v>0.83890768684303596</v>
      </c>
      <c r="E411">
        <v>0.725786236987917</v>
      </c>
      <c r="F411">
        <v>0.63447064197071401</v>
      </c>
      <c r="G411">
        <v>0.58250625195705397</v>
      </c>
      <c r="H411">
        <v>0.43575725472267002</v>
      </c>
      <c r="I411">
        <v>0.42927063954311401</v>
      </c>
      <c r="J411">
        <v>0.65011322466164001</v>
      </c>
      <c r="K411">
        <v>0.871236277435952</v>
      </c>
      <c r="L411">
        <v>953.05560139016904</v>
      </c>
      <c r="M411">
        <v>21.532558997111401</v>
      </c>
      <c r="O411">
        <v>43.884692371342801</v>
      </c>
      <c r="P411">
        <v>-4.9562012976838897E-2</v>
      </c>
      <c r="Q411">
        <v>0.59596798210200697</v>
      </c>
      <c r="R411">
        <v>0.63824682074648498</v>
      </c>
      <c r="S411" t="s">
        <v>6813</v>
      </c>
      <c r="T411" t="s">
        <v>12802</v>
      </c>
      <c r="U411" t="s">
        <v>12802</v>
      </c>
      <c r="V411" t="s">
        <v>12802</v>
      </c>
      <c r="W411" t="s">
        <v>13211</v>
      </c>
      <c r="X411">
        <v>2</v>
      </c>
      <c r="Y411" t="s">
        <v>19534</v>
      </c>
      <c r="Z411" t="s">
        <v>25729</v>
      </c>
      <c r="AA411">
        <v>0.69833530158811707</v>
      </c>
      <c r="AB411" t="str">
        <f>HYPERLINK("Melting_Curves/meltCurve_D6RIU2_CLDND1.pdf", "Melting_Curves/meltCurve_D6RIU2_CLDND1.pdf")</f>
        <v>Melting_Curves/meltCurve_D6RIU2_CLDND1.pdf</v>
      </c>
    </row>
    <row r="412" spans="1:28" x14ac:dyDescent="0.25">
      <c r="A412" t="s">
        <v>416</v>
      </c>
      <c r="B412">
        <v>0.99542014353169495</v>
      </c>
      <c r="C412">
        <v>0.85681696957267295</v>
      </c>
      <c r="D412">
        <v>0.76452846724185697</v>
      </c>
      <c r="E412">
        <v>0.58926797679821397</v>
      </c>
      <c r="F412">
        <v>0.564559381251034</v>
      </c>
      <c r="G412">
        <v>0.42534909305382801</v>
      </c>
      <c r="H412">
        <v>0.28835905969565601</v>
      </c>
      <c r="I412">
        <v>0.164146596400674</v>
      </c>
      <c r="J412">
        <v>7.1535508982166193E-2</v>
      </c>
      <c r="K412">
        <v>4.7357849640600601E-2</v>
      </c>
      <c r="L412">
        <v>416.47689059825399</v>
      </c>
      <c r="M412">
        <v>8.31369763070769</v>
      </c>
      <c r="N412">
        <v>50.0952642394208</v>
      </c>
      <c r="O412">
        <v>47.447979909262102</v>
      </c>
      <c r="P412">
        <v>-4.3847173365041001E-2</v>
      </c>
      <c r="Q412">
        <v>0</v>
      </c>
      <c r="R412">
        <v>0.97292273184197997</v>
      </c>
      <c r="S412" t="s">
        <v>6814</v>
      </c>
      <c r="T412" t="s">
        <v>12802</v>
      </c>
      <c r="U412" t="s">
        <v>12802</v>
      </c>
      <c r="V412" t="s">
        <v>12802</v>
      </c>
      <c r="W412" t="s">
        <v>13212</v>
      </c>
      <c r="X412">
        <v>1</v>
      </c>
      <c r="Y412" t="s">
        <v>19535</v>
      </c>
      <c r="Z412" t="s">
        <v>25730</v>
      </c>
      <c r="AA412">
        <v>0.47563541667841341</v>
      </c>
      <c r="AB412" t="str">
        <f>HYPERLINK("Melting_Curves/meltCurve_D6RIZ4_MFSD10.pdf", "Melting_Curves/meltCurve_D6RIZ4_MFSD10.pdf")</f>
        <v>Melting_Curves/meltCurve_D6RIZ4_MFSD10.pdf</v>
      </c>
    </row>
    <row r="413" spans="1:28" x14ac:dyDescent="0.25">
      <c r="A413" t="s">
        <v>417</v>
      </c>
      <c r="B413">
        <v>0.99542014353169495</v>
      </c>
      <c r="C413">
        <v>1.0051325883904501</v>
      </c>
      <c r="D413">
        <v>0.929136154928206</v>
      </c>
      <c r="E413">
        <v>0.87832631322736598</v>
      </c>
      <c r="F413">
        <v>0.41797161368034502</v>
      </c>
      <c r="G413">
        <v>0.22101156109134701</v>
      </c>
      <c r="H413">
        <v>8.3602358087526002E-2</v>
      </c>
      <c r="I413">
        <v>4.5171806270932299E-2</v>
      </c>
      <c r="J413">
        <v>0.104406978050228</v>
      </c>
      <c r="K413">
        <v>8.0236364578033195E-2</v>
      </c>
      <c r="L413">
        <v>1291.62362670379</v>
      </c>
      <c r="M413">
        <v>26.121610734018901</v>
      </c>
      <c r="N413">
        <v>49.763362753091101</v>
      </c>
      <c r="O413">
        <v>49.1594890213306</v>
      </c>
      <c r="P413">
        <v>-0.122666493339846</v>
      </c>
      <c r="Q413">
        <v>7.6603035561792404E-2</v>
      </c>
      <c r="R413">
        <v>0.99421093853603404</v>
      </c>
      <c r="S413" t="s">
        <v>6815</v>
      </c>
      <c r="T413" t="s">
        <v>12802</v>
      </c>
      <c r="U413" t="s">
        <v>12802</v>
      </c>
      <c r="V413" t="s">
        <v>12802</v>
      </c>
      <c r="W413" t="s">
        <v>13213</v>
      </c>
      <c r="X413">
        <v>2</v>
      </c>
      <c r="Y413" t="s">
        <v>19536</v>
      </c>
      <c r="Z413" t="s">
        <v>25731</v>
      </c>
      <c r="AA413">
        <v>0.46707733921769917</v>
      </c>
      <c r="AB413" t="str">
        <f>HYPERLINK("Melting_Curves/meltCurve_D6RJ07_ZNF346.pdf", "Melting_Curves/meltCurve_D6RJ07_ZNF346.pdf")</f>
        <v>Melting_Curves/meltCurve_D6RJ07_ZNF346.pdf</v>
      </c>
    </row>
    <row r="414" spans="1:28" x14ac:dyDescent="0.25">
      <c r="A414" t="s">
        <v>418</v>
      </c>
      <c r="B414">
        <v>0.99542014353169495</v>
      </c>
      <c r="C414">
        <v>0.93676868094559795</v>
      </c>
      <c r="D414">
        <v>0.95774220857153103</v>
      </c>
      <c r="E414">
        <v>0.83232804154667295</v>
      </c>
      <c r="F414">
        <v>0.67888684688227696</v>
      </c>
      <c r="G414">
        <v>0.34778010836238799</v>
      </c>
      <c r="H414">
        <v>0.20621277820234199</v>
      </c>
      <c r="I414">
        <v>8.47635750110865E-2</v>
      </c>
      <c r="J414">
        <v>9.7391450965428505E-2</v>
      </c>
      <c r="K414">
        <v>9.8298930581015298E-2</v>
      </c>
      <c r="L414">
        <v>863.93109402587197</v>
      </c>
      <c r="M414">
        <v>16.748290903971</v>
      </c>
      <c r="N414">
        <v>51.940220789784199</v>
      </c>
      <c r="O414">
        <v>50.864678747866797</v>
      </c>
      <c r="P414">
        <v>-7.7847716186386598E-2</v>
      </c>
      <c r="Q414">
        <v>5.4365673113947001E-2</v>
      </c>
      <c r="R414">
        <v>0.99366399731913402</v>
      </c>
      <c r="S414" t="s">
        <v>6816</v>
      </c>
      <c r="T414" t="s">
        <v>12802</v>
      </c>
      <c r="U414" t="s">
        <v>12802</v>
      </c>
      <c r="V414" t="s">
        <v>12802</v>
      </c>
      <c r="W414" t="s">
        <v>13214</v>
      </c>
      <c r="X414">
        <v>2</v>
      </c>
      <c r="Y414" t="s">
        <v>19537</v>
      </c>
      <c r="Z414" t="s">
        <v>25732</v>
      </c>
      <c r="AA414">
        <v>0.53008837489598559</v>
      </c>
      <c r="AB414" t="str">
        <f>HYPERLINK("Melting_Curves/meltCurve_D6RJ90_COMMD10.pdf", "Melting_Curves/meltCurve_D6RJ90_COMMD10.pdf")</f>
        <v>Melting_Curves/meltCurve_D6RJ90_COMMD10.pdf</v>
      </c>
    </row>
    <row r="415" spans="1:28" x14ac:dyDescent="0.25">
      <c r="A415" t="s">
        <v>419</v>
      </c>
      <c r="B415">
        <v>0.99542014353169495</v>
      </c>
      <c r="C415">
        <v>1.00782316187417</v>
      </c>
      <c r="D415">
        <v>0.94200563472424104</v>
      </c>
      <c r="E415">
        <v>0.77788707716806904</v>
      </c>
      <c r="F415">
        <v>0.39839582924908401</v>
      </c>
      <c r="G415">
        <v>0.100569080425878</v>
      </c>
      <c r="H415">
        <v>8.0729535219920406E-2</v>
      </c>
      <c r="I415">
        <v>4.9687291926559601E-2</v>
      </c>
      <c r="J415">
        <v>7.0657234650876796E-2</v>
      </c>
      <c r="K415">
        <v>3.1677957170432799E-2</v>
      </c>
      <c r="L415">
        <v>1189.9178099414501</v>
      </c>
      <c r="M415">
        <v>24.317520929779601</v>
      </c>
      <c r="N415">
        <v>49.113572012184797</v>
      </c>
      <c r="O415">
        <v>48.605234438938297</v>
      </c>
      <c r="P415">
        <v>-0.119716519999693</v>
      </c>
      <c r="Q415">
        <v>4.2869462429654198E-2</v>
      </c>
      <c r="R415">
        <v>0.99791031902659399</v>
      </c>
      <c r="S415" t="s">
        <v>6817</v>
      </c>
      <c r="T415" t="s">
        <v>12802</v>
      </c>
      <c r="U415" t="s">
        <v>12802</v>
      </c>
      <c r="V415" t="s">
        <v>12802</v>
      </c>
      <c r="W415" t="s">
        <v>13215</v>
      </c>
      <c r="X415">
        <v>7</v>
      </c>
      <c r="Y415" t="s">
        <v>19538</v>
      </c>
      <c r="Z415" t="s">
        <v>25733</v>
      </c>
      <c r="AA415">
        <v>0.43228865711279357</v>
      </c>
      <c r="AB415" t="str">
        <f>HYPERLINK("Melting_Curves/meltCurve_E2QRD0_VWA8.pdf", "Melting_Curves/meltCurve_E2QRD0_VWA8.pdf")</f>
        <v>Melting_Curves/meltCurve_E2QRD0_VWA8.pdf</v>
      </c>
    </row>
    <row r="416" spans="1:28" x14ac:dyDescent="0.25">
      <c r="A416" t="s">
        <v>420</v>
      </c>
      <c r="B416">
        <v>0.99542014353169495</v>
      </c>
      <c r="C416">
        <v>0.815693040923546</v>
      </c>
      <c r="D416">
        <v>0.49291925724691499</v>
      </c>
      <c r="E416">
        <v>0.36685245413068601</v>
      </c>
      <c r="F416">
        <v>0.28758039275582298</v>
      </c>
      <c r="G416">
        <v>0.15932222699958801</v>
      </c>
      <c r="H416">
        <v>8.3400556382096605E-2</v>
      </c>
      <c r="I416">
        <v>7.3273482442903395E-2</v>
      </c>
      <c r="J416">
        <v>5.6739389837355103E-2</v>
      </c>
      <c r="K416">
        <v>8.5482278969052902E-2</v>
      </c>
      <c r="L416">
        <v>565.38590945974101</v>
      </c>
      <c r="M416">
        <v>12.93549550699</v>
      </c>
      <c r="N416">
        <v>44.199997272416098</v>
      </c>
      <c r="O416">
        <v>42.703051718983602</v>
      </c>
      <c r="P416">
        <v>-7.0665315610676294E-2</v>
      </c>
      <c r="Q416">
        <v>6.7038077231863002E-2</v>
      </c>
      <c r="R416">
        <v>0.97788852158883</v>
      </c>
      <c r="S416" t="s">
        <v>6818</v>
      </c>
      <c r="T416" t="s">
        <v>12802</v>
      </c>
      <c r="U416" t="s">
        <v>12802</v>
      </c>
      <c r="V416" t="s">
        <v>12802</v>
      </c>
      <c r="W416" t="s">
        <v>13216</v>
      </c>
      <c r="X416">
        <v>1</v>
      </c>
      <c r="Y416" t="s">
        <v>19539</v>
      </c>
      <c r="Z416" t="s">
        <v>25734</v>
      </c>
      <c r="AA416">
        <v>0.30747554774219871</v>
      </c>
      <c r="AB416" t="str">
        <f>HYPERLINK("Melting_Curves/meltCurve_E2QRD4_MMS22L.pdf", "Melting_Curves/meltCurve_E2QRD4_MMS22L.pdf")</f>
        <v>Melting_Curves/meltCurve_E2QRD4_MMS22L.pdf</v>
      </c>
    </row>
    <row r="417" spans="1:28" x14ac:dyDescent="0.25">
      <c r="A417" t="s">
        <v>421</v>
      </c>
      <c r="B417">
        <v>0.99542014353169495</v>
      </c>
      <c r="C417">
        <v>0.98808302906586998</v>
      </c>
      <c r="D417">
        <v>0.982451775553422</v>
      </c>
      <c r="E417">
        <v>0.93796358531563995</v>
      </c>
      <c r="F417">
        <v>0.750117904729795</v>
      </c>
      <c r="G417">
        <v>0.58837100616056004</v>
      </c>
      <c r="H417">
        <v>0.48975596587818998</v>
      </c>
      <c r="I417">
        <v>0.46744169672864799</v>
      </c>
      <c r="J417">
        <v>0.70280156984725595</v>
      </c>
      <c r="K417">
        <v>0.88130202572872796</v>
      </c>
      <c r="L417">
        <v>1921.6686929661601</v>
      </c>
      <c r="M417">
        <v>39.220053422050697</v>
      </c>
      <c r="O417">
        <v>48.8702312931458</v>
      </c>
      <c r="P417">
        <v>-7.5010348475664096E-2</v>
      </c>
      <c r="Q417">
        <v>0.62613361537457901</v>
      </c>
      <c r="R417">
        <v>0.69692708229380396</v>
      </c>
      <c r="S417" t="s">
        <v>6819</v>
      </c>
      <c r="T417" t="s">
        <v>12802</v>
      </c>
      <c r="U417" t="s">
        <v>12802</v>
      </c>
      <c r="V417" t="s">
        <v>12802</v>
      </c>
      <c r="W417" t="s">
        <v>13217</v>
      </c>
      <c r="X417">
        <v>10</v>
      </c>
      <c r="Y417" t="s">
        <v>19540</v>
      </c>
      <c r="Z417" t="s">
        <v>25735</v>
      </c>
      <c r="AA417">
        <v>0.77696109518862289</v>
      </c>
      <c r="AB417" t="str">
        <f>HYPERLINK("Melting_Curves/meltCurve_E2QRF9_GMNN.pdf", "Melting_Curves/meltCurve_E2QRF9_GMNN.pdf")</f>
        <v>Melting_Curves/meltCurve_E2QRF9_GMNN.pdf</v>
      </c>
    </row>
    <row r="418" spans="1:28" x14ac:dyDescent="0.25">
      <c r="A418" t="s">
        <v>422</v>
      </c>
      <c r="B418">
        <v>0.99542014353169495</v>
      </c>
      <c r="C418">
        <v>0.954284137514544</v>
      </c>
      <c r="D418">
        <v>0.88407397629283402</v>
      </c>
      <c r="E418">
        <v>0.66508787805555403</v>
      </c>
      <c r="F418">
        <v>0.38964515796086602</v>
      </c>
      <c r="G418">
        <v>0.209492810370252</v>
      </c>
      <c r="H418">
        <v>0.13282340071152901</v>
      </c>
      <c r="I418">
        <v>8.3523892311973796E-2</v>
      </c>
      <c r="J418">
        <v>9.9010922217252606E-2</v>
      </c>
      <c r="K418">
        <v>0.116296725067872</v>
      </c>
      <c r="L418">
        <v>807.69815395407602</v>
      </c>
      <c r="M418">
        <v>16.8017346194816</v>
      </c>
      <c r="N418">
        <v>48.593628118203398</v>
      </c>
      <c r="O418">
        <v>47.406813090476803</v>
      </c>
      <c r="P418">
        <v>-8.1302097367344006E-2</v>
      </c>
      <c r="Q418">
        <v>8.2470016938450602E-2</v>
      </c>
      <c r="R418">
        <v>0.998711158207927</v>
      </c>
      <c r="S418" t="s">
        <v>6820</v>
      </c>
      <c r="T418" t="s">
        <v>12802</v>
      </c>
      <c r="U418" t="s">
        <v>12802</v>
      </c>
      <c r="V418" t="s">
        <v>12802</v>
      </c>
      <c r="W418" t="s">
        <v>13218</v>
      </c>
      <c r="X418">
        <v>10</v>
      </c>
      <c r="Y418" t="s">
        <v>19541</v>
      </c>
      <c r="Z418" t="s">
        <v>25736</v>
      </c>
      <c r="AA418">
        <v>0.43770159963074851</v>
      </c>
      <c r="AB418" t="str">
        <f>HYPERLINK("Melting_Curves/meltCurve_E5RFJ1_NSMCE2.pdf", "Melting_Curves/meltCurve_E5RFJ1_NSMCE2.pdf")</f>
        <v>Melting_Curves/meltCurve_E5RFJ1_NSMCE2.pdf</v>
      </c>
    </row>
    <row r="419" spans="1:28" x14ac:dyDescent="0.25">
      <c r="A419" t="s">
        <v>423</v>
      </c>
      <c r="B419">
        <v>0.99542014353169495</v>
      </c>
      <c r="C419">
        <v>1.2511087948975601</v>
      </c>
      <c r="D419">
        <v>0.89223494230800304</v>
      </c>
      <c r="E419">
        <v>0.81793807713875599</v>
      </c>
      <c r="F419">
        <v>0.87706199339550905</v>
      </c>
      <c r="G419">
        <v>0.87065045197108004</v>
      </c>
      <c r="H419">
        <v>0.72727542320898397</v>
      </c>
      <c r="I419">
        <v>0.61192531371926095</v>
      </c>
      <c r="J419">
        <v>0.607254872314966</v>
      </c>
      <c r="K419">
        <v>0.26954944587812502</v>
      </c>
      <c r="L419">
        <v>550.66312430241805</v>
      </c>
      <c r="M419">
        <v>8.6322308754737804</v>
      </c>
      <c r="N419">
        <v>63.791518633114201</v>
      </c>
      <c r="O419">
        <v>60.645091608974099</v>
      </c>
      <c r="P419">
        <v>-3.5615288685354102E-2</v>
      </c>
      <c r="Q419">
        <v>0</v>
      </c>
      <c r="R419">
        <v>0.79350681276962098</v>
      </c>
      <c r="S419" t="s">
        <v>6821</v>
      </c>
      <c r="T419" t="s">
        <v>12802</v>
      </c>
      <c r="U419" t="s">
        <v>12802</v>
      </c>
      <c r="V419" t="s">
        <v>12802</v>
      </c>
      <c r="W419" t="s">
        <v>13219</v>
      </c>
      <c r="X419">
        <v>10</v>
      </c>
      <c r="Y419" t="s">
        <v>19542</v>
      </c>
      <c r="Z419" t="s">
        <v>25737</v>
      </c>
      <c r="AA419">
        <v>0.80499544932545852</v>
      </c>
      <c r="AB419" t="str">
        <f>HYPERLINK("Melting_Curves/meltCurve_E5RG13_IMPA1.pdf", "Melting_Curves/meltCurve_E5RG13_IMPA1.pdf")</f>
        <v>Melting_Curves/meltCurve_E5RG13_IMPA1.pdf</v>
      </c>
    </row>
    <row r="420" spans="1:28" x14ac:dyDescent="0.25">
      <c r="A420" t="s">
        <v>424</v>
      </c>
      <c r="B420">
        <v>0.99542014353169495</v>
      </c>
      <c r="C420">
        <v>1.0172048792941</v>
      </c>
      <c r="D420">
        <v>0.96808249730978202</v>
      </c>
      <c r="E420">
        <v>0.962234035833886</v>
      </c>
      <c r="F420">
        <v>0.70714388618268997</v>
      </c>
      <c r="G420">
        <v>0.57368752807929002</v>
      </c>
      <c r="H420">
        <v>0.391310757989144</v>
      </c>
      <c r="I420">
        <v>0.34122246575335002</v>
      </c>
      <c r="J420">
        <v>0.28528922761830899</v>
      </c>
      <c r="K420">
        <v>7.6571088569419798E-2</v>
      </c>
      <c r="L420">
        <v>606.65770527985501</v>
      </c>
      <c r="M420">
        <v>10.987291331456699</v>
      </c>
      <c r="N420">
        <v>55.617933218458397</v>
      </c>
      <c r="O420">
        <v>53.480007613114701</v>
      </c>
      <c r="P420">
        <v>-4.9411053196990899E-2</v>
      </c>
      <c r="Q420">
        <v>3.8304095787976597E-2</v>
      </c>
      <c r="R420">
        <v>0.976433064346383</v>
      </c>
      <c r="S420" t="s">
        <v>6822</v>
      </c>
      <c r="T420" t="s">
        <v>12802</v>
      </c>
      <c r="U420" t="s">
        <v>12802</v>
      </c>
      <c r="V420" t="s">
        <v>12802</v>
      </c>
      <c r="W420" t="s">
        <v>13220</v>
      </c>
      <c r="X420">
        <v>15</v>
      </c>
      <c r="Y420" t="s">
        <v>19543</v>
      </c>
      <c r="Z420" t="s">
        <v>25738</v>
      </c>
      <c r="AA420">
        <v>0.63413848036854636</v>
      </c>
      <c r="AB420" t="str">
        <f>HYPERLINK("Melting_Curves/meltCurve_E5RG17_TATDN1.pdf", "Melting_Curves/meltCurve_E5RG17_TATDN1.pdf")</f>
        <v>Melting_Curves/meltCurve_E5RG17_TATDN1.pdf</v>
      </c>
    </row>
    <row r="421" spans="1:28" x14ac:dyDescent="0.25">
      <c r="A421" t="s">
        <v>425</v>
      </c>
      <c r="B421">
        <v>0.99542014353169495</v>
      </c>
      <c r="C421">
        <v>1.0577484996962001</v>
      </c>
      <c r="D421">
        <v>0.79012700129394497</v>
      </c>
      <c r="E421">
        <v>0.82873078193067196</v>
      </c>
      <c r="F421">
        <v>0.63499979076236501</v>
      </c>
      <c r="G421">
        <v>0.467743778859041</v>
      </c>
      <c r="H421">
        <v>0.21099613948290499</v>
      </c>
      <c r="I421">
        <v>0.14553398363914499</v>
      </c>
      <c r="J421">
        <v>0.123896405318504</v>
      </c>
      <c r="K421">
        <v>0.14125131073877101</v>
      </c>
      <c r="L421">
        <v>613.84428747664299</v>
      </c>
      <c r="M421">
        <v>11.810831893148601</v>
      </c>
      <c r="N421">
        <v>52.275207140235601</v>
      </c>
      <c r="O421">
        <v>50.550203106430601</v>
      </c>
      <c r="P421">
        <v>-5.6498245925814497E-2</v>
      </c>
      <c r="Q421">
        <v>3.3000952503342597E-2</v>
      </c>
      <c r="R421">
        <v>0.97166441582317897</v>
      </c>
      <c r="S421" t="s">
        <v>6823</v>
      </c>
      <c r="T421" t="s">
        <v>12802</v>
      </c>
      <c r="U421" t="s">
        <v>12802</v>
      </c>
      <c r="V421" t="s">
        <v>12802</v>
      </c>
      <c r="W421" t="s">
        <v>13221</v>
      </c>
      <c r="X421">
        <v>4</v>
      </c>
      <c r="Y421" t="s">
        <v>19544</v>
      </c>
      <c r="Z421" t="s">
        <v>25739</v>
      </c>
      <c r="AA421">
        <v>0.5389525106301335</v>
      </c>
      <c r="AB421" t="str">
        <f>HYPERLINK("Melting_Curves/meltCurve_E5RGQ3_RWDD1.pdf", "Melting_Curves/meltCurve_E5RGQ3_RWDD1.pdf")</f>
        <v>Melting_Curves/meltCurve_E5RGQ3_RWDD1.pdf</v>
      </c>
    </row>
    <row r="422" spans="1:28" x14ac:dyDescent="0.25">
      <c r="A422" t="s">
        <v>426</v>
      </c>
      <c r="B422">
        <v>0.99542014353169495</v>
      </c>
      <c r="C422">
        <v>1.0101472911562499</v>
      </c>
      <c r="D422">
        <v>0.87973827032396801</v>
      </c>
      <c r="E422">
        <v>0.68062401281739304</v>
      </c>
      <c r="F422">
        <v>0.479221492846296</v>
      </c>
      <c r="G422">
        <v>0.28664144388964402</v>
      </c>
      <c r="H422">
        <v>0.16587613779618299</v>
      </c>
      <c r="I422">
        <v>0.123681443604383</v>
      </c>
      <c r="J422">
        <v>0.173100019223146</v>
      </c>
      <c r="K422">
        <v>0.28352287161858197</v>
      </c>
      <c r="L422">
        <v>832.64633065749695</v>
      </c>
      <c r="M422">
        <v>17.324994394120299</v>
      </c>
      <c r="N422">
        <v>49.257741600949103</v>
      </c>
      <c r="O422">
        <v>47.433807610291701</v>
      </c>
      <c r="P422">
        <v>-7.5624157708714904E-2</v>
      </c>
      <c r="Q422">
        <v>0.17184712607830299</v>
      </c>
      <c r="R422">
        <v>0.98040294733912903</v>
      </c>
      <c r="S422" t="s">
        <v>6824</v>
      </c>
      <c r="T422" t="s">
        <v>12802</v>
      </c>
      <c r="U422" t="s">
        <v>12802</v>
      </c>
      <c r="V422" t="s">
        <v>12802</v>
      </c>
      <c r="W422" t="s">
        <v>13222</v>
      </c>
      <c r="X422">
        <v>5</v>
      </c>
      <c r="Y422" t="s">
        <v>19545</v>
      </c>
      <c r="Z422" t="s">
        <v>25740</v>
      </c>
      <c r="AA422">
        <v>0.49135164517047619</v>
      </c>
      <c r="AB422" t="str">
        <f>HYPERLINK("Melting_Curves/meltCurve_E5RGT6_FCHSD1.pdf", "Melting_Curves/meltCurve_E5RGT6_FCHSD1.pdf")</f>
        <v>Melting_Curves/meltCurve_E5RGT6_FCHSD1.pdf</v>
      </c>
    </row>
    <row r="423" spans="1:28" x14ac:dyDescent="0.25">
      <c r="A423" t="s">
        <v>427</v>
      </c>
      <c r="B423">
        <v>0.99542014353169495</v>
      </c>
      <c r="C423">
        <v>1.12846081010612</v>
      </c>
      <c r="D423">
        <v>1.17557909610899</v>
      </c>
      <c r="E423">
        <v>0.92417008476498097</v>
      </c>
      <c r="F423">
        <v>0.95435037150915603</v>
      </c>
      <c r="G423">
        <v>0.75480247485786001</v>
      </c>
      <c r="H423">
        <v>0.72448032813269903</v>
      </c>
      <c r="I423">
        <v>0.66477880250193999</v>
      </c>
      <c r="J423">
        <v>1.15951070230835</v>
      </c>
      <c r="K423">
        <v>1.5265543742243799</v>
      </c>
      <c r="L423">
        <v>15000</v>
      </c>
      <c r="M423">
        <v>233.25113815909501</v>
      </c>
      <c r="O423">
        <v>64.3036405059499</v>
      </c>
      <c r="P423">
        <v>0.45341744462077199</v>
      </c>
      <c r="Q423">
        <v>1.5</v>
      </c>
      <c r="R423">
        <v>0.49809351984599298</v>
      </c>
      <c r="S423" t="s">
        <v>6825</v>
      </c>
      <c r="T423" t="s">
        <v>12802</v>
      </c>
      <c r="U423" t="s">
        <v>12802</v>
      </c>
      <c r="V423" t="s">
        <v>12802</v>
      </c>
      <c r="W423" t="s">
        <v>13046</v>
      </c>
      <c r="X423">
        <v>9</v>
      </c>
      <c r="Y423" t="s">
        <v>19546</v>
      </c>
      <c r="Z423" t="s">
        <v>25741</v>
      </c>
      <c r="AA423">
        <v>1.0447961369514751</v>
      </c>
      <c r="AB423" t="str">
        <f>HYPERLINK("Melting_Curves/meltCurve_E5RGX5_STMN2.pdf", "Melting_Curves/meltCurve_E5RGX5_STMN2.pdf")</f>
        <v>Melting_Curves/meltCurve_E5RGX5_STMN2.pdf</v>
      </c>
    </row>
    <row r="424" spans="1:28" x14ac:dyDescent="0.25">
      <c r="A424" t="s">
        <v>428</v>
      </c>
      <c r="B424">
        <v>0.99542014353169495</v>
      </c>
      <c r="C424">
        <v>1.0064177443486</v>
      </c>
      <c r="D424">
        <v>1.04037139357593</v>
      </c>
      <c r="E424">
        <v>0.82434642187736396</v>
      </c>
      <c r="F424">
        <v>0.81930484545100302</v>
      </c>
      <c r="G424">
        <v>0.38713562638273602</v>
      </c>
      <c r="H424">
        <v>0.22546048586231299</v>
      </c>
      <c r="I424">
        <v>0.115587308914956</v>
      </c>
      <c r="J424">
        <v>0.174612821779428</v>
      </c>
      <c r="K424">
        <v>0.14603497351299299</v>
      </c>
      <c r="L424">
        <v>1253.1452082833</v>
      </c>
      <c r="M424">
        <v>24.018412944599</v>
      </c>
      <c r="N424">
        <v>52.846206165572497</v>
      </c>
      <c r="O424">
        <v>51.816733405626898</v>
      </c>
      <c r="P424">
        <v>-0.100637109293329</v>
      </c>
      <c r="Q424">
        <v>0.131565909032475</v>
      </c>
      <c r="R424">
        <v>0.98125490813412397</v>
      </c>
      <c r="S424" t="s">
        <v>6826</v>
      </c>
      <c r="T424" t="s">
        <v>12802</v>
      </c>
      <c r="U424" t="s">
        <v>12802</v>
      </c>
      <c r="V424" t="s">
        <v>12802</v>
      </c>
      <c r="W424" t="s">
        <v>13223</v>
      </c>
      <c r="X424">
        <v>4</v>
      </c>
      <c r="Y424" t="s">
        <v>19547</v>
      </c>
      <c r="Z424" t="s">
        <v>25742</v>
      </c>
      <c r="AA424">
        <v>0.57908904698613917</v>
      </c>
      <c r="AB424" t="str">
        <f>HYPERLINK("Melting_Curves/meltCurve_E5RGY0_DERL1.pdf", "Melting_Curves/meltCurve_E5RGY0_DERL1.pdf")</f>
        <v>Melting_Curves/meltCurve_E5RGY0_DERL1.pdf</v>
      </c>
    </row>
    <row r="425" spans="1:28" x14ac:dyDescent="0.25">
      <c r="A425" t="s">
        <v>429</v>
      </c>
      <c r="B425">
        <v>0.99542014353169495</v>
      </c>
      <c r="C425">
        <v>3.2752252132347199</v>
      </c>
      <c r="D425">
        <v>1.77732882276997</v>
      </c>
      <c r="E425">
        <v>1.9588103548817699</v>
      </c>
      <c r="F425">
        <v>1.9939709069684901</v>
      </c>
      <c r="G425">
        <v>1.5737441731177699</v>
      </c>
      <c r="H425">
        <v>0.43210554764946502</v>
      </c>
      <c r="I425">
        <v>0.418948275128807</v>
      </c>
      <c r="J425">
        <v>0.17884748200115799</v>
      </c>
      <c r="K425">
        <v>0.163762819337857</v>
      </c>
      <c r="L425">
        <v>14283.4890773225</v>
      </c>
      <c r="M425">
        <v>250</v>
      </c>
      <c r="N425">
        <v>57.296375762216101</v>
      </c>
      <c r="O425">
        <v>57.130301332501404</v>
      </c>
      <c r="P425">
        <v>-0.81627802477352995</v>
      </c>
      <c r="Q425">
        <v>0.25385266434731002</v>
      </c>
      <c r="R425">
        <v>0.13209054679638599</v>
      </c>
      <c r="S425" t="s">
        <v>6827</v>
      </c>
      <c r="T425" t="s">
        <v>12802</v>
      </c>
      <c r="U425" t="s">
        <v>12802</v>
      </c>
      <c r="V425" t="s">
        <v>12802</v>
      </c>
      <c r="W425" t="s">
        <v>13224</v>
      </c>
      <c r="X425">
        <v>1</v>
      </c>
      <c r="Y425" t="s">
        <v>19548</v>
      </c>
      <c r="Z425" t="s">
        <v>25743</v>
      </c>
      <c r="AA425">
        <v>0.75469074182429374</v>
      </c>
      <c r="AB425" t="str">
        <f>HYPERLINK("Melting_Curves/meltCurve_E5RH36_IDO1.pdf", "Melting_Curves/meltCurve_E5RH36_IDO1.pdf")</f>
        <v>Melting_Curves/meltCurve_E5RH36_IDO1.pdf</v>
      </c>
    </row>
    <row r="426" spans="1:28" x14ac:dyDescent="0.25">
      <c r="A426" t="s">
        <v>430</v>
      </c>
      <c r="B426">
        <v>0.99542014353169495</v>
      </c>
      <c r="C426">
        <v>0.91884306086796197</v>
      </c>
      <c r="D426">
        <v>0.73121559228775901</v>
      </c>
      <c r="E426">
        <v>0.54063184469604397</v>
      </c>
      <c r="F426">
        <v>0.35548157517203299</v>
      </c>
      <c r="G426">
        <v>0.24204252254370701</v>
      </c>
      <c r="H426">
        <v>0.18032263287303801</v>
      </c>
      <c r="I426">
        <v>0.21107568582588601</v>
      </c>
      <c r="J426">
        <v>0.26000163290501299</v>
      </c>
      <c r="K426">
        <v>0.44565520524422397</v>
      </c>
      <c r="L426">
        <v>818.06599151878697</v>
      </c>
      <c r="M426">
        <v>18.3136054487222</v>
      </c>
      <c r="N426">
        <v>46.5669060980971</v>
      </c>
      <c r="O426">
        <v>44.147453349761001</v>
      </c>
      <c r="P426">
        <v>-7.64474873767583E-2</v>
      </c>
      <c r="Q426">
        <v>0.262885521940807</v>
      </c>
      <c r="R426">
        <v>0.93738335251277705</v>
      </c>
      <c r="S426" t="s">
        <v>6828</v>
      </c>
      <c r="T426" t="s">
        <v>12802</v>
      </c>
      <c r="U426" t="s">
        <v>12802</v>
      </c>
      <c r="V426" t="s">
        <v>12802</v>
      </c>
      <c r="W426" t="s">
        <v>13225</v>
      </c>
      <c r="X426">
        <v>1</v>
      </c>
      <c r="Y426" t="s">
        <v>19549</v>
      </c>
      <c r="Z426" t="s">
        <v>25744</v>
      </c>
      <c r="AA426">
        <v>0.4630682050091654</v>
      </c>
      <c r="AB426" t="str">
        <f>HYPERLINK("Melting_Curves/meltCurve_E5RHA7_RELL2.pdf", "Melting_Curves/meltCurve_E5RHA7_RELL2.pdf")</f>
        <v>Melting_Curves/meltCurve_E5RHA7_RELL2.pdf</v>
      </c>
    </row>
    <row r="427" spans="1:28" x14ac:dyDescent="0.25">
      <c r="A427" t="s">
        <v>431</v>
      </c>
      <c r="B427">
        <v>0.99542014353169495</v>
      </c>
      <c r="C427">
        <v>0.96557908687442595</v>
      </c>
      <c r="D427">
        <v>1.0096609190789001</v>
      </c>
      <c r="E427">
        <v>0.88247118944501501</v>
      </c>
      <c r="F427">
        <v>0.84655627280705703</v>
      </c>
      <c r="G427">
        <v>0.51537656512307395</v>
      </c>
      <c r="H427">
        <v>0.73204575310445297</v>
      </c>
      <c r="I427">
        <v>0.460310415176726</v>
      </c>
      <c r="J427">
        <v>0.198714041370672</v>
      </c>
      <c r="K427">
        <v>0.22307261494170599</v>
      </c>
      <c r="L427">
        <v>535.99084459770904</v>
      </c>
      <c r="M427">
        <v>9.1678387317932497</v>
      </c>
      <c r="N427">
        <v>58.464231052915999</v>
      </c>
      <c r="O427">
        <v>55.884190139484502</v>
      </c>
      <c r="P427">
        <v>-4.1040437613383003E-2</v>
      </c>
      <c r="Q427">
        <v>0</v>
      </c>
      <c r="R427">
        <v>0.90257572111202</v>
      </c>
      <c r="S427" t="s">
        <v>6829</v>
      </c>
      <c r="T427" t="s">
        <v>12802</v>
      </c>
      <c r="U427" t="s">
        <v>12802</v>
      </c>
      <c r="V427" t="s">
        <v>12802</v>
      </c>
      <c r="W427" t="s">
        <v>13226</v>
      </c>
      <c r="X427">
        <v>9</v>
      </c>
      <c r="Y427" t="s">
        <v>19550</v>
      </c>
      <c r="Z427" t="s">
        <v>25745</v>
      </c>
      <c r="AA427">
        <v>0.69825126661499115</v>
      </c>
      <c r="AB427" t="str">
        <f>HYPERLINK("Melting_Curves/meltCurve_E5RHC1_PPP2CB.pdf", "Melting_Curves/meltCurve_E5RHC1_PPP2CB.pdf")</f>
        <v>Melting_Curves/meltCurve_E5RHC1_PPP2CB.pdf</v>
      </c>
    </row>
    <row r="428" spans="1:28" x14ac:dyDescent="0.25">
      <c r="A428" t="s">
        <v>432</v>
      </c>
      <c r="B428">
        <v>0.99542014353169495</v>
      </c>
      <c r="C428">
        <v>0.94965877666592802</v>
      </c>
      <c r="D428">
        <v>0.87835207550422001</v>
      </c>
      <c r="E428">
        <v>0.80154447722281197</v>
      </c>
      <c r="F428">
        <v>0.62874179582060796</v>
      </c>
      <c r="G428">
        <v>0.29726662355553202</v>
      </c>
      <c r="H428">
        <v>8.2236379259726003E-2</v>
      </c>
      <c r="I428">
        <v>3.8115067166802699E-2</v>
      </c>
      <c r="J428">
        <v>3.4534876839068002E-2</v>
      </c>
      <c r="K428">
        <v>3.5514776957850797E-2</v>
      </c>
      <c r="L428">
        <v>849.44461634181596</v>
      </c>
      <c r="M428">
        <v>16.6477553439201</v>
      </c>
      <c r="N428">
        <v>51.024573899500197</v>
      </c>
      <c r="O428">
        <v>50.3053869275181</v>
      </c>
      <c r="P428">
        <v>-8.2739014157638402E-2</v>
      </c>
      <c r="Q428">
        <v>0</v>
      </c>
      <c r="R428">
        <v>0.98964100952984002</v>
      </c>
      <c r="S428" t="s">
        <v>6830</v>
      </c>
      <c r="T428" t="s">
        <v>12802</v>
      </c>
      <c r="U428" t="s">
        <v>12802</v>
      </c>
      <c r="V428" t="s">
        <v>12802</v>
      </c>
      <c r="W428" t="s">
        <v>13227</v>
      </c>
      <c r="X428">
        <v>7</v>
      </c>
      <c r="Y428" t="s">
        <v>19551</v>
      </c>
      <c r="Z428" t="s">
        <v>25746</v>
      </c>
      <c r="AA428">
        <v>0.48490787103376293</v>
      </c>
      <c r="AB428" t="str">
        <f>HYPERLINK("Melting_Curves/meltCurve_E5RHG8_TCEB1.pdf", "Melting_Curves/meltCurve_E5RHG8_TCEB1.pdf")</f>
        <v>Melting_Curves/meltCurve_E5RHG8_TCEB1.pdf</v>
      </c>
    </row>
    <row r="429" spans="1:28" x14ac:dyDescent="0.25">
      <c r="A429" t="s">
        <v>433</v>
      </c>
      <c r="B429">
        <v>0.99542014353169495</v>
      </c>
      <c r="C429">
        <v>1.01039131343471</v>
      </c>
      <c r="D429">
        <v>1.03934646218634</v>
      </c>
      <c r="E429">
        <v>0.83219392395968095</v>
      </c>
      <c r="F429">
        <v>0.89851287555844594</v>
      </c>
      <c r="G429">
        <v>0.63266885326328304</v>
      </c>
      <c r="H429">
        <v>0.77705340041649895</v>
      </c>
      <c r="I429">
        <v>0.99071653122710901</v>
      </c>
      <c r="J429">
        <v>1.1544874308005</v>
      </c>
      <c r="K429">
        <v>1.3478923065399699</v>
      </c>
      <c r="L429">
        <v>15000</v>
      </c>
      <c r="M429">
        <v>233.78459482778899</v>
      </c>
      <c r="O429">
        <v>64.156909795285898</v>
      </c>
      <c r="P429">
        <v>0.31694134001900298</v>
      </c>
      <c r="Q429">
        <v>1.3479097328610801</v>
      </c>
      <c r="R429">
        <v>0.374400836302277</v>
      </c>
      <c r="S429" t="s">
        <v>6831</v>
      </c>
      <c r="T429" t="s">
        <v>12802</v>
      </c>
      <c r="U429" t="s">
        <v>12802</v>
      </c>
      <c r="V429" t="s">
        <v>12802</v>
      </c>
      <c r="W429" t="s">
        <v>13228</v>
      </c>
      <c r="X429">
        <v>6</v>
      </c>
      <c r="Y429" t="s">
        <v>19552</v>
      </c>
      <c r="Z429" t="s">
        <v>25747</v>
      </c>
      <c r="AA429">
        <v>1.032871960088324</v>
      </c>
      <c r="AB429" t="str">
        <f>HYPERLINK("Melting_Curves/meltCurve_E5RHG9_UQCRB.pdf", "Melting_Curves/meltCurve_E5RHG9_UQCRB.pdf")</f>
        <v>Melting_Curves/meltCurve_E5RHG9_UQCRB.pdf</v>
      </c>
    </row>
    <row r="430" spans="1:28" x14ac:dyDescent="0.25">
      <c r="A430" t="s">
        <v>434</v>
      </c>
      <c r="B430">
        <v>0.99542014353169495</v>
      </c>
      <c r="C430">
        <v>1.14272458764065</v>
      </c>
      <c r="D430">
        <v>0.84044725973588297</v>
      </c>
      <c r="E430">
        <v>0.71708146260171102</v>
      </c>
      <c r="F430">
        <v>0.75810466256660303</v>
      </c>
      <c r="G430">
        <v>0.56721118371974999</v>
      </c>
      <c r="H430">
        <v>0.40067317847263401</v>
      </c>
      <c r="I430">
        <v>0.354059799543603</v>
      </c>
      <c r="J430">
        <v>0.72425958340875896</v>
      </c>
      <c r="K430">
        <v>0.65536714130076401</v>
      </c>
      <c r="L430">
        <v>853.49028404764101</v>
      </c>
      <c r="M430">
        <v>18.436665437276002</v>
      </c>
      <c r="O430">
        <v>45.7587632368502</v>
      </c>
      <c r="P430">
        <v>-4.5798911250145E-2</v>
      </c>
      <c r="Q430">
        <v>0.54533904112850196</v>
      </c>
      <c r="R430">
        <v>0.707741450082364</v>
      </c>
      <c r="S430" t="s">
        <v>6832</v>
      </c>
      <c r="T430" t="s">
        <v>12802</v>
      </c>
      <c r="U430" t="s">
        <v>12802</v>
      </c>
      <c r="V430" t="s">
        <v>12802</v>
      </c>
      <c r="W430" t="s">
        <v>13229</v>
      </c>
      <c r="X430">
        <v>1</v>
      </c>
      <c r="Y430" t="s">
        <v>19553</v>
      </c>
      <c r="Z430" t="s">
        <v>25748</v>
      </c>
      <c r="AA430">
        <v>0.69317053412817997</v>
      </c>
      <c r="AB430" t="str">
        <f>HYPERLINK("Melting_Curves/meltCurve_E5RHT1_PSEN2.pdf", "Melting_Curves/meltCurve_E5RHT1_PSEN2.pdf")</f>
        <v>Melting_Curves/meltCurve_E5RHT1_PSEN2.pdf</v>
      </c>
    </row>
    <row r="431" spans="1:28" x14ac:dyDescent="0.25">
      <c r="A431" t="s">
        <v>435</v>
      </c>
      <c r="B431">
        <v>0.99542014353169495</v>
      </c>
      <c r="C431">
        <v>0.97736480532210801</v>
      </c>
      <c r="D431">
        <v>0.91147279478569798</v>
      </c>
      <c r="E431">
        <v>0.82299558099814696</v>
      </c>
      <c r="F431">
        <v>0.70007740533693796</v>
      </c>
      <c r="G431">
        <v>0.40658639896189702</v>
      </c>
      <c r="H431">
        <v>0.16495605967476401</v>
      </c>
      <c r="I431">
        <v>0.114413737480153</v>
      </c>
      <c r="J431">
        <v>0.11460676781251</v>
      </c>
      <c r="K431">
        <v>0.12900889313285499</v>
      </c>
      <c r="L431">
        <v>842.40014429075404</v>
      </c>
      <c r="M431">
        <v>16.282003842515198</v>
      </c>
      <c r="N431">
        <v>52.1926539656233</v>
      </c>
      <c r="O431">
        <v>50.976543502914701</v>
      </c>
      <c r="P431">
        <v>-7.4577671189950498E-2</v>
      </c>
      <c r="Q431">
        <v>6.6101778422778298E-2</v>
      </c>
      <c r="R431">
        <v>0.98956553150009297</v>
      </c>
      <c r="S431" t="s">
        <v>6833</v>
      </c>
      <c r="T431" t="s">
        <v>12802</v>
      </c>
      <c r="U431" t="s">
        <v>12802</v>
      </c>
      <c r="V431" t="s">
        <v>12802</v>
      </c>
      <c r="W431" t="s">
        <v>13230</v>
      </c>
      <c r="X431">
        <v>3</v>
      </c>
      <c r="Y431" t="s">
        <v>19554</v>
      </c>
      <c r="Z431" t="s">
        <v>25749</v>
      </c>
      <c r="AA431">
        <v>0.54125910998250648</v>
      </c>
      <c r="AB431" t="str">
        <f>HYPERLINK("Melting_Curves/meltCurve_E5RHV2_ANKRD46.pdf", "Melting_Curves/meltCurve_E5RHV2_ANKRD46.pdf")</f>
        <v>Melting_Curves/meltCurve_E5RHV2_ANKRD46.pdf</v>
      </c>
    </row>
    <row r="432" spans="1:28" x14ac:dyDescent="0.25">
      <c r="A432" t="s">
        <v>436</v>
      </c>
      <c r="B432">
        <v>0.99542014353169495</v>
      </c>
      <c r="C432">
        <v>1.0569512147204201</v>
      </c>
      <c r="D432">
        <v>0.92084862734915796</v>
      </c>
      <c r="E432">
        <v>0.76111170073013901</v>
      </c>
      <c r="F432">
        <v>0.70319158850962604</v>
      </c>
      <c r="G432">
        <v>0.49123087412247701</v>
      </c>
      <c r="H432">
        <v>0.32536689477111502</v>
      </c>
      <c r="I432">
        <v>0.16902657986681</v>
      </c>
      <c r="J432">
        <v>0.21804410059231899</v>
      </c>
      <c r="K432">
        <v>8.8275200724514405E-2</v>
      </c>
      <c r="L432">
        <v>566.92025338814904</v>
      </c>
      <c r="M432">
        <v>10.6277365306417</v>
      </c>
      <c r="N432">
        <v>53.460063030162999</v>
      </c>
      <c r="O432">
        <v>51.558774792168101</v>
      </c>
      <c r="P432">
        <v>-5.0961400406300997E-2</v>
      </c>
      <c r="Q432">
        <v>1.14562052805731E-2</v>
      </c>
      <c r="R432">
        <v>0.98311612065700105</v>
      </c>
      <c r="S432" t="s">
        <v>6834</v>
      </c>
      <c r="T432" t="s">
        <v>12802</v>
      </c>
      <c r="U432" t="s">
        <v>12802</v>
      </c>
      <c r="V432" t="s">
        <v>12802</v>
      </c>
      <c r="W432" t="s">
        <v>13231</v>
      </c>
      <c r="X432">
        <v>3</v>
      </c>
      <c r="Y432" t="s">
        <v>19555</v>
      </c>
      <c r="Z432" t="s">
        <v>25750</v>
      </c>
      <c r="AA432">
        <v>0.57049244401502286</v>
      </c>
      <c r="AB432" t="str">
        <f>HYPERLINK("Melting_Curves/meltCurve_E5RI99_RPL30.pdf", "Melting_Curves/meltCurve_E5RI99_RPL30.pdf")</f>
        <v>Melting_Curves/meltCurve_E5RI99_RPL30.pdf</v>
      </c>
    </row>
    <row r="433" spans="1:28" x14ac:dyDescent="0.25">
      <c r="A433" t="s">
        <v>437</v>
      </c>
      <c r="B433">
        <v>0.99542014353169495</v>
      </c>
      <c r="C433">
        <v>0.86480265857626304</v>
      </c>
      <c r="D433">
        <v>0.82773878441936599</v>
      </c>
      <c r="E433">
        <v>0.67643720817880204</v>
      </c>
      <c r="F433">
        <v>0.56378065507855801</v>
      </c>
      <c r="G433">
        <v>0.409238725865813</v>
      </c>
      <c r="H433">
        <v>0.207657896864261</v>
      </c>
      <c r="I433">
        <v>0.14589581658388001</v>
      </c>
      <c r="J433">
        <v>0.19019620089376599</v>
      </c>
      <c r="K433">
        <v>0.24085479724509201</v>
      </c>
      <c r="L433">
        <v>495.56812259783999</v>
      </c>
      <c r="M433">
        <v>10.047473748414999</v>
      </c>
      <c r="N433">
        <v>50.502436201999501</v>
      </c>
      <c r="O433">
        <v>47.488345335739503</v>
      </c>
      <c r="P433">
        <v>-4.7384161743502101E-2</v>
      </c>
      <c r="Q433">
        <v>0.104602634651357</v>
      </c>
      <c r="R433">
        <v>0.97294937979972995</v>
      </c>
      <c r="S433" t="s">
        <v>6835</v>
      </c>
      <c r="T433" t="s">
        <v>12802</v>
      </c>
      <c r="U433" t="s">
        <v>12802</v>
      </c>
      <c r="V433" t="s">
        <v>12802</v>
      </c>
      <c r="W433" t="s">
        <v>13232</v>
      </c>
      <c r="X433">
        <v>2</v>
      </c>
      <c r="Y433" t="s">
        <v>19556</v>
      </c>
      <c r="Z433" t="s">
        <v>25751</v>
      </c>
      <c r="AA433">
        <v>0.50457163330954846</v>
      </c>
      <c r="AB433" t="str">
        <f>HYPERLINK("Melting_Curves/meltCurve_E5RIA0_SORBS3.pdf", "Melting_Curves/meltCurve_E5RIA0_SORBS3.pdf")</f>
        <v>Melting_Curves/meltCurve_E5RIA0_SORBS3.pdf</v>
      </c>
    </row>
    <row r="434" spans="1:28" x14ac:dyDescent="0.25">
      <c r="A434" t="s">
        <v>438</v>
      </c>
      <c r="B434">
        <v>0.99542014353169495</v>
      </c>
      <c r="C434">
        <v>0.985731149444531</v>
      </c>
      <c r="D434">
        <v>0.87726150569107497</v>
      </c>
      <c r="E434">
        <v>0.56854570171291996</v>
      </c>
      <c r="F434">
        <v>0.233490876733393</v>
      </c>
      <c r="G434">
        <v>0.103284938628738</v>
      </c>
      <c r="H434">
        <v>6.4882028761636304E-2</v>
      </c>
      <c r="I434">
        <v>4.0783180361505203E-2</v>
      </c>
      <c r="J434">
        <v>4.7511448327328003E-2</v>
      </c>
      <c r="K434">
        <v>4.6103709336005001E-2</v>
      </c>
      <c r="L434">
        <v>1001.55076445392</v>
      </c>
      <c r="M434">
        <v>21.311400979006098</v>
      </c>
      <c r="N434">
        <v>47.1887318087539</v>
      </c>
      <c r="O434">
        <v>46.588080811649696</v>
      </c>
      <c r="P434">
        <v>-0.10959713899118199</v>
      </c>
      <c r="Q434">
        <v>4.1678940204784701E-2</v>
      </c>
      <c r="R434">
        <v>0.99985931691538599</v>
      </c>
      <c r="S434" t="s">
        <v>6836</v>
      </c>
      <c r="T434" t="s">
        <v>12802</v>
      </c>
      <c r="U434" t="s">
        <v>12802</v>
      </c>
      <c r="V434" t="s">
        <v>12802</v>
      </c>
      <c r="W434" t="s">
        <v>13233</v>
      </c>
      <c r="X434">
        <v>9</v>
      </c>
      <c r="Y434" t="s">
        <v>19557</v>
      </c>
      <c r="Z434" t="s">
        <v>25752</v>
      </c>
      <c r="AA434">
        <v>0.37206274194416677</v>
      </c>
      <c r="AB434" t="str">
        <f>HYPERLINK("Melting_Curves/meltCurve_E5RIH5_TTI2.pdf", "Melting_Curves/meltCurve_E5RIH5_TTI2.pdf")</f>
        <v>Melting_Curves/meltCurve_E5RIH5_TTI2.pdf</v>
      </c>
    </row>
    <row r="435" spans="1:28" x14ac:dyDescent="0.25">
      <c r="A435" t="s">
        <v>439</v>
      </c>
      <c r="B435">
        <v>0.99542014353169495</v>
      </c>
      <c r="C435">
        <v>1.0259203043891001</v>
      </c>
      <c r="D435">
        <v>0.91784834081062305</v>
      </c>
      <c r="E435">
        <v>0.51853200031909796</v>
      </c>
      <c r="F435">
        <v>0.19524633551495199</v>
      </c>
      <c r="G435">
        <v>0.113929126929623</v>
      </c>
      <c r="H435">
        <v>6.9259352679086394E-2</v>
      </c>
      <c r="I435">
        <v>5.6167483326184202E-2</v>
      </c>
      <c r="J435">
        <v>5.7088846141524603E-2</v>
      </c>
      <c r="K435">
        <v>8.0414322078648307E-2</v>
      </c>
      <c r="L435">
        <v>1251.76877117348</v>
      </c>
      <c r="M435">
        <v>26.886349524260101</v>
      </c>
      <c r="N435">
        <v>46.819079589097797</v>
      </c>
      <c r="O435">
        <v>46.302524726142501</v>
      </c>
      <c r="P435">
        <v>-0.135054792097799</v>
      </c>
      <c r="Q435">
        <v>6.9667318747606496E-2</v>
      </c>
      <c r="R435">
        <v>0.99839857663573595</v>
      </c>
      <c r="S435" t="s">
        <v>6837</v>
      </c>
      <c r="T435" t="s">
        <v>12802</v>
      </c>
      <c r="U435" t="s">
        <v>12802</v>
      </c>
      <c r="V435" t="s">
        <v>12802</v>
      </c>
      <c r="W435" t="s">
        <v>13234</v>
      </c>
      <c r="X435">
        <v>6</v>
      </c>
      <c r="Y435" t="s">
        <v>19558</v>
      </c>
      <c r="Z435" t="s">
        <v>25753</v>
      </c>
      <c r="AA435">
        <v>0.37276341404491048</v>
      </c>
      <c r="AB435" t="str">
        <f>HYPERLINK("Melting_Curves/meltCurve_E5RIJ0_POLB.pdf", "Melting_Curves/meltCurve_E5RIJ0_POLB.pdf")</f>
        <v>Melting_Curves/meltCurve_E5RIJ0_POLB.pdf</v>
      </c>
    </row>
    <row r="436" spans="1:28" x14ac:dyDescent="0.25">
      <c r="A436" t="s">
        <v>440</v>
      </c>
      <c r="B436">
        <v>0.99542014353169495</v>
      </c>
      <c r="C436">
        <v>1.0832218231933799</v>
      </c>
      <c r="D436">
        <v>1.0161740151508101</v>
      </c>
      <c r="E436">
        <v>0.72172063899734396</v>
      </c>
      <c r="F436">
        <v>0.65711433395027297</v>
      </c>
      <c r="G436">
        <v>0.39164104661951799</v>
      </c>
      <c r="H436">
        <v>0.210872876463083</v>
      </c>
      <c r="I436">
        <v>0.108252206877087</v>
      </c>
      <c r="J436">
        <v>6.98111276716053E-2</v>
      </c>
      <c r="K436">
        <v>3.9719398791163298E-2</v>
      </c>
      <c r="L436">
        <v>709.830670805811</v>
      </c>
      <c r="M436">
        <v>13.665755724583001</v>
      </c>
      <c r="N436">
        <v>51.942310923921902</v>
      </c>
      <c r="O436">
        <v>50.867906902117397</v>
      </c>
      <c r="P436">
        <v>-6.7172721701858895E-2</v>
      </c>
      <c r="Q436">
        <v>0</v>
      </c>
      <c r="R436">
        <v>0.98217118223439404</v>
      </c>
      <c r="S436" t="s">
        <v>6838</v>
      </c>
      <c r="T436" t="s">
        <v>12802</v>
      </c>
      <c r="U436" t="s">
        <v>12802</v>
      </c>
      <c r="V436" t="s">
        <v>12802</v>
      </c>
      <c r="W436" t="s">
        <v>13219</v>
      </c>
      <c r="X436">
        <v>12</v>
      </c>
      <c r="Y436" t="s">
        <v>19542</v>
      </c>
      <c r="Z436" t="s">
        <v>25754</v>
      </c>
      <c r="AA436">
        <v>0.51932242436887255</v>
      </c>
      <c r="AB436" t="str">
        <f>HYPERLINK("Melting_Curves/meltCurve_E5RIP7_IMPA1.pdf", "Melting_Curves/meltCurve_E5RIP7_IMPA1.pdf")</f>
        <v>Melting_Curves/meltCurve_E5RIP7_IMPA1.pdf</v>
      </c>
    </row>
    <row r="437" spans="1:28" x14ac:dyDescent="0.25">
      <c r="A437" t="s">
        <v>441</v>
      </c>
      <c r="B437">
        <v>0.99542014353169495</v>
      </c>
      <c r="C437">
        <v>0.94640273346028903</v>
      </c>
      <c r="D437">
        <v>1.0442242502631001</v>
      </c>
      <c r="E437">
        <v>0.76525929350756094</v>
      </c>
      <c r="F437">
        <v>0.66802399080727004</v>
      </c>
      <c r="G437">
        <v>0.305145258749</v>
      </c>
      <c r="H437">
        <v>0.198957681507311</v>
      </c>
      <c r="I437">
        <v>0.113822055995457</v>
      </c>
      <c r="J437">
        <v>7.1759947260360696E-2</v>
      </c>
      <c r="K437">
        <v>7.7138937393757004E-2</v>
      </c>
      <c r="L437">
        <v>844.98717154459996</v>
      </c>
      <c r="M437">
        <v>16.491815279057299</v>
      </c>
      <c r="N437">
        <v>51.554705620846299</v>
      </c>
      <c r="O437">
        <v>50.501186231841999</v>
      </c>
      <c r="P437">
        <v>-7.76985962901664E-2</v>
      </c>
      <c r="Q437">
        <v>4.8352653192462999E-2</v>
      </c>
      <c r="R437">
        <v>0.98547618126051695</v>
      </c>
      <c r="S437" t="s">
        <v>6839</v>
      </c>
      <c r="T437" t="s">
        <v>12802</v>
      </c>
      <c r="U437" t="s">
        <v>12802</v>
      </c>
      <c r="V437" t="s">
        <v>12802</v>
      </c>
      <c r="W437" t="s">
        <v>13235</v>
      </c>
      <c r="X437">
        <v>3</v>
      </c>
      <c r="Y437" t="s">
        <v>19559</v>
      </c>
      <c r="Z437" t="s">
        <v>25755</v>
      </c>
      <c r="AA437">
        <v>0.5166576357734709</v>
      </c>
      <c r="AB437" t="str">
        <f>HYPERLINK("Melting_Curves/meltCurve_E5RIY0_TMEM55A.pdf", "Melting_Curves/meltCurve_E5RIY0_TMEM55A.pdf")</f>
        <v>Melting_Curves/meltCurve_E5RIY0_TMEM55A.pdf</v>
      </c>
    </row>
    <row r="438" spans="1:28" x14ac:dyDescent="0.25">
      <c r="A438" t="s">
        <v>442</v>
      </c>
      <c r="B438">
        <v>0.99542014353169495</v>
      </c>
      <c r="C438">
        <v>0.92606971190693399</v>
      </c>
      <c r="D438">
        <v>0.948995410148186</v>
      </c>
      <c r="E438">
        <v>0.85189084014689898</v>
      </c>
      <c r="F438">
        <v>0.563229607742461</v>
      </c>
      <c r="G438">
        <v>0.375053158764874</v>
      </c>
      <c r="H438">
        <v>0.197802071682917</v>
      </c>
      <c r="I438">
        <v>0.19851571926209</v>
      </c>
      <c r="J438">
        <v>0.24248829497733401</v>
      </c>
      <c r="K438">
        <v>0.166907575952847</v>
      </c>
      <c r="L438">
        <v>949.66370374460598</v>
      </c>
      <c r="M438">
        <v>18.993198400970201</v>
      </c>
      <c r="N438">
        <v>51.194317528923001</v>
      </c>
      <c r="O438">
        <v>49.455815750996202</v>
      </c>
      <c r="P438">
        <v>-7.8832650243844005E-2</v>
      </c>
      <c r="Q438">
        <v>0.17895294059559999</v>
      </c>
      <c r="R438">
        <v>0.99010279537364299</v>
      </c>
      <c r="S438" t="s">
        <v>6840</v>
      </c>
      <c r="T438" t="s">
        <v>12802</v>
      </c>
      <c r="U438" t="s">
        <v>12802</v>
      </c>
      <c r="V438" t="s">
        <v>12802</v>
      </c>
      <c r="W438" t="s">
        <v>13236</v>
      </c>
      <c r="X438">
        <v>2</v>
      </c>
      <c r="Y438" t="s">
        <v>19560</v>
      </c>
      <c r="Z438" t="s">
        <v>25756</v>
      </c>
      <c r="AA438">
        <v>0.54656657668915953</v>
      </c>
      <c r="AB438" t="str">
        <f>HYPERLINK("Melting_Curves/meltCurve_E5RJ08_CHCHD7.pdf", "Melting_Curves/meltCurve_E5RJ08_CHCHD7.pdf")</f>
        <v>Melting_Curves/meltCurve_E5RJ08_CHCHD7.pdf</v>
      </c>
    </row>
    <row r="439" spans="1:28" x14ac:dyDescent="0.25">
      <c r="A439" t="s">
        <v>443</v>
      </c>
      <c r="B439">
        <v>0.99542014353169495</v>
      </c>
      <c r="C439">
        <v>1.1031978360380199</v>
      </c>
      <c r="D439">
        <v>0.953078578696125</v>
      </c>
      <c r="E439">
        <v>0.81737542461645696</v>
      </c>
      <c r="F439">
        <v>0.419030682251469</v>
      </c>
      <c r="G439">
        <v>0.13450576966851499</v>
      </c>
      <c r="H439">
        <v>9.0026094228671E-2</v>
      </c>
      <c r="I439">
        <v>8.2163283304006907E-2</v>
      </c>
      <c r="J439">
        <v>7.4944123572881494E-2</v>
      </c>
      <c r="K439">
        <v>8.5145641332217095E-2</v>
      </c>
      <c r="L439">
        <v>1316.46711529036</v>
      </c>
      <c r="M439">
        <v>26.804080183730001</v>
      </c>
      <c r="N439">
        <v>49.407241380763999</v>
      </c>
      <c r="O439">
        <v>48.843497473552198</v>
      </c>
      <c r="P439">
        <v>-0.12711974274804699</v>
      </c>
      <c r="Q439">
        <v>7.3438158788793506E-2</v>
      </c>
      <c r="R439">
        <v>0.99280078211265699</v>
      </c>
      <c r="S439" t="s">
        <v>6841</v>
      </c>
      <c r="T439" t="s">
        <v>12802</v>
      </c>
      <c r="U439" t="s">
        <v>12802</v>
      </c>
      <c r="V439" t="s">
        <v>12802</v>
      </c>
      <c r="W439" t="s">
        <v>13237</v>
      </c>
      <c r="X439">
        <v>6</v>
      </c>
      <c r="Y439" t="s">
        <v>19561</v>
      </c>
      <c r="Z439" t="s">
        <v>25757</v>
      </c>
      <c r="AA439">
        <v>0.45459560164263879</v>
      </c>
      <c r="AB439" t="str">
        <f>HYPERLINK("Melting_Curves/meltCurve_E5RJ86_ARMC1.pdf", "Melting_Curves/meltCurve_E5RJ86_ARMC1.pdf")</f>
        <v>Melting_Curves/meltCurve_E5RJ86_ARMC1.pdf</v>
      </c>
    </row>
    <row r="440" spans="1:28" x14ac:dyDescent="0.25">
      <c r="A440" t="s">
        <v>444</v>
      </c>
      <c r="B440">
        <v>0.99542014353169495</v>
      </c>
      <c r="C440">
        <v>0.91257101573843702</v>
      </c>
      <c r="D440">
        <v>0.96036717394302196</v>
      </c>
      <c r="E440">
        <v>0.69958225267773799</v>
      </c>
      <c r="F440">
        <v>0.49582639727604599</v>
      </c>
      <c r="G440">
        <v>0.27012075020031201</v>
      </c>
      <c r="H440">
        <v>0.154173756022466</v>
      </c>
      <c r="I440">
        <v>6.6184175186351807E-2</v>
      </c>
      <c r="J440">
        <v>6.20561972828663E-2</v>
      </c>
      <c r="K440">
        <v>7.4357583166102303E-2</v>
      </c>
      <c r="L440">
        <v>719.53644749805301</v>
      </c>
      <c r="M440">
        <v>14.483397533210301</v>
      </c>
      <c r="N440">
        <v>49.893256999665397</v>
      </c>
      <c r="O440">
        <v>48.761803202631398</v>
      </c>
      <c r="P440">
        <v>-7.2036343430195895E-2</v>
      </c>
      <c r="Q440">
        <v>3.0002469991483201E-2</v>
      </c>
      <c r="R440">
        <v>0.99362067675689703</v>
      </c>
      <c r="S440" t="s">
        <v>6842</v>
      </c>
      <c r="T440" t="s">
        <v>12802</v>
      </c>
      <c r="U440" t="s">
        <v>12802</v>
      </c>
      <c r="V440" t="s">
        <v>12802</v>
      </c>
      <c r="W440" t="s">
        <v>13238</v>
      </c>
      <c r="X440">
        <v>3</v>
      </c>
      <c r="Y440" t="s">
        <v>19562</v>
      </c>
      <c r="Z440" t="s">
        <v>25758</v>
      </c>
      <c r="AA440">
        <v>0.46155004739125799</v>
      </c>
      <c r="AB440" t="str">
        <f>HYPERLINK("Melting_Curves/meltCurve_E5RJ97_TRPS1.pdf", "Melting_Curves/meltCurve_E5RJ97_TRPS1.pdf")</f>
        <v>Melting_Curves/meltCurve_E5RJ97_TRPS1.pdf</v>
      </c>
    </row>
    <row r="441" spans="1:28" x14ac:dyDescent="0.25">
      <c r="A441" t="s">
        <v>445</v>
      </c>
      <c r="B441">
        <v>0.99542014353169495</v>
      </c>
      <c r="C441">
        <v>0.91670682281359706</v>
      </c>
      <c r="D441">
        <v>0.745991532810798</v>
      </c>
      <c r="E441">
        <v>0.59472555297157204</v>
      </c>
      <c r="F441">
        <v>0.25592274997320602</v>
      </c>
      <c r="G441">
        <v>0.139105754000444</v>
      </c>
      <c r="H441">
        <v>5.4437118315395099E-2</v>
      </c>
      <c r="I441">
        <v>3.9928551035991598E-2</v>
      </c>
      <c r="J441">
        <v>3.4129898747896903E-2</v>
      </c>
      <c r="K441">
        <v>3.6819529501226099E-2</v>
      </c>
      <c r="L441">
        <v>673.72739111342605</v>
      </c>
      <c r="M441">
        <v>14.3432002352684</v>
      </c>
      <c r="N441">
        <v>47.0060854221882</v>
      </c>
      <c r="O441">
        <v>46.087149813663302</v>
      </c>
      <c r="P441">
        <v>-7.7410388105988701E-2</v>
      </c>
      <c r="Q441">
        <v>5.1886048721509403E-3</v>
      </c>
      <c r="R441">
        <v>0.99399811919595904</v>
      </c>
      <c r="S441" t="s">
        <v>6843</v>
      </c>
      <c r="T441" t="s">
        <v>12802</v>
      </c>
      <c r="U441" t="s">
        <v>12802</v>
      </c>
      <c r="V441" t="s">
        <v>12802</v>
      </c>
      <c r="W441" t="s">
        <v>13239</v>
      </c>
      <c r="X441">
        <v>6</v>
      </c>
      <c r="Y441" t="s">
        <v>19563</v>
      </c>
      <c r="Z441" t="s">
        <v>25759</v>
      </c>
      <c r="AA441">
        <v>0.36012527289853391</v>
      </c>
      <c r="AB441" t="str">
        <f>HYPERLINK("Melting_Curves/meltCurve_E5RJ99_ZFAND1.pdf", "Melting_Curves/meltCurve_E5RJ99_ZFAND1.pdf")</f>
        <v>Melting_Curves/meltCurve_E5RJ99_ZFAND1.pdf</v>
      </c>
    </row>
    <row r="442" spans="1:28" x14ac:dyDescent="0.25">
      <c r="A442" t="s">
        <v>446</v>
      </c>
      <c r="B442">
        <v>0.99542014353169495</v>
      </c>
      <c r="C442">
        <v>0.89621577657057705</v>
      </c>
      <c r="D442">
        <v>0.95137721044867596</v>
      </c>
      <c r="E442">
        <v>0.66320872387293806</v>
      </c>
      <c r="F442">
        <v>0.66113982902017099</v>
      </c>
      <c r="G442">
        <v>0.43574595150859402</v>
      </c>
      <c r="H442">
        <v>0.44774783011637798</v>
      </c>
      <c r="I442">
        <v>0.26873088550170698</v>
      </c>
      <c r="J442">
        <v>0.13887354195297599</v>
      </c>
      <c r="K442">
        <v>0.200344767848884</v>
      </c>
      <c r="L442">
        <v>417.02754852987499</v>
      </c>
      <c r="M442">
        <v>7.8201956803643302</v>
      </c>
      <c r="N442">
        <v>53.326996607454298</v>
      </c>
      <c r="O442">
        <v>50.177140506594199</v>
      </c>
      <c r="P442">
        <v>-3.9010904678355003E-2</v>
      </c>
      <c r="Q442">
        <v>0</v>
      </c>
      <c r="R442">
        <v>0.96114878092673395</v>
      </c>
      <c r="S442" t="s">
        <v>6844</v>
      </c>
      <c r="T442" t="s">
        <v>12802</v>
      </c>
      <c r="U442" t="s">
        <v>12802</v>
      </c>
      <c r="V442" t="s">
        <v>12802</v>
      </c>
      <c r="W442" t="s">
        <v>13240</v>
      </c>
      <c r="X442">
        <v>8</v>
      </c>
      <c r="Y442" t="s">
        <v>19372</v>
      </c>
      <c r="Z442" t="s">
        <v>25760</v>
      </c>
      <c r="AA442">
        <v>0.56348056005697877</v>
      </c>
      <c r="AB442" t="str">
        <f>HYPERLINK("Melting_Curves/meltCurve_E5RJD2_DECR1.pdf", "Melting_Curves/meltCurve_E5RJD2_DECR1.pdf")</f>
        <v>Melting_Curves/meltCurve_E5RJD2_DECR1.pdf</v>
      </c>
    </row>
    <row r="443" spans="1:28" x14ac:dyDescent="0.25">
      <c r="A443" t="s">
        <v>447</v>
      </c>
      <c r="B443">
        <v>0.99542014353169495</v>
      </c>
      <c r="C443">
        <v>0.98539050881663304</v>
      </c>
      <c r="D443">
        <v>0.93555735149306496</v>
      </c>
      <c r="E443">
        <v>0.79439269050059802</v>
      </c>
      <c r="F443">
        <v>0.51508641303362002</v>
      </c>
      <c r="G443">
        <v>0.21258967552298899</v>
      </c>
      <c r="H443">
        <v>0.127646810076466</v>
      </c>
      <c r="I443">
        <v>0.10873633023353101</v>
      </c>
      <c r="J443">
        <v>0.101429538652863</v>
      </c>
      <c r="K443">
        <v>0.12489323704684099</v>
      </c>
      <c r="L443">
        <v>1023.14171598518</v>
      </c>
      <c r="M443">
        <v>20.658235638806499</v>
      </c>
      <c r="N443">
        <v>50.027189804939702</v>
      </c>
      <c r="O443">
        <v>49.069973662528803</v>
      </c>
      <c r="P443">
        <v>-9.5432327328916197E-2</v>
      </c>
      <c r="Q443">
        <v>9.3295713816802697E-2</v>
      </c>
      <c r="R443">
        <v>0.99743669683687797</v>
      </c>
      <c r="S443" t="s">
        <v>6845</v>
      </c>
      <c r="T443" t="s">
        <v>12802</v>
      </c>
      <c r="U443" t="s">
        <v>12802</v>
      </c>
      <c r="V443" t="s">
        <v>12802</v>
      </c>
      <c r="W443" t="s">
        <v>13241</v>
      </c>
      <c r="X443">
        <v>2</v>
      </c>
      <c r="Y443" t="s">
        <v>19564</v>
      </c>
      <c r="Z443" t="s">
        <v>25761</v>
      </c>
      <c r="AA443">
        <v>0.48318022024087681</v>
      </c>
      <c r="AB443" t="str">
        <f>HYPERLINK("Melting_Curves/meltCurve_E5RJI7_MRPL13.pdf", "Melting_Curves/meltCurve_E5RJI7_MRPL13.pdf")</f>
        <v>Melting_Curves/meltCurve_E5RJI7_MRPL13.pdf</v>
      </c>
    </row>
    <row r="444" spans="1:28" x14ac:dyDescent="0.25">
      <c r="A444" t="s">
        <v>448</v>
      </c>
      <c r="B444">
        <v>0.99542014353169495</v>
      </c>
      <c r="C444">
        <v>0.96193191766609099</v>
      </c>
      <c r="D444">
        <v>0.92580264553799196</v>
      </c>
      <c r="E444">
        <v>0.86151534096359905</v>
      </c>
      <c r="F444">
        <v>0.72123686217373195</v>
      </c>
      <c r="G444">
        <v>0.625562710569321</v>
      </c>
      <c r="H444">
        <v>0.31981505295530399</v>
      </c>
      <c r="I444">
        <v>0.168884723510516</v>
      </c>
      <c r="J444">
        <v>0.16432747945110299</v>
      </c>
      <c r="K444">
        <v>0.162922730396</v>
      </c>
      <c r="L444">
        <v>659.30222061692996</v>
      </c>
      <c r="M444">
        <v>12.1628390591921</v>
      </c>
      <c r="N444">
        <v>54.513076358011297</v>
      </c>
      <c r="O444">
        <v>52.803396960731298</v>
      </c>
      <c r="P444">
        <v>-5.5693221195656603E-2</v>
      </c>
      <c r="Q444">
        <v>3.3081485259912301E-2</v>
      </c>
      <c r="R444">
        <v>0.98445343750914005</v>
      </c>
      <c r="S444" t="s">
        <v>6846</v>
      </c>
      <c r="T444" t="s">
        <v>12802</v>
      </c>
      <c r="U444" t="s">
        <v>12802</v>
      </c>
      <c r="V444" t="s">
        <v>12802</v>
      </c>
      <c r="W444" t="s">
        <v>13242</v>
      </c>
      <c r="X444">
        <v>18</v>
      </c>
      <c r="Y444" t="s">
        <v>19565</v>
      </c>
      <c r="Z444" t="s">
        <v>25762</v>
      </c>
      <c r="AA444">
        <v>0.60425626388826892</v>
      </c>
      <c r="AB444" t="str">
        <f>HYPERLINK("Melting_Curves/meltCurve_E5RJR5_SKP1.pdf", "Melting_Curves/meltCurve_E5RJR5_SKP1.pdf")</f>
        <v>Melting_Curves/meltCurve_E5RJR5_SKP1.pdf</v>
      </c>
    </row>
    <row r="445" spans="1:28" x14ac:dyDescent="0.25">
      <c r="A445" t="s">
        <v>449</v>
      </c>
      <c r="B445">
        <v>0.99542014353169495</v>
      </c>
      <c r="C445">
        <v>0.99771483059992305</v>
      </c>
      <c r="D445">
        <v>0.94112262361315902</v>
      </c>
      <c r="E445">
        <v>0.89012735210479399</v>
      </c>
      <c r="F445">
        <v>0.69445892096420203</v>
      </c>
      <c r="G445">
        <v>0.41816796440645898</v>
      </c>
      <c r="H445">
        <v>0.26626352020006999</v>
      </c>
      <c r="I445">
        <v>0.20871605362078499</v>
      </c>
      <c r="J445">
        <v>0.24021481386395099</v>
      </c>
      <c r="K445">
        <v>0.23372177872077801</v>
      </c>
      <c r="L445">
        <v>1044.8896199641299</v>
      </c>
      <c r="M445">
        <v>20.444793121228098</v>
      </c>
      <c r="N445">
        <v>52.493023672229199</v>
      </c>
      <c r="O445">
        <v>50.626438591101902</v>
      </c>
      <c r="P445">
        <v>-7.9913831325137505E-2</v>
      </c>
      <c r="Q445">
        <v>0.20847683552451299</v>
      </c>
      <c r="R445">
        <v>0.99616314048963694</v>
      </c>
      <c r="S445" t="s">
        <v>6847</v>
      </c>
      <c r="T445" t="s">
        <v>12802</v>
      </c>
      <c r="U445" t="s">
        <v>12802</v>
      </c>
      <c r="V445" t="s">
        <v>12802</v>
      </c>
      <c r="W445" t="s">
        <v>13243</v>
      </c>
      <c r="X445">
        <v>1</v>
      </c>
      <c r="Y445" t="s">
        <v>19566</v>
      </c>
      <c r="Z445" t="s">
        <v>25763</v>
      </c>
      <c r="AA445">
        <v>0.59067957125930404</v>
      </c>
      <c r="AB445" t="str">
        <f>HYPERLINK("Melting_Curves/meltCurve_E5RK62_SPARC.pdf", "Melting_Curves/meltCurve_E5RK62_SPARC.pdf")</f>
        <v>Melting_Curves/meltCurve_E5RK62_SPARC.pdf</v>
      </c>
    </row>
    <row r="446" spans="1:28" x14ac:dyDescent="0.25">
      <c r="A446" t="s">
        <v>450</v>
      </c>
      <c r="B446">
        <v>0.99542014353169495</v>
      </c>
      <c r="C446">
        <v>0.91803040076682996</v>
      </c>
      <c r="D446">
        <v>0.85460765606800704</v>
      </c>
      <c r="E446">
        <v>0.66255467785946098</v>
      </c>
      <c r="F446">
        <v>0.51110425619680699</v>
      </c>
      <c r="G446">
        <v>0.36634470905859101</v>
      </c>
      <c r="H446">
        <v>0.24378269978912701</v>
      </c>
      <c r="I446">
        <v>0.181067501960367</v>
      </c>
      <c r="J446">
        <v>0.30380516649219202</v>
      </c>
      <c r="K446">
        <v>0.27619961714325503</v>
      </c>
      <c r="L446">
        <v>648.23513586407</v>
      </c>
      <c r="M446">
        <v>13.6134198995122</v>
      </c>
      <c r="N446">
        <v>49.769897052524897</v>
      </c>
      <c r="O446">
        <v>46.6251076458014</v>
      </c>
      <c r="P446">
        <v>-5.6761449702208602E-2</v>
      </c>
      <c r="Q446">
        <v>0.22249717937239799</v>
      </c>
      <c r="R446">
        <v>0.98141847244686597</v>
      </c>
      <c r="S446" t="s">
        <v>6848</v>
      </c>
      <c r="T446" t="s">
        <v>12802</v>
      </c>
      <c r="U446" t="s">
        <v>12802</v>
      </c>
      <c r="V446" t="s">
        <v>12802</v>
      </c>
      <c r="W446" t="s">
        <v>13244</v>
      </c>
      <c r="X446">
        <v>4</v>
      </c>
      <c r="Y446" t="s">
        <v>19567</v>
      </c>
      <c r="Z446" t="s">
        <v>25764</v>
      </c>
      <c r="AA446">
        <v>0.51799349887498425</v>
      </c>
      <c r="AB446" t="str">
        <f>HYPERLINK("Melting_Curves/meltCurve_E5RK82_CETN3.pdf", "Melting_Curves/meltCurve_E5RK82_CETN3.pdf")</f>
        <v>Melting_Curves/meltCurve_E5RK82_CETN3.pdf</v>
      </c>
    </row>
    <row r="447" spans="1:28" x14ac:dyDescent="0.25">
      <c r="A447" t="s">
        <v>451</v>
      </c>
      <c r="B447">
        <v>0.99542014353169495</v>
      </c>
      <c r="C447">
        <v>0.77330619889994501</v>
      </c>
      <c r="D447">
        <v>0.73158288631686996</v>
      </c>
      <c r="E447">
        <v>0.65150116800131996</v>
      </c>
      <c r="F447">
        <v>0.50299434943073595</v>
      </c>
      <c r="G447">
        <v>0.17800137176819</v>
      </c>
      <c r="H447">
        <v>9.1675397588771801E-2</v>
      </c>
      <c r="I447">
        <v>6.4996757504280106E-2</v>
      </c>
      <c r="J447">
        <v>4.1613244509816003E-2</v>
      </c>
      <c r="K447">
        <v>6.9993551639804502E-2</v>
      </c>
      <c r="L447">
        <v>505.96689904208102</v>
      </c>
      <c r="M447">
        <v>10.516230520378</v>
      </c>
      <c r="N447">
        <v>48.112952499304598</v>
      </c>
      <c r="O447">
        <v>46.4708735187805</v>
      </c>
      <c r="P447">
        <v>-5.6597014758312698E-2</v>
      </c>
      <c r="Q447">
        <v>0</v>
      </c>
      <c r="R447">
        <v>0.96037903561551696</v>
      </c>
      <c r="S447" t="s">
        <v>6849</v>
      </c>
      <c r="T447" t="s">
        <v>12802</v>
      </c>
      <c r="U447" t="s">
        <v>12802</v>
      </c>
      <c r="V447" t="s">
        <v>12802</v>
      </c>
      <c r="W447" t="s">
        <v>13245</v>
      </c>
      <c r="X447">
        <v>2</v>
      </c>
      <c r="Y447" t="s">
        <v>19568</v>
      </c>
      <c r="Z447" t="s">
        <v>25765</v>
      </c>
      <c r="AA447">
        <v>0.40777207706811769</v>
      </c>
      <c r="AB447" t="str">
        <f>HYPERLINK("Melting_Curves/meltCurve_E7EM50_PIGG.pdf", "Melting_Curves/meltCurve_E7EM50_PIGG.pdf")</f>
        <v>Melting_Curves/meltCurve_E7EM50_PIGG.pdf</v>
      </c>
    </row>
    <row r="448" spans="1:28" x14ac:dyDescent="0.25">
      <c r="A448" t="s">
        <v>452</v>
      </c>
      <c r="B448">
        <v>0.99542014353169495</v>
      </c>
      <c r="C448">
        <v>0.90489093678148402</v>
      </c>
      <c r="D448">
        <v>0.92948368257147995</v>
      </c>
      <c r="E448">
        <v>0.80020209236922601</v>
      </c>
      <c r="F448">
        <v>0.67366057893357101</v>
      </c>
      <c r="G448">
        <v>0.382014048491362</v>
      </c>
      <c r="H448">
        <v>0.110297638679955</v>
      </c>
      <c r="I448">
        <v>7.62586959223365E-2</v>
      </c>
      <c r="J448">
        <v>5.8747842712416398E-2</v>
      </c>
      <c r="K448">
        <v>7.7813474241029301E-2</v>
      </c>
      <c r="L448">
        <v>794.95255890497594</v>
      </c>
      <c r="M448">
        <v>15.366497349973899</v>
      </c>
      <c r="N448">
        <v>51.764146959462501</v>
      </c>
      <c r="O448">
        <v>50.880457118768298</v>
      </c>
      <c r="P448">
        <v>-7.5160635418500807E-2</v>
      </c>
      <c r="Q448">
        <v>4.6252035457723601E-3</v>
      </c>
      <c r="R448">
        <v>0.98508016220378802</v>
      </c>
      <c r="S448" t="s">
        <v>6850</v>
      </c>
      <c r="T448" t="s">
        <v>12802</v>
      </c>
      <c r="U448" t="s">
        <v>12802</v>
      </c>
      <c r="V448" t="s">
        <v>12802</v>
      </c>
      <c r="W448" t="s">
        <v>13246</v>
      </c>
      <c r="X448">
        <v>13</v>
      </c>
      <c r="Y448" t="s">
        <v>19569</v>
      </c>
      <c r="Z448" t="s">
        <v>25766</v>
      </c>
      <c r="AA448">
        <v>0.51222716045983263</v>
      </c>
      <c r="AB448" t="str">
        <f>HYPERLINK("Melting_Curves/meltCurve_E7EM64_COPS6.pdf", "Melting_Curves/meltCurve_E7EM64_COPS6.pdf")</f>
        <v>Melting_Curves/meltCurve_E7EM64_COPS6.pdf</v>
      </c>
    </row>
    <row r="449" spans="1:28" x14ac:dyDescent="0.25">
      <c r="A449" t="s">
        <v>453</v>
      </c>
      <c r="B449">
        <v>0.99542014353169495</v>
      </c>
      <c r="C449">
        <v>0.74824036733548505</v>
      </c>
      <c r="D449">
        <v>0.93729659727034997</v>
      </c>
      <c r="E449">
        <v>0.60355480297028297</v>
      </c>
      <c r="F449">
        <v>0.36164535563170402</v>
      </c>
      <c r="G449">
        <v>0.18201500275802501</v>
      </c>
      <c r="H449">
        <v>0.122168214348542</v>
      </c>
      <c r="I449">
        <v>0.11819969288123899</v>
      </c>
      <c r="J449">
        <v>0.126613841922184</v>
      </c>
      <c r="K449">
        <v>0.14467897410207201</v>
      </c>
      <c r="L449">
        <v>750.07262804153004</v>
      </c>
      <c r="M449">
        <v>15.8627911395974</v>
      </c>
      <c r="N449">
        <v>47.9526556319761</v>
      </c>
      <c r="O449">
        <v>46.552694040459301</v>
      </c>
      <c r="P449">
        <v>-7.6753052817002398E-2</v>
      </c>
      <c r="Q449">
        <v>9.9081215520177596E-2</v>
      </c>
      <c r="R449">
        <v>0.952257080012618</v>
      </c>
      <c r="S449" t="s">
        <v>6851</v>
      </c>
      <c r="T449" t="s">
        <v>12802</v>
      </c>
      <c r="U449" t="s">
        <v>12802</v>
      </c>
      <c r="V449" t="s">
        <v>12802</v>
      </c>
      <c r="W449" t="s">
        <v>13247</v>
      </c>
      <c r="X449">
        <v>2</v>
      </c>
      <c r="Y449" t="s">
        <v>19570</v>
      </c>
      <c r="Z449" t="s">
        <v>25767</v>
      </c>
      <c r="AA449">
        <v>0.42618926029719822</v>
      </c>
      <c r="AB449" t="str">
        <f>HYPERLINK("Melting_Curves/meltCurve_E7EM95_RNF5.pdf", "Melting_Curves/meltCurve_E7EM95_RNF5.pdf")</f>
        <v>Melting_Curves/meltCurve_E7EM95_RNF5.pdf</v>
      </c>
    </row>
    <row r="450" spans="1:28" x14ac:dyDescent="0.25">
      <c r="A450" t="s">
        <v>454</v>
      </c>
      <c r="B450">
        <v>0.99542014353169495</v>
      </c>
      <c r="C450">
        <v>0.98104201538408498</v>
      </c>
      <c r="D450">
        <v>0.91651795443672002</v>
      </c>
      <c r="E450">
        <v>0.84517083400063497</v>
      </c>
      <c r="F450">
        <v>0.64001328570943194</v>
      </c>
      <c r="G450">
        <v>0.414185700563036</v>
      </c>
      <c r="H450">
        <v>0.37197946840534302</v>
      </c>
      <c r="I450">
        <v>0.43990803590979499</v>
      </c>
      <c r="J450">
        <v>0.41345525794147903</v>
      </c>
      <c r="K450">
        <v>0.62552588560907596</v>
      </c>
      <c r="L450">
        <v>1273.7982376293601</v>
      </c>
      <c r="M450">
        <v>26.377545299445998</v>
      </c>
      <c r="N450">
        <v>52.930035635193001</v>
      </c>
      <c r="O450">
        <v>48.016014837130001</v>
      </c>
      <c r="P450">
        <v>-7.54729722871256E-2</v>
      </c>
      <c r="Q450">
        <v>0.45046108096404203</v>
      </c>
      <c r="R450">
        <v>0.91101217981913896</v>
      </c>
      <c r="S450" t="s">
        <v>6852</v>
      </c>
      <c r="T450" t="s">
        <v>12802</v>
      </c>
      <c r="U450" t="s">
        <v>12802</v>
      </c>
      <c r="V450" t="s">
        <v>12802</v>
      </c>
      <c r="W450" t="s">
        <v>13248</v>
      </c>
      <c r="X450">
        <v>9</v>
      </c>
      <c r="Y450" t="s">
        <v>19571</v>
      </c>
      <c r="Z450" t="s">
        <v>25768</v>
      </c>
      <c r="AA450">
        <v>0.66151910850975737</v>
      </c>
      <c r="AB450" t="str">
        <f>HYPERLINK("Melting_Curves/meltCurve_E7EMB6_DNPEP.pdf", "Melting_Curves/meltCurve_E7EMB6_DNPEP.pdf")</f>
        <v>Melting_Curves/meltCurve_E7EMB6_DNPEP.pdf</v>
      </c>
    </row>
    <row r="451" spans="1:28" x14ac:dyDescent="0.25">
      <c r="A451" t="s">
        <v>455</v>
      </c>
      <c r="B451">
        <v>0.99542014353169495</v>
      </c>
      <c r="C451">
        <v>0.97852184859828995</v>
      </c>
      <c r="D451">
        <v>0.97418613966882295</v>
      </c>
      <c r="E451">
        <v>0.90285894883143902</v>
      </c>
      <c r="F451">
        <v>0.67566817509936405</v>
      </c>
      <c r="G451">
        <v>0.451975621542412</v>
      </c>
      <c r="H451">
        <v>0.33402021246945901</v>
      </c>
      <c r="I451">
        <v>0.31850896945957902</v>
      </c>
      <c r="J451">
        <v>0.41406358788660202</v>
      </c>
      <c r="K451">
        <v>0.45637679916603502</v>
      </c>
      <c r="L451">
        <v>1386.9851966047199</v>
      </c>
      <c r="M451">
        <v>27.814862257758602</v>
      </c>
      <c r="N451">
        <v>52.5253706477625</v>
      </c>
      <c r="O451">
        <v>49.609296765709303</v>
      </c>
      <c r="P451">
        <v>-8.7216025381483597E-2</v>
      </c>
      <c r="Q451">
        <v>0.377787819745037</v>
      </c>
      <c r="R451">
        <v>0.97797164727271402</v>
      </c>
      <c r="S451" t="s">
        <v>6853</v>
      </c>
      <c r="T451" t="s">
        <v>12802</v>
      </c>
      <c r="U451" t="s">
        <v>12802</v>
      </c>
      <c r="V451" t="s">
        <v>12802</v>
      </c>
      <c r="W451" t="s">
        <v>13249</v>
      </c>
      <c r="X451">
        <v>5</v>
      </c>
      <c r="Y451" t="s">
        <v>19572</v>
      </c>
      <c r="Z451" t="s">
        <v>25769</v>
      </c>
      <c r="AA451">
        <v>0.64903113331979834</v>
      </c>
      <c r="AB451" t="str">
        <f>HYPERLINK("Melting_Curves/meltCurve_E7EMM4_ASAH1.pdf", "Melting_Curves/meltCurve_E7EMM4_ASAH1.pdf")</f>
        <v>Melting_Curves/meltCurve_E7EMM4_ASAH1.pdf</v>
      </c>
    </row>
    <row r="452" spans="1:28" x14ac:dyDescent="0.25">
      <c r="A452" t="s">
        <v>456</v>
      </c>
      <c r="B452">
        <v>0.99542014353169495</v>
      </c>
      <c r="C452">
        <v>1.0072335872876801</v>
      </c>
      <c r="D452">
        <v>1.1047312656894299</v>
      </c>
      <c r="E452">
        <v>0.67100096758786798</v>
      </c>
      <c r="F452">
        <v>0.51429711313965498</v>
      </c>
      <c r="G452">
        <v>0.15296633063675499</v>
      </c>
      <c r="H452">
        <v>7.0825643647699305E-2</v>
      </c>
      <c r="I452">
        <v>4.2941951187990601E-2</v>
      </c>
      <c r="J452">
        <v>4.0654685518948498E-2</v>
      </c>
      <c r="K452">
        <v>2.9022316795185701E-2</v>
      </c>
      <c r="L452">
        <v>990.17790179689302</v>
      </c>
      <c r="M452">
        <v>20.000300175499401</v>
      </c>
      <c r="N452">
        <v>49.613111156445598</v>
      </c>
      <c r="O452">
        <v>49.021181038678698</v>
      </c>
      <c r="P452">
        <v>-9.98891233561022E-2</v>
      </c>
      <c r="Q452">
        <v>2.07100140600858E-2</v>
      </c>
      <c r="R452">
        <v>0.97745345029345398</v>
      </c>
      <c r="S452" t="s">
        <v>6854</v>
      </c>
      <c r="T452" t="s">
        <v>12802</v>
      </c>
      <c r="U452" t="s">
        <v>12802</v>
      </c>
      <c r="V452" t="s">
        <v>12802</v>
      </c>
      <c r="W452" t="s">
        <v>13250</v>
      </c>
      <c r="X452">
        <v>7</v>
      </c>
      <c r="Y452" t="s">
        <v>19573</v>
      </c>
      <c r="Z452" t="s">
        <v>25770</v>
      </c>
      <c r="AA452">
        <v>0.44191914574139551</v>
      </c>
      <c r="AB452" t="str">
        <f>HYPERLINK("Melting_Curves/meltCurve_E7EMX7_RAI14.pdf", "Melting_Curves/meltCurve_E7EMX7_RAI14.pdf")</f>
        <v>Melting_Curves/meltCurve_E7EMX7_RAI14.pdf</v>
      </c>
    </row>
    <row r="453" spans="1:28" x14ac:dyDescent="0.25">
      <c r="A453" t="s">
        <v>457</v>
      </c>
      <c r="B453">
        <v>0.99542014353169495</v>
      </c>
      <c r="C453">
        <v>1.10831168909558</v>
      </c>
      <c r="D453">
        <v>0.81388960013058498</v>
      </c>
      <c r="E453">
        <v>0.48956052808470801</v>
      </c>
      <c r="F453">
        <v>0.35583785525733902</v>
      </c>
      <c r="G453">
        <v>0.212524477548066</v>
      </c>
      <c r="H453">
        <v>0.121605728692877</v>
      </c>
      <c r="I453">
        <v>9.1505977647556705E-2</v>
      </c>
      <c r="J453">
        <v>4.4491235470163003E-2</v>
      </c>
      <c r="K453">
        <v>7.7076559606346504E-2</v>
      </c>
      <c r="L453">
        <v>782.569863707016</v>
      </c>
      <c r="M453">
        <v>16.694757322172499</v>
      </c>
      <c r="N453">
        <v>47.3411701675142</v>
      </c>
      <c r="O453">
        <v>46.218112758901697</v>
      </c>
      <c r="P453">
        <v>-8.3467552911194107E-2</v>
      </c>
      <c r="Q453">
        <v>7.5768086191138506E-2</v>
      </c>
      <c r="R453">
        <v>0.97573807736023099</v>
      </c>
      <c r="S453" t="s">
        <v>6855</v>
      </c>
      <c r="T453" t="s">
        <v>12802</v>
      </c>
      <c r="U453" t="s">
        <v>12802</v>
      </c>
      <c r="V453" t="s">
        <v>12802</v>
      </c>
      <c r="W453" t="s">
        <v>13251</v>
      </c>
      <c r="X453">
        <v>3</v>
      </c>
      <c r="Y453" t="s">
        <v>19574</v>
      </c>
      <c r="Z453" t="s">
        <v>25771</v>
      </c>
      <c r="AA453">
        <v>0.39712972252325868</v>
      </c>
      <c r="AB453" t="str">
        <f>HYPERLINK("Melting_Curves/meltCurve_E7EN32_MEN1.pdf", "Melting_Curves/meltCurve_E7EN32_MEN1.pdf")</f>
        <v>Melting_Curves/meltCurve_E7EN32_MEN1.pdf</v>
      </c>
    </row>
    <row r="454" spans="1:28" x14ac:dyDescent="0.25">
      <c r="A454" t="s">
        <v>458</v>
      </c>
      <c r="B454">
        <v>0.99542014353169495</v>
      </c>
      <c r="C454">
        <v>0.97142240696236204</v>
      </c>
      <c r="D454">
        <v>0.93918123598478498</v>
      </c>
      <c r="E454">
        <v>0.82658279363839005</v>
      </c>
      <c r="F454">
        <v>0.70064008909733499</v>
      </c>
      <c r="G454">
        <v>0.42683477983953</v>
      </c>
      <c r="H454">
        <v>0.29408239584550799</v>
      </c>
      <c r="I454">
        <v>0.19085709784015101</v>
      </c>
      <c r="J454">
        <v>0.22420668658430701</v>
      </c>
      <c r="K454">
        <v>0.21664694650343699</v>
      </c>
      <c r="L454">
        <v>800.22717484136501</v>
      </c>
      <c r="M454">
        <v>15.603674217612999</v>
      </c>
      <c r="N454">
        <v>52.6896668485237</v>
      </c>
      <c r="O454">
        <v>50.4643709643804</v>
      </c>
      <c r="P454">
        <v>-6.4149540503380995E-2</v>
      </c>
      <c r="Q454">
        <v>0.17019925006372499</v>
      </c>
      <c r="R454">
        <v>0.99328064730049603</v>
      </c>
      <c r="S454" t="s">
        <v>6856</v>
      </c>
      <c r="T454" t="s">
        <v>12802</v>
      </c>
      <c r="U454" t="s">
        <v>12802</v>
      </c>
      <c r="V454" t="s">
        <v>12802</v>
      </c>
      <c r="W454" t="s">
        <v>13252</v>
      </c>
      <c r="X454">
        <v>9</v>
      </c>
      <c r="Y454" t="s">
        <v>19575</v>
      </c>
      <c r="Z454" t="s">
        <v>25772</v>
      </c>
      <c r="AA454">
        <v>0.58097964930299217</v>
      </c>
      <c r="AB454" t="str">
        <f>HYPERLINK("Melting_Curves/meltCurve_E7EN73_KIAA0319L.pdf", "Melting_Curves/meltCurve_E7EN73_KIAA0319L.pdf")</f>
        <v>Melting_Curves/meltCurve_E7EN73_KIAA0319L.pdf</v>
      </c>
    </row>
    <row r="455" spans="1:28" x14ac:dyDescent="0.25">
      <c r="A455" t="s">
        <v>459</v>
      </c>
      <c r="B455">
        <v>0.99542014353169495</v>
      </c>
      <c r="C455">
        <v>0.69087448428150799</v>
      </c>
      <c r="D455">
        <v>0.50424150533285805</v>
      </c>
      <c r="E455">
        <v>0.32344569082964297</v>
      </c>
      <c r="F455">
        <v>0.21107054454711299</v>
      </c>
      <c r="G455">
        <v>0.12822386172900899</v>
      </c>
      <c r="H455">
        <v>0.121662620499896</v>
      </c>
      <c r="I455">
        <v>9.2371775097983805E-2</v>
      </c>
      <c r="J455">
        <v>0.120475192025516</v>
      </c>
      <c r="K455">
        <v>0.119682865285474</v>
      </c>
      <c r="L455">
        <v>625.43511760011597</v>
      </c>
      <c r="M455">
        <v>14.7367509990885</v>
      </c>
      <c r="N455">
        <v>43.1469766812762</v>
      </c>
      <c r="O455">
        <v>41.6819865607848</v>
      </c>
      <c r="P455">
        <v>-7.8921781328882695E-2</v>
      </c>
      <c r="Q455">
        <v>0.107195213794993</v>
      </c>
      <c r="R455">
        <v>0.98435404747439104</v>
      </c>
      <c r="S455" t="s">
        <v>6857</v>
      </c>
      <c r="T455" t="s">
        <v>12802</v>
      </c>
      <c r="U455" t="s">
        <v>12802</v>
      </c>
      <c r="V455" t="s">
        <v>12802</v>
      </c>
      <c r="W455" t="s">
        <v>13253</v>
      </c>
      <c r="X455">
        <v>3</v>
      </c>
      <c r="Y455" t="s">
        <v>19576</v>
      </c>
      <c r="Z455" t="s">
        <v>25773</v>
      </c>
      <c r="AA455">
        <v>0.29474224454980852</v>
      </c>
      <c r="AB455" t="str">
        <f>HYPERLINK("Melting_Curves/meltCurve_E7EN86_ZNF143.pdf", "Melting_Curves/meltCurve_E7EN86_ZNF143.pdf")</f>
        <v>Melting_Curves/meltCurve_E7EN86_ZNF143.pdf</v>
      </c>
    </row>
    <row r="456" spans="1:28" x14ac:dyDescent="0.25">
      <c r="A456" t="s">
        <v>460</v>
      </c>
      <c r="B456">
        <v>0.99542014353169495</v>
      </c>
      <c r="C456">
        <v>1.0477612351123999</v>
      </c>
      <c r="D456">
        <v>0.91007373166641103</v>
      </c>
      <c r="E456">
        <v>0.82895354560689904</v>
      </c>
      <c r="F456">
        <v>0.65793012718227495</v>
      </c>
      <c r="G456">
        <v>0.34432567764998601</v>
      </c>
      <c r="H456">
        <v>0.21772711424438701</v>
      </c>
      <c r="I456">
        <v>0.147760703668365</v>
      </c>
      <c r="J456">
        <v>0.14629276484499401</v>
      </c>
      <c r="K456">
        <v>0.16213552209645901</v>
      </c>
      <c r="L456">
        <v>888.42657393173101</v>
      </c>
      <c r="M456">
        <v>17.459251773418</v>
      </c>
      <c r="N456">
        <v>51.707410053688498</v>
      </c>
      <c r="O456">
        <v>50.232228419971598</v>
      </c>
      <c r="P456">
        <v>-7.6370532411631498E-2</v>
      </c>
      <c r="Q456">
        <v>0.121142504842857</v>
      </c>
      <c r="R456">
        <v>0.99186959190227997</v>
      </c>
      <c r="S456" t="s">
        <v>6858</v>
      </c>
      <c r="T456" t="s">
        <v>12802</v>
      </c>
      <c r="U456" t="s">
        <v>12802</v>
      </c>
      <c r="V456" t="s">
        <v>12802</v>
      </c>
      <c r="W456" t="s">
        <v>13254</v>
      </c>
      <c r="X456">
        <v>7</v>
      </c>
      <c r="Y456" t="s">
        <v>19577</v>
      </c>
      <c r="Z456" t="s">
        <v>25774</v>
      </c>
      <c r="AA456">
        <v>0.5422461898381068</v>
      </c>
      <c r="AB456" t="str">
        <f>HYPERLINK("Melting_Curves/meltCurve_E7ENA9_NCSTN.pdf", "Melting_Curves/meltCurve_E7ENA9_NCSTN.pdf")</f>
        <v>Melting_Curves/meltCurve_E7ENA9_NCSTN.pdf</v>
      </c>
    </row>
    <row r="457" spans="1:28" x14ac:dyDescent="0.25">
      <c r="A457" t="s">
        <v>461</v>
      </c>
      <c r="B457">
        <v>0.99542014353169495</v>
      </c>
      <c r="C457">
        <v>0.96357654449841601</v>
      </c>
      <c r="D457">
        <v>1.0297414727862599</v>
      </c>
      <c r="E457">
        <v>0.77583200310842004</v>
      </c>
      <c r="F457">
        <v>0.42627596776716897</v>
      </c>
      <c r="G457">
        <v>0.14191529446019399</v>
      </c>
      <c r="H457">
        <v>9.5158761774859005E-2</v>
      </c>
      <c r="I457">
        <v>6.4165792198848895E-2</v>
      </c>
      <c r="J457">
        <v>9.7033806573822504E-2</v>
      </c>
      <c r="K457">
        <v>7.5942121237421195E-2</v>
      </c>
      <c r="L457">
        <v>1234.84939181242</v>
      </c>
      <c r="M457">
        <v>25.184288789109701</v>
      </c>
      <c r="N457">
        <v>49.339854333119803</v>
      </c>
      <c r="O457">
        <v>48.7265093528965</v>
      </c>
      <c r="P457">
        <v>-0.119834597728075</v>
      </c>
      <c r="Q457">
        <v>7.2589200611539201E-2</v>
      </c>
      <c r="R457">
        <v>0.99591509539372403</v>
      </c>
      <c r="S457" t="s">
        <v>6859</v>
      </c>
      <c r="T457" t="s">
        <v>12802</v>
      </c>
      <c r="U457" t="s">
        <v>12802</v>
      </c>
      <c r="V457" t="s">
        <v>12802</v>
      </c>
      <c r="W457" t="s">
        <v>13255</v>
      </c>
      <c r="X457">
        <v>10</v>
      </c>
      <c r="Y457" t="s">
        <v>19578</v>
      </c>
      <c r="Z457" t="s">
        <v>25775</v>
      </c>
      <c r="AA457">
        <v>0.45246284247223989</v>
      </c>
      <c r="AB457" t="str">
        <f>HYPERLINK("Melting_Curves/meltCurve_E7ENK0_CALCOCO2.pdf", "Melting_Curves/meltCurve_E7ENK0_CALCOCO2.pdf")</f>
        <v>Melting_Curves/meltCurve_E7ENK0_CALCOCO2.pdf</v>
      </c>
    </row>
    <row r="458" spans="1:28" x14ac:dyDescent="0.25">
      <c r="A458" t="s">
        <v>462</v>
      </c>
      <c r="B458">
        <v>0.99542014353169495</v>
      </c>
      <c r="C458">
        <v>1.0301041289824799</v>
      </c>
      <c r="D458">
        <v>0.92652998503561601</v>
      </c>
      <c r="E458">
        <v>0.78858655932491895</v>
      </c>
      <c r="F458">
        <v>0.222673742965561</v>
      </c>
      <c r="G458">
        <v>0.10791471421252601</v>
      </c>
      <c r="H458">
        <v>7.3825230835402503E-2</v>
      </c>
      <c r="I458">
        <v>5.6571069181929397E-2</v>
      </c>
      <c r="J458">
        <v>0.113296730078098</v>
      </c>
      <c r="K458">
        <v>5.9068079255113197E-2</v>
      </c>
      <c r="L458">
        <v>1790.8693056500499</v>
      </c>
      <c r="M458">
        <v>37.276396195812097</v>
      </c>
      <c r="N458">
        <v>48.259545955857298</v>
      </c>
      <c r="O458">
        <v>47.905346986172397</v>
      </c>
      <c r="P458">
        <v>-0.17955038307869001</v>
      </c>
      <c r="Q458">
        <v>7.7013860828820502E-2</v>
      </c>
      <c r="R458">
        <v>0.99573856541196404</v>
      </c>
      <c r="S458" t="s">
        <v>6860</v>
      </c>
      <c r="T458" t="s">
        <v>12802</v>
      </c>
      <c r="U458" t="s">
        <v>12802</v>
      </c>
      <c r="V458" t="s">
        <v>12802</v>
      </c>
      <c r="W458" t="s">
        <v>13256</v>
      </c>
      <c r="X458">
        <v>2</v>
      </c>
      <c r="Y458" t="s">
        <v>19579</v>
      </c>
      <c r="Z458" t="s">
        <v>25776</v>
      </c>
      <c r="AA458">
        <v>0.42029788583030459</v>
      </c>
      <c r="AB458" t="str">
        <f>HYPERLINK("Melting_Curves/meltCurve_E7ENN3_SYNE1.pdf", "Melting_Curves/meltCurve_E7ENN3_SYNE1.pdf")</f>
        <v>Melting_Curves/meltCurve_E7ENN3_SYNE1.pdf</v>
      </c>
    </row>
    <row r="459" spans="1:28" x14ac:dyDescent="0.25">
      <c r="A459" t="s">
        <v>463</v>
      </c>
      <c r="B459">
        <v>0.99542014353169495</v>
      </c>
      <c r="C459">
        <v>1.04027842201349</v>
      </c>
      <c r="D459">
        <v>1.0337806277142201</v>
      </c>
      <c r="E459">
        <v>0.42683530050360902</v>
      </c>
      <c r="F459">
        <v>0.16331855781975599</v>
      </c>
      <c r="G459">
        <v>8.6474403933847505E-2</v>
      </c>
      <c r="H459">
        <v>5.8805701282917497E-2</v>
      </c>
      <c r="I459">
        <v>4.5204320054517001E-2</v>
      </c>
      <c r="J459">
        <v>4.68697342710565E-2</v>
      </c>
      <c r="K459">
        <v>6.2838985511590298E-2</v>
      </c>
      <c r="L459">
        <v>2476.8213884383499</v>
      </c>
      <c r="M459">
        <v>53.598898904437704</v>
      </c>
      <c r="N459">
        <v>46.349129044174902</v>
      </c>
      <c r="O459">
        <v>46.146111744916603</v>
      </c>
      <c r="P459">
        <v>-0.26884250218111799</v>
      </c>
      <c r="Q459">
        <v>7.4157987276561796E-2</v>
      </c>
      <c r="R459">
        <v>0.993244628894147</v>
      </c>
      <c r="S459" t="s">
        <v>6861</v>
      </c>
      <c r="T459" t="s">
        <v>12802</v>
      </c>
      <c r="U459" t="s">
        <v>12802</v>
      </c>
      <c r="V459" t="s">
        <v>12802</v>
      </c>
      <c r="W459" t="s">
        <v>13257</v>
      </c>
      <c r="X459">
        <v>11</v>
      </c>
      <c r="Y459" t="s">
        <v>19580</v>
      </c>
      <c r="Z459" t="s">
        <v>25777</v>
      </c>
      <c r="AA459">
        <v>0.36004194990781502</v>
      </c>
      <c r="AB459" t="str">
        <f>HYPERLINK("Melting_Curves/meltCurve_E7ENU4_ADAR.pdf", "Melting_Curves/meltCurve_E7ENU4_ADAR.pdf")</f>
        <v>Melting_Curves/meltCurve_E7ENU4_ADAR.pdf</v>
      </c>
    </row>
    <row r="460" spans="1:28" x14ac:dyDescent="0.25">
      <c r="A460" t="s">
        <v>464</v>
      </c>
      <c r="B460">
        <v>0.99542014353169495</v>
      </c>
      <c r="C460">
        <v>0.88976464270078803</v>
      </c>
      <c r="D460">
        <v>0.82958150605953696</v>
      </c>
      <c r="E460">
        <v>0.76176167622527002</v>
      </c>
      <c r="F460">
        <v>0.64222912750429495</v>
      </c>
      <c r="G460">
        <v>0.454045020678009</v>
      </c>
      <c r="H460">
        <v>0.23057058983117101</v>
      </c>
      <c r="I460">
        <v>6.5812014985183798E-2</v>
      </c>
      <c r="J460">
        <v>8.29664608499696E-2</v>
      </c>
      <c r="K460">
        <v>9.6810675673052599E-2</v>
      </c>
      <c r="L460">
        <v>571.43953536232004</v>
      </c>
      <c r="M460">
        <v>11.0421674370661</v>
      </c>
      <c r="N460">
        <v>51.750667444581197</v>
      </c>
      <c r="O460">
        <v>50.1402898326902</v>
      </c>
      <c r="P460">
        <v>-5.5074664082974199E-2</v>
      </c>
      <c r="Q460">
        <v>0</v>
      </c>
      <c r="R460">
        <v>0.97666407174268299</v>
      </c>
      <c r="S460" t="s">
        <v>6862</v>
      </c>
      <c r="T460" t="s">
        <v>12802</v>
      </c>
      <c r="U460" t="s">
        <v>12802</v>
      </c>
      <c r="V460" t="s">
        <v>12802</v>
      </c>
      <c r="W460" t="s">
        <v>13258</v>
      </c>
      <c r="X460">
        <v>1</v>
      </c>
      <c r="Y460" t="s">
        <v>19581</v>
      </c>
      <c r="Z460" t="s">
        <v>25778</v>
      </c>
      <c r="AA460">
        <v>0.51766642193306955</v>
      </c>
      <c r="AB460" t="str">
        <f>HYPERLINK("Melting_Curves/meltCurve_E7ENX6_LRFN4.pdf", "Melting_Curves/meltCurve_E7ENX6_LRFN4.pdf")</f>
        <v>Melting_Curves/meltCurve_E7ENX6_LRFN4.pdf</v>
      </c>
    </row>
    <row r="461" spans="1:28" x14ac:dyDescent="0.25">
      <c r="A461" t="s">
        <v>465</v>
      </c>
      <c r="B461">
        <v>0.99542014353169495</v>
      </c>
      <c r="C461">
        <v>1.4561488168371</v>
      </c>
      <c r="D461">
        <v>1.17670597240408</v>
      </c>
      <c r="E461">
        <v>1.16790618461644</v>
      </c>
      <c r="F461">
        <v>0.79350836441813899</v>
      </c>
      <c r="G461">
        <v>0.75301890674360095</v>
      </c>
      <c r="H461">
        <v>0.566198504408431</v>
      </c>
      <c r="I461">
        <v>0.46587642106660498</v>
      </c>
      <c r="J461">
        <v>0.68487139331147195</v>
      </c>
      <c r="K461">
        <v>0.50298609363288604</v>
      </c>
      <c r="L461">
        <v>1439.8680660037401</v>
      </c>
      <c r="M461">
        <v>27.564848969941199</v>
      </c>
      <c r="O461">
        <v>51.963045660499098</v>
      </c>
      <c r="P461">
        <v>-5.95948808440993E-2</v>
      </c>
      <c r="Q461">
        <v>0.55062999936374701</v>
      </c>
      <c r="R461">
        <v>0.679653550240507</v>
      </c>
      <c r="S461" t="s">
        <v>6863</v>
      </c>
      <c r="T461" t="s">
        <v>12802</v>
      </c>
      <c r="U461" t="s">
        <v>12802</v>
      </c>
      <c r="V461" t="s">
        <v>12802</v>
      </c>
      <c r="W461" t="s">
        <v>13259</v>
      </c>
      <c r="X461">
        <v>6</v>
      </c>
      <c r="Y461" t="s">
        <v>19582</v>
      </c>
      <c r="Z461" t="s">
        <v>25779</v>
      </c>
      <c r="AA461">
        <v>0.78217817045502325</v>
      </c>
      <c r="AB461" t="str">
        <f>HYPERLINK("Melting_Curves/meltCurve_E7EP72_C19orf25.pdf", "Melting_Curves/meltCurve_E7EP72_C19orf25.pdf")</f>
        <v>Melting_Curves/meltCurve_E7EP72_C19orf25.pdf</v>
      </c>
    </row>
    <row r="462" spans="1:28" x14ac:dyDescent="0.25">
      <c r="A462" t="s">
        <v>466</v>
      </c>
      <c r="B462">
        <v>0.99542014353169495</v>
      </c>
      <c r="C462">
        <v>0.88778032486372305</v>
      </c>
      <c r="D462">
        <v>0.84446330830489102</v>
      </c>
      <c r="E462">
        <v>0.72109591510460702</v>
      </c>
      <c r="F462">
        <v>0.58779095054109598</v>
      </c>
      <c r="G462">
        <v>0.285619423570799</v>
      </c>
      <c r="H462">
        <v>0.14087339008233701</v>
      </c>
      <c r="I462">
        <v>6.3284936524701699E-2</v>
      </c>
      <c r="J462">
        <v>8.3810787117165206E-2</v>
      </c>
      <c r="K462">
        <v>6.6902906050182204E-2</v>
      </c>
      <c r="L462">
        <v>609.28827075994798</v>
      </c>
      <c r="M462">
        <v>12.1194632558826</v>
      </c>
      <c r="N462">
        <v>50.273540787147901</v>
      </c>
      <c r="O462">
        <v>48.963506943953199</v>
      </c>
      <c r="P462">
        <v>-6.18944374908207E-2</v>
      </c>
      <c r="Q462">
        <v>0</v>
      </c>
      <c r="R462">
        <v>0.98552678821416695</v>
      </c>
      <c r="S462" t="s">
        <v>6864</v>
      </c>
      <c r="T462" t="s">
        <v>12802</v>
      </c>
      <c r="U462" t="s">
        <v>12802</v>
      </c>
      <c r="V462" t="s">
        <v>12802</v>
      </c>
      <c r="W462" t="s">
        <v>13260</v>
      </c>
      <c r="X462">
        <v>4</v>
      </c>
      <c r="Y462" t="s">
        <v>19583</v>
      </c>
      <c r="Z462" t="s">
        <v>25780</v>
      </c>
      <c r="AA462">
        <v>0.46962837095769211</v>
      </c>
      <c r="AB462" t="str">
        <f>HYPERLINK("Melting_Curves/meltCurve_E7EPB3_RPL14.pdf", "Melting_Curves/meltCurve_E7EPB3_RPL14.pdf")</f>
        <v>Melting_Curves/meltCurve_E7EPB3_RPL14.pdf</v>
      </c>
    </row>
    <row r="463" spans="1:28" x14ac:dyDescent="0.25">
      <c r="A463" t="s">
        <v>467</v>
      </c>
      <c r="B463">
        <v>0.99542014353169495</v>
      </c>
      <c r="C463">
        <v>1.03850684657424</v>
      </c>
      <c r="D463">
        <v>0.93521544065666695</v>
      </c>
      <c r="E463">
        <v>0.73294484302281204</v>
      </c>
      <c r="F463">
        <v>0.33479012829186799</v>
      </c>
      <c r="G463">
        <v>0.17854065395172999</v>
      </c>
      <c r="H463">
        <v>0.113753433156012</v>
      </c>
      <c r="I463">
        <v>7.2939723777163595E-2</v>
      </c>
      <c r="J463">
        <v>8.4018285509478194E-2</v>
      </c>
      <c r="K463">
        <v>9.3567575266341907E-2</v>
      </c>
      <c r="L463">
        <v>1135.9046103801199</v>
      </c>
      <c r="M463">
        <v>23.5360778743268</v>
      </c>
      <c r="N463">
        <v>48.649993616825597</v>
      </c>
      <c r="O463">
        <v>47.9179122847356</v>
      </c>
      <c r="P463">
        <v>-0.112294859456116</v>
      </c>
      <c r="Q463">
        <v>8.5515723890363299E-2</v>
      </c>
      <c r="R463">
        <v>0.99782727331666599</v>
      </c>
      <c r="S463" t="s">
        <v>6865</v>
      </c>
      <c r="T463" t="s">
        <v>12802</v>
      </c>
      <c r="U463" t="s">
        <v>12802</v>
      </c>
      <c r="V463" t="s">
        <v>12802</v>
      </c>
      <c r="W463" t="s">
        <v>13261</v>
      </c>
      <c r="X463">
        <v>11</v>
      </c>
      <c r="Y463" t="s">
        <v>19584</v>
      </c>
      <c r="Z463" t="s">
        <v>25781</v>
      </c>
      <c r="AA463">
        <v>0.43762607053477981</v>
      </c>
      <c r="AB463" t="str">
        <f>HYPERLINK("Melting_Curves/meltCurve_E7EPD0_TOM1.pdf", "Melting_Curves/meltCurve_E7EPD0_TOM1.pdf")</f>
        <v>Melting_Curves/meltCurve_E7EPD0_TOM1.pdf</v>
      </c>
    </row>
    <row r="464" spans="1:28" x14ac:dyDescent="0.25">
      <c r="A464" t="s">
        <v>468</v>
      </c>
      <c r="B464">
        <v>0.99542014353169495</v>
      </c>
      <c r="C464">
        <v>0.96221474991494105</v>
      </c>
      <c r="D464">
        <v>0.86486308537265999</v>
      </c>
      <c r="E464">
        <v>0.39188916480747998</v>
      </c>
      <c r="F464">
        <v>0.14147804208981599</v>
      </c>
      <c r="G464">
        <v>9.6067061011546107E-2</v>
      </c>
      <c r="H464">
        <v>6.3398813745176405E-2</v>
      </c>
      <c r="I464">
        <v>4.2296215727024702E-2</v>
      </c>
      <c r="J464">
        <v>4.4952610053494997E-2</v>
      </c>
      <c r="K464">
        <v>4.8187402780095499E-2</v>
      </c>
      <c r="L464">
        <v>1226.8233576325199</v>
      </c>
      <c r="M464">
        <v>26.8640869472502</v>
      </c>
      <c r="N464">
        <v>45.867650809941601</v>
      </c>
      <c r="O464">
        <v>45.416979568844901</v>
      </c>
      <c r="P464">
        <v>-0.13970851418212499</v>
      </c>
      <c r="Q464">
        <v>5.5233165747455501E-2</v>
      </c>
      <c r="R464">
        <v>0.99881352432153003</v>
      </c>
      <c r="S464" t="s">
        <v>6866</v>
      </c>
      <c r="T464" t="s">
        <v>12802</v>
      </c>
      <c r="U464" t="s">
        <v>12802</v>
      </c>
      <c r="V464" t="s">
        <v>12802</v>
      </c>
      <c r="W464" t="s">
        <v>13262</v>
      </c>
      <c r="X464">
        <v>14</v>
      </c>
      <c r="Y464" t="s">
        <v>19585</v>
      </c>
      <c r="Z464" t="s">
        <v>25782</v>
      </c>
      <c r="AA464">
        <v>0.33492474651300419</v>
      </c>
      <c r="AB464" t="str">
        <f>HYPERLINK("Melting_Curves/meltCurve_E7EPL4_PDXDC1.pdf", "Melting_Curves/meltCurve_E7EPL4_PDXDC1.pdf")</f>
        <v>Melting_Curves/meltCurve_E7EPL4_PDXDC1.pdf</v>
      </c>
    </row>
    <row r="465" spans="1:28" x14ac:dyDescent="0.25">
      <c r="A465" t="s">
        <v>469</v>
      </c>
      <c r="B465">
        <v>0.99542014353169495</v>
      </c>
      <c r="C465">
        <v>0.97793579458215096</v>
      </c>
      <c r="D465">
        <v>1.0174474365553201</v>
      </c>
      <c r="E465">
        <v>0.84943118844438903</v>
      </c>
      <c r="F465">
        <v>0.66226831367857497</v>
      </c>
      <c r="G465">
        <v>0.39721742042658598</v>
      </c>
      <c r="H465">
        <v>0.245336030725395</v>
      </c>
      <c r="I465">
        <v>0.21274093305882799</v>
      </c>
      <c r="J465">
        <v>0.33488671571246298</v>
      </c>
      <c r="K465">
        <v>0.571700949166427</v>
      </c>
      <c r="L465">
        <v>1366.94000352485</v>
      </c>
      <c r="M465">
        <v>27.539413714133399</v>
      </c>
      <c r="N465">
        <v>51.759461197636398</v>
      </c>
      <c r="O465">
        <v>49.376264431222502</v>
      </c>
      <c r="P465">
        <v>-9.2241706549716598E-2</v>
      </c>
      <c r="Q465">
        <v>0.338474075417808</v>
      </c>
      <c r="R465">
        <v>0.90310136799889495</v>
      </c>
      <c r="S465" t="s">
        <v>6867</v>
      </c>
      <c r="T465" t="s">
        <v>12802</v>
      </c>
      <c r="U465" t="s">
        <v>12802</v>
      </c>
      <c r="V465" t="s">
        <v>12802</v>
      </c>
      <c r="W465" t="s">
        <v>13263</v>
      </c>
      <c r="X465">
        <v>50</v>
      </c>
      <c r="Y465" t="s">
        <v>19586</v>
      </c>
      <c r="Z465" t="s">
        <v>25783</v>
      </c>
      <c r="AA465">
        <v>0.62187935036076813</v>
      </c>
      <c r="AB465" t="str">
        <f>HYPERLINK("Melting_Curves/meltCurve_E7EPN9_PRRC2C.pdf", "Melting_Curves/meltCurve_E7EPN9_PRRC2C.pdf")</f>
        <v>Melting_Curves/meltCurve_E7EPN9_PRRC2C.pdf</v>
      </c>
    </row>
    <row r="466" spans="1:28" x14ac:dyDescent="0.25">
      <c r="A466" t="s">
        <v>470</v>
      </c>
      <c r="B466">
        <v>0.99542014353169495</v>
      </c>
      <c r="C466">
        <v>0.95645448987863702</v>
      </c>
      <c r="D466">
        <v>0.62094830176910698</v>
      </c>
      <c r="E466">
        <v>0.24929325072924099</v>
      </c>
      <c r="F466">
        <v>0.107013195926818</v>
      </c>
      <c r="G466">
        <v>7.1202707501030804E-2</v>
      </c>
      <c r="H466">
        <v>4.5597475945478999E-2</v>
      </c>
      <c r="I466">
        <v>2.2017932117799899E-2</v>
      </c>
      <c r="J466">
        <v>1.99161997779683E-2</v>
      </c>
      <c r="K466">
        <v>1.54703253675001E-2</v>
      </c>
      <c r="L466">
        <v>1006.71520169376</v>
      </c>
      <c r="M466">
        <v>22.874106603826402</v>
      </c>
      <c r="N466">
        <v>44.145293959960497</v>
      </c>
      <c r="O466">
        <v>43.678905399375701</v>
      </c>
      <c r="P466">
        <v>-0.12652816302161099</v>
      </c>
      <c r="Q466">
        <v>3.3579020361588101E-2</v>
      </c>
      <c r="R466">
        <v>0.997259921359266</v>
      </c>
      <c r="S466" t="s">
        <v>6868</v>
      </c>
      <c r="T466" t="s">
        <v>12802</v>
      </c>
      <c r="U466" t="s">
        <v>12802</v>
      </c>
      <c r="V466" t="s">
        <v>12802</v>
      </c>
      <c r="W466" t="s">
        <v>13264</v>
      </c>
      <c r="X466">
        <v>4</v>
      </c>
      <c r="Y466" t="s">
        <v>19587</v>
      </c>
      <c r="Z466" t="s">
        <v>25784</v>
      </c>
      <c r="AA466">
        <v>0.26906844984467337</v>
      </c>
      <c r="AB466" t="str">
        <f>HYPERLINK("Melting_Curves/meltCurve_E7EPP7_STXBP4.pdf", "Melting_Curves/meltCurve_E7EPP7_STXBP4.pdf")</f>
        <v>Melting_Curves/meltCurve_E7EPP7_STXBP4.pdf</v>
      </c>
    </row>
    <row r="467" spans="1:28" x14ac:dyDescent="0.25">
      <c r="A467" t="s">
        <v>471</v>
      </c>
      <c r="B467">
        <v>0.99542014353169495</v>
      </c>
      <c r="C467">
        <v>0.967979794055843</v>
      </c>
      <c r="D467">
        <v>0.95020919892480604</v>
      </c>
      <c r="E467">
        <v>0.87115231857565401</v>
      </c>
      <c r="F467">
        <v>0.85624059282506204</v>
      </c>
      <c r="G467">
        <v>0.514948522081634</v>
      </c>
      <c r="H467">
        <v>0.227138258525106</v>
      </c>
      <c r="I467">
        <v>0.150002729169286</v>
      </c>
      <c r="J467">
        <v>0.15965302763525299</v>
      </c>
      <c r="K467">
        <v>0.146034560204058</v>
      </c>
      <c r="L467">
        <v>1268.8744792929799</v>
      </c>
      <c r="M467">
        <v>23.863642121448599</v>
      </c>
      <c r="N467">
        <v>53.832133802995997</v>
      </c>
      <c r="O467">
        <v>52.802703210954498</v>
      </c>
      <c r="P467">
        <v>-9.8651641243748894E-2</v>
      </c>
      <c r="Q467">
        <v>0.12687441955133499</v>
      </c>
      <c r="R467">
        <v>0.98802347647281397</v>
      </c>
      <c r="S467" t="s">
        <v>6869</v>
      </c>
      <c r="T467" t="s">
        <v>12802</v>
      </c>
      <c r="U467" t="s">
        <v>12802</v>
      </c>
      <c r="V467" t="s">
        <v>12802</v>
      </c>
      <c r="W467" t="s">
        <v>13265</v>
      </c>
      <c r="X467">
        <v>9</v>
      </c>
      <c r="Y467" t="s">
        <v>19588</v>
      </c>
      <c r="Z467" t="s">
        <v>25785</v>
      </c>
      <c r="AA467">
        <v>0.60587480338443678</v>
      </c>
      <c r="AB467" t="str">
        <f>HYPERLINK("Melting_Curves/meltCurve_E7EPT4_NDUFV2.pdf", "Melting_Curves/meltCurve_E7EPT4_NDUFV2.pdf")</f>
        <v>Melting_Curves/meltCurve_E7EPT4_NDUFV2.pdf</v>
      </c>
    </row>
    <row r="468" spans="1:28" x14ac:dyDescent="0.25">
      <c r="A468" t="s">
        <v>472</v>
      </c>
      <c r="B468">
        <v>0.99542014353169495</v>
      </c>
      <c r="C468">
        <v>0.97259462644296701</v>
      </c>
      <c r="D468">
        <v>0.87265409875063105</v>
      </c>
      <c r="E468">
        <v>0.80568511257742303</v>
      </c>
      <c r="F468">
        <v>0.68086303795902203</v>
      </c>
      <c r="G468">
        <v>0.58940336295851703</v>
      </c>
      <c r="H468">
        <v>0.50126359174569501</v>
      </c>
      <c r="I468">
        <v>0.48348768067569298</v>
      </c>
      <c r="J468">
        <v>0.851795073024043</v>
      </c>
      <c r="K468">
        <v>0.98357482306701605</v>
      </c>
      <c r="L468">
        <v>1037.56807703088</v>
      </c>
      <c r="M468">
        <v>23.441273284617399</v>
      </c>
      <c r="O468">
        <v>43.944109921133098</v>
      </c>
      <c r="P468">
        <v>-4.2288181835062402E-2</v>
      </c>
      <c r="Q468">
        <v>0.68290397860025498</v>
      </c>
      <c r="R468">
        <v>0.41495821291219198</v>
      </c>
      <c r="S468" t="s">
        <v>6870</v>
      </c>
      <c r="T468" t="s">
        <v>12802</v>
      </c>
      <c r="U468" t="s">
        <v>12802</v>
      </c>
      <c r="V468" t="s">
        <v>12802</v>
      </c>
      <c r="W468" t="s">
        <v>13266</v>
      </c>
      <c r="X468">
        <v>5</v>
      </c>
      <c r="Y468" t="s">
        <v>19589</v>
      </c>
      <c r="Z468" t="s">
        <v>25786</v>
      </c>
      <c r="AA468">
        <v>0.76265468500725919</v>
      </c>
      <c r="AB468" t="str">
        <f>HYPERLINK("Melting_Curves/meltCurve_E7EPV7_SNCA.pdf", "Melting_Curves/meltCurve_E7EPV7_SNCA.pdf")</f>
        <v>Melting_Curves/meltCurve_E7EPV7_SNCA.pdf</v>
      </c>
    </row>
    <row r="469" spans="1:28" x14ac:dyDescent="0.25">
      <c r="A469" t="s">
        <v>473</v>
      </c>
      <c r="B469">
        <v>0.99542014353169495</v>
      </c>
      <c r="C469">
        <v>0.92146818644152095</v>
      </c>
      <c r="D469">
        <v>0.89773309527487599</v>
      </c>
      <c r="E469">
        <v>0.54057386360642701</v>
      </c>
      <c r="F469">
        <v>0.35111980702845103</v>
      </c>
      <c r="G469">
        <v>0.168608388197447</v>
      </c>
      <c r="H469">
        <v>0.103831175189031</v>
      </c>
      <c r="I469">
        <v>5.43950162947597E-2</v>
      </c>
      <c r="J469">
        <v>7.2001840963610994E-2</v>
      </c>
      <c r="K469">
        <v>8.1428068078281707E-2</v>
      </c>
      <c r="L469">
        <v>780.043383198794</v>
      </c>
      <c r="M469">
        <v>16.4969174175062</v>
      </c>
      <c r="N469">
        <v>47.637250240062599</v>
      </c>
      <c r="O469">
        <v>46.6057483961225</v>
      </c>
      <c r="P469">
        <v>-8.34055009607024E-2</v>
      </c>
      <c r="Q469">
        <v>5.7543348372164002E-2</v>
      </c>
      <c r="R469">
        <v>0.99421933310759902</v>
      </c>
      <c r="S469" t="s">
        <v>6871</v>
      </c>
      <c r="T469" t="s">
        <v>12802</v>
      </c>
      <c r="U469" t="s">
        <v>12802</v>
      </c>
      <c r="V469" t="s">
        <v>12802</v>
      </c>
      <c r="W469" t="s">
        <v>13267</v>
      </c>
      <c r="X469">
        <v>1</v>
      </c>
      <c r="Y469" t="s">
        <v>19590</v>
      </c>
      <c r="Z469" t="s">
        <v>25787</v>
      </c>
      <c r="AA469">
        <v>0.39839405334454098</v>
      </c>
      <c r="AB469" t="str">
        <f>HYPERLINK("Melting_Curves/meltCurve_E7EPW5_ST7.pdf", "Melting_Curves/meltCurve_E7EPW5_ST7.pdf")</f>
        <v>Melting_Curves/meltCurve_E7EPW5_ST7.pdf</v>
      </c>
    </row>
    <row r="470" spans="1:28" x14ac:dyDescent="0.25">
      <c r="A470" t="s">
        <v>474</v>
      </c>
      <c r="B470">
        <v>0.99542014353169495</v>
      </c>
      <c r="C470">
        <v>0.87098855202705605</v>
      </c>
      <c r="D470">
        <v>0.77271576378695095</v>
      </c>
      <c r="E470">
        <v>0.57300805539250899</v>
      </c>
      <c r="F470">
        <v>0.22803803832292399</v>
      </c>
      <c r="G470">
        <v>0.13232839477966901</v>
      </c>
      <c r="H470">
        <v>0.123611431893416</v>
      </c>
      <c r="I470">
        <v>7.1169746436822501E-2</v>
      </c>
      <c r="J470">
        <v>0.12713553232132199</v>
      </c>
      <c r="K470">
        <v>0.14734328164733199</v>
      </c>
      <c r="L470">
        <v>769.13117682795803</v>
      </c>
      <c r="M470">
        <v>16.695738169097101</v>
      </c>
      <c r="N470">
        <v>46.636930216961503</v>
      </c>
      <c r="O470">
        <v>45.421848839065198</v>
      </c>
      <c r="P470">
        <v>-8.3425127572036906E-2</v>
      </c>
      <c r="Q470">
        <v>9.2206348959929699E-2</v>
      </c>
      <c r="R470">
        <v>0.98499146263388204</v>
      </c>
      <c r="S470" t="s">
        <v>6872</v>
      </c>
      <c r="T470" t="s">
        <v>12802</v>
      </c>
      <c r="U470" t="s">
        <v>12802</v>
      </c>
      <c r="V470" t="s">
        <v>12802</v>
      </c>
      <c r="W470" t="s">
        <v>13268</v>
      </c>
      <c r="X470">
        <v>7</v>
      </c>
      <c r="Y470" t="s">
        <v>19591</v>
      </c>
      <c r="Z470" t="s">
        <v>25788</v>
      </c>
      <c r="AA470">
        <v>0.38359597288674468</v>
      </c>
      <c r="AB470" t="str">
        <f>HYPERLINK("Melting_Curves/meltCurve_E7EPY1_TNIP1.pdf", "Melting_Curves/meltCurve_E7EPY1_TNIP1.pdf")</f>
        <v>Melting_Curves/meltCurve_E7EPY1_TNIP1.pdf</v>
      </c>
    </row>
    <row r="471" spans="1:28" x14ac:dyDescent="0.25">
      <c r="A471" t="s">
        <v>475</v>
      </c>
      <c r="B471">
        <v>0.99542014353169495</v>
      </c>
      <c r="C471">
        <v>0.88301781195469198</v>
      </c>
      <c r="D471">
        <v>0.89801266023562398</v>
      </c>
      <c r="E471">
        <v>0.81197386070188804</v>
      </c>
      <c r="F471">
        <v>0.67585594723164899</v>
      </c>
      <c r="G471">
        <v>0.49710182077423698</v>
      </c>
      <c r="H471">
        <v>0.454305724200814</v>
      </c>
      <c r="I471">
        <v>0.45577197953040999</v>
      </c>
      <c r="J471">
        <v>0.60655476611691395</v>
      </c>
      <c r="K471">
        <v>0.58505270441054502</v>
      </c>
      <c r="L471">
        <v>778.18769716646398</v>
      </c>
      <c r="M471">
        <v>16.5441556257366</v>
      </c>
      <c r="O471">
        <v>46.365893552448497</v>
      </c>
      <c r="P471">
        <v>-4.3714357246742802E-2</v>
      </c>
      <c r="Q471">
        <v>0.50998619979856796</v>
      </c>
      <c r="R471">
        <v>0.88665714041578902</v>
      </c>
      <c r="S471" t="s">
        <v>6873</v>
      </c>
      <c r="T471" t="s">
        <v>12802</v>
      </c>
      <c r="U471" t="s">
        <v>12802</v>
      </c>
      <c r="V471" t="s">
        <v>12802</v>
      </c>
      <c r="W471" t="s">
        <v>13269</v>
      </c>
      <c r="X471">
        <v>21</v>
      </c>
      <c r="Y471" t="s">
        <v>19592</v>
      </c>
      <c r="Z471" t="s">
        <v>25789</v>
      </c>
      <c r="AA471">
        <v>0.68314749883635928</v>
      </c>
      <c r="AB471" t="str">
        <f>HYPERLINK("Melting_Curves/meltCurve_E7EQ12_CAST.pdf", "Melting_Curves/meltCurve_E7EQ12_CAST.pdf")</f>
        <v>Melting_Curves/meltCurve_E7EQ12_CAST.pdf</v>
      </c>
    </row>
    <row r="472" spans="1:28" x14ac:dyDescent="0.25">
      <c r="A472" t="s">
        <v>476</v>
      </c>
      <c r="B472">
        <v>0.99542014353169495</v>
      </c>
      <c r="C472">
        <v>0.97481775970731399</v>
      </c>
      <c r="D472">
        <v>0.93486221299435601</v>
      </c>
      <c r="E472">
        <v>0.89240624777935895</v>
      </c>
      <c r="F472">
        <v>0.68508301262641302</v>
      </c>
      <c r="G472">
        <v>0.605948364986032</v>
      </c>
      <c r="H472">
        <v>0.390800165002258</v>
      </c>
      <c r="I472">
        <v>0.19629466784507299</v>
      </c>
      <c r="J472">
        <v>0.21122892146743599</v>
      </c>
      <c r="K472">
        <v>0.12846029599369599</v>
      </c>
      <c r="L472">
        <v>585.36027382432303</v>
      </c>
      <c r="M472">
        <v>10.6612634956407</v>
      </c>
      <c r="N472">
        <v>54.905330820531098</v>
      </c>
      <c r="O472">
        <v>53.079302976682399</v>
      </c>
      <c r="P472">
        <v>-5.0232952400823101E-2</v>
      </c>
      <c r="Q472">
        <v>0</v>
      </c>
      <c r="R472">
        <v>0.990509708442329</v>
      </c>
      <c r="S472" t="s">
        <v>6874</v>
      </c>
      <c r="T472" t="s">
        <v>12802</v>
      </c>
      <c r="U472" t="s">
        <v>12802</v>
      </c>
      <c r="V472" t="s">
        <v>12802</v>
      </c>
      <c r="W472" t="s">
        <v>13270</v>
      </c>
      <c r="X472">
        <v>9</v>
      </c>
      <c r="Y472" t="s">
        <v>19593</v>
      </c>
      <c r="Z472" t="s">
        <v>25790</v>
      </c>
      <c r="AA472">
        <v>0.61044349011703958</v>
      </c>
      <c r="AB472" t="str">
        <f>HYPERLINK("Melting_Curves/meltCurve_E7EQ29_GLB1.pdf", "Melting_Curves/meltCurve_E7EQ29_GLB1.pdf")</f>
        <v>Melting_Curves/meltCurve_E7EQ29_GLB1.pdf</v>
      </c>
    </row>
    <row r="473" spans="1:28" x14ac:dyDescent="0.25">
      <c r="A473" t="s">
        <v>477</v>
      </c>
      <c r="B473">
        <v>0.99542014353169495</v>
      </c>
      <c r="C473">
        <v>1.0227151123837199</v>
      </c>
      <c r="D473">
        <v>1.05330392539339</v>
      </c>
      <c r="E473">
        <v>0.97216073180943996</v>
      </c>
      <c r="F473">
        <v>0.84012047364961395</v>
      </c>
      <c r="G473">
        <v>0.530913013251884</v>
      </c>
      <c r="H473">
        <v>0.11876395004661</v>
      </c>
      <c r="I473">
        <v>6.5873720928536994E-2</v>
      </c>
      <c r="J473">
        <v>6.1344166388092702E-2</v>
      </c>
      <c r="K473">
        <v>6.8859153219921504E-2</v>
      </c>
      <c r="L473">
        <v>1539.3066814046699</v>
      </c>
      <c r="M473">
        <v>28.7367096284603</v>
      </c>
      <c r="N473">
        <v>53.736918171987803</v>
      </c>
      <c r="O473">
        <v>53.308477722307799</v>
      </c>
      <c r="P473">
        <v>-0.12887674334878299</v>
      </c>
      <c r="Q473">
        <v>4.37082161550542E-2</v>
      </c>
      <c r="R473">
        <v>0.99477854006344502</v>
      </c>
      <c r="S473" t="s">
        <v>6875</v>
      </c>
      <c r="T473" t="s">
        <v>12802</v>
      </c>
      <c r="U473" t="s">
        <v>12802</v>
      </c>
      <c r="V473" t="s">
        <v>12802</v>
      </c>
      <c r="W473" t="s">
        <v>13271</v>
      </c>
      <c r="X473">
        <v>14</v>
      </c>
      <c r="Y473" t="s">
        <v>19594</v>
      </c>
      <c r="Z473" t="s">
        <v>25791</v>
      </c>
      <c r="AA473">
        <v>0.57836773357372662</v>
      </c>
      <c r="AB473" t="str">
        <f>HYPERLINK("Melting_Curves/meltCurve_E7EQ69_NAA50.pdf", "Melting_Curves/meltCurve_E7EQ69_NAA50.pdf")</f>
        <v>Melting_Curves/meltCurve_E7EQ69_NAA50.pdf</v>
      </c>
    </row>
    <row r="474" spans="1:28" x14ac:dyDescent="0.25">
      <c r="A474" t="s">
        <v>478</v>
      </c>
      <c r="B474">
        <v>0.99542014353169495</v>
      </c>
      <c r="C474">
        <v>1.1127300666336799</v>
      </c>
      <c r="D474">
        <v>1.2020958100964301</v>
      </c>
      <c r="E474">
        <v>0.85728965376133104</v>
      </c>
      <c r="F474">
        <v>0.67206006450033295</v>
      </c>
      <c r="G474">
        <v>0.37741038175473002</v>
      </c>
      <c r="H474">
        <v>0.205890798864723</v>
      </c>
      <c r="I474">
        <v>0.110336628309588</v>
      </c>
      <c r="J474">
        <v>0.10050800441796499</v>
      </c>
      <c r="K474">
        <v>0.106771891855198</v>
      </c>
      <c r="L474">
        <v>1079.9381705181499</v>
      </c>
      <c r="M474">
        <v>20.910770787049699</v>
      </c>
      <c r="N474">
        <v>52.153073142397801</v>
      </c>
      <c r="O474">
        <v>51.179704214802001</v>
      </c>
      <c r="P474">
        <v>-9.2735041903593607E-2</v>
      </c>
      <c r="Q474">
        <v>9.2138205678097398E-2</v>
      </c>
      <c r="R474">
        <v>0.96433132990419901</v>
      </c>
      <c r="S474" t="s">
        <v>6876</v>
      </c>
      <c r="T474" t="s">
        <v>12802</v>
      </c>
      <c r="U474" t="s">
        <v>12802</v>
      </c>
      <c r="V474" t="s">
        <v>12802</v>
      </c>
      <c r="W474" t="s">
        <v>13272</v>
      </c>
      <c r="X474">
        <v>1</v>
      </c>
      <c r="Y474" t="s">
        <v>19595</v>
      </c>
      <c r="Z474" t="s">
        <v>25792</v>
      </c>
      <c r="AA474">
        <v>0.54629739614083683</v>
      </c>
      <c r="AB474" t="str">
        <f>HYPERLINK("Melting_Curves/meltCurve_E7EQE7_CORIN.pdf", "Melting_Curves/meltCurve_E7EQE7_CORIN.pdf")</f>
        <v>Melting_Curves/meltCurve_E7EQE7_CORIN.pdf</v>
      </c>
    </row>
    <row r="475" spans="1:28" x14ac:dyDescent="0.25">
      <c r="A475" t="s">
        <v>479</v>
      </c>
      <c r="B475">
        <v>0.99542014353169495</v>
      </c>
      <c r="C475">
        <v>0.89382803753765205</v>
      </c>
      <c r="D475">
        <v>0.84794565227470198</v>
      </c>
      <c r="E475">
        <v>0.61010441152718198</v>
      </c>
      <c r="F475">
        <v>0.327631303011575</v>
      </c>
      <c r="G475">
        <v>0.15889962258753901</v>
      </c>
      <c r="H475">
        <v>8.8472069162216199E-2</v>
      </c>
      <c r="I475">
        <v>5.7718985752164102E-2</v>
      </c>
      <c r="J475">
        <v>6.63812625978219E-2</v>
      </c>
      <c r="K475">
        <v>6.1561123393143999E-2</v>
      </c>
      <c r="L475">
        <v>732.44937560621395</v>
      </c>
      <c r="M475">
        <v>15.411837284134601</v>
      </c>
      <c r="N475">
        <v>47.756769210079398</v>
      </c>
      <c r="O475">
        <v>46.746547878548903</v>
      </c>
      <c r="P475">
        <v>-7.9461056848613099E-2</v>
      </c>
      <c r="Q475">
        <v>3.60157907407226E-2</v>
      </c>
      <c r="R475">
        <v>0.99656377297463805</v>
      </c>
      <c r="S475" t="s">
        <v>6877</v>
      </c>
      <c r="T475" t="s">
        <v>12802</v>
      </c>
      <c r="U475" t="s">
        <v>12802</v>
      </c>
      <c r="V475" t="s">
        <v>12802</v>
      </c>
      <c r="W475" t="s">
        <v>13273</v>
      </c>
      <c r="X475">
        <v>12</v>
      </c>
      <c r="Y475" t="s">
        <v>19596</v>
      </c>
      <c r="Z475" t="s">
        <v>25793</v>
      </c>
      <c r="AA475">
        <v>0.39467931002916717</v>
      </c>
      <c r="AB475" t="str">
        <f>HYPERLINK("Melting_Curves/meltCurve_E7EQI7_KIAA0196.pdf", "Melting_Curves/meltCurve_E7EQI7_KIAA0196.pdf")</f>
        <v>Melting_Curves/meltCurve_E7EQI7_KIAA0196.pdf</v>
      </c>
    </row>
    <row r="476" spans="1:28" x14ac:dyDescent="0.25">
      <c r="A476" t="s">
        <v>480</v>
      </c>
      <c r="B476">
        <v>0.99542014353169495</v>
      </c>
      <c r="C476">
        <v>1.0028816759878001</v>
      </c>
      <c r="D476">
        <v>0.91319867512184905</v>
      </c>
      <c r="E476">
        <v>0.63541170298461103</v>
      </c>
      <c r="F476">
        <v>0.52562160911357703</v>
      </c>
      <c r="G476">
        <v>0.30507856354057</v>
      </c>
      <c r="H476">
        <v>0.19528567999914101</v>
      </c>
      <c r="I476">
        <v>0.12785561366038001</v>
      </c>
      <c r="J476">
        <v>9.3677393188406594E-2</v>
      </c>
      <c r="K476">
        <v>8.2169521239239499E-2</v>
      </c>
      <c r="L476">
        <v>628.95801905645703</v>
      </c>
      <c r="M476">
        <v>12.6885792763642</v>
      </c>
      <c r="N476">
        <v>49.9748207379184</v>
      </c>
      <c r="O476">
        <v>48.385992372693401</v>
      </c>
      <c r="P476">
        <v>-6.2360636633262898E-2</v>
      </c>
      <c r="Q476">
        <v>4.8973051200350899E-2</v>
      </c>
      <c r="R476">
        <v>0.99240982084949703</v>
      </c>
      <c r="S476" t="s">
        <v>6878</v>
      </c>
      <c r="T476" t="s">
        <v>12802</v>
      </c>
      <c r="U476" t="s">
        <v>12802</v>
      </c>
      <c r="V476" t="s">
        <v>12802</v>
      </c>
      <c r="W476" t="s">
        <v>13274</v>
      </c>
      <c r="X476">
        <v>7</v>
      </c>
      <c r="Y476" t="s">
        <v>19597</v>
      </c>
      <c r="Z476" t="s">
        <v>25794</v>
      </c>
      <c r="AA476">
        <v>0.47289477154988763</v>
      </c>
      <c r="AB476" t="str">
        <f>HYPERLINK("Melting_Curves/meltCurve_E7EQJ0_HNRNPH1.pdf", "Melting_Curves/meltCurve_E7EQJ0_HNRNPH1.pdf")</f>
        <v>Melting_Curves/meltCurve_E7EQJ0_HNRNPH1.pdf</v>
      </c>
    </row>
    <row r="477" spans="1:28" x14ac:dyDescent="0.25">
      <c r="A477" t="s">
        <v>481</v>
      </c>
      <c r="B477">
        <v>0.99542014353169495</v>
      </c>
      <c r="C477">
        <v>1.0209980792050599</v>
      </c>
      <c r="D477">
        <v>0.974819404501859</v>
      </c>
      <c r="E477">
        <v>0.74415460182563398</v>
      </c>
      <c r="F477">
        <v>0.57125048630833197</v>
      </c>
      <c r="G477">
        <v>0.28966021332247499</v>
      </c>
      <c r="H477">
        <v>0.12611498606559801</v>
      </c>
      <c r="I477">
        <v>8.7307631933583901E-2</v>
      </c>
      <c r="J477">
        <v>7.0668335486293699E-2</v>
      </c>
      <c r="K477">
        <v>8.5681728125823406E-2</v>
      </c>
      <c r="L477">
        <v>834.113611209444</v>
      </c>
      <c r="M477">
        <v>16.580233745806002</v>
      </c>
      <c r="N477">
        <v>50.602848380122801</v>
      </c>
      <c r="O477">
        <v>49.592976158399502</v>
      </c>
      <c r="P477">
        <v>-7.9735265964212196E-2</v>
      </c>
      <c r="Q477">
        <v>4.6083495167274099E-2</v>
      </c>
      <c r="R477">
        <v>0.99472076191565195</v>
      </c>
      <c r="S477" t="s">
        <v>6879</v>
      </c>
      <c r="T477" t="s">
        <v>12802</v>
      </c>
      <c r="U477" t="s">
        <v>12802</v>
      </c>
      <c r="V477" t="s">
        <v>12802</v>
      </c>
      <c r="W477" t="s">
        <v>13275</v>
      </c>
      <c r="X477">
        <v>8</v>
      </c>
      <c r="Y477" t="s">
        <v>19598</v>
      </c>
      <c r="Z477" t="s">
        <v>25795</v>
      </c>
      <c r="AA477">
        <v>0.48626707756997661</v>
      </c>
      <c r="AB477" t="str">
        <f>HYPERLINK("Melting_Curves/meltCurve_E7EQN6_SENP6.pdf", "Melting_Curves/meltCurve_E7EQN6_SENP6.pdf")</f>
        <v>Melting_Curves/meltCurve_E7EQN6_SENP6.pdf</v>
      </c>
    </row>
    <row r="478" spans="1:28" x14ac:dyDescent="0.25">
      <c r="A478" t="s">
        <v>482</v>
      </c>
      <c r="B478">
        <v>0.99542014353169495</v>
      </c>
      <c r="C478">
        <v>0.96264007381989403</v>
      </c>
      <c r="D478">
        <v>0.98182259365323099</v>
      </c>
      <c r="E478">
        <v>0.88089647788391001</v>
      </c>
      <c r="F478">
        <v>0.77995478048584399</v>
      </c>
      <c r="G478">
        <v>0.57096130813994095</v>
      </c>
      <c r="H478">
        <v>0.41838150158126303</v>
      </c>
      <c r="I478">
        <v>0.34017324711427399</v>
      </c>
      <c r="J478">
        <v>0.39959043149217099</v>
      </c>
      <c r="K478">
        <v>0.33801744935251599</v>
      </c>
      <c r="L478">
        <v>874.80839731468598</v>
      </c>
      <c r="M478">
        <v>16.868627406415801</v>
      </c>
      <c r="N478">
        <v>55.346374381050097</v>
      </c>
      <c r="O478">
        <v>51.147694335070298</v>
      </c>
      <c r="P478">
        <v>-5.5475008814388903E-2</v>
      </c>
      <c r="Q478">
        <v>0.32721532291060901</v>
      </c>
      <c r="R478">
        <v>0.99057150280949802</v>
      </c>
      <c r="S478" t="s">
        <v>6880</v>
      </c>
      <c r="T478" t="s">
        <v>12802</v>
      </c>
      <c r="U478" t="s">
        <v>12802</v>
      </c>
      <c r="V478" t="s">
        <v>12802</v>
      </c>
      <c r="W478" t="s">
        <v>13276</v>
      </c>
      <c r="X478">
        <v>5</v>
      </c>
      <c r="Y478" t="s">
        <v>19599</v>
      </c>
      <c r="Z478" t="s">
        <v>25796</v>
      </c>
      <c r="AA478">
        <v>0.67165731914863713</v>
      </c>
      <c r="AB478" t="str">
        <f>HYPERLINK("Melting_Curves/meltCurve_E7EQR8_YIPF3.pdf", "Melting_Curves/meltCurve_E7EQR8_YIPF3.pdf")</f>
        <v>Melting_Curves/meltCurve_E7EQR8_YIPF3.pdf</v>
      </c>
    </row>
    <row r="479" spans="1:28" x14ac:dyDescent="0.25">
      <c r="A479" t="s">
        <v>483</v>
      </c>
      <c r="B479">
        <v>0.99542014353169495</v>
      </c>
      <c r="C479">
        <v>0.93209591585949003</v>
      </c>
      <c r="D479">
        <v>0.93939404787103797</v>
      </c>
      <c r="E479">
        <v>0.75826348422933698</v>
      </c>
      <c r="F479">
        <v>0.42866582819710197</v>
      </c>
      <c r="G479">
        <v>0.19499094833045799</v>
      </c>
      <c r="H479">
        <v>0.127872672428647</v>
      </c>
      <c r="I479">
        <v>9.8849932480576802E-2</v>
      </c>
      <c r="J479">
        <v>0.11112388631974</v>
      </c>
      <c r="K479">
        <v>8.7957517048707301E-2</v>
      </c>
      <c r="L479">
        <v>990.42396903663996</v>
      </c>
      <c r="M479">
        <v>20.270878488956399</v>
      </c>
      <c r="N479">
        <v>49.324560639839603</v>
      </c>
      <c r="O479">
        <v>48.391401236605198</v>
      </c>
      <c r="P479">
        <v>-9.5616410645437994E-2</v>
      </c>
      <c r="Q479">
        <v>8.6991854462624002E-2</v>
      </c>
      <c r="R479">
        <v>0.99709294837006401</v>
      </c>
      <c r="S479" t="s">
        <v>6881</v>
      </c>
      <c r="T479" t="s">
        <v>12802</v>
      </c>
      <c r="U479" t="s">
        <v>12802</v>
      </c>
      <c r="V479" t="s">
        <v>12802</v>
      </c>
      <c r="W479" t="s">
        <v>13277</v>
      </c>
      <c r="X479">
        <v>10</v>
      </c>
      <c r="Y479" t="s">
        <v>19600</v>
      </c>
      <c r="Z479" t="s">
        <v>25797</v>
      </c>
      <c r="AA479">
        <v>0.45964956053957429</v>
      </c>
      <c r="AB479" t="str">
        <f>HYPERLINK("Melting_Curves/meltCurve_E7EQS5_DMD.pdf", "Melting_Curves/meltCurve_E7EQS5_DMD.pdf")</f>
        <v>Melting_Curves/meltCurve_E7EQS5_DMD.pdf</v>
      </c>
    </row>
    <row r="480" spans="1:28" x14ac:dyDescent="0.25">
      <c r="A480" t="s">
        <v>484</v>
      </c>
      <c r="B480">
        <v>0.99542014353169495</v>
      </c>
      <c r="C480">
        <v>0.990214139534624</v>
      </c>
      <c r="D480">
        <v>0.99233486189287101</v>
      </c>
      <c r="E480">
        <v>0.45513725587481002</v>
      </c>
      <c r="F480">
        <v>0.27831066375374602</v>
      </c>
      <c r="G480">
        <v>0</v>
      </c>
      <c r="H480">
        <v>0</v>
      </c>
      <c r="I480">
        <v>0.20215530951904201</v>
      </c>
      <c r="J480">
        <v>0</v>
      </c>
      <c r="K480">
        <v>0</v>
      </c>
      <c r="L480">
        <v>1250.8455654708901</v>
      </c>
      <c r="M480">
        <v>26.840241290914101</v>
      </c>
      <c r="N480">
        <v>46.778204415669698</v>
      </c>
      <c r="O480">
        <v>46.346970343559597</v>
      </c>
      <c r="P480">
        <v>-0.13787063788273399</v>
      </c>
      <c r="Q480">
        <v>4.7725171474545698E-2</v>
      </c>
      <c r="R480">
        <v>0.96578619129947596</v>
      </c>
      <c r="S480" t="s">
        <v>6882</v>
      </c>
      <c r="T480" t="s">
        <v>12802</v>
      </c>
      <c r="U480" t="s">
        <v>12802</v>
      </c>
      <c r="V480" t="s">
        <v>12802</v>
      </c>
      <c r="W480" t="s">
        <v>13278</v>
      </c>
      <c r="X480">
        <v>1</v>
      </c>
      <c r="Y480" t="s">
        <v>19601</v>
      </c>
      <c r="Z480" t="s">
        <v>25798</v>
      </c>
      <c r="AA480">
        <v>0.35944581945693121</v>
      </c>
      <c r="AB480" t="str">
        <f>HYPERLINK("Melting_Curves/meltCurve_E7EQS8_TET2.pdf", "Melting_Curves/meltCurve_E7EQS8_TET2.pdf")</f>
        <v>Melting_Curves/meltCurve_E7EQS8_TET2.pdf</v>
      </c>
    </row>
    <row r="481" spans="1:28" x14ac:dyDescent="0.25">
      <c r="A481" t="s">
        <v>485</v>
      </c>
      <c r="B481">
        <v>0.99542014353169495</v>
      </c>
      <c r="C481">
        <v>1.1252684882717501</v>
      </c>
      <c r="D481">
        <v>1.06270459101878</v>
      </c>
      <c r="E481">
        <v>0.984730890378818</v>
      </c>
      <c r="F481">
        <v>0.62810788805791495</v>
      </c>
      <c r="G481">
        <v>0.26343881901039801</v>
      </c>
      <c r="H481">
        <v>0.18031391807194599</v>
      </c>
      <c r="I481">
        <v>0.15011683730894801</v>
      </c>
      <c r="J481">
        <v>0.20633154761163799</v>
      </c>
      <c r="K481">
        <v>0.270094077862153</v>
      </c>
      <c r="L481">
        <v>2174.38885522181</v>
      </c>
      <c r="M481">
        <v>43.164882316279297</v>
      </c>
      <c r="N481">
        <v>50.990139182181601</v>
      </c>
      <c r="O481">
        <v>50.266265565593102</v>
      </c>
      <c r="P481">
        <v>-0.171057628100241</v>
      </c>
      <c r="Q481">
        <v>0.20320273895285701</v>
      </c>
      <c r="R481">
        <v>0.98191922354439998</v>
      </c>
      <c r="S481" t="s">
        <v>6883</v>
      </c>
      <c r="T481" t="s">
        <v>12802</v>
      </c>
      <c r="U481" t="s">
        <v>12802</v>
      </c>
      <c r="V481" t="s">
        <v>12802</v>
      </c>
      <c r="W481" t="s">
        <v>13279</v>
      </c>
      <c r="X481">
        <v>33</v>
      </c>
      <c r="Y481" t="s">
        <v>19602</v>
      </c>
      <c r="Z481" t="s">
        <v>25799</v>
      </c>
      <c r="AA481">
        <v>0.56079452238206662</v>
      </c>
      <c r="AB481" t="str">
        <f>HYPERLINK("Melting_Curves/meltCurve_E7EQT4_ACIN1.pdf", "Melting_Curves/meltCurve_E7EQT4_ACIN1.pdf")</f>
        <v>Melting_Curves/meltCurve_E7EQT4_ACIN1.pdf</v>
      </c>
    </row>
    <row r="482" spans="1:28" x14ac:dyDescent="0.25">
      <c r="A482" t="s">
        <v>486</v>
      </c>
      <c r="B482">
        <v>0.99542014353169495</v>
      </c>
      <c r="C482">
        <v>1.0730206550248</v>
      </c>
      <c r="D482">
        <v>1.0052717277440499</v>
      </c>
      <c r="E482">
        <v>0.79669787633356404</v>
      </c>
      <c r="F482">
        <v>0.85316323759350499</v>
      </c>
      <c r="G482">
        <v>0.56758625799776397</v>
      </c>
      <c r="H482">
        <v>0.49050927651763498</v>
      </c>
      <c r="I482">
        <v>0.298179355220964</v>
      </c>
      <c r="J482">
        <v>0.478683721255873</v>
      </c>
      <c r="K482">
        <v>1.1803875233241301</v>
      </c>
      <c r="L482">
        <v>1131.96349450258</v>
      </c>
      <c r="M482">
        <v>23.447564375817802</v>
      </c>
      <c r="O482">
        <v>47.929342942881703</v>
      </c>
      <c r="P482">
        <v>-4.7721208731916903E-2</v>
      </c>
      <c r="Q482">
        <v>0.60981763818222801</v>
      </c>
      <c r="R482">
        <v>0.382511804925869</v>
      </c>
      <c r="S482" t="s">
        <v>6884</v>
      </c>
      <c r="T482" t="s">
        <v>12802</v>
      </c>
      <c r="U482" t="s">
        <v>12802</v>
      </c>
      <c r="V482" t="s">
        <v>12802</v>
      </c>
      <c r="W482" t="s">
        <v>13280</v>
      </c>
      <c r="X482">
        <v>2</v>
      </c>
      <c r="Y482" t="s">
        <v>19603</v>
      </c>
      <c r="Z482" t="s">
        <v>25800</v>
      </c>
      <c r="AA482">
        <v>0.76026410174004111</v>
      </c>
      <c r="AB482" t="str">
        <f>HYPERLINK("Melting_Curves/meltCurve_E7EQV9_RPL15.pdf", "Melting_Curves/meltCurve_E7EQV9_RPL15.pdf")</f>
        <v>Melting_Curves/meltCurve_E7EQV9_RPL15.pdf</v>
      </c>
    </row>
    <row r="483" spans="1:28" x14ac:dyDescent="0.25">
      <c r="A483" t="s">
        <v>487</v>
      </c>
      <c r="B483">
        <v>0.99542014353169495</v>
      </c>
      <c r="C483">
        <v>0.92026453049578605</v>
      </c>
      <c r="D483">
        <v>0.82637343247022599</v>
      </c>
      <c r="E483">
        <v>0.70535326831005896</v>
      </c>
      <c r="F483">
        <v>0.422913733108634</v>
      </c>
      <c r="G483">
        <v>0.218044102261849</v>
      </c>
      <c r="H483">
        <v>8.9332959961607006E-2</v>
      </c>
      <c r="I483">
        <v>6.3586975064448104E-2</v>
      </c>
      <c r="J483">
        <v>5.5642929952231003E-2</v>
      </c>
      <c r="K483">
        <v>4.3614794538110603E-2</v>
      </c>
      <c r="L483">
        <v>658.32502920822697</v>
      </c>
      <c r="M483">
        <v>13.4505104462001</v>
      </c>
      <c r="N483">
        <v>48.952718043527</v>
      </c>
      <c r="O483">
        <v>47.900356439520898</v>
      </c>
      <c r="P483">
        <v>-7.0129657412843702E-2</v>
      </c>
      <c r="Q483">
        <v>1.16326752523372E-3</v>
      </c>
      <c r="R483">
        <v>0.99543451601476496</v>
      </c>
      <c r="S483" t="s">
        <v>6885</v>
      </c>
      <c r="T483" t="s">
        <v>12802</v>
      </c>
      <c r="U483" t="s">
        <v>12802</v>
      </c>
      <c r="V483" t="s">
        <v>12802</v>
      </c>
      <c r="W483" t="s">
        <v>13281</v>
      </c>
      <c r="X483">
        <v>6</v>
      </c>
      <c r="Y483" t="s">
        <v>19604</v>
      </c>
      <c r="Z483" t="s">
        <v>25801</v>
      </c>
      <c r="AA483">
        <v>0.42423271494489162</v>
      </c>
      <c r="AB483" t="str">
        <f>HYPERLINK("Melting_Curves/meltCurve_E7ER68_FAM91A1.pdf", "Melting_Curves/meltCurve_E7ER68_FAM91A1.pdf")</f>
        <v>Melting_Curves/meltCurve_E7ER68_FAM91A1.pdf</v>
      </c>
    </row>
    <row r="484" spans="1:28" x14ac:dyDescent="0.25">
      <c r="A484" t="s">
        <v>488</v>
      </c>
      <c r="B484">
        <v>0.99542014353169495</v>
      </c>
      <c r="C484">
        <v>0.96079258823757296</v>
      </c>
      <c r="D484">
        <v>1.0497985059350801</v>
      </c>
      <c r="E484">
        <v>0.75135013002017903</v>
      </c>
      <c r="F484">
        <v>0.68597806458315502</v>
      </c>
      <c r="G484">
        <v>0.32180625928044798</v>
      </c>
      <c r="H484">
        <v>0.294906434899326</v>
      </c>
      <c r="I484">
        <v>0.226850560487319</v>
      </c>
      <c r="J484">
        <v>0.30635237772414697</v>
      </c>
      <c r="K484">
        <v>0.32477284594146599</v>
      </c>
      <c r="L484">
        <v>1028.6603882602899</v>
      </c>
      <c r="M484">
        <v>20.732202561293299</v>
      </c>
      <c r="N484">
        <v>51.514934762552699</v>
      </c>
      <c r="O484">
        <v>49.161849387927099</v>
      </c>
      <c r="P484">
        <v>-7.7270438799327698E-2</v>
      </c>
      <c r="Q484">
        <v>0.26710143141454401</v>
      </c>
      <c r="R484">
        <v>0.96178992415387599</v>
      </c>
      <c r="S484" t="s">
        <v>6886</v>
      </c>
      <c r="T484" t="s">
        <v>12802</v>
      </c>
      <c r="U484" t="s">
        <v>12802</v>
      </c>
      <c r="V484" t="s">
        <v>12802</v>
      </c>
      <c r="W484" t="s">
        <v>13282</v>
      </c>
      <c r="X484">
        <v>7</v>
      </c>
      <c r="Y484" t="s">
        <v>19605</v>
      </c>
      <c r="Z484" t="s">
        <v>25802</v>
      </c>
      <c r="AA484">
        <v>0.58437809127791529</v>
      </c>
      <c r="AB484" t="str">
        <f>HYPERLINK("Melting_Curves/meltCurve_E7ER77_ERMP1.pdf", "Melting_Curves/meltCurve_E7ER77_ERMP1.pdf")</f>
        <v>Melting_Curves/meltCurve_E7ER77_ERMP1.pdf</v>
      </c>
    </row>
    <row r="485" spans="1:28" x14ac:dyDescent="0.25">
      <c r="A485" t="s">
        <v>489</v>
      </c>
      <c r="B485">
        <v>0.99542014353169495</v>
      </c>
      <c r="C485">
        <v>1.10474661392881</v>
      </c>
      <c r="D485">
        <v>1.0750498764574199</v>
      </c>
      <c r="E485">
        <v>0.54359733183277403</v>
      </c>
      <c r="F485">
        <v>7.2972673154032205E-2</v>
      </c>
      <c r="G485">
        <v>3.37706122129105E-2</v>
      </c>
      <c r="H485">
        <v>0</v>
      </c>
      <c r="I485">
        <v>0</v>
      </c>
      <c r="J485">
        <v>0</v>
      </c>
      <c r="K485">
        <v>0</v>
      </c>
      <c r="L485">
        <v>2536.79932311525</v>
      </c>
      <c r="M485">
        <v>54.261574919397901</v>
      </c>
      <c r="N485">
        <v>46.774505258311002</v>
      </c>
      <c r="O485">
        <v>46.687932663243203</v>
      </c>
      <c r="P485">
        <v>-0.28669660085918403</v>
      </c>
      <c r="Q485">
        <v>1.32786726165469E-2</v>
      </c>
      <c r="R485">
        <v>0.99071532395304496</v>
      </c>
      <c r="S485" t="s">
        <v>6887</v>
      </c>
      <c r="T485" t="s">
        <v>12802</v>
      </c>
      <c r="U485" t="s">
        <v>12802</v>
      </c>
      <c r="V485" t="s">
        <v>12802</v>
      </c>
      <c r="W485" t="s">
        <v>13283</v>
      </c>
      <c r="X485">
        <v>4</v>
      </c>
      <c r="Y485" t="s">
        <v>19606</v>
      </c>
      <c r="Z485" t="s">
        <v>25803</v>
      </c>
      <c r="AA485">
        <v>0.33573226097880349</v>
      </c>
      <c r="AB485" t="str">
        <f>HYPERLINK("Melting_Curves/meltCurve_E7ERB7_GMIP.pdf", "Melting_Curves/meltCurve_E7ERB7_GMIP.pdf")</f>
        <v>Melting_Curves/meltCurve_E7ERB7_GMIP.pdf</v>
      </c>
    </row>
    <row r="486" spans="1:28" x14ac:dyDescent="0.25">
      <c r="A486" t="s">
        <v>490</v>
      </c>
      <c r="B486">
        <v>0.99542014353169495</v>
      </c>
      <c r="C486">
        <v>0.90549401394573303</v>
      </c>
      <c r="D486">
        <v>1.04736297991765</v>
      </c>
      <c r="E486">
        <v>0.74328909876024796</v>
      </c>
      <c r="F486">
        <v>0.59061421654151103</v>
      </c>
      <c r="G486">
        <v>0.31566758436089198</v>
      </c>
      <c r="H486">
        <v>0.16373499739873701</v>
      </c>
      <c r="I486">
        <v>7.2511960708476306E-2</v>
      </c>
      <c r="J486">
        <v>6.6795561699584005E-2</v>
      </c>
      <c r="K486">
        <v>8.2764056443782805E-2</v>
      </c>
      <c r="L486">
        <v>803.77529069973298</v>
      </c>
      <c r="M486">
        <v>15.8435470060175</v>
      </c>
      <c r="N486">
        <v>50.975543579182499</v>
      </c>
      <c r="O486">
        <v>49.944420695387002</v>
      </c>
      <c r="P486">
        <v>-7.6421778271683102E-2</v>
      </c>
      <c r="Q486">
        <v>3.64450511378413E-2</v>
      </c>
      <c r="R486">
        <v>0.98392196782319397</v>
      </c>
      <c r="S486" t="s">
        <v>6888</v>
      </c>
      <c r="T486" t="s">
        <v>12802</v>
      </c>
      <c r="U486" t="s">
        <v>12802</v>
      </c>
      <c r="V486" t="s">
        <v>12802</v>
      </c>
      <c r="W486" t="s">
        <v>13284</v>
      </c>
      <c r="X486">
        <v>9</v>
      </c>
      <c r="Y486" t="s">
        <v>19607</v>
      </c>
      <c r="Z486" t="s">
        <v>25804</v>
      </c>
      <c r="AA486">
        <v>0.49568271841987782</v>
      </c>
      <c r="AB486" t="str">
        <f>HYPERLINK("Melting_Curves/meltCurve_E7ERC6_ATP2C1.pdf", "Melting_Curves/meltCurve_E7ERC6_ATP2C1.pdf")</f>
        <v>Melting_Curves/meltCurve_E7ERC6_ATP2C1.pdf</v>
      </c>
    </row>
    <row r="487" spans="1:28" x14ac:dyDescent="0.25">
      <c r="A487" t="s">
        <v>491</v>
      </c>
      <c r="B487">
        <v>0.99542014353169495</v>
      </c>
      <c r="C487">
        <v>0.88006866008489404</v>
      </c>
      <c r="D487">
        <v>0.65843702301080498</v>
      </c>
      <c r="E487">
        <v>0.50044290297626703</v>
      </c>
      <c r="F487">
        <v>0.49635879145892697</v>
      </c>
      <c r="G487">
        <v>0.26646314346536898</v>
      </c>
      <c r="H487">
        <v>0.193669684197672</v>
      </c>
      <c r="I487">
        <v>9.6556567527753406E-2</v>
      </c>
      <c r="J487">
        <v>0.18207147705436</v>
      </c>
      <c r="K487">
        <v>0.31710621853763399</v>
      </c>
      <c r="L487">
        <v>531.36106036451395</v>
      </c>
      <c r="M487">
        <v>11.7049125700463</v>
      </c>
      <c r="N487">
        <v>47.102532170582002</v>
      </c>
      <c r="O487">
        <v>44.132102195590797</v>
      </c>
      <c r="P487">
        <v>-5.4864467265138397E-2</v>
      </c>
      <c r="Q487">
        <v>0.1727775238607</v>
      </c>
      <c r="R487">
        <v>0.93704663837383295</v>
      </c>
      <c r="S487" t="s">
        <v>6889</v>
      </c>
      <c r="T487" t="s">
        <v>12802</v>
      </c>
      <c r="U487" t="s">
        <v>12802</v>
      </c>
      <c r="V487" t="s">
        <v>12802</v>
      </c>
      <c r="W487" t="s">
        <v>13285</v>
      </c>
      <c r="X487">
        <v>4</v>
      </c>
      <c r="Y487" t="s">
        <v>19608</v>
      </c>
      <c r="Z487" t="s">
        <v>25805</v>
      </c>
      <c r="AA487">
        <v>0.43505131127194541</v>
      </c>
      <c r="AB487" t="str">
        <f>HYPERLINK("Melting_Curves/meltCurve_E7ERL6_MAST2.pdf", "Melting_Curves/meltCurve_E7ERL6_MAST2.pdf")</f>
        <v>Melting_Curves/meltCurve_E7ERL6_MAST2.pdf</v>
      </c>
    </row>
    <row r="488" spans="1:28" x14ac:dyDescent="0.25">
      <c r="A488" t="s">
        <v>492</v>
      </c>
      <c r="B488">
        <v>0.99542014353169495</v>
      </c>
      <c r="C488">
        <v>0.88878259406234705</v>
      </c>
      <c r="D488">
        <v>0.865336322026241</v>
      </c>
      <c r="E488">
        <v>0.67647516632239002</v>
      </c>
      <c r="F488">
        <v>0.62624966588578601</v>
      </c>
      <c r="G488">
        <v>0.36943099993442902</v>
      </c>
      <c r="H488">
        <v>0.23873152886454099</v>
      </c>
      <c r="I488">
        <v>0.18899602022112599</v>
      </c>
      <c r="J488">
        <v>0.28411256744701202</v>
      </c>
      <c r="K488">
        <v>0.43492529736927199</v>
      </c>
      <c r="L488">
        <v>647.30918058544398</v>
      </c>
      <c r="M488">
        <v>13.513010664868199</v>
      </c>
      <c r="N488">
        <v>50.662148820729101</v>
      </c>
      <c r="O488">
        <v>46.890092501193898</v>
      </c>
      <c r="P488">
        <v>-5.3286642727585598E-2</v>
      </c>
      <c r="Q488">
        <v>0.26049461974705101</v>
      </c>
      <c r="R488">
        <v>0.91881938987286604</v>
      </c>
      <c r="S488" t="s">
        <v>6890</v>
      </c>
      <c r="T488" t="s">
        <v>12802</v>
      </c>
      <c r="U488" t="s">
        <v>12802</v>
      </c>
      <c r="V488" t="s">
        <v>12802</v>
      </c>
      <c r="W488" t="s">
        <v>13286</v>
      </c>
      <c r="X488">
        <v>17</v>
      </c>
      <c r="Y488" t="s">
        <v>19609</v>
      </c>
      <c r="Z488" t="s">
        <v>25806</v>
      </c>
      <c r="AA488">
        <v>0.54862955296415417</v>
      </c>
      <c r="AB488" t="str">
        <f>HYPERLINK("Melting_Curves/meltCurve_E7ERS3_ZC3H18.pdf", "Melting_Curves/meltCurve_E7ERS3_ZC3H18.pdf")</f>
        <v>Melting_Curves/meltCurve_E7ERS3_ZC3H18.pdf</v>
      </c>
    </row>
    <row r="489" spans="1:28" x14ac:dyDescent="0.25">
      <c r="A489" t="s">
        <v>493</v>
      </c>
      <c r="B489">
        <v>0.99542014353169495</v>
      </c>
      <c r="C489">
        <v>0.93926192472933001</v>
      </c>
      <c r="D489">
        <v>0.97191799765908005</v>
      </c>
      <c r="E489">
        <v>0.71504793358037499</v>
      </c>
      <c r="F489">
        <v>0.50122639729763996</v>
      </c>
      <c r="G489">
        <v>0.2449971416025</v>
      </c>
      <c r="H489">
        <v>0.238757536885295</v>
      </c>
      <c r="I489">
        <v>0.25609885825585199</v>
      </c>
      <c r="J489">
        <v>0.16355441332364501</v>
      </c>
      <c r="K489">
        <v>0.44160190252728998</v>
      </c>
      <c r="L489">
        <v>1127.8795246987399</v>
      </c>
      <c r="M489">
        <v>23.5824170266295</v>
      </c>
      <c r="N489">
        <v>49.386800504132303</v>
      </c>
      <c r="O489">
        <v>47.487222377637202</v>
      </c>
      <c r="P489">
        <v>-9.1554126584064893E-2</v>
      </c>
      <c r="Q489">
        <v>0.26257329364670701</v>
      </c>
      <c r="R489">
        <v>0.94435674442448903</v>
      </c>
      <c r="S489" t="s">
        <v>6891</v>
      </c>
      <c r="T489" t="s">
        <v>12802</v>
      </c>
      <c r="U489" t="s">
        <v>12802</v>
      </c>
      <c r="V489" t="s">
        <v>12802</v>
      </c>
      <c r="W489" t="s">
        <v>13287</v>
      </c>
      <c r="X489">
        <v>2</v>
      </c>
      <c r="Y489" t="s">
        <v>19610</v>
      </c>
      <c r="Z489" t="s">
        <v>25807</v>
      </c>
      <c r="AA489">
        <v>0.53574896657921933</v>
      </c>
      <c r="AB489" t="str">
        <f>HYPERLINK("Melting_Curves/meltCurve_E7ERW0_VGLL4.pdf", "Melting_Curves/meltCurve_E7ERW0_VGLL4.pdf")</f>
        <v>Melting_Curves/meltCurve_E7ERW0_VGLL4.pdf</v>
      </c>
    </row>
    <row r="490" spans="1:28" x14ac:dyDescent="0.25">
      <c r="A490" t="s">
        <v>494</v>
      </c>
      <c r="B490">
        <v>0.99542014353169495</v>
      </c>
      <c r="C490">
        <v>0.94922384986544195</v>
      </c>
      <c r="D490">
        <v>0.86939780517800802</v>
      </c>
      <c r="E490">
        <v>0.80244579668916804</v>
      </c>
      <c r="F490">
        <v>0.48747136715254602</v>
      </c>
      <c r="G490">
        <v>0.17288208650911399</v>
      </c>
      <c r="H490">
        <v>7.8369264597578994E-2</v>
      </c>
      <c r="I490">
        <v>5.5136459442913802E-2</v>
      </c>
      <c r="J490">
        <v>6.3279109651190199E-2</v>
      </c>
      <c r="K490">
        <v>6.6022943994511196E-2</v>
      </c>
      <c r="L490">
        <v>956.68031330621204</v>
      </c>
      <c r="M490">
        <v>19.3031936547595</v>
      </c>
      <c r="N490">
        <v>49.752132642513899</v>
      </c>
      <c r="O490">
        <v>49.0380295258419</v>
      </c>
      <c r="P490">
        <v>-9.4891183526533293E-2</v>
      </c>
      <c r="Q490">
        <v>3.5786178852332401E-2</v>
      </c>
      <c r="R490">
        <v>0.991803321037945</v>
      </c>
      <c r="S490" t="s">
        <v>6892</v>
      </c>
      <c r="T490" t="s">
        <v>12802</v>
      </c>
      <c r="U490" t="s">
        <v>12802</v>
      </c>
      <c r="V490" t="s">
        <v>12802</v>
      </c>
      <c r="W490" t="s">
        <v>13288</v>
      </c>
      <c r="X490">
        <v>57</v>
      </c>
      <c r="Y490" t="s">
        <v>19611</v>
      </c>
      <c r="Z490" t="s">
        <v>25808</v>
      </c>
      <c r="AA490">
        <v>0.4530232796762898</v>
      </c>
      <c r="AB490" t="str">
        <f>HYPERLINK("Melting_Curves/meltCurve_E7ES43_HSPA4L.pdf", "Melting_Curves/meltCurve_E7ES43_HSPA4L.pdf")</f>
        <v>Melting_Curves/meltCurve_E7ES43_HSPA4L.pdf</v>
      </c>
    </row>
    <row r="491" spans="1:28" x14ac:dyDescent="0.25">
      <c r="A491" t="s">
        <v>495</v>
      </c>
      <c r="B491">
        <v>0.99542014353169495</v>
      </c>
      <c r="C491">
        <v>0.98824778720961404</v>
      </c>
      <c r="D491">
        <v>0.994504757741558</v>
      </c>
      <c r="E491">
        <v>0.89827464694283099</v>
      </c>
      <c r="F491">
        <v>0.80235190242929899</v>
      </c>
      <c r="G491">
        <v>0.61316181728152297</v>
      </c>
      <c r="H491">
        <v>0.472544154069928</v>
      </c>
      <c r="I491">
        <v>0.34169913591030998</v>
      </c>
      <c r="J491">
        <v>0.50148786220004904</v>
      </c>
      <c r="K491">
        <v>0.55867410884735402</v>
      </c>
      <c r="L491">
        <v>1160.02109110522</v>
      </c>
      <c r="M491">
        <v>22.699131753963599</v>
      </c>
      <c r="N491">
        <v>57.435413824483497</v>
      </c>
      <c r="O491">
        <v>50.712530457885798</v>
      </c>
      <c r="P491">
        <v>-6.0534459116422398E-2</v>
      </c>
      <c r="Q491">
        <v>0.45904625895578999</v>
      </c>
      <c r="R491">
        <v>0.94211160385316695</v>
      </c>
      <c r="S491" t="s">
        <v>6893</v>
      </c>
      <c r="T491" t="s">
        <v>12802</v>
      </c>
      <c r="U491" t="s">
        <v>12802</v>
      </c>
      <c r="V491" t="s">
        <v>12802</v>
      </c>
      <c r="W491" t="s">
        <v>13289</v>
      </c>
      <c r="X491">
        <v>1</v>
      </c>
      <c r="Y491" t="s">
        <v>19612</v>
      </c>
      <c r="Z491" t="s">
        <v>25809</v>
      </c>
      <c r="AA491">
        <v>0.71906172640432053</v>
      </c>
      <c r="AB491" t="str">
        <f>HYPERLINK("Melting_Curves/meltCurve_E7ES96_PSEN1.pdf", "Melting_Curves/meltCurve_E7ES96_PSEN1.pdf")</f>
        <v>Melting_Curves/meltCurve_E7ES96_PSEN1.pdf</v>
      </c>
    </row>
    <row r="492" spans="1:28" x14ac:dyDescent="0.25">
      <c r="A492" t="s">
        <v>496</v>
      </c>
      <c r="B492">
        <v>0.99542014353169495</v>
      </c>
      <c r="C492">
        <v>1.0315969443298501</v>
      </c>
      <c r="D492">
        <v>0.97381160180894699</v>
      </c>
      <c r="E492">
        <v>0.91429863534856104</v>
      </c>
      <c r="F492">
        <v>0.69350674310773497</v>
      </c>
      <c r="G492">
        <v>0.10479635818576701</v>
      </c>
      <c r="H492">
        <v>6.3476281175799606E-2</v>
      </c>
      <c r="I492">
        <v>4.45892386106055E-2</v>
      </c>
      <c r="J492">
        <v>4.73957695358753E-2</v>
      </c>
      <c r="K492">
        <v>3.86223550057017E-2</v>
      </c>
      <c r="L492">
        <v>2345.5793146994101</v>
      </c>
      <c r="M492">
        <v>46.0191884855778</v>
      </c>
      <c r="N492">
        <v>51.071022585574497</v>
      </c>
      <c r="O492">
        <v>50.873624751175598</v>
      </c>
      <c r="P492">
        <v>-0.216270913406959</v>
      </c>
      <c r="Q492">
        <v>4.36622111826728E-2</v>
      </c>
      <c r="R492">
        <v>0.99603625771283999</v>
      </c>
      <c r="S492" t="s">
        <v>6894</v>
      </c>
      <c r="T492" t="s">
        <v>12802</v>
      </c>
      <c r="U492" t="s">
        <v>12802</v>
      </c>
      <c r="V492" t="s">
        <v>12802</v>
      </c>
      <c r="W492" t="s">
        <v>13290</v>
      </c>
      <c r="X492">
        <v>28</v>
      </c>
      <c r="Y492" t="s">
        <v>19613</v>
      </c>
      <c r="Z492" t="s">
        <v>25810</v>
      </c>
      <c r="AA492">
        <v>0.49152359175637872</v>
      </c>
      <c r="AB492" t="str">
        <f>HYPERLINK("Melting_Curves/meltCurve_E7ESC6_XPO7.pdf", "Melting_Curves/meltCurve_E7ESC6_XPO7.pdf")</f>
        <v>Melting_Curves/meltCurve_E7ESC6_XPO7.pdf</v>
      </c>
    </row>
    <row r="493" spans="1:28" x14ac:dyDescent="0.25">
      <c r="A493" t="s">
        <v>497</v>
      </c>
      <c r="B493">
        <v>0.99542014353169495</v>
      </c>
      <c r="C493">
        <v>0.88949990190580297</v>
      </c>
      <c r="D493">
        <v>0.89325005269005597</v>
      </c>
      <c r="E493">
        <v>0.60971861418511997</v>
      </c>
      <c r="F493">
        <v>0.425052900458529</v>
      </c>
      <c r="G493">
        <v>0.23733758621294801</v>
      </c>
      <c r="H493">
        <v>0.12792438552885699</v>
      </c>
      <c r="I493">
        <v>7.8416028337367993E-2</v>
      </c>
      <c r="J493">
        <v>0.10715061518371501</v>
      </c>
      <c r="K493">
        <v>0.16820155248079799</v>
      </c>
      <c r="L493">
        <v>711.27663051726995</v>
      </c>
      <c r="M493">
        <v>14.8668808002119</v>
      </c>
      <c r="N493">
        <v>48.491634826983798</v>
      </c>
      <c r="O493">
        <v>47.002429110018703</v>
      </c>
      <c r="P493">
        <v>-7.1952799975632503E-2</v>
      </c>
      <c r="Q493">
        <v>9.0164875481241594E-2</v>
      </c>
      <c r="R493">
        <v>0.98751324912933902</v>
      </c>
      <c r="S493" t="s">
        <v>6895</v>
      </c>
      <c r="T493" t="s">
        <v>12802</v>
      </c>
      <c r="U493" t="s">
        <v>12802</v>
      </c>
      <c r="V493" t="s">
        <v>12802</v>
      </c>
      <c r="W493" t="s">
        <v>13291</v>
      </c>
      <c r="X493">
        <v>19</v>
      </c>
      <c r="Y493" t="s">
        <v>19614</v>
      </c>
      <c r="Z493" t="s">
        <v>25811</v>
      </c>
      <c r="AA493">
        <v>0.4394250684387942</v>
      </c>
      <c r="AB493" t="str">
        <f>HYPERLINK("Melting_Curves/meltCurve_E7ESD2_FAM21A.pdf", "Melting_Curves/meltCurve_E7ESD2_FAM21A.pdf")</f>
        <v>Melting_Curves/meltCurve_E7ESD2_FAM21A.pdf</v>
      </c>
    </row>
    <row r="494" spans="1:28" x14ac:dyDescent="0.25">
      <c r="A494" t="s">
        <v>498</v>
      </c>
      <c r="B494">
        <v>0.99542014353169495</v>
      </c>
      <c r="C494">
        <v>0.96175463511362502</v>
      </c>
      <c r="D494">
        <v>1.0814072426707699</v>
      </c>
      <c r="E494">
        <v>0.77289556961335104</v>
      </c>
      <c r="F494">
        <v>0.239529592401025</v>
      </c>
      <c r="G494">
        <v>0.154655772737539</v>
      </c>
      <c r="H494">
        <v>0.106426042492649</v>
      </c>
      <c r="I494">
        <v>7.7673261463268098E-2</v>
      </c>
      <c r="J494">
        <v>8.1377533298389398E-2</v>
      </c>
      <c r="K494">
        <v>8.5024514663458395E-2</v>
      </c>
      <c r="L494">
        <v>1829.83869185514</v>
      </c>
      <c r="M494">
        <v>38.122420300722403</v>
      </c>
      <c r="N494">
        <v>48.272858041100797</v>
      </c>
      <c r="O494">
        <v>47.867512075993801</v>
      </c>
      <c r="P494">
        <v>-0.17974354941610601</v>
      </c>
      <c r="Q494">
        <v>9.7239402684506093E-2</v>
      </c>
      <c r="R494">
        <v>0.99261804221135197</v>
      </c>
      <c r="S494" t="s">
        <v>6896</v>
      </c>
      <c r="T494" t="s">
        <v>12802</v>
      </c>
      <c r="U494" t="s">
        <v>12802</v>
      </c>
      <c r="V494" t="s">
        <v>12802</v>
      </c>
      <c r="W494" t="s">
        <v>13292</v>
      </c>
      <c r="X494">
        <v>16</v>
      </c>
      <c r="Y494" t="s">
        <v>19615</v>
      </c>
      <c r="Z494" t="s">
        <v>25812</v>
      </c>
      <c r="AA494">
        <v>0.43152211365006432</v>
      </c>
      <c r="AB494" t="str">
        <f>HYPERLINK("Melting_Curves/meltCurve_E7ESU4_NAT10.pdf", "Melting_Curves/meltCurve_E7ESU4_NAT10.pdf")</f>
        <v>Melting_Curves/meltCurve_E7ESU4_NAT10.pdf</v>
      </c>
    </row>
    <row r="495" spans="1:28" x14ac:dyDescent="0.25">
      <c r="A495" t="s">
        <v>499</v>
      </c>
      <c r="B495">
        <v>0.99542014353169495</v>
      </c>
      <c r="C495">
        <v>0.955548251914208</v>
      </c>
      <c r="D495">
        <v>0.83738020935150104</v>
      </c>
      <c r="E495">
        <v>0.75888293377854898</v>
      </c>
      <c r="F495">
        <v>0.73535787594320501</v>
      </c>
      <c r="G495">
        <v>0.38943965636199002</v>
      </c>
      <c r="H495">
        <v>0.48115121404843902</v>
      </c>
      <c r="I495">
        <v>0.52520421110194004</v>
      </c>
      <c r="J495">
        <v>0.402328384669705</v>
      </c>
      <c r="K495">
        <v>0.32592611773834002</v>
      </c>
      <c r="L495">
        <v>497.16642016843599</v>
      </c>
      <c r="M495">
        <v>10.106666320250399</v>
      </c>
      <c r="N495">
        <v>55.4473455076349</v>
      </c>
      <c r="O495">
        <v>47.382547726927498</v>
      </c>
      <c r="P495">
        <v>-3.5204246903689097E-2</v>
      </c>
      <c r="Q495">
        <v>0.34012343541408802</v>
      </c>
      <c r="R495">
        <v>0.91346064042182096</v>
      </c>
      <c r="S495" t="s">
        <v>6897</v>
      </c>
      <c r="T495" t="s">
        <v>12802</v>
      </c>
      <c r="U495" t="s">
        <v>12802</v>
      </c>
      <c r="V495" t="s">
        <v>12802</v>
      </c>
      <c r="W495" t="s">
        <v>13293</v>
      </c>
      <c r="X495">
        <v>9</v>
      </c>
      <c r="Y495" t="s">
        <v>19616</v>
      </c>
      <c r="Z495" t="s">
        <v>25813</v>
      </c>
      <c r="AA495">
        <v>0.63212419631074757</v>
      </c>
      <c r="AB495" t="str">
        <f>HYPERLINK("Melting_Curves/meltCurve_E7ESU7_CTBP1.pdf", "Melting_Curves/meltCurve_E7ESU7_CTBP1.pdf")</f>
        <v>Melting_Curves/meltCurve_E7ESU7_CTBP1.pdf</v>
      </c>
    </row>
    <row r="496" spans="1:28" x14ac:dyDescent="0.25">
      <c r="A496" t="s">
        <v>500</v>
      </c>
      <c r="B496">
        <v>0.99542014353169495</v>
      </c>
      <c r="C496">
        <v>0.82476026431555305</v>
      </c>
      <c r="D496">
        <v>0.85834074845706898</v>
      </c>
      <c r="E496">
        <v>0.52705810769520001</v>
      </c>
      <c r="F496">
        <v>0.23727025568294899</v>
      </c>
      <c r="G496">
        <v>0.128442070236651</v>
      </c>
      <c r="H496">
        <v>8.8679556543428295E-2</v>
      </c>
      <c r="I496">
        <v>5.61265015947542E-2</v>
      </c>
      <c r="J496">
        <v>5.4700895294640298E-2</v>
      </c>
      <c r="K496">
        <v>5.58253202186796E-2</v>
      </c>
      <c r="L496">
        <v>765.12611889113202</v>
      </c>
      <c r="M496">
        <v>16.434229979254699</v>
      </c>
      <c r="N496">
        <v>46.795945592631902</v>
      </c>
      <c r="O496">
        <v>45.883884861351902</v>
      </c>
      <c r="P496">
        <v>-8.5942835437592E-2</v>
      </c>
      <c r="Q496">
        <v>4.0268179228412998E-2</v>
      </c>
      <c r="R496">
        <v>0.98644074614507204</v>
      </c>
      <c r="S496" t="s">
        <v>6898</v>
      </c>
      <c r="T496" t="s">
        <v>12802</v>
      </c>
      <c r="U496" t="s">
        <v>12802</v>
      </c>
      <c r="V496" t="s">
        <v>12802</v>
      </c>
      <c r="W496" t="s">
        <v>13294</v>
      </c>
      <c r="X496">
        <v>7</v>
      </c>
      <c r="Y496" t="s">
        <v>19617</v>
      </c>
      <c r="Z496" t="s">
        <v>25814</v>
      </c>
      <c r="AA496">
        <v>0.36440321416191451</v>
      </c>
      <c r="AB496" t="str">
        <f>HYPERLINK("Melting_Curves/meltCurve_E7ESZ7_NDUFA10.pdf", "Melting_Curves/meltCurve_E7ESZ7_NDUFA10.pdf")</f>
        <v>Melting_Curves/meltCurve_E7ESZ7_NDUFA10.pdf</v>
      </c>
    </row>
    <row r="497" spans="1:28" x14ac:dyDescent="0.25">
      <c r="A497" t="s">
        <v>501</v>
      </c>
      <c r="B497">
        <v>0.99542014353169495</v>
      </c>
      <c r="C497">
        <v>0.86165526773015899</v>
      </c>
      <c r="D497">
        <v>0.84013614879521303</v>
      </c>
      <c r="E497">
        <v>0.43005361019560701</v>
      </c>
      <c r="F497">
        <v>0.166279710885083</v>
      </c>
      <c r="G497">
        <v>9.8069642941149504E-2</v>
      </c>
      <c r="H497">
        <v>6.2631658116953606E-2</v>
      </c>
      <c r="I497">
        <v>4.8944122575371903E-2</v>
      </c>
      <c r="J497">
        <v>6.0228720650160897E-2</v>
      </c>
      <c r="K497">
        <v>6.0590070078725598E-2</v>
      </c>
      <c r="L497">
        <v>940.82457980133995</v>
      </c>
      <c r="M497">
        <v>20.5728405815406</v>
      </c>
      <c r="N497">
        <v>45.969953609132901</v>
      </c>
      <c r="O497">
        <v>45.305876286227701</v>
      </c>
      <c r="P497">
        <v>-0.10777731289742901</v>
      </c>
      <c r="Q497">
        <v>5.0631191258512301E-2</v>
      </c>
      <c r="R497">
        <v>0.99188710675868796</v>
      </c>
      <c r="S497" t="s">
        <v>6899</v>
      </c>
      <c r="T497" t="s">
        <v>12802</v>
      </c>
      <c r="U497" t="s">
        <v>12802</v>
      </c>
      <c r="V497" t="s">
        <v>12802</v>
      </c>
      <c r="W497" t="s">
        <v>13295</v>
      </c>
      <c r="X497">
        <v>21</v>
      </c>
      <c r="Y497" t="s">
        <v>19618</v>
      </c>
      <c r="Z497" t="s">
        <v>25815</v>
      </c>
      <c r="AA497">
        <v>0.33866054995392741</v>
      </c>
      <c r="AB497" t="str">
        <f>HYPERLINK("Melting_Curves/meltCurve_E7ET15_U2SURP.pdf", "Melting_Curves/meltCurve_E7ET15_U2SURP.pdf")</f>
        <v>Melting_Curves/meltCurve_E7ET15_U2SURP.pdf</v>
      </c>
    </row>
    <row r="498" spans="1:28" x14ac:dyDescent="0.25">
      <c r="A498" t="s">
        <v>502</v>
      </c>
      <c r="B498">
        <v>0.99542014353169495</v>
      </c>
      <c r="C498">
        <v>3.3895255958111501</v>
      </c>
      <c r="D498">
        <v>2.0639348052087598</v>
      </c>
      <c r="E498">
        <v>2.5832431299674901</v>
      </c>
      <c r="F498">
        <v>4.1177753296304598</v>
      </c>
      <c r="G498">
        <v>2.6595834915168499</v>
      </c>
      <c r="H498">
        <v>0.98446571402847505</v>
      </c>
      <c r="I498">
        <v>0.844193950228601</v>
      </c>
      <c r="J498">
        <v>0.50009914784502296</v>
      </c>
      <c r="K498">
        <v>0.71928098029948095</v>
      </c>
      <c r="L498">
        <v>15000</v>
      </c>
      <c r="M498">
        <v>245.49282733010801</v>
      </c>
      <c r="O498">
        <v>61.097526550985002</v>
      </c>
      <c r="P498">
        <v>-0.392071576198182</v>
      </c>
      <c r="Q498">
        <v>0.60968955774288702</v>
      </c>
      <c r="R498">
        <v>-0.52450525457488095</v>
      </c>
      <c r="S498" t="s">
        <v>6900</v>
      </c>
      <c r="T498" t="s">
        <v>12802</v>
      </c>
      <c r="U498" t="s">
        <v>12802</v>
      </c>
      <c r="V498" t="s">
        <v>12802</v>
      </c>
      <c r="W498" t="s">
        <v>13296</v>
      </c>
      <c r="X498">
        <v>1</v>
      </c>
      <c r="Y498" t="s">
        <v>19619</v>
      </c>
      <c r="Z498" t="s">
        <v>25816</v>
      </c>
      <c r="AA498">
        <v>0.92330292760005306</v>
      </c>
      <c r="AB498" t="str">
        <f>HYPERLINK("Melting_Curves/meltCurve_E7ET25_NUP205.pdf", "Melting_Curves/meltCurve_E7ET25_NUP205.pdf")</f>
        <v>Melting_Curves/meltCurve_E7ET25_NUP205.pdf</v>
      </c>
    </row>
    <row r="499" spans="1:28" x14ac:dyDescent="0.25">
      <c r="A499" t="s">
        <v>503</v>
      </c>
      <c r="B499">
        <v>0.99542014353169495</v>
      </c>
      <c r="C499">
        <v>1.0187688609002801</v>
      </c>
      <c r="D499">
        <v>0.89175579482849898</v>
      </c>
      <c r="E499">
        <v>0.85440768226693597</v>
      </c>
      <c r="F499">
        <v>0.75503154725101795</v>
      </c>
      <c r="G499">
        <v>0.51593896266852801</v>
      </c>
      <c r="H499">
        <v>0.25331432822108302</v>
      </c>
      <c r="I499">
        <v>0.14322958641669301</v>
      </c>
      <c r="J499">
        <v>0.11659433180586</v>
      </c>
      <c r="K499">
        <v>8.6537429065314003E-2</v>
      </c>
      <c r="L499">
        <v>734.109820363783</v>
      </c>
      <c r="M499">
        <v>13.7059735717789</v>
      </c>
      <c r="N499">
        <v>53.634293247370699</v>
      </c>
      <c r="O499">
        <v>52.459703443545102</v>
      </c>
      <c r="P499">
        <v>-6.4722408461030001E-2</v>
      </c>
      <c r="Q499">
        <v>9.2406702171928395E-3</v>
      </c>
      <c r="R499">
        <v>0.99085096373967696</v>
      </c>
      <c r="S499" t="s">
        <v>6901</v>
      </c>
      <c r="T499" t="s">
        <v>12802</v>
      </c>
      <c r="U499" t="s">
        <v>12802</v>
      </c>
      <c r="V499" t="s">
        <v>12802</v>
      </c>
      <c r="W499" t="s">
        <v>13297</v>
      </c>
      <c r="X499">
        <v>5</v>
      </c>
      <c r="Y499" t="s">
        <v>19620</v>
      </c>
      <c r="Z499" t="s">
        <v>25817</v>
      </c>
      <c r="AA499">
        <v>0.57415587194870554</v>
      </c>
      <c r="AB499" t="str">
        <f>HYPERLINK("Melting_Curves/meltCurve_E7ET49_DAGLB.pdf", "Melting_Curves/meltCurve_E7ET49_DAGLB.pdf")</f>
        <v>Melting_Curves/meltCurve_E7ET49_DAGLB.pdf</v>
      </c>
    </row>
    <row r="500" spans="1:28" x14ac:dyDescent="0.25">
      <c r="A500" t="s">
        <v>504</v>
      </c>
      <c r="B500">
        <v>0.99542014353169495</v>
      </c>
      <c r="C500">
        <v>0.896753640688154</v>
      </c>
      <c r="D500">
        <v>0.54591956960191501</v>
      </c>
      <c r="E500">
        <v>0.19984980289260401</v>
      </c>
      <c r="F500">
        <v>0.101038311309952</v>
      </c>
      <c r="G500">
        <v>6.9303368265539997E-2</v>
      </c>
      <c r="H500">
        <v>3.8728480219331798E-2</v>
      </c>
      <c r="I500">
        <v>1.7278070949077799E-2</v>
      </c>
      <c r="J500">
        <v>2.1411737937870601E-2</v>
      </c>
      <c r="K500">
        <v>0</v>
      </c>
      <c r="L500">
        <v>963.58724502112102</v>
      </c>
      <c r="M500">
        <v>22.216019733826499</v>
      </c>
      <c r="N500">
        <v>43.491956700500701</v>
      </c>
      <c r="O500">
        <v>43.026675001640001</v>
      </c>
      <c r="P500">
        <v>-0.125297014394323</v>
      </c>
      <c r="Q500">
        <v>2.93491710995093E-2</v>
      </c>
      <c r="R500">
        <v>0.99735703992591895</v>
      </c>
      <c r="S500" t="s">
        <v>6902</v>
      </c>
      <c r="T500" t="s">
        <v>12802</v>
      </c>
      <c r="U500" t="s">
        <v>12802</v>
      </c>
      <c r="V500" t="s">
        <v>12802</v>
      </c>
      <c r="W500" t="s">
        <v>13298</v>
      </c>
      <c r="X500">
        <v>1</v>
      </c>
      <c r="Y500" t="s">
        <v>19621</v>
      </c>
      <c r="Z500" t="s">
        <v>25818</v>
      </c>
      <c r="AA500">
        <v>0.24605119310217399</v>
      </c>
      <c r="AB500" t="str">
        <f>HYPERLINK("Melting_Curves/meltCurve_E7ET89_DTX2.pdf", "Melting_Curves/meltCurve_E7ET89_DTX2.pdf")</f>
        <v>Melting_Curves/meltCurve_E7ET89_DTX2.pdf</v>
      </c>
    </row>
    <row r="501" spans="1:28" x14ac:dyDescent="0.25">
      <c r="A501" t="s">
        <v>505</v>
      </c>
      <c r="B501">
        <v>0.99542014353169495</v>
      </c>
      <c r="C501">
        <v>0.90117678936789503</v>
      </c>
      <c r="D501">
        <v>0.77208943025469101</v>
      </c>
      <c r="E501">
        <v>0.43771665998581699</v>
      </c>
      <c r="F501">
        <v>0.191158042794632</v>
      </c>
      <c r="G501">
        <v>5.9606892841158797E-2</v>
      </c>
      <c r="H501">
        <v>4.5702379262138E-2</v>
      </c>
      <c r="I501">
        <v>3.2379386181394701E-2</v>
      </c>
      <c r="J501">
        <v>6.8351035903849597E-2</v>
      </c>
      <c r="K501">
        <v>0.130333420965414</v>
      </c>
      <c r="L501">
        <v>877.57631009104705</v>
      </c>
      <c r="M501">
        <v>19.283636591227001</v>
      </c>
      <c r="N501">
        <v>45.783820322733803</v>
      </c>
      <c r="O501">
        <v>45.027924082685502</v>
      </c>
      <c r="P501">
        <v>-0.101214580976051</v>
      </c>
      <c r="Q501">
        <v>5.46779508289005E-2</v>
      </c>
      <c r="R501">
        <v>0.99201890436464102</v>
      </c>
      <c r="S501" t="s">
        <v>6903</v>
      </c>
      <c r="T501" t="s">
        <v>12802</v>
      </c>
      <c r="U501" t="s">
        <v>12802</v>
      </c>
      <c r="V501" t="s">
        <v>12802</v>
      </c>
      <c r="W501" t="s">
        <v>13299</v>
      </c>
      <c r="X501">
        <v>1</v>
      </c>
      <c r="Y501" t="s">
        <v>19622</v>
      </c>
      <c r="Z501" t="s">
        <v>25819</v>
      </c>
      <c r="AA501">
        <v>0.3361403719426927</v>
      </c>
      <c r="AB501" t="str">
        <f>HYPERLINK("Melting_Curves/meltCurve_E7ETI8_C1orf112.pdf", "Melting_Curves/meltCurve_E7ETI8_C1orf112.pdf")</f>
        <v>Melting_Curves/meltCurve_E7ETI8_C1orf112.pdf</v>
      </c>
    </row>
    <row r="502" spans="1:28" x14ac:dyDescent="0.25">
      <c r="A502" t="s">
        <v>506</v>
      </c>
      <c r="B502">
        <v>0.99542014353169495</v>
      </c>
      <c r="C502">
        <v>0.86190051976243498</v>
      </c>
      <c r="D502">
        <v>0.78956304074417505</v>
      </c>
      <c r="E502">
        <v>0.62078056222869804</v>
      </c>
      <c r="F502">
        <v>0.35649729315096701</v>
      </c>
      <c r="G502">
        <v>0.233481335051657</v>
      </c>
      <c r="H502">
        <v>9.4671092832335005E-2</v>
      </c>
      <c r="I502">
        <v>3.9797454664684602E-2</v>
      </c>
      <c r="J502">
        <v>2.6372835346235201E-2</v>
      </c>
      <c r="K502">
        <v>3.5087623736854999E-2</v>
      </c>
      <c r="L502">
        <v>581.78272503604398</v>
      </c>
      <c r="M502">
        <v>12.1403940779722</v>
      </c>
      <c r="N502">
        <v>47.921219120459099</v>
      </c>
      <c r="O502">
        <v>46.676620011921401</v>
      </c>
      <c r="P502">
        <v>-6.5038934985672994E-2</v>
      </c>
      <c r="Q502">
        <v>0</v>
      </c>
      <c r="R502">
        <v>0.99406470588266505</v>
      </c>
      <c r="S502" t="s">
        <v>6904</v>
      </c>
      <c r="T502" t="s">
        <v>12802</v>
      </c>
      <c r="U502" t="s">
        <v>12802</v>
      </c>
      <c r="V502" t="s">
        <v>12802</v>
      </c>
      <c r="W502" t="s">
        <v>13300</v>
      </c>
      <c r="X502">
        <v>4</v>
      </c>
      <c r="Y502" t="s">
        <v>19623</v>
      </c>
      <c r="Z502" t="s">
        <v>25820</v>
      </c>
      <c r="AA502">
        <v>0.3949344127797822</v>
      </c>
      <c r="AB502" t="str">
        <f>HYPERLINK("Melting_Curves/meltCurve_E7ETK0_RPS24.pdf", "Melting_Curves/meltCurve_E7ETK0_RPS24.pdf")</f>
        <v>Melting_Curves/meltCurve_E7ETK0_RPS24.pdf</v>
      </c>
    </row>
    <row r="503" spans="1:28" x14ac:dyDescent="0.25">
      <c r="A503" t="s">
        <v>507</v>
      </c>
      <c r="B503">
        <v>0.99542014353169495</v>
      </c>
      <c r="C503">
        <v>1.12709706670969</v>
      </c>
      <c r="D503">
        <v>1.10874583169311</v>
      </c>
      <c r="E503">
        <v>0.86171137102641504</v>
      </c>
      <c r="F503">
        <v>0.80863822084141801</v>
      </c>
      <c r="G503">
        <v>0.39359653138818301</v>
      </c>
      <c r="H503">
        <v>0.29107498585298203</v>
      </c>
      <c r="I503">
        <v>0.184812775440239</v>
      </c>
      <c r="J503">
        <v>0.20365156213173899</v>
      </c>
      <c r="K503">
        <v>0.15886488521532999</v>
      </c>
      <c r="L503">
        <v>1255.0556527465401</v>
      </c>
      <c r="M503">
        <v>24.109619978922801</v>
      </c>
      <c r="N503">
        <v>53.0066200667627</v>
      </c>
      <c r="O503">
        <v>51.702052321431999</v>
      </c>
      <c r="P503">
        <v>-9.6122910266923198E-2</v>
      </c>
      <c r="Q503">
        <v>0.17548687294901499</v>
      </c>
      <c r="R503">
        <v>0.96992029680104497</v>
      </c>
      <c r="S503" t="s">
        <v>6905</v>
      </c>
      <c r="T503" t="s">
        <v>12802</v>
      </c>
      <c r="U503" t="s">
        <v>12802</v>
      </c>
      <c r="V503" t="s">
        <v>12802</v>
      </c>
      <c r="W503" t="s">
        <v>13301</v>
      </c>
      <c r="X503">
        <v>1</v>
      </c>
      <c r="Y503" t="s">
        <v>19624</v>
      </c>
      <c r="Z503" t="s">
        <v>25821</v>
      </c>
      <c r="AA503">
        <v>0.59707995220382937</v>
      </c>
      <c r="AB503" t="str">
        <f>HYPERLINK("Melting_Curves/meltCurve_E7ETM6_SYS1.pdf", "Melting_Curves/meltCurve_E7ETM6_SYS1.pdf")</f>
        <v>Melting_Curves/meltCurve_E7ETM6_SYS1.pdf</v>
      </c>
    </row>
    <row r="504" spans="1:28" x14ac:dyDescent="0.25">
      <c r="A504" t="s">
        <v>508</v>
      </c>
      <c r="B504">
        <v>0.99542014353169495</v>
      </c>
      <c r="C504">
        <v>0.98230906873004198</v>
      </c>
      <c r="D504">
        <v>0.90185695752440798</v>
      </c>
      <c r="E504">
        <v>0.43332072815176198</v>
      </c>
      <c r="F504">
        <v>0.12699649737642199</v>
      </c>
      <c r="G504">
        <v>5.8468209305477303E-2</v>
      </c>
      <c r="H504">
        <v>4.64950616530697E-2</v>
      </c>
      <c r="I504">
        <v>4.93982920564279E-2</v>
      </c>
      <c r="J504">
        <v>4.48200651757533E-2</v>
      </c>
      <c r="K504">
        <v>8.9957858315021802E-2</v>
      </c>
      <c r="L504">
        <v>1409.79506039943</v>
      </c>
      <c r="M504">
        <v>30.654459039663401</v>
      </c>
      <c r="N504">
        <v>46.168012241612402</v>
      </c>
      <c r="O504">
        <v>45.795498264371801</v>
      </c>
      <c r="P504">
        <v>-0.15801234789896401</v>
      </c>
      <c r="Q504">
        <v>5.57705286580591E-2</v>
      </c>
      <c r="R504">
        <v>0.99896776759932904</v>
      </c>
      <c r="S504" t="s">
        <v>6906</v>
      </c>
      <c r="T504" t="s">
        <v>12802</v>
      </c>
      <c r="U504" t="s">
        <v>12802</v>
      </c>
      <c r="V504" t="s">
        <v>12802</v>
      </c>
      <c r="W504" t="s">
        <v>13302</v>
      </c>
      <c r="X504">
        <v>8</v>
      </c>
      <c r="Y504" t="s">
        <v>19625</v>
      </c>
      <c r="Z504" t="s">
        <v>25822</v>
      </c>
      <c r="AA504">
        <v>0.34387534634735201</v>
      </c>
      <c r="AB504" t="str">
        <f>HYPERLINK("Melting_Curves/meltCurve_E7ETY4_MARK2.pdf", "Melting_Curves/meltCurve_E7ETY4_MARK2.pdf")</f>
        <v>Melting_Curves/meltCurve_E7ETY4_MARK2.pdf</v>
      </c>
    </row>
    <row r="505" spans="1:28" x14ac:dyDescent="0.25">
      <c r="A505" t="s">
        <v>509</v>
      </c>
      <c r="B505">
        <v>0.99542014353169495</v>
      </c>
      <c r="C505">
        <v>1.0149603558149001</v>
      </c>
      <c r="D505">
        <v>0.90261415985190596</v>
      </c>
      <c r="E505">
        <v>0.87959036717414696</v>
      </c>
      <c r="F505">
        <v>0.52342859911124295</v>
      </c>
      <c r="G505">
        <v>0.112705011173202</v>
      </c>
      <c r="H505">
        <v>6.2890324805655595E-2</v>
      </c>
      <c r="I505">
        <v>4.0022974815577601E-2</v>
      </c>
      <c r="J505">
        <v>4.1754621811930598E-2</v>
      </c>
      <c r="K505">
        <v>3.9574956145764999E-2</v>
      </c>
      <c r="L505">
        <v>1417.3891481119999</v>
      </c>
      <c r="M505">
        <v>28.307418410371699</v>
      </c>
      <c r="N505">
        <v>50.1874117965869</v>
      </c>
      <c r="O505">
        <v>49.823411551470599</v>
      </c>
      <c r="P505">
        <v>-0.137537628733302</v>
      </c>
      <c r="Q505">
        <v>3.1697312685826602E-2</v>
      </c>
      <c r="R505">
        <v>0.99405935622932995</v>
      </c>
      <c r="S505" t="s">
        <v>6907</v>
      </c>
      <c r="T505" t="s">
        <v>12802</v>
      </c>
      <c r="U505" t="s">
        <v>12802</v>
      </c>
      <c r="V505" t="s">
        <v>12802</v>
      </c>
      <c r="W505" t="s">
        <v>13303</v>
      </c>
      <c r="X505">
        <v>23</v>
      </c>
      <c r="Y505" t="s">
        <v>19626</v>
      </c>
      <c r="Z505" t="s">
        <v>25823</v>
      </c>
      <c r="AA505">
        <v>0.46026326830973002</v>
      </c>
      <c r="AB505" t="str">
        <f>HYPERLINK("Melting_Curves/meltCurve_E7ETZ4_BZW2.pdf", "Melting_Curves/meltCurve_E7ETZ4_BZW2.pdf")</f>
        <v>Melting_Curves/meltCurve_E7ETZ4_BZW2.pdf</v>
      </c>
    </row>
    <row r="506" spans="1:28" x14ac:dyDescent="0.25">
      <c r="A506" t="s">
        <v>510</v>
      </c>
      <c r="B506">
        <v>0.99542014353169495</v>
      </c>
      <c r="C506">
        <v>0.88659826049728996</v>
      </c>
      <c r="D506">
        <v>0.86950311128913604</v>
      </c>
      <c r="E506">
        <v>0.67481313508746199</v>
      </c>
      <c r="F506">
        <v>0.48413493027001497</v>
      </c>
      <c r="G506">
        <v>0.28140877153129401</v>
      </c>
      <c r="H506">
        <v>0.28539392549670001</v>
      </c>
      <c r="I506">
        <v>0.24798829257538699</v>
      </c>
      <c r="J506">
        <v>0.114057165746935</v>
      </c>
      <c r="K506">
        <v>7.7157701184996499E-2</v>
      </c>
      <c r="L506">
        <v>510.32216290791598</v>
      </c>
      <c r="M506">
        <v>10.3268749653458</v>
      </c>
      <c r="N506">
        <v>50.018112326348202</v>
      </c>
      <c r="O506">
        <v>47.671491984493599</v>
      </c>
      <c r="P506">
        <v>-5.1017451696607999E-2</v>
      </c>
      <c r="Q506">
        <v>5.83664403266001E-2</v>
      </c>
      <c r="R506">
        <v>0.983863462040241</v>
      </c>
      <c r="S506" t="s">
        <v>6908</v>
      </c>
      <c r="T506" t="s">
        <v>12802</v>
      </c>
      <c r="U506" t="s">
        <v>12802</v>
      </c>
      <c r="V506" t="s">
        <v>12802</v>
      </c>
      <c r="W506" t="s">
        <v>13304</v>
      </c>
      <c r="X506">
        <v>3</v>
      </c>
      <c r="Y506" t="s">
        <v>19627</v>
      </c>
      <c r="Z506" t="s">
        <v>25824</v>
      </c>
      <c r="AA506">
        <v>0.48069910047086439</v>
      </c>
      <c r="AB506" t="str">
        <f>HYPERLINK("Melting_Curves/meltCurve_E7EU19_RAD54L2.pdf", "Melting_Curves/meltCurve_E7EU19_RAD54L2.pdf")</f>
        <v>Melting_Curves/meltCurve_E7EU19_RAD54L2.pdf</v>
      </c>
    </row>
    <row r="507" spans="1:28" x14ac:dyDescent="0.25">
      <c r="A507" t="s">
        <v>511</v>
      </c>
      <c r="B507">
        <v>0.99542014353169495</v>
      </c>
      <c r="C507">
        <v>0.98881131219339702</v>
      </c>
      <c r="D507">
        <v>0.96647370102137697</v>
      </c>
      <c r="E507">
        <v>0.96779610173751596</v>
      </c>
      <c r="F507">
        <v>0.79968937679146301</v>
      </c>
      <c r="G507">
        <v>0.63401672167538003</v>
      </c>
      <c r="H507">
        <v>0.206085109452601</v>
      </c>
      <c r="I507">
        <v>5.87523458233533E-2</v>
      </c>
      <c r="J507">
        <v>4.6718518121155503E-2</v>
      </c>
      <c r="K507">
        <v>5.3479154156676402E-2</v>
      </c>
      <c r="L507">
        <v>1201.64069701927</v>
      </c>
      <c r="M507">
        <v>22.0830433015885</v>
      </c>
      <c r="N507">
        <v>54.445004054782601</v>
      </c>
      <c r="O507">
        <v>53.974309012523598</v>
      </c>
      <c r="P507">
        <v>-0.10166115102058</v>
      </c>
      <c r="Q507">
        <v>6.1207483334486199E-3</v>
      </c>
      <c r="R507">
        <v>0.99172575702490895</v>
      </c>
      <c r="S507" t="s">
        <v>6909</v>
      </c>
      <c r="T507" t="s">
        <v>12802</v>
      </c>
      <c r="U507" t="s">
        <v>12802</v>
      </c>
      <c r="V507" t="s">
        <v>12802</v>
      </c>
      <c r="W507" t="s">
        <v>13305</v>
      </c>
      <c r="X507">
        <v>47</v>
      </c>
      <c r="Y507" t="s">
        <v>19628</v>
      </c>
      <c r="Z507" t="s">
        <v>25825</v>
      </c>
      <c r="AA507">
        <v>0.59338331460224447</v>
      </c>
      <c r="AB507" t="str">
        <f>HYPERLINK("Melting_Curves/meltCurve_E7EU23_GDI2.pdf", "Melting_Curves/meltCurve_E7EU23_GDI2.pdf")</f>
        <v>Melting_Curves/meltCurve_E7EU23_GDI2.pdf</v>
      </c>
    </row>
    <row r="508" spans="1:28" x14ac:dyDescent="0.25">
      <c r="A508" t="s">
        <v>512</v>
      </c>
      <c r="B508">
        <v>0.99542014353169495</v>
      </c>
      <c r="C508">
        <v>0.83174862500061397</v>
      </c>
      <c r="D508">
        <v>0.690647397644649</v>
      </c>
      <c r="E508">
        <v>0.48038990094061101</v>
      </c>
      <c r="F508">
        <v>0.31809524201124101</v>
      </c>
      <c r="G508">
        <v>0.16568038820084799</v>
      </c>
      <c r="H508">
        <v>0.13350197342237399</v>
      </c>
      <c r="I508">
        <v>0.10376879823591199</v>
      </c>
      <c r="J508">
        <v>6.7395070149330397E-2</v>
      </c>
      <c r="K508">
        <v>0.100392238987982</v>
      </c>
      <c r="L508">
        <v>550.05219926382904</v>
      </c>
      <c r="M508">
        <v>12.039120107291</v>
      </c>
      <c r="N508">
        <v>46.1632135534159</v>
      </c>
      <c r="O508">
        <v>44.482927883876002</v>
      </c>
      <c r="P508">
        <v>-6.3739035342819605E-2</v>
      </c>
      <c r="Q508">
        <v>5.8195577904538498E-2</v>
      </c>
      <c r="R508">
        <v>0.99509887553466303</v>
      </c>
      <c r="S508" t="s">
        <v>6910</v>
      </c>
      <c r="T508" t="s">
        <v>12802</v>
      </c>
      <c r="U508" t="s">
        <v>12802</v>
      </c>
      <c r="V508" t="s">
        <v>12802</v>
      </c>
      <c r="W508" t="s">
        <v>13306</v>
      </c>
      <c r="X508">
        <v>7</v>
      </c>
      <c r="Y508" t="s">
        <v>19629</v>
      </c>
      <c r="Z508" t="s">
        <v>25826</v>
      </c>
      <c r="AA508">
        <v>0.36378634124029968</v>
      </c>
      <c r="AB508" t="str">
        <f>HYPERLINK("Melting_Curves/meltCurve_E7EU24_CBFA2T3.pdf", "Melting_Curves/meltCurve_E7EU24_CBFA2T3.pdf")</f>
        <v>Melting_Curves/meltCurve_E7EU24_CBFA2T3.pdf</v>
      </c>
    </row>
    <row r="509" spans="1:28" x14ac:dyDescent="0.25">
      <c r="A509" t="s">
        <v>513</v>
      </c>
      <c r="B509">
        <v>0.99542014353169495</v>
      </c>
      <c r="C509">
        <v>0.92865269000047301</v>
      </c>
      <c r="D509">
        <v>0.97612976285199005</v>
      </c>
      <c r="E509">
        <v>0.85915296255546403</v>
      </c>
      <c r="F509">
        <v>0.72305837711605103</v>
      </c>
      <c r="G509">
        <v>0.44600336317212802</v>
      </c>
      <c r="H509">
        <v>0.23519627623040601</v>
      </c>
      <c r="I509">
        <v>9.6315480332766407E-2</v>
      </c>
      <c r="J509">
        <v>9.5178546394569394E-2</v>
      </c>
      <c r="K509">
        <v>9.4403589290228601E-2</v>
      </c>
      <c r="L509">
        <v>840.52148325881501</v>
      </c>
      <c r="M509">
        <v>15.956900789976601</v>
      </c>
      <c r="N509">
        <v>52.927728982593798</v>
      </c>
      <c r="O509">
        <v>51.868024068164097</v>
      </c>
      <c r="P509">
        <v>-7.4090143107675394E-2</v>
      </c>
      <c r="Q509">
        <v>3.6754124573117199E-2</v>
      </c>
      <c r="R509">
        <v>0.993924281394582</v>
      </c>
      <c r="S509" t="s">
        <v>6911</v>
      </c>
      <c r="T509" t="s">
        <v>12802</v>
      </c>
      <c r="U509" t="s">
        <v>12802</v>
      </c>
      <c r="V509" t="s">
        <v>12802</v>
      </c>
      <c r="W509" t="s">
        <v>13307</v>
      </c>
      <c r="X509">
        <v>19</v>
      </c>
      <c r="Y509" t="s">
        <v>19630</v>
      </c>
      <c r="Z509" t="s">
        <v>25827</v>
      </c>
      <c r="AA509">
        <v>0.55652367939512049</v>
      </c>
      <c r="AB509" t="str">
        <f>HYPERLINK("Melting_Curves/meltCurve_E7EU96_CSNK2A1.pdf", "Melting_Curves/meltCurve_E7EU96_CSNK2A1.pdf")</f>
        <v>Melting_Curves/meltCurve_E7EU96_CSNK2A1.pdf</v>
      </c>
    </row>
    <row r="510" spans="1:28" x14ac:dyDescent="0.25">
      <c r="A510" t="s">
        <v>514</v>
      </c>
      <c r="B510">
        <v>0.99542014353169495</v>
      </c>
      <c r="C510">
        <v>0.83716750137788698</v>
      </c>
      <c r="D510">
        <v>0.87958731783903499</v>
      </c>
      <c r="E510">
        <v>0.71388228002745202</v>
      </c>
      <c r="F510">
        <v>0.64984355448145403</v>
      </c>
      <c r="G510">
        <v>0.38178189491769798</v>
      </c>
      <c r="H510">
        <v>0.28093412368237303</v>
      </c>
      <c r="I510">
        <v>5.24136295888077E-2</v>
      </c>
      <c r="J510">
        <v>4.9179908028201297E-2</v>
      </c>
      <c r="K510">
        <v>5.4756022095971101E-2</v>
      </c>
      <c r="L510">
        <v>574.42516668370604</v>
      </c>
      <c r="M510">
        <v>11.186568082689501</v>
      </c>
      <c r="N510">
        <v>51.349543552624397</v>
      </c>
      <c r="O510">
        <v>49.790590160472597</v>
      </c>
      <c r="P510">
        <v>-5.6185841855187497E-2</v>
      </c>
      <c r="Q510">
        <v>0</v>
      </c>
      <c r="R510">
        <v>0.96883648282816803</v>
      </c>
      <c r="S510" t="s">
        <v>6912</v>
      </c>
      <c r="T510" t="s">
        <v>12802</v>
      </c>
      <c r="U510" t="s">
        <v>12802</v>
      </c>
      <c r="V510" t="s">
        <v>12802</v>
      </c>
      <c r="W510" t="s">
        <v>13308</v>
      </c>
      <c r="X510">
        <v>23</v>
      </c>
      <c r="Y510" t="s">
        <v>19631</v>
      </c>
      <c r="Z510" t="s">
        <v>25828</v>
      </c>
      <c r="AA510">
        <v>0.50519097200886764</v>
      </c>
      <c r="AB510" t="str">
        <f>HYPERLINK("Melting_Curves/meltCurve_E7EUC7_UGP2.pdf", "Melting_Curves/meltCurve_E7EUC7_UGP2.pdf")</f>
        <v>Melting_Curves/meltCurve_E7EUC7_UGP2.pdf</v>
      </c>
    </row>
    <row r="511" spans="1:28" x14ac:dyDescent="0.25">
      <c r="A511" t="s">
        <v>515</v>
      </c>
      <c r="B511">
        <v>0.99542014353169495</v>
      </c>
      <c r="C511">
        <v>0.94752251482562599</v>
      </c>
      <c r="D511">
        <v>0.87298610524710096</v>
      </c>
      <c r="E511">
        <v>0.61502678604501904</v>
      </c>
      <c r="F511">
        <v>0.32551376850902197</v>
      </c>
      <c r="G511">
        <v>0.15467308657533499</v>
      </c>
      <c r="H511">
        <v>9.1593939107403197E-2</v>
      </c>
      <c r="I511">
        <v>5.12454876323769E-2</v>
      </c>
      <c r="J511">
        <v>4.6539120004197902E-2</v>
      </c>
      <c r="K511">
        <v>3.6425027785192701E-2</v>
      </c>
      <c r="L511">
        <v>796.91314931812701</v>
      </c>
      <c r="M511">
        <v>16.691114862453698</v>
      </c>
      <c r="N511">
        <v>47.922426062542897</v>
      </c>
      <c r="O511">
        <v>47.075205590783</v>
      </c>
      <c r="P511">
        <v>-8.5986866709170398E-2</v>
      </c>
      <c r="Q511">
        <v>3.0003540983668898E-2</v>
      </c>
      <c r="R511">
        <v>0.99970408932970101</v>
      </c>
      <c r="S511" t="s">
        <v>6913</v>
      </c>
      <c r="T511" t="s">
        <v>12802</v>
      </c>
      <c r="U511" t="s">
        <v>12802</v>
      </c>
      <c r="V511" t="s">
        <v>12802</v>
      </c>
      <c r="W511" t="s">
        <v>13309</v>
      </c>
      <c r="X511">
        <v>5</v>
      </c>
      <c r="Y511" t="s">
        <v>19632</v>
      </c>
      <c r="Z511" t="s">
        <v>25829</v>
      </c>
      <c r="AA511">
        <v>0.39522725258911851</v>
      </c>
      <c r="AB511" t="str">
        <f>HYPERLINK("Melting_Curves/meltCurve_E7EUH9_NCAPG2.pdf", "Melting_Curves/meltCurve_E7EUH9_NCAPG2.pdf")</f>
        <v>Melting_Curves/meltCurve_E7EUH9_NCAPG2.pdf</v>
      </c>
    </row>
    <row r="512" spans="1:28" x14ac:dyDescent="0.25">
      <c r="A512" t="s">
        <v>516</v>
      </c>
      <c r="B512">
        <v>0.99542014353169495</v>
      </c>
      <c r="C512">
        <v>0.71683445009180702</v>
      </c>
      <c r="D512">
        <v>0.866702380133335</v>
      </c>
      <c r="E512">
        <v>0.33329216173371701</v>
      </c>
      <c r="F512">
        <v>0.21104375772939099</v>
      </c>
      <c r="G512">
        <v>0.14278893924045799</v>
      </c>
      <c r="H512">
        <v>0.10103822709582599</v>
      </c>
      <c r="I512">
        <v>6.8431445865607204E-2</v>
      </c>
      <c r="J512">
        <v>9.6906521642860496E-2</v>
      </c>
      <c r="K512">
        <v>7.9614775209535998E-2</v>
      </c>
      <c r="L512">
        <v>743.00128448512601</v>
      </c>
      <c r="M512">
        <v>16.504031518406599</v>
      </c>
      <c r="N512">
        <v>45.447387708217498</v>
      </c>
      <c r="O512">
        <v>44.374000613653799</v>
      </c>
      <c r="P512">
        <v>-8.6295831323391498E-2</v>
      </c>
      <c r="Q512">
        <v>7.1978162928054798E-2</v>
      </c>
      <c r="R512">
        <v>0.94295077905619096</v>
      </c>
      <c r="S512" t="s">
        <v>6914</v>
      </c>
      <c r="T512" t="s">
        <v>12802</v>
      </c>
      <c r="U512" t="s">
        <v>12802</v>
      </c>
      <c r="V512" t="s">
        <v>12802</v>
      </c>
      <c r="W512" t="s">
        <v>13310</v>
      </c>
      <c r="X512">
        <v>1</v>
      </c>
      <c r="Y512" t="s">
        <v>19633</v>
      </c>
      <c r="Z512" t="s">
        <v>25830</v>
      </c>
      <c r="AA512">
        <v>0.3382370328116151</v>
      </c>
      <c r="AB512" t="str">
        <f>HYPERLINK("Melting_Curves/meltCurve_E7EUL7_SSFA2.pdf", "Melting_Curves/meltCurve_E7EUL7_SSFA2.pdf")</f>
        <v>Melting_Curves/meltCurve_E7EUL7_SSFA2.pdf</v>
      </c>
    </row>
    <row r="513" spans="1:28" x14ac:dyDescent="0.25">
      <c r="A513" t="s">
        <v>517</v>
      </c>
      <c r="B513">
        <v>0.99542014353169495</v>
      </c>
      <c r="C513">
        <v>0.97152262665064903</v>
      </c>
      <c r="D513">
        <v>0.94320044805357195</v>
      </c>
      <c r="E513">
        <v>0.77444197645200696</v>
      </c>
      <c r="F513">
        <v>0.58296039461307503</v>
      </c>
      <c r="G513">
        <v>0.22612297161645101</v>
      </c>
      <c r="H513">
        <v>0.15348278908680901</v>
      </c>
      <c r="I513">
        <v>0.12900641589414599</v>
      </c>
      <c r="J513">
        <v>0.132307933456601</v>
      </c>
      <c r="K513">
        <v>0.11014355860422601</v>
      </c>
      <c r="L513">
        <v>937.38195785882203</v>
      </c>
      <c r="M513">
        <v>18.799859077800701</v>
      </c>
      <c r="N513">
        <v>50.441171653757102</v>
      </c>
      <c r="O513">
        <v>49.3072309775131</v>
      </c>
      <c r="P513">
        <v>-8.6057564731033501E-2</v>
      </c>
      <c r="Q513">
        <v>9.7209436991931894E-2</v>
      </c>
      <c r="R513">
        <v>0.99319328884937796</v>
      </c>
      <c r="S513" t="s">
        <v>6915</v>
      </c>
      <c r="T513" t="s">
        <v>12802</v>
      </c>
      <c r="U513" t="s">
        <v>12802</v>
      </c>
      <c r="V513" t="s">
        <v>12802</v>
      </c>
      <c r="W513" t="s">
        <v>13311</v>
      </c>
      <c r="X513">
        <v>8</v>
      </c>
      <c r="Y513" t="s">
        <v>19634</v>
      </c>
      <c r="Z513" t="s">
        <v>25831</v>
      </c>
      <c r="AA513">
        <v>0.49747889933332912</v>
      </c>
      <c r="AB513" t="str">
        <f>HYPERLINK("Melting_Curves/meltCurve_E7EUM5_NUP54.pdf", "Melting_Curves/meltCurve_E7EUM5_NUP54.pdf")</f>
        <v>Melting_Curves/meltCurve_E7EUM5_NUP54.pdf</v>
      </c>
    </row>
    <row r="514" spans="1:28" x14ac:dyDescent="0.25">
      <c r="A514" t="s">
        <v>518</v>
      </c>
      <c r="B514">
        <v>0.99542014353169495</v>
      </c>
      <c r="C514">
        <v>0.81172807498920196</v>
      </c>
      <c r="D514">
        <v>0.92634281236207905</v>
      </c>
      <c r="E514">
        <v>0.69180529712299899</v>
      </c>
      <c r="F514">
        <v>0.574763916697549</v>
      </c>
      <c r="G514">
        <v>0.24168382583729001</v>
      </c>
      <c r="H514">
        <v>0.110061629609658</v>
      </c>
      <c r="I514">
        <v>2.7639025047554201E-2</v>
      </c>
      <c r="J514">
        <v>0</v>
      </c>
      <c r="K514">
        <v>4.2286284263509798E-2</v>
      </c>
      <c r="L514">
        <v>707.90073539152002</v>
      </c>
      <c r="M514">
        <v>14.1733363602278</v>
      </c>
      <c r="N514">
        <v>49.9459591068481</v>
      </c>
      <c r="O514">
        <v>48.983216067368502</v>
      </c>
      <c r="P514">
        <v>-7.2346841832512401E-2</v>
      </c>
      <c r="Q514">
        <v>0</v>
      </c>
      <c r="R514">
        <v>0.97083185603657096</v>
      </c>
      <c r="S514" t="s">
        <v>6916</v>
      </c>
      <c r="T514" t="s">
        <v>12802</v>
      </c>
      <c r="U514" t="s">
        <v>12802</v>
      </c>
      <c r="V514" t="s">
        <v>12802</v>
      </c>
      <c r="W514" t="s">
        <v>13312</v>
      </c>
      <c r="X514">
        <v>4</v>
      </c>
      <c r="Y514" t="s">
        <v>19635</v>
      </c>
      <c r="Z514" t="s">
        <v>25832</v>
      </c>
      <c r="AA514">
        <v>0.45422520139329481</v>
      </c>
      <c r="AB514" t="str">
        <f>HYPERLINK("Melting_Curves/meltCurve_E7EUN2_AGAP1.pdf", "Melting_Curves/meltCurve_E7EUN2_AGAP1.pdf")</f>
        <v>Melting_Curves/meltCurve_E7EUN2_AGAP1.pdf</v>
      </c>
    </row>
    <row r="515" spans="1:28" x14ac:dyDescent="0.25">
      <c r="A515" t="s">
        <v>519</v>
      </c>
      <c r="B515">
        <v>0.99542014353169495</v>
      </c>
      <c r="C515">
        <v>1.01657702995512</v>
      </c>
      <c r="D515">
        <v>0.92905284825706502</v>
      </c>
      <c r="E515">
        <v>0.850481128510441</v>
      </c>
      <c r="F515">
        <v>0.61197853734840602</v>
      </c>
      <c r="G515">
        <v>0.31253287202077901</v>
      </c>
      <c r="H515">
        <v>0.23784874310830401</v>
      </c>
      <c r="I515">
        <v>0.219098505735422</v>
      </c>
      <c r="J515">
        <v>0.223287434127006</v>
      </c>
      <c r="K515">
        <v>0.25242454762973399</v>
      </c>
      <c r="L515">
        <v>1122.2193888331799</v>
      </c>
      <c r="M515">
        <v>22.504538112474201</v>
      </c>
      <c r="N515">
        <v>51.1501002379689</v>
      </c>
      <c r="O515">
        <v>49.477619555281002</v>
      </c>
      <c r="P515">
        <v>-8.9177683174183897E-2</v>
      </c>
      <c r="Q515">
        <v>0.215765383678864</v>
      </c>
      <c r="R515">
        <v>0.99397970445505202</v>
      </c>
      <c r="S515" t="s">
        <v>6917</v>
      </c>
      <c r="T515" t="s">
        <v>12802</v>
      </c>
      <c r="U515" t="s">
        <v>12802</v>
      </c>
      <c r="V515" t="s">
        <v>12802</v>
      </c>
      <c r="W515" t="s">
        <v>13313</v>
      </c>
      <c r="X515">
        <v>1</v>
      </c>
      <c r="Y515" t="s">
        <v>19636</v>
      </c>
      <c r="Z515" t="s">
        <v>25833</v>
      </c>
      <c r="AA515">
        <v>0.56045413722101856</v>
      </c>
      <c r="AB515" t="str">
        <f>HYPERLINK("Melting_Curves/meltCurve_E7EUU1_LTBP4.pdf", "Melting_Curves/meltCurve_E7EUU1_LTBP4.pdf")</f>
        <v>Melting_Curves/meltCurve_E7EUU1_LTBP4.pdf</v>
      </c>
    </row>
    <row r="516" spans="1:28" x14ac:dyDescent="0.25">
      <c r="A516" t="s">
        <v>520</v>
      </c>
      <c r="B516">
        <v>0.99542014353169495</v>
      </c>
      <c r="C516">
        <v>0.84188887214235597</v>
      </c>
      <c r="D516">
        <v>0.74199671849249205</v>
      </c>
      <c r="E516">
        <v>0.61344103231272296</v>
      </c>
      <c r="F516">
        <v>0.49996684289423599</v>
      </c>
      <c r="G516">
        <v>0.42165557127791897</v>
      </c>
      <c r="H516">
        <v>0.38396664513876</v>
      </c>
      <c r="I516">
        <v>0.24358197494556499</v>
      </c>
      <c r="J516">
        <v>0.310901021733553</v>
      </c>
      <c r="K516">
        <v>0.28395619190456001</v>
      </c>
      <c r="L516">
        <v>432.313106598243</v>
      </c>
      <c r="M516">
        <v>9.2798926258687793</v>
      </c>
      <c r="N516">
        <v>50.018701693142198</v>
      </c>
      <c r="O516">
        <v>44.576012892086801</v>
      </c>
      <c r="P516">
        <v>-3.9813082841735098E-2</v>
      </c>
      <c r="Q516">
        <v>0.235524917447377</v>
      </c>
      <c r="R516">
        <v>0.98140638193394802</v>
      </c>
      <c r="S516" t="s">
        <v>6918</v>
      </c>
      <c r="T516" t="s">
        <v>12802</v>
      </c>
      <c r="U516" t="s">
        <v>12802</v>
      </c>
      <c r="V516" t="s">
        <v>12802</v>
      </c>
      <c r="W516" t="s">
        <v>13314</v>
      </c>
      <c r="X516">
        <v>6</v>
      </c>
      <c r="Y516" t="s">
        <v>19637</v>
      </c>
      <c r="Z516" t="s">
        <v>25834</v>
      </c>
      <c r="AA516">
        <v>0.51750943960917772</v>
      </c>
      <c r="AB516" t="str">
        <f>HYPERLINK("Melting_Curves/meltCurve_E7EUY3_PCCB.pdf", "Melting_Curves/meltCurve_E7EUY3_PCCB.pdf")</f>
        <v>Melting_Curves/meltCurve_E7EUY3_PCCB.pdf</v>
      </c>
    </row>
    <row r="517" spans="1:28" x14ac:dyDescent="0.25">
      <c r="A517" t="s">
        <v>521</v>
      </c>
      <c r="B517">
        <v>0.99542014353169495</v>
      </c>
      <c r="C517">
        <v>0.94670090043728505</v>
      </c>
      <c r="D517">
        <v>0.82670270136316204</v>
      </c>
      <c r="E517">
        <v>0.47111510972967402</v>
      </c>
      <c r="F517">
        <v>0.27393646286468598</v>
      </c>
      <c r="G517">
        <v>0.12961465851838999</v>
      </c>
      <c r="H517">
        <v>0.118232702819087</v>
      </c>
      <c r="I517">
        <v>0.117304713307916</v>
      </c>
      <c r="J517">
        <v>0.17999485454195399</v>
      </c>
      <c r="K517">
        <v>0.104754419054435</v>
      </c>
      <c r="L517">
        <v>942.05256067652203</v>
      </c>
      <c r="M517">
        <v>20.572742322152699</v>
      </c>
      <c r="N517">
        <v>46.420614776156199</v>
      </c>
      <c r="O517">
        <v>45.365230707028999</v>
      </c>
      <c r="P517">
        <v>-9.9579128034244499E-2</v>
      </c>
      <c r="Q517">
        <v>0.121692652969911</v>
      </c>
      <c r="R517">
        <v>0.99506239517766204</v>
      </c>
      <c r="S517" t="s">
        <v>6919</v>
      </c>
      <c r="T517" t="s">
        <v>12802</v>
      </c>
      <c r="U517" t="s">
        <v>12802</v>
      </c>
      <c r="V517" t="s">
        <v>12802</v>
      </c>
      <c r="W517" t="s">
        <v>13315</v>
      </c>
      <c r="X517">
        <v>3</v>
      </c>
      <c r="Y517" t="s">
        <v>19638</v>
      </c>
      <c r="Z517" t="s">
        <v>25835</v>
      </c>
      <c r="AA517">
        <v>0.38991631593866</v>
      </c>
      <c r="AB517" t="str">
        <f>HYPERLINK("Melting_Curves/meltCurve_E7EV43_RWDD4.pdf", "Melting_Curves/meltCurve_E7EV43_RWDD4.pdf")</f>
        <v>Melting_Curves/meltCurve_E7EV43_RWDD4.pdf</v>
      </c>
    </row>
    <row r="518" spans="1:28" x14ac:dyDescent="0.25">
      <c r="A518" t="s">
        <v>522</v>
      </c>
      <c r="B518">
        <v>0.99542014353169495</v>
      </c>
      <c r="C518">
        <v>0.898090690688502</v>
      </c>
      <c r="D518">
        <v>0.85333793504061595</v>
      </c>
      <c r="E518">
        <v>0.65635533419245395</v>
      </c>
      <c r="F518">
        <v>0.51304133941541696</v>
      </c>
      <c r="G518">
        <v>0.28921195343205902</v>
      </c>
      <c r="H518">
        <v>0.20641825185702001</v>
      </c>
      <c r="I518">
        <v>0.14487196532684099</v>
      </c>
      <c r="J518">
        <v>0.22355688949727801</v>
      </c>
      <c r="K518">
        <v>0.25030659879842299</v>
      </c>
      <c r="L518">
        <v>654.02997212565197</v>
      </c>
      <c r="M518">
        <v>13.6652564272842</v>
      </c>
      <c r="N518">
        <v>49.351473747128502</v>
      </c>
      <c r="O518">
        <v>46.870758270758202</v>
      </c>
      <c r="P518">
        <v>-6.0572151945149103E-2</v>
      </c>
      <c r="Q518">
        <v>0.16908992029829101</v>
      </c>
      <c r="R518">
        <v>0.98120233040617499</v>
      </c>
      <c r="S518" t="s">
        <v>6920</v>
      </c>
      <c r="T518" t="s">
        <v>12802</v>
      </c>
      <c r="U518" t="s">
        <v>12802</v>
      </c>
      <c r="V518" t="s">
        <v>12802</v>
      </c>
      <c r="W518" t="s">
        <v>13316</v>
      </c>
      <c r="X518">
        <v>4</v>
      </c>
      <c r="Y518" t="s">
        <v>19639</v>
      </c>
      <c r="Z518" t="s">
        <v>25836</v>
      </c>
      <c r="AA518">
        <v>0.49132126487752931</v>
      </c>
      <c r="AB518" t="str">
        <f>HYPERLINK("Melting_Curves/meltCurve_E7EV46_PGBD3.pdf", "Melting_Curves/meltCurve_E7EV46_PGBD3.pdf")</f>
        <v>Melting_Curves/meltCurve_E7EV46_PGBD3.pdf</v>
      </c>
    </row>
    <row r="519" spans="1:28" x14ac:dyDescent="0.25">
      <c r="A519" t="s">
        <v>523</v>
      </c>
      <c r="B519">
        <v>0.99542014353169495</v>
      </c>
      <c r="C519">
        <v>0.96547516529171695</v>
      </c>
      <c r="D519">
        <v>1.08391050116318</v>
      </c>
      <c r="E519">
        <v>0.49854753391816098</v>
      </c>
      <c r="F519">
        <v>0.31792532697474701</v>
      </c>
      <c r="G519">
        <v>0.15970882698806901</v>
      </c>
      <c r="H519">
        <v>0.120905084026079</v>
      </c>
      <c r="I519">
        <v>0.111388028239465</v>
      </c>
      <c r="J519">
        <v>0.117542975998877</v>
      </c>
      <c r="K519">
        <v>0.158803659520347</v>
      </c>
      <c r="L519">
        <v>1787.8716364619299</v>
      </c>
      <c r="M519">
        <v>38.520422547978598</v>
      </c>
      <c r="N519">
        <v>46.854596789564603</v>
      </c>
      <c r="O519">
        <v>46.289042664722601</v>
      </c>
      <c r="P519">
        <v>-0.176410192819034</v>
      </c>
      <c r="Q519">
        <v>0.152050883675519</v>
      </c>
      <c r="R519">
        <v>0.97528234886057996</v>
      </c>
      <c r="S519" t="s">
        <v>6921</v>
      </c>
      <c r="T519" t="s">
        <v>12802</v>
      </c>
      <c r="U519" t="s">
        <v>12802</v>
      </c>
      <c r="V519" t="s">
        <v>12802</v>
      </c>
      <c r="W519" t="s">
        <v>13317</v>
      </c>
      <c r="X519">
        <v>10</v>
      </c>
      <c r="Y519" t="s">
        <v>19640</v>
      </c>
      <c r="Z519" t="s">
        <v>25837</v>
      </c>
      <c r="AA519">
        <v>0.42106303783235288</v>
      </c>
      <c r="AB519" t="str">
        <f>HYPERLINK("Melting_Curves/meltCurve_E7EV56_PCM1.pdf", "Melting_Curves/meltCurve_E7EV56_PCM1.pdf")</f>
        <v>Melting_Curves/meltCurve_E7EV56_PCM1.pdf</v>
      </c>
    </row>
    <row r="520" spans="1:28" x14ac:dyDescent="0.25">
      <c r="A520" t="s">
        <v>524</v>
      </c>
      <c r="B520">
        <v>0.99542014353169495</v>
      </c>
      <c r="C520">
        <v>0.993650353211329</v>
      </c>
      <c r="D520">
        <v>0.97754251779970103</v>
      </c>
      <c r="E520">
        <v>0.90403569798569905</v>
      </c>
      <c r="F520">
        <v>0.72957906268079398</v>
      </c>
      <c r="G520">
        <v>0.50630503476017497</v>
      </c>
      <c r="H520">
        <v>0.31892243169128398</v>
      </c>
      <c r="I520">
        <v>0.25157931851204601</v>
      </c>
      <c r="J520">
        <v>0.27898398228569798</v>
      </c>
      <c r="K520">
        <v>0.25373280870502202</v>
      </c>
      <c r="L520">
        <v>974.92942397779598</v>
      </c>
      <c r="M520">
        <v>18.827104188451699</v>
      </c>
      <c r="N520">
        <v>53.593208669679797</v>
      </c>
      <c r="O520">
        <v>51.2096871266424</v>
      </c>
      <c r="P520">
        <v>-7.0292590005180497E-2</v>
      </c>
      <c r="Q520">
        <v>0.235248776061495</v>
      </c>
      <c r="R520">
        <v>0.99769807215922102</v>
      </c>
      <c r="S520" t="s">
        <v>6922</v>
      </c>
      <c r="T520" t="s">
        <v>12802</v>
      </c>
      <c r="U520" t="s">
        <v>12802</v>
      </c>
      <c r="V520" t="s">
        <v>12802</v>
      </c>
      <c r="W520" t="s">
        <v>13318</v>
      </c>
      <c r="X520">
        <v>28</v>
      </c>
      <c r="Y520" t="s">
        <v>19641</v>
      </c>
      <c r="Z520" t="s">
        <v>25838</v>
      </c>
      <c r="AA520">
        <v>0.62298840803859945</v>
      </c>
      <c r="AB520" t="str">
        <f>HYPERLINK("Melting_Curves/meltCurve_E7EV99_ADD1.pdf", "Melting_Curves/meltCurve_E7EV99_ADD1.pdf")</f>
        <v>Melting_Curves/meltCurve_E7EV99_ADD1.pdf</v>
      </c>
    </row>
    <row r="521" spans="1:28" x14ac:dyDescent="0.25">
      <c r="A521" t="s">
        <v>525</v>
      </c>
      <c r="B521">
        <v>0.99542014353169495</v>
      </c>
      <c r="C521">
        <v>1.0416343149613401</v>
      </c>
      <c r="D521">
        <v>0.99497733328539095</v>
      </c>
      <c r="E521">
        <v>1.00279866090738</v>
      </c>
      <c r="F521">
        <v>0.85577678935971302</v>
      </c>
      <c r="G521">
        <v>0.70911742192004801</v>
      </c>
      <c r="H521">
        <v>0.60071386456505904</v>
      </c>
      <c r="I521">
        <v>0.58586956241590005</v>
      </c>
      <c r="J521">
        <v>0.91034120048547995</v>
      </c>
      <c r="K521">
        <v>1.1299336254315899</v>
      </c>
      <c r="L521">
        <v>12512.684467377299</v>
      </c>
      <c r="M521">
        <v>250</v>
      </c>
      <c r="O521">
        <v>50.047534881264603</v>
      </c>
      <c r="P521">
        <v>-0.26575342942955399</v>
      </c>
      <c r="Q521">
        <v>0.78719513547196696</v>
      </c>
      <c r="R521">
        <v>0.33666578476193099</v>
      </c>
      <c r="S521" t="s">
        <v>6923</v>
      </c>
      <c r="T521" t="s">
        <v>12802</v>
      </c>
      <c r="U521" t="s">
        <v>12802</v>
      </c>
      <c r="V521" t="s">
        <v>12802</v>
      </c>
      <c r="W521" t="s">
        <v>13319</v>
      </c>
      <c r="X521">
        <v>94</v>
      </c>
      <c r="Y521" t="s">
        <v>19642</v>
      </c>
      <c r="Z521" t="s">
        <v>25839</v>
      </c>
      <c r="AA521">
        <v>0.87978917802598899</v>
      </c>
      <c r="AB521" t="str">
        <f>HYPERLINK("Melting_Curves/meltCurve_E7EVA0_MAP4.pdf", "Melting_Curves/meltCurve_E7EVA0_MAP4.pdf")</f>
        <v>Melting_Curves/meltCurve_E7EVA0_MAP4.pdf</v>
      </c>
    </row>
    <row r="522" spans="1:28" x14ac:dyDescent="0.25">
      <c r="A522" t="s">
        <v>526</v>
      </c>
      <c r="B522">
        <v>0.99542014353169495</v>
      </c>
      <c r="C522">
        <v>1.00555691109666</v>
      </c>
      <c r="D522">
        <v>0.96738481293948597</v>
      </c>
      <c r="E522">
        <v>0.86734483253531802</v>
      </c>
      <c r="F522">
        <v>0.68892050887451595</v>
      </c>
      <c r="G522">
        <v>0.46989697129949798</v>
      </c>
      <c r="H522">
        <v>0.198980977707027</v>
      </c>
      <c r="I522">
        <v>0.142981500198267</v>
      </c>
      <c r="J522">
        <v>0.140065938986938</v>
      </c>
      <c r="K522">
        <v>0.14152544359757499</v>
      </c>
      <c r="L522">
        <v>892.50141016729799</v>
      </c>
      <c r="M522">
        <v>17.139082644507599</v>
      </c>
      <c r="N522">
        <v>52.725446882804</v>
      </c>
      <c r="O522">
        <v>51.380633161406401</v>
      </c>
      <c r="P522">
        <v>-7.5440373720957202E-2</v>
      </c>
      <c r="Q522">
        <v>9.5414305699580801E-2</v>
      </c>
      <c r="R522">
        <v>0.99513453378054195</v>
      </c>
      <c r="S522" t="s">
        <v>6924</v>
      </c>
      <c r="T522" t="s">
        <v>12802</v>
      </c>
      <c r="U522" t="s">
        <v>12802</v>
      </c>
      <c r="V522" t="s">
        <v>12802</v>
      </c>
      <c r="W522" t="s">
        <v>13320</v>
      </c>
      <c r="X522">
        <v>13</v>
      </c>
      <c r="Y522" t="s">
        <v>19643</v>
      </c>
      <c r="Z522" t="s">
        <v>25840</v>
      </c>
      <c r="AA522">
        <v>0.56454089881309177</v>
      </c>
      <c r="AB522" t="str">
        <f>HYPERLINK("Melting_Curves/meltCurve_E7EVC7_ATG16L1.pdf", "Melting_Curves/meltCurve_E7EVC7_ATG16L1.pdf")</f>
        <v>Melting_Curves/meltCurve_E7EVC7_ATG16L1.pdf</v>
      </c>
    </row>
    <row r="523" spans="1:28" x14ac:dyDescent="0.25">
      <c r="A523" t="s">
        <v>527</v>
      </c>
      <c r="B523">
        <v>0.99542014353169495</v>
      </c>
      <c r="C523">
        <v>1.0496426906621401</v>
      </c>
      <c r="D523">
        <v>0.92519807970240397</v>
      </c>
      <c r="E523">
        <v>0.88320910347010995</v>
      </c>
      <c r="F523">
        <v>0.69985015385591598</v>
      </c>
      <c r="G523">
        <v>0.52975020482499802</v>
      </c>
      <c r="H523">
        <v>0.38253186227878899</v>
      </c>
      <c r="I523">
        <v>0.29874968017648401</v>
      </c>
      <c r="J523">
        <v>0.28993510284679802</v>
      </c>
      <c r="K523">
        <v>0.21454516409959901</v>
      </c>
      <c r="L523">
        <v>698.89521403389995</v>
      </c>
      <c r="M523">
        <v>13.3563587189541</v>
      </c>
      <c r="N523">
        <v>54.3668141188544</v>
      </c>
      <c r="O523">
        <v>51.195525121099998</v>
      </c>
      <c r="P523">
        <v>-5.2375848508728597E-2</v>
      </c>
      <c r="Q523">
        <v>0.19709174012931099</v>
      </c>
      <c r="R523">
        <v>0.99291089397230403</v>
      </c>
      <c r="S523" t="s">
        <v>6925</v>
      </c>
      <c r="T523" t="s">
        <v>12802</v>
      </c>
      <c r="U523" t="s">
        <v>12802</v>
      </c>
      <c r="V523" t="s">
        <v>12802</v>
      </c>
      <c r="W523" t="s">
        <v>13321</v>
      </c>
      <c r="X523">
        <v>31</v>
      </c>
      <c r="Y523" t="s">
        <v>19644</v>
      </c>
      <c r="Z523" t="s">
        <v>25841</v>
      </c>
      <c r="AA523">
        <v>0.62418885886099174</v>
      </c>
      <c r="AB523" t="str">
        <f>HYPERLINK("Melting_Curves/meltCurve_E7EVH7_KLC1.pdf", "Melting_Curves/meltCurve_E7EVH7_KLC1.pdf")</f>
        <v>Melting_Curves/meltCurve_E7EVH7_KLC1.pdf</v>
      </c>
    </row>
    <row r="524" spans="1:28" x14ac:dyDescent="0.25">
      <c r="A524" t="s">
        <v>528</v>
      </c>
      <c r="B524">
        <v>0.99542014353169495</v>
      </c>
      <c r="C524">
        <v>1.0303648565351999</v>
      </c>
      <c r="D524">
        <v>1.0477605164859201</v>
      </c>
      <c r="E524">
        <v>1.0047512811778201</v>
      </c>
      <c r="F524">
        <v>0.98227332476198803</v>
      </c>
      <c r="G524">
        <v>0.75141280886650097</v>
      </c>
      <c r="H524">
        <v>0.46559369314500199</v>
      </c>
      <c r="I524">
        <v>0.14457677135812699</v>
      </c>
      <c r="J524">
        <v>8.75645281358155E-2</v>
      </c>
      <c r="K524">
        <v>9.0963383088491806E-2</v>
      </c>
      <c r="L524">
        <v>1396.89254062947</v>
      </c>
      <c r="M524">
        <v>24.740699248122699</v>
      </c>
      <c r="N524">
        <v>56.696889454298898</v>
      </c>
      <c r="O524">
        <v>56.096338545175698</v>
      </c>
      <c r="P524">
        <v>-0.104876333780028</v>
      </c>
      <c r="Q524">
        <v>4.8839466389769201E-2</v>
      </c>
      <c r="R524">
        <v>0.99490305382668198</v>
      </c>
      <c r="S524" t="s">
        <v>6926</v>
      </c>
      <c r="T524" t="s">
        <v>12802</v>
      </c>
      <c r="U524" t="s">
        <v>12802</v>
      </c>
      <c r="V524" t="s">
        <v>12802</v>
      </c>
      <c r="W524" t="s">
        <v>13322</v>
      </c>
      <c r="X524">
        <v>6</v>
      </c>
      <c r="Y524" t="s">
        <v>19645</v>
      </c>
      <c r="Z524" t="s">
        <v>25842</v>
      </c>
      <c r="AA524">
        <v>0.67342491323152032</v>
      </c>
      <c r="AB524" t="str">
        <f>HYPERLINK("Melting_Curves/meltCurve_E7EVH9_HDHD1.pdf", "Melting_Curves/meltCurve_E7EVH9_HDHD1.pdf")</f>
        <v>Melting_Curves/meltCurve_E7EVH9_HDHD1.pdf</v>
      </c>
    </row>
    <row r="525" spans="1:28" x14ac:dyDescent="0.25">
      <c r="A525" t="s">
        <v>529</v>
      </c>
      <c r="B525">
        <v>0.99542014353169495</v>
      </c>
      <c r="C525">
        <v>0.93857703784825797</v>
      </c>
      <c r="D525">
        <v>1.03828506907291</v>
      </c>
      <c r="E525">
        <v>0.88155368584154203</v>
      </c>
      <c r="F525">
        <v>0.51867675117147005</v>
      </c>
      <c r="G525">
        <v>0.18006527513571999</v>
      </c>
      <c r="H525">
        <v>0.114614556531592</v>
      </c>
      <c r="I525">
        <v>9.5813238212188206E-2</v>
      </c>
      <c r="J525">
        <v>0.16852828315200499</v>
      </c>
      <c r="K525">
        <v>0.25175003892845399</v>
      </c>
      <c r="L525">
        <v>1670.0912031518101</v>
      </c>
      <c r="M525">
        <v>33.641848631969701</v>
      </c>
      <c r="N525">
        <v>50.177982606681901</v>
      </c>
      <c r="O525">
        <v>49.468838434285701</v>
      </c>
      <c r="P525">
        <v>-0.14440494665300299</v>
      </c>
      <c r="Q525">
        <v>0.15063936353787</v>
      </c>
      <c r="R525">
        <v>0.98367403754418403</v>
      </c>
      <c r="S525" t="s">
        <v>6927</v>
      </c>
      <c r="T525" t="s">
        <v>12802</v>
      </c>
      <c r="U525" t="s">
        <v>12802</v>
      </c>
      <c r="V525" t="s">
        <v>12802</v>
      </c>
      <c r="W525" t="s">
        <v>13323</v>
      </c>
      <c r="X525">
        <v>1</v>
      </c>
      <c r="Y525" t="s">
        <v>19646</v>
      </c>
      <c r="Z525" t="s">
        <v>25843</v>
      </c>
      <c r="AA525">
        <v>0.51271921589078495</v>
      </c>
      <c r="AB525" t="str">
        <f>HYPERLINK("Melting_Curves/meltCurve_E7EVK2_MTG1.pdf", "Melting_Curves/meltCurve_E7EVK2_MTG1.pdf")</f>
        <v>Melting_Curves/meltCurve_E7EVK2_MTG1.pdf</v>
      </c>
    </row>
    <row r="526" spans="1:28" x14ac:dyDescent="0.25">
      <c r="A526" t="s">
        <v>530</v>
      </c>
      <c r="B526">
        <v>0.99542014353169495</v>
      </c>
      <c r="C526">
        <v>1.0864543555522701</v>
      </c>
      <c r="D526">
        <v>1.0379283388379099</v>
      </c>
      <c r="E526">
        <v>0.86301771635129498</v>
      </c>
      <c r="F526">
        <v>0.70906494698584499</v>
      </c>
      <c r="G526">
        <v>0.50873337913563499</v>
      </c>
      <c r="H526">
        <v>0.338572639661398</v>
      </c>
      <c r="I526">
        <v>0.26360674135973</v>
      </c>
      <c r="J526">
        <v>0.33464954370639699</v>
      </c>
      <c r="K526">
        <v>0.42672898814890398</v>
      </c>
      <c r="L526">
        <v>1101.3566350973999</v>
      </c>
      <c r="M526">
        <v>21.744654646817999</v>
      </c>
      <c r="N526">
        <v>53.2886121825739</v>
      </c>
      <c r="O526">
        <v>50.227012629720498</v>
      </c>
      <c r="P526">
        <v>-7.2552493679378105E-2</v>
      </c>
      <c r="Q526">
        <v>0.32967270802105603</v>
      </c>
      <c r="R526">
        <v>0.96622960721308804</v>
      </c>
      <c r="S526" t="s">
        <v>6928</v>
      </c>
      <c r="T526" t="s">
        <v>12802</v>
      </c>
      <c r="U526" t="s">
        <v>12802</v>
      </c>
      <c r="V526" t="s">
        <v>12802</v>
      </c>
      <c r="W526" t="s">
        <v>13324</v>
      </c>
      <c r="X526">
        <v>7</v>
      </c>
      <c r="Y526" t="s">
        <v>19647</v>
      </c>
      <c r="Z526" t="s">
        <v>25844</v>
      </c>
      <c r="AA526">
        <v>0.64227261610508035</v>
      </c>
      <c r="AB526" t="str">
        <f>HYPERLINK("Melting_Curves/meltCurve_E7EVM2_TAL1.pdf", "Melting_Curves/meltCurve_E7EVM2_TAL1.pdf")</f>
        <v>Melting_Curves/meltCurve_E7EVM2_TAL1.pdf</v>
      </c>
    </row>
    <row r="527" spans="1:28" x14ac:dyDescent="0.25">
      <c r="A527" t="s">
        <v>531</v>
      </c>
      <c r="B527">
        <v>0.99542014353169495</v>
      </c>
      <c r="C527">
        <v>1.08264915157282</v>
      </c>
      <c r="D527">
        <v>0.95811157662171997</v>
      </c>
      <c r="E527">
        <v>0.88603023517249302</v>
      </c>
      <c r="F527">
        <v>0.77811328842001404</v>
      </c>
      <c r="G527">
        <v>0.418689834833948</v>
      </c>
      <c r="H527">
        <v>0.34879242424330398</v>
      </c>
      <c r="I527">
        <v>0.16204776057504799</v>
      </c>
      <c r="J527">
        <v>0.126469879944518</v>
      </c>
      <c r="K527">
        <v>0.16871277767876</v>
      </c>
      <c r="L527">
        <v>919.33926607052797</v>
      </c>
      <c r="M527">
        <v>17.479593795942598</v>
      </c>
      <c r="N527">
        <v>53.432749528581603</v>
      </c>
      <c r="O527">
        <v>51.921098052969697</v>
      </c>
      <c r="P527">
        <v>-7.4080857418522605E-2</v>
      </c>
      <c r="Q527">
        <v>0.119854505515545</v>
      </c>
      <c r="R527">
        <v>0.98438570339421805</v>
      </c>
      <c r="S527" t="s">
        <v>6929</v>
      </c>
      <c r="T527" t="s">
        <v>12802</v>
      </c>
      <c r="U527" t="s">
        <v>12802</v>
      </c>
      <c r="V527" t="s">
        <v>12802</v>
      </c>
      <c r="W527" t="s">
        <v>13325</v>
      </c>
      <c r="X527">
        <v>16</v>
      </c>
      <c r="Y527" t="s">
        <v>19648</v>
      </c>
      <c r="Z527" t="s">
        <v>25845</v>
      </c>
      <c r="AA527">
        <v>0.59092601232369135</v>
      </c>
      <c r="AB527" t="str">
        <f>HYPERLINK("Melting_Curves/meltCurve_E7EVZ2_YWHAZ.pdf", "Melting_Curves/meltCurve_E7EVZ2_YWHAZ.pdf")</f>
        <v>Melting_Curves/meltCurve_E7EVZ2_YWHAZ.pdf</v>
      </c>
    </row>
    <row r="528" spans="1:28" x14ac:dyDescent="0.25">
      <c r="A528" t="s">
        <v>532</v>
      </c>
      <c r="B528">
        <v>0.99542014353169495</v>
      </c>
      <c r="C528">
        <v>1.1558369243491999</v>
      </c>
      <c r="D528">
        <v>1.24298914346747</v>
      </c>
      <c r="E528">
        <v>0.67011197777078402</v>
      </c>
      <c r="F528">
        <v>0.247420666865655</v>
      </c>
      <c r="G528">
        <v>0.15709054838693001</v>
      </c>
      <c r="H528">
        <v>8.9632435701281196E-2</v>
      </c>
      <c r="I528">
        <v>5.9890492460742503E-2</v>
      </c>
      <c r="J528">
        <v>7.1494548683148001E-2</v>
      </c>
      <c r="K528">
        <v>6.9352825100037305E-2</v>
      </c>
      <c r="L528">
        <v>1770.6808374259799</v>
      </c>
      <c r="M528">
        <v>37.205428789315903</v>
      </c>
      <c r="N528">
        <v>47.852684278575801</v>
      </c>
      <c r="O528">
        <v>47.455135566962099</v>
      </c>
      <c r="P528">
        <v>-0.17802434860230101</v>
      </c>
      <c r="Q528">
        <v>9.17297244931045E-2</v>
      </c>
      <c r="R528">
        <v>0.95348166462688599</v>
      </c>
      <c r="S528" t="s">
        <v>6930</v>
      </c>
      <c r="T528" t="s">
        <v>12802</v>
      </c>
      <c r="U528" t="s">
        <v>12802</v>
      </c>
      <c r="V528" t="s">
        <v>12802</v>
      </c>
      <c r="W528" t="s">
        <v>13326</v>
      </c>
      <c r="X528">
        <v>6</v>
      </c>
      <c r="Y528" t="s">
        <v>19649</v>
      </c>
      <c r="Z528" t="s">
        <v>25846</v>
      </c>
      <c r="AA528">
        <v>0.41586799395890273</v>
      </c>
      <c r="AB528" t="str">
        <f>HYPERLINK("Melting_Curves/meltCurve_E7EW05_SDAD1.pdf", "Melting_Curves/meltCurve_E7EW05_SDAD1.pdf")</f>
        <v>Melting_Curves/meltCurve_E7EW05_SDAD1.pdf</v>
      </c>
    </row>
    <row r="529" spans="1:28" x14ac:dyDescent="0.25">
      <c r="A529" t="s">
        <v>533</v>
      </c>
      <c r="B529">
        <v>0.99542014353169495</v>
      </c>
      <c r="C529">
        <v>0.99130745917447105</v>
      </c>
      <c r="D529">
        <v>1.05540131402193</v>
      </c>
      <c r="E529">
        <v>0.84942406286183203</v>
      </c>
      <c r="F529">
        <v>0.64909780792441196</v>
      </c>
      <c r="G529">
        <v>0.111218054533695</v>
      </c>
      <c r="H529">
        <v>6.7627093091827406E-2</v>
      </c>
      <c r="I529">
        <v>5.8615415073521901E-2</v>
      </c>
      <c r="J529">
        <v>4.8677862124207903E-2</v>
      </c>
      <c r="K529">
        <v>5.5269369725780698E-2</v>
      </c>
      <c r="L529">
        <v>1757.1851420165001</v>
      </c>
      <c r="M529">
        <v>34.635347250758997</v>
      </c>
      <c r="N529">
        <v>50.870364290306298</v>
      </c>
      <c r="O529">
        <v>50.565636254966002</v>
      </c>
      <c r="P529">
        <v>-0.163641603971661</v>
      </c>
      <c r="Q529">
        <v>4.4373831848668797E-2</v>
      </c>
      <c r="R529">
        <v>0.98960614982390105</v>
      </c>
      <c r="S529" t="s">
        <v>6931</v>
      </c>
      <c r="T529" t="s">
        <v>12802</v>
      </c>
      <c r="U529" t="s">
        <v>12802</v>
      </c>
      <c r="V529" t="s">
        <v>12802</v>
      </c>
      <c r="W529" t="s">
        <v>13327</v>
      </c>
      <c r="X529">
        <v>9</v>
      </c>
      <c r="Y529" t="s">
        <v>19650</v>
      </c>
      <c r="Z529" t="s">
        <v>25847</v>
      </c>
      <c r="AA529">
        <v>0.48632013618472603</v>
      </c>
      <c r="AB529" t="str">
        <f>HYPERLINK("Melting_Curves/meltCurve_E7EW20_MYO6.pdf", "Melting_Curves/meltCurve_E7EW20_MYO6.pdf")</f>
        <v>Melting_Curves/meltCurve_E7EW20_MYO6.pdf</v>
      </c>
    </row>
    <row r="530" spans="1:28" x14ac:dyDescent="0.25">
      <c r="A530" t="s">
        <v>534</v>
      </c>
      <c r="B530">
        <v>0.99542014353169495</v>
      </c>
      <c r="C530">
        <v>1.00008112822993</v>
      </c>
      <c r="D530">
        <v>0.90967273339784405</v>
      </c>
      <c r="E530">
        <v>0.83828038368719504</v>
      </c>
      <c r="F530">
        <v>0.57531948586007997</v>
      </c>
      <c r="G530">
        <v>0.39907698066584402</v>
      </c>
      <c r="H530">
        <v>0.218247166645267</v>
      </c>
      <c r="I530">
        <v>9.2012901474410103E-2</v>
      </c>
      <c r="J530">
        <v>5.7677442249336498E-2</v>
      </c>
      <c r="K530">
        <v>5.6237483907506498E-2</v>
      </c>
      <c r="L530">
        <v>695.09455926953797</v>
      </c>
      <c r="M530">
        <v>13.431966427172</v>
      </c>
      <c r="N530">
        <v>51.749277617051703</v>
      </c>
      <c r="O530">
        <v>50.6426100149245</v>
      </c>
      <c r="P530">
        <v>-6.6317927445368102E-2</v>
      </c>
      <c r="Q530">
        <v>0</v>
      </c>
      <c r="R530">
        <v>0.99725735602891896</v>
      </c>
      <c r="S530" t="s">
        <v>6932</v>
      </c>
      <c r="T530" t="s">
        <v>12802</v>
      </c>
      <c r="U530" t="s">
        <v>12802</v>
      </c>
      <c r="V530" t="s">
        <v>12802</v>
      </c>
      <c r="W530" t="s">
        <v>13328</v>
      </c>
      <c r="X530">
        <v>7</v>
      </c>
      <c r="Y530" t="s">
        <v>19651</v>
      </c>
      <c r="Z530" t="s">
        <v>25848</v>
      </c>
      <c r="AA530">
        <v>0.51357755021007145</v>
      </c>
      <c r="AB530" t="str">
        <f>HYPERLINK("Melting_Curves/meltCurve_E7EW32_MON1B.pdf", "Melting_Curves/meltCurve_E7EW32_MON1B.pdf")</f>
        <v>Melting_Curves/meltCurve_E7EW32_MON1B.pdf</v>
      </c>
    </row>
    <row r="531" spans="1:28" x14ac:dyDescent="0.25">
      <c r="A531" t="s">
        <v>535</v>
      </c>
      <c r="B531">
        <v>0.99542014353169495</v>
      </c>
      <c r="C531">
        <v>0.89198776324959905</v>
      </c>
      <c r="D531">
        <v>1.0038889831268201</v>
      </c>
      <c r="E531">
        <v>0.78273541153242099</v>
      </c>
      <c r="F531">
        <v>0.59028401647658302</v>
      </c>
      <c r="G531">
        <v>0.31200465599784999</v>
      </c>
      <c r="H531">
        <v>0.19635998364228599</v>
      </c>
      <c r="I531">
        <v>0.132977059762968</v>
      </c>
      <c r="J531">
        <v>0.14145747405694201</v>
      </c>
      <c r="K531">
        <v>0.11881076579092199</v>
      </c>
      <c r="L531">
        <v>849.94307117266999</v>
      </c>
      <c r="M531">
        <v>16.889151598285899</v>
      </c>
      <c r="N531">
        <v>51.013373821139702</v>
      </c>
      <c r="O531">
        <v>49.635150497745599</v>
      </c>
      <c r="P531">
        <v>-7.6400850892177297E-2</v>
      </c>
      <c r="Q531">
        <v>0.101926014832322</v>
      </c>
      <c r="R531">
        <v>0.98837240658140402</v>
      </c>
      <c r="S531" t="s">
        <v>6933</v>
      </c>
      <c r="T531" t="s">
        <v>12802</v>
      </c>
      <c r="U531" t="s">
        <v>12802</v>
      </c>
      <c r="V531" t="s">
        <v>12802</v>
      </c>
      <c r="W531" t="s">
        <v>13329</v>
      </c>
      <c r="X531">
        <v>4</v>
      </c>
      <c r="Y531" t="s">
        <v>19652</v>
      </c>
      <c r="Z531" t="s">
        <v>25849</v>
      </c>
      <c r="AA531">
        <v>0.51639794160106112</v>
      </c>
      <c r="AB531" t="str">
        <f>HYPERLINK("Melting_Curves/meltCurve_E7EWP0_NDUFB5.pdf", "Melting_Curves/meltCurve_E7EWP0_NDUFB5.pdf")</f>
        <v>Melting_Curves/meltCurve_E7EWP0_NDUFB5.pdf</v>
      </c>
    </row>
    <row r="532" spans="1:28" x14ac:dyDescent="0.25">
      <c r="A532" t="s">
        <v>536</v>
      </c>
      <c r="B532">
        <v>0.99542014353169495</v>
      </c>
      <c r="C532">
        <v>0.99973583207087702</v>
      </c>
      <c r="D532">
        <v>0.90363070955389102</v>
      </c>
      <c r="E532">
        <v>0.72338650266297599</v>
      </c>
      <c r="F532">
        <v>0.46658359760159601</v>
      </c>
      <c r="G532">
        <v>0.20733422158527101</v>
      </c>
      <c r="H532">
        <v>0.13575910333402999</v>
      </c>
      <c r="I532">
        <v>0.106556981248625</v>
      </c>
      <c r="J532">
        <v>0.15572235211347901</v>
      </c>
      <c r="K532">
        <v>7.3284202345235402E-2</v>
      </c>
      <c r="L532">
        <v>870.61283234484699</v>
      </c>
      <c r="M532">
        <v>17.824802005874002</v>
      </c>
      <c r="N532">
        <v>49.3876500136735</v>
      </c>
      <c r="O532">
        <v>48.240466308865898</v>
      </c>
      <c r="P532">
        <v>-8.41335756388676E-2</v>
      </c>
      <c r="Q532">
        <v>8.9261173679045999E-2</v>
      </c>
      <c r="R532">
        <v>0.99551224556540896</v>
      </c>
      <c r="S532" t="s">
        <v>6934</v>
      </c>
      <c r="T532" t="s">
        <v>12802</v>
      </c>
      <c r="U532" t="s">
        <v>12802</v>
      </c>
      <c r="V532" t="s">
        <v>12802</v>
      </c>
      <c r="W532" t="s">
        <v>13330</v>
      </c>
      <c r="X532">
        <v>5</v>
      </c>
      <c r="Y532" t="s">
        <v>19653</v>
      </c>
      <c r="Z532" t="s">
        <v>25850</v>
      </c>
      <c r="AA532">
        <v>0.4635289912229596</v>
      </c>
      <c r="AB532" t="str">
        <f>HYPERLINK("Melting_Curves/meltCurve_E7EWQ5_MAST4.pdf", "Melting_Curves/meltCurve_E7EWQ5_MAST4.pdf")</f>
        <v>Melting_Curves/meltCurve_E7EWQ5_MAST4.pdf</v>
      </c>
    </row>
    <row r="533" spans="1:28" x14ac:dyDescent="0.25">
      <c r="A533" t="s">
        <v>537</v>
      </c>
      <c r="B533">
        <v>0.99542014353169495</v>
      </c>
      <c r="C533">
        <v>1.0662173507752299</v>
      </c>
      <c r="D533">
        <v>1.02651033857734</v>
      </c>
      <c r="E533">
        <v>0.97993068096732605</v>
      </c>
      <c r="F533">
        <v>0.87239100696621297</v>
      </c>
      <c r="G533">
        <v>0.75843038969055099</v>
      </c>
      <c r="H533">
        <v>0.64629884021863704</v>
      </c>
      <c r="I533">
        <v>0.64278510825871105</v>
      </c>
      <c r="J533">
        <v>1.0601717892424201</v>
      </c>
      <c r="K533">
        <v>1.35382416550814</v>
      </c>
      <c r="L533">
        <v>15000</v>
      </c>
      <c r="M533">
        <v>232.42386116683599</v>
      </c>
      <c r="O533">
        <v>64.532502016394901</v>
      </c>
      <c r="P533">
        <v>0.318650469179449</v>
      </c>
      <c r="Q533">
        <v>1.3538932132872299</v>
      </c>
      <c r="R533">
        <v>0.21847231677009499</v>
      </c>
      <c r="S533" t="s">
        <v>6935</v>
      </c>
      <c r="T533" t="s">
        <v>12802</v>
      </c>
      <c r="U533" t="s">
        <v>12802</v>
      </c>
      <c r="V533" t="s">
        <v>12802</v>
      </c>
      <c r="W533" t="s">
        <v>13331</v>
      </c>
      <c r="X533">
        <v>57</v>
      </c>
      <c r="Y533" t="s">
        <v>19654</v>
      </c>
      <c r="Z533" t="s">
        <v>25851</v>
      </c>
      <c r="AA533">
        <v>1.029005841446492</v>
      </c>
      <c r="AB533" t="str">
        <f>HYPERLINK("Melting_Curves/meltCurve_E7EX17_EIF4B.pdf", "Melting_Curves/meltCurve_E7EX17_EIF4B.pdf")</f>
        <v>Melting_Curves/meltCurve_E7EX17_EIF4B.pdf</v>
      </c>
    </row>
    <row r="534" spans="1:28" x14ac:dyDescent="0.25">
      <c r="A534" t="s">
        <v>538</v>
      </c>
      <c r="B534">
        <v>0.99542014353169495</v>
      </c>
      <c r="C534">
        <v>0.93686176892729001</v>
      </c>
      <c r="D534">
        <v>0.90425250356584497</v>
      </c>
      <c r="E534">
        <v>0.52570010758613195</v>
      </c>
      <c r="F534">
        <v>0.14551068533214601</v>
      </c>
      <c r="G534">
        <v>8.6077051481685596E-2</v>
      </c>
      <c r="H534">
        <v>5.2130872532018403E-2</v>
      </c>
      <c r="I534">
        <v>3.7287364563864403E-2</v>
      </c>
      <c r="J534">
        <v>4.2746942251429103E-2</v>
      </c>
      <c r="K534">
        <v>4.8635428123330902E-2</v>
      </c>
      <c r="L534">
        <v>1234.7283641373799</v>
      </c>
      <c r="M534">
        <v>26.519899612747501</v>
      </c>
      <c r="N534">
        <v>46.719237762034801</v>
      </c>
      <c r="O534">
        <v>46.296232562759002</v>
      </c>
      <c r="P534">
        <v>-0.13696729185961601</v>
      </c>
      <c r="Q534">
        <v>4.3585536161236303E-2</v>
      </c>
      <c r="R534">
        <v>0.99774603029815601</v>
      </c>
      <c r="S534" t="s">
        <v>6936</v>
      </c>
      <c r="T534" t="s">
        <v>12802</v>
      </c>
      <c r="U534" t="s">
        <v>12802</v>
      </c>
      <c r="V534" t="s">
        <v>12802</v>
      </c>
      <c r="W534" t="s">
        <v>13332</v>
      </c>
      <c r="X534">
        <v>59</v>
      </c>
      <c r="Y534" t="s">
        <v>19655</v>
      </c>
      <c r="Z534" t="s">
        <v>25852</v>
      </c>
      <c r="AA534">
        <v>0.35539845514373719</v>
      </c>
      <c r="AB534" t="str">
        <f>HYPERLINK("Melting_Curves/meltCurve_E7EX73_EIF4G1.pdf", "Melting_Curves/meltCurve_E7EX73_EIF4G1.pdf")</f>
        <v>Melting_Curves/meltCurve_E7EX73_EIF4G1.pdf</v>
      </c>
    </row>
    <row r="535" spans="1:28" x14ac:dyDescent="0.25">
      <c r="A535" t="s">
        <v>539</v>
      </c>
      <c r="B535">
        <v>0.99542014353169495</v>
      </c>
      <c r="C535">
        <v>0.82088702034598104</v>
      </c>
      <c r="D535">
        <v>0.76232116427112295</v>
      </c>
      <c r="E535">
        <v>0.419533986342776</v>
      </c>
      <c r="F535">
        <v>0.15550244473941599</v>
      </c>
      <c r="G535">
        <v>9.2435600847279503E-2</v>
      </c>
      <c r="H535">
        <v>6.4128780853915296E-2</v>
      </c>
      <c r="I535">
        <v>4.6038086894757399E-2</v>
      </c>
      <c r="J535">
        <v>5.2817597912442997E-2</v>
      </c>
      <c r="K535">
        <v>5.1205340047524299E-2</v>
      </c>
      <c r="L535">
        <v>753.10805929979199</v>
      </c>
      <c r="M535">
        <v>16.630140011688599</v>
      </c>
      <c r="N535">
        <v>45.480230989185301</v>
      </c>
      <c r="O535">
        <v>44.646112344561701</v>
      </c>
      <c r="P535">
        <v>-8.9931807196564295E-2</v>
      </c>
      <c r="Q535">
        <v>3.4323217942037097E-2</v>
      </c>
      <c r="R535">
        <v>0.99075620668379805</v>
      </c>
      <c r="S535" t="s">
        <v>6937</v>
      </c>
      <c r="T535" t="s">
        <v>12802</v>
      </c>
      <c r="U535" t="s">
        <v>12802</v>
      </c>
      <c r="V535" t="s">
        <v>12802</v>
      </c>
      <c r="W535" t="s">
        <v>13333</v>
      </c>
      <c r="X535">
        <v>39</v>
      </c>
      <c r="Y535" t="s">
        <v>19656</v>
      </c>
      <c r="Z535" t="s">
        <v>25853</v>
      </c>
      <c r="AA535">
        <v>0.31954449602459689</v>
      </c>
      <c r="AB535" t="str">
        <f>HYPERLINK("Melting_Curves/meltCurve_E7EX90_DCTN1.pdf", "Melting_Curves/meltCurve_E7EX90_DCTN1.pdf")</f>
        <v>Melting_Curves/meltCurve_E7EX90_DCTN1.pdf</v>
      </c>
    </row>
    <row r="536" spans="1:28" x14ac:dyDescent="0.25">
      <c r="A536" t="s">
        <v>540</v>
      </c>
      <c r="B536">
        <v>0.99542014353169495</v>
      </c>
      <c r="C536">
        <v>0.80165694118193798</v>
      </c>
      <c r="D536">
        <v>0.881292131050324</v>
      </c>
      <c r="E536">
        <v>0.67257219774090504</v>
      </c>
      <c r="F536">
        <v>0.51852002369538996</v>
      </c>
      <c r="G536">
        <v>0.27904420755078102</v>
      </c>
      <c r="H536">
        <v>0.24867561949159001</v>
      </c>
      <c r="I536">
        <v>0.21759339428362601</v>
      </c>
      <c r="J536">
        <v>8.4198037575403603E-2</v>
      </c>
      <c r="K536">
        <v>0</v>
      </c>
      <c r="L536">
        <v>484.07869284113099</v>
      </c>
      <c r="M536">
        <v>9.6811077806407297</v>
      </c>
      <c r="N536">
        <v>50.002404547841302</v>
      </c>
      <c r="O536">
        <v>48.008731927236603</v>
      </c>
      <c r="P536">
        <v>-5.0441015021526397E-2</v>
      </c>
      <c r="Q536">
        <v>0</v>
      </c>
      <c r="R536">
        <v>0.96974526982564202</v>
      </c>
      <c r="S536" t="s">
        <v>6938</v>
      </c>
      <c r="T536" t="s">
        <v>12802</v>
      </c>
      <c r="U536" t="s">
        <v>12802</v>
      </c>
      <c r="V536" t="s">
        <v>12802</v>
      </c>
      <c r="W536" t="s">
        <v>13334</v>
      </c>
      <c r="X536">
        <v>4</v>
      </c>
      <c r="Y536" t="s">
        <v>19657</v>
      </c>
      <c r="Z536" t="s">
        <v>25854</v>
      </c>
      <c r="AA536">
        <v>0.46837528967805481</v>
      </c>
      <c r="AB536" t="str">
        <f>HYPERLINK("Melting_Curves/meltCurve_E9PAK5_DENND4B.pdf", "Melting_Curves/meltCurve_E9PAK5_DENND4B.pdf")</f>
        <v>Melting_Curves/meltCurve_E9PAK5_DENND4B.pdf</v>
      </c>
    </row>
    <row r="537" spans="1:28" x14ac:dyDescent="0.25">
      <c r="A537" t="s">
        <v>541</v>
      </c>
      <c r="B537">
        <v>0.99542014353169495</v>
      </c>
      <c r="C537">
        <v>0.88906816003081501</v>
      </c>
      <c r="D537">
        <v>0.94984066481291196</v>
      </c>
      <c r="E537">
        <v>0.78158307913638003</v>
      </c>
      <c r="F537">
        <v>0.57678439190769304</v>
      </c>
      <c r="G537">
        <v>0.34187024410228001</v>
      </c>
      <c r="H537">
        <v>0.196696446350585</v>
      </c>
      <c r="I537">
        <v>0.11254578014124</v>
      </c>
      <c r="J537">
        <v>7.4791186185349801E-2</v>
      </c>
      <c r="K537">
        <v>5.6256697790868497E-2</v>
      </c>
      <c r="L537">
        <v>661.41590645262295</v>
      </c>
      <c r="M537">
        <v>12.922716329638201</v>
      </c>
      <c r="N537">
        <v>51.221289907387501</v>
      </c>
      <c r="O537">
        <v>50.003265458800001</v>
      </c>
      <c r="P537">
        <v>-6.4305748825748701E-2</v>
      </c>
      <c r="Q537">
        <v>4.8791471226109799E-3</v>
      </c>
      <c r="R537">
        <v>0.99362955795126995</v>
      </c>
      <c r="S537" t="s">
        <v>6939</v>
      </c>
      <c r="T537" t="s">
        <v>12802</v>
      </c>
      <c r="U537" t="s">
        <v>12802</v>
      </c>
      <c r="V537" t="s">
        <v>12802</v>
      </c>
      <c r="W537" t="s">
        <v>13335</v>
      </c>
      <c r="X537">
        <v>10</v>
      </c>
      <c r="Y537" t="s">
        <v>19658</v>
      </c>
      <c r="Z537" t="s">
        <v>25855</v>
      </c>
      <c r="AA537">
        <v>0.49899537404104849</v>
      </c>
      <c r="AB537" t="str">
        <f>HYPERLINK("Melting_Curves/meltCurve_E9PAL9_NT5DC2.pdf", "Melting_Curves/meltCurve_E9PAL9_NT5DC2.pdf")</f>
        <v>Melting_Curves/meltCurve_E9PAL9_NT5DC2.pdf</v>
      </c>
    </row>
    <row r="538" spans="1:28" x14ac:dyDescent="0.25">
      <c r="A538" t="s">
        <v>542</v>
      </c>
      <c r="B538">
        <v>0.99542014353169495</v>
      </c>
      <c r="C538">
        <v>0.91239118060593705</v>
      </c>
      <c r="D538">
        <v>0.75068392649925197</v>
      </c>
      <c r="E538">
        <v>0.31122704839075099</v>
      </c>
      <c r="F538">
        <v>0.169692033839765</v>
      </c>
      <c r="G538">
        <v>9.35798999094897E-2</v>
      </c>
      <c r="H538">
        <v>6.3694717176152202E-2</v>
      </c>
      <c r="I538">
        <v>4.6459579763111498E-2</v>
      </c>
      <c r="J538">
        <v>4.5711372434431602E-2</v>
      </c>
      <c r="K538">
        <v>4.7334298724387103E-2</v>
      </c>
      <c r="L538">
        <v>953.53170273771002</v>
      </c>
      <c r="M538">
        <v>21.282274750954901</v>
      </c>
      <c r="N538">
        <v>45.042450410555503</v>
      </c>
      <c r="O538">
        <v>44.414067291387703</v>
      </c>
      <c r="P538">
        <v>-0.113416390296999</v>
      </c>
      <c r="Q538">
        <v>5.3267271410200497E-2</v>
      </c>
      <c r="R538">
        <v>0.99740531851429604</v>
      </c>
      <c r="S538" t="s">
        <v>6940</v>
      </c>
      <c r="T538" t="s">
        <v>12802</v>
      </c>
      <c r="U538" t="s">
        <v>12802</v>
      </c>
      <c r="V538" t="s">
        <v>12802</v>
      </c>
      <c r="W538" t="s">
        <v>13336</v>
      </c>
      <c r="X538">
        <v>17</v>
      </c>
      <c r="Y538" t="s">
        <v>19659</v>
      </c>
      <c r="Z538" t="s">
        <v>25856</v>
      </c>
      <c r="AA538">
        <v>0.31047155491245482</v>
      </c>
      <c r="AB538" t="str">
        <f>HYPERLINK("Melting_Curves/meltCurve_E9PAU2_RAVER1.pdf", "Melting_Curves/meltCurve_E9PAU2_RAVER1.pdf")</f>
        <v>Melting_Curves/meltCurve_E9PAU2_RAVER1.pdf</v>
      </c>
    </row>
    <row r="539" spans="1:28" x14ac:dyDescent="0.25">
      <c r="A539" t="s">
        <v>543</v>
      </c>
      <c r="B539">
        <v>0.99542014353169495</v>
      </c>
      <c r="C539">
        <v>0.97828228603879697</v>
      </c>
      <c r="D539">
        <v>0.92533336955121404</v>
      </c>
      <c r="E539">
        <v>0.93467628168573602</v>
      </c>
      <c r="F539">
        <v>1.07520977602345</v>
      </c>
      <c r="G539">
        <v>0.58604501479005799</v>
      </c>
      <c r="H539">
        <v>0.348989604772585</v>
      </c>
      <c r="I539">
        <v>0.22775609791544499</v>
      </c>
      <c r="J539">
        <v>0.20023880702795499</v>
      </c>
      <c r="K539">
        <v>0.16769784617835801</v>
      </c>
      <c r="L539">
        <v>2194.63066623444</v>
      </c>
      <c r="M539">
        <v>40.690108645789202</v>
      </c>
      <c r="N539">
        <v>54.683501085666101</v>
      </c>
      <c r="O539">
        <v>53.805456680287001</v>
      </c>
      <c r="P539">
        <v>-0.14870156838534199</v>
      </c>
      <c r="Q539">
        <v>0.21347565317274</v>
      </c>
      <c r="R539">
        <v>0.97481828583508601</v>
      </c>
      <c r="S539" t="s">
        <v>6941</v>
      </c>
      <c r="T539" t="s">
        <v>12802</v>
      </c>
      <c r="U539" t="s">
        <v>12802</v>
      </c>
      <c r="V539" t="s">
        <v>12802</v>
      </c>
      <c r="W539" t="s">
        <v>13337</v>
      </c>
      <c r="X539">
        <v>9</v>
      </c>
      <c r="Y539" t="s">
        <v>19660</v>
      </c>
      <c r="Z539" t="s">
        <v>25857</v>
      </c>
      <c r="AA539">
        <v>0.66028800253622288</v>
      </c>
      <c r="AB539" t="str">
        <f>HYPERLINK("Melting_Curves/meltCurve_E9PB14_PDHX.pdf", "Melting_Curves/meltCurve_E9PB14_PDHX.pdf")</f>
        <v>Melting_Curves/meltCurve_E9PB14_PDHX.pdf</v>
      </c>
    </row>
    <row r="540" spans="1:28" x14ac:dyDescent="0.25">
      <c r="A540" t="s">
        <v>544</v>
      </c>
      <c r="B540">
        <v>0.99542014353169495</v>
      </c>
      <c r="C540">
        <v>0.94895387531925701</v>
      </c>
      <c r="D540">
        <v>0.97365536985938395</v>
      </c>
      <c r="E540">
        <v>0.91287973035692505</v>
      </c>
      <c r="F540">
        <v>0.62048637830172604</v>
      </c>
      <c r="G540">
        <v>0.38891672215204398</v>
      </c>
      <c r="H540">
        <v>0.213629329398904</v>
      </c>
      <c r="I540">
        <v>0.130977544106336</v>
      </c>
      <c r="J540">
        <v>0.17373383654557101</v>
      </c>
      <c r="K540">
        <v>0.210816397377669</v>
      </c>
      <c r="L540">
        <v>1096.3978560983001</v>
      </c>
      <c r="M540">
        <v>21.557402581611498</v>
      </c>
      <c r="N540">
        <v>51.7944392565282</v>
      </c>
      <c r="O540">
        <v>50.427878426096001</v>
      </c>
      <c r="P540">
        <v>-8.9648676836343297E-2</v>
      </c>
      <c r="Q540">
        <v>0.16118226318804699</v>
      </c>
      <c r="R540">
        <v>0.99272794541985099</v>
      </c>
      <c r="S540" t="s">
        <v>6942</v>
      </c>
      <c r="T540" t="s">
        <v>12802</v>
      </c>
      <c r="U540" t="s">
        <v>12802</v>
      </c>
      <c r="V540" t="s">
        <v>12802</v>
      </c>
      <c r="W540" t="s">
        <v>13338</v>
      </c>
      <c r="X540">
        <v>6</v>
      </c>
      <c r="Y540" t="s">
        <v>19661</v>
      </c>
      <c r="Z540" t="s">
        <v>25858</v>
      </c>
      <c r="AA540">
        <v>0.55836964411410372</v>
      </c>
      <c r="AB540" t="str">
        <f>HYPERLINK("Melting_Curves/meltCurve_E9PB61_ALYREF.pdf", "Melting_Curves/meltCurve_E9PB61_ALYREF.pdf")</f>
        <v>Melting_Curves/meltCurve_E9PB61_ALYREF.pdf</v>
      </c>
    </row>
    <row r="541" spans="1:28" x14ac:dyDescent="0.25">
      <c r="A541" t="s">
        <v>545</v>
      </c>
      <c r="B541">
        <v>0.99542014353169495</v>
      </c>
      <c r="C541">
        <v>0.98622243688399902</v>
      </c>
      <c r="D541">
        <v>0.95764734119402295</v>
      </c>
      <c r="E541">
        <v>0.85713517625665803</v>
      </c>
      <c r="F541">
        <v>0.70510016923442498</v>
      </c>
      <c r="G541">
        <v>0.41418438257802798</v>
      </c>
      <c r="H541">
        <v>0.22204583048085799</v>
      </c>
      <c r="I541">
        <v>8.3819291082320196E-2</v>
      </c>
      <c r="J541">
        <v>6.3864857158667104E-2</v>
      </c>
      <c r="K541">
        <v>8.0380259681306299E-2</v>
      </c>
      <c r="L541">
        <v>838.06351783726302</v>
      </c>
      <c r="M541">
        <v>15.9677339831218</v>
      </c>
      <c r="N541">
        <v>52.619176496187499</v>
      </c>
      <c r="O541">
        <v>51.682320299983999</v>
      </c>
      <c r="P541">
        <v>-7.5702792408833194E-2</v>
      </c>
      <c r="Q541">
        <v>1.99769902840468E-2</v>
      </c>
      <c r="R541">
        <v>0.99753777876708205</v>
      </c>
      <c r="S541" t="s">
        <v>6943</v>
      </c>
      <c r="T541" t="s">
        <v>12802</v>
      </c>
      <c r="U541" t="s">
        <v>12802</v>
      </c>
      <c r="V541" t="s">
        <v>12802</v>
      </c>
      <c r="W541" t="s">
        <v>13339</v>
      </c>
      <c r="X541">
        <v>15</v>
      </c>
      <c r="Y541" t="s">
        <v>19662</v>
      </c>
      <c r="Z541" t="s">
        <v>25859</v>
      </c>
      <c r="AA541">
        <v>0.54278108159747096</v>
      </c>
      <c r="AB541" t="str">
        <f>HYPERLINK("Melting_Curves/meltCurve_E9PC15_AGK.pdf", "Melting_Curves/meltCurve_E9PC15_AGK.pdf")</f>
        <v>Melting_Curves/meltCurve_E9PC15_AGK.pdf</v>
      </c>
    </row>
    <row r="542" spans="1:28" x14ac:dyDescent="0.25">
      <c r="A542" t="s">
        <v>546</v>
      </c>
      <c r="B542">
        <v>0.99542014353169495</v>
      </c>
      <c r="C542">
        <v>0.91779950112139796</v>
      </c>
      <c r="D542">
        <v>0.80863395328399601</v>
      </c>
      <c r="E542">
        <v>0.54893365084878598</v>
      </c>
      <c r="F542">
        <v>0.336732797363618</v>
      </c>
      <c r="G542">
        <v>0.157623096039615</v>
      </c>
      <c r="H542">
        <v>0.13002018450775099</v>
      </c>
      <c r="I542">
        <v>8.7217257224997305E-2</v>
      </c>
      <c r="J542">
        <v>7.8393128107977397E-2</v>
      </c>
      <c r="K542">
        <v>9.6411399112838497E-2</v>
      </c>
      <c r="L542">
        <v>700.206413657442</v>
      </c>
      <c r="M542">
        <v>14.9507621244114</v>
      </c>
      <c r="N542">
        <v>47.292318784908304</v>
      </c>
      <c r="O542">
        <v>46.020228385716798</v>
      </c>
      <c r="P542">
        <v>-7.5750480471728901E-2</v>
      </c>
      <c r="Q542">
        <v>6.7419375799095002E-2</v>
      </c>
      <c r="R542">
        <v>0.998313063420184</v>
      </c>
      <c r="S542" t="s">
        <v>6944</v>
      </c>
      <c r="T542" t="s">
        <v>12802</v>
      </c>
      <c r="U542" t="s">
        <v>12802</v>
      </c>
      <c r="V542" t="s">
        <v>12802</v>
      </c>
      <c r="W542" t="s">
        <v>13340</v>
      </c>
      <c r="X542">
        <v>6</v>
      </c>
      <c r="Y542" t="s">
        <v>19663</v>
      </c>
      <c r="Z542" t="s">
        <v>25860</v>
      </c>
      <c r="AA542">
        <v>0.3943229026175295</v>
      </c>
      <c r="AB542" t="str">
        <f>HYPERLINK("Melting_Curves/meltCurve_E9PC26_BUB1.pdf", "Melting_Curves/meltCurve_E9PC26_BUB1.pdf")</f>
        <v>Melting_Curves/meltCurve_E9PC26_BUB1.pdf</v>
      </c>
    </row>
    <row r="543" spans="1:28" x14ac:dyDescent="0.25">
      <c r="A543" t="s">
        <v>547</v>
      </c>
      <c r="B543">
        <v>0.99542014353169495</v>
      </c>
      <c r="C543">
        <v>0.96146052185112996</v>
      </c>
      <c r="D543">
        <v>0.984715067633399</v>
      </c>
      <c r="E543">
        <v>0.911190948866479</v>
      </c>
      <c r="F543">
        <v>0.80470126568093003</v>
      </c>
      <c r="G543">
        <v>0.54680533941917497</v>
      </c>
      <c r="H543">
        <v>0.312255324463309</v>
      </c>
      <c r="I543">
        <v>0.141040836276104</v>
      </c>
      <c r="J543">
        <v>0.13961597297768299</v>
      </c>
      <c r="K543">
        <v>0.12399022448762299</v>
      </c>
      <c r="L543">
        <v>946.141443191245</v>
      </c>
      <c r="M543">
        <v>17.592351963214199</v>
      </c>
      <c r="N543">
        <v>54.307719477756002</v>
      </c>
      <c r="O543">
        <v>53.100943440273802</v>
      </c>
      <c r="P543">
        <v>-7.6337750400609805E-2</v>
      </c>
      <c r="Q543">
        <v>7.8375397800859697E-2</v>
      </c>
      <c r="R543">
        <v>0.99653991569210298</v>
      </c>
      <c r="S543" t="s">
        <v>6945</v>
      </c>
      <c r="T543" t="s">
        <v>12802</v>
      </c>
      <c r="U543" t="s">
        <v>12802</v>
      </c>
      <c r="V543" t="s">
        <v>12802</v>
      </c>
      <c r="W543" t="s">
        <v>13341</v>
      </c>
      <c r="X543">
        <v>29</v>
      </c>
      <c r="Y543" t="s">
        <v>19664</v>
      </c>
      <c r="Z543" t="s">
        <v>25861</v>
      </c>
      <c r="AA543">
        <v>0.60707538639565228</v>
      </c>
      <c r="AB543" t="str">
        <f>HYPERLINK("Melting_Curves/meltCurve_E9PC28_PTPRC.pdf", "Melting_Curves/meltCurve_E9PC28_PTPRC.pdf")</f>
        <v>Melting_Curves/meltCurve_E9PC28_PTPRC.pdf</v>
      </c>
    </row>
    <row r="544" spans="1:28" x14ac:dyDescent="0.25">
      <c r="A544" t="s">
        <v>548</v>
      </c>
      <c r="B544">
        <v>0.99542014353169495</v>
      </c>
      <c r="C544">
        <v>0.85947047383832298</v>
      </c>
      <c r="D544">
        <v>0.89405377369294703</v>
      </c>
      <c r="E544">
        <v>0.65470068850990903</v>
      </c>
      <c r="F544">
        <v>0.402311353425581</v>
      </c>
      <c r="G544">
        <v>0.111565224360943</v>
      </c>
      <c r="H544">
        <v>6.3284353998783405E-2</v>
      </c>
      <c r="I544">
        <v>4.5702211155674001E-2</v>
      </c>
      <c r="J544">
        <v>4.85471394682351E-2</v>
      </c>
      <c r="K544">
        <v>4.8527124500510298E-2</v>
      </c>
      <c r="L544">
        <v>785.529632129628</v>
      </c>
      <c r="M544">
        <v>16.262052380815099</v>
      </c>
      <c r="N544">
        <v>48.386178940708099</v>
      </c>
      <c r="O544">
        <v>47.591729829007598</v>
      </c>
      <c r="P544">
        <v>-8.4273836916110997E-2</v>
      </c>
      <c r="Q544">
        <v>1.35457747451652E-2</v>
      </c>
      <c r="R544">
        <v>0.98698905708282003</v>
      </c>
      <c r="S544" t="s">
        <v>6946</v>
      </c>
      <c r="T544" t="s">
        <v>12802</v>
      </c>
      <c r="U544" t="s">
        <v>12802</v>
      </c>
      <c r="V544" t="s">
        <v>12802</v>
      </c>
      <c r="W544" t="s">
        <v>13342</v>
      </c>
      <c r="X544">
        <v>8</v>
      </c>
      <c r="Y544" t="s">
        <v>19665</v>
      </c>
      <c r="Z544" t="s">
        <v>25862</v>
      </c>
      <c r="AA544">
        <v>0.40408824293069651</v>
      </c>
      <c r="AB544" t="str">
        <f>HYPERLINK("Melting_Curves/meltCurve_E9PC74_EIF2B5.pdf", "Melting_Curves/meltCurve_E9PC74_EIF2B5.pdf")</f>
        <v>Melting_Curves/meltCurve_E9PC74_EIF2B5.pdf</v>
      </c>
    </row>
    <row r="545" spans="1:28" x14ac:dyDescent="0.25">
      <c r="A545" t="s">
        <v>549</v>
      </c>
      <c r="B545">
        <v>0.99542014353169495</v>
      </c>
      <c r="C545">
        <v>0.88405224873574395</v>
      </c>
      <c r="D545">
        <v>0.67194894921924997</v>
      </c>
      <c r="E545">
        <v>0.36296024183131997</v>
      </c>
      <c r="F545">
        <v>0.17235333732496799</v>
      </c>
      <c r="G545">
        <v>0.117147165718455</v>
      </c>
      <c r="H545">
        <v>5.6598346292350499E-2</v>
      </c>
      <c r="I545">
        <v>5.6223342049354398E-2</v>
      </c>
      <c r="J545">
        <v>4.1486121175028902E-2</v>
      </c>
      <c r="K545">
        <v>9.0984697595731204E-2</v>
      </c>
      <c r="L545">
        <v>771.97345594011904</v>
      </c>
      <c r="M545">
        <v>17.311047027502902</v>
      </c>
      <c r="N545">
        <v>44.900608922238597</v>
      </c>
      <c r="O545">
        <v>44.011960190971699</v>
      </c>
      <c r="P545">
        <v>-9.2859843689665697E-2</v>
      </c>
      <c r="Q545">
        <v>5.5699734923350099E-2</v>
      </c>
      <c r="R545">
        <v>0.99788165005849905</v>
      </c>
      <c r="S545" t="s">
        <v>6947</v>
      </c>
      <c r="T545" t="s">
        <v>12802</v>
      </c>
      <c r="U545" t="s">
        <v>12802</v>
      </c>
      <c r="V545" t="s">
        <v>12802</v>
      </c>
      <c r="W545" t="s">
        <v>13343</v>
      </c>
      <c r="X545">
        <v>6</v>
      </c>
      <c r="Y545" t="s">
        <v>19666</v>
      </c>
      <c r="Z545" t="s">
        <v>25863</v>
      </c>
      <c r="AA545">
        <v>0.31170085255086077</v>
      </c>
      <c r="AB545" t="str">
        <f>HYPERLINK("Melting_Curves/meltCurve_E9PCH4_FNIP1.pdf", "Melting_Curves/meltCurve_E9PCH4_FNIP1.pdf")</f>
        <v>Melting_Curves/meltCurve_E9PCH4_FNIP1.pdf</v>
      </c>
    </row>
    <row r="546" spans="1:28" x14ac:dyDescent="0.25">
      <c r="A546" t="s">
        <v>550</v>
      </c>
      <c r="B546">
        <v>0.99542014353169495</v>
      </c>
      <c r="C546">
        <v>0.95107471207893701</v>
      </c>
      <c r="D546">
        <v>0.84952741238955698</v>
      </c>
      <c r="E546">
        <v>0.69927947274637203</v>
      </c>
      <c r="F546">
        <v>0.48088136247241398</v>
      </c>
      <c r="G546">
        <v>0.24119254923635999</v>
      </c>
      <c r="H546">
        <v>0.15463179645122399</v>
      </c>
      <c r="I546">
        <v>0.12436325171981299</v>
      </c>
      <c r="J546">
        <v>0.13450441371844099</v>
      </c>
      <c r="K546">
        <v>0.173149645265574</v>
      </c>
      <c r="L546">
        <v>732.07034954244796</v>
      </c>
      <c r="M546">
        <v>15.099035006460699</v>
      </c>
      <c r="N546">
        <v>49.286612622847699</v>
      </c>
      <c r="O546">
        <v>47.657977486669402</v>
      </c>
      <c r="P546">
        <v>-7.0584976758566495E-2</v>
      </c>
      <c r="Q546">
        <v>0.108921769788491</v>
      </c>
      <c r="R546">
        <v>0.99281007515719699</v>
      </c>
      <c r="S546" t="s">
        <v>6948</v>
      </c>
      <c r="T546" t="s">
        <v>12802</v>
      </c>
      <c r="U546" t="s">
        <v>12802</v>
      </c>
      <c r="V546" t="s">
        <v>12802</v>
      </c>
      <c r="W546" t="s">
        <v>13344</v>
      </c>
      <c r="X546">
        <v>3</v>
      </c>
      <c r="Y546" t="s">
        <v>19667</v>
      </c>
      <c r="Z546" t="s">
        <v>25864</v>
      </c>
      <c r="AA546">
        <v>0.46924784940283892</v>
      </c>
      <c r="AB546" t="str">
        <f>HYPERLINK("Melting_Curves/meltCurve_E9PCV0_GUSB.pdf", "Melting_Curves/meltCurve_E9PCV0_GUSB.pdf")</f>
        <v>Melting_Curves/meltCurve_E9PCV0_GUSB.pdf</v>
      </c>
    </row>
    <row r="547" spans="1:28" x14ac:dyDescent="0.25">
      <c r="A547" t="s">
        <v>551</v>
      </c>
      <c r="B547">
        <v>0.99542014353169495</v>
      </c>
      <c r="C547">
        <v>0.965957460806944</v>
      </c>
      <c r="D547">
        <v>0.96087153102961698</v>
      </c>
      <c r="E547">
        <v>0.78498326916490802</v>
      </c>
      <c r="F547">
        <v>0.624104323346655</v>
      </c>
      <c r="G547">
        <v>0.39865314712262301</v>
      </c>
      <c r="H547">
        <v>0.36886856719920602</v>
      </c>
      <c r="I547">
        <v>0.20206519815853199</v>
      </c>
      <c r="J547">
        <v>0.189430387838325</v>
      </c>
      <c r="K547">
        <v>0.12109274710041799</v>
      </c>
      <c r="L547">
        <v>598.42773330462296</v>
      </c>
      <c r="M547">
        <v>11.5665918449643</v>
      </c>
      <c r="N547">
        <v>52.574333921050098</v>
      </c>
      <c r="O547">
        <v>50.263639308725701</v>
      </c>
      <c r="P547">
        <v>-5.2707894235326298E-2</v>
      </c>
      <c r="Q547">
        <v>8.4067472374123597E-2</v>
      </c>
      <c r="R547">
        <v>0.99180716257054702</v>
      </c>
      <c r="S547" t="s">
        <v>6949</v>
      </c>
      <c r="T547" t="s">
        <v>12802</v>
      </c>
      <c r="U547" t="s">
        <v>12802</v>
      </c>
      <c r="V547" t="s">
        <v>12802</v>
      </c>
      <c r="W547" t="s">
        <v>13345</v>
      </c>
      <c r="X547">
        <v>9</v>
      </c>
      <c r="Y547" t="s">
        <v>19668</v>
      </c>
      <c r="Z547" t="s">
        <v>25865</v>
      </c>
      <c r="AA547">
        <v>0.55703983170475746</v>
      </c>
      <c r="AB547" t="str">
        <f>HYPERLINK("Melting_Curves/meltCurve_E9PCW1_GOSR1.pdf", "Melting_Curves/meltCurve_E9PCW1_GOSR1.pdf")</f>
        <v>Melting_Curves/meltCurve_E9PCW1_GOSR1.pdf</v>
      </c>
    </row>
    <row r="548" spans="1:28" x14ac:dyDescent="0.25">
      <c r="A548" t="s">
        <v>552</v>
      </c>
      <c r="B548">
        <v>0.99542014353169495</v>
      </c>
      <c r="C548">
        <v>0.92565629374742298</v>
      </c>
      <c r="D548">
        <v>0.78408367622646502</v>
      </c>
      <c r="E548">
        <v>0.36368199469399798</v>
      </c>
      <c r="F548">
        <v>0.147450115691552</v>
      </c>
      <c r="G548">
        <v>8.8124901731740604E-2</v>
      </c>
      <c r="H548">
        <v>5.7038445892931701E-2</v>
      </c>
      <c r="I548">
        <v>3.3186255037481599E-2</v>
      </c>
      <c r="J548">
        <v>3.5890241771651801E-2</v>
      </c>
      <c r="K548">
        <v>3.6789080729765E-2</v>
      </c>
      <c r="L548">
        <v>970.32059663389396</v>
      </c>
      <c r="M548">
        <v>21.4352694604836</v>
      </c>
      <c r="N548">
        <v>45.444322851240102</v>
      </c>
      <c r="O548">
        <v>44.879019513718198</v>
      </c>
      <c r="P548">
        <v>-0.114630653898185</v>
      </c>
      <c r="Q548">
        <v>4.0015059549575897E-2</v>
      </c>
      <c r="R548">
        <v>0.99887853980860397</v>
      </c>
      <c r="S548" t="s">
        <v>6950</v>
      </c>
      <c r="T548" t="s">
        <v>12802</v>
      </c>
      <c r="U548" t="s">
        <v>12802</v>
      </c>
      <c r="V548" t="s">
        <v>12802</v>
      </c>
      <c r="W548" t="s">
        <v>13346</v>
      </c>
      <c r="X548">
        <v>15</v>
      </c>
      <c r="Y548" t="s">
        <v>19597</v>
      </c>
      <c r="Z548" t="s">
        <v>25866</v>
      </c>
      <c r="AA548">
        <v>0.31545967456131058</v>
      </c>
      <c r="AB548" t="str">
        <f>HYPERLINK("Melting_Curves/meltCurve_E9PCY7_HNRNPH1.pdf", "Melting_Curves/meltCurve_E9PCY7_HNRNPH1.pdf")</f>
        <v>Melting_Curves/meltCurve_E9PCY7_HNRNPH1.pdf</v>
      </c>
    </row>
    <row r="549" spans="1:28" x14ac:dyDescent="0.25">
      <c r="A549" t="s">
        <v>553</v>
      </c>
      <c r="B549">
        <v>0.99542014353169495</v>
      </c>
      <c r="C549">
        <v>1.0042874622479701</v>
      </c>
      <c r="D549">
        <v>0.93347780019690396</v>
      </c>
      <c r="E549">
        <v>0.81854312915147998</v>
      </c>
      <c r="F549">
        <v>0.670194668804864</v>
      </c>
      <c r="G549">
        <v>0.45153177375766101</v>
      </c>
      <c r="H549">
        <v>0.38528563838031699</v>
      </c>
      <c r="I549">
        <v>0.23339635878656501</v>
      </c>
      <c r="J549">
        <v>0.31587707478176602</v>
      </c>
      <c r="K549">
        <v>0.44755989243830602</v>
      </c>
      <c r="L549">
        <v>885.26288206812796</v>
      </c>
      <c r="M549">
        <v>17.813561669014199</v>
      </c>
      <c r="N549">
        <v>52.771408523011097</v>
      </c>
      <c r="O549">
        <v>49.082416640178302</v>
      </c>
      <c r="P549">
        <v>-6.1434528859231501E-2</v>
      </c>
      <c r="Q549">
        <v>0.32294278077791799</v>
      </c>
      <c r="R549">
        <v>0.96144195647795705</v>
      </c>
      <c r="S549" t="s">
        <v>6951</v>
      </c>
      <c r="T549" t="s">
        <v>12802</v>
      </c>
      <c r="U549" t="s">
        <v>12802</v>
      </c>
      <c r="V549" t="s">
        <v>12802</v>
      </c>
      <c r="W549" t="s">
        <v>13347</v>
      </c>
      <c r="X549">
        <v>1</v>
      </c>
      <c r="Y549" t="s">
        <v>19669</v>
      </c>
      <c r="Z549" t="s">
        <v>25867</v>
      </c>
      <c r="AA549">
        <v>0.62036417770450214</v>
      </c>
      <c r="AB549" t="str">
        <f>HYPERLINK("Melting_Curves/meltCurve_E9PD10_GYPA.pdf", "Melting_Curves/meltCurve_E9PD10_GYPA.pdf")</f>
        <v>Melting_Curves/meltCurve_E9PD10_GYPA.pdf</v>
      </c>
    </row>
    <row r="550" spans="1:28" x14ac:dyDescent="0.25">
      <c r="A550" t="s">
        <v>554</v>
      </c>
      <c r="B550">
        <v>0.99542014353169495</v>
      </c>
      <c r="C550">
        <v>0.87126834418170096</v>
      </c>
      <c r="D550">
        <v>0.90006362226606695</v>
      </c>
      <c r="E550">
        <v>0.51538278212670796</v>
      </c>
      <c r="F550">
        <v>0.22572205153889699</v>
      </c>
      <c r="G550">
        <v>8.1204113895299301E-2</v>
      </c>
      <c r="H550">
        <v>4.8394349855227503E-2</v>
      </c>
      <c r="I550">
        <v>2.41592776032604E-2</v>
      </c>
      <c r="J550">
        <v>2.9741375625878599E-2</v>
      </c>
      <c r="K550">
        <v>2.8763630079246299E-2</v>
      </c>
      <c r="L550">
        <v>927.98290423113997</v>
      </c>
      <c r="M550">
        <v>19.842680792339799</v>
      </c>
      <c r="N550">
        <v>46.8685916008302</v>
      </c>
      <c r="O550">
        <v>46.299778057830203</v>
      </c>
      <c r="P550">
        <v>-0.10489090761401</v>
      </c>
      <c r="Q550">
        <v>2.1046845229589099E-2</v>
      </c>
      <c r="R550">
        <v>0.992013826562815</v>
      </c>
      <c r="S550" t="s">
        <v>6952</v>
      </c>
      <c r="T550" t="s">
        <v>12802</v>
      </c>
      <c r="U550" t="s">
        <v>12802</v>
      </c>
      <c r="V550" t="s">
        <v>12802</v>
      </c>
      <c r="W550" t="s">
        <v>13348</v>
      </c>
      <c r="X550">
        <v>6</v>
      </c>
      <c r="Y550" t="s">
        <v>19670</v>
      </c>
      <c r="Z550" t="s">
        <v>25868</v>
      </c>
      <c r="AA550">
        <v>0.35277069100500819</v>
      </c>
      <c r="AB550" t="str">
        <f>HYPERLINK("Melting_Curves/meltCurve_E9PD50_SMG7.pdf", "Melting_Curves/meltCurve_E9PD50_SMG7.pdf")</f>
        <v>Melting_Curves/meltCurve_E9PD50_SMG7.pdf</v>
      </c>
    </row>
    <row r="551" spans="1:28" x14ac:dyDescent="0.25">
      <c r="A551" t="s">
        <v>555</v>
      </c>
      <c r="B551">
        <v>0.99542014353169495</v>
      </c>
      <c r="C551">
        <v>0.93088720298359695</v>
      </c>
      <c r="D551">
        <v>0.92525367634648703</v>
      </c>
      <c r="E551">
        <v>0.99175305849616002</v>
      </c>
      <c r="F551">
        <v>0.61384138993578097</v>
      </c>
      <c r="G551">
        <v>0.180782969102316</v>
      </c>
      <c r="H551">
        <v>2.4633618790711801E-2</v>
      </c>
      <c r="I551">
        <v>2.35850919416297E-2</v>
      </c>
      <c r="J551">
        <v>6.5498465667335706E-2</v>
      </c>
      <c r="K551">
        <v>3.0509890879828999E-2</v>
      </c>
      <c r="L551">
        <v>1747.1854611055901</v>
      </c>
      <c r="M551">
        <v>34.348232543178902</v>
      </c>
      <c r="N551">
        <v>50.969979138145703</v>
      </c>
      <c r="O551">
        <v>50.695336507492399</v>
      </c>
      <c r="P551">
        <v>-0.16369865591877</v>
      </c>
      <c r="Q551">
        <v>3.3577500467838098E-2</v>
      </c>
      <c r="R551">
        <v>0.99260017318099103</v>
      </c>
      <c r="S551" t="s">
        <v>6953</v>
      </c>
      <c r="T551" t="s">
        <v>12802</v>
      </c>
      <c r="U551" t="s">
        <v>12802</v>
      </c>
      <c r="V551" t="s">
        <v>12802</v>
      </c>
      <c r="W551" t="s">
        <v>13349</v>
      </c>
      <c r="X551">
        <v>2</v>
      </c>
      <c r="Y551" t="s">
        <v>19671</v>
      </c>
      <c r="Z551" t="s">
        <v>25869</v>
      </c>
      <c r="AA551">
        <v>0.48488583712180999</v>
      </c>
      <c r="AB551" t="str">
        <f>HYPERLINK("Melting_Curves/meltCurve_E9PD56_PXK.pdf", "Melting_Curves/meltCurve_E9PD56_PXK.pdf")</f>
        <v>Melting_Curves/meltCurve_E9PD56_PXK.pdf</v>
      </c>
    </row>
    <row r="552" spans="1:28" x14ac:dyDescent="0.25">
      <c r="A552" t="s">
        <v>556</v>
      </c>
      <c r="B552">
        <v>0.99542014353169495</v>
      </c>
      <c r="C552">
        <v>0.99550615889608995</v>
      </c>
      <c r="D552">
        <v>0.86339222676152005</v>
      </c>
      <c r="E552">
        <v>0.36238247134087498</v>
      </c>
      <c r="F552">
        <v>0.143340079648584</v>
      </c>
      <c r="G552">
        <v>6.9045731052636602E-2</v>
      </c>
      <c r="H552">
        <v>5.3923591995220101E-2</v>
      </c>
      <c r="I552">
        <v>3.1830762195695E-2</v>
      </c>
      <c r="J552">
        <v>6.3541946464775803E-2</v>
      </c>
      <c r="K552">
        <v>6.2326824973973197E-2</v>
      </c>
      <c r="L552">
        <v>1328.8618286052499</v>
      </c>
      <c r="M552">
        <v>29.193831946473999</v>
      </c>
      <c r="N552">
        <v>45.709142054199802</v>
      </c>
      <c r="O552">
        <v>45.3065958066259</v>
      </c>
      <c r="P552">
        <v>-0.15186151160092901</v>
      </c>
      <c r="Q552">
        <v>5.72967996686123E-2</v>
      </c>
      <c r="R552">
        <v>0.99879426290837503</v>
      </c>
      <c r="S552" t="s">
        <v>6954</v>
      </c>
      <c r="T552" t="s">
        <v>12802</v>
      </c>
      <c r="U552" t="s">
        <v>12802</v>
      </c>
      <c r="V552" t="s">
        <v>12802</v>
      </c>
      <c r="W552" t="s">
        <v>13350</v>
      </c>
      <c r="X552">
        <v>2</v>
      </c>
      <c r="Y552" t="s">
        <v>19672</v>
      </c>
      <c r="Z552" t="s">
        <v>25870</v>
      </c>
      <c r="AA552">
        <v>0.33062098541569418</v>
      </c>
      <c r="AB552" t="str">
        <f>HYPERLINK("Melting_Curves/meltCurve_E9PD90_CKAP2.pdf", "Melting_Curves/meltCurve_E9PD90_CKAP2.pdf")</f>
        <v>Melting_Curves/meltCurve_E9PD90_CKAP2.pdf</v>
      </c>
    </row>
    <row r="553" spans="1:28" x14ac:dyDescent="0.25">
      <c r="A553" t="s">
        <v>557</v>
      </c>
      <c r="B553">
        <v>0.99542014353169495</v>
      </c>
      <c r="C553">
        <v>1.0413813839532999</v>
      </c>
      <c r="D553">
        <v>0.99730779457074403</v>
      </c>
      <c r="E553">
        <v>0.99199548952604599</v>
      </c>
      <c r="F553">
        <v>0.86689173844509404</v>
      </c>
      <c r="G553">
        <v>0.69787430984791998</v>
      </c>
      <c r="H553">
        <v>0.615118572545582</v>
      </c>
      <c r="I553">
        <v>0.57792838932835899</v>
      </c>
      <c r="J553">
        <v>0.83606949454722401</v>
      </c>
      <c r="K553">
        <v>1.0403593572293499</v>
      </c>
      <c r="L553">
        <v>12541.965485094001</v>
      </c>
      <c r="M553">
        <v>250</v>
      </c>
      <c r="O553">
        <v>50.164640404883698</v>
      </c>
      <c r="P553">
        <v>-0.30715101244021897</v>
      </c>
      <c r="Q553">
        <v>0.75347002400091301</v>
      </c>
      <c r="R553">
        <v>0.49677769678192302</v>
      </c>
      <c r="S553" t="s">
        <v>6955</v>
      </c>
      <c r="T553" t="s">
        <v>12802</v>
      </c>
      <c r="U553" t="s">
        <v>12802</v>
      </c>
      <c r="V553" t="s">
        <v>12802</v>
      </c>
      <c r="W553" t="s">
        <v>13269</v>
      </c>
      <c r="X553">
        <v>29</v>
      </c>
      <c r="Y553" t="s">
        <v>19592</v>
      </c>
      <c r="Z553" t="s">
        <v>25871</v>
      </c>
      <c r="AA553">
        <v>0.86170081904499152</v>
      </c>
      <c r="AB553" t="str">
        <f>HYPERLINK("Melting_Curves/meltCurve_E9PDE4_CAST.pdf", "Melting_Curves/meltCurve_E9PDE4_CAST.pdf")</f>
        <v>Melting_Curves/meltCurve_E9PDE4_CAST.pdf</v>
      </c>
    </row>
    <row r="554" spans="1:28" x14ac:dyDescent="0.25">
      <c r="A554" t="s">
        <v>558</v>
      </c>
      <c r="B554">
        <v>0.99542014353169495</v>
      </c>
      <c r="C554">
        <v>0.77439170140758296</v>
      </c>
      <c r="D554">
        <v>0.95551861853989495</v>
      </c>
      <c r="E554">
        <v>0.57721816516680602</v>
      </c>
      <c r="F554">
        <v>0.52408555733413698</v>
      </c>
      <c r="G554">
        <v>0.203632588923849</v>
      </c>
      <c r="H554">
        <v>7.9915488463038906E-2</v>
      </c>
      <c r="I554">
        <v>4.5433316193808401E-2</v>
      </c>
      <c r="J554">
        <v>7.6855658102330499E-2</v>
      </c>
      <c r="K554">
        <v>6.4388447638297597E-2</v>
      </c>
      <c r="L554">
        <v>611.07539080894901</v>
      </c>
      <c r="M554">
        <v>12.494097151454501</v>
      </c>
      <c r="N554">
        <v>48.909127536151203</v>
      </c>
      <c r="O554">
        <v>47.706891333540902</v>
      </c>
      <c r="P554">
        <v>-6.5486727208349305E-2</v>
      </c>
      <c r="Q554">
        <v>0</v>
      </c>
      <c r="R554">
        <v>0.95168014223372299</v>
      </c>
      <c r="S554" t="s">
        <v>6956</v>
      </c>
      <c r="T554" t="s">
        <v>12802</v>
      </c>
      <c r="U554" t="s">
        <v>12802</v>
      </c>
      <c r="V554" t="s">
        <v>12802</v>
      </c>
      <c r="W554" t="s">
        <v>13351</v>
      </c>
      <c r="X554">
        <v>1</v>
      </c>
      <c r="Y554" t="s">
        <v>19673</v>
      </c>
      <c r="Z554" t="s">
        <v>25872</v>
      </c>
      <c r="AA554">
        <v>0.4252443742014248</v>
      </c>
      <c r="AB554" t="str">
        <f>HYPERLINK("Melting_Curves/meltCurve_E9PDJ7_NMU.pdf", "Melting_Curves/meltCurve_E9PDJ7_NMU.pdf")</f>
        <v>Melting_Curves/meltCurve_E9PDJ7_NMU.pdf</v>
      </c>
    </row>
    <row r="555" spans="1:28" x14ac:dyDescent="0.25">
      <c r="A555" t="s">
        <v>559</v>
      </c>
      <c r="B555">
        <v>0.99542014353169495</v>
      </c>
      <c r="C555">
        <v>0.79084130376513295</v>
      </c>
      <c r="D555">
        <v>0.85675607646371399</v>
      </c>
      <c r="E555">
        <v>0.49809216826868402</v>
      </c>
      <c r="F555">
        <v>0.27096969062318599</v>
      </c>
      <c r="G555">
        <v>0.190369383970138</v>
      </c>
      <c r="H555">
        <v>0.175639356946937</v>
      </c>
      <c r="I555">
        <v>0.12093553374640199</v>
      </c>
      <c r="J555">
        <v>0.15399332966397999</v>
      </c>
      <c r="K555">
        <v>0.120829333000624</v>
      </c>
      <c r="L555">
        <v>718.57009866885005</v>
      </c>
      <c r="M555">
        <v>15.6685442232688</v>
      </c>
      <c r="N555">
        <v>46.672623132541297</v>
      </c>
      <c r="O555">
        <v>45.133145489076902</v>
      </c>
      <c r="P555">
        <v>-7.6443646639003202E-2</v>
      </c>
      <c r="Q555">
        <v>0.11929316542764599</v>
      </c>
      <c r="R555">
        <v>0.97396624602898096</v>
      </c>
      <c r="S555" t="s">
        <v>6957</v>
      </c>
      <c r="T555" t="s">
        <v>12802</v>
      </c>
      <c r="U555" t="s">
        <v>12802</v>
      </c>
      <c r="V555" t="s">
        <v>12802</v>
      </c>
      <c r="W555" t="s">
        <v>13352</v>
      </c>
      <c r="X555">
        <v>4</v>
      </c>
      <c r="Y555" t="s">
        <v>19674</v>
      </c>
      <c r="Z555" t="s">
        <v>25873</v>
      </c>
      <c r="AA555">
        <v>0.39816263765683019</v>
      </c>
      <c r="AB555" t="str">
        <f>HYPERLINK("Melting_Curves/meltCurve_E9PDQ5_ARHGEF7.pdf", "Melting_Curves/meltCurve_E9PDQ5_ARHGEF7.pdf")</f>
        <v>Melting_Curves/meltCurve_E9PDQ5_ARHGEF7.pdf</v>
      </c>
    </row>
    <row r="556" spans="1:28" x14ac:dyDescent="0.25">
      <c r="A556" t="s">
        <v>560</v>
      </c>
      <c r="B556">
        <v>0.99542014353169495</v>
      </c>
      <c r="C556">
        <v>0.97773335022100605</v>
      </c>
      <c r="D556">
        <v>0.90187407058508795</v>
      </c>
      <c r="E556">
        <v>0.79734153838917798</v>
      </c>
      <c r="F556">
        <v>0.61086603866661904</v>
      </c>
      <c r="G556">
        <v>0.366885501083763</v>
      </c>
      <c r="H556">
        <v>0.25165709028155298</v>
      </c>
      <c r="I556">
        <v>0.21192104233689099</v>
      </c>
      <c r="J556">
        <v>0.26908323003658202</v>
      </c>
      <c r="K556">
        <v>0.33773280716021098</v>
      </c>
      <c r="L556">
        <v>894.31829518869495</v>
      </c>
      <c r="M556">
        <v>18.1336342294349</v>
      </c>
      <c r="N556">
        <v>51.2443167395408</v>
      </c>
      <c r="O556">
        <v>48.730147135428602</v>
      </c>
      <c r="P556">
        <v>-7.0047028947562595E-2</v>
      </c>
      <c r="Q556">
        <v>0.24709196711558701</v>
      </c>
      <c r="R556">
        <v>0.98039256518808504</v>
      </c>
      <c r="S556" t="s">
        <v>6958</v>
      </c>
      <c r="T556" t="s">
        <v>12802</v>
      </c>
      <c r="U556" t="s">
        <v>12802</v>
      </c>
      <c r="V556" t="s">
        <v>12802</v>
      </c>
      <c r="W556" t="s">
        <v>13353</v>
      </c>
      <c r="X556">
        <v>1</v>
      </c>
      <c r="Y556" t="s">
        <v>19675</v>
      </c>
      <c r="Z556" t="s">
        <v>25874</v>
      </c>
      <c r="AA556">
        <v>0.56803279648958271</v>
      </c>
      <c r="AB556" t="str">
        <f>HYPERLINK("Melting_Curves/meltCurve_E9PEE8_ITGB6.pdf", "Melting_Curves/meltCurve_E9PEE8_ITGB6.pdf")</f>
        <v>Melting_Curves/meltCurve_E9PEE8_ITGB6.pdf</v>
      </c>
    </row>
    <row r="557" spans="1:28" x14ac:dyDescent="0.25">
      <c r="A557" t="s">
        <v>561</v>
      </c>
      <c r="B557">
        <v>0.99542014353169495</v>
      </c>
      <c r="C557">
        <v>1.0595612044204099</v>
      </c>
      <c r="D557">
        <v>1.02894425845235</v>
      </c>
      <c r="E557">
        <v>0.97000242985478502</v>
      </c>
      <c r="F557">
        <v>0.78811055483703096</v>
      </c>
      <c r="G557">
        <v>8.4988556951009001E-2</v>
      </c>
      <c r="H557">
        <v>4.3636704327338197E-2</v>
      </c>
      <c r="I557">
        <v>2.7689920252812601E-2</v>
      </c>
      <c r="J557">
        <v>3.6312147540993503E-2</v>
      </c>
      <c r="K557">
        <v>2.7395435879644499E-2</v>
      </c>
      <c r="L557">
        <v>3069.2921350517399</v>
      </c>
      <c r="M557">
        <v>59.875959496398501</v>
      </c>
      <c r="N557">
        <v>51.319175318080603</v>
      </c>
      <c r="O557">
        <v>51.203732068384298</v>
      </c>
      <c r="P557">
        <v>-0.28272462255493402</v>
      </c>
      <c r="Q557">
        <v>3.2896894039535302E-2</v>
      </c>
      <c r="R557">
        <v>0.99756128536407895</v>
      </c>
      <c r="S557" t="s">
        <v>6959</v>
      </c>
      <c r="T557" t="s">
        <v>12802</v>
      </c>
      <c r="U557" t="s">
        <v>12802</v>
      </c>
      <c r="V557" t="s">
        <v>12802</v>
      </c>
      <c r="W557" t="s">
        <v>13290</v>
      </c>
      <c r="X557">
        <v>28</v>
      </c>
      <c r="Y557" t="s">
        <v>19613</v>
      </c>
      <c r="Z557" t="s">
        <v>25875</v>
      </c>
      <c r="AA557">
        <v>0.49414264680958758</v>
      </c>
      <c r="AB557" t="str">
        <f>HYPERLINK("Melting_Curves/meltCurve_E9PEN8_XPO7.pdf", "Melting_Curves/meltCurve_E9PEN8_XPO7.pdf")</f>
        <v>Melting_Curves/meltCurve_E9PEN8_XPO7.pdf</v>
      </c>
    </row>
    <row r="558" spans="1:28" x14ac:dyDescent="0.25">
      <c r="A558" t="s">
        <v>562</v>
      </c>
      <c r="B558">
        <v>0.99542014353169495</v>
      </c>
      <c r="C558">
        <v>1.0634163836119399</v>
      </c>
      <c r="D558">
        <v>0.98558369466892404</v>
      </c>
      <c r="E558">
        <v>0.80208523484045902</v>
      </c>
      <c r="F558">
        <v>0.32082100348414899</v>
      </c>
      <c r="G558">
        <v>0.12663072772411599</v>
      </c>
      <c r="H558">
        <v>6.60757825009438E-2</v>
      </c>
      <c r="I558">
        <v>4.7753963090230299E-2</v>
      </c>
      <c r="J558">
        <v>5.2683158745639301E-2</v>
      </c>
      <c r="K558">
        <v>5.5554146342139399E-2</v>
      </c>
      <c r="L558">
        <v>1442.61535247291</v>
      </c>
      <c r="M558">
        <v>29.640786206666998</v>
      </c>
      <c r="N558">
        <v>48.863402940219601</v>
      </c>
      <c r="O558">
        <v>48.450025627229998</v>
      </c>
      <c r="P558">
        <v>-0.14447895240918801</v>
      </c>
      <c r="Q558">
        <v>5.5360980613591002E-2</v>
      </c>
      <c r="R558">
        <v>0.99740706962118098</v>
      </c>
      <c r="S558" t="s">
        <v>6960</v>
      </c>
      <c r="T558" t="s">
        <v>12802</v>
      </c>
      <c r="U558" t="s">
        <v>12802</v>
      </c>
      <c r="V558" t="s">
        <v>12802</v>
      </c>
      <c r="W558" t="s">
        <v>13354</v>
      </c>
      <c r="X558">
        <v>11</v>
      </c>
      <c r="Y558" t="s">
        <v>19676</v>
      </c>
      <c r="Z558" t="s">
        <v>25876</v>
      </c>
      <c r="AA558">
        <v>0.42862581209535289</v>
      </c>
      <c r="AB558" t="str">
        <f>HYPERLINK("Melting_Curves/meltCurve_E9PER6_PDPK1.pdf", "Melting_Curves/meltCurve_E9PER6_PDPK1.pdf")</f>
        <v>Melting_Curves/meltCurve_E9PER6_PDPK1.pdf</v>
      </c>
    </row>
    <row r="559" spans="1:28" x14ac:dyDescent="0.25">
      <c r="A559" t="s">
        <v>563</v>
      </c>
      <c r="B559">
        <v>0.99542014353169495</v>
      </c>
      <c r="C559">
        <v>0.91032299202880396</v>
      </c>
      <c r="D559">
        <v>0.94488699659080999</v>
      </c>
      <c r="E559">
        <v>0.39618073546655802</v>
      </c>
      <c r="F559">
        <v>0.131378102331453</v>
      </c>
      <c r="G559">
        <v>8.0857679251169198E-2</v>
      </c>
      <c r="H559">
        <v>5.09327199549982E-2</v>
      </c>
      <c r="I559">
        <v>3.5952667360245202E-2</v>
      </c>
      <c r="J559">
        <v>4.1360451906385903E-2</v>
      </c>
      <c r="K559">
        <v>3.9227338157826898E-2</v>
      </c>
      <c r="L559">
        <v>1563.83763150201</v>
      </c>
      <c r="M559">
        <v>34.052859232329602</v>
      </c>
      <c r="N559">
        <v>46.0732199323567</v>
      </c>
      <c r="O559">
        <v>45.766320507946197</v>
      </c>
      <c r="P559">
        <v>-0.17629276986492701</v>
      </c>
      <c r="Q559">
        <v>5.2268782614326E-2</v>
      </c>
      <c r="R559">
        <v>0.99357802379009197</v>
      </c>
      <c r="S559" t="s">
        <v>6961</v>
      </c>
      <c r="T559" t="s">
        <v>12802</v>
      </c>
      <c r="U559" t="s">
        <v>12802</v>
      </c>
      <c r="V559" t="s">
        <v>12802</v>
      </c>
      <c r="W559" t="s">
        <v>13355</v>
      </c>
      <c r="X559">
        <v>68</v>
      </c>
      <c r="Y559" t="s">
        <v>19677</v>
      </c>
      <c r="Z559" t="s">
        <v>25877</v>
      </c>
      <c r="AA559">
        <v>0.3383531382016865</v>
      </c>
      <c r="AB559" t="str">
        <f>HYPERLINK("Melting_Curves/meltCurve_E9PEZ3_DIAPH1.pdf", "Melting_Curves/meltCurve_E9PEZ3_DIAPH1.pdf")</f>
        <v>Melting_Curves/meltCurve_E9PEZ3_DIAPH1.pdf</v>
      </c>
    </row>
    <row r="560" spans="1:28" x14ac:dyDescent="0.25">
      <c r="A560" t="s">
        <v>564</v>
      </c>
      <c r="B560">
        <v>0.99542014353169495</v>
      </c>
      <c r="C560">
        <v>0.89977187778012302</v>
      </c>
      <c r="D560">
        <v>0.82559850916849797</v>
      </c>
      <c r="E560">
        <v>0.53193896887437897</v>
      </c>
      <c r="F560">
        <v>0.322382412266633</v>
      </c>
      <c r="G560">
        <v>0.11140632793093599</v>
      </c>
      <c r="H560">
        <v>7.7846717414396902E-2</v>
      </c>
      <c r="I560">
        <v>5.0101561739104898E-2</v>
      </c>
      <c r="J560">
        <v>5.7537765265009602E-2</v>
      </c>
      <c r="K560">
        <v>4.7741190125939401E-2</v>
      </c>
      <c r="L560">
        <v>717.19332610684</v>
      </c>
      <c r="M560">
        <v>15.273677502994101</v>
      </c>
      <c r="N560">
        <v>47.1282938883772</v>
      </c>
      <c r="O560">
        <v>46.173335254001501</v>
      </c>
      <c r="P560">
        <v>-8.0461641891847804E-2</v>
      </c>
      <c r="Q560">
        <v>2.712861147877E-2</v>
      </c>
      <c r="R560">
        <v>0.99646047508749402</v>
      </c>
      <c r="S560" t="s">
        <v>6962</v>
      </c>
      <c r="T560" t="s">
        <v>12802</v>
      </c>
      <c r="U560" t="s">
        <v>12802</v>
      </c>
      <c r="V560" t="s">
        <v>12802</v>
      </c>
      <c r="W560" t="s">
        <v>13356</v>
      </c>
      <c r="X560">
        <v>21</v>
      </c>
      <c r="Y560" t="s">
        <v>19678</v>
      </c>
      <c r="Z560" t="s">
        <v>25878</v>
      </c>
      <c r="AA560">
        <v>0.37121743287804232</v>
      </c>
      <c r="AB560" t="str">
        <f>HYPERLINK("Melting_Curves/meltCurve_E9PF10_NUP155.pdf", "Melting_Curves/meltCurve_E9PF10_NUP155.pdf")</f>
        <v>Melting_Curves/meltCurve_E9PF10_NUP155.pdf</v>
      </c>
    </row>
    <row r="561" spans="1:28" x14ac:dyDescent="0.25">
      <c r="A561" t="s">
        <v>565</v>
      </c>
      <c r="B561">
        <v>0.99542014353169495</v>
      </c>
      <c r="C561">
        <v>1.07140051120452</v>
      </c>
      <c r="D561">
        <v>1.0191483583675001</v>
      </c>
      <c r="E561">
        <v>0.87859183995300905</v>
      </c>
      <c r="F561">
        <v>0.74225198358720901</v>
      </c>
      <c r="G561">
        <v>0.29299966125295401</v>
      </c>
      <c r="H561">
        <v>0.101703307638011</v>
      </c>
      <c r="I561">
        <v>6.6594135357026907E-2</v>
      </c>
      <c r="J561">
        <v>6.4340730908577101E-2</v>
      </c>
      <c r="K561">
        <v>5.97564897181544E-2</v>
      </c>
      <c r="L561">
        <v>1377.1109089271599</v>
      </c>
      <c r="M561">
        <v>26.6021815669692</v>
      </c>
      <c r="N561">
        <v>51.973660613005499</v>
      </c>
      <c r="O561">
        <v>51.476966952779797</v>
      </c>
      <c r="P561">
        <v>-0.12270721241143499</v>
      </c>
      <c r="Q561">
        <v>5.0223961299621402E-2</v>
      </c>
      <c r="R561">
        <v>0.99303589634198997</v>
      </c>
      <c r="S561" t="s">
        <v>6963</v>
      </c>
      <c r="T561" t="s">
        <v>12802</v>
      </c>
      <c r="U561" t="s">
        <v>12802</v>
      </c>
      <c r="V561" t="s">
        <v>12802</v>
      </c>
      <c r="W561" t="s">
        <v>13357</v>
      </c>
      <c r="X561">
        <v>16</v>
      </c>
      <c r="Y561" t="s">
        <v>19679</v>
      </c>
      <c r="Z561" t="s">
        <v>25879</v>
      </c>
      <c r="AA561">
        <v>0.52523444334369696</v>
      </c>
      <c r="AB561" t="str">
        <f>HYPERLINK("Melting_Curves/meltCurve_E9PF18_HADH.pdf", "Melting_Curves/meltCurve_E9PF18_HADH.pdf")</f>
        <v>Melting_Curves/meltCurve_E9PF18_HADH.pdf</v>
      </c>
    </row>
    <row r="562" spans="1:28" x14ac:dyDescent="0.25">
      <c r="A562" t="s">
        <v>566</v>
      </c>
      <c r="B562">
        <v>0.99542014353169495</v>
      </c>
      <c r="C562">
        <v>0.882531971299086</v>
      </c>
      <c r="D562">
        <v>0.93020099348102803</v>
      </c>
      <c r="E562">
        <v>0.73469727468161705</v>
      </c>
      <c r="F562">
        <v>0.38768432758358301</v>
      </c>
      <c r="G562">
        <v>0.110168911781284</v>
      </c>
      <c r="H562">
        <v>7.2240882378613994E-2</v>
      </c>
      <c r="I562">
        <v>4.4052279909860499E-2</v>
      </c>
      <c r="J562">
        <v>4.8433899653595701E-2</v>
      </c>
      <c r="K562">
        <v>4.7320370686204698E-2</v>
      </c>
      <c r="L562">
        <v>1010.44762551549</v>
      </c>
      <c r="M562">
        <v>20.7519338418324</v>
      </c>
      <c r="N562">
        <v>48.844081763400901</v>
      </c>
      <c r="O562">
        <v>48.246341939729</v>
      </c>
      <c r="P562">
        <v>-0.1041642206026</v>
      </c>
      <c r="Q562">
        <v>3.1338233126831802E-2</v>
      </c>
      <c r="R562">
        <v>0.99093266365837296</v>
      </c>
      <c r="S562" t="s">
        <v>6964</v>
      </c>
      <c r="T562" t="s">
        <v>12802</v>
      </c>
      <c r="U562" t="s">
        <v>12802</v>
      </c>
      <c r="V562" t="s">
        <v>12802</v>
      </c>
      <c r="W562" t="s">
        <v>13358</v>
      </c>
      <c r="X562">
        <v>22</v>
      </c>
      <c r="Y562" t="s">
        <v>19680</v>
      </c>
      <c r="Z562" t="s">
        <v>25880</v>
      </c>
      <c r="AA562">
        <v>0.4207586783391406</v>
      </c>
      <c r="AB562" t="str">
        <f>HYPERLINK("Melting_Curves/meltCurve_E9PF19_TBL2.pdf", "Melting_Curves/meltCurve_E9PF19_TBL2.pdf")</f>
        <v>Melting_Curves/meltCurve_E9PF19_TBL2.pdf</v>
      </c>
    </row>
    <row r="563" spans="1:28" x14ac:dyDescent="0.25">
      <c r="A563" t="s">
        <v>567</v>
      </c>
      <c r="B563">
        <v>0.99542014353169495</v>
      </c>
      <c r="C563">
        <v>0.96230048971063198</v>
      </c>
      <c r="D563">
        <v>0.92666444118000402</v>
      </c>
      <c r="E563">
        <v>0.83044554132123405</v>
      </c>
      <c r="F563">
        <v>0.68827243969433705</v>
      </c>
      <c r="G563">
        <v>0.46297236535895597</v>
      </c>
      <c r="H563">
        <v>0.33839836644927801</v>
      </c>
      <c r="I563">
        <v>0.26129220740776599</v>
      </c>
      <c r="J563">
        <v>0.34225694103068999</v>
      </c>
      <c r="K563">
        <v>0.402261471568582</v>
      </c>
      <c r="L563">
        <v>883.83872022444996</v>
      </c>
      <c r="M563">
        <v>17.681386135617402</v>
      </c>
      <c r="N563">
        <v>52.930971466759701</v>
      </c>
      <c r="O563">
        <v>49.360685043797901</v>
      </c>
      <c r="P563">
        <v>-6.1526497876638699E-2</v>
      </c>
      <c r="Q563">
        <v>0.31298810751646899</v>
      </c>
      <c r="R563">
        <v>0.97461862505310803</v>
      </c>
      <c r="S563" t="s">
        <v>6965</v>
      </c>
      <c r="T563" t="s">
        <v>12802</v>
      </c>
      <c r="U563" t="s">
        <v>12802</v>
      </c>
      <c r="V563" t="s">
        <v>12802</v>
      </c>
      <c r="W563" t="s">
        <v>13359</v>
      </c>
      <c r="X563">
        <v>12</v>
      </c>
      <c r="Y563" t="s">
        <v>19681</v>
      </c>
      <c r="Z563" t="s">
        <v>25881</v>
      </c>
      <c r="AA563">
        <v>0.62154206115450328</v>
      </c>
      <c r="AB563" t="str">
        <f>HYPERLINK("Melting_Curves/meltCurve_E9PF74_SLC25A19.pdf", "Melting_Curves/meltCurve_E9PF74_SLC25A19.pdf")</f>
        <v>Melting_Curves/meltCurve_E9PF74_SLC25A19.pdf</v>
      </c>
    </row>
    <row r="564" spans="1:28" x14ac:dyDescent="0.25">
      <c r="A564" t="s">
        <v>568</v>
      </c>
      <c r="B564">
        <v>0.99542014353169495</v>
      </c>
      <c r="C564">
        <v>1.0488283843013499</v>
      </c>
      <c r="D564">
        <v>1.0264774906074801</v>
      </c>
      <c r="E564">
        <v>0.79365439487730705</v>
      </c>
      <c r="F564">
        <v>0.45991278370214</v>
      </c>
      <c r="G564">
        <v>0.27701644835275901</v>
      </c>
      <c r="H564">
        <v>0.17792935622194</v>
      </c>
      <c r="I564">
        <v>8.8267630964018295E-2</v>
      </c>
      <c r="J564">
        <v>8.2348080879383098E-2</v>
      </c>
      <c r="K564">
        <v>8.0494608488216601E-2</v>
      </c>
      <c r="L564">
        <v>995.06366952080703</v>
      </c>
      <c r="M564">
        <v>20.0560694454871</v>
      </c>
      <c r="N564">
        <v>50.088443409448999</v>
      </c>
      <c r="O564">
        <v>49.128744739279199</v>
      </c>
      <c r="P564">
        <v>-9.3234256893555995E-2</v>
      </c>
      <c r="Q564">
        <v>8.6494073922612297E-2</v>
      </c>
      <c r="R564">
        <v>0.99276069886009699</v>
      </c>
      <c r="S564" t="s">
        <v>6966</v>
      </c>
      <c r="T564" t="s">
        <v>12802</v>
      </c>
      <c r="U564" t="s">
        <v>12802</v>
      </c>
      <c r="V564" t="s">
        <v>12802</v>
      </c>
      <c r="W564" t="s">
        <v>13360</v>
      </c>
      <c r="X564">
        <v>13</v>
      </c>
      <c r="Y564" t="s">
        <v>19682</v>
      </c>
      <c r="Z564" t="s">
        <v>25882</v>
      </c>
      <c r="AA564">
        <v>0.48257395241332568</v>
      </c>
      <c r="AB564" t="str">
        <f>HYPERLINK("Melting_Curves/meltCurve_E9PFK9_RABGEF1.pdf", "Melting_Curves/meltCurve_E9PFK9_RABGEF1.pdf")</f>
        <v>Melting_Curves/meltCurve_E9PFK9_RABGEF1.pdf</v>
      </c>
    </row>
    <row r="565" spans="1:28" x14ac:dyDescent="0.25">
      <c r="A565" t="s">
        <v>569</v>
      </c>
      <c r="B565">
        <v>0.99542014353169495</v>
      </c>
      <c r="C565">
        <v>0.976811989075549</v>
      </c>
      <c r="D565">
        <v>0.98377855342200005</v>
      </c>
      <c r="E565">
        <v>0.53313984178795104</v>
      </c>
      <c r="F565">
        <v>0.238231336473157</v>
      </c>
      <c r="G565">
        <v>0.12046862226404099</v>
      </c>
      <c r="H565">
        <v>7.6083923258559102E-2</v>
      </c>
      <c r="I565">
        <v>5.4245016657163601E-2</v>
      </c>
      <c r="J565">
        <v>6.07277536630954E-2</v>
      </c>
      <c r="K565">
        <v>5.0849199617355997E-2</v>
      </c>
      <c r="L565">
        <v>1237.5966827703901</v>
      </c>
      <c r="M565">
        <v>26.3963175999653</v>
      </c>
      <c r="N565">
        <v>47.142794985182903</v>
      </c>
      <c r="O565">
        <v>46.618591915159101</v>
      </c>
      <c r="P565">
        <v>-0.132049874007514</v>
      </c>
      <c r="Q565">
        <v>6.7155905276404998E-2</v>
      </c>
      <c r="R565">
        <v>0.99523517311064902</v>
      </c>
      <c r="S565" t="s">
        <v>6967</v>
      </c>
      <c r="T565" t="s">
        <v>12802</v>
      </c>
      <c r="U565" t="s">
        <v>12802</v>
      </c>
      <c r="V565" t="s">
        <v>12802</v>
      </c>
      <c r="W565" t="s">
        <v>13361</v>
      </c>
      <c r="X565">
        <v>19</v>
      </c>
      <c r="Y565" t="s">
        <v>19683</v>
      </c>
      <c r="Z565" t="s">
        <v>25883</v>
      </c>
      <c r="AA565">
        <v>0.3815430929226038</v>
      </c>
      <c r="AB565" t="str">
        <f>HYPERLINK("Melting_Curves/meltCurve_E9PFR3_PPP2R5D.pdf", "Melting_Curves/meltCurve_E9PFR3_PPP2R5D.pdf")</f>
        <v>Melting_Curves/meltCurve_E9PFR3_PPP2R5D.pdf</v>
      </c>
    </row>
    <row r="566" spans="1:28" x14ac:dyDescent="0.25">
      <c r="A566" t="s">
        <v>570</v>
      </c>
      <c r="B566">
        <v>0.99542014353169495</v>
      </c>
      <c r="C566">
        <v>0.98094778215898204</v>
      </c>
      <c r="D566">
        <v>0.90971186452698904</v>
      </c>
      <c r="E566">
        <v>0.87966329497279705</v>
      </c>
      <c r="F566">
        <v>0.50072705451256805</v>
      </c>
      <c r="G566">
        <v>0.48740433212325401</v>
      </c>
      <c r="H566">
        <v>0.108534263941274</v>
      </c>
      <c r="I566">
        <v>0</v>
      </c>
      <c r="J566">
        <v>0.17156683947662199</v>
      </c>
      <c r="K566">
        <v>0</v>
      </c>
      <c r="L566">
        <v>752.16935939283303</v>
      </c>
      <c r="M566">
        <v>14.5960950443478</v>
      </c>
      <c r="N566">
        <v>51.532232276128298</v>
      </c>
      <c r="O566">
        <v>50.593935035416003</v>
      </c>
      <c r="P566">
        <v>-7.2131861879208406E-2</v>
      </c>
      <c r="Q566">
        <v>0</v>
      </c>
      <c r="R566">
        <v>0.96026434832294405</v>
      </c>
      <c r="S566" t="s">
        <v>6968</v>
      </c>
      <c r="T566" t="s">
        <v>12802</v>
      </c>
      <c r="U566" t="s">
        <v>12802</v>
      </c>
      <c r="V566" t="s">
        <v>12802</v>
      </c>
      <c r="W566" t="s">
        <v>13362</v>
      </c>
      <c r="X566">
        <v>1</v>
      </c>
      <c r="Y566" t="s">
        <v>19684</v>
      </c>
      <c r="Z566" t="s">
        <v>25884</v>
      </c>
      <c r="AA566">
        <v>0.5046996393488874</v>
      </c>
      <c r="AB566" t="str">
        <f>HYPERLINK("Melting_Curves/meltCurve_E9PFZ1_C3orf38.pdf", "Melting_Curves/meltCurve_E9PFZ1_C3orf38.pdf")</f>
        <v>Melting_Curves/meltCurve_E9PFZ1_C3orf38.pdf</v>
      </c>
    </row>
    <row r="567" spans="1:28" x14ac:dyDescent="0.25">
      <c r="A567" t="s">
        <v>571</v>
      </c>
      <c r="B567">
        <v>0.99542014353169495</v>
      </c>
      <c r="C567">
        <v>0.93210123766888897</v>
      </c>
      <c r="D567">
        <v>0.94539181719552201</v>
      </c>
      <c r="E567">
        <v>0.54326631074277898</v>
      </c>
      <c r="F567">
        <v>0.21456930385470499</v>
      </c>
      <c r="G567">
        <v>9.6671007631900299E-2</v>
      </c>
      <c r="H567">
        <v>0.11651901669020701</v>
      </c>
      <c r="I567">
        <v>9.84532777401569E-2</v>
      </c>
      <c r="J567">
        <v>0.108883295718714</v>
      </c>
      <c r="K567">
        <v>0.148693020493393</v>
      </c>
      <c r="L567">
        <v>1399.21138310217</v>
      </c>
      <c r="M567">
        <v>30.0609104258833</v>
      </c>
      <c r="N567">
        <v>46.942162521294797</v>
      </c>
      <c r="O567">
        <v>46.341349768690399</v>
      </c>
      <c r="P567">
        <v>-0.143998017110508</v>
      </c>
      <c r="Q567">
        <v>0.112066908909403</v>
      </c>
      <c r="R567">
        <v>0.99517583305292001</v>
      </c>
      <c r="S567" t="s">
        <v>6969</v>
      </c>
      <c r="T567" t="s">
        <v>12802</v>
      </c>
      <c r="U567" t="s">
        <v>12802</v>
      </c>
      <c r="V567" t="s">
        <v>12802</v>
      </c>
      <c r="W567" t="s">
        <v>13363</v>
      </c>
      <c r="X567">
        <v>2</v>
      </c>
      <c r="Y567" t="s">
        <v>19685</v>
      </c>
      <c r="Z567" t="s">
        <v>25885</v>
      </c>
      <c r="AA567">
        <v>0.39969941694134958</v>
      </c>
      <c r="AB567" t="str">
        <f>HYPERLINK("Melting_Curves/meltCurve_E9PG22_CEP97.pdf", "Melting_Curves/meltCurve_E9PG22_CEP97.pdf")</f>
        <v>Melting_Curves/meltCurve_E9PG22_CEP97.pdf</v>
      </c>
    </row>
    <row r="568" spans="1:28" x14ac:dyDescent="0.25">
      <c r="A568" t="s">
        <v>572</v>
      </c>
      <c r="B568">
        <v>0.99542014353169495</v>
      </c>
      <c r="C568">
        <v>0.89721854213470598</v>
      </c>
      <c r="D568">
        <v>0.85891212434325104</v>
      </c>
      <c r="E568">
        <v>0.74463209952082399</v>
      </c>
      <c r="F568">
        <v>0.64954586429053496</v>
      </c>
      <c r="G568">
        <v>0.40856505663218601</v>
      </c>
      <c r="H568">
        <v>0.35195885283648998</v>
      </c>
      <c r="I568">
        <v>0.33771061007145597</v>
      </c>
      <c r="J568">
        <v>0.36835534857133601</v>
      </c>
      <c r="K568">
        <v>0.416418529802208</v>
      </c>
      <c r="L568">
        <v>614.06010676606797</v>
      </c>
      <c r="M568">
        <v>12.7789026191865</v>
      </c>
      <c r="N568">
        <v>52.480067503015803</v>
      </c>
      <c r="O568">
        <v>46.921510801938503</v>
      </c>
      <c r="P568">
        <v>-4.5635077522722299E-2</v>
      </c>
      <c r="Q568">
        <v>0.32987596027544402</v>
      </c>
      <c r="R568">
        <v>0.96357785085438796</v>
      </c>
      <c r="S568" t="s">
        <v>6970</v>
      </c>
      <c r="T568" t="s">
        <v>12802</v>
      </c>
      <c r="U568" t="s">
        <v>12802</v>
      </c>
      <c r="V568" t="s">
        <v>12802</v>
      </c>
      <c r="W568" t="s">
        <v>13364</v>
      </c>
      <c r="X568">
        <v>2</v>
      </c>
      <c r="Y568" t="s">
        <v>19686</v>
      </c>
      <c r="Z568" t="s">
        <v>25886</v>
      </c>
      <c r="AA568">
        <v>0.59581837849847763</v>
      </c>
      <c r="AB568" t="str">
        <f>HYPERLINK("Melting_Curves/meltCurve_E9PGQ0_SLC25A44.pdf", "Melting_Curves/meltCurve_E9PGQ0_SLC25A44.pdf")</f>
        <v>Melting_Curves/meltCurve_E9PGQ0_SLC25A44.pdf</v>
      </c>
    </row>
    <row r="569" spans="1:28" x14ac:dyDescent="0.25">
      <c r="A569" t="s">
        <v>573</v>
      </c>
      <c r="B569">
        <v>0.99542014353169495</v>
      </c>
      <c r="C569">
        <v>0.87115342630343295</v>
      </c>
      <c r="D569">
        <v>0.99712086545668899</v>
      </c>
      <c r="E569">
        <v>0.85476637747415396</v>
      </c>
      <c r="F569">
        <v>0.72137678499449798</v>
      </c>
      <c r="G569">
        <v>0.48434073312709802</v>
      </c>
      <c r="H569">
        <v>0.410741715792039</v>
      </c>
      <c r="I569">
        <v>0.31949964165002698</v>
      </c>
      <c r="J569">
        <v>0.21718428578048499</v>
      </c>
      <c r="K569">
        <v>0.10383113387951499</v>
      </c>
      <c r="L569">
        <v>523.71798862884202</v>
      </c>
      <c r="M569">
        <v>9.5517303310499493</v>
      </c>
      <c r="N569">
        <v>54.829645418186402</v>
      </c>
      <c r="O569">
        <v>52.587861769147302</v>
      </c>
      <c r="P569">
        <v>-4.5434749130792401E-2</v>
      </c>
      <c r="Q569">
        <v>0</v>
      </c>
      <c r="R569">
        <v>0.976555721783539</v>
      </c>
      <c r="S569" t="s">
        <v>6971</v>
      </c>
      <c r="T569" t="s">
        <v>12802</v>
      </c>
      <c r="U569" t="s">
        <v>12802</v>
      </c>
      <c r="V569" t="s">
        <v>12802</v>
      </c>
      <c r="W569" t="s">
        <v>13365</v>
      </c>
      <c r="X569">
        <v>16</v>
      </c>
      <c r="Y569" t="s">
        <v>19687</v>
      </c>
      <c r="Z569" t="s">
        <v>25887</v>
      </c>
      <c r="AA569">
        <v>0.60669832987326611</v>
      </c>
      <c r="AB569" t="str">
        <f>HYPERLINK("Melting_Curves/meltCurve_E9PGT1_TSN.pdf", "Melting_Curves/meltCurve_E9PGT1_TSN.pdf")</f>
        <v>Melting_Curves/meltCurve_E9PGT1_TSN.pdf</v>
      </c>
    </row>
    <row r="570" spans="1:28" x14ac:dyDescent="0.25">
      <c r="A570" t="s">
        <v>574</v>
      </c>
      <c r="B570">
        <v>0.99542014353169495</v>
      </c>
      <c r="C570">
        <v>0.94139536473338803</v>
      </c>
      <c r="D570">
        <v>1.0130041803563601</v>
      </c>
      <c r="E570">
        <v>0.81102128981223498</v>
      </c>
      <c r="F570">
        <v>0.36134261042597199</v>
      </c>
      <c r="G570">
        <v>0.13370051501622099</v>
      </c>
      <c r="H570">
        <v>9.1568245324943703E-2</v>
      </c>
      <c r="I570">
        <v>6.8395681601927105E-2</v>
      </c>
      <c r="J570">
        <v>7.5739694851673103E-2</v>
      </c>
      <c r="K570">
        <v>8.5290620978971096E-2</v>
      </c>
      <c r="L570">
        <v>1437.0903005693499</v>
      </c>
      <c r="M570">
        <v>29.444693120539899</v>
      </c>
      <c r="N570">
        <v>49.084482561653601</v>
      </c>
      <c r="O570">
        <v>48.5829786015099</v>
      </c>
      <c r="P570">
        <v>-0.13987973053523201</v>
      </c>
      <c r="Q570">
        <v>7.6814995324919394E-2</v>
      </c>
      <c r="R570">
        <v>0.997291950979874</v>
      </c>
      <c r="S570" t="s">
        <v>6972</v>
      </c>
      <c r="T570" t="s">
        <v>12802</v>
      </c>
      <c r="U570" t="s">
        <v>12802</v>
      </c>
      <c r="V570" t="s">
        <v>12802</v>
      </c>
      <c r="W570" t="s">
        <v>13037</v>
      </c>
      <c r="X570">
        <v>28</v>
      </c>
      <c r="Y570" t="s">
        <v>19688</v>
      </c>
      <c r="Z570" t="s">
        <v>25888</v>
      </c>
      <c r="AA570">
        <v>0.44589210717770372</v>
      </c>
      <c r="AB570" t="str">
        <f>HYPERLINK("Melting_Curves/meltCurve_E9PGT3_RPS6KA1.pdf", "Melting_Curves/meltCurve_E9PGT3_RPS6KA1.pdf")</f>
        <v>Melting_Curves/meltCurve_E9PGT3_RPS6KA1.pdf</v>
      </c>
    </row>
    <row r="571" spans="1:28" x14ac:dyDescent="0.25">
      <c r="A571" t="s">
        <v>575</v>
      </c>
      <c r="B571">
        <v>0.99542014353169495</v>
      </c>
      <c r="C571">
        <v>0.90426781951243695</v>
      </c>
      <c r="D571">
        <v>0.91207158393069498</v>
      </c>
      <c r="E571">
        <v>0.77784685405670995</v>
      </c>
      <c r="F571">
        <v>0.73408347442522603</v>
      </c>
      <c r="G571">
        <v>0.463171473288851</v>
      </c>
      <c r="H571">
        <v>0.217827143851649</v>
      </c>
      <c r="I571">
        <v>0.42188131864485101</v>
      </c>
      <c r="J571">
        <v>0.26981370182034198</v>
      </c>
      <c r="K571">
        <v>0.11939617989475799</v>
      </c>
      <c r="L571">
        <v>516.69216794013005</v>
      </c>
      <c r="M571">
        <v>9.8499154221491896</v>
      </c>
      <c r="N571">
        <v>53.599931862346502</v>
      </c>
      <c r="O571">
        <v>50.4315518250298</v>
      </c>
      <c r="P571">
        <v>-4.42240334288019E-2</v>
      </c>
      <c r="Q571">
        <v>9.4758114603249594E-2</v>
      </c>
      <c r="R571">
        <v>0.93282040967790203</v>
      </c>
      <c r="S571" t="s">
        <v>6973</v>
      </c>
      <c r="T571" t="s">
        <v>12802</v>
      </c>
      <c r="U571" t="s">
        <v>12802</v>
      </c>
      <c r="V571" t="s">
        <v>12802</v>
      </c>
      <c r="W571" t="s">
        <v>13366</v>
      </c>
      <c r="X571">
        <v>4</v>
      </c>
      <c r="Y571" t="s">
        <v>19689</v>
      </c>
      <c r="Z571" t="s">
        <v>25889</v>
      </c>
      <c r="AA571">
        <v>0.5836909169233423</v>
      </c>
      <c r="AB571" t="str">
        <f>HYPERLINK("Melting_Curves/meltCurve_E9PGT6_COPS8.pdf", "Melting_Curves/meltCurve_E9PGT6_COPS8.pdf")</f>
        <v>Melting_Curves/meltCurve_E9PGT6_COPS8.pdf</v>
      </c>
    </row>
    <row r="572" spans="1:28" x14ac:dyDescent="0.25">
      <c r="A572" t="s">
        <v>576</v>
      </c>
      <c r="B572">
        <v>0.99542014353169495</v>
      </c>
      <c r="C572">
        <v>0.95909192209340799</v>
      </c>
      <c r="D572">
        <v>0.86314909660468497</v>
      </c>
      <c r="E572">
        <v>0.69952841247136199</v>
      </c>
      <c r="F572">
        <v>0.50285314511393497</v>
      </c>
      <c r="G572">
        <v>0.35618769931390998</v>
      </c>
      <c r="H572">
        <v>0.24383562330782699</v>
      </c>
      <c r="I572">
        <v>0.13472137069013401</v>
      </c>
      <c r="J572">
        <v>0.139909563078702</v>
      </c>
      <c r="K572">
        <v>0.17376299685528801</v>
      </c>
      <c r="L572">
        <v>603.69361995966597</v>
      </c>
      <c r="M572">
        <v>12.245404760540399</v>
      </c>
      <c r="N572">
        <v>50.234242182621799</v>
      </c>
      <c r="O572">
        <v>48.040138882715802</v>
      </c>
      <c r="P572">
        <v>-5.7245889762119903E-2</v>
      </c>
      <c r="Q572">
        <v>0.101871188583168</v>
      </c>
      <c r="R572">
        <v>0.99609513031693397</v>
      </c>
      <c r="S572" t="s">
        <v>6974</v>
      </c>
      <c r="T572" t="s">
        <v>12802</v>
      </c>
      <c r="U572" t="s">
        <v>12802</v>
      </c>
      <c r="V572" t="s">
        <v>12802</v>
      </c>
      <c r="W572" t="s">
        <v>13367</v>
      </c>
      <c r="X572">
        <v>5</v>
      </c>
      <c r="Y572" t="s">
        <v>19690</v>
      </c>
      <c r="Z572" t="s">
        <v>25890</v>
      </c>
      <c r="AA572">
        <v>0.49565936392517979</v>
      </c>
      <c r="AB572" t="str">
        <f>HYPERLINK("Melting_Curves/meltCurve_E9PGW7_MED22.pdf", "Melting_Curves/meltCurve_E9PGW7_MED22.pdf")</f>
        <v>Melting_Curves/meltCurve_E9PGW7_MED22.pdf</v>
      </c>
    </row>
    <row r="573" spans="1:28" x14ac:dyDescent="0.25">
      <c r="A573" t="s">
        <v>577</v>
      </c>
      <c r="B573">
        <v>0.99542014353169495</v>
      </c>
      <c r="C573">
        <v>0.96494207633251805</v>
      </c>
      <c r="D573">
        <v>0.96621521525058596</v>
      </c>
      <c r="E573">
        <v>0.89158670044119503</v>
      </c>
      <c r="F573">
        <v>0.75594315097431097</v>
      </c>
      <c r="G573">
        <v>0.65224429723755895</v>
      </c>
      <c r="H573">
        <v>0.48945749055914201</v>
      </c>
      <c r="I573">
        <v>0.22303288690436901</v>
      </c>
      <c r="J573">
        <v>8.4495971500255104E-2</v>
      </c>
      <c r="K573">
        <v>7.1483819337343102E-2</v>
      </c>
      <c r="L573">
        <v>737.93140149827298</v>
      </c>
      <c r="M573">
        <v>13.224959974408099</v>
      </c>
      <c r="N573">
        <v>55.7983846882249</v>
      </c>
      <c r="O573">
        <v>54.568862524039297</v>
      </c>
      <c r="P573">
        <v>-6.0598411099541803E-2</v>
      </c>
      <c r="Q573">
        <v>0</v>
      </c>
      <c r="R573">
        <v>0.98423117166922203</v>
      </c>
      <c r="S573" t="s">
        <v>6975</v>
      </c>
      <c r="T573" t="s">
        <v>12802</v>
      </c>
      <c r="U573" t="s">
        <v>12802</v>
      </c>
      <c r="V573" t="s">
        <v>12802</v>
      </c>
      <c r="W573" t="s">
        <v>13368</v>
      </c>
      <c r="X573">
        <v>11</v>
      </c>
      <c r="Y573" t="s">
        <v>19691</v>
      </c>
      <c r="Z573" t="s">
        <v>25891</v>
      </c>
      <c r="AA573">
        <v>0.63826582228598128</v>
      </c>
      <c r="AB573" t="str">
        <f>HYPERLINK("Melting_Curves/meltCurve_E9PH29_PRDX3.pdf", "Melting_Curves/meltCurve_E9PH29_PRDX3.pdf")</f>
        <v>Melting_Curves/meltCurve_E9PH29_PRDX3.pdf</v>
      </c>
    </row>
    <row r="574" spans="1:28" x14ac:dyDescent="0.25">
      <c r="A574" t="s">
        <v>578</v>
      </c>
      <c r="B574">
        <v>0.99542014353169495</v>
      </c>
      <c r="C574">
        <v>0.823421673215746</v>
      </c>
      <c r="D574">
        <v>0.80303016025485796</v>
      </c>
      <c r="E574">
        <v>0.46653751501261198</v>
      </c>
      <c r="F574">
        <v>0.31072511475042103</v>
      </c>
      <c r="G574">
        <v>0.143059461956316</v>
      </c>
      <c r="H574">
        <v>7.9669524239674896E-2</v>
      </c>
      <c r="I574">
        <v>3.9837040432159201E-2</v>
      </c>
      <c r="J574">
        <v>4.8202998298907097E-2</v>
      </c>
      <c r="K574">
        <v>3.96342807340926E-2</v>
      </c>
      <c r="L574">
        <v>602.75049113968203</v>
      </c>
      <c r="M574">
        <v>12.9597575651615</v>
      </c>
      <c r="N574">
        <v>46.582004246080501</v>
      </c>
      <c r="O574">
        <v>45.443783623486901</v>
      </c>
      <c r="P574">
        <v>-7.0595278889138496E-2</v>
      </c>
      <c r="Q574">
        <v>9.9990541371083996E-3</v>
      </c>
      <c r="R574">
        <v>0.990493514263314</v>
      </c>
      <c r="S574" t="s">
        <v>6976</v>
      </c>
      <c r="T574" t="s">
        <v>12802</v>
      </c>
      <c r="U574" t="s">
        <v>12802</v>
      </c>
      <c r="V574" t="s">
        <v>12802</v>
      </c>
      <c r="W574" t="s">
        <v>13369</v>
      </c>
      <c r="X574">
        <v>8</v>
      </c>
      <c r="Y574" t="s">
        <v>19692</v>
      </c>
      <c r="Z574" t="s">
        <v>25892</v>
      </c>
      <c r="AA574">
        <v>0.35306753155766918</v>
      </c>
      <c r="AB574" t="str">
        <f>HYPERLINK("Melting_Curves/meltCurve_E9PH64_NDUFB9.pdf", "Melting_Curves/meltCurve_E9PH64_NDUFB9.pdf")</f>
        <v>Melting_Curves/meltCurve_E9PH64_NDUFB9.pdf</v>
      </c>
    </row>
    <row r="575" spans="1:28" x14ac:dyDescent="0.25">
      <c r="A575" t="s">
        <v>579</v>
      </c>
      <c r="B575">
        <v>0.99542014353169495</v>
      </c>
      <c r="C575">
        <v>0.78115449574638496</v>
      </c>
      <c r="D575">
        <v>0.415760358794736</v>
      </c>
      <c r="E575">
        <v>0.16842929049538499</v>
      </c>
      <c r="F575">
        <v>8.7453717040531995E-2</v>
      </c>
      <c r="G575">
        <v>5.6087370431189297E-2</v>
      </c>
      <c r="H575">
        <v>3.2404711080494801E-2</v>
      </c>
      <c r="I575">
        <v>2.10386490449717E-2</v>
      </c>
      <c r="J575">
        <v>2.57866169042529E-2</v>
      </c>
      <c r="K575">
        <v>3.3887271799173599E-2</v>
      </c>
      <c r="L575">
        <v>898.47906636026005</v>
      </c>
      <c r="M575">
        <v>21.264794883084001</v>
      </c>
      <c r="N575">
        <v>42.399964355517902</v>
      </c>
      <c r="O575">
        <v>41.8836044023952</v>
      </c>
      <c r="P575">
        <v>-0.12239048715576099</v>
      </c>
      <c r="Q575">
        <v>3.5772445287989799E-2</v>
      </c>
      <c r="R575">
        <v>0.997330693706589</v>
      </c>
      <c r="S575" t="s">
        <v>6977</v>
      </c>
      <c r="T575" t="s">
        <v>12802</v>
      </c>
      <c r="U575" t="s">
        <v>12802</v>
      </c>
      <c r="V575" t="s">
        <v>12802</v>
      </c>
      <c r="W575" t="s">
        <v>13370</v>
      </c>
      <c r="X575">
        <v>3</v>
      </c>
      <c r="Y575" t="s">
        <v>19693</v>
      </c>
      <c r="Z575" t="s">
        <v>25893</v>
      </c>
      <c r="AA575">
        <v>0.2168695837765352</v>
      </c>
      <c r="AB575" t="str">
        <f>HYPERLINK("Melting_Curves/meltCurve_E9PH99_ZNF451.pdf", "Melting_Curves/meltCurve_E9PH99_ZNF451.pdf")</f>
        <v>Melting_Curves/meltCurve_E9PH99_ZNF451.pdf</v>
      </c>
    </row>
    <row r="576" spans="1:28" x14ac:dyDescent="0.25">
      <c r="A576" t="s">
        <v>580</v>
      </c>
      <c r="B576">
        <v>0.99542014353169495</v>
      </c>
      <c r="C576">
        <v>0.92839281147674302</v>
      </c>
      <c r="D576">
        <v>0.90178604084429004</v>
      </c>
      <c r="E576">
        <v>0.72209759804579199</v>
      </c>
      <c r="F576">
        <v>0.56401064462761297</v>
      </c>
      <c r="G576">
        <v>0.17143226330658201</v>
      </c>
      <c r="H576">
        <v>0.108855164981952</v>
      </c>
      <c r="I576">
        <v>7.3084890257691201E-2</v>
      </c>
      <c r="J576">
        <v>7.4257222879203902E-2</v>
      </c>
      <c r="K576">
        <v>8.5139626030259694E-2</v>
      </c>
      <c r="L576">
        <v>811.71499848454005</v>
      </c>
      <c r="M576">
        <v>16.365030113936601</v>
      </c>
      <c r="N576">
        <v>49.837936479384197</v>
      </c>
      <c r="O576">
        <v>48.877688095917797</v>
      </c>
      <c r="P576">
        <v>-8.0572000493960502E-2</v>
      </c>
      <c r="Q576">
        <v>3.7486538255189703E-2</v>
      </c>
      <c r="R576">
        <v>0.98555954992494899</v>
      </c>
      <c r="S576" t="s">
        <v>6978</v>
      </c>
      <c r="T576" t="s">
        <v>12802</v>
      </c>
      <c r="U576" t="s">
        <v>12802</v>
      </c>
      <c r="V576" t="s">
        <v>12802</v>
      </c>
      <c r="W576" t="s">
        <v>13371</v>
      </c>
      <c r="X576">
        <v>6</v>
      </c>
      <c r="Y576" t="s">
        <v>19694</v>
      </c>
      <c r="Z576" t="s">
        <v>25894</v>
      </c>
      <c r="AA576">
        <v>0.4595653829506664</v>
      </c>
      <c r="AB576" t="str">
        <f>HYPERLINK("Melting_Curves/meltCurve_E9PHF7_MCCC1.pdf", "Melting_Curves/meltCurve_E9PHF7_MCCC1.pdf")</f>
        <v>Melting_Curves/meltCurve_E9PHF7_MCCC1.pdf</v>
      </c>
    </row>
    <row r="577" spans="1:28" x14ac:dyDescent="0.25">
      <c r="A577" t="s">
        <v>581</v>
      </c>
      <c r="B577">
        <v>0.99542014353169495</v>
      </c>
      <c r="C577">
        <v>0.97571653059706798</v>
      </c>
      <c r="D577">
        <v>0.94334331852528697</v>
      </c>
      <c r="E577">
        <v>0.85027823109124501</v>
      </c>
      <c r="F577">
        <v>0.74375451897256595</v>
      </c>
      <c r="G577">
        <v>0.47070394588189401</v>
      </c>
      <c r="H577">
        <v>0.17459658987358201</v>
      </c>
      <c r="I577">
        <v>0.10864426666550001</v>
      </c>
      <c r="J577">
        <v>0.106885905930377</v>
      </c>
      <c r="K577">
        <v>0.122797574379618</v>
      </c>
      <c r="L577">
        <v>933.17659897538101</v>
      </c>
      <c r="M577">
        <v>17.769718219546998</v>
      </c>
      <c r="N577">
        <v>52.914821837158001</v>
      </c>
      <c r="O577">
        <v>51.863457791914499</v>
      </c>
      <c r="P577">
        <v>-8.0278958871277603E-2</v>
      </c>
      <c r="Q577">
        <v>6.2826269836965098E-2</v>
      </c>
      <c r="R577">
        <v>0.99010640463293598</v>
      </c>
      <c r="S577" t="s">
        <v>6979</v>
      </c>
      <c r="T577" t="s">
        <v>12802</v>
      </c>
      <c r="U577" t="s">
        <v>12802</v>
      </c>
      <c r="V577" t="s">
        <v>12802</v>
      </c>
      <c r="W577" t="s">
        <v>13372</v>
      </c>
      <c r="X577">
        <v>9</v>
      </c>
      <c r="Y577" t="s">
        <v>19695</v>
      </c>
      <c r="Z577" t="s">
        <v>25895</v>
      </c>
      <c r="AA577">
        <v>0.56166044156749306</v>
      </c>
      <c r="AB577" t="str">
        <f>HYPERLINK("Melting_Curves/meltCurve_E9PHG5_CYP20A1.pdf", "Melting_Curves/meltCurve_E9PHG5_CYP20A1.pdf")</f>
        <v>Melting_Curves/meltCurve_E9PHG5_CYP20A1.pdf</v>
      </c>
    </row>
    <row r="578" spans="1:28" x14ac:dyDescent="0.25">
      <c r="A578" t="s">
        <v>582</v>
      </c>
      <c r="B578">
        <v>0.99542014353169495</v>
      </c>
      <c r="C578">
        <v>0.98009988959793704</v>
      </c>
      <c r="D578">
        <v>0.92791672314735396</v>
      </c>
      <c r="E578">
        <v>0.78668040417199903</v>
      </c>
      <c r="F578">
        <v>0.50309957644084502</v>
      </c>
      <c r="G578">
        <v>0.116469049585139</v>
      </c>
      <c r="H578">
        <v>7.8389867289689899E-2</v>
      </c>
      <c r="I578">
        <v>5.3880103508739001E-2</v>
      </c>
      <c r="J578">
        <v>5.3037558627585898E-2</v>
      </c>
      <c r="K578">
        <v>5.0225741462199401E-2</v>
      </c>
      <c r="L578">
        <v>1088.1802107240001</v>
      </c>
      <c r="M578">
        <v>21.951691965369601</v>
      </c>
      <c r="N578">
        <v>49.728928639074603</v>
      </c>
      <c r="O578">
        <v>49.165727913679298</v>
      </c>
      <c r="P578">
        <v>-0.10787857426203599</v>
      </c>
      <c r="Q578">
        <v>3.3549391158349498E-2</v>
      </c>
      <c r="R578">
        <v>0.99429338220602104</v>
      </c>
      <c r="S578" t="s">
        <v>6980</v>
      </c>
      <c r="T578" t="s">
        <v>12802</v>
      </c>
      <c r="U578" t="s">
        <v>12802</v>
      </c>
      <c r="V578" t="s">
        <v>12802</v>
      </c>
      <c r="W578" t="s">
        <v>13373</v>
      </c>
      <c r="X578">
        <v>18</v>
      </c>
      <c r="Y578" t="s">
        <v>19696</v>
      </c>
      <c r="Z578" t="s">
        <v>25896</v>
      </c>
      <c r="AA578">
        <v>0.44929648347342138</v>
      </c>
      <c r="AB578" t="str">
        <f>HYPERLINK("Melting_Curves/meltCurve_E9PHM2_LARS2.pdf", "Melting_Curves/meltCurve_E9PHM2_LARS2.pdf")</f>
        <v>Melting_Curves/meltCurve_E9PHM2_LARS2.pdf</v>
      </c>
    </row>
    <row r="579" spans="1:28" x14ac:dyDescent="0.25">
      <c r="A579" t="s">
        <v>583</v>
      </c>
      <c r="B579">
        <v>0.99542014353169495</v>
      </c>
      <c r="C579">
        <v>0.91013458026574501</v>
      </c>
      <c r="D579">
        <v>0.99966950978956504</v>
      </c>
      <c r="E579">
        <v>0.72097035352744399</v>
      </c>
      <c r="F579">
        <v>0.49526417972435899</v>
      </c>
      <c r="G579">
        <v>0.274937232976948</v>
      </c>
      <c r="H579">
        <v>0.21505517495768101</v>
      </c>
      <c r="I579">
        <v>8.4854491476249502E-2</v>
      </c>
      <c r="J579">
        <v>6.3335606783031906E-2</v>
      </c>
      <c r="K579">
        <v>6.7853071764442593E-2</v>
      </c>
      <c r="L579">
        <v>737.72576051419503</v>
      </c>
      <c r="M579">
        <v>14.7928939563316</v>
      </c>
      <c r="N579">
        <v>50.185806025620899</v>
      </c>
      <c r="O579">
        <v>48.985537055106001</v>
      </c>
      <c r="P579">
        <v>-7.2151478683786602E-2</v>
      </c>
      <c r="Q579">
        <v>4.4405662878541897E-2</v>
      </c>
      <c r="R579">
        <v>0.98896044926154303</v>
      </c>
      <c r="S579" t="s">
        <v>6981</v>
      </c>
      <c r="T579" t="s">
        <v>12802</v>
      </c>
      <c r="U579" t="s">
        <v>12802</v>
      </c>
      <c r="V579" t="s">
        <v>12802</v>
      </c>
      <c r="W579" t="s">
        <v>13374</v>
      </c>
      <c r="X579">
        <v>2</v>
      </c>
      <c r="Y579" t="s">
        <v>19697</v>
      </c>
      <c r="Z579" t="s">
        <v>25897</v>
      </c>
      <c r="AA579">
        <v>0.47483202347924841</v>
      </c>
      <c r="AB579" t="str">
        <f>HYPERLINK("Melting_Curves/meltCurve_E9PI60_BRPF3.pdf", "Melting_Curves/meltCurve_E9PI60_BRPF3.pdf")</f>
        <v>Melting_Curves/meltCurve_E9PI60_BRPF3.pdf</v>
      </c>
    </row>
    <row r="580" spans="1:28" x14ac:dyDescent="0.25">
      <c r="A580" t="s">
        <v>584</v>
      </c>
      <c r="B580">
        <v>0.99542014353169495</v>
      </c>
      <c r="C580">
        <v>1.0271782973369299</v>
      </c>
      <c r="D580">
        <v>1.0725789897942799</v>
      </c>
      <c r="E580">
        <v>0.97809560812701102</v>
      </c>
      <c r="F580">
        <v>0.95549435752159095</v>
      </c>
      <c r="G580">
        <v>0.57850192365027597</v>
      </c>
      <c r="H580">
        <v>0.342690903453093</v>
      </c>
      <c r="I580">
        <v>8.3340174547507001E-2</v>
      </c>
      <c r="J580">
        <v>0.143202929777589</v>
      </c>
      <c r="K580">
        <v>8.0974984365536198E-2</v>
      </c>
      <c r="L580">
        <v>1387.08944503166</v>
      </c>
      <c r="M580">
        <v>25.4239686913204</v>
      </c>
      <c r="N580">
        <v>54.957923221562901</v>
      </c>
      <c r="O580">
        <v>54.224152739469801</v>
      </c>
      <c r="P580">
        <v>-0.10732649757320201</v>
      </c>
      <c r="Q580">
        <v>8.4389172832102302E-2</v>
      </c>
      <c r="R580">
        <v>0.98857714471649105</v>
      </c>
      <c r="S580" t="s">
        <v>6982</v>
      </c>
      <c r="T580" t="s">
        <v>12802</v>
      </c>
      <c r="U580" t="s">
        <v>12802</v>
      </c>
      <c r="V580" t="s">
        <v>12802</v>
      </c>
      <c r="W580" t="s">
        <v>13375</v>
      </c>
      <c r="X580">
        <v>1</v>
      </c>
      <c r="Y580" t="s">
        <v>19698</v>
      </c>
      <c r="Z580" t="s">
        <v>25898</v>
      </c>
      <c r="AA580">
        <v>0.62796601991987311</v>
      </c>
      <c r="AB580" t="str">
        <f>HYPERLINK("Melting_Curves/meltCurve_E9PIB9_GLI1.pdf", "Melting_Curves/meltCurve_E9PIB9_GLI1.pdf")</f>
        <v>Melting_Curves/meltCurve_E9PIB9_GLI1.pdf</v>
      </c>
    </row>
    <row r="581" spans="1:28" x14ac:dyDescent="0.25">
      <c r="A581" t="s">
        <v>585</v>
      </c>
      <c r="B581">
        <v>0.99542014353169495</v>
      </c>
      <c r="C581">
        <v>1.0233283132697399</v>
      </c>
      <c r="D581">
        <v>1.05853227317614</v>
      </c>
      <c r="E581">
        <v>0.90468844592285302</v>
      </c>
      <c r="F581">
        <v>0.90473094250930197</v>
      </c>
      <c r="G581">
        <v>0.43185031536636398</v>
      </c>
      <c r="H581">
        <v>0.26721998871944902</v>
      </c>
      <c r="I581">
        <v>0.126687665123076</v>
      </c>
      <c r="J581">
        <v>0.12678928841373299</v>
      </c>
      <c r="K581">
        <v>5.7053050900256398E-2</v>
      </c>
      <c r="L581">
        <v>1396.7497849517699</v>
      </c>
      <c r="M581">
        <v>26.247305688036601</v>
      </c>
      <c r="N581">
        <v>53.656090088886003</v>
      </c>
      <c r="O581">
        <v>52.908958899232502</v>
      </c>
      <c r="P581">
        <v>-0.11198676338135199</v>
      </c>
      <c r="Q581">
        <v>9.7044479474481998E-2</v>
      </c>
      <c r="R581">
        <v>0.98682465696746702</v>
      </c>
      <c r="S581" t="s">
        <v>6983</v>
      </c>
      <c r="T581" t="s">
        <v>12802</v>
      </c>
      <c r="U581" t="s">
        <v>12802</v>
      </c>
      <c r="V581" t="s">
        <v>12802</v>
      </c>
      <c r="W581" t="s">
        <v>13376</v>
      </c>
      <c r="X581">
        <v>9</v>
      </c>
      <c r="Y581" t="s">
        <v>19699</v>
      </c>
      <c r="Z581" t="s">
        <v>25899</v>
      </c>
      <c r="AA581">
        <v>0.5924160459370087</v>
      </c>
      <c r="AB581" t="str">
        <f>HYPERLINK("Melting_Curves/meltCurve_E9PIE4_MTCH2.pdf", "Melting_Curves/meltCurve_E9PIE4_MTCH2.pdf")</f>
        <v>Melting_Curves/meltCurve_E9PIE4_MTCH2.pdf</v>
      </c>
    </row>
    <row r="582" spans="1:28" x14ac:dyDescent="0.25">
      <c r="A582" t="s">
        <v>586</v>
      </c>
      <c r="B582">
        <v>0.99542014353169495</v>
      </c>
      <c r="C582">
        <v>1.0282782980448399</v>
      </c>
      <c r="D582">
        <v>0.89894107309331395</v>
      </c>
      <c r="E582">
        <v>0.85485809007787805</v>
      </c>
      <c r="F582">
        <v>0.58855884454061802</v>
      </c>
      <c r="G582">
        <v>0.35674753627024502</v>
      </c>
      <c r="H582">
        <v>0.20670842017124</v>
      </c>
      <c r="I582">
        <v>0.148170036699138</v>
      </c>
      <c r="J582">
        <v>0.19237116602295801</v>
      </c>
      <c r="K582">
        <v>0.19056357923242001</v>
      </c>
      <c r="L582">
        <v>939.64395086282798</v>
      </c>
      <c r="M582">
        <v>18.693268510013699</v>
      </c>
      <c r="N582">
        <v>51.289886567788898</v>
      </c>
      <c r="O582">
        <v>49.7017785949892</v>
      </c>
      <c r="P582">
        <v>-7.9393450223819495E-2</v>
      </c>
      <c r="Q582">
        <v>0.15566868642002701</v>
      </c>
      <c r="R582">
        <v>0.99244825804006598</v>
      </c>
      <c r="S582" t="s">
        <v>6984</v>
      </c>
      <c r="T582" t="s">
        <v>12802</v>
      </c>
      <c r="U582" t="s">
        <v>12802</v>
      </c>
      <c r="V582" t="s">
        <v>12802</v>
      </c>
      <c r="W582" t="s">
        <v>13377</v>
      </c>
      <c r="X582">
        <v>12</v>
      </c>
      <c r="Y582" t="s">
        <v>19700</v>
      </c>
      <c r="Z582" t="s">
        <v>25900</v>
      </c>
      <c r="AA582">
        <v>0.54150233540930448</v>
      </c>
      <c r="AB582" t="str">
        <f>HYPERLINK("Melting_Curves/meltCurve_E9PIR7_TXNRD1.pdf", "Melting_Curves/meltCurve_E9PIR7_TXNRD1.pdf")</f>
        <v>Melting_Curves/meltCurve_E9PIR7_TXNRD1.pdf</v>
      </c>
    </row>
    <row r="583" spans="1:28" x14ac:dyDescent="0.25">
      <c r="A583" t="s">
        <v>587</v>
      </c>
      <c r="B583">
        <v>0.99542014353169495</v>
      </c>
      <c r="C583">
        <v>0.93951632700888399</v>
      </c>
      <c r="D583">
        <v>0.84160946342666099</v>
      </c>
      <c r="E583">
        <v>0.74207474846156196</v>
      </c>
      <c r="F583">
        <v>0.57329720037072496</v>
      </c>
      <c r="G583">
        <v>0.41429024179680701</v>
      </c>
      <c r="H583">
        <v>0.324408781113741</v>
      </c>
      <c r="I583">
        <v>0.28773300384083</v>
      </c>
      <c r="J583">
        <v>0.41075221664497302</v>
      </c>
      <c r="K583">
        <v>0.52303896666289096</v>
      </c>
      <c r="L583">
        <v>759.78217426605704</v>
      </c>
      <c r="M583">
        <v>16.178753069285101</v>
      </c>
      <c r="N583">
        <v>51.347878191410402</v>
      </c>
      <c r="O583">
        <v>46.261832335067503</v>
      </c>
      <c r="P583">
        <v>-5.4695173275312897E-2</v>
      </c>
      <c r="Q583">
        <v>0.37446131708888702</v>
      </c>
      <c r="R583">
        <v>0.92593667275481695</v>
      </c>
      <c r="S583" t="s">
        <v>6985</v>
      </c>
      <c r="T583" t="s">
        <v>12802</v>
      </c>
      <c r="U583" t="s">
        <v>12802</v>
      </c>
      <c r="V583" t="s">
        <v>12802</v>
      </c>
      <c r="W583" t="s">
        <v>13378</v>
      </c>
      <c r="X583">
        <v>8</v>
      </c>
      <c r="Y583" t="s">
        <v>19701</v>
      </c>
      <c r="Z583" t="s">
        <v>25901</v>
      </c>
      <c r="AA583">
        <v>0.59445455604499808</v>
      </c>
      <c r="AB583" t="str">
        <f>HYPERLINK("Melting_Curves/meltCurve_E9PJ64_PDE4DIP.pdf", "Melting_Curves/meltCurve_E9PJ64_PDE4DIP.pdf")</f>
        <v>Melting_Curves/meltCurve_E9PJ64_PDE4DIP.pdf</v>
      </c>
    </row>
    <row r="584" spans="1:28" x14ac:dyDescent="0.25">
      <c r="A584" t="s">
        <v>588</v>
      </c>
      <c r="B584">
        <v>0.99542014353169495</v>
      </c>
      <c r="C584">
        <v>1.0190124528361799</v>
      </c>
      <c r="D584">
        <v>0.85115382271908901</v>
      </c>
      <c r="E584">
        <v>0.678063827283377</v>
      </c>
      <c r="F584">
        <v>0.36395224658421998</v>
      </c>
      <c r="G584">
        <v>0.18022773195898101</v>
      </c>
      <c r="H584">
        <v>0.104064797218109</v>
      </c>
      <c r="I584">
        <v>8.6366268350579506E-2</v>
      </c>
      <c r="J584">
        <v>9.4446133324011097E-2</v>
      </c>
      <c r="K584">
        <v>0.10298401644138699</v>
      </c>
      <c r="L584">
        <v>871.76801774810895</v>
      </c>
      <c r="M584">
        <v>18.178874345773799</v>
      </c>
      <c r="N584">
        <v>48.401409716785302</v>
      </c>
      <c r="O584">
        <v>47.386006819704498</v>
      </c>
      <c r="P584">
        <v>-8.8510380936018096E-2</v>
      </c>
      <c r="Q584">
        <v>7.7180616945497896E-2</v>
      </c>
      <c r="R584">
        <v>0.99616774125265595</v>
      </c>
      <c r="S584" t="s">
        <v>6986</v>
      </c>
      <c r="T584" t="s">
        <v>12802</v>
      </c>
      <c r="U584" t="s">
        <v>12802</v>
      </c>
      <c r="V584" t="s">
        <v>12802</v>
      </c>
      <c r="W584" t="s">
        <v>13379</v>
      </c>
      <c r="X584">
        <v>14</v>
      </c>
      <c r="Y584" t="s">
        <v>19702</v>
      </c>
      <c r="Z584" t="s">
        <v>25902</v>
      </c>
      <c r="AA584">
        <v>0.42865155490850337</v>
      </c>
      <c r="AB584" t="str">
        <f>HYPERLINK("Melting_Curves/meltCurve_E9PJ81_UBXN1.pdf", "Melting_Curves/meltCurve_E9PJ81_UBXN1.pdf")</f>
        <v>Melting_Curves/meltCurve_E9PJ81_UBXN1.pdf</v>
      </c>
    </row>
    <row r="585" spans="1:28" x14ac:dyDescent="0.25">
      <c r="A585" t="s">
        <v>589</v>
      </c>
      <c r="B585">
        <v>0.99542014353169495</v>
      </c>
      <c r="C585">
        <v>0.97225010316641103</v>
      </c>
      <c r="D585">
        <v>0.94532183417917603</v>
      </c>
      <c r="E585">
        <v>0.85030901229157996</v>
      </c>
      <c r="F585">
        <v>0.72861826878714897</v>
      </c>
      <c r="G585">
        <v>0.50395894135070496</v>
      </c>
      <c r="H585">
        <v>0.409945427552241</v>
      </c>
      <c r="I585">
        <v>0.37247145572978102</v>
      </c>
      <c r="J585">
        <v>0.49031006037994002</v>
      </c>
      <c r="K585">
        <v>0.603393709696319</v>
      </c>
      <c r="L585">
        <v>1104.0027338674799</v>
      </c>
      <c r="M585">
        <v>22.432207769808301</v>
      </c>
      <c r="N585">
        <v>55.622010602656303</v>
      </c>
      <c r="O585">
        <v>48.828954355072902</v>
      </c>
      <c r="P585">
        <v>-6.1761157951883597E-2</v>
      </c>
      <c r="Q585">
        <v>0.46226050288588599</v>
      </c>
      <c r="R585">
        <v>0.92109371972796505</v>
      </c>
      <c r="S585" t="s">
        <v>6987</v>
      </c>
      <c r="T585" t="s">
        <v>12802</v>
      </c>
      <c r="U585" t="s">
        <v>12802</v>
      </c>
      <c r="V585" t="s">
        <v>12802</v>
      </c>
      <c r="W585" t="s">
        <v>13380</v>
      </c>
      <c r="X585">
        <v>8</v>
      </c>
      <c r="Y585" t="s">
        <v>19703</v>
      </c>
      <c r="Z585" t="s">
        <v>25903</v>
      </c>
      <c r="AA585">
        <v>0.68694364676084529</v>
      </c>
      <c r="AB585" t="str">
        <f>HYPERLINK("Melting_Curves/meltCurve_E9PJB8_VIMP.pdf", "Melting_Curves/meltCurve_E9PJB8_VIMP.pdf")</f>
        <v>Melting_Curves/meltCurve_E9PJB8_VIMP.pdf</v>
      </c>
    </row>
    <row r="586" spans="1:28" x14ac:dyDescent="0.25">
      <c r="A586" t="s">
        <v>590</v>
      </c>
      <c r="B586">
        <v>0.99542014353169495</v>
      </c>
      <c r="C586">
        <v>0.99694907576532499</v>
      </c>
      <c r="D586">
        <v>1.0286357358788001</v>
      </c>
      <c r="E586">
        <v>0.86196738961914698</v>
      </c>
      <c r="F586">
        <v>0.77150673949474102</v>
      </c>
      <c r="G586">
        <v>0.47441915753687902</v>
      </c>
      <c r="H586">
        <v>0.28111578060929998</v>
      </c>
      <c r="I586">
        <v>0.14898275261612201</v>
      </c>
      <c r="J586">
        <v>6.2233494553387898E-2</v>
      </c>
      <c r="K586">
        <v>8.3881863539744098E-2</v>
      </c>
      <c r="L586">
        <v>842.24846892679102</v>
      </c>
      <c r="M586">
        <v>15.7502494320678</v>
      </c>
      <c r="N586">
        <v>53.640901146350302</v>
      </c>
      <c r="O586">
        <v>52.635465100891899</v>
      </c>
      <c r="P586">
        <v>-7.3038450390365398E-2</v>
      </c>
      <c r="Q586">
        <v>2.3738105375583501E-2</v>
      </c>
      <c r="R586">
        <v>0.99493184807325097</v>
      </c>
      <c r="S586" t="s">
        <v>6988</v>
      </c>
      <c r="T586" t="s">
        <v>12802</v>
      </c>
      <c r="U586" t="s">
        <v>12802</v>
      </c>
      <c r="V586" t="s">
        <v>12802</v>
      </c>
      <c r="W586" t="s">
        <v>13381</v>
      </c>
      <c r="X586">
        <v>4</v>
      </c>
      <c r="Y586" t="s">
        <v>19704</v>
      </c>
      <c r="Z586" t="s">
        <v>25904</v>
      </c>
      <c r="AA586">
        <v>0.57586385537548523</v>
      </c>
      <c r="AB586" t="str">
        <f>HYPERLINK("Melting_Curves/meltCurve_E9PJD7_CYHR1.pdf", "Melting_Curves/meltCurve_E9PJD7_CYHR1.pdf")</f>
        <v>Melting_Curves/meltCurve_E9PJD7_CYHR1.pdf</v>
      </c>
    </row>
    <row r="587" spans="1:28" x14ac:dyDescent="0.25">
      <c r="A587" t="s">
        <v>591</v>
      </c>
      <c r="B587">
        <v>0.99542014353169495</v>
      </c>
      <c r="C587">
        <v>0.68889193273394</v>
      </c>
      <c r="D587">
        <v>0.489544102131032</v>
      </c>
      <c r="E587">
        <v>0.22691216097262201</v>
      </c>
      <c r="F587">
        <v>9.3835830220974206E-2</v>
      </c>
      <c r="G587">
        <v>6.1204725621403097E-2</v>
      </c>
      <c r="H587">
        <v>3.9062067581640797E-2</v>
      </c>
      <c r="I587">
        <v>3.8198241907678503E-2</v>
      </c>
      <c r="J587">
        <v>4.9508644760705003E-2</v>
      </c>
      <c r="K587">
        <v>4.6050350844106198E-2</v>
      </c>
      <c r="L587">
        <v>700.87506792004899</v>
      </c>
      <c r="M587">
        <v>16.514181293274699</v>
      </c>
      <c r="N587">
        <v>42.635023621874602</v>
      </c>
      <c r="O587">
        <v>41.833115163760802</v>
      </c>
      <c r="P587">
        <v>-9.5121344323621196E-2</v>
      </c>
      <c r="Q587">
        <v>3.6235226690392697E-2</v>
      </c>
      <c r="R587">
        <v>0.990045424435674</v>
      </c>
      <c r="S587" t="s">
        <v>6989</v>
      </c>
      <c r="T587" t="s">
        <v>12802</v>
      </c>
      <c r="U587" t="s">
        <v>12802</v>
      </c>
      <c r="V587" t="s">
        <v>12802</v>
      </c>
      <c r="W587" t="s">
        <v>13382</v>
      </c>
      <c r="X587">
        <v>1</v>
      </c>
      <c r="Y587" t="s">
        <v>19705</v>
      </c>
      <c r="Z587" t="s">
        <v>25905</v>
      </c>
      <c r="AA587">
        <v>0.23261469604224341</v>
      </c>
      <c r="AB587" t="str">
        <f>HYPERLINK("Melting_Curves/meltCurve_E9PJF5_BRMS1.pdf", "Melting_Curves/meltCurve_E9PJF5_BRMS1.pdf")</f>
        <v>Melting_Curves/meltCurve_E9PJF5_BRMS1.pdf</v>
      </c>
    </row>
    <row r="588" spans="1:28" x14ac:dyDescent="0.25">
      <c r="A588" t="s">
        <v>592</v>
      </c>
      <c r="B588">
        <v>0.99542014353169495</v>
      </c>
      <c r="C588">
        <v>1.0745712520265001</v>
      </c>
      <c r="D588">
        <v>0.97765175818491401</v>
      </c>
      <c r="E588">
        <v>0.92428451834937897</v>
      </c>
      <c r="F588">
        <v>0.71734890588173905</v>
      </c>
      <c r="G588">
        <v>0.56678391928128902</v>
      </c>
      <c r="H588">
        <v>0.46042793993254799</v>
      </c>
      <c r="I588">
        <v>0.43889616153710698</v>
      </c>
      <c r="J588">
        <v>0.67316169263125603</v>
      </c>
      <c r="K588">
        <v>0.82189886225326403</v>
      </c>
      <c r="L588">
        <v>1794.7801482805901</v>
      </c>
      <c r="M588">
        <v>36.793677260936398</v>
      </c>
      <c r="O588">
        <v>48.636145724595998</v>
      </c>
      <c r="P588">
        <v>-7.7164385381295997E-2</v>
      </c>
      <c r="Q588">
        <v>0.59199855807975799</v>
      </c>
      <c r="R588">
        <v>0.76974519967336397</v>
      </c>
      <c r="S588" t="s">
        <v>6990</v>
      </c>
      <c r="T588" t="s">
        <v>12802</v>
      </c>
      <c r="U588" t="s">
        <v>12802</v>
      </c>
      <c r="V588" t="s">
        <v>12802</v>
      </c>
      <c r="W588" t="s">
        <v>13383</v>
      </c>
      <c r="X588">
        <v>3</v>
      </c>
      <c r="Y588" t="s">
        <v>19706</v>
      </c>
      <c r="Z588" t="s">
        <v>25906</v>
      </c>
      <c r="AA588">
        <v>0.75382885842712455</v>
      </c>
      <c r="AB588" t="str">
        <f>HYPERLINK("Melting_Curves/meltCurve_E9PJK1_CD81.pdf", "Melting_Curves/meltCurve_E9PJK1_CD81.pdf")</f>
        <v>Melting_Curves/meltCurve_E9PJK1_CD81.pdf</v>
      </c>
    </row>
    <row r="589" spans="1:28" x14ac:dyDescent="0.25">
      <c r="A589" t="s">
        <v>593</v>
      </c>
      <c r="B589">
        <v>0.99542014353169495</v>
      </c>
      <c r="C589">
        <v>0.92903533508438696</v>
      </c>
      <c r="D589">
        <v>0.89004126030726205</v>
      </c>
      <c r="E589">
        <v>0.77208828034287202</v>
      </c>
      <c r="F589">
        <v>0.564604972393288</v>
      </c>
      <c r="G589">
        <v>0.312245690914211</v>
      </c>
      <c r="H589">
        <v>0.127768905083885</v>
      </c>
      <c r="I589">
        <v>7.2861889969485005E-2</v>
      </c>
      <c r="J589">
        <v>0.103349341280859</v>
      </c>
      <c r="K589">
        <v>6.2305983626988103E-2</v>
      </c>
      <c r="L589">
        <v>706.52613819559497</v>
      </c>
      <c r="M589">
        <v>13.985907886858801</v>
      </c>
      <c r="N589">
        <v>50.650928306946902</v>
      </c>
      <c r="O589">
        <v>49.517826489108302</v>
      </c>
      <c r="P589">
        <v>-6.9337965918903594E-2</v>
      </c>
      <c r="Q589">
        <v>1.8151516905572401E-2</v>
      </c>
      <c r="R589">
        <v>0.99358642911680894</v>
      </c>
      <c r="S589" t="s">
        <v>6991</v>
      </c>
      <c r="T589" t="s">
        <v>12802</v>
      </c>
      <c r="U589" t="s">
        <v>12802</v>
      </c>
      <c r="V589" t="s">
        <v>12802</v>
      </c>
      <c r="W589" t="s">
        <v>13384</v>
      </c>
      <c r="X589">
        <v>8</v>
      </c>
      <c r="Y589" t="s">
        <v>19707</v>
      </c>
      <c r="Z589" t="s">
        <v>25907</v>
      </c>
      <c r="AA589">
        <v>0.48266537979066038</v>
      </c>
      <c r="AB589" t="str">
        <f>HYPERLINK("Melting_Curves/meltCurve_E9PJM3_FBXO3.pdf", "Melting_Curves/meltCurve_E9PJM3_FBXO3.pdf")</f>
        <v>Melting_Curves/meltCurve_E9PJM3_FBXO3.pdf</v>
      </c>
    </row>
    <row r="590" spans="1:28" x14ac:dyDescent="0.25">
      <c r="A590" t="s">
        <v>594</v>
      </c>
      <c r="B590">
        <v>0.99542014353169495</v>
      </c>
      <c r="C590">
        <v>0.86324878719773201</v>
      </c>
      <c r="D590">
        <v>0.93698142733908296</v>
      </c>
      <c r="E590">
        <v>0.72683893731425697</v>
      </c>
      <c r="F590">
        <v>0.52604830201339503</v>
      </c>
      <c r="G590">
        <v>0.29343770667617902</v>
      </c>
      <c r="H590">
        <v>0.18699382763084799</v>
      </c>
      <c r="I590">
        <v>0.14352689422433901</v>
      </c>
      <c r="J590">
        <v>0.29426382053139799</v>
      </c>
      <c r="K590">
        <v>0.50931693960948299</v>
      </c>
      <c r="L590">
        <v>1027.8425855560199</v>
      </c>
      <c r="M590">
        <v>21.494289991814998</v>
      </c>
      <c r="N590">
        <v>49.674949160199901</v>
      </c>
      <c r="O590">
        <v>47.411192256170899</v>
      </c>
      <c r="P590">
        <v>-8.2060746903643803E-2</v>
      </c>
      <c r="Q590">
        <v>0.27599327561531201</v>
      </c>
      <c r="R590">
        <v>0.882601896268699</v>
      </c>
      <c r="S590" t="s">
        <v>6992</v>
      </c>
      <c r="T590" t="s">
        <v>12802</v>
      </c>
      <c r="U590" t="s">
        <v>12802</v>
      </c>
      <c r="V590" t="s">
        <v>12802</v>
      </c>
      <c r="W590" t="s">
        <v>13385</v>
      </c>
      <c r="X590">
        <v>21</v>
      </c>
      <c r="Y590" t="s">
        <v>19708</v>
      </c>
      <c r="Z590" t="s">
        <v>25908</v>
      </c>
      <c r="AA590">
        <v>0.5453798685192166</v>
      </c>
      <c r="AB590" t="str">
        <f>HYPERLINK("Melting_Curves/meltCurve_E9PK91_BCLAF1.pdf", "Melting_Curves/meltCurve_E9PK91_BCLAF1.pdf")</f>
        <v>Melting_Curves/meltCurve_E9PK91_BCLAF1.pdf</v>
      </c>
    </row>
    <row r="591" spans="1:28" x14ac:dyDescent="0.25">
      <c r="A591" t="s">
        <v>595</v>
      </c>
      <c r="B591">
        <v>0.99542014353169495</v>
      </c>
      <c r="C591">
        <v>0.80560222511664203</v>
      </c>
      <c r="D591">
        <v>0.72956049797609202</v>
      </c>
      <c r="E591">
        <v>0.71849884370088701</v>
      </c>
      <c r="F591">
        <v>0.60379861815424796</v>
      </c>
      <c r="G591">
        <v>0.354193393772332</v>
      </c>
      <c r="H591">
        <v>0.23304042270886599</v>
      </c>
      <c r="I591">
        <v>0.101249009082786</v>
      </c>
      <c r="J591">
        <v>2.5271595918525298E-2</v>
      </c>
      <c r="K591">
        <v>0</v>
      </c>
      <c r="L591">
        <v>492.15898351598901</v>
      </c>
      <c r="M591">
        <v>9.8192069717959498</v>
      </c>
      <c r="N591">
        <v>50.122068244518502</v>
      </c>
      <c r="O591">
        <v>48.175897611591502</v>
      </c>
      <c r="P591">
        <v>-5.0981545769573998E-2</v>
      </c>
      <c r="Q591">
        <v>0</v>
      </c>
      <c r="R591">
        <v>0.95301449177944997</v>
      </c>
      <c r="S591" t="s">
        <v>6993</v>
      </c>
      <c r="T591" t="s">
        <v>12802</v>
      </c>
      <c r="U591" t="s">
        <v>12802</v>
      </c>
      <c r="V591" t="s">
        <v>12802</v>
      </c>
      <c r="W591" t="s">
        <v>13386</v>
      </c>
      <c r="X591">
        <v>1</v>
      </c>
      <c r="Y591" t="s">
        <v>19709</v>
      </c>
      <c r="Z591" t="s">
        <v>25909</v>
      </c>
      <c r="AA591">
        <v>0.47149491399602639</v>
      </c>
      <c r="AB591" t="str">
        <f>HYPERLINK("Melting_Curves/meltCurve_E9PKA7_RCE1.pdf", "Melting_Curves/meltCurve_E9PKA7_RCE1.pdf")</f>
        <v>Melting_Curves/meltCurve_E9PKA7_RCE1.pdf</v>
      </c>
    </row>
    <row r="592" spans="1:28" x14ac:dyDescent="0.25">
      <c r="A592" t="s">
        <v>596</v>
      </c>
      <c r="B592">
        <v>0.99542014353169495</v>
      </c>
      <c r="C592">
        <v>0.84648314480184195</v>
      </c>
      <c r="D592">
        <v>0.94881568953862705</v>
      </c>
      <c r="E592">
        <v>0.78103622867089795</v>
      </c>
      <c r="F592">
        <v>0.63711989378645795</v>
      </c>
      <c r="G592">
        <v>0.31173653679707602</v>
      </c>
      <c r="H592">
        <v>9.3486354868128896E-2</v>
      </c>
      <c r="I592">
        <v>6.1940643648112102E-2</v>
      </c>
      <c r="J592">
        <v>7.37657740292023E-2</v>
      </c>
      <c r="K592">
        <v>6.5168260753966895E-2</v>
      </c>
      <c r="L592">
        <v>807.19326801205</v>
      </c>
      <c r="M592">
        <v>15.8124936865582</v>
      </c>
      <c r="N592">
        <v>51.119375642121902</v>
      </c>
      <c r="O592">
        <v>50.252290695931002</v>
      </c>
      <c r="P592">
        <v>-7.7810863555192206E-2</v>
      </c>
      <c r="Q592">
        <v>1.0945872505265899E-2</v>
      </c>
      <c r="R592">
        <v>0.97745187210175899</v>
      </c>
      <c r="S592" t="s">
        <v>6994</v>
      </c>
      <c r="T592" t="s">
        <v>12802</v>
      </c>
      <c r="U592" t="s">
        <v>12802</v>
      </c>
      <c r="V592" t="s">
        <v>12802</v>
      </c>
      <c r="W592" t="s">
        <v>13387</v>
      </c>
      <c r="X592">
        <v>17</v>
      </c>
      <c r="Y592" t="s">
        <v>19710</v>
      </c>
      <c r="Z592" t="s">
        <v>25910</v>
      </c>
      <c r="AA592">
        <v>0.49259586736325539</v>
      </c>
      <c r="AB592" t="str">
        <f>HYPERLINK("Melting_Curves/meltCurve_E9PKG1_PRMT1.pdf", "Melting_Curves/meltCurve_E9PKG1_PRMT1.pdf")</f>
        <v>Melting_Curves/meltCurve_E9PKG1_PRMT1.pdf</v>
      </c>
    </row>
    <row r="593" spans="1:28" x14ac:dyDescent="0.25">
      <c r="A593" t="s">
        <v>597</v>
      </c>
      <c r="B593">
        <v>0.99542014353169495</v>
      </c>
      <c r="C593">
        <v>0.95735634129306102</v>
      </c>
      <c r="D593">
        <v>0.78466777803641796</v>
      </c>
      <c r="E593">
        <v>0.361193661055983</v>
      </c>
      <c r="F593">
        <v>0.19942510905133301</v>
      </c>
      <c r="G593">
        <v>0.13310452759385999</v>
      </c>
      <c r="H593">
        <v>6.9290172069730996E-2</v>
      </c>
      <c r="I593">
        <v>5.2059395651778799E-2</v>
      </c>
      <c r="J593">
        <v>5.0321726944907802E-2</v>
      </c>
      <c r="K593">
        <v>4.5389653031381698E-2</v>
      </c>
      <c r="L593">
        <v>947.192638711933</v>
      </c>
      <c r="M593">
        <v>20.915990052190502</v>
      </c>
      <c r="N593">
        <v>45.5709327547141</v>
      </c>
      <c r="O593">
        <v>44.877717732484598</v>
      </c>
      <c r="P593">
        <v>-0.10936787663127701</v>
      </c>
      <c r="Q593">
        <v>6.13790291075271E-2</v>
      </c>
      <c r="R593">
        <v>0.99660573310942602</v>
      </c>
      <c r="S593" t="s">
        <v>6995</v>
      </c>
      <c r="T593" t="s">
        <v>12802</v>
      </c>
      <c r="U593" t="s">
        <v>12802</v>
      </c>
      <c r="V593" t="s">
        <v>12802</v>
      </c>
      <c r="W593" t="s">
        <v>13388</v>
      </c>
      <c r="X593">
        <v>10</v>
      </c>
      <c r="Y593" t="s">
        <v>19711</v>
      </c>
      <c r="Z593" t="s">
        <v>25911</v>
      </c>
      <c r="AA593">
        <v>0.33181929988836739</v>
      </c>
      <c r="AB593" t="str">
        <f>HYPERLINK("Melting_Curves/meltCurve_E9PKP7_UBTF.pdf", "Melting_Curves/meltCurve_E9PKP7_UBTF.pdf")</f>
        <v>Melting_Curves/meltCurve_E9PKP7_UBTF.pdf</v>
      </c>
    </row>
    <row r="594" spans="1:28" x14ac:dyDescent="0.25">
      <c r="A594" t="s">
        <v>598</v>
      </c>
      <c r="B594">
        <v>0.99542014353169495</v>
      </c>
      <c r="C594">
        <v>0.94891323047360498</v>
      </c>
      <c r="D594">
        <v>0.97813119111068303</v>
      </c>
      <c r="E594">
        <v>0.91713039897033499</v>
      </c>
      <c r="F594">
        <v>0.75291470173393604</v>
      </c>
      <c r="G594">
        <v>0.42181684973531203</v>
      </c>
      <c r="H594">
        <v>0.39076380908296099</v>
      </c>
      <c r="I594">
        <v>0.27867291660893401</v>
      </c>
      <c r="J594">
        <v>0.53315551457590504</v>
      </c>
      <c r="K594">
        <v>0.43614209383150199</v>
      </c>
      <c r="L594">
        <v>2045.14284083486</v>
      </c>
      <c r="M594">
        <v>40.509060118280601</v>
      </c>
      <c r="N594">
        <v>52.623296860253603</v>
      </c>
      <c r="O594">
        <v>50.363517247012403</v>
      </c>
      <c r="P594">
        <v>-0.119943605076999</v>
      </c>
      <c r="Q594">
        <v>0.40351445193576102</v>
      </c>
      <c r="R594">
        <v>0.94110242326629501</v>
      </c>
      <c r="S594" t="s">
        <v>6996</v>
      </c>
      <c r="T594" t="s">
        <v>12802</v>
      </c>
      <c r="U594" t="s">
        <v>12802</v>
      </c>
      <c r="V594" t="s">
        <v>12802</v>
      </c>
      <c r="W594" t="s">
        <v>13389</v>
      </c>
      <c r="X594">
        <v>2</v>
      </c>
      <c r="Y594" t="s">
        <v>19712</v>
      </c>
      <c r="Z594" t="s">
        <v>25912</v>
      </c>
      <c r="AA594">
        <v>0.67368335389105005</v>
      </c>
      <c r="AB594" t="str">
        <f>HYPERLINK("Melting_Curves/meltCurve_E9PKT4_TMEM123.pdf", "Melting_Curves/meltCurve_E9PKT4_TMEM123.pdf")</f>
        <v>Melting_Curves/meltCurve_E9PKT4_TMEM123.pdf</v>
      </c>
    </row>
    <row r="595" spans="1:28" x14ac:dyDescent="0.25">
      <c r="A595" t="s">
        <v>599</v>
      </c>
      <c r="B595">
        <v>0.99542014353169495</v>
      </c>
      <c r="C595">
        <v>0.98371079924963301</v>
      </c>
      <c r="D595">
        <v>0.96142739661523302</v>
      </c>
      <c r="E595">
        <v>0.75309145875760697</v>
      </c>
      <c r="F595">
        <v>0.33344350390161698</v>
      </c>
      <c r="G595">
        <v>0.30404185978307202</v>
      </c>
      <c r="H595">
        <v>0.25596731379110499</v>
      </c>
      <c r="I595">
        <v>0.245869196937644</v>
      </c>
      <c r="J595">
        <v>0.168733570486964</v>
      </c>
      <c r="K595">
        <v>0.172403161633328</v>
      </c>
      <c r="L595">
        <v>1407.8971259807499</v>
      </c>
      <c r="M595">
        <v>29.514355624694701</v>
      </c>
      <c r="N595">
        <v>48.645844570270697</v>
      </c>
      <c r="O595">
        <v>47.484730601258697</v>
      </c>
      <c r="P595">
        <v>-0.12152009054049499</v>
      </c>
      <c r="Q595">
        <v>0.217965825793109</v>
      </c>
      <c r="R595">
        <v>0.99028409182195398</v>
      </c>
      <c r="S595" t="s">
        <v>6997</v>
      </c>
      <c r="T595" t="s">
        <v>12802</v>
      </c>
      <c r="U595" t="s">
        <v>12802</v>
      </c>
      <c r="V595" t="s">
        <v>12802</v>
      </c>
      <c r="W595" t="s">
        <v>13390</v>
      </c>
      <c r="X595">
        <v>3</v>
      </c>
      <c r="Y595" t="s">
        <v>19713</v>
      </c>
      <c r="Z595" t="s">
        <v>25913</v>
      </c>
      <c r="AA595">
        <v>0.5017060036659261</v>
      </c>
      <c r="AB595" t="str">
        <f>HYPERLINK("Melting_Curves/meltCurve_E9PKV2_MRPL17.pdf", "Melting_Curves/meltCurve_E9PKV2_MRPL17.pdf")</f>
        <v>Melting_Curves/meltCurve_E9PKV2_MRPL17.pdf</v>
      </c>
    </row>
    <row r="596" spans="1:28" x14ac:dyDescent="0.25">
      <c r="A596" t="s">
        <v>600</v>
      </c>
      <c r="B596">
        <v>0.99542014353169495</v>
      </c>
      <c r="C596">
        <v>1.0050394747851701</v>
      </c>
      <c r="D596">
        <v>1.0867195812562001</v>
      </c>
      <c r="E596">
        <v>0.91235947261021999</v>
      </c>
      <c r="F596">
        <v>0.40723021217342698</v>
      </c>
      <c r="G596">
        <v>0.14417702498629401</v>
      </c>
      <c r="H596">
        <v>7.55856812004157E-2</v>
      </c>
      <c r="I596">
        <v>6.8954295601079699E-2</v>
      </c>
      <c r="J596">
        <v>6.52004634376563E-2</v>
      </c>
      <c r="K596">
        <v>7.3810027762225602E-2</v>
      </c>
      <c r="L596">
        <v>1808.92009049751</v>
      </c>
      <c r="M596">
        <v>36.577822938588803</v>
      </c>
      <c r="N596">
        <v>49.6714292116148</v>
      </c>
      <c r="O596">
        <v>49.306892939379203</v>
      </c>
      <c r="P596">
        <v>-0.17174286803874</v>
      </c>
      <c r="Q596">
        <v>7.39654286709098E-2</v>
      </c>
      <c r="R596">
        <v>0.995212141612275</v>
      </c>
      <c r="S596" t="s">
        <v>6998</v>
      </c>
      <c r="T596" t="s">
        <v>12802</v>
      </c>
      <c r="U596" t="s">
        <v>12802</v>
      </c>
      <c r="V596" t="s">
        <v>12802</v>
      </c>
      <c r="W596" t="s">
        <v>13391</v>
      </c>
      <c r="X596">
        <v>5</v>
      </c>
      <c r="Y596" t="s">
        <v>19714</v>
      </c>
      <c r="Z596" t="s">
        <v>25914</v>
      </c>
      <c r="AA596">
        <v>0.46218130357920478</v>
      </c>
      <c r="AB596" t="str">
        <f>HYPERLINK("Melting_Curves/meltCurve_E9PKV8_TTC9C.pdf", "Melting_Curves/meltCurve_E9PKV8_TTC9C.pdf")</f>
        <v>Melting_Curves/meltCurve_E9PKV8_TTC9C.pdf</v>
      </c>
    </row>
    <row r="597" spans="1:28" x14ac:dyDescent="0.25">
      <c r="A597" t="s">
        <v>601</v>
      </c>
      <c r="B597">
        <v>0.99542014353169495</v>
      </c>
      <c r="C597">
        <v>0.83318317006702303</v>
      </c>
      <c r="D597">
        <v>0.904107478452432</v>
      </c>
      <c r="E597">
        <v>0.76348831382433402</v>
      </c>
      <c r="F597">
        <v>0.55291509806722505</v>
      </c>
      <c r="G597">
        <v>0.276355053963801</v>
      </c>
      <c r="H597">
        <v>0.193153635584142</v>
      </c>
      <c r="I597">
        <v>0.10461735797456</v>
      </c>
      <c r="J597">
        <v>0.12541607560010101</v>
      </c>
      <c r="K597">
        <v>0.166583799128948</v>
      </c>
      <c r="L597">
        <v>705.61005793229106</v>
      </c>
      <c r="M597">
        <v>14.203970592711199</v>
      </c>
      <c r="N597">
        <v>50.357158574477403</v>
      </c>
      <c r="O597">
        <v>48.723405769379099</v>
      </c>
      <c r="P597">
        <v>-6.6527283850573396E-2</v>
      </c>
      <c r="Q597">
        <v>8.7288871679497296E-2</v>
      </c>
      <c r="R597">
        <v>0.97490019118841298</v>
      </c>
      <c r="S597" t="s">
        <v>6999</v>
      </c>
      <c r="T597" t="s">
        <v>12802</v>
      </c>
      <c r="U597" t="s">
        <v>12802</v>
      </c>
      <c r="V597" t="s">
        <v>12802</v>
      </c>
      <c r="W597" t="s">
        <v>13392</v>
      </c>
      <c r="X597">
        <v>6</v>
      </c>
      <c r="Y597" t="s">
        <v>19715</v>
      </c>
      <c r="Z597" t="s">
        <v>25915</v>
      </c>
      <c r="AA597">
        <v>0.4938322640319156</v>
      </c>
      <c r="AB597" t="str">
        <f>HYPERLINK("Melting_Curves/meltCurve_E9PKZ0_RPL8.pdf", "Melting_Curves/meltCurve_E9PKZ0_RPL8.pdf")</f>
        <v>Melting_Curves/meltCurve_E9PKZ0_RPL8.pdf</v>
      </c>
    </row>
    <row r="598" spans="1:28" x14ac:dyDescent="0.25">
      <c r="A598" t="s">
        <v>602</v>
      </c>
      <c r="B598">
        <v>0.99542014353169495</v>
      </c>
      <c r="C598">
        <v>0.88363144359543999</v>
      </c>
      <c r="D598">
        <v>0.96884299261179696</v>
      </c>
      <c r="E598">
        <v>0.69989189511073702</v>
      </c>
      <c r="F598">
        <v>0.60991182411174405</v>
      </c>
      <c r="G598">
        <v>0.30051304550782199</v>
      </c>
      <c r="H598">
        <v>0.13053326110772601</v>
      </c>
      <c r="I598">
        <v>8.8982960943366704E-2</v>
      </c>
      <c r="J598">
        <v>9.1351660791615399E-2</v>
      </c>
      <c r="K598">
        <v>9.5851595195611206E-2</v>
      </c>
      <c r="L598">
        <v>706.31001607038002</v>
      </c>
      <c r="M598">
        <v>14.012334561218699</v>
      </c>
      <c r="N598">
        <v>50.642859027499597</v>
      </c>
      <c r="O598">
        <v>49.4129845346474</v>
      </c>
      <c r="P598">
        <v>-6.8657424655682198E-2</v>
      </c>
      <c r="Q598">
        <v>3.1675948339571797E-2</v>
      </c>
      <c r="R598">
        <v>0.98035958088087605</v>
      </c>
      <c r="S598" t="s">
        <v>7000</v>
      </c>
      <c r="T598" t="s">
        <v>12802</v>
      </c>
      <c r="U598" t="s">
        <v>12802</v>
      </c>
      <c r="V598" t="s">
        <v>12802</v>
      </c>
      <c r="W598" t="s">
        <v>13393</v>
      </c>
      <c r="X598">
        <v>11</v>
      </c>
      <c r="Y598" t="s">
        <v>19716</v>
      </c>
      <c r="Z598" t="s">
        <v>25916</v>
      </c>
      <c r="AA598">
        <v>0.48627817279195079</v>
      </c>
      <c r="AB598" t="str">
        <f>HYPERLINK("Melting_Curves/meltCurve_E9PL01_SPCS2.pdf", "Melting_Curves/meltCurve_E9PL01_SPCS2.pdf")</f>
        <v>Melting_Curves/meltCurve_E9PL01_SPCS2.pdf</v>
      </c>
    </row>
    <row r="599" spans="1:28" x14ac:dyDescent="0.25">
      <c r="A599" t="s">
        <v>603</v>
      </c>
      <c r="B599">
        <v>0.99542014353169495</v>
      </c>
      <c r="C599">
        <v>0.84760979213715204</v>
      </c>
      <c r="D599">
        <v>0.68563278886094903</v>
      </c>
      <c r="E599">
        <v>0.22729554789057099</v>
      </c>
      <c r="F599">
        <v>0.114008733051026</v>
      </c>
      <c r="G599">
        <v>7.0720760969771798E-2</v>
      </c>
      <c r="H599">
        <v>4.45798815332097E-2</v>
      </c>
      <c r="I599">
        <v>3.03024042117865E-2</v>
      </c>
      <c r="J599">
        <v>2.87844813646881E-2</v>
      </c>
      <c r="K599">
        <v>3.6256341286959003E-2</v>
      </c>
      <c r="L599">
        <v>933.15483663069301</v>
      </c>
      <c r="M599">
        <v>21.181487564753301</v>
      </c>
      <c r="N599">
        <v>44.204292808881398</v>
      </c>
      <c r="O599">
        <v>43.6681707090885</v>
      </c>
      <c r="P599">
        <v>-0.117086620658138</v>
      </c>
      <c r="Q599">
        <v>3.4472742450322197E-2</v>
      </c>
      <c r="R599">
        <v>0.99432617221935704</v>
      </c>
      <c r="S599" t="s">
        <v>7001</v>
      </c>
      <c r="T599" t="s">
        <v>12802</v>
      </c>
      <c r="U599" t="s">
        <v>12802</v>
      </c>
      <c r="V599" t="s">
        <v>12802</v>
      </c>
      <c r="W599" t="s">
        <v>13394</v>
      </c>
      <c r="X599">
        <v>5</v>
      </c>
      <c r="Y599" t="s">
        <v>19717</v>
      </c>
      <c r="Z599" t="s">
        <v>25917</v>
      </c>
      <c r="AA599">
        <v>0.27291775488554088</v>
      </c>
      <c r="AB599" t="str">
        <f>HYPERLINK("Melting_Curves/meltCurve_E9PL17_CLP1.pdf", "Melting_Curves/meltCurve_E9PL17_CLP1.pdf")</f>
        <v>Melting_Curves/meltCurve_E9PL17_CLP1.pdf</v>
      </c>
    </row>
    <row r="600" spans="1:28" x14ac:dyDescent="0.25">
      <c r="A600" t="s">
        <v>604</v>
      </c>
      <c r="B600">
        <v>0.99542014353169495</v>
      </c>
      <c r="C600">
        <v>1.0296954395223701</v>
      </c>
      <c r="D600">
        <v>0.94536171821905501</v>
      </c>
      <c r="E600">
        <v>0.85988602025484395</v>
      </c>
      <c r="F600">
        <v>0.46818446950616499</v>
      </c>
      <c r="G600">
        <v>0.13670512303684401</v>
      </c>
      <c r="H600">
        <v>7.9605995287629003E-2</v>
      </c>
      <c r="I600">
        <v>4.7511729210724503E-2</v>
      </c>
      <c r="J600">
        <v>4.6771635345012802E-2</v>
      </c>
      <c r="K600">
        <v>5.1750372224311898E-2</v>
      </c>
      <c r="L600">
        <v>1323.25581851634</v>
      </c>
      <c r="M600">
        <v>26.627277147276502</v>
      </c>
      <c r="N600">
        <v>49.869570158189497</v>
      </c>
      <c r="O600">
        <v>49.4177433137354</v>
      </c>
      <c r="P600">
        <v>-0.128728524598167</v>
      </c>
      <c r="Q600">
        <v>4.4377480838295597E-2</v>
      </c>
      <c r="R600">
        <v>0.99822064274798605</v>
      </c>
      <c r="S600" t="s">
        <v>7002</v>
      </c>
      <c r="T600" t="s">
        <v>12802</v>
      </c>
      <c r="U600" t="s">
        <v>12802</v>
      </c>
      <c r="V600" t="s">
        <v>12802</v>
      </c>
      <c r="W600" t="s">
        <v>13395</v>
      </c>
      <c r="X600">
        <v>50</v>
      </c>
      <c r="Y600" t="s">
        <v>19718</v>
      </c>
      <c r="Z600" t="s">
        <v>25918</v>
      </c>
      <c r="AA600">
        <v>0.4561547929866106</v>
      </c>
      <c r="AB600" t="str">
        <f>HYPERLINK("Melting_Curves/meltCurve_E9PL22_HYOU1.pdf", "Melting_Curves/meltCurve_E9PL22_HYOU1.pdf")</f>
        <v>Melting_Curves/meltCurve_E9PL22_HYOU1.pdf</v>
      </c>
    </row>
    <row r="601" spans="1:28" x14ac:dyDescent="0.25">
      <c r="A601" t="s">
        <v>605</v>
      </c>
      <c r="B601">
        <v>0.99542014353169495</v>
      </c>
      <c r="C601">
        <v>0.79029222964450896</v>
      </c>
      <c r="D601">
        <v>0.69524936657437997</v>
      </c>
      <c r="E601">
        <v>0.60567088006466197</v>
      </c>
      <c r="F601">
        <v>0.31557113161940498</v>
      </c>
      <c r="G601">
        <v>0.143461905760735</v>
      </c>
      <c r="H601">
        <v>6.4749268655866804E-2</v>
      </c>
      <c r="I601">
        <v>5.0744417884036601E-2</v>
      </c>
      <c r="J601">
        <v>5.9891944214311203E-2</v>
      </c>
      <c r="K601">
        <v>6.5379973782317496E-2</v>
      </c>
      <c r="L601">
        <v>524.70931936899501</v>
      </c>
      <c r="M601">
        <v>11.223088046917599</v>
      </c>
      <c r="N601">
        <v>46.752668875973598</v>
      </c>
      <c r="O601">
        <v>45.342046647895799</v>
      </c>
      <c r="P601">
        <v>-6.18994643795623E-2</v>
      </c>
      <c r="Q601">
        <v>0</v>
      </c>
      <c r="R601">
        <v>0.97879422032587904</v>
      </c>
      <c r="S601" t="s">
        <v>7003</v>
      </c>
      <c r="T601" t="s">
        <v>12802</v>
      </c>
      <c r="U601" t="s">
        <v>12802</v>
      </c>
      <c r="V601" t="s">
        <v>12802</v>
      </c>
      <c r="W601" t="s">
        <v>13396</v>
      </c>
      <c r="X601">
        <v>1</v>
      </c>
      <c r="Y601" t="s">
        <v>19719</v>
      </c>
      <c r="Z601" t="s">
        <v>25919</v>
      </c>
      <c r="AA601">
        <v>0.36206223112714941</v>
      </c>
      <c r="AB601" t="str">
        <f>HYPERLINK("Melting_Curves/meltCurve_E9PL33_EI24.pdf", "Melting_Curves/meltCurve_E9PL33_EI24.pdf")</f>
        <v>Melting_Curves/meltCurve_E9PL33_EI24.pdf</v>
      </c>
    </row>
    <row r="602" spans="1:28" x14ac:dyDescent="0.25">
      <c r="A602" t="s">
        <v>606</v>
      </c>
      <c r="B602">
        <v>0.99542014353169495</v>
      </c>
      <c r="C602">
        <v>1.1078585439286299</v>
      </c>
      <c r="D602">
        <v>1.0966724032720701</v>
      </c>
      <c r="E602">
        <v>1.1079174699407499</v>
      </c>
      <c r="F602">
        <v>0.93778461389214995</v>
      </c>
      <c r="G602">
        <v>0.64655790786984002</v>
      </c>
      <c r="H602">
        <v>0.34099352943545103</v>
      </c>
      <c r="I602">
        <v>0.22734310381471901</v>
      </c>
      <c r="J602">
        <v>0.24111479767296801</v>
      </c>
      <c r="K602">
        <v>0.26467420828608701</v>
      </c>
      <c r="L602">
        <v>1873.9139575643001</v>
      </c>
      <c r="M602">
        <v>34.685834911314402</v>
      </c>
      <c r="N602">
        <v>55.0736180101024</v>
      </c>
      <c r="O602">
        <v>53.846728922108497</v>
      </c>
      <c r="P602">
        <v>-0.122127771217012</v>
      </c>
      <c r="Q602">
        <v>0.241632282761166</v>
      </c>
      <c r="R602">
        <v>0.97485795177339096</v>
      </c>
      <c r="S602" t="s">
        <v>7004</v>
      </c>
      <c r="T602" t="s">
        <v>12802</v>
      </c>
      <c r="U602" t="s">
        <v>12802</v>
      </c>
      <c r="V602" t="s">
        <v>12802</v>
      </c>
      <c r="W602" t="s">
        <v>13397</v>
      </c>
      <c r="X602">
        <v>8</v>
      </c>
      <c r="Y602" t="s">
        <v>19720</v>
      </c>
      <c r="Z602" t="s">
        <v>25920</v>
      </c>
      <c r="AA602">
        <v>0.67571391057923624</v>
      </c>
      <c r="AB602" t="str">
        <f>HYPERLINK("Melting_Curves/meltCurve_E9PL57_NEDD8_MDP1.pdf", "Melting_Curves/meltCurve_E9PL57_NEDD8_MDP1.pdf")</f>
        <v>Melting_Curves/meltCurve_E9PL57_NEDD8_MDP1.pdf</v>
      </c>
    </row>
    <row r="603" spans="1:28" x14ac:dyDescent="0.25">
      <c r="A603" t="s">
        <v>607</v>
      </c>
      <c r="B603">
        <v>0.99542014353169495</v>
      </c>
      <c r="C603">
        <v>0.93077132091002401</v>
      </c>
      <c r="D603">
        <v>1.0002772833604301</v>
      </c>
      <c r="E603">
        <v>0.88720208016995705</v>
      </c>
      <c r="F603">
        <v>0.71623177661266202</v>
      </c>
      <c r="G603">
        <v>0.45177463533540602</v>
      </c>
      <c r="H603">
        <v>0.218981336413094</v>
      </c>
      <c r="I603">
        <v>0.128138117089065</v>
      </c>
      <c r="J603">
        <v>0.107930777175373</v>
      </c>
      <c r="K603">
        <v>0.1232955061587</v>
      </c>
      <c r="L603">
        <v>942.05313854391898</v>
      </c>
      <c r="M603">
        <v>17.982226947554501</v>
      </c>
      <c r="N603">
        <v>52.894745769315797</v>
      </c>
      <c r="O603">
        <v>51.7530194305576</v>
      </c>
      <c r="P603">
        <v>-7.9996394177169999E-2</v>
      </c>
      <c r="Q603">
        <v>7.91240946409595E-2</v>
      </c>
      <c r="R603">
        <v>0.99483736371954901</v>
      </c>
      <c r="S603" t="s">
        <v>7005</v>
      </c>
      <c r="T603" t="s">
        <v>12802</v>
      </c>
      <c r="U603" t="s">
        <v>12802</v>
      </c>
      <c r="V603" t="s">
        <v>12802</v>
      </c>
      <c r="W603" t="s">
        <v>13398</v>
      </c>
      <c r="X603">
        <v>20</v>
      </c>
      <c r="Y603" t="s">
        <v>19721</v>
      </c>
      <c r="Z603" t="s">
        <v>25921</v>
      </c>
      <c r="AA603">
        <v>0.56523171336515143</v>
      </c>
      <c r="AB603" t="str">
        <f>HYPERLINK("Melting_Curves/meltCurve_E9PL69_RRM1.pdf", "Melting_Curves/meltCurve_E9PL69_RRM1.pdf")</f>
        <v>Melting_Curves/meltCurve_E9PL69_RRM1.pdf</v>
      </c>
    </row>
    <row r="604" spans="1:28" x14ac:dyDescent="0.25">
      <c r="A604" t="s">
        <v>608</v>
      </c>
      <c r="B604">
        <v>0.99542014353169495</v>
      </c>
      <c r="C604">
        <v>1.0393026742045199</v>
      </c>
      <c r="D604">
        <v>1.0215497855928399</v>
      </c>
      <c r="E604">
        <v>0.91190811372707503</v>
      </c>
      <c r="F604">
        <v>0.63447911868339602</v>
      </c>
      <c r="G604">
        <v>0.41202330929165998</v>
      </c>
      <c r="H604">
        <v>0.25819978491956103</v>
      </c>
      <c r="I604">
        <v>0.36940422181746102</v>
      </c>
      <c r="J604">
        <v>0.44098854567497497</v>
      </c>
      <c r="K604">
        <v>0.44503669133676599</v>
      </c>
      <c r="L604">
        <v>1704.45471561148</v>
      </c>
      <c r="M604">
        <v>34.4026010973623</v>
      </c>
      <c r="N604">
        <v>51.657914518763299</v>
      </c>
      <c r="O604">
        <v>49.377848326014899</v>
      </c>
      <c r="P604">
        <v>-0.108404892885264</v>
      </c>
      <c r="Q604">
        <v>0.37763076394069101</v>
      </c>
      <c r="R604">
        <v>0.96803281324769797</v>
      </c>
      <c r="S604" t="s">
        <v>7006</v>
      </c>
      <c r="T604" t="s">
        <v>12802</v>
      </c>
      <c r="U604" t="s">
        <v>12802</v>
      </c>
      <c r="V604" t="s">
        <v>12802</v>
      </c>
      <c r="W604" t="s">
        <v>13086</v>
      </c>
      <c r="X604">
        <v>1</v>
      </c>
      <c r="Z604" t="s">
        <v>25922</v>
      </c>
      <c r="AA604">
        <v>0.64075531032430411</v>
      </c>
      <c r="AB604" t="str">
        <f>HYPERLINK("Melting_Curves/meltCurve_E9PLD3_.pdf", "Melting_Curves/meltCurve_E9PLD3_.pdf")</f>
        <v>Melting_Curves/meltCurve_E9PLD3_.pdf</v>
      </c>
    </row>
    <row r="605" spans="1:28" x14ac:dyDescent="0.25">
      <c r="A605" t="s">
        <v>609</v>
      </c>
      <c r="B605">
        <v>0.99542014353169495</v>
      </c>
      <c r="C605">
        <v>1.04432283838424</v>
      </c>
      <c r="D605">
        <v>0.99360561577997697</v>
      </c>
      <c r="E605">
        <v>0.82950688405141904</v>
      </c>
      <c r="F605">
        <v>0.68374957274254899</v>
      </c>
      <c r="G605">
        <v>0.43840412073165902</v>
      </c>
      <c r="H605">
        <v>0.28699178794945801</v>
      </c>
      <c r="I605">
        <v>0.13116404109216101</v>
      </c>
      <c r="J605">
        <v>0.110771201114039</v>
      </c>
      <c r="K605">
        <v>8.6452532227658502E-2</v>
      </c>
      <c r="L605">
        <v>741.36887333768505</v>
      </c>
      <c r="M605">
        <v>14.091340072251301</v>
      </c>
      <c r="N605">
        <v>52.893719692721497</v>
      </c>
      <c r="O605">
        <v>51.5860939098229</v>
      </c>
      <c r="P605">
        <v>-6.5827159730805093E-2</v>
      </c>
      <c r="Q605">
        <v>3.6194431560211897E-2</v>
      </c>
      <c r="R605">
        <v>0.99513367605927405</v>
      </c>
      <c r="S605" t="s">
        <v>7007</v>
      </c>
      <c r="T605" t="s">
        <v>12802</v>
      </c>
      <c r="U605" t="s">
        <v>12802</v>
      </c>
      <c r="V605" t="s">
        <v>12802</v>
      </c>
      <c r="W605" t="s">
        <v>13399</v>
      </c>
      <c r="X605">
        <v>1</v>
      </c>
      <c r="Y605" t="s">
        <v>19722</v>
      </c>
      <c r="Z605" t="s">
        <v>25923</v>
      </c>
      <c r="AA605">
        <v>0.55659430496519036</v>
      </c>
      <c r="AB605" t="str">
        <f>HYPERLINK("Melting_Curves/meltCurve_E9PLJ2_CHIA.pdf", "Melting_Curves/meltCurve_E9PLJ2_CHIA.pdf")</f>
        <v>Melting_Curves/meltCurve_E9PLJ2_CHIA.pdf</v>
      </c>
    </row>
    <row r="606" spans="1:28" x14ac:dyDescent="0.25">
      <c r="A606" t="s">
        <v>610</v>
      </c>
      <c r="B606">
        <v>0.99542014353169495</v>
      </c>
      <c r="C606">
        <v>1.0052682530074499</v>
      </c>
      <c r="D606">
        <v>0.96065232758086005</v>
      </c>
      <c r="E606">
        <v>0.90847030314597699</v>
      </c>
      <c r="F606">
        <v>0.695437606964317</v>
      </c>
      <c r="G606">
        <v>0.533826513129805</v>
      </c>
      <c r="H606">
        <v>0.31680189656938901</v>
      </c>
      <c r="I606">
        <v>0.19658738830612901</v>
      </c>
      <c r="J606">
        <v>8.8771755633825097E-2</v>
      </c>
      <c r="K606">
        <v>6.2345494125824102E-2</v>
      </c>
      <c r="L606">
        <v>709.82689689139204</v>
      </c>
      <c r="M606">
        <v>13.144199671584399</v>
      </c>
      <c r="N606">
        <v>54.003070670276799</v>
      </c>
      <c r="O606">
        <v>52.798962894679903</v>
      </c>
      <c r="P606">
        <v>-6.2247551143561598E-2</v>
      </c>
      <c r="Q606">
        <v>0</v>
      </c>
      <c r="R606">
        <v>0.99765571433556599</v>
      </c>
      <c r="S606" t="s">
        <v>7008</v>
      </c>
      <c r="T606" t="s">
        <v>12802</v>
      </c>
      <c r="U606" t="s">
        <v>12802</v>
      </c>
      <c r="V606" t="s">
        <v>12802</v>
      </c>
      <c r="W606" t="s">
        <v>13041</v>
      </c>
      <c r="X606">
        <v>48</v>
      </c>
      <c r="Y606" t="s">
        <v>19364</v>
      </c>
      <c r="Z606" t="s">
        <v>25924</v>
      </c>
      <c r="AA606">
        <v>0.58421250407886949</v>
      </c>
      <c r="AB606" t="str">
        <f>HYPERLINK("Melting_Curves/meltCurve_E9PLK3_NPEPPS.pdf", "Melting_Curves/meltCurve_E9PLK3_NPEPPS.pdf")</f>
        <v>Melting_Curves/meltCurve_E9PLK3_NPEPPS.pdf</v>
      </c>
    </row>
    <row r="607" spans="1:28" x14ac:dyDescent="0.25">
      <c r="A607" t="s">
        <v>611</v>
      </c>
      <c r="B607">
        <v>0.99542014353169495</v>
      </c>
      <c r="C607">
        <v>0.99372277114667895</v>
      </c>
      <c r="D607">
        <v>0.90436904541510099</v>
      </c>
      <c r="E607">
        <v>0.85112320597167002</v>
      </c>
      <c r="F607">
        <v>0.74903550561452503</v>
      </c>
      <c r="G607">
        <v>0.70462844321209805</v>
      </c>
      <c r="H607">
        <v>0.63206074475594798</v>
      </c>
      <c r="I607">
        <v>0.40752262059871303</v>
      </c>
      <c r="J607">
        <v>0.94900797268529802</v>
      </c>
      <c r="K607">
        <v>2.0020029278631801</v>
      </c>
      <c r="L607">
        <v>15000</v>
      </c>
      <c r="M607">
        <v>230.023465293474</v>
      </c>
      <c r="O607">
        <v>65.205810273718001</v>
      </c>
      <c r="P607">
        <v>0.44095662070490599</v>
      </c>
      <c r="Q607">
        <v>1.5</v>
      </c>
      <c r="R607">
        <v>0.42523086472225902</v>
      </c>
      <c r="S607" t="s">
        <v>7009</v>
      </c>
      <c r="T607" t="s">
        <v>12802</v>
      </c>
      <c r="U607" t="s">
        <v>12802</v>
      </c>
      <c r="V607" t="s">
        <v>12802</v>
      </c>
      <c r="W607" t="s">
        <v>13400</v>
      </c>
      <c r="X607">
        <v>6</v>
      </c>
      <c r="Y607" t="s">
        <v>19723</v>
      </c>
      <c r="Z607" t="s">
        <v>25925</v>
      </c>
      <c r="AA607">
        <v>1.0297642360405821</v>
      </c>
      <c r="AB607" t="str">
        <f>HYPERLINK("Melting_Curves/meltCurve_E9PLL6_RPL27A.pdf", "Melting_Curves/meltCurve_E9PLL6_RPL27A.pdf")</f>
        <v>Melting_Curves/meltCurve_E9PLL6_RPL27A.pdf</v>
      </c>
    </row>
    <row r="608" spans="1:28" x14ac:dyDescent="0.25">
      <c r="A608" t="s">
        <v>612</v>
      </c>
      <c r="B608">
        <v>0.99542014353169495</v>
      </c>
      <c r="C608">
        <v>0.98344646884893805</v>
      </c>
      <c r="D608">
        <v>0.83637923321528196</v>
      </c>
      <c r="E608">
        <v>0.65378990968477202</v>
      </c>
      <c r="F608">
        <v>0.31883783345810901</v>
      </c>
      <c r="G608">
        <v>0.18354085558910299</v>
      </c>
      <c r="H608">
        <v>0.124151241639317</v>
      </c>
      <c r="I608">
        <v>8.8768556080536604E-2</v>
      </c>
      <c r="J608">
        <v>5.8236934272352603E-2</v>
      </c>
      <c r="K608">
        <v>5.1962356473656802E-2</v>
      </c>
      <c r="L608">
        <v>788.32909174216195</v>
      </c>
      <c r="M608">
        <v>16.507978631709801</v>
      </c>
      <c r="N608">
        <v>48.079967478755798</v>
      </c>
      <c r="O608">
        <v>47.0701594029549</v>
      </c>
      <c r="P608">
        <v>-8.3047254094110706E-2</v>
      </c>
      <c r="Q608">
        <v>5.28758407153187E-2</v>
      </c>
      <c r="R608">
        <v>0.997407267541641</v>
      </c>
      <c r="S608" t="s">
        <v>7010</v>
      </c>
      <c r="T608" t="s">
        <v>12802</v>
      </c>
      <c r="U608" t="s">
        <v>12802</v>
      </c>
      <c r="V608" t="s">
        <v>12802</v>
      </c>
      <c r="W608" t="s">
        <v>13401</v>
      </c>
      <c r="X608">
        <v>2</v>
      </c>
      <c r="Y608" t="s">
        <v>19724</v>
      </c>
      <c r="Z608" t="s">
        <v>25926</v>
      </c>
      <c r="AA608">
        <v>0.41013845111103581</v>
      </c>
      <c r="AB608" t="str">
        <f>HYPERLINK("Melting_Curves/meltCurve_E9PLX2_RNF141.pdf", "Melting_Curves/meltCurve_E9PLX2_RNF141.pdf")</f>
        <v>Melting_Curves/meltCurve_E9PLX2_RNF141.pdf</v>
      </c>
    </row>
    <row r="609" spans="1:28" x14ac:dyDescent="0.25">
      <c r="A609" t="s">
        <v>613</v>
      </c>
      <c r="B609">
        <v>0.99542014353169495</v>
      </c>
      <c r="C609">
        <v>0.90954127446833799</v>
      </c>
      <c r="D609">
        <v>0.93331791765388605</v>
      </c>
      <c r="E609">
        <v>0.63064992886639804</v>
      </c>
      <c r="F609">
        <v>0.24842889729319001</v>
      </c>
      <c r="G609">
        <v>0.14881712091768301</v>
      </c>
      <c r="H609">
        <v>7.85315770495493E-2</v>
      </c>
      <c r="I609">
        <v>5.5467381690997401E-2</v>
      </c>
      <c r="J609">
        <v>7.4316140179166004E-2</v>
      </c>
      <c r="K609">
        <v>0.100982351495448</v>
      </c>
      <c r="L609">
        <v>1121.2732940778701</v>
      </c>
      <c r="M609">
        <v>23.687942788251402</v>
      </c>
      <c r="N609">
        <v>47.661828134205699</v>
      </c>
      <c r="O609">
        <v>47.001714529930197</v>
      </c>
      <c r="P609">
        <v>-0.11655708296433499</v>
      </c>
      <c r="Q609">
        <v>7.4923273270993004E-2</v>
      </c>
      <c r="R609">
        <v>0.99404908066525999</v>
      </c>
      <c r="S609" t="s">
        <v>7011</v>
      </c>
      <c r="T609" t="s">
        <v>12802</v>
      </c>
      <c r="U609" t="s">
        <v>12802</v>
      </c>
      <c r="V609" t="s">
        <v>12802</v>
      </c>
      <c r="W609" t="s">
        <v>13402</v>
      </c>
      <c r="X609">
        <v>29</v>
      </c>
      <c r="Y609" t="s">
        <v>19725</v>
      </c>
      <c r="Z609" t="s">
        <v>25927</v>
      </c>
      <c r="AA609">
        <v>0.4023116124001902</v>
      </c>
      <c r="AB609" t="str">
        <f>HYPERLINK("Melting_Curves/meltCurve_E9PLY5_MACF1.pdf", "Melting_Curves/meltCurve_E9PLY5_MACF1.pdf")</f>
        <v>Melting_Curves/meltCurve_E9PLY5_MACF1.pdf</v>
      </c>
    </row>
    <row r="610" spans="1:28" x14ac:dyDescent="0.25">
      <c r="A610" t="s">
        <v>614</v>
      </c>
      <c r="B610">
        <v>0.99542014353169495</v>
      </c>
      <c r="C610">
        <v>0.71603418519594098</v>
      </c>
      <c r="D610">
        <v>0.67682611715482599</v>
      </c>
      <c r="E610">
        <v>0.37563983029312198</v>
      </c>
      <c r="F610">
        <v>0.186756770636263</v>
      </c>
      <c r="G610">
        <v>0.110349486307353</v>
      </c>
      <c r="H610">
        <v>7.1886231507347201E-2</v>
      </c>
      <c r="I610">
        <v>4.9466901854147503E-2</v>
      </c>
      <c r="J610">
        <v>1.64606026661933E-2</v>
      </c>
      <c r="K610">
        <v>4.4712510416971503E-2</v>
      </c>
      <c r="L610">
        <v>557.57939519357706</v>
      </c>
      <c r="M610">
        <v>12.5045056146101</v>
      </c>
      <c r="N610">
        <v>44.670068331691297</v>
      </c>
      <c r="O610">
        <v>43.495958251770098</v>
      </c>
      <c r="P610">
        <v>-7.1092567167297394E-2</v>
      </c>
      <c r="Q610">
        <v>1.1043240280473E-2</v>
      </c>
      <c r="R610">
        <v>0.98307686605824895</v>
      </c>
      <c r="S610" t="s">
        <v>7012</v>
      </c>
      <c r="T610" t="s">
        <v>12802</v>
      </c>
      <c r="U610" t="s">
        <v>12802</v>
      </c>
      <c r="V610" t="s">
        <v>12802</v>
      </c>
      <c r="W610" t="s">
        <v>13403</v>
      </c>
      <c r="X610">
        <v>2</v>
      </c>
      <c r="Y610" t="s">
        <v>19726</v>
      </c>
      <c r="Z610" t="s">
        <v>25928</v>
      </c>
      <c r="AA610">
        <v>0.29538095187161889</v>
      </c>
      <c r="AB610" t="str">
        <f>HYPERLINK("Melting_Curves/meltCurve_E9PM19_TYK2.pdf", "Melting_Curves/meltCurve_E9PM19_TYK2.pdf")</f>
        <v>Melting_Curves/meltCurve_E9PM19_TYK2.pdf</v>
      </c>
    </row>
    <row r="611" spans="1:28" x14ac:dyDescent="0.25">
      <c r="A611" t="s">
        <v>615</v>
      </c>
      <c r="B611">
        <v>0.99542014353169495</v>
      </c>
      <c r="C611">
        <v>0.91273168655427495</v>
      </c>
      <c r="D611">
        <v>0.89795672220832901</v>
      </c>
      <c r="E611">
        <v>0.41716827777140703</v>
      </c>
      <c r="F611">
        <v>0.194325626803834</v>
      </c>
      <c r="G611">
        <v>0.114565577431347</v>
      </c>
      <c r="H611">
        <v>8.3805159301919604E-2</v>
      </c>
      <c r="I611">
        <v>6.2529589930165996E-2</v>
      </c>
      <c r="J611">
        <v>7.1905484811052398E-2</v>
      </c>
      <c r="K611">
        <v>7.3763156381163805E-2</v>
      </c>
      <c r="L611">
        <v>1177.09752232398</v>
      </c>
      <c r="M611">
        <v>25.676115601197001</v>
      </c>
      <c r="N611">
        <v>46.149486193477799</v>
      </c>
      <c r="O611">
        <v>45.568698571147998</v>
      </c>
      <c r="P611">
        <v>-0.12985984485376101</v>
      </c>
      <c r="Q611">
        <v>7.8135986443596206E-2</v>
      </c>
      <c r="R611">
        <v>0.99413636258339999</v>
      </c>
      <c r="S611" t="s">
        <v>7013</v>
      </c>
      <c r="T611" t="s">
        <v>12802</v>
      </c>
      <c r="U611" t="s">
        <v>12802</v>
      </c>
      <c r="V611" t="s">
        <v>12802</v>
      </c>
      <c r="W611" t="s">
        <v>13053</v>
      </c>
      <c r="X611">
        <v>35</v>
      </c>
      <c r="Y611" t="s">
        <v>19727</v>
      </c>
      <c r="Z611" t="s">
        <v>25929</v>
      </c>
      <c r="AA611">
        <v>0.35712087763060818</v>
      </c>
      <c r="AB611" t="str">
        <f>HYPERLINK("Melting_Curves/meltCurve_E9PM46_USP47.pdf", "Melting_Curves/meltCurve_E9PM46_USP47.pdf")</f>
        <v>Melting_Curves/meltCurve_E9PM46_USP47.pdf</v>
      </c>
    </row>
    <row r="612" spans="1:28" x14ac:dyDescent="0.25">
      <c r="A612" t="s">
        <v>616</v>
      </c>
      <c r="B612">
        <v>0.99542014353169495</v>
      </c>
      <c r="C612">
        <v>0.97989131072500302</v>
      </c>
      <c r="D612">
        <v>0.92409292356466599</v>
      </c>
      <c r="E612">
        <v>0.94626322581836797</v>
      </c>
      <c r="F612">
        <v>0.80362003792438697</v>
      </c>
      <c r="G612">
        <v>0.71263985719357303</v>
      </c>
      <c r="H612">
        <v>0.63623566698397305</v>
      </c>
      <c r="I612">
        <v>0.62423814467973904</v>
      </c>
      <c r="J612">
        <v>1.0515900122988999</v>
      </c>
      <c r="K612">
        <v>1.36002104842125</v>
      </c>
      <c r="L612">
        <v>1102.2904990263301</v>
      </c>
      <c r="M612">
        <v>25.6783514102206</v>
      </c>
      <c r="O612">
        <v>42.669035456045101</v>
      </c>
      <c r="P612">
        <v>-1.9220042444511198E-2</v>
      </c>
      <c r="Q612">
        <v>0.87225180683643599</v>
      </c>
      <c r="R612">
        <v>4.7065534809744201E-2</v>
      </c>
      <c r="S612" t="s">
        <v>7014</v>
      </c>
      <c r="T612" t="s">
        <v>12802</v>
      </c>
      <c r="U612" t="s">
        <v>12802</v>
      </c>
      <c r="V612" t="s">
        <v>12802</v>
      </c>
      <c r="W612" t="s">
        <v>13404</v>
      </c>
      <c r="X612">
        <v>8</v>
      </c>
      <c r="Y612" t="s">
        <v>19728</v>
      </c>
      <c r="Z612" t="s">
        <v>25930</v>
      </c>
      <c r="AA612">
        <v>0.89850060334159965</v>
      </c>
      <c r="AB612" t="str">
        <f>HYPERLINK("Melting_Curves/meltCurve_E9PM92_C11orf58.pdf", "Melting_Curves/meltCurve_E9PM92_C11orf58.pdf")</f>
        <v>Melting_Curves/meltCurve_E9PM92_C11orf58.pdf</v>
      </c>
    </row>
    <row r="613" spans="1:28" x14ac:dyDescent="0.25">
      <c r="A613" t="s">
        <v>617</v>
      </c>
      <c r="B613">
        <v>0.99542014353169495</v>
      </c>
      <c r="C613">
        <v>0.92744935507994697</v>
      </c>
      <c r="D613">
        <v>0.94895577950636201</v>
      </c>
      <c r="E613">
        <v>0.74469530959401298</v>
      </c>
      <c r="F613">
        <v>0.242301399293296</v>
      </c>
      <c r="G613">
        <v>0.120868657553052</v>
      </c>
      <c r="H613">
        <v>7.6245247182503001E-2</v>
      </c>
      <c r="I613">
        <v>4.5932599761234601E-2</v>
      </c>
      <c r="J613">
        <v>5.5047089533844899E-2</v>
      </c>
      <c r="K613">
        <v>5.9467554550343103E-2</v>
      </c>
      <c r="L613">
        <v>1445.7449306445201</v>
      </c>
      <c r="M613">
        <v>30.110901768730599</v>
      </c>
      <c r="N613">
        <v>48.219744287674096</v>
      </c>
      <c r="O613">
        <v>47.803722229010802</v>
      </c>
      <c r="P613">
        <v>-0.147979720090822</v>
      </c>
      <c r="Q613">
        <v>6.0282432388289203E-2</v>
      </c>
      <c r="R613">
        <v>0.99563799238600803</v>
      </c>
      <c r="S613" t="s">
        <v>7015</v>
      </c>
      <c r="T613" t="s">
        <v>12802</v>
      </c>
      <c r="U613" t="s">
        <v>12802</v>
      </c>
      <c r="V613" t="s">
        <v>12802</v>
      </c>
      <c r="W613" t="s">
        <v>13405</v>
      </c>
      <c r="X613">
        <v>8</v>
      </c>
      <c r="Y613" t="s">
        <v>19729</v>
      </c>
      <c r="Z613" t="s">
        <v>25931</v>
      </c>
      <c r="AA613">
        <v>0.4108100489351722</v>
      </c>
      <c r="AB613" t="str">
        <f>HYPERLINK("Melting_Curves/meltCurve_E9PMJ2_FAM118B.pdf", "Melting_Curves/meltCurve_E9PMJ2_FAM118B.pdf")</f>
        <v>Melting_Curves/meltCurve_E9PMJ2_FAM118B.pdf</v>
      </c>
    </row>
    <row r="614" spans="1:28" x14ac:dyDescent="0.25">
      <c r="A614" t="s">
        <v>618</v>
      </c>
      <c r="B614">
        <v>0.99542014353169495</v>
      </c>
      <c r="C614">
        <v>0.96863485039314701</v>
      </c>
      <c r="D614">
        <v>0.70110235142126598</v>
      </c>
      <c r="E614">
        <v>0.28750663160564199</v>
      </c>
      <c r="F614">
        <v>0.143615382892927</v>
      </c>
      <c r="G614">
        <v>7.7178988685199096E-2</v>
      </c>
      <c r="H614">
        <v>5.4229251869721599E-2</v>
      </c>
      <c r="I614">
        <v>4.2024162928580203E-2</v>
      </c>
      <c r="J614">
        <v>3.9141548551758901E-2</v>
      </c>
      <c r="K614">
        <v>3.9100408610497302E-2</v>
      </c>
      <c r="L614">
        <v>1033.1567711991599</v>
      </c>
      <c r="M614">
        <v>23.2063483320843</v>
      </c>
      <c r="N614">
        <v>44.719959492431002</v>
      </c>
      <c r="O614">
        <v>44.1937703619611</v>
      </c>
      <c r="P614">
        <v>-0.124822304394461</v>
      </c>
      <c r="Q614">
        <v>4.9178860554515001E-2</v>
      </c>
      <c r="R614">
        <v>0.99830913438781099</v>
      </c>
      <c r="S614" t="s">
        <v>7016</v>
      </c>
      <c r="T614" t="s">
        <v>12802</v>
      </c>
      <c r="U614" t="s">
        <v>12802</v>
      </c>
      <c r="V614" t="s">
        <v>12802</v>
      </c>
      <c r="W614" t="s">
        <v>13406</v>
      </c>
      <c r="X614">
        <v>5</v>
      </c>
      <c r="Y614" t="s">
        <v>19730</v>
      </c>
      <c r="Z614" t="s">
        <v>25932</v>
      </c>
      <c r="AA614">
        <v>0.29667039076196938</v>
      </c>
      <c r="AB614" t="str">
        <f>HYPERLINK("Melting_Curves/meltCurve_E9PMQ6_HSF1.pdf", "Melting_Curves/meltCurve_E9PMQ6_HSF1.pdf")</f>
        <v>Melting_Curves/meltCurve_E9PMQ6_HSF1.pdf</v>
      </c>
    </row>
    <row r="615" spans="1:28" x14ac:dyDescent="0.25">
      <c r="A615" t="s">
        <v>619</v>
      </c>
      <c r="B615">
        <v>0.99542014353169495</v>
      </c>
      <c r="C615">
        <v>1.0164901384878</v>
      </c>
      <c r="D615">
        <v>0.70343259390719104</v>
      </c>
      <c r="E615">
        <v>0.64689301007739897</v>
      </c>
      <c r="F615">
        <v>0.26673573245355697</v>
      </c>
      <c r="G615">
        <v>0.213314666719709</v>
      </c>
      <c r="H615">
        <v>0.164038811362993</v>
      </c>
      <c r="I615">
        <v>0.237312630453032</v>
      </c>
      <c r="J615">
        <v>0.70383336663032103</v>
      </c>
      <c r="K615">
        <v>1.21010248415174</v>
      </c>
      <c r="L615">
        <v>1389.2808536033101</v>
      </c>
      <c r="M615">
        <v>32.281220391672299</v>
      </c>
      <c r="N615">
        <v>47.965453684131703</v>
      </c>
      <c r="O615">
        <v>42.872670417836098</v>
      </c>
      <c r="P615">
        <v>-9.7532750559525302E-2</v>
      </c>
      <c r="Q615">
        <v>0.48186981167458398</v>
      </c>
      <c r="R615">
        <v>0.32454481052977002</v>
      </c>
      <c r="S615" t="s">
        <v>7017</v>
      </c>
      <c r="T615" t="s">
        <v>12802</v>
      </c>
      <c r="U615" t="s">
        <v>12802</v>
      </c>
      <c r="V615" t="s">
        <v>12802</v>
      </c>
      <c r="W615" t="s">
        <v>13407</v>
      </c>
      <c r="X615">
        <v>3</v>
      </c>
      <c r="Y615" t="s">
        <v>19731</v>
      </c>
      <c r="Z615" t="s">
        <v>25933</v>
      </c>
      <c r="AA615">
        <v>0.5885929881171762</v>
      </c>
      <c r="AB615" t="str">
        <f>HYPERLINK("Melting_Curves/meltCurve_E9PMR4_CD151.pdf", "Melting_Curves/meltCurve_E9PMR4_CD151.pdf")</f>
        <v>Melting_Curves/meltCurve_E9PMR4_CD151.pdf</v>
      </c>
    </row>
    <row r="616" spans="1:28" x14ac:dyDescent="0.25">
      <c r="A616" t="s">
        <v>620</v>
      </c>
      <c r="B616">
        <v>0.99542014353169495</v>
      </c>
      <c r="C616">
        <v>0.84441715002249995</v>
      </c>
      <c r="D616">
        <v>0.66099551757601005</v>
      </c>
      <c r="E616">
        <v>0.46250465345921798</v>
      </c>
      <c r="F616">
        <v>0.29950690947037301</v>
      </c>
      <c r="G616">
        <v>9.6691765790913195E-2</v>
      </c>
      <c r="H616">
        <v>9.2483282712158194E-2</v>
      </c>
      <c r="I616">
        <v>2.3273404416896799E-2</v>
      </c>
      <c r="J616">
        <v>1.7852833934736599E-2</v>
      </c>
      <c r="K616">
        <v>0</v>
      </c>
      <c r="L616">
        <v>563.08012531758595</v>
      </c>
      <c r="M616">
        <v>12.2889384687138</v>
      </c>
      <c r="N616">
        <v>45.820055609059501</v>
      </c>
      <c r="O616">
        <v>44.657437318102502</v>
      </c>
      <c r="P616">
        <v>-6.8810709799613998E-2</v>
      </c>
      <c r="Q616">
        <v>0</v>
      </c>
      <c r="R616">
        <v>0.99314773477381102</v>
      </c>
      <c r="S616" t="s">
        <v>7018</v>
      </c>
      <c r="T616" t="s">
        <v>12802</v>
      </c>
      <c r="U616" t="s">
        <v>12802</v>
      </c>
      <c r="V616" t="s">
        <v>12802</v>
      </c>
      <c r="W616" t="s">
        <v>13408</v>
      </c>
      <c r="X616">
        <v>1</v>
      </c>
      <c r="Y616" t="s">
        <v>19732</v>
      </c>
      <c r="Z616" t="s">
        <v>25934</v>
      </c>
      <c r="AA616">
        <v>0.3274077295764436</v>
      </c>
      <c r="AB616" t="str">
        <f>HYPERLINK("Melting_Curves/meltCurve_E9PMS3_PEX16.pdf", "Melting_Curves/meltCurve_E9PMS3_PEX16.pdf")</f>
        <v>Melting_Curves/meltCurve_E9PMS3_PEX16.pdf</v>
      </c>
    </row>
    <row r="617" spans="1:28" x14ac:dyDescent="0.25">
      <c r="A617" t="s">
        <v>621</v>
      </c>
      <c r="B617">
        <v>0.99542014353169495</v>
      </c>
      <c r="C617">
        <v>0.90359764967748502</v>
      </c>
      <c r="D617">
        <v>0.959960998271985</v>
      </c>
      <c r="E617">
        <v>0.91674215759504696</v>
      </c>
      <c r="F617">
        <v>0.81780525754644895</v>
      </c>
      <c r="G617">
        <v>0.53592002373724901</v>
      </c>
      <c r="H617">
        <v>0.41015932603306698</v>
      </c>
      <c r="I617">
        <v>7.82405373375573E-2</v>
      </c>
      <c r="J617">
        <v>5.0356345684231897E-2</v>
      </c>
      <c r="K617">
        <v>2.5459696030908401E-2</v>
      </c>
      <c r="L617">
        <v>903.72518446007302</v>
      </c>
      <c r="M617">
        <v>16.534838928975201</v>
      </c>
      <c r="N617">
        <v>54.6558211456042</v>
      </c>
      <c r="O617">
        <v>53.875143637058599</v>
      </c>
      <c r="P617">
        <v>-7.6732874914362106E-2</v>
      </c>
      <c r="Q617">
        <v>0</v>
      </c>
      <c r="R617">
        <v>0.98096431889012004</v>
      </c>
      <c r="S617" t="s">
        <v>7019</v>
      </c>
      <c r="T617" t="s">
        <v>12802</v>
      </c>
      <c r="U617" t="s">
        <v>12802</v>
      </c>
      <c r="V617" t="s">
        <v>12802</v>
      </c>
      <c r="W617" t="s">
        <v>13409</v>
      </c>
      <c r="X617">
        <v>1</v>
      </c>
      <c r="Y617" t="s">
        <v>19733</v>
      </c>
      <c r="Z617" t="s">
        <v>25935</v>
      </c>
      <c r="AA617">
        <v>0.60250889732613211</v>
      </c>
      <c r="AB617" t="str">
        <f>HYPERLINK("Melting_Curves/meltCurve_E9PMS6_LMO7.pdf", "Melting_Curves/meltCurve_E9PMS6_LMO7.pdf")</f>
        <v>Melting_Curves/meltCurve_E9PMS6_LMO7.pdf</v>
      </c>
    </row>
    <row r="618" spans="1:28" x14ac:dyDescent="0.25">
      <c r="A618" t="s">
        <v>622</v>
      </c>
      <c r="B618">
        <v>0.99542014353169495</v>
      </c>
      <c r="C618">
        <v>0.91299232240940498</v>
      </c>
      <c r="D618">
        <v>0.95149867629229701</v>
      </c>
      <c r="E618">
        <v>0.86567369784230797</v>
      </c>
      <c r="F618">
        <v>0.84041162838142702</v>
      </c>
      <c r="G618">
        <v>0.57518078769985903</v>
      </c>
      <c r="H618">
        <v>1.31198057922709</v>
      </c>
      <c r="I618">
        <v>0.68732131841731803</v>
      </c>
      <c r="J618">
        <v>0.12523790783413399</v>
      </c>
      <c r="K618">
        <v>0.18619440060752601</v>
      </c>
      <c r="L618">
        <v>15000</v>
      </c>
      <c r="M618">
        <v>245.370912909857</v>
      </c>
      <c r="N618">
        <v>61.225046396945501</v>
      </c>
      <c r="O618">
        <v>61.127885409176997</v>
      </c>
      <c r="P618">
        <v>-0.84725577233913896</v>
      </c>
      <c r="Q618">
        <v>0.155711687258065</v>
      </c>
      <c r="R618">
        <v>0.72406684399939003</v>
      </c>
      <c r="S618" t="s">
        <v>7020</v>
      </c>
      <c r="T618" t="s">
        <v>12802</v>
      </c>
      <c r="U618" t="s">
        <v>12802</v>
      </c>
      <c r="V618" t="s">
        <v>12802</v>
      </c>
      <c r="W618" t="s">
        <v>13410</v>
      </c>
      <c r="X618">
        <v>31</v>
      </c>
      <c r="Y618" t="s">
        <v>19734</v>
      </c>
      <c r="Z618" t="s">
        <v>25936</v>
      </c>
      <c r="AA618">
        <v>0.83494955668002102</v>
      </c>
      <c r="AB618" t="str">
        <f>HYPERLINK("Melting_Curves/meltCurve_E9PN89_HSPA8.pdf", "Melting_Curves/meltCurve_E9PN89_HSPA8.pdf")</f>
        <v>Melting_Curves/meltCurve_E9PN89_HSPA8.pdf</v>
      </c>
    </row>
    <row r="619" spans="1:28" x14ac:dyDescent="0.25">
      <c r="A619" t="s">
        <v>623</v>
      </c>
      <c r="B619">
        <v>0.99542014353169495</v>
      </c>
      <c r="C619">
        <v>0.926659730832461</v>
      </c>
      <c r="D619">
        <v>1.02563426222376</v>
      </c>
      <c r="E619">
        <v>0.86923548737650602</v>
      </c>
      <c r="F619">
        <v>0.839008142770309</v>
      </c>
      <c r="G619">
        <v>0.46551695297377599</v>
      </c>
      <c r="H619">
        <v>0.42487599777622298</v>
      </c>
      <c r="I619">
        <v>0.29415588070954701</v>
      </c>
      <c r="J619">
        <v>0.34178968497400902</v>
      </c>
      <c r="K619">
        <v>0.525779084606387</v>
      </c>
      <c r="L619">
        <v>1806.0887013612401</v>
      </c>
      <c r="M619">
        <v>35.183689500169798</v>
      </c>
      <c r="N619">
        <v>53.621536949069203</v>
      </c>
      <c r="O619">
        <v>51.168138457995802</v>
      </c>
      <c r="P619">
        <v>-0.10510052824027299</v>
      </c>
      <c r="Q619">
        <v>0.38860534891054299</v>
      </c>
      <c r="R619">
        <v>0.93033933833705995</v>
      </c>
      <c r="S619" t="s">
        <v>7021</v>
      </c>
      <c r="T619" t="s">
        <v>12802</v>
      </c>
      <c r="U619" t="s">
        <v>12802</v>
      </c>
      <c r="V619" t="s">
        <v>12802</v>
      </c>
      <c r="W619" t="s">
        <v>13411</v>
      </c>
      <c r="X619">
        <v>4</v>
      </c>
      <c r="Y619" t="s">
        <v>19735</v>
      </c>
      <c r="Z619" t="s">
        <v>25937</v>
      </c>
      <c r="AA619">
        <v>0.68350937601832551</v>
      </c>
      <c r="AB619" t="str">
        <f>HYPERLINK("Melting_Curves/meltCurve_E9PND3_EBAG9.pdf", "Melting_Curves/meltCurve_E9PND3_EBAG9.pdf")</f>
        <v>Melting_Curves/meltCurve_E9PND3_EBAG9.pdf</v>
      </c>
    </row>
    <row r="620" spans="1:28" x14ac:dyDescent="0.25">
      <c r="A620" t="s">
        <v>624</v>
      </c>
      <c r="B620">
        <v>0.99542014353169495</v>
      </c>
      <c r="C620">
        <v>0.95863735998730804</v>
      </c>
      <c r="D620">
        <v>0.940749519166732</v>
      </c>
      <c r="E620">
        <v>0.85235062717065102</v>
      </c>
      <c r="F620">
        <v>0.64176566441629801</v>
      </c>
      <c r="G620">
        <v>0.46548469713122198</v>
      </c>
      <c r="H620">
        <v>0.34371808015152699</v>
      </c>
      <c r="I620">
        <v>0.30164443772625199</v>
      </c>
      <c r="J620">
        <v>0.51682091256097995</v>
      </c>
      <c r="K620">
        <v>0.65263761457623604</v>
      </c>
      <c r="L620">
        <v>1292.4850931544499</v>
      </c>
      <c r="M620">
        <v>26.651771181095</v>
      </c>
      <c r="N620">
        <v>53.120868397278102</v>
      </c>
      <c r="O620">
        <v>48.224702745094397</v>
      </c>
      <c r="P620">
        <v>-7.5866854491509095E-2</v>
      </c>
      <c r="Q620">
        <v>0.45090028623594902</v>
      </c>
      <c r="R620">
        <v>0.85740443663550403</v>
      </c>
      <c r="S620" t="s">
        <v>7022</v>
      </c>
      <c r="T620" t="s">
        <v>12802</v>
      </c>
      <c r="U620" t="s">
        <v>12802</v>
      </c>
      <c r="V620" t="s">
        <v>12802</v>
      </c>
      <c r="W620" t="s">
        <v>13412</v>
      </c>
      <c r="X620">
        <v>8</v>
      </c>
      <c r="Y620" t="s">
        <v>19736</v>
      </c>
      <c r="Z620" t="s">
        <v>25938</v>
      </c>
      <c r="AA620">
        <v>0.66545623222410411</v>
      </c>
      <c r="AB620" t="str">
        <f>HYPERLINK("Melting_Curves/meltCurve_E9PNK6_TPD52L1.pdf", "Melting_Curves/meltCurve_E9PNK6_TPD52L1.pdf")</f>
        <v>Melting_Curves/meltCurve_E9PNK6_TPD52L1.pdf</v>
      </c>
    </row>
    <row r="621" spans="1:28" x14ac:dyDescent="0.25">
      <c r="A621" t="s">
        <v>625</v>
      </c>
      <c r="B621">
        <v>0.99542014353169495</v>
      </c>
      <c r="C621">
        <v>0.86346764177140101</v>
      </c>
      <c r="D621">
        <v>1.0011110846806399</v>
      </c>
      <c r="E621">
        <v>1.0044682048112401</v>
      </c>
      <c r="F621">
        <v>0.76591521031459697</v>
      </c>
      <c r="G621">
        <v>0.66837345571572704</v>
      </c>
      <c r="H621">
        <v>0.41401056521026203</v>
      </c>
      <c r="I621">
        <v>0.29651891970355299</v>
      </c>
      <c r="J621">
        <v>0.18831751470720401</v>
      </c>
      <c r="K621">
        <v>0.19375401830475</v>
      </c>
      <c r="L621">
        <v>806.97304553604602</v>
      </c>
      <c r="M621">
        <v>14.6651481336348</v>
      </c>
      <c r="N621">
        <v>56.036466020891503</v>
      </c>
      <c r="O621">
        <v>54.033786401215401</v>
      </c>
      <c r="P621">
        <v>-5.9979044464331201E-2</v>
      </c>
      <c r="Q621">
        <v>0.11612560604088799</v>
      </c>
      <c r="R621">
        <v>0.97249871840878299</v>
      </c>
      <c r="S621" t="s">
        <v>7023</v>
      </c>
      <c r="T621" t="s">
        <v>12802</v>
      </c>
      <c r="U621" t="s">
        <v>12802</v>
      </c>
      <c r="V621" t="s">
        <v>12802</v>
      </c>
      <c r="W621" t="s">
        <v>13413</v>
      </c>
      <c r="X621">
        <v>1</v>
      </c>
      <c r="Y621" t="s">
        <v>19737</v>
      </c>
      <c r="Z621" t="s">
        <v>25939</v>
      </c>
      <c r="AA621">
        <v>0.65973866154262883</v>
      </c>
      <c r="AB621" t="str">
        <f>HYPERLINK("Melting_Curves/meltCurve_E9PNN3_PTS.pdf", "Melting_Curves/meltCurve_E9PNN3_PTS.pdf")</f>
        <v>Melting_Curves/meltCurve_E9PNN3_PTS.pdf</v>
      </c>
    </row>
    <row r="622" spans="1:28" x14ac:dyDescent="0.25">
      <c r="A622" t="s">
        <v>626</v>
      </c>
      <c r="B622">
        <v>0.99542014353169495</v>
      </c>
      <c r="C622">
        <v>0.99007611841724796</v>
      </c>
      <c r="D622">
        <v>0.94960008695651299</v>
      </c>
      <c r="E622">
        <v>0.87304916758858098</v>
      </c>
      <c r="F622">
        <v>0.63786615624218801</v>
      </c>
      <c r="G622">
        <v>0.47710565629219498</v>
      </c>
      <c r="H622">
        <v>0.22706825094018401</v>
      </c>
      <c r="I622">
        <v>0.17181239280094901</v>
      </c>
      <c r="J622">
        <v>0.18222901807012601</v>
      </c>
      <c r="K622">
        <v>0.21033879760076901</v>
      </c>
      <c r="L622">
        <v>863.352654079339</v>
      </c>
      <c r="M622">
        <v>16.811781619755401</v>
      </c>
      <c r="N622">
        <v>52.480283800791703</v>
      </c>
      <c r="O622">
        <v>50.643918311580997</v>
      </c>
      <c r="P622">
        <v>-7.0426833199252706E-2</v>
      </c>
      <c r="Q622">
        <v>0.151437647474153</v>
      </c>
      <c r="R622">
        <v>0.99206394305150303</v>
      </c>
      <c r="S622" t="s">
        <v>7024</v>
      </c>
      <c r="T622" t="s">
        <v>12802</v>
      </c>
      <c r="U622" t="s">
        <v>12802</v>
      </c>
      <c r="V622" t="s">
        <v>12802</v>
      </c>
      <c r="W622" t="s">
        <v>13414</v>
      </c>
      <c r="X622">
        <v>7</v>
      </c>
      <c r="Y622" t="s">
        <v>19738</v>
      </c>
      <c r="Z622" t="s">
        <v>25940</v>
      </c>
      <c r="AA622">
        <v>0.5718779385995636</v>
      </c>
      <c r="AB622" t="str">
        <f>HYPERLINK("Melting_Curves/meltCurve_E9PNP3_AAMDC.pdf", "Melting_Curves/meltCurve_E9PNP3_AAMDC.pdf")</f>
        <v>Melting_Curves/meltCurve_E9PNP3_AAMDC.pdf</v>
      </c>
    </row>
    <row r="623" spans="1:28" x14ac:dyDescent="0.25">
      <c r="A623" t="s">
        <v>627</v>
      </c>
      <c r="B623">
        <v>0.99542014353169495</v>
      </c>
      <c r="C623">
        <v>0.82880344461511402</v>
      </c>
      <c r="D623">
        <v>0.98759637464956795</v>
      </c>
      <c r="E623">
        <v>0.78044174833083202</v>
      </c>
      <c r="F623">
        <v>0.53167229561037599</v>
      </c>
      <c r="G623">
        <v>0.241791008311281</v>
      </c>
      <c r="H623">
        <v>0.11618950738609</v>
      </c>
      <c r="I623">
        <v>0</v>
      </c>
      <c r="J623">
        <v>8.9572245953532997E-2</v>
      </c>
      <c r="K623">
        <v>0.113499664598291</v>
      </c>
      <c r="L623">
        <v>927.68266833478799</v>
      </c>
      <c r="M623">
        <v>18.568507942651099</v>
      </c>
      <c r="N623">
        <v>50.234363447879701</v>
      </c>
      <c r="O623">
        <v>49.391361807898299</v>
      </c>
      <c r="P623">
        <v>-8.94584731303395E-2</v>
      </c>
      <c r="Q623">
        <v>4.82201056855577E-2</v>
      </c>
      <c r="R623">
        <v>0.972804547826007</v>
      </c>
      <c r="S623" t="s">
        <v>7025</v>
      </c>
      <c r="T623" t="s">
        <v>12802</v>
      </c>
      <c r="U623" t="s">
        <v>12802</v>
      </c>
      <c r="V623" t="s">
        <v>12802</v>
      </c>
      <c r="W623" t="s">
        <v>13415</v>
      </c>
      <c r="X623">
        <v>1</v>
      </c>
      <c r="Y623" t="s">
        <v>19739</v>
      </c>
      <c r="Z623" t="s">
        <v>25941</v>
      </c>
      <c r="AA623">
        <v>0.47363205103707601</v>
      </c>
      <c r="AB623" t="str">
        <f>HYPERLINK("Melting_Curves/meltCurve_E9PNT2_ARHGAP27.pdf", "Melting_Curves/meltCurve_E9PNT2_ARHGAP27.pdf")</f>
        <v>Melting_Curves/meltCurve_E9PNT2_ARHGAP27.pdf</v>
      </c>
    </row>
    <row r="624" spans="1:28" x14ac:dyDescent="0.25">
      <c r="A624" t="s">
        <v>628</v>
      </c>
      <c r="B624">
        <v>0.99542014353169495</v>
      </c>
      <c r="C624">
        <v>0.82127503965391102</v>
      </c>
      <c r="D624">
        <v>1.02595173705464</v>
      </c>
      <c r="E624">
        <v>0.87306869657233599</v>
      </c>
      <c r="F624">
        <v>0.64566151185005405</v>
      </c>
      <c r="G624">
        <v>0.39236306322356701</v>
      </c>
      <c r="H624">
        <v>0.33353647022863098</v>
      </c>
      <c r="I624">
        <v>0.36105246621216303</v>
      </c>
      <c r="J624">
        <v>0.58258362503801797</v>
      </c>
      <c r="K624">
        <v>0.86618131348142202</v>
      </c>
      <c r="L624">
        <v>1789.8264325439</v>
      </c>
      <c r="M624">
        <v>37.120933411297202</v>
      </c>
      <c r="O624">
        <v>48.076805281498601</v>
      </c>
      <c r="P624">
        <v>-9.4294628469520803E-2</v>
      </c>
      <c r="Q624">
        <v>0.511502393746746</v>
      </c>
      <c r="R624">
        <v>0.62016241202403799</v>
      </c>
      <c r="S624" t="s">
        <v>7026</v>
      </c>
      <c r="T624" t="s">
        <v>12802</v>
      </c>
      <c r="U624" t="s">
        <v>12802</v>
      </c>
      <c r="V624" t="s">
        <v>12802</v>
      </c>
      <c r="W624" t="s">
        <v>13416</v>
      </c>
      <c r="X624">
        <v>7</v>
      </c>
      <c r="Y624" t="s">
        <v>19740</v>
      </c>
      <c r="Z624" t="s">
        <v>25942</v>
      </c>
      <c r="AA624">
        <v>0.69602941130009388</v>
      </c>
      <c r="AB624" t="str">
        <f>HYPERLINK("Melting_Curves/meltCurve_E9PNW4_CD59.pdf", "Melting_Curves/meltCurve_E9PNW4_CD59.pdf")</f>
        <v>Melting_Curves/meltCurve_E9PNW4_CD59.pdf</v>
      </c>
    </row>
    <row r="625" spans="1:28" x14ac:dyDescent="0.25">
      <c r="A625" t="s">
        <v>629</v>
      </c>
      <c r="B625">
        <v>0.99542014353169495</v>
      </c>
      <c r="C625">
        <v>0.92371543618918694</v>
      </c>
      <c r="D625">
        <v>0.95326296833674395</v>
      </c>
      <c r="E625">
        <v>0.81007676107632798</v>
      </c>
      <c r="F625">
        <v>0.73860974263182899</v>
      </c>
      <c r="G625">
        <v>0.49712657571645502</v>
      </c>
      <c r="H625">
        <v>0.49166408660441702</v>
      </c>
      <c r="I625">
        <v>0.40303706013176399</v>
      </c>
      <c r="J625">
        <v>9.6523182438559105E-2</v>
      </c>
      <c r="K625">
        <v>9.0662496151464295E-2</v>
      </c>
      <c r="L625">
        <v>523.72540349278802</v>
      </c>
      <c r="M625">
        <v>9.4972339010042308</v>
      </c>
      <c r="N625">
        <v>55.145045715158197</v>
      </c>
      <c r="O625">
        <v>52.866163681914401</v>
      </c>
      <c r="P625">
        <v>-4.4938278958363997E-2</v>
      </c>
      <c r="Q625">
        <v>0</v>
      </c>
      <c r="R625">
        <v>0.95449068591304798</v>
      </c>
      <c r="S625" t="s">
        <v>7027</v>
      </c>
      <c r="T625" t="s">
        <v>12802</v>
      </c>
      <c r="U625" t="s">
        <v>12802</v>
      </c>
      <c r="V625" t="s">
        <v>12802</v>
      </c>
      <c r="W625" t="s">
        <v>13417</v>
      </c>
      <c r="X625">
        <v>5</v>
      </c>
      <c r="Y625" t="s">
        <v>19741</v>
      </c>
      <c r="Z625" t="s">
        <v>25943</v>
      </c>
      <c r="AA625">
        <v>0.61512823871976119</v>
      </c>
      <c r="AB625" t="str">
        <f>HYPERLINK("Melting_Curves/meltCurve_E9PPM8_DERA.pdf", "Melting_Curves/meltCurve_E9PPM8_DERA.pdf")</f>
        <v>Melting_Curves/meltCurve_E9PPM8_DERA.pdf</v>
      </c>
    </row>
    <row r="626" spans="1:28" x14ac:dyDescent="0.25">
      <c r="A626" t="s">
        <v>630</v>
      </c>
      <c r="B626">
        <v>0.99542014353169495</v>
      </c>
      <c r="C626">
        <v>0.90284087578919403</v>
      </c>
      <c r="D626">
        <v>1.0132038678645601</v>
      </c>
      <c r="E626">
        <v>0.762177287513357</v>
      </c>
      <c r="F626">
        <v>0.66174417132014196</v>
      </c>
      <c r="G626">
        <v>0.222602081688591</v>
      </c>
      <c r="H626">
        <v>0.1245960410128</v>
      </c>
      <c r="I626">
        <v>8.2995258859951196E-2</v>
      </c>
      <c r="J626">
        <v>6.4151630860906805E-2</v>
      </c>
      <c r="K626">
        <v>8.2030506688943197E-2</v>
      </c>
      <c r="L626">
        <v>975.82370669248303</v>
      </c>
      <c r="M626">
        <v>19.247940468163598</v>
      </c>
      <c r="N626">
        <v>50.956346317496902</v>
      </c>
      <c r="O626">
        <v>50.159868117691701</v>
      </c>
      <c r="P626">
        <v>-9.1469624319655302E-2</v>
      </c>
      <c r="Q626">
        <v>4.6562168704685401E-2</v>
      </c>
      <c r="R626">
        <v>0.97928587696510905</v>
      </c>
      <c r="S626" t="s">
        <v>7028</v>
      </c>
      <c r="T626" t="s">
        <v>12802</v>
      </c>
      <c r="U626" t="s">
        <v>12802</v>
      </c>
      <c r="V626" t="s">
        <v>12802</v>
      </c>
      <c r="W626" t="s">
        <v>13418</v>
      </c>
      <c r="X626">
        <v>3</v>
      </c>
      <c r="Y626" t="s">
        <v>19742</v>
      </c>
      <c r="Z626" t="s">
        <v>25944</v>
      </c>
      <c r="AA626">
        <v>0.495230766432467</v>
      </c>
      <c r="AB626" t="str">
        <f>HYPERLINK("Melting_Curves/meltCurve_E9PPZ9_GPAA1.pdf", "Melting_Curves/meltCurve_E9PPZ9_GPAA1.pdf")</f>
        <v>Melting_Curves/meltCurve_E9PPZ9_GPAA1.pdf</v>
      </c>
    </row>
    <row r="627" spans="1:28" x14ac:dyDescent="0.25">
      <c r="A627" t="s">
        <v>631</v>
      </c>
      <c r="B627">
        <v>0.99542014353169495</v>
      </c>
      <c r="C627">
        <v>1.0227021420026501</v>
      </c>
      <c r="D627">
        <v>1.1793705769360401</v>
      </c>
      <c r="E627">
        <v>0.77785630344312295</v>
      </c>
      <c r="F627">
        <v>0.96364602723550996</v>
      </c>
      <c r="G627">
        <v>0.55358577790621</v>
      </c>
      <c r="H627">
        <v>0.63112631238567196</v>
      </c>
      <c r="I627">
        <v>0.54865698660289797</v>
      </c>
      <c r="J627">
        <v>0.75199607911168598</v>
      </c>
      <c r="K627">
        <v>1.0638785895940901</v>
      </c>
      <c r="L627">
        <v>1298.6037424711701</v>
      </c>
      <c r="M627">
        <v>27.2549562694253</v>
      </c>
      <c r="O627">
        <v>47.3922360674717</v>
      </c>
      <c r="P627">
        <v>-3.8764204056640703E-2</v>
      </c>
      <c r="Q627">
        <v>0.73038231847462598</v>
      </c>
      <c r="R627">
        <v>0.39746762982801898</v>
      </c>
      <c r="S627" t="s">
        <v>7029</v>
      </c>
      <c r="T627" t="s">
        <v>12802</v>
      </c>
      <c r="U627" t="s">
        <v>12802</v>
      </c>
      <c r="V627" t="s">
        <v>12802</v>
      </c>
      <c r="W627" t="s">
        <v>13419</v>
      </c>
      <c r="X627">
        <v>2</v>
      </c>
      <c r="Y627" t="s">
        <v>19743</v>
      </c>
      <c r="Z627" t="s">
        <v>25945</v>
      </c>
      <c r="AA627">
        <v>0.82798887938948407</v>
      </c>
      <c r="AB627" t="str">
        <f>HYPERLINK("Melting_Curves/meltCurve_E9PQ59_NFRKB.pdf", "Melting_Curves/meltCurve_E9PQ59_NFRKB.pdf")</f>
        <v>Melting_Curves/meltCurve_E9PQ59_NFRKB.pdf</v>
      </c>
    </row>
    <row r="628" spans="1:28" x14ac:dyDescent="0.25">
      <c r="A628" t="s">
        <v>632</v>
      </c>
      <c r="B628">
        <v>0.99542014353169495</v>
      </c>
      <c r="C628">
        <v>0.94128358723141203</v>
      </c>
      <c r="D628">
        <v>0.90901151254910295</v>
      </c>
      <c r="E628">
        <v>0.79131418402188802</v>
      </c>
      <c r="F628">
        <v>0.68094744112386496</v>
      </c>
      <c r="G628">
        <v>0.460779231116907</v>
      </c>
      <c r="H628">
        <v>0.36622908615037603</v>
      </c>
      <c r="I628">
        <v>0.26669233593854202</v>
      </c>
      <c r="J628">
        <v>0.21742859077474</v>
      </c>
      <c r="K628">
        <v>0.19911448080982799</v>
      </c>
      <c r="L628">
        <v>536.00126920065895</v>
      </c>
      <c r="M628">
        <v>10.254007947469599</v>
      </c>
      <c r="N628">
        <v>53.495672493904898</v>
      </c>
      <c r="O628">
        <v>50.401338139940499</v>
      </c>
      <c r="P628">
        <v>-4.5566366304107903E-2</v>
      </c>
      <c r="Q628">
        <v>0.10450988179282</v>
      </c>
      <c r="R628">
        <v>0.99686937523833496</v>
      </c>
      <c r="S628" t="s">
        <v>7030</v>
      </c>
      <c r="T628" t="s">
        <v>12802</v>
      </c>
      <c r="U628" t="s">
        <v>12802</v>
      </c>
      <c r="V628" t="s">
        <v>12802</v>
      </c>
      <c r="W628" t="s">
        <v>13420</v>
      </c>
      <c r="X628">
        <v>4</v>
      </c>
      <c r="Y628" t="s">
        <v>19744</v>
      </c>
      <c r="Z628" t="s">
        <v>25946</v>
      </c>
      <c r="AA628">
        <v>0.58302114038919228</v>
      </c>
      <c r="AB628" t="str">
        <f>HYPERLINK("Melting_Curves/meltCurve_E9PQY3_ACP2.pdf", "Melting_Curves/meltCurve_E9PQY3_ACP2.pdf")</f>
        <v>Melting_Curves/meltCurve_E9PQY3_ACP2.pdf</v>
      </c>
    </row>
    <row r="629" spans="1:28" x14ac:dyDescent="0.25">
      <c r="A629" t="s">
        <v>633</v>
      </c>
      <c r="B629">
        <v>0.99542014353169495</v>
      </c>
      <c r="C629">
        <v>1.1435594803423501</v>
      </c>
      <c r="D629">
        <v>0.994891633242318</v>
      </c>
      <c r="E629">
        <v>0.91143943958960605</v>
      </c>
      <c r="F629">
        <v>0.76423043202318997</v>
      </c>
      <c r="G629">
        <v>0.496531122393854</v>
      </c>
      <c r="H629">
        <v>0.37421292191801703</v>
      </c>
      <c r="I629">
        <v>0.286237074792214</v>
      </c>
      <c r="J629">
        <v>0.38465183180159801</v>
      </c>
      <c r="K629">
        <v>0.48476332434979202</v>
      </c>
      <c r="L629">
        <v>1413.5587229120899</v>
      </c>
      <c r="M629">
        <v>27.768924861162201</v>
      </c>
      <c r="N629">
        <v>53.600453205826803</v>
      </c>
      <c r="O629">
        <v>50.642542053103398</v>
      </c>
      <c r="P629">
        <v>-8.5499014571036397E-2</v>
      </c>
      <c r="Q629">
        <v>0.37630296322249501</v>
      </c>
      <c r="R629">
        <v>0.94937498223942596</v>
      </c>
      <c r="S629" t="s">
        <v>7031</v>
      </c>
      <c r="T629" t="s">
        <v>12802</v>
      </c>
      <c r="U629" t="s">
        <v>12802</v>
      </c>
      <c r="V629" t="s">
        <v>12802</v>
      </c>
      <c r="W629" t="s">
        <v>13421</v>
      </c>
      <c r="X629">
        <v>2</v>
      </c>
      <c r="Y629" t="s">
        <v>19745</v>
      </c>
      <c r="Z629" t="s">
        <v>25947</v>
      </c>
      <c r="AA629">
        <v>0.66987994231349268</v>
      </c>
      <c r="AB629" t="str">
        <f>HYPERLINK("Melting_Curves/meltCurve_E9PR30_FAU.pdf", "Melting_Curves/meltCurve_E9PR30_FAU.pdf")</f>
        <v>Melting_Curves/meltCurve_E9PR30_FAU.pdf</v>
      </c>
    </row>
    <row r="630" spans="1:28" x14ac:dyDescent="0.25">
      <c r="A630" t="s">
        <v>634</v>
      </c>
      <c r="B630">
        <v>0.99542014353169495</v>
      </c>
      <c r="C630">
        <v>1.2978994897846201</v>
      </c>
      <c r="D630">
        <v>1.12281100084698</v>
      </c>
      <c r="E630">
        <v>0.65751075318944896</v>
      </c>
      <c r="F630">
        <v>0.32548038482484998</v>
      </c>
      <c r="G630">
        <v>0.202541005477824</v>
      </c>
      <c r="H630">
        <v>0.16274982260965501</v>
      </c>
      <c r="I630">
        <v>0.110967600784056</v>
      </c>
      <c r="J630">
        <v>0.15742069919678001</v>
      </c>
      <c r="K630">
        <v>0.214300901006161</v>
      </c>
      <c r="L630">
        <v>1647.0823893691399</v>
      </c>
      <c r="M630">
        <v>34.774117057664498</v>
      </c>
      <c r="N630">
        <v>47.951385328100002</v>
      </c>
      <c r="O630">
        <v>47.209370349059398</v>
      </c>
      <c r="P630">
        <v>-0.15226273354727499</v>
      </c>
      <c r="Q630">
        <v>0.17315506608122599</v>
      </c>
      <c r="R630">
        <v>0.934982573052352</v>
      </c>
      <c r="S630" t="s">
        <v>7032</v>
      </c>
      <c r="T630" t="s">
        <v>12802</v>
      </c>
      <c r="U630" t="s">
        <v>12802</v>
      </c>
      <c r="V630" t="s">
        <v>12802</v>
      </c>
      <c r="W630" t="s">
        <v>13422</v>
      </c>
      <c r="X630">
        <v>3</v>
      </c>
      <c r="Y630" t="s">
        <v>19746</v>
      </c>
      <c r="Z630" t="s">
        <v>25948</v>
      </c>
      <c r="AA630">
        <v>0.46242653935271649</v>
      </c>
      <c r="AB630" t="str">
        <f>HYPERLINK("Melting_Curves/meltCurve_E9PR76_MAF1.pdf", "Melting_Curves/meltCurve_E9PR76_MAF1.pdf")</f>
        <v>Melting_Curves/meltCurve_E9PR76_MAF1.pdf</v>
      </c>
    </row>
    <row r="631" spans="1:28" x14ac:dyDescent="0.25">
      <c r="A631" t="s">
        <v>635</v>
      </c>
      <c r="B631">
        <v>0.99542014353169495</v>
      </c>
      <c r="C631">
        <v>1.1393046325899401</v>
      </c>
      <c r="D631">
        <v>1.26911738072063</v>
      </c>
      <c r="E631">
        <v>1.3868856840566499</v>
      </c>
      <c r="F631">
        <v>1.37236929039888</v>
      </c>
      <c r="G631">
        <v>1.0836922807217599</v>
      </c>
      <c r="H631">
        <v>0.65219269124483403</v>
      </c>
      <c r="I631">
        <v>0.38190933431371599</v>
      </c>
      <c r="J631">
        <v>0.36236732503712399</v>
      </c>
      <c r="K631">
        <v>0.365912071336635</v>
      </c>
      <c r="L631">
        <v>14337.9872758077</v>
      </c>
      <c r="M631">
        <v>250</v>
      </c>
      <c r="N631">
        <v>57.662782118605698</v>
      </c>
      <c r="O631">
        <v>57.348272958913597</v>
      </c>
      <c r="P631">
        <v>-0.68652579937258995</v>
      </c>
      <c r="Q631">
        <v>0.370062831751857</v>
      </c>
      <c r="R631">
        <v>0.75796905598320297</v>
      </c>
      <c r="S631" t="s">
        <v>7033</v>
      </c>
      <c r="T631" t="s">
        <v>12802</v>
      </c>
      <c r="U631" t="s">
        <v>12802</v>
      </c>
      <c r="V631" t="s">
        <v>12802</v>
      </c>
      <c r="W631" t="s">
        <v>13423</v>
      </c>
      <c r="X631">
        <v>4</v>
      </c>
      <c r="Y631" t="s">
        <v>19747</v>
      </c>
      <c r="Z631" t="s">
        <v>25949</v>
      </c>
      <c r="AA631">
        <v>0.79747454226190539</v>
      </c>
      <c r="AB631" t="str">
        <f>HYPERLINK("Melting_Curves/meltCurve_E9PRA1_TATDN3.pdf", "Melting_Curves/meltCurve_E9PRA1_TATDN3.pdf")</f>
        <v>Melting_Curves/meltCurve_E9PRA1_TATDN3.pdf</v>
      </c>
    </row>
    <row r="632" spans="1:28" x14ac:dyDescent="0.25">
      <c r="A632" t="s">
        <v>636</v>
      </c>
      <c r="B632">
        <v>0.99542014353169495</v>
      </c>
      <c r="C632">
        <v>0.98694609918566301</v>
      </c>
      <c r="D632">
        <v>0.98923223788216796</v>
      </c>
      <c r="E632">
        <v>0.97073929009985604</v>
      </c>
      <c r="F632">
        <v>0.775850222124567</v>
      </c>
      <c r="G632">
        <v>0.50137426644492999</v>
      </c>
      <c r="H632">
        <v>0.30466474871189497</v>
      </c>
      <c r="I632">
        <v>0.19110605621820101</v>
      </c>
      <c r="J632">
        <v>0.22973663123745</v>
      </c>
      <c r="K632">
        <v>0.22409022759814801</v>
      </c>
      <c r="L632">
        <v>1198.4339852267401</v>
      </c>
      <c r="M632">
        <v>22.848179146211798</v>
      </c>
      <c r="N632">
        <v>53.6676183374339</v>
      </c>
      <c r="O632">
        <v>52.0552149998747</v>
      </c>
      <c r="P632">
        <v>-8.7566962369255097E-2</v>
      </c>
      <c r="Q632">
        <v>0.20199692103540601</v>
      </c>
      <c r="R632">
        <v>0.99741639753372202</v>
      </c>
      <c r="S632" t="s">
        <v>7034</v>
      </c>
      <c r="T632" t="s">
        <v>12802</v>
      </c>
      <c r="U632" t="s">
        <v>12802</v>
      </c>
      <c r="V632" t="s">
        <v>12802</v>
      </c>
      <c r="W632" t="s">
        <v>13424</v>
      </c>
      <c r="X632">
        <v>6</v>
      </c>
      <c r="Y632" t="s">
        <v>19748</v>
      </c>
      <c r="Z632" t="s">
        <v>25950</v>
      </c>
      <c r="AA632">
        <v>0.6212757119133433</v>
      </c>
      <c r="AB632" t="str">
        <f>HYPERLINK("Melting_Curves/meltCurve_E9PRR8_EIF1AD.pdf", "Melting_Curves/meltCurve_E9PRR8_EIF1AD.pdf")</f>
        <v>Melting_Curves/meltCurve_E9PRR8_EIF1AD.pdf</v>
      </c>
    </row>
    <row r="633" spans="1:28" x14ac:dyDescent="0.25">
      <c r="A633" t="s">
        <v>637</v>
      </c>
      <c r="B633">
        <v>0.99542014353169495</v>
      </c>
      <c r="C633">
        <v>0.79690720394224202</v>
      </c>
      <c r="D633">
        <v>0.84161639985230696</v>
      </c>
      <c r="E633">
        <v>0.59194448132385402</v>
      </c>
      <c r="F633">
        <v>0.24404588594776699</v>
      </c>
      <c r="G633">
        <v>7.4085949264210693E-2</v>
      </c>
      <c r="H633">
        <v>4.5587421013368601E-2</v>
      </c>
      <c r="I633">
        <v>3.5693278332488997E-2</v>
      </c>
      <c r="J633">
        <v>4.43305381506163E-2</v>
      </c>
      <c r="K633">
        <v>5.1144849809062198E-2</v>
      </c>
      <c r="L633">
        <v>761.61695326099004</v>
      </c>
      <c r="M633">
        <v>16.218510260149198</v>
      </c>
      <c r="N633">
        <v>47.026146355500302</v>
      </c>
      <c r="O633">
        <v>46.263214159309101</v>
      </c>
      <c r="P633">
        <v>-8.66568515512562E-2</v>
      </c>
      <c r="Q633">
        <v>1.1320688278543999E-2</v>
      </c>
      <c r="R633">
        <v>0.97757489037070899</v>
      </c>
      <c r="S633" t="s">
        <v>7035</v>
      </c>
      <c r="T633" t="s">
        <v>12802</v>
      </c>
      <c r="U633" t="s">
        <v>12802</v>
      </c>
      <c r="V633" t="s">
        <v>12802</v>
      </c>
      <c r="W633" t="s">
        <v>13425</v>
      </c>
      <c r="X633">
        <v>17</v>
      </c>
      <c r="Y633" t="s">
        <v>19749</v>
      </c>
      <c r="Z633" t="s">
        <v>25951</v>
      </c>
      <c r="AA633">
        <v>0.35887241878757459</v>
      </c>
      <c r="AB633" t="str">
        <f>HYPERLINK("Melting_Curves/meltCurve_E9PRY8_EEF1D.pdf", "Melting_Curves/meltCurve_E9PRY8_EEF1D.pdf")</f>
        <v>Melting_Curves/meltCurve_E9PRY8_EEF1D.pdf</v>
      </c>
    </row>
    <row r="634" spans="1:28" x14ac:dyDescent="0.25">
      <c r="A634" t="s">
        <v>638</v>
      </c>
      <c r="B634">
        <v>0.99542014353169495</v>
      </c>
      <c r="C634">
        <v>1.0734241928086301</v>
      </c>
      <c r="D634">
        <v>0.778390947070282</v>
      </c>
      <c r="E634">
        <v>0.656605745047942</v>
      </c>
      <c r="F634">
        <v>0.50335115695566102</v>
      </c>
      <c r="G634">
        <v>0.35008572235878899</v>
      </c>
      <c r="H634">
        <v>0.213650002946673</v>
      </c>
      <c r="I634">
        <v>9.7301372523077495E-2</v>
      </c>
      <c r="J634">
        <v>0.101742483925328</v>
      </c>
      <c r="K634">
        <v>0.10580655895619299</v>
      </c>
      <c r="L634">
        <v>557.13707321396396</v>
      </c>
      <c r="M634">
        <v>11.2316428908867</v>
      </c>
      <c r="N634">
        <v>49.933291823806897</v>
      </c>
      <c r="O634">
        <v>48.109739069545</v>
      </c>
      <c r="P634">
        <v>-5.6300285297333101E-2</v>
      </c>
      <c r="Q634">
        <v>3.5671268607234803E-2</v>
      </c>
      <c r="R634">
        <v>0.97770495784609401</v>
      </c>
      <c r="S634" t="s">
        <v>7036</v>
      </c>
      <c r="T634" t="s">
        <v>12802</v>
      </c>
      <c r="U634" t="s">
        <v>12802</v>
      </c>
      <c r="V634" t="s">
        <v>12802</v>
      </c>
      <c r="W634" t="s">
        <v>13426</v>
      </c>
      <c r="X634">
        <v>6</v>
      </c>
      <c r="Y634" t="s">
        <v>19750</v>
      </c>
      <c r="Z634" t="s">
        <v>25952</v>
      </c>
      <c r="AA634">
        <v>0.47077345429859302</v>
      </c>
      <c r="AB634" t="str">
        <f>HYPERLINK("Melting_Curves/meltCurve_E9PS00_FADS3.pdf", "Melting_Curves/meltCurve_E9PS00_FADS3.pdf")</f>
        <v>Melting_Curves/meltCurve_E9PS00_FADS3.pdf</v>
      </c>
    </row>
    <row r="635" spans="1:28" x14ac:dyDescent="0.25">
      <c r="A635" t="s">
        <v>639</v>
      </c>
      <c r="B635">
        <v>0.99542014353169495</v>
      </c>
      <c r="C635">
        <v>0.96600253334251596</v>
      </c>
      <c r="D635">
        <v>0.95097598528827099</v>
      </c>
      <c r="E635">
        <v>0.80926813971599698</v>
      </c>
      <c r="F635">
        <v>0.53547531650903801</v>
      </c>
      <c r="G635">
        <v>0.13509977691689901</v>
      </c>
      <c r="H635">
        <v>8.5083085728882193E-2</v>
      </c>
      <c r="I635">
        <v>6.0662966202174401E-2</v>
      </c>
      <c r="J635">
        <v>5.7856207747663299E-2</v>
      </c>
      <c r="K635">
        <v>5.8738737698095699E-2</v>
      </c>
      <c r="L635">
        <v>1151.68546919605</v>
      </c>
      <c r="M635">
        <v>23.093715676734199</v>
      </c>
      <c r="N635">
        <v>50.061569982156399</v>
      </c>
      <c r="O635">
        <v>49.500656459290397</v>
      </c>
      <c r="P635">
        <v>-0.111705001054534</v>
      </c>
      <c r="Q635">
        <v>4.2272980344820903E-2</v>
      </c>
      <c r="R635">
        <v>0.99463480284016204</v>
      </c>
      <c r="S635" t="s">
        <v>7037</v>
      </c>
      <c r="T635" t="s">
        <v>12802</v>
      </c>
      <c r="U635" t="s">
        <v>12802</v>
      </c>
      <c r="V635" t="s">
        <v>12802</v>
      </c>
      <c r="W635" t="s">
        <v>13427</v>
      </c>
      <c r="X635">
        <v>13</v>
      </c>
      <c r="Y635" t="s">
        <v>19751</v>
      </c>
      <c r="Z635" t="s">
        <v>25953</v>
      </c>
      <c r="AA635">
        <v>0.46285659618709679</v>
      </c>
      <c r="AB635" t="str">
        <f>HYPERLINK("Melting_Curves/meltCurve_E9PS17_SCYL1.pdf", "Melting_Curves/meltCurve_E9PS17_SCYL1.pdf")</f>
        <v>Melting_Curves/meltCurve_E9PS17_SCYL1.pdf</v>
      </c>
    </row>
    <row r="636" spans="1:28" x14ac:dyDescent="0.25">
      <c r="A636" t="s">
        <v>640</v>
      </c>
      <c r="B636">
        <v>0.99542014353169495</v>
      </c>
      <c r="C636">
        <v>1.0643674194615</v>
      </c>
      <c r="D636">
        <v>1.04595121045133</v>
      </c>
      <c r="E636">
        <v>0.93015095616980303</v>
      </c>
      <c r="F636">
        <v>0.85766722761663206</v>
      </c>
      <c r="G636">
        <v>0.76776804598603299</v>
      </c>
      <c r="H636">
        <v>0.44955009366668702</v>
      </c>
      <c r="I636">
        <v>0.26520865402506899</v>
      </c>
      <c r="J636">
        <v>0.34771470603499299</v>
      </c>
      <c r="K636">
        <v>0.42164046121785198</v>
      </c>
      <c r="L636">
        <v>1453.6415226047</v>
      </c>
      <c r="M636">
        <v>26.742460693183599</v>
      </c>
      <c r="N636">
        <v>56.6638997546846</v>
      </c>
      <c r="O636">
        <v>54.055835495690602</v>
      </c>
      <c r="P636">
        <v>-8.2659183449680304E-2</v>
      </c>
      <c r="Q636">
        <v>0.33167477601863299</v>
      </c>
      <c r="R636">
        <v>0.95776084027821395</v>
      </c>
      <c r="S636" t="s">
        <v>7038</v>
      </c>
      <c r="T636" t="s">
        <v>12802</v>
      </c>
      <c r="U636" t="s">
        <v>12802</v>
      </c>
      <c r="V636" t="s">
        <v>12802</v>
      </c>
      <c r="W636" t="s">
        <v>13428</v>
      </c>
      <c r="X636">
        <v>6</v>
      </c>
      <c r="Y636" t="s">
        <v>19720</v>
      </c>
      <c r="Z636" t="s">
        <v>25954</v>
      </c>
      <c r="AA636">
        <v>0.72354128658966987</v>
      </c>
      <c r="AB636" t="str">
        <f>HYPERLINK("Melting_Curves/meltCurve_E9PS38_NEDD8_MDP1.pdf", "Melting_Curves/meltCurve_E9PS38_NEDD8_MDP1.pdf")</f>
        <v>Melting_Curves/meltCurve_E9PS38_NEDD8_MDP1.pdf</v>
      </c>
    </row>
    <row r="637" spans="1:28" x14ac:dyDescent="0.25">
      <c r="A637" t="s">
        <v>641</v>
      </c>
      <c r="B637">
        <v>0.99542014353169495</v>
      </c>
      <c r="C637">
        <v>1.02935197603478</v>
      </c>
      <c r="D637">
        <v>0.94699010079550305</v>
      </c>
      <c r="E637">
        <v>0.86460459040057902</v>
      </c>
      <c r="F637">
        <v>0.73247767898803395</v>
      </c>
      <c r="G637">
        <v>0.62982495165282204</v>
      </c>
      <c r="H637">
        <v>0.464770499126475</v>
      </c>
      <c r="I637">
        <v>0.40296196610192803</v>
      </c>
      <c r="J637">
        <v>0.66395372929590202</v>
      </c>
      <c r="K637">
        <v>0.88126026936180102</v>
      </c>
      <c r="L637">
        <v>1225.86476939413</v>
      </c>
      <c r="M637">
        <v>25.576509447786002</v>
      </c>
      <c r="O637">
        <v>47.639200710330698</v>
      </c>
      <c r="P637">
        <v>-5.2760512871695898E-2</v>
      </c>
      <c r="Q637">
        <v>0.60691465887796403</v>
      </c>
      <c r="R637">
        <v>0.66152951231278601</v>
      </c>
      <c r="S637" t="s">
        <v>7039</v>
      </c>
      <c r="T637" t="s">
        <v>12802</v>
      </c>
      <c r="U637" t="s">
        <v>12802</v>
      </c>
      <c r="V637" t="s">
        <v>12802</v>
      </c>
      <c r="W637" t="s">
        <v>13429</v>
      </c>
      <c r="X637">
        <v>11</v>
      </c>
      <c r="Y637" t="s">
        <v>19752</v>
      </c>
      <c r="Z637" t="s">
        <v>25955</v>
      </c>
      <c r="AA637">
        <v>0.75331824962415828</v>
      </c>
      <c r="AB637" t="str">
        <f>HYPERLINK("Melting_Curves/meltCurve_E9PSI1_TM9SF1.pdf", "Melting_Curves/meltCurve_E9PSI1_TM9SF1.pdf")</f>
        <v>Melting_Curves/meltCurve_E9PSI1_TM9SF1.pdf</v>
      </c>
    </row>
    <row r="638" spans="1:28" x14ac:dyDescent="0.25">
      <c r="A638" t="s">
        <v>642</v>
      </c>
      <c r="B638">
        <v>0.99542014353169495</v>
      </c>
      <c r="C638">
        <v>1.2126120656300601</v>
      </c>
      <c r="D638">
        <v>1.099925819956</v>
      </c>
      <c r="E638">
        <v>1.04448618484385</v>
      </c>
      <c r="F638">
        <v>0.80947769870227804</v>
      </c>
      <c r="G638">
        <v>0.43684977039869399</v>
      </c>
      <c r="H638">
        <v>0.15291008637464101</v>
      </c>
      <c r="I638">
        <v>8.3105645599298006E-2</v>
      </c>
      <c r="J638">
        <v>9.6662693537187205E-2</v>
      </c>
      <c r="K638">
        <v>8.4339994080679298E-2</v>
      </c>
      <c r="L638">
        <v>1543.8144368196199</v>
      </c>
      <c r="M638">
        <v>29.2182323515751</v>
      </c>
      <c r="N638">
        <v>53.1505231968777</v>
      </c>
      <c r="O638">
        <v>52.591723347142903</v>
      </c>
      <c r="P638">
        <v>-0.12790979168248501</v>
      </c>
      <c r="Q638">
        <v>7.9075486921120805E-2</v>
      </c>
      <c r="R638">
        <v>0.97014497073810901</v>
      </c>
      <c r="S638" t="s">
        <v>7040</v>
      </c>
      <c r="T638" t="s">
        <v>12802</v>
      </c>
      <c r="U638" t="s">
        <v>12802</v>
      </c>
      <c r="V638" t="s">
        <v>12802</v>
      </c>
      <c r="W638" t="s">
        <v>13430</v>
      </c>
      <c r="X638">
        <v>6</v>
      </c>
      <c r="Y638" t="s">
        <v>19753</v>
      </c>
      <c r="Z638" t="s">
        <v>25956</v>
      </c>
      <c r="AA638">
        <v>0.57139453301601884</v>
      </c>
      <c r="AB638" t="str">
        <f>HYPERLINK("Melting_Curves/meltCurve_F2Z2I2_PFKFB3.pdf", "Melting_Curves/meltCurve_F2Z2I2_PFKFB3.pdf")</f>
        <v>Melting_Curves/meltCurve_F2Z2I2_PFKFB3.pdf</v>
      </c>
    </row>
    <row r="639" spans="1:28" x14ac:dyDescent="0.25">
      <c r="A639" t="s">
        <v>643</v>
      </c>
      <c r="B639">
        <v>0.99542014353169495</v>
      </c>
      <c r="C639">
        <v>0.98576884840443402</v>
      </c>
      <c r="D639">
        <v>1.0093343525234499</v>
      </c>
      <c r="E639">
        <v>0.80807952184687404</v>
      </c>
      <c r="F639">
        <v>0.56891794183612399</v>
      </c>
      <c r="G639">
        <v>0.41799667065387303</v>
      </c>
      <c r="H639">
        <v>0.18567665524666299</v>
      </c>
      <c r="I639">
        <v>9.7649628154555704E-2</v>
      </c>
      <c r="J639">
        <v>0.107062412068185</v>
      </c>
      <c r="K639">
        <v>3.8212272409667597E-2</v>
      </c>
      <c r="L639">
        <v>739.92860074379598</v>
      </c>
      <c r="M639">
        <v>14.347434760238199</v>
      </c>
      <c r="N639">
        <v>51.716248394649703</v>
      </c>
      <c r="O639">
        <v>50.6013420045226</v>
      </c>
      <c r="P639">
        <v>-6.9504452765050004E-2</v>
      </c>
      <c r="Q639">
        <v>1.95889931049072E-2</v>
      </c>
      <c r="R639">
        <v>0.99326510632026899</v>
      </c>
      <c r="S639" t="s">
        <v>7041</v>
      </c>
      <c r="T639" t="s">
        <v>12802</v>
      </c>
      <c r="U639" t="s">
        <v>12802</v>
      </c>
      <c r="V639" t="s">
        <v>12802</v>
      </c>
      <c r="W639" t="s">
        <v>13431</v>
      </c>
      <c r="X639">
        <v>4</v>
      </c>
      <c r="Y639" t="s">
        <v>19754</v>
      </c>
      <c r="Z639" t="s">
        <v>25957</v>
      </c>
      <c r="AA639">
        <v>0.51606601970845078</v>
      </c>
      <c r="AB639" t="str">
        <f>HYPERLINK("Melting_Curves/meltCurve_F2Z2Q4_TRMT11.pdf", "Melting_Curves/meltCurve_F2Z2Q4_TRMT11.pdf")</f>
        <v>Melting_Curves/meltCurve_F2Z2Q4_TRMT11.pdf</v>
      </c>
    </row>
    <row r="640" spans="1:28" x14ac:dyDescent="0.25">
      <c r="A640" t="s">
        <v>644</v>
      </c>
      <c r="B640">
        <v>0.99542014353169495</v>
      </c>
      <c r="C640">
        <v>0.98871633590960095</v>
      </c>
      <c r="D640">
        <v>0.90833339908487798</v>
      </c>
      <c r="E640">
        <v>0.81245697857063803</v>
      </c>
      <c r="F640">
        <v>0.66316050673863403</v>
      </c>
      <c r="G640">
        <v>0.36767396735434599</v>
      </c>
      <c r="H640">
        <v>0.17651578701226001</v>
      </c>
      <c r="I640">
        <v>0.12470822744030299</v>
      </c>
      <c r="J640">
        <v>0.13145453148993699</v>
      </c>
      <c r="K640">
        <v>0.12906965155790001</v>
      </c>
      <c r="L640">
        <v>815.38399675762798</v>
      </c>
      <c r="M640">
        <v>15.928172985043499</v>
      </c>
      <c r="N640">
        <v>51.755603063673099</v>
      </c>
      <c r="O640">
        <v>50.404799085218997</v>
      </c>
      <c r="P640">
        <v>-7.2710017863641202E-2</v>
      </c>
      <c r="Q640">
        <v>7.9708314453801707E-2</v>
      </c>
      <c r="R640">
        <v>0.99288511640111798</v>
      </c>
      <c r="S640" t="s">
        <v>7042</v>
      </c>
      <c r="T640" t="s">
        <v>12802</v>
      </c>
      <c r="U640" t="s">
        <v>12802</v>
      </c>
      <c r="V640" t="s">
        <v>12802</v>
      </c>
      <c r="W640" t="s">
        <v>13432</v>
      </c>
      <c r="X640">
        <v>15</v>
      </c>
      <c r="Y640" t="s">
        <v>19755</v>
      </c>
      <c r="Z640" t="s">
        <v>25958</v>
      </c>
      <c r="AA640">
        <v>0.53201289098738591</v>
      </c>
      <c r="AB640" t="str">
        <f>HYPERLINK("Melting_Curves/meltCurve_F2Z2U8_MYH14.pdf", "Melting_Curves/meltCurve_F2Z2U8_MYH14.pdf")</f>
        <v>Melting_Curves/meltCurve_F2Z2U8_MYH14.pdf</v>
      </c>
    </row>
    <row r="641" spans="1:28" x14ac:dyDescent="0.25">
      <c r="A641" t="s">
        <v>645</v>
      </c>
      <c r="B641">
        <v>0.99542014353169495</v>
      </c>
      <c r="C641">
        <v>0.98002708891137902</v>
      </c>
      <c r="D641">
        <v>0.84516506875044894</v>
      </c>
      <c r="E641">
        <v>0.80422850623109698</v>
      </c>
      <c r="F641">
        <v>0.51985288457710899</v>
      </c>
      <c r="G641">
        <v>0.20694415157306101</v>
      </c>
      <c r="H641">
        <v>5.2587245743167699E-2</v>
      </c>
      <c r="I641">
        <v>3.8171990248983899E-2</v>
      </c>
      <c r="J641">
        <v>4.0634072609216802E-2</v>
      </c>
      <c r="K641">
        <v>4.5329807406114198E-2</v>
      </c>
      <c r="L641">
        <v>875.61441385415003</v>
      </c>
      <c r="M641">
        <v>17.5110836033687</v>
      </c>
      <c r="N641">
        <v>50.023616622998901</v>
      </c>
      <c r="O641">
        <v>49.364994218139699</v>
      </c>
      <c r="P641">
        <v>-8.8374466723462705E-2</v>
      </c>
      <c r="Q641">
        <v>3.5190660359556399E-3</v>
      </c>
      <c r="R641">
        <v>0.99016390342451499</v>
      </c>
      <c r="S641" t="s">
        <v>7043</v>
      </c>
      <c r="T641" t="s">
        <v>12802</v>
      </c>
      <c r="U641" t="s">
        <v>12802</v>
      </c>
      <c r="V641" t="s">
        <v>12802</v>
      </c>
      <c r="W641" t="s">
        <v>13433</v>
      </c>
      <c r="X641">
        <v>13</v>
      </c>
      <c r="Y641" t="s">
        <v>19756</v>
      </c>
      <c r="Z641" t="s">
        <v>25959</v>
      </c>
      <c r="AA641">
        <v>0.45186342821380848</v>
      </c>
      <c r="AB641" t="str">
        <f>HYPERLINK("Melting_Curves/meltCurve_F2Z2V0_CPNE1.pdf", "Melting_Curves/meltCurve_F2Z2V0_CPNE1.pdf")</f>
        <v>Melting_Curves/meltCurve_F2Z2V0_CPNE1.pdf</v>
      </c>
    </row>
    <row r="642" spans="1:28" x14ac:dyDescent="0.25">
      <c r="A642" t="s">
        <v>646</v>
      </c>
      <c r="B642">
        <v>0.99542014353169495</v>
      </c>
      <c r="C642">
        <v>0.91713542355836897</v>
      </c>
      <c r="D642">
        <v>0.79840852223002001</v>
      </c>
      <c r="E642">
        <v>0.44271696015248302</v>
      </c>
      <c r="F642">
        <v>0.32741951164424299</v>
      </c>
      <c r="G642">
        <v>0.19722794424493001</v>
      </c>
      <c r="H642">
        <v>0.141952076094397</v>
      </c>
      <c r="I642">
        <v>5.8483190155956002E-2</v>
      </c>
      <c r="J642">
        <v>4.7139667073171597E-2</v>
      </c>
      <c r="K642">
        <v>4.9113416192984899E-2</v>
      </c>
      <c r="L642">
        <v>636.42968642143398</v>
      </c>
      <c r="M642">
        <v>13.6963509161508</v>
      </c>
      <c r="N642">
        <v>46.784228360009998</v>
      </c>
      <c r="O642">
        <v>45.510105656576002</v>
      </c>
      <c r="P642">
        <v>-7.1912948644857297E-2</v>
      </c>
      <c r="Q642">
        <v>4.4331066142638799E-2</v>
      </c>
      <c r="R642">
        <v>0.991865692988666</v>
      </c>
      <c r="S642" t="s">
        <v>7044</v>
      </c>
      <c r="T642" t="s">
        <v>12802</v>
      </c>
      <c r="U642" t="s">
        <v>12802</v>
      </c>
      <c r="V642" t="s">
        <v>12802</v>
      </c>
      <c r="W642" t="s">
        <v>13434</v>
      </c>
      <c r="X642">
        <v>14</v>
      </c>
      <c r="Y642" t="s">
        <v>19757</v>
      </c>
      <c r="Z642" t="s">
        <v>25960</v>
      </c>
      <c r="AA642">
        <v>0.37159288016265563</v>
      </c>
      <c r="AB642" t="str">
        <f>HYPERLINK("Melting_Curves/meltCurve_F2Z2W7_TRMT2A.pdf", "Melting_Curves/meltCurve_F2Z2W7_TRMT2A.pdf")</f>
        <v>Melting_Curves/meltCurve_F2Z2W7_TRMT2A.pdf</v>
      </c>
    </row>
    <row r="643" spans="1:28" x14ac:dyDescent="0.25">
      <c r="A643" t="s">
        <v>647</v>
      </c>
      <c r="B643">
        <v>0.99542014353169495</v>
      </c>
      <c r="C643">
        <v>1.0167764041316001</v>
      </c>
      <c r="D643">
        <v>1.03214238421774</v>
      </c>
      <c r="E643">
        <v>0.95828172811172496</v>
      </c>
      <c r="F643">
        <v>0.71028817969094404</v>
      </c>
      <c r="G643">
        <v>0.218313185136706</v>
      </c>
      <c r="H643">
        <v>0.120978934631559</v>
      </c>
      <c r="I643">
        <v>8.50271750751318E-2</v>
      </c>
      <c r="J643">
        <v>8.9353069675624799E-2</v>
      </c>
      <c r="K643">
        <v>9.7318828491922804E-2</v>
      </c>
      <c r="L643">
        <v>1875.20404447705</v>
      </c>
      <c r="M643">
        <v>36.620123733194802</v>
      </c>
      <c r="N643">
        <v>51.492607024933498</v>
      </c>
      <c r="O643">
        <v>51.054943905380398</v>
      </c>
      <c r="P643">
        <v>-0.162832344285499</v>
      </c>
      <c r="Q643">
        <v>9.1934055816467894E-2</v>
      </c>
      <c r="R643">
        <v>0.99884066050528397</v>
      </c>
      <c r="S643" t="s">
        <v>7045</v>
      </c>
      <c r="T643" t="s">
        <v>12802</v>
      </c>
      <c r="U643" t="s">
        <v>12802</v>
      </c>
      <c r="V643" t="s">
        <v>12802</v>
      </c>
      <c r="W643" t="s">
        <v>13435</v>
      </c>
      <c r="X643">
        <v>11</v>
      </c>
      <c r="Y643" t="s">
        <v>19758</v>
      </c>
      <c r="Z643" t="s">
        <v>25961</v>
      </c>
      <c r="AA643">
        <v>0.52579028541834549</v>
      </c>
      <c r="AB643" t="str">
        <f>HYPERLINK("Melting_Curves/meltCurve_F2Z2X4_XPO4.pdf", "Melting_Curves/meltCurve_F2Z2X4_XPO4.pdf")</f>
        <v>Melting_Curves/meltCurve_F2Z2X4_XPO4.pdf</v>
      </c>
    </row>
    <row r="644" spans="1:28" x14ac:dyDescent="0.25">
      <c r="A644" t="s">
        <v>648</v>
      </c>
      <c r="B644">
        <v>0.99542014353169495</v>
      </c>
      <c r="C644">
        <v>0.93695003316734204</v>
      </c>
      <c r="D644">
        <v>0.80759455819701897</v>
      </c>
      <c r="E644">
        <v>0.82718381913013395</v>
      </c>
      <c r="F644">
        <v>0.61551579659244604</v>
      </c>
      <c r="G644">
        <v>0.27045171198672802</v>
      </c>
      <c r="H644">
        <v>0.163109561409996</v>
      </c>
      <c r="I644">
        <v>0.13068899246874599</v>
      </c>
      <c r="J644">
        <v>7.2605949776432699E-2</v>
      </c>
      <c r="K644">
        <v>4.7889836150556503E-2</v>
      </c>
      <c r="L644">
        <v>666.76294135844898</v>
      </c>
      <c r="M644">
        <v>13.074288297586801</v>
      </c>
      <c r="N644">
        <v>51.002256426679899</v>
      </c>
      <c r="O644">
        <v>49.849211535656501</v>
      </c>
      <c r="P644">
        <v>-6.5545022409374001E-2</v>
      </c>
      <c r="Q644">
        <v>5.4138915264115501E-4</v>
      </c>
      <c r="R644">
        <v>0.98027089533815104</v>
      </c>
      <c r="S644" t="s">
        <v>7046</v>
      </c>
      <c r="T644" t="s">
        <v>12802</v>
      </c>
      <c r="U644" t="s">
        <v>12802</v>
      </c>
      <c r="V644" t="s">
        <v>12802</v>
      </c>
      <c r="W644" t="s">
        <v>13436</v>
      </c>
      <c r="X644">
        <v>1</v>
      </c>
      <c r="Y644" t="s">
        <v>19759</v>
      </c>
      <c r="Z644" t="s">
        <v>25962</v>
      </c>
      <c r="AA644">
        <v>0.49066310746780673</v>
      </c>
      <c r="AB644" t="str">
        <f>HYPERLINK("Melting_Curves/meltCurve_F2Z3A9_RABL2B.pdf", "Melting_Curves/meltCurve_F2Z3A9_RABL2B.pdf")</f>
        <v>Melting_Curves/meltCurve_F2Z3A9_RABL2B.pdf</v>
      </c>
    </row>
    <row r="645" spans="1:28" x14ac:dyDescent="0.25">
      <c r="A645" t="s">
        <v>649</v>
      </c>
      <c r="B645">
        <v>0.99542014353169495</v>
      </c>
      <c r="C645">
        <v>0.86210705908583896</v>
      </c>
      <c r="D645">
        <v>0.73668569395083205</v>
      </c>
      <c r="E645">
        <v>0.45205975907427698</v>
      </c>
      <c r="F645">
        <v>0.34742008334278501</v>
      </c>
      <c r="G645">
        <v>0.162445364040009</v>
      </c>
      <c r="H645">
        <v>3.2083712764113002E-2</v>
      </c>
      <c r="I645">
        <v>1.8125130335240699E-2</v>
      </c>
      <c r="J645">
        <v>8.5382526396417194E-3</v>
      </c>
      <c r="K645">
        <v>3.4640560182883598E-2</v>
      </c>
      <c r="L645">
        <v>582.94627743168701</v>
      </c>
      <c r="M645">
        <v>12.5548737053587</v>
      </c>
      <c r="N645">
        <v>46.431871008082602</v>
      </c>
      <c r="O645">
        <v>45.301110076561002</v>
      </c>
      <c r="P645">
        <v>-6.9299700915053705E-2</v>
      </c>
      <c r="Q645">
        <v>0</v>
      </c>
      <c r="R645">
        <v>0.990830275424878</v>
      </c>
      <c r="S645" t="s">
        <v>7047</v>
      </c>
      <c r="T645" t="s">
        <v>12802</v>
      </c>
      <c r="U645" t="s">
        <v>12802</v>
      </c>
      <c r="V645" t="s">
        <v>12802</v>
      </c>
      <c r="W645" t="s">
        <v>13437</v>
      </c>
      <c r="X645">
        <v>3</v>
      </c>
      <c r="Y645" t="s">
        <v>19760</v>
      </c>
      <c r="Z645" t="s">
        <v>25963</v>
      </c>
      <c r="AA645">
        <v>0.34569934889726728</v>
      </c>
      <c r="AB645" t="str">
        <f>HYPERLINK("Melting_Curves/meltCurve_F5GWD3_GTF2H3.pdf", "Melting_Curves/meltCurve_F5GWD3_GTF2H3.pdf")</f>
        <v>Melting_Curves/meltCurve_F5GWD3_GTF2H3.pdf</v>
      </c>
    </row>
    <row r="646" spans="1:28" x14ac:dyDescent="0.25">
      <c r="A646" t="s">
        <v>650</v>
      </c>
      <c r="B646">
        <v>0.99542014353169495</v>
      </c>
      <c r="C646">
        <v>0.87441187033502998</v>
      </c>
      <c r="D646">
        <v>0.95264335646425402</v>
      </c>
      <c r="E646">
        <v>0.68129507386222299</v>
      </c>
      <c r="F646">
        <v>0.78579775236372096</v>
      </c>
      <c r="G646">
        <v>0.60622874210914002</v>
      </c>
      <c r="H646">
        <v>0.34819980620239399</v>
      </c>
      <c r="I646">
        <v>0.34206668196175</v>
      </c>
      <c r="J646">
        <v>0.36920648193648098</v>
      </c>
      <c r="K646">
        <v>0.47854943349666201</v>
      </c>
      <c r="L646">
        <v>516.07415788572996</v>
      </c>
      <c r="M646">
        <v>10.2759751616681</v>
      </c>
      <c r="N646">
        <v>55.781861982643697</v>
      </c>
      <c r="O646">
        <v>48.431023497467599</v>
      </c>
      <c r="P646">
        <v>-3.60604632154903E-2</v>
      </c>
      <c r="Q646">
        <v>0.32048100064669899</v>
      </c>
      <c r="R646">
        <v>0.874357374948462</v>
      </c>
      <c r="S646" t="s">
        <v>7048</v>
      </c>
      <c r="T646" t="s">
        <v>12802</v>
      </c>
      <c r="U646" t="s">
        <v>12802</v>
      </c>
      <c r="V646" t="s">
        <v>12802</v>
      </c>
      <c r="W646" t="s">
        <v>13438</v>
      </c>
      <c r="X646">
        <v>1</v>
      </c>
      <c r="Y646" t="s">
        <v>19761</v>
      </c>
      <c r="Z646" t="s">
        <v>25964</v>
      </c>
      <c r="AA646">
        <v>0.64195503331844628</v>
      </c>
      <c r="AB646" t="str">
        <f>HYPERLINK("Melting_Curves/meltCurve_F5GWH5_TMEM258.pdf", "Melting_Curves/meltCurve_F5GWH5_TMEM258.pdf")</f>
        <v>Melting_Curves/meltCurve_F5GWH5_TMEM258.pdf</v>
      </c>
    </row>
    <row r="647" spans="1:28" x14ac:dyDescent="0.25">
      <c r="A647" t="s">
        <v>651</v>
      </c>
      <c r="B647">
        <v>0.99542014353169495</v>
      </c>
      <c r="C647">
        <v>0.96665613424081898</v>
      </c>
      <c r="D647">
        <v>0.90891270180143802</v>
      </c>
      <c r="E647">
        <v>0.87967405721187997</v>
      </c>
      <c r="F647">
        <v>0.66228763149739001</v>
      </c>
      <c r="G647">
        <v>0.43241244883401397</v>
      </c>
      <c r="H647">
        <v>0.299758257990764</v>
      </c>
      <c r="I647">
        <v>0.199624785769206</v>
      </c>
      <c r="J647">
        <v>0.165698310906712</v>
      </c>
      <c r="K647">
        <v>0.14735503348347001</v>
      </c>
      <c r="L647">
        <v>727.46564789228296</v>
      </c>
      <c r="M647">
        <v>14.0103294673074</v>
      </c>
      <c r="N647">
        <v>52.828810530762901</v>
      </c>
      <c r="O647">
        <v>50.900007353583199</v>
      </c>
      <c r="P647">
        <v>-6.1477478846097701E-2</v>
      </c>
      <c r="Q647">
        <v>0.10671871745466401</v>
      </c>
      <c r="R647">
        <v>0.99679373835477703</v>
      </c>
      <c r="S647" t="s">
        <v>7049</v>
      </c>
      <c r="T647" t="s">
        <v>12802</v>
      </c>
      <c r="U647" t="s">
        <v>12802</v>
      </c>
      <c r="V647" t="s">
        <v>12802</v>
      </c>
      <c r="W647" t="s">
        <v>13439</v>
      </c>
      <c r="X647">
        <v>9</v>
      </c>
      <c r="Y647" t="s">
        <v>19762</v>
      </c>
      <c r="Z647" t="s">
        <v>25965</v>
      </c>
      <c r="AA647">
        <v>0.56960369829846558</v>
      </c>
      <c r="AB647" t="str">
        <f>HYPERLINK("Melting_Curves/meltCurve_F5GWI4_ADA.pdf", "Melting_Curves/meltCurve_F5GWI4_ADA.pdf")</f>
        <v>Melting_Curves/meltCurve_F5GWI4_ADA.pdf</v>
      </c>
    </row>
    <row r="648" spans="1:28" x14ac:dyDescent="0.25">
      <c r="A648" t="s">
        <v>652</v>
      </c>
      <c r="B648">
        <v>0.99542014353169495</v>
      </c>
      <c r="C648">
        <v>0.93456273903660902</v>
      </c>
      <c r="D648">
        <v>0.91584800029593805</v>
      </c>
      <c r="E648">
        <v>0.82455649170753298</v>
      </c>
      <c r="F648">
        <v>0.683437179397682</v>
      </c>
      <c r="G648">
        <v>0.64792054670813604</v>
      </c>
      <c r="H648">
        <v>0.40921947716306201</v>
      </c>
      <c r="I648">
        <v>0.30681482234278801</v>
      </c>
      <c r="J648">
        <v>0.28025653468765099</v>
      </c>
      <c r="K648">
        <v>0.227529766246478</v>
      </c>
      <c r="L648">
        <v>444.92644701345301</v>
      </c>
      <c r="M648">
        <v>7.9943816283742404</v>
      </c>
      <c r="N648">
        <v>55.827282832692802</v>
      </c>
      <c r="O648">
        <v>52.4962128246883</v>
      </c>
      <c r="P648">
        <v>-3.7649735932684503E-2</v>
      </c>
      <c r="Q648">
        <v>1.21913176581579E-2</v>
      </c>
      <c r="R648">
        <v>0.98765706311791801</v>
      </c>
      <c r="S648" t="s">
        <v>7050</v>
      </c>
      <c r="T648" t="s">
        <v>12802</v>
      </c>
      <c r="U648" t="s">
        <v>12802</v>
      </c>
      <c r="V648" t="s">
        <v>12802</v>
      </c>
      <c r="W648" t="s">
        <v>13440</v>
      </c>
      <c r="X648">
        <v>4</v>
      </c>
      <c r="Y648" t="s">
        <v>19763</v>
      </c>
      <c r="Z648" t="s">
        <v>25966</v>
      </c>
      <c r="AA648">
        <v>0.62768844909235788</v>
      </c>
      <c r="AB648" t="str">
        <f>HYPERLINK("Melting_Curves/meltCurve_F5GWI9_CCDC53.pdf", "Melting_Curves/meltCurve_F5GWI9_CCDC53.pdf")</f>
        <v>Melting_Curves/meltCurve_F5GWI9_CCDC53.pdf</v>
      </c>
    </row>
    <row r="649" spans="1:28" x14ac:dyDescent="0.25">
      <c r="A649" t="s">
        <v>653</v>
      </c>
      <c r="B649">
        <v>0.99542014353169495</v>
      </c>
      <c r="C649">
        <v>1.0391065493700999</v>
      </c>
      <c r="D649">
        <v>0.78797846046348596</v>
      </c>
      <c r="E649">
        <v>0.45848407480126202</v>
      </c>
      <c r="F649">
        <v>0.204233438763576</v>
      </c>
      <c r="G649">
        <v>9.6549843155126602E-2</v>
      </c>
      <c r="H649">
        <v>5.7392638857757597E-2</v>
      </c>
      <c r="I649">
        <v>3.6180692792351497E-2</v>
      </c>
      <c r="J649">
        <v>4.6232368758740199E-2</v>
      </c>
      <c r="K649">
        <v>4.7990216522675898E-2</v>
      </c>
      <c r="L649">
        <v>945.89147920234097</v>
      </c>
      <c r="M649">
        <v>20.555259982427501</v>
      </c>
      <c r="N649">
        <v>46.223738020081001</v>
      </c>
      <c r="O649">
        <v>45.588111656535098</v>
      </c>
      <c r="P649">
        <v>-0.107775444073268</v>
      </c>
      <c r="Q649">
        <v>4.3916673103086397E-2</v>
      </c>
      <c r="R649">
        <v>0.99516860678813801</v>
      </c>
      <c r="S649" t="s">
        <v>7051</v>
      </c>
      <c r="T649" t="s">
        <v>12802</v>
      </c>
      <c r="U649" t="s">
        <v>12802</v>
      </c>
      <c r="V649" t="s">
        <v>12802</v>
      </c>
      <c r="W649" t="s">
        <v>13441</v>
      </c>
      <c r="X649">
        <v>2</v>
      </c>
      <c r="Y649" t="s">
        <v>19764</v>
      </c>
      <c r="Z649" t="s">
        <v>25967</v>
      </c>
      <c r="AA649">
        <v>0.34310680784995301</v>
      </c>
      <c r="AB649" t="str">
        <f>HYPERLINK("Melting_Curves/meltCurve_F5GWK5_STARD10.pdf", "Melting_Curves/meltCurve_F5GWK5_STARD10.pdf")</f>
        <v>Melting_Curves/meltCurve_F5GWK5_STARD10.pdf</v>
      </c>
    </row>
    <row r="650" spans="1:28" x14ac:dyDescent="0.25">
      <c r="A650" t="s">
        <v>654</v>
      </c>
      <c r="B650">
        <v>0.99542014353169495</v>
      </c>
      <c r="C650">
        <v>0.94842092980018</v>
      </c>
      <c r="D650">
        <v>0.95685428760722502</v>
      </c>
      <c r="E650">
        <v>0.76204379558396595</v>
      </c>
      <c r="F650">
        <v>0.54165400465580804</v>
      </c>
      <c r="G650">
        <v>0.259876736580265</v>
      </c>
      <c r="H650">
        <v>8.9206661263868295E-2</v>
      </c>
      <c r="I650">
        <v>5.5670477013575997E-2</v>
      </c>
      <c r="J650">
        <v>5.9528354750431098E-2</v>
      </c>
      <c r="K650">
        <v>7.2234347040706304E-2</v>
      </c>
      <c r="L650">
        <v>858.40770028377005</v>
      </c>
      <c r="M650">
        <v>17.124038675895498</v>
      </c>
      <c r="N650">
        <v>50.300036113995603</v>
      </c>
      <c r="O650">
        <v>49.460151424487599</v>
      </c>
      <c r="P650">
        <v>-8.4109274751548502E-2</v>
      </c>
      <c r="Q650">
        <v>2.8311536592637201E-2</v>
      </c>
      <c r="R650">
        <v>0.99573695212721403</v>
      </c>
      <c r="S650" t="s">
        <v>7052</v>
      </c>
      <c r="T650" t="s">
        <v>12802</v>
      </c>
      <c r="U650" t="s">
        <v>12802</v>
      </c>
      <c r="V650" t="s">
        <v>12802</v>
      </c>
      <c r="W650" t="s">
        <v>13442</v>
      </c>
      <c r="X650">
        <v>27</v>
      </c>
      <c r="Y650" t="s">
        <v>19765</v>
      </c>
      <c r="Z650" t="s">
        <v>25968</v>
      </c>
      <c r="AA650">
        <v>0.47011195920561122</v>
      </c>
      <c r="AB650" t="str">
        <f>HYPERLINK("Melting_Curves/meltCurve_F5GWT4_WNK1.pdf", "Melting_Curves/meltCurve_F5GWT4_WNK1.pdf")</f>
        <v>Melting_Curves/meltCurve_F5GWT4_WNK1.pdf</v>
      </c>
    </row>
    <row r="651" spans="1:28" x14ac:dyDescent="0.25">
      <c r="A651" t="s">
        <v>655</v>
      </c>
      <c r="B651">
        <v>0.99542014353169495</v>
      </c>
      <c r="C651">
        <v>0.70367939642994703</v>
      </c>
      <c r="D651">
        <v>0.69866414124633602</v>
      </c>
      <c r="E651">
        <v>0.61319239302289896</v>
      </c>
      <c r="F651">
        <v>0.59757717455631498</v>
      </c>
      <c r="G651">
        <v>0.415071415343161</v>
      </c>
      <c r="H651">
        <v>0.42799484687355099</v>
      </c>
      <c r="I651">
        <v>0.15899196367892601</v>
      </c>
      <c r="J651">
        <v>8.53389313984417E-3</v>
      </c>
      <c r="K651">
        <v>9.1627143292600608E-3</v>
      </c>
      <c r="L651">
        <v>361.87272045157198</v>
      </c>
      <c r="M651">
        <v>7.2732596059383798</v>
      </c>
      <c r="N651">
        <v>49.753856113121302</v>
      </c>
      <c r="O651">
        <v>46.406255550727799</v>
      </c>
      <c r="P651">
        <v>-3.92456421681446E-2</v>
      </c>
      <c r="Q651">
        <v>0</v>
      </c>
      <c r="R651">
        <v>0.880621236339591</v>
      </c>
      <c r="S651" t="s">
        <v>7053</v>
      </c>
      <c r="T651" t="s">
        <v>12802</v>
      </c>
      <c r="U651" t="s">
        <v>12802</v>
      </c>
      <c r="V651" t="s">
        <v>12802</v>
      </c>
      <c r="W651" t="s">
        <v>13443</v>
      </c>
      <c r="X651">
        <v>1</v>
      </c>
      <c r="Y651" t="s">
        <v>19766</v>
      </c>
      <c r="Z651" t="s">
        <v>25969</v>
      </c>
      <c r="AA651">
        <v>0.4702121394909255</v>
      </c>
      <c r="AB651" t="str">
        <f>HYPERLINK("Melting_Curves/meltCurve_F5GWT8_SERPINB11.pdf", "Melting_Curves/meltCurve_F5GWT8_SERPINB11.pdf")</f>
        <v>Melting_Curves/meltCurve_F5GWT8_SERPINB11.pdf</v>
      </c>
    </row>
    <row r="652" spans="1:28" x14ac:dyDescent="0.25">
      <c r="A652" t="s">
        <v>656</v>
      </c>
      <c r="B652">
        <v>0.99542014353169495</v>
      </c>
      <c r="C652">
        <v>1.00185945715377</v>
      </c>
      <c r="D652">
        <v>0.999897214349453</v>
      </c>
      <c r="E652">
        <v>0.79934862887673597</v>
      </c>
      <c r="F652">
        <v>0.34462696718633201</v>
      </c>
      <c r="G652">
        <v>0.18471833574951099</v>
      </c>
      <c r="H652">
        <v>0.11522295508736601</v>
      </c>
      <c r="I652">
        <v>8.0778493240243998E-2</v>
      </c>
      <c r="J652">
        <v>8.19167349600083E-2</v>
      </c>
      <c r="K652">
        <v>0.104365562694285</v>
      </c>
      <c r="L652">
        <v>1385.4060432000099</v>
      </c>
      <c r="M652">
        <v>28.495522420779999</v>
      </c>
      <c r="N652">
        <v>48.990231108650597</v>
      </c>
      <c r="O652">
        <v>48.380847469129101</v>
      </c>
      <c r="P652">
        <v>-0.132927361812855</v>
      </c>
      <c r="Q652">
        <v>9.7249911520529406E-2</v>
      </c>
      <c r="R652">
        <v>0.99844783371476697</v>
      </c>
      <c r="S652" t="s">
        <v>7054</v>
      </c>
      <c r="T652" t="s">
        <v>12802</v>
      </c>
      <c r="U652" t="s">
        <v>12802</v>
      </c>
      <c r="V652" t="s">
        <v>12802</v>
      </c>
      <c r="W652" t="s">
        <v>13444</v>
      </c>
      <c r="X652">
        <v>8</v>
      </c>
      <c r="Y652" t="s">
        <v>19767</v>
      </c>
      <c r="Z652" t="s">
        <v>25970</v>
      </c>
      <c r="AA652">
        <v>0.45285876867725122</v>
      </c>
      <c r="AB652" t="str">
        <f>HYPERLINK("Melting_Curves/meltCurve_F5GWU7_SMAD5.pdf", "Melting_Curves/meltCurve_F5GWU7_SMAD5.pdf")</f>
        <v>Melting_Curves/meltCurve_F5GWU7_SMAD5.pdf</v>
      </c>
    </row>
    <row r="653" spans="1:28" x14ac:dyDescent="0.25">
      <c r="A653" t="s">
        <v>657</v>
      </c>
      <c r="B653">
        <v>0.99542014353169495</v>
      </c>
      <c r="C653">
        <v>0.83679560131831499</v>
      </c>
      <c r="D653">
        <v>0.81476038831268205</v>
      </c>
      <c r="E653">
        <v>0.31381789803084698</v>
      </c>
      <c r="F653">
        <v>0.147054078191767</v>
      </c>
      <c r="G653">
        <v>8.6927619337563794E-2</v>
      </c>
      <c r="H653">
        <v>5.8946611021322003E-2</v>
      </c>
      <c r="I653">
        <v>4.0493772459765001E-2</v>
      </c>
      <c r="J653">
        <v>4.5437263605518197E-2</v>
      </c>
      <c r="K653">
        <v>4.4907466739065899E-2</v>
      </c>
      <c r="L653">
        <v>984.63076492698599</v>
      </c>
      <c r="M653">
        <v>21.876080656972398</v>
      </c>
      <c r="N653">
        <v>45.210253086899698</v>
      </c>
      <c r="O653">
        <v>44.638420862076003</v>
      </c>
      <c r="P653">
        <v>-0.11684882685987</v>
      </c>
      <c r="Q653">
        <v>4.6295689824904798E-2</v>
      </c>
      <c r="R653">
        <v>0.98642251462989805</v>
      </c>
      <c r="S653" t="s">
        <v>7055</v>
      </c>
      <c r="T653" t="s">
        <v>12802</v>
      </c>
      <c r="U653" t="s">
        <v>12802</v>
      </c>
      <c r="V653" t="s">
        <v>12802</v>
      </c>
      <c r="W653" t="s">
        <v>13445</v>
      </c>
      <c r="X653">
        <v>41</v>
      </c>
      <c r="Y653" t="s">
        <v>19768</v>
      </c>
      <c r="Z653" t="s">
        <v>25971</v>
      </c>
      <c r="AA653">
        <v>0.31128982510034242</v>
      </c>
      <c r="AB653" t="str">
        <f>HYPERLINK("Melting_Curves/meltCurve_F5GWX5_CHD4.pdf", "Melting_Curves/meltCurve_F5GWX5_CHD4.pdf")</f>
        <v>Melting_Curves/meltCurve_F5GWX5_CHD4.pdf</v>
      </c>
    </row>
    <row r="654" spans="1:28" x14ac:dyDescent="0.25">
      <c r="A654" t="s">
        <v>658</v>
      </c>
      <c r="B654">
        <v>0.99542014353169495</v>
      </c>
      <c r="C654">
        <v>0.95828099547936496</v>
      </c>
      <c r="D654">
        <v>1.04139191159317</v>
      </c>
      <c r="E654">
        <v>0.87760415656405599</v>
      </c>
      <c r="F654">
        <v>0.63477986086439397</v>
      </c>
      <c r="G654">
        <v>0.41816334720030301</v>
      </c>
      <c r="H654">
        <v>0.16984584888448701</v>
      </c>
      <c r="I654">
        <v>8.6916070783807406E-2</v>
      </c>
      <c r="J654">
        <v>0.10147148475357599</v>
      </c>
      <c r="K654">
        <v>3.6758808517243197E-2</v>
      </c>
      <c r="L654">
        <v>894.30373290993896</v>
      </c>
      <c r="M654">
        <v>17.192542790278001</v>
      </c>
      <c r="N654">
        <v>52.212453545774203</v>
      </c>
      <c r="O654">
        <v>51.328508449805398</v>
      </c>
      <c r="P654">
        <v>-8.1132247707724994E-2</v>
      </c>
      <c r="Q654">
        <v>3.11727316954254E-2</v>
      </c>
      <c r="R654">
        <v>0.99353447326637501</v>
      </c>
      <c r="S654" t="s">
        <v>7056</v>
      </c>
      <c r="T654" t="s">
        <v>12802</v>
      </c>
      <c r="U654" t="s">
        <v>12802</v>
      </c>
      <c r="V654" t="s">
        <v>12802</v>
      </c>
      <c r="W654" t="s">
        <v>13446</v>
      </c>
      <c r="X654">
        <v>5</v>
      </c>
      <c r="Y654" t="s">
        <v>19769</v>
      </c>
      <c r="Z654" t="s">
        <v>25972</v>
      </c>
      <c r="AA654">
        <v>0.53174053764819607</v>
      </c>
      <c r="AB654" t="str">
        <f>HYPERLINK("Melting_Curves/meltCurve_F5GX09_FAM76B.pdf", "Melting_Curves/meltCurve_F5GX09_FAM76B.pdf")</f>
        <v>Melting_Curves/meltCurve_F5GX09_FAM76B.pdf</v>
      </c>
    </row>
    <row r="655" spans="1:28" x14ac:dyDescent="0.25">
      <c r="A655" t="s">
        <v>659</v>
      </c>
      <c r="B655">
        <v>0.99542014353169495</v>
      </c>
      <c r="C655">
        <v>0.954621521640171</v>
      </c>
      <c r="D655">
        <v>1.15526140316578</v>
      </c>
      <c r="E655">
        <v>0.84271518419213798</v>
      </c>
      <c r="F655">
        <v>0.61145471076207403</v>
      </c>
      <c r="G655">
        <v>9.34003949339757E-2</v>
      </c>
      <c r="H655">
        <v>1.37043313982436E-2</v>
      </c>
      <c r="I655">
        <v>1.10629477942738E-2</v>
      </c>
      <c r="J655">
        <v>0</v>
      </c>
      <c r="K655">
        <v>0</v>
      </c>
      <c r="L655">
        <v>1618.4370531826</v>
      </c>
      <c r="M655">
        <v>31.951321344979402</v>
      </c>
      <c r="N655">
        <v>50.653225420329299</v>
      </c>
      <c r="O655">
        <v>50.456031826116799</v>
      </c>
      <c r="P655">
        <v>-0.158313499724655</v>
      </c>
      <c r="Q655">
        <v>0</v>
      </c>
      <c r="R655">
        <v>0.98116833985383001</v>
      </c>
      <c r="S655" t="s">
        <v>7057</v>
      </c>
      <c r="T655" t="s">
        <v>12802</v>
      </c>
      <c r="U655" t="s">
        <v>12802</v>
      </c>
      <c r="V655" t="s">
        <v>12802</v>
      </c>
      <c r="W655" t="s">
        <v>13447</v>
      </c>
      <c r="X655">
        <v>74</v>
      </c>
      <c r="Y655" t="s">
        <v>19770</v>
      </c>
      <c r="Z655" t="s">
        <v>25973</v>
      </c>
      <c r="AA655">
        <v>0.4605827346540004</v>
      </c>
      <c r="AB655" t="str">
        <f>HYPERLINK("Melting_Curves/meltCurve_F5GX68_DNMT1.pdf", "Melting_Curves/meltCurve_F5GX68_DNMT1.pdf")</f>
        <v>Melting_Curves/meltCurve_F5GX68_DNMT1.pdf</v>
      </c>
    </row>
    <row r="656" spans="1:28" x14ac:dyDescent="0.25">
      <c r="A656" t="s">
        <v>660</v>
      </c>
      <c r="B656">
        <v>0.99542014353169495</v>
      </c>
      <c r="C656">
        <v>0.87037905032984497</v>
      </c>
      <c r="D656">
        <v>0.88542657023726901</v>
      </c>
      <c r="E656">
        <v>0.71984944269388995</v>
      </c>
      <c r="F656">
        <v>0.530712073204199</v>
      </c>
      <c r="G656">
        <v>0.25144715939078599</v>
      </c>
      <c r="H656">
        <v>0.122606092927885</v>
      </c>
      <c r="I656">
        <v>9.4381388526308493E-2</v>
      </c>
      <c r="J656">
        <v>7.9458704658456294E-2</v>
      </c>
      <c r="K656">
        <v>3.6976914749309003E-2</v>
      </c>
      <c r="L656">
        <v>636.52215368414102</v>
      </c>
      <c r="M656">
        <v>12.7509759017218</v>
      </c>
      <c r="N656">
        <v>49.919496471384299</v>
      </c>
      <c r="O656">
        <v>48.739451567744197</v>
      </c>
      <c r="P656">
        <v>-6.5416229640234205E-2</v>
      </c>
      <c r="Q656">
        <v>0</v>
      </c>
      <c r="R656">
        <v>0.98964605764729996</v>
      </c>
      <c r="S656" t="s">
        <v>7058</v>
      </c>
      <c r="T656" t="s">
        <v>12802</v>
      </c>
      <c r="U656" t="s">
        <v>12802</v>
      </c>
      <c r="V656" t="s">
        <v>12802</v>
      </c>
      <c r="W656" t="s">
        <v>13448</v>
      </c>
      <c r="X656">
        <v>3</v>
      </c>
      <c r="Y656" t="s">
        <v>19771</v>
      </c>
      <c r="Z656" t="s">
        <v>25974</v>
      </c>
      <c r="AA656">
        <v>0.45677953590330722</v>
      </c>
      <c r="AB656" t="str">
        <f>HYPERLINK("Melting_Curves/meltCurve_F5GX82_FRYL.pdf", "Melting_Curves/meltCurve_F5GX82_FRYL.pdf")</f>
        <v>Melting_Curves/meltCurve_F5GX82_FRYL.pdf</v>
      </c>
    </row>
    <row r="657" spans="1:28" x14ac:dyDescent="0.25">
      <c r="A657" t="s">
        <v>661</v>
      </c>
      <c r="B657">
        <v>0.99542014353169495</v>
      </c>
      <c r="C657">
        <v>1.03562886343022</v>
      </c>
      <c r="D657">
        <v>1.0155066014645899</v>
      </c>
      <c r="E657">
        <v>0.93253518022743598</v>
      </c>
      <c r="F657">
        <v>0.31897741176780398</v>
      </c>
      <c r="G657">
        <v>9.6102875520643102E-2</v>
      </c>
      <c r="H657">
        <v>5.80795878446176E-2</v>
      </c>
      <c r="I657">
        <v>3.7770830086469899E-2</v>
      </c>
      <c r="J657">
        <v>3.8388199106835802E-2</v>
      </c>
      <c r="K657">
        <v>4.0722638469273702E-2</v>
      </c>
      <c r="L657">
        <v>2195.4159419839002</v>
      </c>
      <c r="M657">
        <v>44.6330509959705</v>
      </c>
      <c r="N657">
        <v>49.302211338435797</v>
      </c>
      <c r="O657">
        <v>49.0896710331359</v>
      </c>
      <c r="P657">
        <v>-0.21615122149754901</v>
      </c>
      <c r="Q657">
        <v>4.9065125863464003E-2</v>
      </c>
      <c r="R657">
        <v>0.99863096418672603</v>
      </c>
      <c r="S657" t="s">
        <v>7059</v>
      </c>
      <c r="T657" t="s">
        <v>12802</v>
      </c>
      <c r="U657" t="s">
        <v>12802</v>
      </c>
      <c r="V657" t="s">
        <v>12802</v>
      </c>
      <c r="W657" t="s">
        <v>13449</v>
      </c>
      <c r="X657">
        <v>19</v>
      </c>
      <c r="Y657" t="s">
        <v>19772</v>
      </c>
      <c r="Z657" t="s">
        <v>25975</v>
      </c>
      <c r="AA657">
        <v>0.43799466161967587</v>
      </c>
      <c r="AB657" t="str">
        <f>HYPERLINK("Melting_Curves/meltCurve_F5GXC8_SUCLA2.pdf", "Melting_Curves/meltCurve_F5GXC8_SUCLA2.pdf")</f>
        <v>Melting_Curves/meltCurve_F5GXC8_SUCLA2.pdf</v>
      </c>
    </row>
    <row r="658" spans="1:28" x14ac:dyDescent="0.25">
      <c r="A658" t="s">
        <v>662</v>
      </c>
      <c r="B658">
        <v>0.99542014353169495</v>
      </c>
      <c r="C658">
        <v>1.3113312752723401</v>
      </c>
      <c r="D658">
        <v>1.03849320138765</v>
      </c>
      <c r="E658">
        <v>0.89511015654473003</v>
      </c>
      <c r="F658">
        <v>0.62488219636864495</v>
      </c>
      <c r="G658">
        <v>0.277473151515508</v>
      </c>
      <c r="H658">
        <v>0.15466462050885399</v>
      </c>
      <c r="I658">
        <v>0.119626035666239</v>
      </c>
      <c r="J658">
        <v>0.144262282647451</v>
      </c>
      <c r="K658">
        <v>0.122213924458281</v>
      </c>
      <c r="L658">
        <v>1345.9943815838201</v>
      </c>
      <c r="M658">
        <v>26.556384811017601</v>
      </c>
      <c r="N658">
        <v>51.227029977632299</v>
      </c>
      <c r="O658">
        <v>50.399635792761302</v>
      </c>
      <c r="P658">
        <v>-0.115580248276101</v>
      </c>
      <c r="Q658">
        <v>0.12260071557876601</v>
      </c>
      <c r="R658">
        <v>0.94698710915983397</v>
      </c>
      <c r="S658" t="s">
        <v>7060</v>
      </c>
      <c r="T658" t="s">
        <v>12802</v>
      </c>
      <c r="U658" t="s">
        <v>12802</v>
      </c>
      <c r="V658" t="s">
        <v>12802</v>
      </c>
      <c r="W658" t="s">
        <v>13450</v>
      </c>
      <c r="X658">
        <v>1</v>
      </c>
      <c r="Y658" t="s">
        <v>19773</v>
      </c>
      <c r="Z658" t="s">
        <v>25976</v>
      </c>
      <c r="AA658">
        <v>0.52971255843482712</v>
      </c>
      <c r="AB658" t="str">
        <f>HYPERLINK("Melting_Curves/meltCurve_F5GXF9_AFF1.pdf", "Melting_Curves/meltCurve_F5GXF9_AFF1.pdf")</f>
        <v>Melting_Curves/meltCurve_F5GXF9_AFF1.pdf</v>
      </c>
    </row>
    <row r="659" spans="1:28" x14ac:dyDescent="0.25">
      <c r="A659" t="s">
        <v>663</v>
      </c>
      <c r="B659">
        <v>0.99542014353169495</v>
      </c>
      <c r="C659">
        <v>0.90888194009936996</v>
      </c>
      <c r="D659">
        <v>1.05672841224892</v>
      </c>
      <c r="E659">
        <v>0.85522930597305102</v>
      </c>
      <c r="F659">
        <v>0.71721801256243201</v>
      </c>
      <c r="G659">
        <v>0.48979280674833098</v>
      </c>
      <c r="H659">
        <v>0.46246780745336502</v>
      </c>
      <c r="I659">
        <v>0.41173068802307999</v>
      </c>
      <c r="J659">
        <v>0.60172712608153001</v>
      </c>
      <c r="K659">
        <v>0.43706752534903098</v>
      </c>
      <c r="L659">
        <v>1247.05477470449</v>
      </c>
      <c r="M659">
        <v>25.2921921069238</v>
      </c>
      <c r="N659">
        <v>55.435601594586203</v>
      </c>
      <c r="O659">
        <v>49.0007866512559</v>
      </c>
      <c r="P659">
        <v>-6.8457391366088E-2</v>
      </c>
      <c r="Q659">
        <v>0.46949274584067902</v>
      </c>
      <c r="R659">
        <v>0.92564242285870102</v>
      </c>
      <c r="S659" t="s">
        <v>7061</v>
      </c>
      <c r="T659" t="s">
        <v>12802</v>
      </c>
      <c r="U659" t="s">
        <v>12802</v>
      </c>
      <c r="V659" t="s">
        <v>12802</v>
      </c>
      <c r="W659" t="s">
        <v>13451</v>
      </c>
      <c r="X659">
        <v>2</v>
      </c>
      <c r="Y659" t="s">
        <v>19774</v>
      </c>
      <c r="Z659" t="s">
        <v>25977</v>
      </c>
      <c r="AA659">
        <v>0.69160530810724907</v>
      </c>
      <c r="AB659" t="str">
        <f>HYPERLINK("Melting_Curves/meltCurve_F5GXK8_DNAJB11.pdf", "Melting_Curves/meltCurve_F5GXK8_DNAJB11.pdf")</f>
        <v>Melting_Curves/meltCurve_F5GXK8_DNAJB11.pdf</v>
      </c>
    </row>
    <row r="660" spans="1:28" x14ac:dyDescent="0.25">
      <c r="A660" t="s">
        <v>664</v>
      </c>
      <c r="B660">
        <v>0.99542014353169495</v>
      </c>
      <c r="C660">
        <v>0.89016975246613295</v>
      </c>
      <c r="D660">
        <v>0.85291370124116905</v>
      </c>
      <c r="E660">
        <v>0.78202341590561097</v>
      </c>
      <c r="F660">
        <v>0.69455094109602</v>
      </c>
      <c r="G660">
        <v>0.44669852915888902</v>
      </c>
      <c r="H660">
        <v>0.36269419673388198</v>
      </c>
      <c r="I660">
        <v>0.34076601437625398</v>
      </c>
      <c r="J660">
        <v>0.41878937476663097</v>
      </c>
      <c r="K660">
        <v>0.42490970091746</v>
      </c>
      <c r="L660">
        <v>589.98191846231805</v>
      </c>
      <c r="M660">
        <v>12.1264709859958</v>
      </c>
      <c r="N660">
        <v>53.756212064187402</v>
      </c>
      <c r="O660">
        <v>47.386016735663901</v>
      </c>
      <c r="P660">
        <v>-4.21135378847972E-2</v>
      </c>
      <c r="Q660">
        <v>0.34189229438345098</v>
      </c>
      <c r="R660">
        <v>0.946847262085035</v>
      </c>
      <c r="S660" t="s">
        <v>7062</v>
      </c>
      <c r="T660" t="s">
        <v>12802</v>
      </c>
      <c r="U660" t="s">
        <v>12802</v>
      </c>
      <c r="V660" t="s">
        <v>12802</v>
      </c>
      <c r="W660" t="s">
        <v>13452</v>
      </c>
      <c r="X660">
        <v>2</v>
      </c>
      <c r="Y660" t="s">
        <v>19775</v>
      </c>
      <c r="Z660" t="s">
        <v>25978</v>
      </c>
      <c r="AA660">
        <v>0.61715295321686092</v>
      </c>
      <c r="AB660" t="str">
        <f>HYPERLINK("Melting_Curves/meltCurve_F5GXX5_DAD1.pdf", "Melting_Curves/meltCurve_F5GXX5_DAD1.pdf")</f>
        <v>Melting_Curves/meltCurve_F5GXX5_DAD1.pdf</v>
      </c>
    </row>
    <row r="661" spans="1:28" x14ac:dyDescent="0.25">
      <c r="A661" t="s">
        <v>665</v>
      </c>
      <c r="B661">
        <v>0.99542014353169495</v>
      </c>
      <c r="C661">
        <v>0.93386718860822904</v>
      </c>
      <c r="D661">
        <v>0.80350778045844395</v>
      </c>
      <c r="E661">
        <v>0.37439676751621098</v>
      </c>
      <c r="F661">
        <v>0.24421691221203401</v>
      </c>
      <c r="G661">
        <v>0.14950738662957599</v>
      </c>
      <c r="H661">
        <v>0.20883102896684499</v>
      </c>
      <c r="I661">
        <v>5.67523018233069E-2</v>
      </c>
      <c r="J661">
        <v>4.9370120311506102E-2</v>
      </c>
      <c r="K661">
        <v>5.4686924469068497E-2</v>
      </c>
      <c r="L661">
        <v>880.94016843489806</v>
      </c>
      <c r="M661">
        <v>19.429296464657501</v>
      </c>
      <c r="N661">
        <v>45.813577587284499</v>
      </c>
      <c r="O661">
        <v>44.8686963963248</v>
      </c>
      <c r="P661">
        <v>-9.8426275985357206E-2</v>
      </c>
      <c r="Q661">
        <v>9.0837373711127406E-2</v>
      </c>
      <c r="R661">
        <v>0.98326324603577897</v>
      </c>
      <c r="S661" t="s">
        <v>7063</v>
      </c>
      <c r="T661" t="s">
        <v>12802</v>
      </c>
      <c r="U661" t="s">
        <v>12802</v>
      </c>
      <c r="V661" t="s">
        <v>12802</v>
      </c>
      <c r="W661" t="s">
        <v>13453</v>
      </c>
      <c r="X661">
        <v>13</v>
      </c>
      <c r="Y661" t="s">
        <v>19776</v>
      </c>
      <c r="Z661" t="s">
        <v>25979</v>
      </c>
      <c r="AA661">
        <v>0.35626047089860069</v>
      </c>
      <c r="AB661" t="str">
        <f>HYPERLINK("Melting_Curves/meltCurve_F5GXY5_SASS6.pdf", "Melting_Curves/meltCurve_F5GXY5_SASS6.pdf")</f>
        <v>Melting_Curves/meltCurve_F5GXY5_SASS6.pdf</v>
      </c>
    </row>
    <row r="662" spans="1:28" x14ac:dyDescent="0.25">
      <c r="A662" t="s">
        <v>666</v>
      </c>
      <c r="B662">
        <v>0.99542014353169495</v>
      </c>
      <c r="C662">
        <v>1.0121408183574201</v>
      </c>
      <c r="D662">
        <v>1.1671896713852801</v>
      </c>
      <c r="E662">
        <v>0.93838571269331394</v>
      </c>
      <c r="F662">
        <v>0.72867529155277699</v>
      </c>
      <c r="G662">
        <v>0.57367335913413497</v>
      </c>
      <c r="H662">
        <v>0.388545672373657</v>
      </c>
      <c r="I662">
        <v>0.38335722480106998</v>
      </c>
      <c r="J662">
        <v>0.54526477572654897</v>
      </c>
      <c r="K662">
        <v>0.75698797998382195</v>
      </c>
      <c r="L662">
        <v>1853.1325179135899</v>
      </c>
      <c r="M662">
        <v>37.236186058647597</v>
      </c>
      <c r="O662">
        <v>49.624093971057597</v>
      </c>
      <c r="P662">
        <v>-8.9389976509573005E-2</v>
      </c>
      <c r="Q662">
        <v>0.52348671160245097</v>
      </c>
      <c r="R662">
        <v>0.81731164799173195</v>
      </c>
      <c r="S662" t="s">
        <v>7064</v>
      </c>
      <c r="T662" t="s">
        <v>12802</v>
      </c>
      <c r="U662" t="s">
        <v>12802</v>
      </c>
      <c r="V662" t="s">
        <v>12802</v>
      </c>
      <c r="W662" t="s">
        <v>13454</v>
      </c>
      <c r="X662">
        <v>1</v>
      </c>
      <c r="Y662" t="s">
        <v>19777</v>
      </c>
      <c r="Z662" t="s">
        <v>25980</v>
      </c>
      <c r="AA662">
        <v>0.72816645230598043</v>
      </c>
      <c r="AB662" t="str">
        <f>HYPERLINK("Melting_Curves/meltCurve_F5GY92_GPBP1.pdf", "Melting_Curves/meltCurve_F5GY92_GPBP1.pdf")</f>
        <v>Melting_Curves/meltCurve_F5GY92_GPBP1.pdf</v>
      </c>
    </row>
    <row r="663" spans="1:28" x14ac:dyDescent="0.25">
      <c r="A663" t="s">
        <v>667</v>
      </c>
      <c r="B663">
        <v>0.99542014353169495</v>
      </c>
      <c r="C663">
        <v>0.975859215545548</v>
      </c>
      <c r="D663">
        <v>0.94180240740662702</v>
      </c>
      <c r="E663">
        <v>0.76076879152018495</v>
      </c>
      <c r="F663">
        <v>0.63196585438164299</v>
      </c>
      <c r="G663">
        <v>0.180924986761309</v>
      </c>
      <c r="H663">
        <v>0.103365721615677</v>
      </c>
      <c r="I663">
        <v>7.6248642530758207E-2</v>
      </c>
      <c r="J663">
        <v>4.5987382211071397E-2</v>
      </c>
      <c r="K663">
        <v>7.1135170684300503E-2</v>
      </c>
      <c r="L663">
        <v>954.47907261671105</v>
      </c>
      <c r="M663">
        <v>18.944827403590999</v>
      </c>
      <c r="N663">
        <v>50.559250823346296</v>
      </c>
      <c r="O663">
        <v>49.830732794347298</v>
      </c>
      <c r="P663">
        <v>-9.1996478639986806E-2</v>
      </c>
      <c r="Q663">
        <v>3.2122428007087103E-2</v>
      </c>
      <c r="R663">
        <v>0.98596615924147601</v>
      </c>
      <c r="S663" t="s">
        <v>7065</v>
      </c>
      <c r="T663" t="s">
        <v>12802</v>
      </c>
      <c r="U663" t="s">
        <v>12802</v>
      </c>
      <c r="V663" t="s">
        <v>12802</v>
      </c>
      <c r="W663" t="s">
        <v>13455</v>
      </c>
      <c r="X663">
        <v>3</v>
      </c>
      <c r="Y663" t="s">
        <v>19778</v>
      </c>
      <c r="Z663" t="s">
        <v>25981</v>
      </c>
      <c r="AA663">
        <v>0.47781241995029189</v>
      </c>
      <c r="AB663" t="str">
        <f>HYPERLINK("Melting_Curves/meltCurve_F5GY99_GALNT1.pdf", "Melting_Curves/meltCurve_F5GY99_GALNT1.pdf")</f>
        <v>Melting_Curves/meltCurve_F5GY99_GALNT1.pdf</v>
      </c>
    </row>
    <row r="664" spans="1:28" x14ac:dyDescent="0.25">
      <c r="A664" t="s">
        <v>668</v>
      </c>
      <c r="B664">
        <v>0.99542014353169495</v>
      </c>
      <c r="C664">
        <v>0.81225710948533603</v>
      </c>
      <c r="D664">
        <v>0.96830923906461996</v>
      </c>
      <c r="E664">
        <v>0.62010108088420501</v>
      </c>
      <c r="F664">
        <v>0.50021836853177104</v>
      </c>
      <c r="G664">
        <v>0.24708824855526099</v>
      </c>
      <c r="H664">
        <v>0.15842892366038</v>
      </c>
      <c r="I664">
        <v>7.5494389222609107E-2</v>
      </c>
      <c r="J664">
        <v>7.8498827121669598E-2</v>
      </c>
      <c r="K664">
        <v>7.56564927736052E-2</v>
      </c>
      <c r="L664">
        <v>612.96392789254799</v>
      </c>
      <c r="M664">
        <v>12.448435877682</v>
      </c>
      <c r="N664">
        <v>49.395192745939603</v>
      </c>
      <c r="O664">
        <v>48.021328255008697</v>
      </c>
      <c r="P664">
        <v>-6.3579083399224801E-2</v>
      </c>
      <c r="Q664">
        <v>1.91494586753885E-2</v>
      </c>
      <c r="R664">
        <v>0.97045095112065904</v>
      </c>
      <c r="S664" t="s">
        <v>7066</v>
      </c>
      <c r="T664" t="s">
        <v>12802</v>
      </c>
      <c r="U664" t="s">
        <v>12802</v>
      </c>
      <c r="V664" t="s">
        <v>12802</v>
      </c>
      <c r="W664" t="s">
        <v>13456</v>
      </c>
      <c r="X664">
        <v>14</v>
      </c>
      <c r="Y664" t="s">
        <v>19779</v>
      </c>
      <c r="Z664" t="s">
        <v>25982</v>
      </c>
      <c r="AA664">
        <v>0.44675458083844588</v>
      </c>
      <c r="AB664" t="str">
        <f>HYPERLINK("Melting_Curves/meltCurve_F5GYC1_ABCD3.pdf", "Melting_Curves/meltCurve_F5GYC1_ABCD3.pdf")</f>
        <v>Melting_Curves/meltCurve_F5GYC1_ABCD3.pdf</v>
      </c>
    </row>
    <row r="665" spans="1:28" x14ac:dyDescent="0.25">
      <c r="A665" t="s">
        <v>669</v>
      </c>
      <c r="B665">
        <v>0.99542014353169495</v>
      </c>
      <c r="C665">
        <v>0.920874031439052</v>
      </c>
      <c r="D665">
        <v>1.11463975010586</v>
      </c>
      <c r="E665">
        <v>1.0538010453361</v>
      </c>
      <c r="F665">
        <v>0.98819809678348602</v>
      </c>
      <c r="G665">
        <v>0.42875846541262203</v>
      </c>
      <c r="H665">
        <v>0.27355355752346</v>
      </c>
      <c r="I665">
        <v>8.9700429801570697E-2</v>
      </c>
      <c r="J665">
        <v>6.2563216906493205E-2</v>
      </c>
      <c r="K665">
        <v>9.4261153247673202E-2</v>
      </c>
      <c r="L665">
        <v>2114.1161272929398</v>
      </c>
      <c r="M665">
        <v>39.672891770170402</v>
      </c>
      <c r="N665">
        <v>53.622033581169198</v>
      </c>
      <c r="O665">
        <v>53.153838277135897</v>
      </c>
      <c r="P665">
        <v>-0.16620276807433601</v>
      </c>
      <c r="Q665">
        <v>0.109286604087388</v>
      </c>
      <c r="R665">
        <v>0.97558005420702099</v>
      </c>
      <c r="S665" t="s">
        <v>7067</v>
      </c>
      <c r="T665" t="s">
        <v>12802</v>
      </c>
      <c r="U665" t="s">
        <v>12802</v>
      </c>
      <c r="V665" t="s">
        <v>12802</v>
      </c>
      <c r="W665" t="s">
        <v>13457</v>
      </c>
      <c r="X665">
        <v>1</v>
      </c>
      <c r="Y665" t="s">
        <v>19780</v>
      </c>
      <c r="Z665" t="s">
        <v>25983</v>
      </c>
      <c r="AA665">
        <v>0.59622145519821612</v>
      </c>
      <c r="AB665" t="str">
        <f>HYPERLINK("Melting_Curves/meltCurve_F5GYC2_MAP7D2.pdf", "Melting_Curves/meltCurve_F5GYC2_MAP7D2.pdf")</f>
        <v>Melting_Curves/meltCurve_F5GYC2_MAP7D2.pdf</v>
      </c>
    </row>
    <row r="666" spans="1:28" x14ac:dyDescent="0.25">
      <c r="A666" t="s">
        <v>670</v>
      </c>
      <c r="B666">
        <v>0.99542014353169495</v>
      </c>
      <c r="C666">
        <v>1.0319458774579</v>
      </c>
      <c r="D666">
        <v>0.992650787839084</v>
      </c>
      <c r="E666">
        <v>0.895783821117909</v>
      </c>
      <c r="F666">
        <v>0.74291107794572497</v>
      </c>
      <c r="G666">
        <v>0.638217761921548</v>
      </c>
      <c r="H666">
        <v>0.384760825698574</v>
      </c>
      <c r="I666">
        <v>0.25674386059306298</v>
      </c>
      <c r="J666">
        <v>0.243258661827992</v>
      </c>
      <c r="K666">
        <v>0.30494866536738502</v>
      </c>
      <c r="L666">
        <v>823.13977426468705</v>
      </c>
      <c r="M666">
        <v>15.484111770542899</v>
      </c>
      <c r="N666">
        <v>55.156661041583099</v>
      </c>
      <c r="O666">
        <v>52.297271022378503</v>
      </c>
      <c r="P666">
        <v>-5.8146031681598098E-2</v>
      </c>
      <c r="Q666">
        <v>0.21452178361208599</v>
      </c>
      <c r="R666">
        <v>0.98456704868948597</v>
      </c>
      <c r="S666" t="s">
        <v>7068</v>
      </c>
      <c r="T666" t="s">
        <v>12802</v>
      </c>
      <c r="U666" t="s">
        <v>12802</v>
      </c>
      <c r="V666" t="s">
        <v>12802</v>
      </c>
      <c r="W666" t="s">
        <v>13086</v>
      </c>
      <c r="X666">
        <v>2</v>
      </c>
      <c r="Z666" t="s">
        <v>25984</v>
      </c>
      <c r="AA666">
        <v>0.65105849185495801</v>
      </c>
      <c r="AB666" t="str">
        <f>HYPERLINK("Melting_Curves/meltCurve_F5GYJ5_.pdf", "Melting_Curves/meltCurve_F5GYJ5_.pdf")</f>
        <v>Melting_Curves/meltCurve_F5GYJ5_.pdf</v>
      </c>
    </row>
    <row r="667" spans="1:28" x14ac:dyDescent="0.25">
      <c r="A667" t="s">
        <v>671</v>
      </c>
      <c r="B667">
        <v>0.99542014353169495</v>
      </c>
      <c r="C667">
        <v>0.97363053234393904</v>
      </c>
      <c r="D667">
        <v>0.92786989246144502</v>
      </c>
      <c r="E667">
        <v>0.95630482700681896</v>
      </c>
      <c r="F667">
        <v>0.61842496393674795</v>
      </c>
      <c r="G667">
        <v>0.28214128004309502</v>
      </c>
      <c r="H667">
        <v>7.3244391743663803E-2</v>
      </c>
      <c r="I667">
        <v>5.2646345750199601E-2</v>
      </c>
      <c r="J667">
        <v>5.07723298459309E-2</v>
      </c>
      <c r="K667">
        <v>5.4731606892171103E-2</v>
      </c>
      <c r="L667">
        <v>1284.90800365425</v>
      </c>
      <c r="M667">
        <v>25.102482702895699</v>
      </c>
      <c r="N667">
        <v>51.358472167688802</v>
      </c>
      <c r="O667">
        <v>50.864963322506199</v>
      </c>
      <c r="P667">
        <v>-0.11840647782628699</v>
      </c>
      <c r="Q667">
        <v>4.0308241812266901E-2</v>
      </c>
      <c r="R667">
        <v>0.99561227848424905</v>
      </c>
      <c r="S667" t="s">
        <v>7069</v>
      </c>
      <c r="T667" t="s">
        <v>12802</v>
      </c>
      <c r="U667" t="s">
        <v>12802</v>
      </c>
      <c r="V667" t="s">
        <v>12802</v>
      </c>
      <c r="W667" t="s">
        <v>13458</v>
      </c>
      <c r="X667">
        <v>12</v>
      </c>
      <c r="Y667" t="s">
        <v>19781</v>
      </c>
      <c r="Z667" t="s">
        <v>25985</v>
      </c>
      <c r="AA667">
        <v>0.50254327741404448</v>
      </c>
      <c r="AB667" t="str">
        <f>HYPERLINK("Melting_Curves/meltCurve_F5GYN4_OTUB1.pdf", "Melting_Curves/meltCurve_F5GYN4_OTUB1.pdf")</f>
        <v>Melting_Curves/meltCurve_F5GYN4_OTUB1.pdf</v>
      </c>
    </row>
    <row r="668" spans="1:28" x14ac:dyDescent="0.25">
      <c r="A668" t="s">
        <v>672</v>
      </c>
      <c r="B668">
        <v>0.99542014353169495</v>
      </c>
      <c r="C668">
        <v>0.72626024451309101</v>
      </c>
      <c r="D668">
        <v>0.88271265940967603</v>
      </c>
      <c r="E668">
        <v>0.60013033995336895</v>
      </c>
      <c r="F668">
        <v>0.48042370407190099</v>
      </c>
      <c r="G668">
        <v>0.25940076893595299</v>
      </c>
      <c r="H668">
        <v>0.181344762944286</v>
      </c>
      <c r="I668">
        <v>8.8129689239630798E-2</v>
      </c>
      <c r="J668">
        <v>0.103186211612286</v>
      </c>
      <c r="K668">
        <v>9.66992342015187E-2</v>
      </c>
      <c r="L668">
        <v>465.886142640267</v>
      </c>
      <c r="M668">
        <v>9.5425224216246001</v>
      </c>
      <c r="N668">
        <v>48.8221027538345</v>
      </c>
      <c r="O668">
        <v>46.822359088876297</v>
      </c>
      <c r="P668">
        <v>-5.0980300128726397E-2</v>
      </c>
      <c r="Q668">
        <v>0</v>
      </c>
      <c r="R668">
        <v>0.957422933464248</v>
      </c>
      <c r="S668" t="s">
        <v>7070</v>
      </c>
      <c r="T668" t="s">
        <v>12802</v>
      </c>
      <c r="U668" t="s">
        <v>12802</v>
      </c>
      <c r="V668" t="s">
        <v>12802</v>
      </c>
      <c r="W668" t="s">
        <v>13459</v>
      </c>
      <c r="X668">
        <v>11</v>
      </c>
      <c r="Y668" t="s">
        <v>19782</v>
      </c>
      <c r="Z668" t="s">
        <v>25986</v>
      </c>
      <c r="AA668">
        <v>0.43377826654296592</v>
      </c>
      <c r="AB668" t="str">
        <f>HYPERLINK("Melting_Curves/meltCurve_F5GYQ1_ATP6V0D1.pdf", "Melting_Curves/meltCurve_F5GYQ1_ATP6V0D1.pdf")</f>
        <v>Melting_Curves/meltCurve_F5GYQ1_ATP6V0D1.pdf</v>
      </c>
    </row>
    <row r="669" spans="1:28" x14ac:dyDescent="0.25">
      <c r="A669" t="s">
        <v>673</v>
      </c>
      <c r="B669">
        <v>0.99542014353169495</v>
      </c>
      <c r="C669">
        <v>0.92675334680726096</v>
      </c>
      <c r="D669">
        <v>0.76286167661231497</v>
      </c>
      <c r="E669">
        <v>0.54894804834094302</v>
      </c>
      <c r="F669">
        <v>0.304903778095727</v>
      </c>
      <c r="G669">
        <v>0.14119769407323299</v>
      </c>
      <c r="H669">
        <v>0.13626553661378199</v>
      </c>
      <c r="I669">
        <v>7.9019037387124499E-2</v>
      </c>
      <c r="J669">
        <v>0.12275328439755601</v>
      </c>
      <c r="K669">
        <v>0.112623298949413</v>
      </c>
      <c r="L669">
        <v>719.43291012837301</v>
      </c>
      <c r="M669">
        <v>15.531908029600199</v>
      </c>
      <c r="N669">
        <v>46.8907852291333</v>
      </c>
      <c r="O669">
        <v>45.5722220793254</v>
      </c>
      <c r="P669">
        <v>-7.7868977328248198E-2</v>
      </c>
      <c r="Q669">
        <v>8.6178120275344702E-2</v>
      </c>
      <c r="R669">
        <v>0.99580434207901503</v>
      </c>
      <c r="S669" t="s">
        <v>7071</v>
      </c>
      <c r="T669" t="s">
        <v>12802</v>
      </c>
      <c r="U669" t="s">
        <v>12802</v>
      </c>
      <c r="V669" t="s">
        <v>12802</v>
      </c>
      <c r="W669" t="s">
        <v>13460</v>
      </c>
      <c r="X669">
        <v>3</v>
      </c>
      <c r="Y669" t="s">
        <v>19783</v>
      </c>
      <c r="Z669" t="s">
        <v>25987</v>
      </c>
      <c r="AA669">
        <v>0.38964244138371512</v>
      </c>
      <c r="AB669" t="str">
        <f>HYPERLINK("Melting_Curves/meltCurve_F5GYS8_MEIS1.pdf", "Melting_Curves/meltCurve_F5GYS8_MEIS1.pdf")</f>
        <v>Melting_Curves/meltCurve_F5GYS8_MEIS1.pdf</v>
      </c>
    </row>
    <row r="670" spans="1:28" x14ac:dyDescent="0.25">
      <c r="A670" t="s">
        <v>674</v>
      </c>
      <c r="B670">
        <v>0.99542014353169495</v>
      </c>
      <c r="C670">
        <v>0.80806785077360599</v>
      </c>
      <c r="D670">
        <v>1.1520375517922601</v>
      </c>
      <c r="E670">
        <v>0.72910058887948703</v>
      </c>
      <c r="F670">
        <v>0.53244671646818598</v>
      </c>
      <c r="G670">
        <v>8.4151498419543905E-2</v>
      </c>
      <c r="H670">
        <v>4.0548292546231199E-2</v>
      </c>
      <c r="I670">
        <v>0</v>
      </c>
      <c r="J670">
        <v>0</v>
      </c>
      <c r="K670">
        <v>0</v>
      </c>
      <c r="L670">
        <v>1172.21049234269</v>
      </c>
      <c r="M670">
        <v>23.5357905069758</v>
      </c>
      <c r="N670">
        <v>49.805443779564698</v>
      </c>
      <c r="O670">
        <v>49.450063453861098</v>
      </c>
      <c r="P670">
        <v>-0.11898969785151201</v>
      </c>
      <c r="Q670">
        <v>0</v>
      </c>
      <c r="R670">
        <v>0.95380017046193899</v>
      </c>
      <c r="S670" t="s">
        <v>7072</v>
      </c>
      <c r="T670" t="s">
        <v>12802</v>
      </c>
      <c r="U670" t="s">
        <v>12802</v>
      </c>
      <c r="V670" t="s">
        <v>12802</v>
      </c>
      <c r="W670" t="s">
        <v>13461</v>
      </c>
      <c r="X670">
        <v>3</v>
      </c>
      <c r="Y670" t="s">
        <v>19784</v>
      </c>
      <c r="Z670" t="s">
        <v>25988</v>
      </c>
      <c r="AA670">
        <v>0.43663400966019589</v>
      </c>
      <c r="AB670" t="str">
        <f>HYPERLINK("Melting_Curves/meltCurve_F5GZ90_DTL.pdf", "Melting_Curves/meltCurve_F5GZ90_DTL.pdf")</f>
        <v>Melting_Curves/meltCurve_F5GZ90_DTL.pdf</v>
      </c>
    </row>
    <row r="671" spans="1:28" x14ac:dyDescent="0.25">
      <c r="A671" t="s">
        <v>675</v>
      </c>
      <c r="B671">
        <v>0.99542014353169495</v>
      </c>
      <c r="C671">
        <v>1.0019708493220401</v>
      </c>
      <c r="D671">
        <v>0.90007050647647402</v>
      </c>
      <c r="E671">
        <v>0.94883674465914802</v>
      </c>
      <c r="F671">
        <v>0.86881503625467804</v>
      </c>
      <c r="G671">
        <v>0.70714617108862998</v>
      </c>
      <c r="H671">
        <v>0.36582926767016199</v>
      </c>
      <c r="I671">
        <v>0.31167375117970197</v>
      </c>
      <c r="J671">
        <v>0.257539417851186</v>
      </c>
      <c r="K671">
        <v>0.24250349982133501</v>
      </c>
      <c r="L671">
        <v>1172.96870572321</v>
      </c>
      <c r="M671">
        <v>21.557168306492301</v>
      </c>
      <c r="N671">
        <v>55.973247850102602</v>
      </c>
      <c r="O671">
        <v>53.950269396167101</v>
      </c>
      <c r="P671">
        <v>-7.7324918666162507E-2</v>
      </c>
      <c r="Q671">
        <v>0.22594681834355501</v>
      </c>
      <c r="R671">
        <v>0.98334833200398297</v>
      </c>
      <c r="S671" t="s">
        <v>7073</v>
      </c>
      <c r="T671" t="s">
        <v>12802</v>
      </c>
      <c r="U671" t="s">
        <v>12802</v>
      </c>
      <c r="V671" t="s">
        <v>12802</v>
      </c>
      <c r="W671" t="s">
        <v>13462</v>
      </c>
      <c r="X671">
        <v>12</v>
      </c>
      <c r="Y671" t="s">
        <v>19785</v>
      </c>
      <c r="Z671" t="s">
        <v>25989</v>
      </c>
      <c r="AA671">
        <v>0.6835201263752011</v>
      </c>
      <c r="AB671" t="str">
        <f>HYPERLINK("Melting_Curves/meltCurve_F5GZG1_RAP1B.pdf", "Melting_Curves/meltCurve_F5GZG1_RAP1B.pdf")</f>
        <v>Melting_Curves/meltCurve_F5GZG1_RAP1B.pdf</v>
      </c>
    </row>
    <row r="672" spans="1:28" x14ac:dyDescent="0.25">
      <c r="A672" t="s">
        <v>676</v>
      </c>
      <c r="B672">
        <v>0.99542014353169495</v>
      </c>
      <c r="C672">
        <v>0.91234261352019597</v>
      </c>
      <c r="D672">
        <v>0.97889048346684704</v>
      </c>
      <c r="E672">
        <v>0.81479242502540405</v>
      </c>
      <c r="F672">
        <v>0.45123012767385701</v>
      </c>
      <c r="G672">
        <v>0.14992110327713801</v>
      </c>
      <c r="H672">
        <v>7.2749279048485299E-2</v>
      </c>
      <c r="I672">
        <v>5.3026302052707003E-2</v>
      </c>
      <c r="J672">
        <v>5.3840381401902497E-2</v>
      </c>
      <c r="K672">
        <v>4.2896108225363501E-2</v>
      </c>
      <c r="L672">
        <v>1173.90825069059</v>
      </c>
      <c r="M672">
        <v>23.723365252408101</v>
      </c>
      <c r="N672">
        <v>49.660872611634701</v>
      </c>
      <c r="O672">
        <v>49.135624655749801</v>
      </c>
      <c r="P672">
        <v>-0.11579428698012401</v>
      </c>
      <c r="Q672">
        <v>4.0687452767720698E-2</v>
      </c>
      <c r="R672">
        <v>0.99532183534427299</v>
      </c>
      <c r="S672" t="s">
        <v>7074</v>
      </c>
      <c r="T672" t="s">
        <v>12802</v>
      </c>
      <c r="U672" t="s">
        <v>12802</v>
      </c>
      <c r="V672" t="s">
        <v>12802</v>
      </c>
      <c r="W672" t="s">
        <v>13463</v>
      </c>
      <c r="X672">
        <v>20</v>
      </c>
      <c r="Y672" t="s">
        <v>19786</v>
      </c>
      <c r="Z672" t="s">
        <v>25990</v>
      </c>
      <c r="AA672">
        <v>0.4490846396416574</v>
      </c>
      <c r="AB672" t="str">
        <f>HYPERLINK("Melting_Curves/meltCurve_F5GZS0_DHX36.pdf", "Melting_Curves/meltCurve_F5GZS0_DHX36.pdf")</f>
        <v>Melting_Curves/meltCurve_F5GZS0_DHX36.pdf</v>
      </c>
    </row>
    <row r="673" spans="1:28" x14ac:dyDescent="0.25">
      <c r="A673" t="s">
        <v>677</v>
      </c>
      <c r="B673">
        <v>0.99542014353169495</v>
      </c>
      <c r="C673">
        <v>0.95526433343207096</v>
      </c>
      <c r="D673">
        <v>0.96450567440311896</v>
      </c>
      <c r="E673">
        <v>0.90259657039171404</v>
      </c>
      <c r="F673">
        <v>0.75505639706899097</v>
      </c>
      <c r="G673">
        <v>0.55706041967535103</v>
      </c>
      <c r="H673">
        <v>0.426384125552908</v>
      </c>
      <c r="I673">
        <v>0.32232095486934598</v>
      </c>
      <c r="J673">
        <v>0.26206162751733197</v>
      </c>
      <c r="K673">
        <v>0.25855313778012601</v>
      </c>
      <c r="L673">
        <v>713.618757121626</v>
      </c>
      <c r="M673">
        <v>13.431167178020001</v>
      </c>
      <c r="N673">
        <v>55.266857659836703</v>
      </c>
      <c r="O673">
        <v>51.995209120067202</v>
      </c>
      <c r="P673">
        <v>-5.15147842082554E-2</v>
      </c>
      <c r="Q673">
        <v>0.202420675125801</v>
      </c>
      <c r="R673">
        <v>0.99784951778103803</v>
      </c>
      <c r="S673" t="s">
        <v>7075</v>
      </c>
      <c r="T673" t="s">
        <v>12802</v>
      </c>
      <c r="U673" t="s">
        <v>12802</v>
      </c>
      <c r="V673" t="s">
        <v>12802</v>
      </c>
      <c r="W673" t="s">
        <v>13464</v>
      </c>
      <c r="X673">
        <v>26</v>
      </c>
      <c r="Y673" t="s">
        <v>19787</v>
      </c>
      <c r="Z673" t="s">
        <v>25991</v>
      </c>
      <c r="AA673">
        <v>0.64671781993032451</v>
      </c>
      <c r="AB673" t="str">
        <f>HYPERLINK("Melting_Curves/meltCurve_F5GZS6_SLC3A2.pdf", "Melting_Curves/meltCurve_F5GZS6_SLC3A2.pdf")</f>
        <v>Melting_Curves/meltCurve_F5GZS6_SLC3A2.pdf</v>
      </c>
    </row>
    <row r="674" spans="1:28" x14ac:dyDescent="0.25">
      <c r="A674" t="s">
        <v>678</v>
      </c>
      <c r="B674">
        <v>0.99542014353169495</v>
      </c>
      <c r="C674">
        <v>0.98515603428459197</v>
      </c>
      <c r="D674">
        <v>0.83987473906882104</v>
      </c>
      <c r="E674">
        <v>0.35588308776413402</v>
      </c>
      <c r="F674">
        <v>0.203110931859871</v>
      </c>
      <c r="G674">
        <v>0.126661895883388</v>
      </c>
      <c r="H674">
        <v>7.6701863125560099E-2</v>
      </c>
      <c r="I674">
        <v>5.8701936863261903E-2</v>
      </c>
      <c r="J674">
        <v>9.5410073873995194E-2</v>
      </c>
      <c r="K674">
        <v>0.114594494948781</v>
      </c>
      <c r="L674">
        <v>1231.0105715285099</v>
      </c>
      <c r="M674">
        <v>27.197428914301099</v>
      </c>
      <c r="N674">
        <v>45.624931902626301</v>
      </c>
      <c r="O674">
        <v>45.019449901344402</v>
      </c>
      <c r="P674">
        <v>-0.13634244580601401</v>
      </c>
      <c r="Q674">
        <v>9.7267299325311099E-2</v>
      </c>
      <c r="R674">
        <v>0.99580519732121497</v>
      </c>
      <c r="S674" t="s">
        <v>7076</v>
      </c>
      <c r="T674" t="s">
        <v>12802</v>
      </c>
      <c r="U674" t="s">
        <v>12802</v>
      </c>
      <c r="V674" t="s">
        <v>12802</v>
      </c>
      <c r="W674" t="s">
        <v>13465</v>
      </c>
      <c r="X674">
        <v>6</v>
      </c>
      <c r="Y674" t="s">
        <v>19788</v>
      </c>
      <c r="Z674" t="s">
        <v>25992</v>
      </c>
      <c r="AA674">
        <v>0.35211082938986771</v>
      </c>
      <c r="AB674" t="str">
        <f>HYPERLINK("Melting_Curves/meltCurve_F5GZW3_ARHGAP4.pdf", "Melting_Curves/meltCurve_F5GZW3_ARHGAP4.pdf")</f>
        <v>Melting_Curves/meltCurve_F5GZW3_ARHGAP4.pdf</v>
      </c>
    </row>
    <row r="675" spans="1:28" x14ac:dyDescent="0.25">
      <c r="A675" t="s">
        <v>679</v>
      </c>
      <c r="B675">
        <v>0.99542014353169495</v>
      </c>
      <c r="C675">
        <v>1.0288445481623301</v>
      </c>
      <c r="D675">
        <v>1.0552319624523501</v>
      </c>
      <c r="E675">
        <v>0.705747383715849</v>
      </c>
      <c r="F675">
        <v>0.25901024446472398</v>
      </c>
      <c r="G675">
        <v>0.108010647142189</v>
      </c>
      <c r="H675">
        <v>6.1933196441952797E-2</v>
      </c>
      <c r="I675">
        <v>4.65650558231617E-2</v>
      </c>
      <c r="J675">
        <v>4.18213378876039E-2</v>
      </c>
      <c r="K675">
        <v>4.7915848122932002E-2</v>
      </c>
      <c r="L675">
        <v>1459.5866999442001</v>
      </c>
      <c r="M675">
        <v>30.413473405135399</v>
      </c>
      <c r="N675">
        <v>48.169616959935503</v>
      </c>
      <c r="O675">
        <v>47.785399534188102</v>
      </c>
      <c r="P675">
        <v>-0.150651309378075</v>
      </c>
      <c r="Q675">
        <v>5.3197461044467098E-2</v>
      </c>
      <c r="R675">
        <v>0.99517507682455297</v>
      </c>
      <c r="S675" t="s">
        <v>7077</v>
      </c>
      <c r="T675" t="s">
        <v>12802</v>
      </c>
      <c r="U675" t="s">
        <v>12802</v>
      </c>
      <c r="V675" t="s">
        <v>12802</v>
      </c>
      <c r="W675" t="s">
        <v>13466</v>
      </c>
      <c r="X675">
        <v>10</v>
      </c>
      <c r="Y675" t="s">
        <v>19789</v>
      </c>
      <c r="Z675" t="s">
        <v>25993</v>
      </c>
      <c r="AA675">
        <v>0.40554308689750768</v>
      </c>
      <c r="AB675" t="str">
        <f>HYPERLINK("Melting_Curves/meltCurve_F5GZX9_FAM120B.pdf", "Melting_Curves/meltCurve_F5GZX9_FAM120B.pdf")</f>
        <v>Melting_Curves/meltCurve_F5GZX9_FAM120B.pdf</v>
      </c>
    </row>
    <row r="676" spans="1:28" x14ac:dyDescent="0.25">
      <c r="A676" t="s">
        <v>680</v>
      </c>
      <c r="B676">
        <v>0.99542014353169495</v>
      </c>
      <c r="C676">
        <v>0.93087467795159295</v>
      </c>
      <c r="D676">
        <v>0.95505068107457003</v>
      </c>
      <c r="E676">
        <v>0.68457264752976899</v>
      </c>
      <c r="F676">
        <v>0.50391774885745499</v>
      </c>
      <c r="G676">
        <v>0.30265470313298098</v>
      </c>
      <c r="H676">
        <v>0.21492108349658201</v>
      </c>
      <c r="I676">
        <v>0.21995568601118701</v>
      </c>
      <c r="J676">
        <v>0.266594926890039</v>
      </c>
      <c r="K676">
        <v>0.351921229684863</v>
      </c>
      <c r="L676">
        <v>963.44938709265602</v>
      </c>
      <c r="M676">
        <v>20.1990758766303</v>
      </c>
      <c r="N676">
        <v>49.452035576395801</v>
      </c>
      <c r="O676">
        <v>47.237560115537299</v>
      </c>
      <c r="P676">
        <v>-7.9559882738433799E-2</v>
      </c>
      <c r="Q676">
        <v>0.25578807720429902</v>
      </c>
      <c r="R676">
        <v>0.975585770582172</v>
      </c>
      <c r="S676" t="s">
        <v>7078</v>
      </c>
      <c r="T676" t="s">
        <v>12802</v>
      </c>
      <c r="U676" t="s">
        <v>12802</v>
      </c>
      <c r="V676" t="s">
        <v>12802</v>
      </c>
      <c r="W676" t="s">
        <v>13467</v>
      </c>
      <c r="X676">
        <v>1</v>
      </c>
      <c r="Y676" t="s">
        <v>19790</v>
      </c>
      <c r="Z676" t="s">
        <v>25994</v>
      </c>
      <c r="AA676">
        <v>0.53075011440998809</v>
      </c>
      <c r="AB676" t="str">
        <f>HYPERLINK("Melting_Curves/meltCurve_F5GZZ0_ALKBH2.pdf", "Melting_Curves/meltCurve_F5GZZ0_ALKBH2.pdf")</f>
        <v>Melting_Curves/meltCurve_F5GZZ0_ALKBH2.pdf</v>
      </c>
    </row>
    <row r="677" spans="1:28" x14ac:dyDescent="0.25">
      <c r="A677" t="s">
        <v>681</v>
      </c>
      <c r="B677">
        <v>0.99542014353169495</v>
      </c>
      <c r="C677">
        <v>1.06000824199146</v>
      </c>
      <c r="D677">
        <v>0.93162504190461004</v>
      </c>
      <c r="E677">
        <v>0.73267573696737198</v>
      </c>
      <c r="F677">
        <v>0.416238778598643</v>
      </c>
      <c r="G677">
        <v>0.292967694385668</v>
      </c>
      <c r="H677">
        <v>0.20003774335635099</v>
      </c>
      <c r="I677">
        <v>0.17915354652971899</v>
      </c>
      <c r="J677">
        <v>0.243826533228891</v>
      </c>
      <c r="K677">
        <v>0.19984186099564899</v>
      </c>
      <c r="L677">
        <v>1075.21329826339</v>
      </c>
      <c r="M677">
        <v>22.390816698829202</v>
      </c>
      <c r="N677">
        <v>49.161734918465797</v>
      </c>
      <c r="O677">
        <v>47.642192994104803</v>
      </c>
      <c r="P677">
        <v>-9.3680124354089497E-2</v>
      </c>
      <c r="Q677">
        <v>0.20270323180833499</v>
      </c>
      <c r="R677">
        <v>0.99295000366974895</v>
      </c>
      <c r="S677" t="s">
        <v>7079</v>
      </c>
      <c r="T677" t="s">
        <v>12802</v>
      </c>
      <c r="U677" t="s">
        <v>12802</v>
      </c>
      <c r="V677" t="s">
        <v>12802</v>
      </c>
      <c r="W677" t="s">
        <v>13468</v>
      </c>
      <c r="X677">
        <v>5</v>
      </c>
      <c r="Y677" t="s">
        <v>19791</v>
      </c>
      <c r="Z677" t="s">
        <v>25995</v>
      </c>
      <c r="AA677">
        <v>0.50402075788691159</v>
      </c>
      <c r="AB677" t="str">
        <f>HYPERLINK("Melting_Curves/meltCurve_F5H012_TRIM21.pdf", "Melting_Curves/meltCurve_F5H012_TRIM21.pdf")</f>
        <v>Melting_Curves/meltCurve_F5H012_TRIM21.pdf</v>
      </c>
    </row>
    <row r="678" spans="1:28" x14ac:dyDescent="0.25">
      <c r="A678" t="s">
        <v>682</v>
      </c>
      <c r="B678">
        <v>0.99542014353169495</v>
      </c>
      <c r="C678">
        <v>0.97835337390236898</v>
      </c>
      <c r="D678">
        <v>0.89858233167253498</v>
      </c>
      <c r="E678">
        <v>0.55610969459287096</v>
      </c>
      <c r="F678">
        <v>0.190871987420072</v>
      </c>
      <c r="G678">
        <v>0.10215161129888201</v>
      </c>
      <c r="H678">
        <v>7.5492374896051304E-2</v>
      </c>
      <c r="I678">
        <v>5.6021887640726097E-2</v>
      </c>
      <c r="J678">
        <v>4.7799990416508502E-2</v>
      </c>
      <c r="K678">
        <v>4.3766365565805203E-2</v>
      </c>
      <c r="L678">
        <v>1143.86462713387</v>
      </c>
      <c r="M678">
        <v>24.4471959186601</v>
      </c>
      <c r="N678">
        <v>47.003235344166498</v>
      </c>
      <c r="O678">
        <v>46.479510081825801</v>
      </c>
      <c r="P678">
        <v>-0.124569703844033</v>
      </c>
      <c r="Q678">
        <v>5.2676273563635898E-2</v>
      </c>
      <c r="R678">
        <v>0.99954210259422605</v>
      </c>
      <c r="S678" t="s">
        <v>7080</v>
      </c>
      <c r="T678" t="s">
        <v>12802</v>
      </c>
      <c r="U678" t="s">
        <v>12802</v>
      </c>
      <c r="V678" t="s">
        <v>12802</v>
      </c>
      <c r="W678" t="s">
        <v>13469</v>
      </c>
      <c r="X678">
        <v>17</v>
      </c>
      <c r="Y678" t="s">
        <v>19792</v>
      </c>
      <c r="Z678" t="s">
        <v>25996</v>
      </c>
      <c r="AA678">
        <v>0.37009221776301288</v>
      </c>
      <c r="AB678" t="str">
        <f>HYPERLINK("Melting_Curves/meltCurve_F5H070_KDM3A.pdf", "Melting_Curves/meltCurve_F5H070_KDM3A.pdf")</f>
        <v>Melting_Curves/meltCurve_F5H070_KDM3A.pdf</v>
      </c>
    </row>
    <row r="679" spans="1:28" x14ac:dyDescent="0.25">
      <c r="A679" t="s">
        <v>683</v>
      </c>
      <c r="B679">
        <v>0.99542014353169495</v>
      </c>
      <c r="C679">
        <v>0.86560585076540797</v>
      </c>
      <c r="D679">
        <v>0.86726173397352702</v>
      </c>
      <c r="E679">
        <v>0.67436730515787502</v>
      </c>
      <c r="F679">
        <v>0.39392511935083302</v>
      </c>
      <c r="G679">
        <v>0.18407919746774701</v>
      </c>
      <c r="H679">
        <v>0.10094722518881399</v>
      </c>
      <c r="I679">
        <v>7.53993778662463E-2</v>
      </c>
      <c r="J679">
        <v>8.1143469959248093E-2</v>
      </c>
      <c r="K679">
        <v>0.12657596022713999</v>
      </c>
      <c r="L679">
        <v>746.98358383847096</v>
      </c>
      <c r="M679">
        <v>15.5366255528895</v>
      </c>
      <c r="N679">
        <v>48.485245654563798</v>
      </c>
      <c r="O679">
        <v>47.303501138871297</v>
      </c>
      <c r="P679">
        <v>-7.7105547252948603E-2</v>
      </c>
      <c r="Q679">
        <v>6.1046813808163999E-2</v>
      </c>
      <c r="R679">
        <v>0.98779808240188904</v>
      </c>
      <c r="S679" t="s">
        <v>7081</v>
      </c>
      <c r="T679" t="s">
        <v>12802</v>
      </c>
      <c r="U679" t="s">
        <v>12802</v>
      </c>
      <c r="V679" t="s">
        <v>12802</v>
      </c>
      <c r="W679" t="s">
        <v>13470</v>
      </c>
      <c r="X679">
        <v>5</v>
      </c>
      <c r="Y679" t="s">
        <v>19793</v>
      </c>
      <c r="Z679" t="s">
        <v>25997</v>
      </c>
      <c r="AA679">
        <v>0.42725205285461959</v>
      </c>
      <c r="AB679" t="str">
        <f>HYPERLINK("Melting_Curves/meltCurve_F5H0F9_ANAPC5.pdf", "Melting_Curves/meltCurve_F5H0F9_ANAPC5.pdf")</f>
        <v>Melting_Curves/meltCurve_F5H0F9_ANAPC5.pdf</v>
      </c>
    </row>
    <row r="680" spans="1:28" x14ac:dyDescent="0.25">
      <c r="A680" t="s">
        <v>684</v>
      </c>
      <c r="B680">
        <v>0.99542014353169495</v>
      </c>
      <c r="C680">
        <v>1.1252339848638599</v>
      </c>
      <c r="D680">
        <v>0.90436967504202803</v>
      </c>
      <c r="E680">
        <v>0.60067156387835097</v>
      </c>
      <c r="F680">
        <v>0.38690842605040299</v>
      </c>
      <c r="G680">
        <v>0.19992758073870701</v>
      </c>
      <c r="H680">
        <v>0.14145300472038599</v>
      </c>
      <c r="I680">
        <v>7.3214508765772304E-2</v>
      </c>
      <c r="J680">
        <v>0.101650010891236</v>
      </c>
      <c r="K680">
        <v>0.206703622935064</v>
      </c>
      <c r="L680">
        <v>973.045037489479</v>
      </c>
      <c r="M680">
        <v>20.506473039629501</v>
      </c>
      <c r="N680">
        <v>48.134996528488003</v>
      </c>
      <c r="O680">
        <v>47.006301249489503</v>
      </c>
      <c r="P680">
        <v>-9.5274617537195697E-2</v>
      </c>
      <c r="Q680">
        <v>0.12644653707751999</v>
      </c>
      <c r="R680">
        <v>0.97581491027567802</v>
      </c>
      <c r="S680" t="s">
        <v>7082</v>
      </c>
      <c r="T680" t="s">
        <v>12802</v>
      </c>
      <c r="U680" t="s">
        <v>12802</v>
      </c>
      <c r="V680" t="s">
        <v>12802</v>
      </c>
      <c r="W680" t="s">
        <v>13471</v>
      </c>
      <c r="X680">
        <v>4</v>
      </c>
      <c r="Y680" t="s">
        <v>19794</v>
      </c>
      <c r="Z680" t="s">
        <v>25998</v>
      </c>
      <c r="AA680">
        <v>0.44166599931677553</v>
      </c>
      <c r="AB680" t="str">
        <f>HYPERLINK("Melting_Curves/meltCurve_F5H0I3_SOX5.pdf", "Melting_Curves/meltCurve_F5H0I3_SOX5.pdf")</f>
        <v>Melting_Curves/meltCurve_F5H0I3_SOX5.pdf</v>
      </c>
    </row>
    <row r="681" spans="1:28" x14ac:dyDescent="0.25">
      <c r="A681" t="s">
        <v>685</v>
      </c>
      <c r="B681">
        <v>0.99542014353169495</v>
      </c>
      <c r="C681">
        <v>0.88672403596424298</v>
      </c>
      <c r="D681">
        <v>0.78209024985845899</v>
      </c>
      <c r="E681">
        <v>0.48670578881388799</v>
      </c>
      <c r="F681">
        <v>0.11509239235643499</v>
      </c>
      <c r="G681">
        <v>8.2046700210262197E-2</v>
      </c>
      <c r="H681">
        <v>5.0645835944009801E-2</v>
      </c>
      <c r="I681">
        <v>4.4016653072600297E-2</v>
      </c>
      <c r="J681">
        <v>8.2954339668741703E-2</v>
      </c>
      <c r="K681">
        <v>5.83688712536444E-2</v>
      </c>
      <c r="L681">
        <v>912.85181262019705</v>
      </c>
      <c r="M681">
        <v>19.962531929337501</v>
      </c>
      <c r="N681">
        <v>45.935565539949003</v>
      </c>
      <c r="O681">
        <v>45.276794324849</v>
      </c>
      <c r="P681">
        <v>-0.10548038311781301</v>
      </c>
      <c r="Q681">
        <v>4.30759624327645E-2</v>
      </c>
      <c r="R681">
        <v>0.990462947016995</v>
      </c>
      <c r="S681" t="s">
        <v>7083</v>
      </c>
      <c r="T681" t="s">
        <v>12802</v>
      </c>
      <c r="U681" t="s">
        <v>12802</v>
      </c>
      <c r="V681" t="s">
        <v>12802</v>
      </c>
      <c r="W681" t="s">
        <v>13472</v>
      </c>
      <c r="X681">
        <v>10</v>
      </c>
      <c r="Y681" t="s">
        <v>19795</v>
      </c>
      <c r="Z681" t="s">
        <v>25999</v>
      </c>
      <c r="AA681">
        <v>0.33405025385688591</v>
      </c>
      <c r="AB681" t="str">
        <f>HYPERLINK("Melting_Curves/meltCurve_F5H0K8_KSR1.pdf", "Melting_Curves/meltCurve_F5H0K8_KSR1.pdf")</f>
        <v>Melting_Curves/meltCurve_F5H0K8_KSR1.pdf</v>
      </c>
    </row>
    <row r="682" spans="1:28" x14ac:dyDescent="0.25">
      <c r="A682" t="s">
        <v>686</v>
      </c>
      <c r="B682">
        <v>0.99542014353169495</v>
      </c>
      <c r="C682">
        <v>0.93979273388900497</v>
      </c>
      <c r="D682">
        <v>0.93458845029716497</v>
      </c>
      <c r="E682">
        <v>0.59352314879968604</v>
      </c>
      <c r="F682">
        <v>0.21448889063510901</v>
      </c>
      <c r="G682">
        <v>0.126255757090451</v>
      </c>
      <c r="H682">
        <v>7.8135993531911099E-2</v>
      </c>
      <c r="I682">
        <v>4.7321015903472999E-2</v>
      </c>
      <c r="J682">
        <v>5.39931636745489E-2</v>
      </c>
      <c r="K682">
        <v>5.1791785804488899E-2</v>
      </c>
      <c r="L682">
        <v>1158.0302131118999</v>
      </c>
      <c r="M682">
        <v>24.575735824694998</v>
      </c>
      <c r="N682">
        <v>47.355425008594104</v>
      </c>
      <c r="O682">
        <v>46.8121992747325</v>
      </c>
      <c r="P682">
        <v>-0.123727416090006</v>
      </c>
      <c r="Q682">
        <v>5.7302781570019799E-2</v>
      </c>
      <c r="R682">
        <v>0.99746518689198904</v>
      </c>
      <c r="S682" t="s">
        <v>7084</v>
      </c>
      <c r="T682" t="s">
        <v>12802</v>
      </c>
      <c r="U682" t="s">
        <v>12802</v>
      </c>
      <c r="V682" t="s">
        <v>12802</v>
      </c>
      <c r="W682" t="s">
        <v>13473</v>
      </c>
      <c r="X682">
        <v>20</v>
      </c>
      <c r="Y682" t="s">
        <v>19796</v>
      </c>
      <c r="Z682" t="s">
        <v>26000</v>
      </c>
      <c r="AA682">
        <v>0.38354141750184961</v>
      </c>
      <c r="AB682" t="str">
        <f>HYPERLINK("Melting_Curves/meltCurve_F5H0L8_SEC23IP.pdf", "Melting_Curves/meltCurve_F5H0L8_SEC23IP.pdf")</f>
        <v>Melting_Curves/meltCurve_F5H0L8_SEC23IP.pdf</v>
      </c>
    </row>
    <row r="683" spans="1:28" x14ac:dyDescent="0.25">
      <c r="A683" t="s">
        <v>687</v>
      </c>
      <c r="B683">
        <v>0.99542014353169495</v>
      </c>
      <c r="C683">
        <v>0.97707537223851804</v>
      </c>
      <c r="D683">
        <v>1.0033610446032799</v>
      </c>
      <c r="E683">
        <v>0.78272021606721398</v>
      </c>
      <c r="F683">
        <v>0.45940045423077602</v>
      </c>
      <c r="G683">
        <v>0.24844513585855699</v>
      </c>
      <c r="H683">
        <v>0.20031936626860999</v>
      </c>
      <c r="I683">
        <v>0.109256571314664</v>
      </c>
      <c r="J683">
        <v>0.14553026471177399</v>
      </c>
      <c r="K683">
        <v>0.12983174142932499</v>
      </c>
      <c r="L683">
        <v>1068.5563928415099</v>
      </c>
      <c r="M683">
        <v>21.767581393516299</v>
      </c>
      <c r="N683">
        <v>49.791260092174397</v>
      </c>
      <c r="O683">
        <v>48.680700686499499</v>
      </c>
      <c r="P683">
        <v>-9.7020132168950196E-2</v>
      </c>
      <c r="Q683">
        <v>0.13212296426307901</v>
      </c>
      <c r="R683">
        <v>0.99669258284510498</v>
      </c>
      <c r="S683" t="s">
        <v>7085</v>
      </c>
      <c r="T683" t="s">
        <v>12802</v>
      </c>
      <c r="U683" t="s">
        <v>12802</v>
      </c>
      <c r="V683" t="s">
        <v>12802</v>
      </c>
      <c r="W683" t="s">
        <v>13474</v>
      </c>
      <c r="X683">
        <v>2</v>
      </c>
      <c r="Y683" t="s">
        <v>19797</v>
      </c>
      <c r="Z683" t="s">
        <v>26001</v>
      </c>
      <c r="AA683">
        <v>0.49163881414883381</v>
      </c>
      <c r="AB683" t="str">
        <f>HYPERLINK("Melting_Curves/meltCurve_F5H0Q6_CLASRP.pdf", "Melting_Curves/meltCurve_F5H0Q6_CLASRP.pdf")</f>
        <v>Melting_Curves/meltCurve_F5H0Q6_CLASRP.pdf</v>
      </c>
    </row>
    <row r="684" spans="1:28" x14ac:dyDescent="0.25">
      <c r="A684" t="s">
        <v>688</v>
      </c>
      <c r="B684">
        <v>0.99542014353169495</v>
      </c>
      <c r="C684">
        <v>0.888524289429651</v>
      </c>
      <c r="D684">
        <v>0.74878051837288395</v>
      </c>
      <c r="E684">
        <v>0.29219095465566097</v>
      </c>
      <c r="F684">
        <v>0.137934914541638</v>
      </c>
      <c r="G684">
        <v>7.61123323172848E-2</v>
      </c>
      <c r="H684">
        <v>4.7416606488613802E-2</v>
      </c>
      <c r="I684">
        <v>2.78488935325352E-2</v>
      </c>
      <c r="J684">
        <v>3.3849706667828598E-2</v>
      </c>
      <c r="K684">
        <v>2.9771511534054201E-2</v>
      </c>
      <c r="L684">
        <v>959.05692348679997</v>
      </c>
      <c r="M684">
        <v>21.4409798808781</v>
      </c>
      <c r="N684">
        <v>44.884359164527503</v>
      </c>
      <c r="O684">
        <v>44.346437051263699</v>
      </c>
      <c r="P684">
        <v>-0.116581270129565</v>
      </c>
      <c r="Q684">
        <v>3.5522304162971703E-2</v>
      </c>
      <c r="R684">
        <v>0.99647774266828704</v>
      </c>
      <c r="S684" t="s">
        <v>7086</v>
      </c>
      <c r="T684" t="s">
        <v>12802</v>
      </c>
      <c r="U684" t="s">
        <v>12802</v>
      </c>
      <c r="V684" t="s">
        <v>12802</v>
      </c>
      <c r="W684" t="s">
        <v>13475</v>
      </c>
      <c r="X684">
        <v>7</v>
      </c>
      <c r="Y684" t="s">
        <v>19798</v>
      </c>
      <c r="Z684" t="s">
        <v>26002</v>
      </c>
      <c r="AA684">
        <v>0.29500214376219341</v>
      </c>
      <c r="AB684" t="str">
        <f>HYPERLINK("Melting_Curves/meltCurve_F5H0R1_TUT1.pdf", "Melting_Curves/meltCurve_F5H0R1_TUT1.pdf")</f>
        <v>Melting_Curves/meltCurve_F5H0R1_TUT1.pdf</v>
      </c>
    </row>
    <row r="685" spans="1:28" x14ac:dyDescent="0.25">
      <c r="A685" t="s">
        <v>689</v>
      </c>
      <c r="B685">
        <v>0.99542014353169495</v>
      </c>
      <c r="C685">
        <v>1.04170605264885</v>
      </c>
      <c r="D685">
        <v>1.0879205618112899</v>
      </c>
      <c r="E685">
        <v>0.89704731262775395</v>
      </c>
      <c r="F685">
        <v>0.50503892820665897</v>
      </c>
      <c r="G685">
        <v>0.21205084356788101</v>
      </c>
      <c r="H685">
        <v>0.11806241762681299</v>
      </c>
      <c r="I685">
        <v>8.1912970710169897E-2</v>
      </c>
      <c r="J685">
        <v>7.5865608225464495E-2</v>
      </c>
      <c r="K685">
        <v>7.6710849639790704E-2</v>
      </c>
      <c r="L685">
        <v>1416.8207567192401</v>
      </c>
      <c r="M685">
        <v>28.327841059170801</v>
      </c>
      <c r="N685">
        <v>50.337652237277801</v>
      </c>
      <c r="O685">
        <v>49.767878484167497</v>
      </c>
      <c r="P685">
        <v>-0.13049133713335501</v>
      </c>
      <c r="Q685">
        <v>8.2990643752411705E-2</v>
      </c>
      <c r="R685">
        <v>0.99333103857763905</v>
      </c>
      <c r="S685" t="s">
        <v>7087</v>
      </c>
      <c r="T685" t="s">
        <v>12802</v>
      </c>
      <c r="U685" t="s">
        <v>12802</v>
      </c>
      <c r="V685" t="s">
        <v>12802</v>
      </c>
      <c r="W685" t="s">
        <v>13476</v>
      </c>
      <c r="X685">
        <v>2</v>
      </c>
      <c r="Y685" t="s">
        <v>19799</v>
      </c>
      <c r="Z685" t="s">
        <v>26003</v>
      </c>
      <c r="AA685">
        <v>0.48712354402021102</v>
      </c>
      <c r="AB685" t="str">
        <f>HYPERLINK("Melting_Curves/meltCurve_F5H0U5_GLTP.pdf", "Melting_Curves/meltCurve_F5H0U5_GLTP.pdf")</f>
        <v>Melting_Curves/meltCurve_F5H0U5_GLTP.pdf</v>
      </c>
    </row>
    <row r="686" spans="1:28" x14ac:dyDescent="0.25">
      <c r="A686" t="s">
        <v>690</v>
      </c>
      <c r="B686">
        <v>0.99542014353169495</v>
      </c>
      <c r="C686">
        <v>0.79210045149150399</v>
      </c>
      <c r="D686">
        <v>0.88889437486279799</v>
      </c>
      <c r="E686">
        <v>0.80051658113134605</v>
      </c>
      <c r="F686">
        <v>0.72001941486037702</v>
      </c>
      <c r="G686">
        <v>0.56233232681315604</v>
      </c>
      <c r="H686">
        <v>0.48386185082873501</v>
      </c>
      <c r="I686">
        <v>0.48857565532831698</v>
      </c>
      <c r="J686">
        <v>0.21219016737777999</v>
      </c>
      <c r="K686">
        <v>5.8967286255348701E-2</v>
      </c>
      <c r="L686">
        <v>420.393006264718</v>
      </c>
      <c r="M686">
        <v>7.5540678543286504</v>
      </c>
      <c r="N686">
        <v>55.651209017975901</v>
      </c>
      <c r="O686">
        <v>52.152327256490402</v>
      </c>
      <c r="P686">
        <v>-3.6262257067570698E-2</v>
      </c>
      <c r="Q686">
        <v>0</v>
      </c>
      <c r="R686">
        <v>0.90149941643454301</v>
      </c>
      <c r="S686" t="s">
        <v>7088</v>
      </c>
      <c r="T686" t="s">
        <v>12802</v>
      </c>
      <c r="U686" t="s">
        <v>12802</v>
      </c>
      <c r="V686" t="s">
        <v>12802</v>
      </c>
      <c r="W686" t="s">
        <v>13477</v>
      </c>
      <c r="X686">
        <v>1</v>
      </c>
      <c r="Y686" t="s">
        <v>19800</v>
      </c>
      <c r="Z686" t="s">
        <v>26004</v>
      </c>
      <c r="AA686">
        <v>0.6207084736055829</v>
      </c>
      <c r="AB686" t="str">
        <f>HYPERLINK("Melting_Curves/meltCurve_F5H149_CCDC180.pdf", "Melting_Curves/meltCurve_F5H149_CCDC180.pdf")</f>
        <v>Melting_Curves/meltCurve_F5H149_CCDC180.pdf</v>
      </c>
    </row>
    <row r="687" spans="1:28" x14ac:dyDescent="0.25">
      <c r="A687" t="s">
        <v>691</v>
      </c>
      <c r="B687">
        <v>0.99542014353169495</v>
      </c>
      <c r="C687">
        <v>0.95854591127967603</v>
      </c>
      <c r="D687">
        <v>1.0423168290776199</v>
      </c>
      <c r="E687">
        <v>0.69380907663215596</v>
      </c>
      <c r="F687">
        <v>0.49273495616141499</v>
      </c>
      <c r="G687">
        <v>0.252436102468311</v>
      </c>
      <c r="H687">
        <v>0.197079019680347</v>
      </c>
      <c r="I687">
        <v>0.14314037727392301</v>
      </c>
      <c r="J687">
        <v>0.20469348348695901</v>
      </c>
      <c r="K687">
        <v>0.13022217294128599</v>
      </c>
      <c r="L687">
        <v>973.53814954609197</v>
      </c>
      <c r="M687">
        <v>19.9823619271715</v>
      </c>
      <c r="N687">
        <v>49.626942628262498</v>
      </c>
      <c r="O687">
        <v>48.239809748513103</v>
      </c>
      <c r="P687">
        <v>-8.7717824639876499E-2</v>
      </c>
      <c r="Q687">
        <v>0.15298242311820401</v>
      </c>
      <c r="R687">
        <v>0.98496688588203996</v>
      </c>
      <c r="S687" t="s">
        <v>7089</v>
      </c>
      <c r="T687" t="s">
        <v>12802</v>
      </c>
      <c r="U687" t="s">
        <v>12802</v>
      </c>
      <c r="V687" t="s">
        <v>12802</v>
      </c>
      <c r="W687" t="s">
        <v>13478</v>
      </c>
      <c r="X687">
        <v>1</v>
      </c>
      <c r="Y687" t="s">
        <v>19801</v>
      </c>
      <c r="Z687" t="s">
        <v>26005</v>
      </c>
      <c r="AA687">
        <v>0.49505161977140139</v>
      </c>
      <c r="AB687" t="str">
        <f>HYPERLINK("Melting_Curves/meltCurve_F5H1B4_ZNF562.pdf", "Melting_Curves/meltCurve_F5H1B4_ZNF562.pdf")</f>
        <v>Melting_Curves/meltCurve_F5H1B4_ZNF562.pdf</v>
      </c>
    </row>
    <row r="688" spans="1:28" x14ac:dyDescent="0.25">
      <c r="A688" t="s">
        <v>692</v>
      </c>
      <c r="B688">
        <v>0.99542014353169495</v>
      </c>
      <c r="C688">
        <v>0.82650129482544099</v>
      </c>
      <c r="D688">
        <v>0.91067781021387895</v>
      </c>
      <c r="E688">
        <v>0.66312977219300795</v>
      </c>
      <c r="F688">
        <v>0.34800676091319799</v>
      </c>
      <c r="G688">
        <v>0.112941252571755</v>
      </c>
      <c r="H688">
        <v>6.9544208932365098E-2</v>
      </c>
      <c r="I688">
        <v>4.9880574758095098E-2</v>
      </c>
      <c r="J688">
        <v>6.3423806163294294E-2</v>
      </c>
      <c r="K688">
        <v>7.2975402458671998E-2</v>
      </c>
      <c r="L688">
        <v>871.81285106127302</v>
      </c>
      <c r="M688">
        <v>18.174337072050498</v>
      </c>
      <c r="N688">
        <v>48.178871103338999</v>
      </c>
      <c r="O688">
        <v>47.399995374620602</v>
      </c>
      <c r="P688">
        <v>-9.2219920895320801E-2</v>
      </c>
      <c r="Q688">
        <v>3.7980615496357797E-2</v>
      </c>
      <c r="R688">
        <v>0.98116829995784705</v>
      </c>
      <c r="S688" t="s">
        <v>7090</v>
      </c>
      <c r="T688" t="s">
        <v>12802</v>
      </c>
      <c r="U688" t="s">
        <v>12802</v>
      </c>
      <c r="V688" t="s">
        <v>12802</v>
      </c>
      <c r="W688" t="s">
        <v>13479</v>
      </c>
      <c r="X688">
        <v>9</v>
      </c>
      <c r="Y688" t="s">
        <v>19802</v>
      </c>
      <c r="Z688" t="s">
        <v>26006</v>
      </c>
      <c r="AA688">
        <v>0.40485070683851709</v>
      </c>
      <c r="AB688" t="str">
        <f>HYPERLINK("Melting_Curves/meltCurve_F5H1G9_ABI1.pdf", "Melting_Curves/meltCurve_F5H1G9_ABI1.pdf")</f>
        <v>Melting_Curves/meltCurve_F5H1G9_ABI1.pdf</v>
      </c>
    </row>
    <row r="689" spans="1:28" x14ac:dyDescent="0.25">
      <c r="A689" t="s">
        <v>693</v>
      </c>
      <c r="B689">
        <v>0.99542014353169495</v>
      </c>
      <c r="C689">
        <v>0.96834952998132795</v>
      </c>
      <c r="D689">
        <v>0.93133464995275295</v>
      </c>
      <c r="E689">
        <v>0.92391815897878904</v>
      </c>
      <c r="F689">
        <v>0.60162424222716104</v>
      </c>
      <c r="G689">
        <v>0.49119584119780602</v>
      </c>
      <c r="H689">
        <v>0.33175473135674399</v>
      </c>
      <c r="I689">
        <v>0.30035411922660199</v>
      </c>
      <c r="J689">
        <v>0.38589139334943801</v>
      </c>
      <c r="K689">
        <v>0.34062388988069398</v>
      </c>
      <c r="L689">
        <v>1122.64122196837</v>
      </c>
      <c r="M689">
        <v>22.539286327466701</v>
      </c>
      <c r="N689">
        <v>52.385840198296698</v>
      </c>
      <c r="O689">
        <v>49.421086665967401</v>
      </c>
      <c r="P689">
        <v>-7.58151939201962E-2</v>
      </c>
      <c r="Q689">
        <v>0.33506436559330399</v>
      </c>
      <c r="R689">
        <v>0.98162153790153595</v>
      </c>
      <c r="S689" t="s">
        <v>7091</v>
      </c>
      <c r="T689" t="s">
        <v>12802</v>
      </c>
      <c r="U689" t="s">
        <v>12802</v>
      </c>
      <c r="V689" t="s">
        <v>12802</v>
      </c>
      <c r="W689" t="s">
        <v>13480</v>
      </c>
      <c r="X689">
        <v>10</v>
      </c>
      <c r="Y689" t="s">
        <v>19803</v>
      </c>
      <c r="Z689" t="s">
        <v>26007</v>
      </c>
      <c r="AA689">
        <v>0.62600673866575152</v>
      </c>
      <c r="AB689" t="str">
        <f>HYPERLINK("Melting_Curves/meltCurve_F5H1L4_TXNRD2.pdf", "Melting_Curves/meltCurve_F5H1L4_TXNRD2.pdf")</f>
        <v>Melting_Curves/meltCurve_F5H1L4_TXNRD2.pdf</v>
      </c>
    </row>
    <row r="690" spans="1:28" x14ac:dyDescent="0.25">
      <c r="A690" t="s">
        <v>694</v>
      </c>
      <c r="B690">
        <v>0.99542014353169495</v>
      </c>
      <c r="C690">
        <v>0.92963056247863196</v>
      </c>
      <c r="D690">
        <v>0.93931457835841703</v>
      </c>
      <c r="E690">
        <v>0.70378319898330699</v>
      </c>
      <c r="F690">
        <v>0.28167168057272501</v>
      </c>
      <c r="G690">
        <v>0.106271075293786</v>
      </c>
      <c r="H690">
        <v>6.9815684573160799E-2</v>
      </c>
      <c r="I690">
        <v>5.0413987427696899E-2</v>
      </c>
      <c r="J690">
        <v>5.80785470208263E-2</v>
      </c>
      <c r="K690">
        <v>5.4273052098668798E-2</v>
      </c>
      <c r="L690">
        <v>1194.30976665</v>
      </c>
      <c r="M690">
        <v>24.890421067912801</v>
      </c>
      <c r="N690">
        <v>48.1898354470623</v>
      </c>
      <c r="O690">
        <v>47.676201124856703</v>
      </c>
      <c r="P690">
        <v>-0.123898669219415</v>
      </c>
      <c r="Q690">
        <v>5.0729288958647999E-2</v>
      </c>
      <c r="R690">
        <v>0.99715259415880197</v>
      </c>
      <c r="S690" t="s">
        <v>7092</v>
      </c>
      <c r="T690" t="s">
        <v>12802</v>
      </c>
      <c r="U690" t="s">
        <v>12802</v>
      </c>
      <c r="V690" t="s">
        <v>12802</v>
      </c>
      <c r="W690" t="s">
        <v>13481</v>
      </c>
      <c r="X690">
        <v>42</v>
      </c>
      <c r="Y690" t="s">
        <v>19804</v>
      </c>
      <c r="Z690" t="s">
        <v>26008</v>
      </c>
      <c r="AA690">
        <v>0.40640594583483808</v>
      </c>
      <c r="AB690" t="str">
        <f>HYPERLINK("Melting_Curves/meltCurve_F5H1X8_LRBA.pdf", "Melting_Curves/meltCurve_F5H1X8_LRBA.pdf")</f>
        <v>Melting_Curves/meltCurve_F5H1X8_LRBA.pdf</v>
      </c>
    </row>
    <row r="691" spans="1:28" x14ac:dyDescent="0.25">
      <c r="A691" t="s">
        <v>695</v>
      </c>
      <c r="B691">
        <v>0.99542014353169495</v>
      </c>
      <c r="C691">
        <v>1.0068303743108</v>
      </c>
      <c r="D691">
        <v>0.97078504416738298</v>
      </c>
      <c r="E691">
        <v>0.98444823789439195</v>
      </c>
      <c r="F691">
        <v>0.81382069081845798</v>
      </c>
      <c r="G691">
        <v>0.70287321718333395</v>
      </c>
      <c r="H691">
        <v>0.56046733297894702</v>
      </c>
      <c r="I691">
        <v>0.53280369050932597</v>
      </c>
      <c r="J691">
        <v>0.77775482339394497</v>
      </c>
      <c r="K691">
        <v>1.03952301331491</v>
      </c>
      <c r="L691">
        <v>3175.5898559604402</v>
      </c>
      <c r="M691">
        <v>63.997416651319099</v>
      </c>
      <c r="O691">
        <v>49.572211648988002</v>
      </c>
      <c r="P691">
        <v>-8.9559785829685504E-2</v>
      </c>
      <c r="Q691">
        <v>0.72250909606365399</v>
      </c>
      <c r="R691">
        <v>0.48612713107163502</v>
      </c>
      <c r="S691" t="s">
        <v>7093</v>
      </c>
      <c r="T691" t="s">
        <v>12802</v>
      </c>
      <c r="U691" t="s">
        <v>12802</v>
      </c>
      <c r="V691" t="s">
        <v>12802</v>
      </c>
      <c r="W691" t="s">
        <v>13482</v>
      </c>
      <c r="X691">
        <v>4</v>
      </c>
      <c r="Y691" t="s">
        <v>19805</v>
      </c>
      <c r="Z691" t="s">
        <v>26009</v>
      </c>
      <c r="AA691">
        <v>0.83961569494086241</v>
      </c>
      <c r="AB691" t="str">
        <f>HYPERLINK("Melting_Curves/meltCurve_F5H1Y0_RAD51AP1.pdf", "Melting_Curves/meltCurve_F5H1Y0_RAD51AP1.pdf")</f>
        <v>Melting_Curves/meltCurve_F5H1Y0_RAD51AP1.pdf</v>
      </c>
    </row>
    <row r="692" spans="1:28" x14ac:dyDescent="0.25">
      <c r="A692" t="s">
        <v>696</v>
      </c>
      <c r="B692">
        <v>0.99542014353169495</v>
      </c>
      <c r="C692">
        <v>0.87447126126874997</v>
      </c>
      <c r="D692">
        <v>0.91832274102623601</v>
      </c>
      <c r="E692">
        <v>0.63477523456324203</v>
      </c>
      <c r="F692">
        <v>0.61012098406148996</v>
      </c>
      <c r="G692">
        <v>0.38655224007674299</v>
      </c>
      <c r="H692">
        <v>0.26280254816613902</v>
      </c>
      <c r="I692">
        <v>0.13984750122581199</v>
      </c>
      <c r="J692">
        <v>0.12991805423921901</v>
      </c>
      <c r="K692">
        <v>0</v>
      </c>
      <c r="L692">
        <v>513.48036511879695</v>
      </c>
      <c r="M692">
        <v>10.0608424743623</v>
      </c>
      <c r="N692">
        <v>51.037511302798997</v>
      </c>
      <c r="O692">
        <v>49.144141069183199</v>
      </c>
      <c r="P692">
        <v>-5.1204596738464697E-2</v>
      </c>
      <c r="Q692">
        <v>0</v>
      </c>
      <c r="R692">
        <v>0.97613214668816295</v>
      </c>
      <c r="S692" t="s">
        <v>7094</v>
      </c>
      <c r="T692" t="s">
        <v>12802</v>
      </c>
      <c r="U692" t="s">
        <v>12802</v>
      </c>
      <c r="V692" t="s">
        <v>12802</v>
      </c>
      <c r="W692" t="s">
        <v>13483</v>
      </c>
      <c r="X692">
        <v>1</v>
      </c>
      <c r="Y692" t="s">
        <v>19806</v>
      </c>
      <c r="Z692" t="s">
        <v>26010</v>
      </c>
      <c r="AA692">
        <v>0.49812492583403217</v>
      </c>
      <c r="AB692" t="str">
        <f>HYPERLINK("Melting_Curves/meltCurve_F5H254_TMEM135.pdf", "Melting_Curves/meltCurve_F5H254_TMEM135.pdf")</f>
        <v>Melting_Curves/meltCurve_F5H254_TMEM135.pdf</v>
      </c>
    </row>
    <row r="693" spans="1:28" x14ac:dyDescent="0.25">
      <c r="A693" t="s">
        <v>697</v>
      </c>
      <c r="B693">
        <v>0.99542014353169495</v>
      </c>
      <c r="C693">
        <v>1.1135135072279001</v>
      </c>
      <c r="D693">
        <v>1.1274435086301799</v>
      </c>
      <c r="E693">
        <v>0.59739842906093199</v>
      </c>
      <c r="F693">
        <v>0.25352499369698001</v>
      </c>
      <c r="G693">
        <v>0.13235598114751601</v>
      </c>
      <c r="H693">
        <v>8.08026352741429E-2</v>
      </c>
      <c r="I693">
        <v>7.2871898442873298E-2</v>
      </c>
      <c r="J693">
        <v>0.11235284698681799</v>
      </c>
      <c r="K693">
        <v>0.17659341933192901</v>
      </c>
      <c r="L693">
        <v>1878.16605714105</v>
      </c>
      <c r="M693">
        <v>39.989699199069598</v>
      </c>
      <c r="N693">
        <v>47.304202544198603</v>
      </c>
      <c r="O693">
        <v>46.849261102151502</v>
      </c>
      <c r="P693">
        <v>-0.18688106729814999</v>
      </c>
      <c r="Q693">
        <v>0.12425236879176201</v>
      </c>
      <c r="R693">
        <v>0.97348695236932403</v>
      </c>
      <c r="S693" t="s">
        <v>7095</v>
      </c>
      <c r="T693" t="s">
        <v>12802</v>
      </c>
      <c r="U693" t="s">
        <v>12802</v>
      </c>
      <c r="V693" t="s">
        <v>12802</v>
      </c>
      <c r="W693" t="s">
        <v>13484</v>
      </c>
      <c r="X693">
        <v>2</v>
      </c>
      <c r="Y693" t="s">
        <v>19807</v>
      </c>
      <c r="Z693" t="s">
        <v>26011</v>
      </c>
      <c r="AA693">
        <v>0.41802822651029098</v>
      </c>
      <c r="AB693" t="str">
        <f>HYPERLINK("Melting_Curves/meltCurve_F5H2B0_PIK3C2A.pdf", "Melting_Curves/meltCurve_F5H2B0_PIK3C2A.pdf")</f>
        <v>Melting_Curves/meltCurve_F5H2B0_PIK3C2A.pdf</v>
      </c>
    </row>
    <row r="694" spans="1:28" x14ac:dyDescent="0.25">
      <c r="A694" t="s">
        <v>698</v>
      </c>
      <c r="B694">
        <v>0.99542014353169495</v>
      </c>
      <c r="C694">
        <v>0.88263296351542697</v>
      </c>
      <c r="D694">
        <v>0.63819000145925397</v>
      </c>
      <c r="E694">
        <v>0.332073808803662</v>
      </c>
      <c r="F694">
        <v>0.220417735601147</v>
      </c>
      <c r="G694">
        <v>0.12976454696690601</v>
      </c>
      <c r="H694">
        <v>9.2586767155295499E-2</v>
      </c>
      <c r="I694">
        <v>6.6685009061297498E-2</v>
      </c>
      <c r="J694">
        <v>6.2953741159726906E-2</v>
      </c>
      <c r="K694">
        <v>5.9380368632666602E-2</v>
      </c>
      <c r="L694">
        <v>730.85627089585398</v>
      </c>
      <c r="M694">
        <v>16.495562912489898</v>
      </c>
      <c r="N694">
        <v>44.698616572619201</v>
      </c>
      <c r="O694">
        <v>43.670439075094698</v>
      </c>
      <c r="P694">
        <v>-8.8073084730230997E-2</v>
      </c>
      <c r="Q694">
        <v>6.7404290429677702E-2</v>
      </c>
      <c r="R694">
        <v>0.99701261771932204</v>
      </c>
      <c r="S694" t="s">
        <v>7096</v>
      </c>
      <c r="T694" t="s">
        <v>12802</v>
      </c>
      <c r="U694" t="s">
        <v>12802</v>
      </c>
      <c r="V694" t="s">
        <v>12802</v>
      </c>
      <c r="W694" t="s">
        <v>13485</v>
      </c>
      <c r="X694">
        <v>12</v>
      </c>
      <c r="Y694" t="s">
        <v>19808</v>
      </c>
      <c r="Z694" t="s">
        <v>26012</v>
      </c>
      <c r="AA694">
        <v>0.3132519600940154</v>
      </c>
      <c r="AB694" t="str">
        <f>HYPERLINK("Melting_Curves/meltCurve_F5H2H5_ANKLE2.pdf", "Melting_Curves/meltCurve_F5H2H5_ANKLE2.pdf")</f>
        <v>Melting_Curves/meltCurve_F5H2H5_ANKLE2.pdf</v>
      </c>
    </row>
    <row r="695" spans="1:28" x14ac:dyDescent="0.25">
      <c r="A695" t="s">
        <v>699</v>
      </c>
      <c r="B695">
        <v>0.99542014353169495</v>
      </c>
      <c r="C695">
        <v>0.96703404219784195</v>
      </c>
      <c r="D695">
        <v>0.85755367913957203</v>
      </c>
      <c r="E695">
        <v>0.80387473593324199</v>
      </c>
      <c r="F695">
        <v>0.67721990153285505</v>
      </c>
      <c r="G695">
        <v>0.43624312863680598</v>
      </c>
      <c r="H695">
        <v>0.27545163279908502</v>
      </c>
      <c r="I695">
        <v>0.21436543685485601</v>
      </c>
      <c r="J695">
        <v>0.19209496416968599</v>
      </c>
      <c r="K695">
        <v>0.17208677949576301</v>
      </c>
      <c r="L695">
        <v>593.531409909084</v>
      </c>
      <c r="M695">
        <v>11.476734999402799</v>
      </c>
      <c r="N695">
        <v>52.646877375660203</v>
      </c>
      <c r="O695">
        <v>50.220640197905801</v>
      </c>
      <c r="P695">
        <v>-5.1900237364471101E-2</v>
      </c>
      <c r="Q695">
        <v>9.1826471699267401E-2</v>
      </c>
      <c r="R695">
        <v>0.99135711360109102</v>
      </c>
      <c r="S695" t="s">
        <v>7097</v>
      </c>
      <c r="T695" t="s">
        <v>12802</v>
      </c>
      <c r="U695" t="s">
        <v>12802</v>
      </c>
      <c r="V695" t="s">
        <v>12802</v>
      </c>
      <c r="W695" t="s">
        <v>13486</v>
      </c>
      <c r="X695">
        <v>2</v>
      </c>
      <c r="Y695" t="s">
        <v>19809</v>
      </c>
      <c r="Z695" t="s">
        <v>26013</v>
      </c>
      <c r="AA695">
        <v>0.5603314787364686</v>
      </c>
      <c r="AB695" t="str">
        <f>HYPERLINK("Melting_Curves/meltCurve_F5H2J3_VMP1.pdf", "Melting_Curves/meltCurve_F5H2J3_VMP1.pdf")</f>
        <v>Melting_Curves/meltCurve_F5H2J3_VMP1.pdf</v>
      </c>
    </row>
    <row r="696" spans="1:28" x14ac:dyDescent="0.25">
      <c r="A696" t="s">
        <v>700</v>
      </c>
      <c r="B696">
        <v>0.99542014353169495</v>
      </c>
      <c r="C696">
        <v>1.0212991499235999</v>
      </c>
      <c r="D696">
        <v>1.0205184976489801</v>
      </c>
      <c r="E696">
        <v>0.88641181117035295</v>
      </c>
      <c r="F696">
        <v>0.83643899805580502</v>
      </c>
      <c r="G696">
        <v>0.55487466940429897</v>
      </c>
      <c r="H696">
        <v>0.43469652960877703</v>
      </c>
      <c r="I696">
        <v>0.34268825580366802</v>
      </c>
      <c r="J696">
        <v>0.38252235830478798</v>
      </c>
      <c r="K696">
        <v>0.38951883830131401</v>
      </c>
      <c r="L696">
        <v>1152.6462716307401</v>
      </c>
      <c r="M696">
        <v>22.163629960761099</v>
      </c>
      <c r="N696">
        <v>55.174824110582598</v>
      </c>
      <c r="O696">
        <v>51.588382049354898</v>
      </c>
      <c r="P696">
        <v>-6.8743456269645203E-2</v>
      </c>
      <c r="Q696">
        <v>0.35998085632931298</v>
      </c>
      <c r="R696">
        <v>0.987234391393771</v>
      </c>
      <c r="S696" t="s">
        <v>7098</v>
      </c>
      <c r="T696" t="s">
        <v>12802</v>
      </c>
      <c r="U696" t="s">
        <v>12802</v>
      </c>
      <c r="V696" t="s">
        <v>12802</v>
      </c>
      <c r="W696" t="s">
        <v>13487</v>
      </c>
      <c r="X696">
        <v>8</v>
      </c>
      <c r="Y696" t="s">
        <v>19810</v>
      </c>
      <c r="Z696" t="s">
        <v>26014</v>
      </c>
      <c r="AA696">
        <v>0.68711644917361836</v>
      </c>
      <c r="AB696" t="str">
        <f>HYPERLINK("Melting_Curves/meltCurve_F5H2Q7_KIAA1715.pdf", "Melting_Curves/meltCurve_F5H2Q7_KIAA1715.pdf")</f>
        <v>Melting_Curves/meltCurve_F5H2Q7_KIAA1715.pdf</v>
      </c>
    </row>
    <row r="697" spans="1:28" x14ac:dyDescent="0.25">
      <c r="A697" t="s">
        <v>701</v>
      </c>
      <c r="B697">
        <v>0.99542014353169495</v>
      </c>
      <c r="C697">
        <v>0.93720653454813196</v>
      </c>
      <c r="D697">
        <v>0.91992882178832602</v>
      </c>
      <c r="E697">
        <v>0.74036284307864497</v>
      </c>
      <c r="F697">
        <v>0.38624366266729598</v>
      </c>
      <c r="G697">
        <v>0.123131731900123</v>
      </c>
      <c r="H697">
        <v>8.2785765131026395E-2</v>
      </c>
      <c r="I697">
        <v>6.7704981395576E-2</v>
      </c>
      <c r="J697">
        <v>9.6436549173033403E-2</v>
      </c>
      <c r="K697">
        <v>0.11821680801875301</v>
      </c>
      <c r="L697">
        <v>1107.3618473240199</v>
      </c>
      <c r="M697">
        <v>22.8529955031265</v>
      </c>
      <c r="N697">
        <v>48.809955033102199</v>
      </c>
      <c r="O697">
        <v>48.089417137686901</v>
      </c>
      <c r="P697">
        <v>-0.109731648549105</v>
      </c>
      <c r="Q697">
        <v>7.6387220336345096E-2</v>
      </c>
      <c r="R697">
        <v>0.993991354119929</v>
      </c>
      <c r="S697" t="s">
        <v>7099</v>
      </c>
      <c r="T697" t="s">
        <v>12802</v>
      </c>
      <c r="U697" t="s">
        <v>12802</v>
      </c>
      <c r="V697" t="s">
        <v>12802</v>
      </c>
      <c r="W697" t="s">
        <v>13488</v>
      </c>
      <c r="X697">
        <v>22</v>
      </c>
      <c r="Y697" t="s">
        <v>19811</v>
      </c>
      <c r="Z697" t="s">
        <v>26015</v>
      </c>
      <c r="AA697">
        <v>0.43851632457210221</v>
      </c>
      <c r="AB697" t="str">
        <f>HYPERLINK("Melting_Curves/meltCurve_F5H2S7_DCTN2.pdf", "Melting_Curves/meltCurve_F5H2S7_DCTN2.pdf")</f>
        <v>Melting_Curves/meltCurve_F5H2S7_DCTN2.pdf</v>
      </c>
    </row>
    <row r="698" spans="1:28" x14ac:dyDescent="0.25">
      <c r="A698" t="s">
        <v>702</v>
      </c>
      <c r="B698">
        <v>0.99542014353169495</v>
      </c>
      <c r="C698">
        <v>0.92095618548910696</v>
      </c>
      <c r="D698">
        <v>0.98608784537859795</v>
      </c>
      <c r="E698">
        <v>0.80560934552708496</v>
      </c>
      <c r="F698">
        <v>0.61107700335398896</v>
      </c>
      <c r="G698">
        <v>0.304267415536977</v>
      </c>
      <c r="H698">
        <v>0.120889472302072</v>
      </c>
      <c r="I698">
        <v>6.4803423537508204E-2</v>
      </c>
      <c r="J698">
        <v>6.1133580742221097E-2</v>
      </c>
      <c r="K698">
        <v>8.0327491268397305E-2</v>
      </c>
      <c r="L698">
        <v>902.14075655550801</v>
      </c>
      <c r="M698">
        <v>17.718492029426201</v>
      </c>
      <c r="N698">
        <v>51.121546768482901</v>
      </c>
      <c r="O698">
        <v>50.279937393959301</v>
      </c>
      <c r="P698">
        <v>-8.5063520984831706E-2</v>
      </c>
      <c r="Q698">
        <v>3.4508259759784901E-2</v>
      </c>
      <c r="R698">
        <v>0.99310472742258704</v>
      </c>
      <c r="S698" t="s">
        <v>7100</v>
      </c>
      <c r="T698" t="s">
        <v>12802</v>
      </c>
      <c r="U698" t="s">
        <v>12802</v>
      </c>
      <c r="V698" t="s">
        <v>12802</v>
      </c>
      <c r="W698" t="s">
        <v>13489</v>
      </c>
      <c r="X698">
        <v>14</v>
      </c>
      <c r="Y698" t="s">
        <v>19812</v>
      </c>
      <c r="Z698" t="s">
        <v>26016</v>
      </c>
      <c r="AA698">
        <v>0.49771126566850149</v>
      </c>
      <c r="AB698" t="str">
        <f>HYPERLINK("Melting_Curves/meltCurve_F5H2U2_PRPF4B.pdf", "Melting_Curves/meltCurve_F5H2U2_PRPF4B.pdf")</f>
        <v>Melting_Curves/meltCurve_F5H2U2_PRPF4B.pdf</v>
      </c>
    </row>
    <row r="699" spans="1:28" x14ac:dyDescent="0.25">
      <c r="A699" t="s">
        <v>703</v>
      </c>
      <c r="B699">
        <v>0.99542014353169495</v>
      </c>
      <c r="C699">
        <v>1.0559771332613801</v>
      </c>
      <c r="D699">
        <v>1.0501059812225899</v>
      </c>
      <c r="E699">
        <v>0.79810034975035105</v>
      </c>
      <c r="F699">
        <v>0.62056275684751205</v>
      </c>
      <c r="G699">
        <v>0.33807498726831697</v>
      </c>
      <c r="H699">
        <v>0.21505018335814799</v>
      </c>
      <c r="I699">
        <v>0.12700795007829399</v>
      </c>
      <c r="J699">
        <v>0.15645355864928501</v>
      </c>
      <c r="K699">
        <v>0.215225080295189</v>
      </c>
      <c r="L699">
        <v>1016.17907974823</v>
      </c>
      <c r="M699">
        <v>20.177145584924599</v>
      </c>
      <c r="N699">
        <v>51.299308328916702</v>
      </c>
      <c r="O699">
        <v>49.875988223352401</v>
      </c>
      <c r="P699">
        <v>-8.5559189111831302E-2</v>
      </c>
      <c r="Q699">
        <v>0.15404954529190301</v>
      </c>
      <c r="R699">
        <v>0.98534573178243301</v>
      </c>
      <c r="S699" t="s">
        <v>7101</v>
      </c>
      <c r="T699" t="s">
        <v>12802</v>
      </c>
      <c r="U699" t="s">
        <v>12802</v>
      </c>
      <c r="V699" t="s">
        <v>12802</v>
      </c>
      <c r="W699" t="s">
        <v>13490</v>
      </c>
      <c r="X699">
        <v>12</v>
      </c>
      <c r="Y699" t="s">
        <v>19813</v>
      </c>
      <c r="Z699" t="s">
        <v>26017</v>
      </c>
      <c r="AA699">
        <v>0.54181775483959405</v>
      </c>
      <c r="AB699" t="str">
        <f>HYPERLINK("Melting_Curves/meltCurve_F5H2X7_CIZ1.pdf", "Melting_Curves/meltCurve_F5H2X7_CIZ1.pdf")</f>
        <v>Melting_Curves/meltCurve_F5H2X7_CIZ1.pdf</v>
      </c>
    </row>
    <row r="700" spans="1:28" x14ac:dyDescent="0.25">
      <c r="A700" t="s">
        <v>704</v>
      </c>
      <c r="B700">
        <v>0.99542014353169495</v>
      </c>
      <c r="C700">
        <v>0.83553857573813395</v>
      </c>
      <c r="D700">
        <v>0.64066669913650398</v>
      </c>
      <c r="E700">
        <v>0.30669566014803801</v>
      </c>
      <c r="F700">
        <v>0.21580811984162901</v>
      </c>
      <c r="G700">
        <v>0.134721767960788</v>
      </c>
      <c r="H700">
        <v>8.5642772377573007E-2</v>
      </c>
      <c r="I700">
        <v>6.2784038086146299E-2</v>
      </c>
      <c r="J700">
        <v>5.4680509082848001E-2</v>
      </c>
      <c r="K700">
        <v>6.4798319797277307E-2</v>
      </c>
      <c r="L700">
        <v>702.00928254202699</v>
      </c>
      <c r="M700">
        <v>15.918889579040799</v>
      </c>
      <c r="N700">
        <v>44.477323619606601</v>
      </c>
      <c r="O700">
        <v>43.420809124224398</v>
      </c>
      <c r="P700">
        <v>-8.5860084051786995E-2</v>
      </c>
      <c r="Q700">
        <v>6.3297175648827905E-2</v>
      </c>
      <c r="R700">
        <v>0.995344381425044</v>
      </c>
      <c r="S700" t="s">
        <v>7102</v>
      </c>
      <c r="T700" t="s">
        <v>12802</v>
      </c>
      <c r="U700" t="s">
        <v>12802</v>
      </c>
      <c r="V700" t="s">
        <v>12802</v>
      </c>
      <c r="W700" t="s">
        <v>13491</v>
      </c>
      <c r="X700">
        <v>13</v>
      </c>
      <c r="Y700" t="s">
        <v>19814</v>
      </c>
      <c r="Z700" t="s">
        <v>26018</v>
      </c>
      <c r="AA700">
        <v>0.30540232682327761</v>
      </c>
      <c r="AB700" t="str">
        <f>HYPERLINK("Melting_Curves/meltCurve_F5H315_XAB2.pdf", "Melting_Curves/meltCurve_F5H315_XAB2.pdf")</f>
        <v>Melting_Curves/meltCurve_F5H315_XAB2.pdf</v>
      </c>
    </row>
    <row r="701" spans="1:28" x14ac:dyDescent="0.25">
      <c r="A701" t="s">
        <v>705</v>
      </c>
      <c r="B701">
        <v>0.99542014353169495</v>
      </c>
      <c r="C701">
        <v>0.91315782450718597</v>
      </c>
      <c r="D701">
        <v>0.90795627340518104</v>
      </c>
      <c r="E701">
        <v>0.70774401607973003</v>
      </c>
      <c r="F701">
        <v>0.30135182277501399</v>
      </c>
      <c r="G701">
        <v>0.14643022109316201</v>
      </c>
      <c r="H701">
        <v>8.6355972728677399E-2</v>
      </c>
      <c r="I701">
        <v>5.9161543688549298E-2</v>
      </c>
      <c r="J701">
        <v>6.4124713636684205E-2</v>
      </c>
      <c r="K701">
        <v>7.9889275284642194E-2</v>
      </c>
      <c r="L701">
        <v>1045.35687368659</v>
      </c>
      <c r="M701">
        <v>21.7774816831983</v>
      </c>
      <c r="N701">
        <v>48.290498978146402</v>
      </c>
      <c r="O701">
        <v>47.602501619229301</v>
      </c>
      <c r="P701">
        <v>-0.10739162742544001</v>
      </c>
      <c r="Q701">
        <v>6.1050537645433903E-2</v>
      </c>
      <c r="R701">
        <v>0.99458698903357501</v>
      </c>
      <c r="S701" t="s">
        <v>7103</v>
      </c>
      <c r="T701" t="s">
        <v>12802</v>
      </c>
      <c r="U701" t="s">
        <v>12802</v>
      </c>
      <c r="V701" t="s">
        <v>12802</v>
      </c>
      <c r="W701" t="s">
        <v>13492</v>
      </c>
      <c r="X701">
        <v>11</v>
      </c>
      <c r="Y701" t="s">
        <v>19815</v>
      </c>
      <c r="Z701" t="s">
        <v>26019</v>
      </c>
      <c r="AA701">
        <v>0.41586893680373699</v>
      </c>
      <c r="AB701" t="str">
        <f>HYPERLINK("Melting_Curves/meltCurve_F5H365_SEC23A.pdf", "Melting_Curves/meltCurve_F5H365_SEC23A.pdf")</f>
        <v>Melting_Curves/meltCurve_F5H365_SEC23A.pdf</v>
      </c>
    </row>
    <row r="702" spans="1:28" x14ac:dyDescent="0.25">
      <c r="A702" t="s">
        <v>706</v>
      </c>
      <c r="B702">
        <v>0.99542014353169495</v>
      </c>
      <c r="C702">
        <v>0.93593590600042598</v>
      </c>
      <c r="D702">
        <v>0.83917168757822602</v>
      </c>
      <c r="E702">
        <v>0.68822476301860502</v>
      </c>
      <c r="F702">
        <v>0.52273229343029204</v>
      </c>
      <c r="G702">
        <v>0.23184416001838001</v>
      </c>
      <c r="H702">
        <v>0.106810182956458</v>
      </c>
      <c r="I702">
        <v>8.0922146644163001E-2</v>
      </c>
      <c r="J702">
        <v>5.8899339809221303E-2</v>
      </c>
      <c r="K702">
        <v>8.4432305029124202E-2</v>
      </c>
      <c r="L702">
        <v>640.66052476858601</v>
      </c>
      <c r="M702">
        <v>12.9621658314522</v>
      </c>
      <c r="N702">
        <v>49.508612182844097</v>
      </c>
      <c r="O702">
        <v>48.293394542078197</v>
      </c>
      <c r="P702">
        <v>-6.6390062406346706E-2</v>
      </c>
      <c r="Q702">
        <v>1.07735372945347E-2</v>
      </c>
      <c r="R702">
        <v>0.99159667239004601</v>
      </c>
      <c r="S702" t="s">
        <v>7104</v>
      </c>
      <c r="T702" t="s">
        <v>12802</v>
      </c>
      <c r="U702" t="s">
        <v>12802</v>
      </c>
      <c r="V702" t="s">
        <v>12802</v>
      </c>
      <c r="W702" t="s">
        <v>13493</v>
      </c>
      <c r="X702">
        <v>1</v>
      </c>
      <c r="Y702" t="s">
        <v>19816</v>
      </c>
      <c r="Z702" t="s">
        <v>26020</v>
      </c>
      <c r="AA702">
        <v>0.44643786174819772</v>
      </c>
      <c r="AB702" t="str">
        <f>HYPERLINK("Melting_Curves/meltCurve_F5H3J3_CHST10.pdf", "Melting_Curves/meltCurve_F5H3J3_CHST10.pdf")</f>
        <v>Melting_Curves/meltCurve_F5H3J3_CHST10.pdf</v>
      </c>
    </row>
    <row r="703" spans="1:28" x14ac:dyDescent="0.25">
      <c r="A703" t="s">
        <v>707</v>
      </c>
      <c r="B703">
        <v>0.99542014353169495</v>
      </c>
      <c r="C703">
        <v>0.95001135518264801</v>
      </c>
      <c r="D703">
        <v>0.84647344651573797</v>
      </c>
      <c r="E703">
        <v>0.723513490666851</v>
      </c>
      <c r="F703">
        <v>0.34543033053345701</v>
      </c>
      <c r="G703">
        <v>0.15862937860520299</v>
      </c>
      <c r="H703">
        <v>7.42085709539516E-2</v>
      </c>
      <c r="I703">
        <v>5.1787503784522397E-2</v>
      </c>
      <c r="J703">
        <v>6.0736263387423502E-2</v>
      </c>
      <c r="K703">
        <v>5.90739760576625E-2</v>
      </c>
      <c r="L703">
        <v>867.67295332457297</v>
      </c>
      <c r="M703">
        <v>17.955857091819599</v>
      </c>
      <c r="N703">
        <v>48.523947124295098</v>
      </c>
      <c r="O703">
        <v>47.735154396993202</v>
      </c>
      <c r="P703">
        <v>-9.0666883911063201E-2</v>
      </c>
      <c r="Q703">
        <v>3.5906303714167503E-2</v>
      </c>
      <c r="R703">
        <v>0.99452048538043403</v>
      </c>
      <c r="S703" t="s">
        <v>7105</v>
      </c>
      <c r="T703" t="s">
        <v>12802</v>
      </c>
      <c r="U703" t="s">
        <v>12802</v>
      </c>
      <c r="V703" t="s">
        <v>12802</v>
      </c>
      <c r="W703" t="s">
        <v>13494</v>
      </c>
      <c r="X703">
        <v>8</v>
      </c>
      <c r="Y703" t="s">
        <v>19817</v>
      </c>
      <c r="Z703" t="s">
        <v>26021</v>
      </c>
      <c r="AA703">
        <v>0.41522878204418961</v>
      </c>
      <c r="AB703" t="str">
        <f>HYPERLINK("Melting_Curves/meltCurve_F5H442_TSG101.pdf", "Melting_Curves/meltCurve_F5H442_TSG101.pdf")</f>
        <v>Melting_Curves/meltCurve_F5H442_TSG101.pdf</v>
      </c>
    </row>
    <row r="704" spans="1:28" x14ac:dyDescent="0.25">
      <c r="A704" t="s">
        <v>708</v>
      </c>
      <c r="B704">
        <v>0.99542014353169495</v>
      </c>
      <c r="C704">
        <v>0.95286219393931104</v>
      </c>
      <c r="D704">
        <v>0.89497519842184303</v>
      </c>
      <c r="E704">
        <v>0.79132586607586997</v>
      </c>
      <c r="F704">
        <v>0.54888604720985901</v>
      </c>
      <c r="G704">
        <v>0.144088785787156</v>
      </c>
      <c r="H704">
        <v>5.90161386118431E-2</v>
      </c>
      <c r="I704">
        <v>3.2040401961911602E-2</v>
      </c>
      <c r="J704">
        <v>2.3565445758912999E-2</v>
      </c>
      <c r="K704">
        <v>3.7308358209708001E-2</v>
      </c>
      <c r="L704">
        <v>984.85665856604498</v>
      </c>
      <c r="M704">
        <v>19.6854323414079</v>
      </c>
      <c r="N704">
        <v>50.043336753515298</v>
      </c>
      <c r="O704">
        <v>49.522017210395703</v>
      </c>
      <c r="P704">
        <v>-9.9115588940739893E-2</v>
      </c>
      <c r="Q704">
        <v>2.6668032089624599E-3</v>
      </c>
      <c r="R704">
        <v>0.99077003092897697</v>
      </c>
      <c r="S704" t="s">
        <v>7106</v>
      </c>
      <c r="T704" t="s">
        <v>12802</v>
      </c>
      <c r="U704" t="s">
        <v>12802</v>
      </c>
      <c r="V704" t="s">
        <v>12802</v>
      </c>
      <c r="W704" t="s">
        <v>13495</v>
      </c>
      <c r="X704">
        <v>1</v>
      </c>
      <c r="Y704" t="s">
        <v>19818</v>
      </c>
      <c r="Z704" t="s">
        <v>26022</v>
      </c>
      <c r="AA704">
        <v>0.44933280760391547</v>
      </c>
      <c r="AB704" t="str">
        <f>HYPERLINK("Melting_Curves/meltCurve_F5H450_FZD10.pdf", "Melting_Curves/meltCurve_F5H450_FZD10.pdf")</f>
        <v>Melting_Curves/meltCurve_F5H450_FZD10.pdf</v>
      </c>
    </row>
    <row r="705" spans="1:28" x14ac:dyDescent="0.25">
      <c r="A705" t="s">
        <v>709</v>
      </c>
      <c r="B705">
        <v>0.99542014353169495</v>
      </c>
      <c r="C705">
        <v>1.09458644856181</v>
      </c>
      <c r="D705">
        <v>0.96766995481040696</v>
      </c>
      <c r="E705">
        <v>0.73954511608486995</v>
      </c>
      <c r="F705">
        <v>0.64625299815959203</v>
      </c>
      <c r="G705">
        <v>0.48889164125062801</v>
      </c>
      <c r="H705">
        <v>0.29563661793927398</v>
      </c>
      <c r="I705">
        <v>0.14249124288112899</v>
      </c>
      <c r="J705">
        <v>0.224176348983987</v>
      </c>
      <c r="K705">
        <v>0.13412807725804499</v>
      </c>
      <c r="L705">
        <v>649.79208527115702</v>
      </c>
      <c r="M705">
        <v>12.540269106153501</v>
      </c>
      <c r="N705">
        <v>52.680028138709503</v>
      </c>
      <c r="O705">
        <v>50.551723786603397</v>
      </c>
      <c r="P705">
        <v>-5.6266467920061299E-2</v>
      </c>
      <c r="Q705">
        <v>9.2909720455014E-2</v>
      </c>
      <c r="R705">
        <v>0.97442795910200897</v>
      </c>
      <c r="S705" t="s">
        <v>7107</v>
      </c>
      <c r="T705" t="s">
        <v>12802</v>
      </c>
      <c r="U705" t="s">
        <v>12802</v>
      </c>
      <c r="V705" t="s">
        <v>12802</v>
      </c>
      <c r="W705" t="s">
        <v>13496</v>
      </c>
      <c r="X705">
        <v>2</v>
      </c>
      <c r="Y705" t="s">
        <v>19819</v>
      </c>
      <c r="Z705" t="s">
        <v>26023</v>
      </c>
      <c r="AA705">
        <v>0.56204054123325264</v>
      </c>
      <c r="AB705" t="str">
        <f>HYPERLINK("Melting_Curves/meltCurve_F5H492_RAD9A.pdf", "Melting_Curves/meltCurve_F5H492_RAD9A.pdf")</f>
        <v>Melting_Curves/meltCurve_F5H492_RAD9A.pdf</v>
      </c>
    </row>
    <row r="706" spans="1:28" x14ac:dyDescent="0.25">
      <c r="A706" t="s">
        <v>710</v>
      </c>
      <c r="B706">
        <v>0.99542014353169495</v>
      </c>
      <c r="C706">
        <v>0.82146865773146804</v>
      </c>
      <c r="D706">
        <v>0.71762355252422605</v>
      </c>
      <c r="E706">
        <v>0.51026104082750701</v>
      </c>
      <c r="F706">
        <v>0.303953125176812</v>
      </c>
      <c r="G706">
        <v>0.16795878669101399</v>
      </c>
      <c r="H706">
        <v>0.110772130461453</v>
      </c>
      <c r="I706">
        <v>8.5918687170466995E-2</v>
      </c>
      <c r="J706">
        <v>0.101175194228911</v>
      </c>
      <c r="K706">
        <v>0.111972388953818</v>
      </c>
      <c r="L706">
        <v>572.86591271149098</v>
      </c>
      <c r="M706">
        <v>12.4989916047007</v>
      </c>
      <c r="N706">
        <v>46.333429570706798</v>
      </c>
      <c r="O706">
        <v>44.707195527274997</v>
      </c>
      <c r="P706">
        <v>-6.5493729169746107E-2</v>
      </c>
      <c r="Q706">
        <v>6.3144126774191095E-2</v>
      </c>
      <c r="R706">
        <v>0.99291943595897603</v>
      </c>
      <c r="S706" t="s">
        <v>7108</v>
      </c>
      <c r="T706" t="s">
        <v>12802</v>
      </c>
      <c r="U706" t="s">
        <v>12802</v>
      </c>
      <c r="V706" t="s">
        <v>12802</v>
      </c>
      <c r="W706" t="s">
        <v>13497</v>
      </c>
      <c r="X706">
        <v>5</v>
      </c>
      <c r="Y706" t="s">
        <v>19820</v>
      </c>
      <c r="Z706" t="s">
        <v>26024</v>
      </c>
      <c r="AA706">
        <v>0.36934592196185267</v>
      </c>
      <c r="AB706" t="str">
        <f>HYPERLINK("Melting_Curves/meltCurve_F5H4B1_PRAME.pdf", "Melting_Curves/meltCurve_F5H4B1_PRAME.pdf")</f>
        <v>Melting_Curves/meltCurve_F5H4B1_PRAME.pdf</v>
      </c>
    </row>
    <row r="707" spans="1:28" x14ac:dyDescent="0.25">
      <c r="A707" t="s">
        <v>711</v>
      </c>
      <c r="B707">
        <v>0.99542014353169495</v>
      </c>
      <c r="C707">
        <v>0.95597486444744295</v>
      </c>
      <c r="D707">
        <v>0.88848721521616003</v>
      </c>
      <c r="E707">
        <v>0.42079475345564599</v>
      </c>
      <c r="F707">
        <v>0.15376568604067301</v>
      </c>
      <c r="G707">
        <v>7.8470881441186302E-2</v>
      </c>
      <c r="H707">
        <v>4.7149744784365899E-2</v>
      </c>
      <c r="I707">
        <v>3.3750703971060003E-2</v>
      </c>
      <c r="J707">
        <v>3.17015555818973E-2</v>
      </c>
      <c r="K707">
        <v>3.9716831165968899E-2</v>
      </c>
      <c r="L707">
        <v>1206.5776741182401</v>
      </c>
      <c r="M707">
        <v>26.244601958827499</v>
      </c>
      <c r="N707">
        <v>46.128918623719002</v>
      </c>
      <c r="O707">
        <v>45.709883490183302</v>
      </c>
      <c r="P707">
        <v>-0.137497483027194</v>
      </c>
      <c r="Q707">
        <v>4.2100276437569598E-2</v>
      </c>
      <c r="R707">
        <v>0.99856097951553002</v>
      </c>
      <c r="S707" t="s">
        <v>7109</v>
      </c>
      <c r="T707" t="s">
        <v>12802</v>
      </c>
      <c r="U707" t="s">
        <v>12802</v>
      </c>
      <c r="V707" t="s">
        <v>12802</v>
      </c>
      <c r="W707" t="s">
        <v>13498</v>
      </c>
      <c r="X707">
        <v>14</v>
      </c>
      <c r="Y707" t="s">
        <v>19821</v>
      </c>
      <c r="Z707" t="s">
        <v>26025</v>
      </c>
      <c r="AA707">
        <v>0.3358323443209959</v>
      </c>
      <c r="AB707" t="str">
        <f>HYPERLINK("Melting_Curves/meltCurve_F5H4G7_KPNA6.pdf", "Melting_Curves/meltCurve_F5H4G7_KPNA6.pdf")</f>
        <v>Melting_Curves/meltCurve_F5H4G7_KPNA6.pdf</v>
      </c>
    </row>
    <row r="708" spans="1:28" x14ac:dyDescent="0.25">
      <c r="A708" t="s">
        <v>712</v>
      </c>
      <c r="B708">
        <v>0.99542014353169495</v>
      </c>
      <c r="C708">
        <v>0.95255485396259498</v>
      </c>
      <c r="D708">
        <v>0.92909575593728799</v>
      </c>
      <c r="E708">
        <v>0.74856484300903803</v>
      </c>
      <c r="F708">
        <v>0.46691251846911302</v>
      </c>
      <c r="G708">
        <v>0.173511200039171</v>
      </c>
      <c r="H708">
        <v>0.10121208164572</v>
      </c>
      <c r="I708">
        <v>6.2442717517652402E-2</v>
      </c>
      <c r="J708">
        <v>7.9225563123987694E-2</v>
      </c>
      <c r="K708">
        <v>0.10432411238169501</v>
      </c>
      <c r="L708">
        <v>961.62820616503802</v>
      </c>
      <c r="M708">
        <v>19.5827551512787</v>
      </c>
      <c r="N708">
        <v>49.4436204812922</v>
      </c>
      <c r="O708">
        <v>48.602391368564597</v>
      </c>
      <c r="P708">
        <v>-9.4426607192463596E-2</v>
      </c>
      <c r="Q708">
        <v>6.2604517321525194E-2</v>
      </c>
      <c r="R708">
        <v>0.99593518046541296</v>
      </c>
      <c r="S708" t="s">
        <v>7110</v>
      </c>
      <c r="T708" t="s">
        <v>12802</v>
      </c>
      <c r="U708" t="s">
        <v>12802</v>
      </c>
      <c r="V708" t="s">
        <v>12802</v>
      </c>
      <c r="W708" t="s">
        <v>13499</v>
      </c>
      <c r="X708">
        <v>3</v>
      </c>
      <c r="Y708" t="s">
        <v>19822</v>
      </c>
      <c r="Z708" t="s">
        <v>26026</v>
      </c>
      <c r="AA708">
        <v>0.45370242211657202</v>
      </c>
      <c r="AB708" t="str">
        <f>HYPERLINK("Melting_Curves/meltCurve_F5H4Q5_VPS37C.pdf", "Melting_Curves/meltCurve_F5H4Q5_VPS37C.pdf")</f>
        <v>Melting_Curves/meltCurve_F5H4Q5_VPS37C.pdf</v>
      </c>
    </row>
    <row r="709" spans="1:28" x14ac:dyDescent="0.25">
      <c r="A709" t="s">
        <v>713</v>
      </c>
      <c r="B709">
        <v>0.99542014353169495</v>
      </c>
      <c r="C709">
        <v>0.963353131704072</v>
      </c>
      <c r="D709">
        <v>0.869289217182459</v>
      </c>
      <c r="E709">
        <v>0.49568388538369901</v>
      </c>
      <c r="F709">
        <v>0.25431089021271902</v>
      </c>
      <c r="G709">
        <v>0.142828925411808</v>
      </c>
      <c r="H709">
        <v>6.3018529044466101E-2</v>
      </c>
      <c r="I709">
        <v>4.5425533135805503E-2</v>
      </c>
      <c r="J709">
        <v>6.14083355644554E-2</v>
      </c>
      <c r="K709">
        <v>5.03575168371437E-2</v>
      </c>
      <c r="L709">
        <v>903.427750456897</v>
      </c>
      <c r="M709">
        <v>19.3926471192521</v>
      </c>
      <c r="N709">
        <v>46.848171368704101</v>
      </c>
      <c r="O709">
        <v>46.099187582135897</v>
      </c>
      <c r="P709">
        <v>-9.9765664088532297E-2</v>
      </c>
      <c r="Q709">
        <v>5.1403572940683998E-2</v>
      </c>
      <c r="R709">
        <v>0.99806124694830201</v>
      </c>
      <c r="S709" t="s">
        <v>7111</v>
      </c>
      <c r="T709" t="s">
        <v>12802</v>
      </c>
      <c r="U709" t="s">
        <v>12802</v>
      </c>
      <c r="V709" t="s">
        <v>12802</v>
      </c>
      <c r="W709" t="s">
        <v>13500</v>
      </c>
      <c r="X709">
        <v>2</v>
      </c>
      <c r="Y709" t="s">
        <v>19823</v>
      </c>
      <c r="Z709" t="s">
        <v>26027</v>
      </c>
      <c r="AA709">
        <v>0.36770217899808327</v>
      </c>
      <c r="AB709" t="str">
        <f>HYPERLINK("Melting_Curves/meltCurve_F5H4R0_EVI5.pdf", "Melting_Curves/meltCurve_F5H4R0_EVI5.pdf")</f>
        <v>Melting_Curves/meltCurve_F5H4R0_EVI5.pdf</v>
      </c>
    </row>
    <row r="710" spans="1:28" x14ac:dyDescent="0.25">
      <c r="A710" t="s">
        <v>714</v>
      </c>
      <c r="B710">
        <v>0.99542014353169495</v>
      </c>
      <c r="C710">
        <v>0.84276534729735098</v>
      </c>
      <c r="D710">
        <v>0.72532946642464002</v>
      </c>
      <c r="E710">
        <v>0.37414609975115798</v>
      </c>
      <c r="F710">
        <v>0.155990709029458</v>
      </c>
      <c r="G710">
        <v>6.3924554564042599E-2</v>
      </c>
      <c r="H710">
        <v>6.8538765269015603E-2</v>
      </c>
      <c r="I710">
        <v>6.1698140630208599E-2</v>
      </c>
      <c r="J710">
        <v>6.4849448864960399E-2</v>
      </c>
      <c r="K710">
        <v>5.5830227042385099E-2</v>
      </c>
      <c r="L710">
        <v>791.32549657669097</v>
      </c>
      <c r="M710">
        <v>17.650555993582401</v>
      </c>
      <c r="N710">
        <v>45.076135122577099</v>
      </c>
      <c r="O710">
        <v>44.269287243682697</v>
      </c>
      <c r="P710">
        <v>-9.5154304617298693E-2</v>
      </c>
      <c r="Q710">
        <v>4.5426337012145102E-2</v>
      </c>
      <c r="R710">
        <v>0.99488296907087803</v>
      </c>
      <c r="S710" t="s">
        <v>7112</v>
      </c>
      <c r="T710" t="s">
        <v>12802</v>
      </c>
      <c r="U710" t="s">
        <v>12802</v>
      </c>
      <c r="V710" t="s">
        <v>12802</v>
      </c>
      <c r="W710" t="s">
        <v>13501</v>
      </c>
      <c r="X710">
        <v>3</v>
      </c>
      <c r="Y710" t="s">
        <v>19824</v>
      </c>
      <c r="Z710" t="s">
        <v>26028</v>
      </c>
      <c r="AA710">
        <v>0.31101813183814853</v>
      </c>
      <c r="AB710" t="str">
        <f>HYPERLINK("Melting_Curves/meltCurve_F5H4S8_NFATC1.pdf", "Melting_Curves/meltCurve_F5H4S8_NFATC1.pdf")</f>
        <v>Melting_Curves/meltCurve_F5H4S8_NFATC1.pdf</v>
      </c>
    </row>
    <row r="711" spans="1:28" x14ac:dyDescent="0.25">
      <c r="A711" t="s">
        <v>715</v>
      </c>
      <c r="B711">
        <v>0.99542014353169495</v>
      </c>
      <c r="C711">
        <v>0.94308466938264102</v>
      </c>
      <c r="D711">
        <v>0.83395343021391299</v>
      </c>
      <c r="E711">
        <v>0.335918162796287</v>
      </c>
      <c r="F711">
        <v>0.13479184687356399</v>
      </c>
      <c r="G711">
        <v>9.0877092247668698E-2</v>
      </c>
      <c r="H711">
        <v>5.9354815909312103E-2</v>
      </c>
      <c r="I711">
        <v>4.70759423124213E-2</v>
      </c>
      <c r="J711">
        <v>3.5144979125028397E-2</v>
      </c>
      <c r="K711">
        <v>3.8656581527978399E-2</v>
      </c>
      <c r="L711">
        <v>1206.9738729212499</v>
      </c>
      <c r="M711">
        <v>26.661679959757301</v>
      </c>
      <c r="N711">
        <v>45.457360808542298</v>
      </c>
      <c r="O711">
        <v>45.017612848435498</v>
      </c>
      <c r="P711">
        <v>-0.140359109532113</v>
      </c>
      <c r="Q711">
        <v>5.2037843335099497E-2</v>
      </c>
      <c r="R711">
        <v>0.99782805295808397</v>
      </c>
      <c r="S711" t="s">
        <v>7113</v>
      </c>
      <c r="T711" t="s">
        <v>12802</v>
      </c>
      <c r="U711" t="s">
        <v>12802</v>
      </c>
      <c r="V711" t="s">
        <v>12802</v>
      </c>
      <c r="W711" t="s">
        <v>13502</v>
      </c>
      <c r="X711">
        <v>9</v>
      </c>
      <c r="Y711" t="s">
        <v>19825</v>
      </c>
      <c r="Z711" t="s">
        <v>26029</v>
      </c>
      <c r="AA711">
        <v>0.32017799347816828</v>
      </c>
      <c r="AB711" t="str">
        <f>HYPERLINK("Melting_Curves/meltCurve_F5H4V9_PDCD2.pdf", "Melting_Curves/meltCurve_F5H4V9_PDCD2.pdf")</f>
        <v>Melting_Curves/meltCurve_F5H4V9_PDCD2.pdf</v>
      </c>
    </row>
    <row r="712" spans="1:28" x14ac:dyDescent="0.25">
      <c r="A712" t="s">
        <v>716</v>
      </c>
      <c r="B712">
        <v>0.99542014353169495</v>
      </c>
      <c r="C712">
        <v>1.0469064346949399</v>
      </c>
      <c r="D712">
        <v>1.0067357912644299</v>
      </c>
      <c r="E712">
        <v>0.90191121173883504</v>
      </c>
      <c r="F712">
        <v>0.78200986956976704</v>
      </c>
      <c r="G712">
        <v>0.37115063708417201</v>
      </c>
      <c r="H712">
        <v>0.154873001582822</v>
      </c>
      <c r="I712">
        <v>8.0377689941173794E-2</v>
      </c>
      <c r="J712">
        <v>6.0695656665450598E-2</v>
      </c>
      <c r="K712">
        <v>8.9457704008571004E-2</v>
      </c>
      <c r="L712">
        <v>1303.7212863566101</v>
      </c>
      <c r="M712">
        <v>24.909154569747901</v>
      </c>
      <c r="N712">
        <v>52.621641756168202</v>
      </c>
      <c r="O712">
        <v>52.005205429058101</v>
      </c>
      <c r="P712">
        <v>-0.112248500592994</v>
      </c>
      <c r="Q712">
        <v>6.26054074806974E-2</v>
      </c>
      <c r="R712">
        <v>0.99593598195801103</v>
      </c>
      <c r="S712" t="s">
        <v>7114</v>
      </c>
      <c r="T712" t="s">
        <v>12802</v>
      </c>
      <c r="U712" t="s">
        <v>12802</v>
      </c>
      <c r="V712" t="s">
        <v>12802</v>
      </c>
      <c r="W712" t="s">
        <v>13503</v>
      </c>
      <c r="X712">
        <v>5</v>
      </c>
      <c r="Y712" t="s">
        <v>19826</v>
      </c>
      <c r="Z712" t="s">
        <v>26030</v>
      </c>
      <c r="AA712">
        <v>0.55025504855027918</v>
      </c>
      <c r="AB712" t="str">
        <f>HYPERLINK("Melting_Curves/meltCurve_F5H4Z3_PSMF1.pdf", "Melting_Curves/meltCurve_F5H4Z3_PSMF1.pdf")</f>
        <v>Melting_Curves/meltCurve_F5H4Z3_PSMF1.pdf</v>
      </c>
    </row>
    <row r="713" spans="1:28" x14ac:dyDescent="0.25">
      <c r="A713" t="s">
        <v>717</v>
      </c>
      <c r="B713">
        <v>0.99542014353169495</v>
      </c>
      <c r="C713">
        <v>0.73697976074296001</v>
      </c>
      <c r="D713">
        <v>0.299052345505676</v>
      </c>
      <c r="E713">
        <v>0.18387677626902499</v>
      </c>
      <c r="F713">
        <v>0.15324881843945201</v>
      </c>
      <c r="G713">
        <v>6.9647388591847006E-2</v>
      </c>
      <c r="H713">
        <v>6.5500660558024504E-2</v>
      </c>
      <c r="I713">
        <v>5.6388328175307499E-2</v>
      </c>
      <c r="J713">
        <v>4.0326651754419997E-2</v>
      </c>
      <c r="K713">
        <v>6.2007167715578501E-2</v>
      </c>
      <c r="L713">
        <v>1056.3982593732801</v>
      </c>
      <c r="M713">
        <v>25.5628474366437</v>
      </c>
      <c r="N713">
        <v>41.602263316240403</v>
      </c>
      <c r="O713">
        <v>41.0751352646217</v>
      </c>
      <c r="P713">
        <v>-0.143423903701283</v>
      </c>
      <c r="Q713">
        <v>7.8180750581407596E-2</v>
      </c>
      <c r="R713">
        <v>0.98750660848844696</v>
      </c>
      <c r="S713" t="s">
        <v>7115</v>
      </c>
      <c r="T713" t="s">
        <v>12802</v>
      </c>
      <c r="U713" t="s">
        <v>12802</v>
      </c>
      <c r="V713" t="s">
        <v>12802</v>
      </c>
      <c r="W713" t="s">
        <v>13504</v>
      </c>
      <c r="X713">
        <v>1</v>
      </c>
      <c r="Y713" t="s">
        <v>19827</v>
      </c>
      <c r="Z713" t="s">
        <v>26031</v>
      </c>
      <c r="AA713">
        <v>0.21945034402222319</v>
      </c>
      <c r="AB713" t="str">
        <f>HYPERLINK("Melting_Curves/meltCurve_F5H539_TDG.pdf", "Melting_Curves/meltCurve_F5H539_TDG.pdf")</f>
        <v>Melting_Curves/meltCurve_F5H539_TDG.pdf</v>
      </c>
    </row>
    <row r="714" spans="1:28" x14ac:dyDescent="0.25">
      <c r="A714" t="s">
        <v>718</v>
      </c>
      <c r="B714">
        <v>0.99542014353169495</v>
      </c>
      <c r="C714">
        <v>0.938929838784761</v>
      </c>
      <c r="D714">
        <v>0.93903123404576305</v>
      </c>
      <c r="E714">
        <v>0.67203303446782603</v>
      </c>
      <c r="F714">
        <v>0.193429397930793</v>
      </c>
      <c r="G714">
        <v>0.115399152268865</v>
      </c>
      <c r="H714">
        <v>8.3459581492748E-2</v>
      </c>
      <c r="I714">
        <v>6.7531595213886603E-2</v>
      </c>
      <c r="J714">
        <v>4.6686045047120497E-2</v>
      </c>
      <c r="K714">
        <v>5.0417782165791299E-2</v>
      </c>
      <c r="L714">
        <v>1424.6842516853401</v>
      </c>
      <c r="M714">
        <v>30.018901390124</v>
      </c>
      <c r="N714">
        <v>47.673436401830799</v>
      </c>
      <c r="O714">
        <v>47.250458568000397</v>
      </c>
      <c r="P714">
        <v>-0.14882423057246399</v>
      </c>
      <c r="Q714">
        <v>6.2994812209221193E-2</v>
      </c>
      <c r="R714">
        <v>0.99631741074390101</v>
      </c>
      <c r="S714" t="s">
        <v>7116</v>
      </c>
      <c r="T714" t="s">
        <v>12802</v>
      </c>
      <c r="U714" t="s">
        <v>12802</v>
      </c>
      <c r="V714" t="s">
        <v>12802</v>
      </c>
      <c r="W714" t="s">
        <v>13505</v>
      </c>
      <c r="X714">
        <v>14</v>
      </c>
      <c r="Y714" t="s">
        <v>19828</v>
      </c>
      <c r="Z714" t="s">
        <v>26032</v>
      </c>
      <c r="AA714">
        <v>0.39517037400950072</v>
      </c>
      <c r="AB714" t="str">
        <f>HYPERLINK("Melting_Curves/meltCurve_F5H564_EIF4G3.pdf", "Melting_Curves/meltCurve_F5H564_EIF4G3.pdf")</f>
        <v>Melting_Curves/meltCurve_F5H564_EIF4G3.pdf</v>
      </c>
    </row>
    <row r="715" spans="1:28" x14ac:dyDescent="0.25">
      <c r="A715" t="s">
        <v>719</v>
      </c>
      <c r="B715">
        <v>0.99542014353169495</v>
      </c>
      <c r="C715">
        <v>0.83755672945233595</v>
      </c>
      <c r="D715">
        <v>0.93643700226280702</v>
      </c>
      <c r="E715">
        <v>0.65523087367507804</v>
      </c>
      <c r="F715">
        <v>0.56242270758467505</v>
      </c>
      <c r="G715">
        <v>0.29772963268173103</v>
      </c>
      <c r="H715">
        <v>0.21125777861169001</v>
      </c>
      <c r="I715">
        <v>0.10980678199736101</v>
      </c>
      <c r="J715">
        <v>0.12284178169847999</v>
      </c>
      <c r="K715">
        <v>7.7894495228073096E-2</v>
      </c>
      <c r="L715">
        <v>543.45122799825299</v>
      </c>
      <c r="M715">
        <v>10.8295497664888</v>
      </c>
      <c r="N715">
        <v>50.285921474099801</v>
      </c>
      <c r="O715">
        <v>48.562035537841403</v>
      </c>
      <c r="P715">
        <v>-5.5155395037659198E-2</v>
      </c>
      <c r="Q715">
        <v>1.10394668050924E-2</v>
      </c>
      <c r="R715">
        <v>0.97853631242235595</v>
      </c>
      <c r="S715" t="s">
        <v>7117</v>
      </c>
      <c r="T715" t="s">
        <v>12802</v>
      </c>
      <c r="U715" t="s">
        <v>12802</v>
      </c>
      <c r="V715" t="s">
        <v>12802</v>
      </c>
      <c r="W715" t="s">
        <v>13506</v>
      </c>
      <c r="X715">
        <v>20</v>
      </c>
      <c r="Y715" t="s">
        <v>19829</v>
      </c>
      <c r="Z715" t="s">
        <v>26033</v>
      </c>
      <c r="AA715">
        <v>0.47613204295097911</v>
      </c>
      <c r="AB715" t="str">
        <f>HYPERLINK("Melting_Curves/meltCurve_F5H569_ATP6V0A1.pdf", "Melting_Curves/meltCurve_F5H569_ATP6V0A1.pdf")</f>
        <v>Melting_Curves/meltCurve_F5H569_ATP6V0A1.pdf</v>
      </c>
    </row>
    <row r="716" spans="1:28" x14ac:dyDescent="0.25">
      <c r="A716" t="s">
        <v>720</v>
      </c>
      <c r="B716">
        <v>0.99542014353169495</v>
      </c>
      <c r="C716">
        <v>1.0676844972712001</v>
      </c>
      <c r="D716">
        <v>0.87221414980965695</v>
      </c>
      <c r="E716">
        <v>0.75394140616326399</v>
      </c>
      <c r="F716">
        <v>0.61866981210046701</v>
      </c>
      <c r="G716">
        <v>0.51680912804025503</v>
      </c>
      <c r="H716">
        <v>0.42178806770392402</v>
      </c>
      <c r="I716">
        <v>0.36472804488602101</v>
      </c>
      <c r="J716">
        <v>0.54500054768391304</v>
      </c>
      <c r="K716">
        <v>0.58078849703275304</v>
      </c>
      <c r="L716">
        <v>917.14951066107403</v>
      </c>
      <c r="M716">
        <v>19.5963039131824</v>
      </c>
      <c r="N716">
        <v>55.7426339010661</v>
      </c>
      <c r="O716">
        <v>46.322948245587298</v>
      </c>
      <c r="P716">
        <v>-5.5163387988590003E-2</v>
      </c>
      <c r="Q716">
        <v>0.47842380935343598</v>
      </c>
      <c r="R716">
        <v>0.91481335013417697</v>
      </c>
      <c r="S716" t="s">
        <v>7118</v>
      </c>
      <c r="T716" t="s">
        <v>12802</v>
      </c>
      <c r="U716" t="s">
        <v>12802</v>
      </c>
      <c r="V716" t="s">
        <v>12802</v>
      </c>
      <c r="W716" t="s">
        <v>13507</v>
      </c>
      <c r="X716">
        <v>9</v>
      </c>
      <c r="Y716" t="s">
        <v>19830</v>
      </c>
      <c r="Z716" t="s">
        <v>26034</v>
      </c>
      <c r="AA716">
        <v>0.65594696655647933</v>
      </c>
      <c r="AB716" t="str">
        <f>HYPERLINK("Melting_Curves/meltCurve_F5H577_BRK1.pdf", "Melting_Curves/meltCurve_F5H577_BRK1.pdf")</f>
        <v>Melting_Curves/meltCurve_F5H577_BRK1.pdf</v>
      </c>
    </row>
    <row r="717" spans="1:28" x14ac:dyDescent="0.25">
      <c r="A717" t="s">
        <v>721</v>
      </c>
      <c r="B717">
        <v>0.99542014353169495</v>
      </c>
      <c r="C717">
        <v>0.91503576865165803</v>
      </c>
      <c r="D717">
        <v>0.79383173059355705</v>
      </c>
      <c r="E717">
        <v>0.63522390663672201</v>
      </c>
      <c r="F717">
        <v>0.50715211392917603</v>
      </c>
      <c r="G717">
        <v>0.26468786573512898</v>
      </c>
      <c r="H717">
        <v>0.16660410075120899</v>
      </c>
      <c r="I717">
        <v>0.12178260969329199</v>
      </c>
      <c r="J717">
        <v>0.14183991626995399</v>
      </c>
      <c r="K717">
        <v>0.16602965981642501</v>
      </c>
      <c r="L717">
        <v>566.20238027614596</v>
      </c>
      <c r="M717">
        <v>11.7302135726028</v>
      </c>
      <c r="N717">
        <v>49.037364860616997</v>
      </c>
      <c r="O717">
        <v>46.929940559017702</v>
      </c>
      <c r="P717">
        <v>-5.7255429198600299E-2</v>
      </c>
      <c r="Q717">
        <v>8.3976880363973397E-2</v>
      </c>
      <c r="R717">
        <v>0.98851558455009203</v>
      </c>
      <c r="S717" t="s">
        <v>7119</v>
      </c>
      <c r="T717" t="s">
        <v>12802</v>
      </c>
      <c r="U717" t="s">
        <v>12802</v>
      </c>
      <c r="V717" t="s">
        <v>12802</v>
      </c>
      <c r="W717" t="s">
        <v>13508</v>
      </c>
      <c r="X717">
        <v>9</v>
      </c>
      <c r="Y717" t="s">
        <v>19831</v>
      </c>
      <c r="Z717" t="s">
        <v>26035</v>
      </c>
      <c r="AA717">
        <v>0.45727725830559152</v>
      </c>
      <c r="AB717" t="str">
        <f>HYPERLINK("Melting_Curves/meltCurve_F5H5C2_NUP133.pdf", "Melting_Curves/meltCurve_F5H5C2_NUP133.pdf")</f>
        <v>Melting_Curves/meltCurve_F5H5C2_NUP133.pdf</v>
      </c>
    </row>
    <row r="718" spans="1:28" x14ac:dyDescent="0.25">
      <c r="A718" t="s">
        <v>722</v>
      </c>
      <c r="B718">
        <v>0.99542014353169495</v>
      </c>
      <c r="C718">
        <v>0.88843689752155397</v>
      </c>
      <c r="D718">
        <v>0.86386564015450495</v>
      </c>
      <c r="E718">
        <v>0.82066745556091003</v>
      </c>
      <c r="F718">
        <v>0.62793810509766901</v>
      </c>
      <c r="G718">
        <v>0.53220264907251302</v>
      </c>
      <c r="H718">
        <v>0.27353204959171801</v>
      </c>
      <c r="I718">
        <v>0.125070856559649</v>
      </c>
      <c r="J718">
        <v>4.4407749738318902E-2</v>
      </c>
      <c r="K718">
        <v>4.1521993500028297E-2</v>
      </c>
      <c r="L718">
        <v>624.37344695364004</v>
      </c>
      <c r="M718">
        <v>11.857133678438601</v>
      </c>
      <c r="N718">
        <v>52.658060900431899</v>
      </c>
      <c r="O718">
        <v>51.2272326745668</v>
      </c>
      <c r="P718">
        <v>-5.7879994327973298E-2</v>
      </c>
      <c r="Q718">
        <v>0</v>
      </c>
      <c r="R718">
        <v>0.97703515223424997</v>
      </c>
      <c r="S718" t="s">
        <v>7120</v>
      </c>
      <c r="T718" t="s">
        <v>12802</v>
      </c>
      <c r="U718" t="s">
        <v>12802</v>
      </c>
      <c r="V718" t="s">
        <v>12802</v>
      </c>
      <c r="W718" t="s">
        <v>13509</v>
      </c>
      <c r="X718">
        <v>31</v>
      </c>
      <c r="Y718" t="s">
        <v>19832</v>
      </c>
      <c r="Z718" t="s">
        <v>26036</v>
      </c>
      <c r="AA718">
        <v>0.54414025883110395</v>
      </c>
      <c r="AB718" t="str">
        <f>HYPERLINK("Melting_Curves/meltCurve_F5H5D3_TUBA1C.pdf", "Melting_Curves/meltCurve_F5H5D3_TUBA1C.pdf")</f>
        <v>Melting_Curves/meltCurve_F5H5D3_TUBA1C.pdf</v>
      </c>
    </row>
    <row r="719" spans="1:28" x14ac:dyDescent="0.25">
      <c r="A719" t="s">
        <v>723</v>
      </c>
      <c r="B719">
        <v>0.99542014353169495</v>
      </c>
      <c r="C719">
        <v>1.0438180757531099</v>
      </c>
      <c r="D719">
        <v>0.92648859008244999</v>
      </c>
      <c r="E719">
        <v>0.78310977647857405</v>
      </c>
      <c r="F719">
        <v>0.59322537816930299</v>
      </c>
      <c r="G719">
        <v>0.31607269241571101</v>
      </c>
      <c r="H719">
        <v>0.27305842049692203</v>
      </c>
      <c r="I719">
        <v>0.16845510796563801</v>
      </c>
      <c r="J719">
        <v>0.15394943617273699</v>
      </c>
      <c r="K719">
        <v>6.9015473535559702E-2</v>
      </c>
      <c r="L719">
        <v>721.86057611834497</v>
      </c>
      <c r="M719">
        <v>14.245905023500599</v>
      </c>
      <c r="N719">
        <v>51.342963639428902</v>
      </c>
      <c r="O719">
        <v>49.704345823706298</v>
      </c>
      <c r="P719">
        <v>-6.5570984238442098E-2</v>
      </c>
      <c r="Q719">
        <v>8.4997529457420395E-2</v>
      </c>
      <c r="R719">
        <v>0.99138201652788005</v>
      </c>
      <c r="S719" t="s">
        <v>7121</v>
      </c>
      <c r="T719" t="s">
        <v>12802</v>
      </c>
      <c r="U719" t="s">
        <v>12802</v>
      </c>
      <c r="V719" t="s">
        <v>12802</v>
      </c>
      <c r="W719" t="s">
        <v>13510</v>
      </c>
      <c r="X719">
        <v>1</v>
      </c>
      <c r="Y719" t="s">
        <v>19833</v>
      </c>
      <c r="Z719" t="s">
        <v>26037</v>
      </c>
      <c r="AA719">
        <v>0.5219677435802963</v>
      </c>
      <c r="AB719" t="str">
        <f>HYPERLINK("Melting_Curves/meltCurve_F5H5D7_CLSTN3.pdf", "Melting_Curves/meltCurve_F5H5D7_CLSTN3.pdf")</f>
        <v>Melting_Curves/meltCurve_F5H5D7_CLSTN3.pdf</v>
      </c>
    </row>
    <row r="720" spans="1:28" x14ac:dyDescent="0.25">
      <c r="A720" t="s">
        <v>724</v>
      </c>
      <c r="B720">
        <v>0.99542014353169495</v>
      </c>
      <c r="C720">
        <v>0.91850368137780403</v>
      </c>
      <c r="D720">
        <v>0.87209000874030296</v>
      </c>
      <c r="E720">
        <v>0.59086009377582405</v>
      </c>
      <c r="F720">
        <v>0.21963363643411299</v>
      </c>
      <c r="G720">
        <v>0.12194206329494001</v>
      </c>
      <c r="H720">
        <v>5.7876612760851202E-2</v>
      </c>
      <c r="I720">
        <v>5.0721112661262502E-2</v>
      </c>
      <c r="J720">
        <v>5.6737641524918697E-2</v>
      </c>
      <c r="K720">
        <v>4.65626274151461E-2</v>
      </c>
      <c r="L720">
        <v>959.95334587980597</v>
      </c>
      <c r="M720">
        <v>20.414652863682701</v>
      </c>
      <c r="N720">
        <v>47.229035921657598</v>
      </c>
      <c r="O720">
        <v>46.578530684553897</v>
      </c>
      <c r="P720">
        <v>-0.104900955441704</v>
      </c>
      <c r="Q720">
        <v>4.26512256814503E-2</v>
      </c>
      <c r="R720">
        <v>0.99655328075814098</v>
      </c>
      <c r="S720" t="s">
        <v>7122</v>
      </c>
      <c r="T720" t="s">
        <v>12802</v>
      </c>
      <c r="U720" t="s">
        <v>12802</v>
      </c>
      <c r="V720" t="s">
        <v>12802</v>
      </c>
      <c r="W720" t="s">
        <v>13511</v>
      </c>
      <c r="X720">
        <v>6</v>
      </c>
      <c r="Y720" t="s">
        <v>19834</v>
      </c>
      <c r="Z720" t="s">
        <v>26038</v>
      </c>
      <c r="AA720">
        <v>0.37453388022104328</v>
      </c>
      <c r="AB720" t="str">
        <f>HYPERLINK("Melting_Curves/meltCurve_F5H5I6_GRSF1.pdf", "Melting_Curves/meltCurve_F5H5I6_GRSF1.pdf")</f>
        <v>Melting_Curves/meltCurve_F5H5I6_GRSF1.pdf</v>
      </c>
    </row>
    <row r="721" spans="1:28" x14ac:dyDescent="0.25">
      <c r="A721" t="s">
        <v>725</v>
      </c>
      <c r="B721">
        <v>0.99542014353169495</v>
      </c>
      <c r="C721">
        <v>1.0092196466113099</v>
      </c>
      <c r="D721">
        <v>0.99976773617903103</v>
      </c>
      <c r="E721">
        <v>0.761244302301752</v>
      </c>
      <c r="F721">
        <v>0.69389134618779802</v>
      </c>
      <c r="G721">
        <v>0.50437489610182396</v>
      </c>
      <c r="H721">
        <v>0.35104406306050401</v>
      </c>
      <c r="I721">
        <v>0.26341783966752802</v>
      </c>
      <c r="J721">
        <v>0.30327217854890698</v>
      </c>
      <c r="K721">
        <v>0.433976178736032</v>
      </c>
      <c r="L721">
        <v>817.92608931003394</v>
      </c>
      <c r="M721">
        <v>16.3672383660546</v>
      </c>
      <c r="N721">
        <v>53.178844441303902</v>
      </c>
      <c r="O721">
        <v>49.245248154345802</v>
      </c>
      <c r="P721">
        <v>-5.7039581681794897E-2</v>
      </c>
      <c r="Q721">
        <v>0.31357356792268098</v>
      </c>
      <c r="R721">
        <v>0.95919810642070802</v>
      </c>
      <c r="S721" t="s">
        <v>7123</v>
      </c>
      <c r="T721" t="s">
        <v>12802</v>
      </c>
      <c r="U721" t="s">
        <v>12802</v>
      </c>
      <c r="V721" t="s">
        <v>12802</v>
      </c>
      <c r="W721" t="s">
        <v>13512</v>
      </c>
      <c r="X721">
        <v>1</v>
      </c>
      <c r="Y721" t="s">
        <v>19835</v>
      </c>
      <c r="Z721" t="s">
        <v>26039</v>
      </c>
      <c r="AA721">
        <v>0.62301430513809353</v>
      </c>
      <c r="AB721" t="str">
        <f>HYPERLINK("Melting_Curves/meltCurve_F5H5M7_IFNGR1.pdf", "Melting_Curves/meltCurve_F5H5M7_IFNGR1.pdf")</f>
        <v>Melting_Curves/meltCurve_F5H5M7_IFNGR1.pdf</v>
      </c>
    </row>
    <row r="722" spans="1:28" x14ac:dyDescent="0.25">
      <c r="A722" t="s">
        <v>726</v>
      </c>
      <c r="B722">
        <v>0.99542014353169495</v>
      </c>
      <c r="C722">
        <v>0.88182325322639898</v>
      </c>
      <c r="D722">
        <v>0.97198816176386704</v>
      </c>
      <c r="E722">
        <v>0.64654657124872605</v>
      </c>
      <c r="F722">
        <v>0.24199862384663701</v>
      </c>
      <c r="G722">
        <v>0.12980855028583899</v>
      </c>
      <c r="H722">
        <v>9.7213856028307899E-2</v>
      </c>
      <c r="I722">
        <v>6.4338780735982606E-2</v>
      </c>
      <c r="J722">
        <v>6.5120612359812396E-2</v>
      </c>
      <c r="K722">
        <v>6.4353967390563094E-2</v>
      </c>
      <c r="L722">
        <v>1245.23947154848</v>
      </c>
      <c r="M722">
        <v>26.230437123429098</v>
      </c>
      <c r="N722">
        <v>47.754524450838801</v>
      </c>
      <c r="O722">
        <v>47.199727909669697</v>
      </c>
      <c r="P722">
        <v>-0.128984427000889</v>
      </c>
      <c r="Q722">
        <v>7.1618670507517704E-2</v>
      </c>
      <c r="R722">
        <v>0.99051148796188304</v>
      </c>
      <c r="S722" t="s">
        <v>7124</v>
      </c>
      <c r="T722" t="s">
        <v>12802</v>
      </c>
      <c r="U722" t="s">
        <v>12802</v>
      </c>
      <c r="V722" t="s">
        <v>12802</v>
      </c>
      <c r="W722" t="s">
        <v>13513</v>
      </c>
      <c r="X722">
        <v>24</v>
      </c>
      <c r="Y722" t="s">
        <v>19836</v>
      </c>
      <c r="Z722" t="s">
        <v>26040</v>
      </c>
      <c r="AA722">
        <v>0.40285037602215129</v>
      </c>
      <c r="AB722" t="str">
        <f>HYPERLINK("Melting_Curves/meltCurve_F5H5N0_CDC42BPA.pdf", "Melting_Curves/meltCurve_F5H5N0_CDC42BPA.pdf")</f>
        <v>Melting_Curves/meltCurve_F5H5N0_CDC42BPA.pdf</v>
      </c>
    </row>
    <row r="723" spans="1:28" x14ac:dyDescent="0.25">
      <c r="A723" t="s">
        <v>727</v>
      </c>
      <c r="B723">
        <v>0.99542014353169495</v>
      </c>
      <c r="C723">
        <v>0.89184107824745096</v>
      </c>
      <c r="D723">
        <v>0.83422605021826202</v>
      </c>
      <c r="E723">
        <v>0.64499864346424995</v>
      </c>
      <c r="F723">
        <v>0.44592626063304902</v>
      </c>
      <c r="G723">
        <v>0.23318266098611201</v>
      </c>
      <c r="H723">
        <v>9.4943458569663297E-2</v>
      </c>
      <c r="I723">
        <v>5.9596508797020699E-2</v>
      </c>
      <c r="J723">
        <v>5.1575857143154102E-2</v>
      </c>
      <c r="K723">
        <v>7.2271853912360795E-2</v>
      </c>
      <c r="L723">
        <v>599.88618872826498</v>
      </c>
      <c r="M723">
        <v>12.3004270253254</v>
      </c>
      <c r="N723">
        <v>48.769541723060101</v>
      </c>
      <c r="O723">
        <v>47.534275065516397</v>
      </c>
      <c r="P723">
        <v>-6.4706578352431598E-2</v>
      </c>
      <c r="Q723">
        <v>0</v>
      </c>
      <c r="R723">
        <v>0.99453125560339195</v>
      </c>
      <c r="S723" t="s">
        <v>7125</v>
      </c>
      <c r="T723" t="s">
        <v>12802</v>
      </c>
      <c r="U723" t="s">
        <v>12802</v>
      </c>
      <c r="V723" t="s">
        <v>12802</v>
      </c>
      <c r="W723" t="s">
        <v>13514</v>
      </c>
      <c r="X723">
        <v>4</v>
      </c>
      <c r="Y723" t="s">
        <v>19837</v>
      </c>
      <c r="Z723" t="s">
        <v>26041</v>
      </c>
      <c r="AA723">
        <v>0.4214092323866947</v>
      </c>
      <c r="AB723" t="str">
        <f>HYPERLINK("Melting_Curves/meltCurve_F5H5N1_NDUFS7.pdf", "Melting_Curves/meltCurve_F5H5N1_NDUFS7.pdf")</f>
        <v>Melting_Curves/meltCurve_F5H5N1_NDUFS7.pdf</v>
      </c>
    </row>
    <row r="724" spans="1:28" x14ac:dyDescent="0.25">
      <c r="A724" t="s">
        <v>728</v>
      </c>
      <c r="B724">
        <v>0.99542014353169495</v>
      </c>
      <c r="C724">
        <v>0.83286410273990397</v>
      </c>
      <c r="D724">
        <v>0.89608727800469001</v>
      </c>
      <c r="E724">
        <v>0.57674735544029299</v>
      </c>
      <c r="F724">
        <v>0.50637439332971201</v>
      </c>
      <c r="G724">
        <v>0.24682926738243</v>
      </c>
      <c r="H724">
        <v>0.16231289187651701</v>
      </c>
      <c r="I724">
        <v>4.43026782392692E-2</v>
      </c>
      <c r="J724">
        <v>3.1179159745885501E-2</v>
      </c>
      <c r="K724">
        <v>5.02565878399912E-2</v>
      </c>
      <c r="L724">
        <v>564.32308973965905</v>
      </c>
      <c r="M724">
        <v>11.5285266887822</v>
      </c>
      <c r="N724">
        <v>48.950148195059903</v>
      </c>
      <c r="O724">
        <v>47.546807203766598</v>
      </c>
      <c r="P724">
        <v>-6.0633787822127E-2</v>
      </c>
      <c r="Q724">
        <v>0</v>
      </c>
      <c r="R724">
        <v>0.97805966269928801</v>
      </c>
      <c r="S724" t="s">
        <v>7126</v>
      </c>
      <c r="T724" t="s">
        <v>12802</v>
      </c>
      <c r="U724" t="s">
        <v>12802</v>
      </c>
      <c r="V724" t="s">
        <v>12802</v>
      </c>
      <c r="W724" t="s">
        <v>13515</v>
      </c>
      <c r="X724">
        <v>2</v>
      </c>
      <c r="Y724" t="s">
        <v>19838</v>
      </c>
      <c r="Z724" t="s">
        <v>26042</v>
      </c>
      <c r="AA724">
        <v>0.42974443136491142</v>
      </c>
      <c r="AB724" t="str">
        <f>HYPERLINK("Melting_Curves/meltCurve_F5H5P2_BCKDHA.pdf", "Melting_Curves/meltCurve_F5H5P2_BCKDHA.pdf")</f>
        <v>Melting_Curves/meltCurve_F5H5P2_BCKDHA.pdf</v>
      </c>
    </row>
    <row r="725" spans="1:28" x14ac:dyDescent="0.25">
      <c r="A725" t="s">
        <v>729</v>
      </c>
      <c r="B725">
        <v>0.99542014353169495</v>
      </c>
      <c r="C725">
        <v>1.0560320191258501</v>
      </c>
      <c r="D725">
        <v>0.73595934573939203</v>
      </c>
      <c r="E725">
        <v>0.29844093898546897</v>
      </c>
      <c r="F725">
        <v>0.16214089647223101</v>
      </c>
      <c r="G725">
        <v>0.10558477886899099</v>
      </c>
      <c r="H725">
        <v>7.7766546629922301E-2</v>
      </c>
      <c r="I725">
        <v>6.7728846936386297E-2</v>
      </c>
      <c r="J725">
        <v>6.5305631105539302E-2</v>
      </c>
      <c r="K725">
        <v>9.9421721699243598E-2</v>
      </c>
      <c r="L725">
        <v>1250.87326331638</v>
      </c>
      <c r="M725">
        <v>28.055038889578999</v>
      </c>
      <c r="N725">
        <v>44.895138735151903</v>
      </c>
      <c r="O725">
        <v>44.361713546797603</v>
      </c>
      <c r="P725">
        <v>-0.144235188645814</v>
      </c>
      <c r="Q725">
        <v>8.7726704841089395E-2</v>
      </c>
      <c r="R725">
        <v>0.99236376547921101</v>
      </c>
      <c r="S725" t="s">
        <v>7127</v>
      </c>
      <c r="T725" t="s">
        <v>12802</v>
      </c>
      <c r="U725" t="s">
        <v>12802</v>
      </c>
      <c r="V725" t="s">
        <v>12802</v>
      </c>
      <c r="W725" t="s">
        <v>13516</v>
      </c>
      <c r="X725">
        <v>4</v>
      </c>
      <c r="Y725" t="s">
        <v>19839</v>
      </c>
      <c r="Z725" t="s">
        <v>26043</v>
      </c>
      <c r="AA725">
        <v>0.32428275564884362</v>
      </c>
      <c r="AB725" t="str">
        <f>HYPERLINK("Melting_Curves/meltCurve_F5H5R8_NAT1.pdf", "Melting_Curves/meltCurve_F5H5R8_NAT1.pdf")</f>
        <v>Melting_Curves/meltCurve_F5H5R8_NAT1.pdf</v>
      </c>
    </row>
    <row r="726" spans="1:28" x14ac:dyDescent="0.25">
      <c r="A726" t="s">
        <v>730</v>
      </c>
      <c r="B726">
        <v>0.99542014353169495</v>
      </c>
      <c r="C726">
        <v>1.14025000284752</v>
      </c>
      <c r="D726">
        <v>0.70712676961111598</v>
      </c>
      <c r="E726">
        <v>0.758564723300303</v>
      </c>
      <c r="F726">
        <v>0.41474411353297302</v>
      </c>
      <c r="G726">
        <v>9.4200194360583606E-2</v>
      </c>
      <c r="H726">
        <v>3.9486201946113603E-2</v>
      </c>
      <c r="I726">
        <v>4.2626673406527898E-2</v>
      </c>
      <c r="J726">
        <v>0</v>
      </c>
      <c r="K726">
        <v>0.125900453597387</v>
      </c>
      <c r="L726">
        <v>869.81044355582696</v>
      </c>
      <c r="M726">
        <v>17.900460248825699</v>
      </c>
      <c r="N726">
        <v>48.700102297895</v>
      </c>
      <c r="O726">
        <v>47.997252378179603</v>
      </c>
      <c r="P726">
        <v>-9.1417442681703195E-2</v>
      </c>
      <c r="Q726">
        <v>1.95637939331832E-2</v>
      </c>
      <c r="R726">
        <v>0.94583275266595801</v>
      </c>
      <c r="S726" t="s">
        <v>7128</v>
      </c>
      <c r="T726" t="s">
        <v>12802</v>
      </c>
      <c r="U726" t="s">
        <v>12802</v>
      </c>
      <c r="V726" t="s">
        <v>12802</v>
      </c>
      <c r="W726" t="s">
        <v>13517</v>
      </c>
      <c r="X726">
        <v>2</v>
      </c>
      <c r="Y726" t="s">
        <v>19840</v>
      </c>
      <c r="Z726" t="s">
        <v>26044</v>
      </c>
      <c r="AA726">
        <v>0.41416983088813802</v>
      </c>
      <c r="AB726" t="str">
        <f>HYPERLINK("Melting_Curves/meltCurve_F5H5U2_DDX55.pdf", "Melting_Curves/meltCurve_F5H5U2_DDX55.pdf")</f>
        <v>Melting_Curves/meltCurve_F5H5U2_DDX55.pdf</v>
      </c>
    </row>
    <row r="727" spans="1:28" x14ac:dyDescent="0.25">
      <c r="A727" t="s">
        <v>731</v>
      </c>
      <c r="B727">
        <v>0.99542014353169495</v>
      </c>
      <c r="C727">
        <v>0.819939998615136</v>
      </c>
      <c r="D727">
        <v>0.87220647392861494</v>
      </c>
      <c r="E727">
        <v>0.52312565042730896</v>
      </c>
      <c r="F727">
        <v>0.36492681356971002</v>
      </c>
      <c r="G727">
        <v>0.17234433428146201</v>
      </c>
      <c r="H727">
        <v>0.15125194272565001</v>
      </c>
      <c r="I727">
        <v>0.12359551784855401</v>
      </c>
      <c r="J727">
        <v>0.12975460099956199</v>
      </c>
      <c r="K727">
        <v>0.136329725136171</v>
      </c>
      <c r="L727">
        <v>687.91068278868704</v>
      </c>
      <c r="M727">
        <v>14.769336599249501</v>
      </c>
      <c r="N727">
        <v>47.330615694495897</v>
      </c>
      <c r="O727">
        <v>45.748069686035002</v>
      </c>
      <c r="P727">
        <v>-7.2260727496358104E-2</v>
      </c>
      <c r="Q727">
        <v>0.104784732680217</v>
      </c>
      <c r="R727">
        <v>0.97987748209805903</v>
      </c>
      <c r="S727" t="s">
        <v>7129</v>
      </c>
      <c r="T727" t="s">
        <v>12802</v>
      </c>
      <c r="U727" t="s">
        <v>12802</v>
      </c>
      <c r="V727" t="s">
        <v>12802</v>
      </c>
      <c r="W727" t="s">
        <v>13518</v>
      </c>
      <c r="X727">
        <v>4</v>
      </c>
      <c r="Y727" t="s">
        <v>19841</v>
      </c>
      <c r="Z727" t="s">
        <v>26045</v>
      </c>
      <c r="AA727">
        <v>0.41150064126740682</v>
      </c>
      <c r="AB727" t="str">
        <f>HYPERLINK("Melting_Curves/meltCurve_F5H5V6_KDM6A.pdf", "Melting_Curves/meltCurve_F5H5V6_KDM6A.pdf")</f>
        <v>Melting_Curves/meltCurve_F5H5V6_KDM6A.pdf</v>
      </c>
    </row>
    <row r="728" spans="1:28" x14ac:dyDescent="0.25">
      <c r="A728" t="s">
        <v>732</v>
      </c>
      <c r="B728">
        <v>0.99542014353169495</v>
      </c>
      <c r="C728">
        <v>0.99031944420025597</v>
      </c>
      <c r="D728">
        <v>0.971233132705695</v>
      </c>
      <c r="E728">
        <v>0.81037241727834397</v>
      </c>
      <c r="F728">
        <v>0.35537081198590997</v>
      </c>
      <c r="G728">
        <v>0.113566446948885</v>
      </c>
      <c r="H728">
        <v>7.2777750558601501E-2</v>
      </c>
      <c r="I728">
        <v>5.3747527112599301E-2</v>
      </c>
      <c r="J728">
        <v>5.8480152149791798E-2</v>
      </c>
      <c r="K728">
        <v>5.4906145038619701E-2</v>
      </c>
      <c r="L728">
        <v>1389.4484797494499</v>
      </c>
      <c r="M728">
        <v>28.444447692429101</v>
      </c>
      <c r="N728">
        <v>49.046429715928703</v>
      </c>
      <c r="O728">
        <v>48.6082720471938</v>
      </c>
      <c r="P728">
        <v>-0.13833629414441201</v>
      </c>
      <c r="Q728">
        <v>5.4404774894418098E-2</v>
      </c>
      <c r="R728">
        <v>0.99985357247138595</v>
      </c>
      <c r="S728" t="s">
        <v>7130</v>
      </c>
      <c r="T728" t="s">
        <v>12802</v>
      </c>
      <c r="U728" t="s">
        <v>12802</v>
      </c>
      <c r="V728" t="s">
        <v>12802</v>
      </c>
      <c r="W728" t="s">
        <v>13519</v>
      </c>
      <c r="X728">
        <v>49</v>
      </c>
      <c r="Y728" t="s">
        <v>19842</v>
      </c>
      <c r="Z728" t="s">
        <v>26046</v>
      </c>
      <c r="AA728">
        <v>0.43416946652617511</v>
      </c>
      <c r="AB728" t="str">
        <f>HYPERLINK("Melting_Curves/meltCurve_F5H604_CLASP2.pdf", "Melting_Curves/meltCurve_F5H604_CLASP2.pdf")</f>
        <v>Melting_Curves/meltCurve_F5H604_CLASP2.pdf</v>
      </c>
    </row>
    <row r="729" spans="1:28" x14ac:dyDescent="0.25">
      <c r="A729" t="s">
        <v>733</v>
      </c>
      <c r="B729">
        <v>0.99542014353169495</v>
      </c>
      <c r="C729">
        <v>1.01891497849802</v>
      </c>
      <c r="D729">
        <v>0.99502109816163897</v>
      </c>
      <c r="E729">
        <v>0.98181485683938396</v>
      </c>
      <c r="F729">
        <v>0.80301224135746996</v>
      </c>
      <c r="G729">
        <v>0.55940530250117504</v>
      </c>
      <c r="H729">
        <v>0.164950049928619</v>
      </c>
      <c r="I729">
        <v>7.5947656760996796E-2</v>
      </c>
      <c r="J729">
        <v>6.2557497263320994E-2</v>
      </c>
      <c r="K729">
        <v>6.6300148539814294E-2</v>
      </c>
      <c r="L729">
        <v>1283.97390914728</v>
      </c>
      <c r="M729">
        <v>23.8993310561501</v>
      </c>
      <c r="N729">
        <v>53.892218326647097</v>
      </c>
      <c r="O729">
        <v>53.352359747819797</v>
      </c>
      <c r="P729">
        <v>-0.107970788839784</v>
      </c>
      <c r="Q729">
        <v>3.58887045388862E-2</v>
      </c>
      <c r="R729">
        <v>0.99564338731648105</v>
      </c>
      <c r="S729" t="s">
        <v>7131</v>
      </c>
      <c r="T729" t="s">
        <v>12802</v>
      </c>
      <c r="U729" t="s">
        <v>12802</v>
      </c>
      <c r="V729" t="s">
        <v>12802</v>
      </c>
      <c r="W729" t="s">
        <v>13520</v>
      </c>
      <c r="X729">
        <v>6</v>
      </c>
      <c r="Y729" t="s">
        <v>19843</v>
      </c>
      <c r="Z729" t="s">
        <v>26047</v>
      </c>
      <c r="AA729">
        <v>0.58245205828225755</v>
      </c>
      <c r="AB729" t="str">
        <f>HYPERLINK("Melting_Curves/meltCurve_F5H620_OXNAD1.pdf", "Melting_Curves/meltCurve_F5H620_OXNAD1.pdf")</f>
        <v>Melting_Curves/meltCurve_F5H620_OXNAD1.pdf</v>
      </c>
    </row>
    <row r="730" spans="1:28" x14ac:dyDescent="0.25">
      <c r="A730" t="s">
        <v>734</v>
      </c>
      <c r="B730">
        <v>0.99542014353169495</v>
      </c>
      <c r="C730">
        <v>0.78363615918021201</v>
      </c>
      <c r="D730">
        <v>0.93435709515945098</v>
      </c>
      <c r="E730">
        <v>0.597707282124323</v>
      </c>
      <c r="F730">
        <v>0.55563932998843302</v>
      </c>
      <c r="G730">
        <v>0.24828744215596699</v>
      </c>
      <c r="H730">
        <v>0.14779759783476801</v>
      </c>
      <c r="I730">
        <v>0.159379233624178</v>
      </c>
      <c r="J730">
        <v>0.202667239449555</v>
      </c>
      <c r="K730">
        <v>0.26714100176005601</v>
      </c>
      <c r="L730">
        <v>651.50871899988897</v>
      </c>
      <c r="M730">
        <v>13.6404935391</v>
      </c>
      <c r="N730">
        <v>49.131339549942197</v>
      </c>
      <c r="O730">
        <v>46.771367187288703</v>
      </c>
      <c r="P730">
        <v>-6.1396112233385702E-2</v>
      </c>
      <c r="Q730">
        <v>0.15804819171701301</v>
      </c>
      <c r="R730">
        <v>0.92697173641858699</v>
      </c>
      <c r="S730" t="s">
        <v>7132</v>
      </c>
      <c r="T730" t="s">
        <v>12802</v>
      </c>
      <c r="U730" t="s">
        <v>12802</v>
      </c>
      <c r="V730" t="s">
        <v>12802</v>
      </c>
      <c r="W730" t="s">
        <v>13521</v>
      </c>
      <c r="X730">
        <v>1</v>
      </c>
      <c r="Y730" t="s">
        <v>19844</v>
      </c>
      <c r="Z730" t="s">
        <v>26048</v>
      </c>
      <c r="AA730">
        <v>0.48194622424331229</v>
      </c>
      <c r="AB730" t="str">
        <f>HYPERLINK("Melting_Curves/meltCurve_F5H631_CLEC2B.pdf", "Melting_Curves/meltCurve_F5H631_CLEC2B.pdf")</f>
        <v>Melting_Curves/meltCurve_F5H631_CLEC2B.pdf</v>
      </c>
    </row>
    <row r="731" spans="1:28" x14ac:dyDescent="0.25">
      <c r="A731" t="s">
        <v>735</v>
      </c>
      <c r="B731">
        <v>0.99542014353169495</v>
      </c>
      <c r="C731">
        <v>0.79070911977348401</v>
      </c>
      <c r="D731">
        <v>0.324535169955744</v>
      </c>
      <c r="E731">
        <v>0.215177316263509</v>
      </c>
      <c r="F731">
        <v>0.13506874557667101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852.70736642785505</v>
      </c>
      <c r="M731">
        <v>20.2537352518357</v>
      </c>
      <c r="N731">
        <v>42.175491230430097</v>
      </c>
      <c r="O731">
        <v>41.697259602296803</v>
      </c>
      <c r="P731">
        <v>-0.119310094545614</v>
      </c>
      <c r="Q731">
        <v>1.75145768495302E-2</v>
      </c>
      <c r="R731">
        <v>0.97859244957260005</v>
      </c>
      <c r="S731" t="s">
        <v>7133</v>
      </c>
      <c r="T731" t="s">
        <v>12802</v>
      </c>
      <c r="U731" t="s">
        <v>12802</v>
      </c>
      <c r="V731" t="s">
        <v>12802</v>
      </c>
      <c r="W731" t="s">
        <v>13522</v>
      </c>
      <c r="X731">
        <v>2</v>
      </c>
      <c r="Y731" t="s">
        <v>19845</v>
      </c>
      <c r="Z731" t="s">
        <v>26049</v>
      </c>
      <c r="AA731">
        <v>0.19881107335896109</v>
      </c>
      <c r="AB731" t="str">
        <f>HYPERLINK("Melting_Curves/meltCurve_F5H640_YY1AP1.pdf", "Melting_Curves/meltCurve_F5H640_YY1AP1.pdf")</f>
        <v>Melting_Curves/meltCurve_F5H640_YY1AP1.pdf</v>
      </c>
    </row>
    <row r="732" spans="1:28" x14ac:dyDescent="0.25">
      <c r="A732" t="s">
        <v>736</v>
      </c>
      <c r="B732">
        <v>0.99542014353169495</v>
      </c>
      <c r="C732">
        <v>1.01555586825203</v>
      </c>
      <c r="D732">
        <v>0.89078819617988203</v>
      </c>
      <c r="E732">
        <v>0.66575233949104795</v>
      </c>
      <c r="F732">
        <v>0.17770202997973999</v>
      </c>
      <c r="G732">
        <v>8.1640666260523395E-2</v>
      </c>
      <c r="H732">
        <v>4.5568170897591201E-2</v>
      </c>
      <c r="I732">
        <v>3.2397761400381697E-2</v>
      </c>
      <c r="J732">
        <v>0</v>
      </c>
      <c r="K732">
        <v>0</v>
      </c>
      <c r="L732">
        <v>1255.9584363066101</v>
      </c>
      <c r="M732">
        <v>26.418500754540698</v>
      </c>
      <c r="N732">
        <v>47.600532991140597</v>
      </c>
      <c r="O732">
        <v>47.270999712157902</v>
      </c>
      <c r="P732">
        <v>-0.13744447435365301</v>
      </c>
      <c r="Q732">
        <v>1.6285685050101899E-2</v>
      </c>
      <c r="R732">
        <v>0.99617683232836296</v>
      </c>
      <c r="S732" t="s">
        <v>7134</v>
      </c>
      <c r="T732" t="s">
        <v>12802</v>
      </c>
      <c r="U732" t="s">
        <v>12802</v>
      </c>
      <c r="V732" t="s">
        <v>12802</v>
      </c>
      <c r="W732" t="s">
        <v>13523</v>
      </c>
      <c r="X732">
        <v>2</v>
      </c>
      <c r="Y732" t="s">
        <v>19846</v>
      </c>
      <c r="Z732" t="s">
        <v>26050</v>
      </c>
      <c r="AA732">
        <v>0.36938313772869902</v>
      </c>
      <c r="AB732" t="str">
        <f>HYPERLINK("Melting_Curves/meltCurve_F5H648_TAP1.pdf", "Melting_Curves/meltCurve_F5H648_TAP1.pdf")</f>
        <v>Melting_Curves/meltCurve_F5H648_TAP1.pdf</v>
      </c>
    </row>
    <row r="733" spans="1:28" x14ac:dyDescent="0.25">
      <c r="A733" t="s">
        <v>737</v>
      </c>
      <c r="B733">
        <v>0.99542014353169495</v>
      </c>
      <c r="C733">
        <v>0.79912342835637695</v>
      </c>
      <c r="D733">
        <v>0.75875961622372001</v>
      </c>
      <c r="E733">
        <v>0.318960839171473</v>
      </c>
      <c r="F733">
        <v>0.163374667968818</v>
      </c>
      <c r="G733">
        <v>9.3777189049199697E-2</v>
      </c>
      <c r="H733">
        <v>6.5971311765086402E-2</v>
      </c>
      <c r="I733">
        <v>5.0663280215369103E-2</v>
      </c>
      <c r="J733">
        <v>5.1369090803224202E-2</v>
      </c>
      <c r="K733">
        <v>5.30472974598796E-2</v>
      </c>
      <c r="L733">
        <v>783.06997771010003</v>
      </c>
      <c r="M733">
        <v>17.5224920030854</v>
      </c>
      <c r="N733">
        <v>44.926034878416203</v>
      </c>
      <c r="O733">
        <v>44.119553132362299</v>
      </c>
      <c r="P733">
        <v>-9.4918482342548099E-2</v>
      </c>
      <c r="Q733">
        <v>4.4078641945844703E-2</v>
      </c>
      <c r="R733">
        <v>0.98581734155614997</v>
      </c>
      <c r="S733" t="s">
        <v>7135</v>
      </c>
      <c r="T733" t="s">
        <v>12802</v>
      </c>
      <c r="U733" t="s">
        <v>12802</v>
      </c>
      <c r="V733" t="s">
        <v>12802</v>
      </c>
      <c r="W733" t="s">
        <v>13524</v>
      </c>
      <c r="X733">
        <v>30</v>
      </c>
      <c r="Y733" t="s">
        <v>19847</v>
      </c>
      <c r="Z733" t="s">
        <v>26051</v>
      </c>
      <c r="AA733">
        <v>0.30578526002737533</v>
      </c>
      <c r="AB733" t="str">
        <f>HYPERLINK("Melting_Curves/meltCurve_F5H698_LARS.pdf", "Melting_Curves/meltCurve_F5H698_LARS.pdf")</f>
        <v>Melting_Curves/meltCurve_F5H698_LARS.pdf</v>
      </c>
    </row>
    <row r="734" spans="1:28" x14ac:dyDescent="0.25">
      <c r="A734" t="s">
        <v>738</v>
      </c>
      <c r="B734">
        <v>0.99542014353169495</v>
      </c>
      <c r="C734">
        <v>0.97844833522579799</v>
      </c>
      <c r="D734">
        <v>0.82938826610648897</v>
      </c>
      <c r="E734">
        <v>0.82249760235865899</v>
      </c>
      <c r="F734">
        <v>0.73326208595859499</v>
      </c>
      <c r="G734">
        <v>0.42896371743177403</v>
      </c>
      <c r="H734">
        <v>0.33886278318522201</v>
      </c>
      <c r="I734">
        <v>0.27132151342556499</v>
      </c>
      <c r="J734">
        <v>0.30237869254091698</v>
      </c>
      <c r="K734">
        <v>0.210303073735848</v>
      </c>
      <c r="L734">
        <v>586.37828243195497</v>
      </c>
      <c r="M734">
        <v>11.376978876407801</v>
      </c>
      <c r="N734">
        <v>53.444342885584597</v>
      </c>
      <c r="O734">
        <v>50.025448449106797</v>
      </c>
      <c r="P734">
        <v>-4.73985919941435E-2</v>
      </c>
      <c r="Q734">
        <v>0.16658595685163899</v>
      </c>
      <c r="R734">
        <v>0.97260829958431205</v>
      </c>
      <c r="S734" t="s">
        <v>7136</v>
      </c>
      <c r="T734" t="s">
        <v>12802</v>
      </c>
      <c r="U734" t="s">
        <v>12802</v>
      </c>
      <c r="V734" t="s">
        <v>12802</v>
      </c>
      <c r="W734" t="s">
        <v>13525</v>
      </c>
      <c r="X734">
        <v>1</v>
      </c>
      <c r="Y734" t="s">
        <v>19848</v>
      </c>
      <c r="Z734" t="s">
        <v>26052</v>
      </c>
      <c r="AA734">
        <v>0.59219580801468341</v>
      </c>
      <c r="AB734" t="str">
        <f>HYPERLINK("Melting_Curves/meltCurve_F5H6V0_KCTD10.pdf", "Melting_Curves/meltCurve_F5H6V0_KCTD10.pdf")</f>
        <v>Melting_Curves/meltCurve_F5H6V0_KCTD10.pdf</v>
      </c>
    </row>
    <row r="735" spans="1:28" x14ac:dyDescent="0.25">
      <c r="A735" t="s">
        <v>739</v>
      </c>
      <c r="B735">
        <v>0.99542014353169495</v>
      </c>
      <c r="C735">
        <v>1.15098711335392</v>
      </c>
      <c r="D735">
        <v>0.89973804452444495</v>
      </c>
      <c r="E735">
        <v>0.717719502541876</v>
      </c>
      <c r="F735">
        <v>0.33067620137364601</v>
      </c>
      <c r="G735">
        <v>0.24243242685907601</v>
      </c>
      <c r="H735">
        <v>0.10428485429588</v>
      </c>
      <c r="I735">
        <v>5.2022113821831403E-2</v>
      </c>
      <c r="J735">
        <v>0.10775373300584699</v>
      </c>
      <c r="K735">
        <v>3.1335157395706803E-2</v>
      </c>
      <c r="L735">
        <v>975.50183663209498</v>
      </c>
      <c r="M735">
        <v>20.156514150162199</v>
      </c>
      <c r="N735">
        <v>48.744610521025798</v>
      </c>
      <c r="O735">
        <v>47.927554788702302</v>
      </c>
      <c r="P735">
        <v>-9.8093190222501098E-2</v>
      </c>
      <c r="Q735">
        <v>6.7057302506232694E-2</v>
      </c>
      <c r="R735">
        <v>0.977768379369643</v>
      </c>
      <c r="S735" t="s">
        <v>7137</v>
      </c>
      <c r="T735" t="s">
        <v>12802</v>
      </c>
      <c r="U735" t="s">
        <v>12802</v>
      </c>
      <c r="V735" t="s">
        <v>12802</v>
      </c>
      <c r="W735" t="s">
        <v>13526</v>
      </c>
      <c r="X735">
        <v>3</v>
      </c>
      <c r="Y735" t="s">
        <v>19849</v>
      </c>
      <c r="Z735" t="s">
        <v>26053</v>
      </c>
      <c r="AA735">
        <v>0.43355859348741937</v>
      </c>
      <c r="AB735" t="str">
        <f>HYPERLINK("Melting_Curves/meltCurve_F5H6Z0_CDK17.pdf", "Melting_Curves/meltCurve_F5H6Z0_CDK17.pdf")</f>
        <v>Melting_Curves/meltCurve_F5H6Z0_CDK17.pdf</v>
      </c>
    </row>
    <row r="736" spans="1:28" x14ac:dyDescent="0.25">
      <c r="A736" t="s">
        <v>740</v>
      </c>
      <c r="B736">
        <v>0.99542014353169495</v>
      </c>
      <c r="C736">
        <v>1.0648976671970101</v>
      </c>
      <c r="D736">
        <v>1.09477440838324</v>
      </c>
      <c r="E736">
        <v>1.1307443665736201</v>
      </c>
      <c r="F736">
        <v>0.68970971552514704</v>
      </c>
      <c r="G736">
        <v>0.35682374751901103</v>
      </c>
      <c r="H736">
        <v>0.14611259246521299</v>
      </c>
      <c r="I736">
        <v>7.2695447431576202E-2</v>
      </c>
      <c r="J736">
        <v>5.2707503481490003E-2</v>
      </c>
      <c r="K736">
        <v>6.5167594238021501E-2</v>
      </c>
      <c r="L736">
        <v>1473.1433345694199</v>
      </c>
      <c r="M736">
        <v>28.316281065392801</v>
      </c>
      <c r="N736">
        <v>52.284616179708898</v>
      </c>
      <c r="O736">
        <v>51.767206975791197</v>
      </c>
      <c r="P736">
        <v>-0.127768167508544</v>
      </c>
      <c r="Q736">
        <v>6.5675756987730496E-2</v>
      </c>
      <c r="R736">
        <v>0.97715491983428804</v>
      </c>
      <c r="S736" t="s">
        <v>7138</v>
      </c>
      <c r="T736" t="s">
        <v>12802</v>
      </c>
      <c r="U736" t="s">
        <v>12802</v>
      </c>
      <c r="V736" t="s">
        <v>12802</v>
      </c>
      <c r="W736" t="s">
        <v>13527</v>
      </c>
      <c r="X736">
        <v>11</v>
      </c>
      <c r="Y736" t="s">
        <v>19850</v>
      </c>
      <c r="Z736" t="s">
        <v>26054</v>
      </c>
      <c r="AA736">
        <v>0.5401847178087158</v>
      </c>
      <c r="AB736" t="str">
        <f>HYPERLINK("Melting_Curves/meltCurve_F5H715_AIDA.pdf", "Melting_Curves/meltCurve_F5H715_AIDA.pdf")</f>
        <v>Melting_Curves/meltCurve_F5H715_AIDA.pdf</v>
      </c>
    </row>
    <row r="737" spans="1:28" x14ac:dyDescent="0.25">
      <c r="A737" t="s">
        <v>741</v>
      </c>
      <c r="B737">
        <v>0.99542014353169495</v>
      </c>
      <c r="C737">
        <v>1.0105210223466501</v>
      </c>
      <c r="D737">
        <v>0.99199218004221601</v>
      </c>
      <c r="E737">
        <v>0.92267530474164805</v>
      </c>
      <c r="F737">
        <v>0.69892410337700395</v>
      </c>
      <c r="G737">
        <v>0.52761940340250002</v>
      </c>
      <c r="H737">
        <v>0.31180563280801599</v>
      </c>
      <c r="I737">
        <v>0.253535085102015</v>
      </c>
      <c r="J737">
        <v>0.388268078576955</v>
      </c>
      <c r="K737">
        <v>0.46536361470094001</v>
      </c>
      <c r="L737">
        <v>1262.6963676595201</v>
      </c>
      <c r="M737">
        <v>24.951038010288698</v>
      </c>
      <c r="N737">
        <v>53.233354949594897</v>
      </c>
      <c r="O737">
        <v>50.2852568191392</v>
      </c>
      <c r="P737">
        <v>-8.0135515512972599E-2</v>
      </c>
      <c r="Q737">
        <v>0.35400205413237401</v>
      </c>
      <c r="R737">
        <v>0.95934724905576796</v>
      </c>
      <c r="S737" t="s">
        <v>7139</v>
      </c>
      <c r="T737" t="s">
        <v>12802</v>
      </c>
      <c r="U737" t="s">
        <v>12802</v>
      </c>
      <c r="V737" t="s">
        <v>12802</v>
      </c>
      <c r="W737" t="s">
        <v>13528</v>
      </c>
      <c r="X737">
        <v>26</v>
      </c>
      <c r="Y737" t="s">
        <v>19851</v>
      </c>
      <c r="Z737" t="s">
        <v>26055</v>
      </c>
      <c r="AA737">
        <v>0.65270779622631248</v>
      </c>
      <c r="AB737" t="str">
        <f>HYPERLINK("Melting_Curves/meltCurve_F5H721_WBP11.pdf", "Melting_Curves/meltCurve_F5H721_WBP11.pdf")</f>
        <v>Melting_Curves/meltCurve_F5H721_WBP11.pdf</v>
      </c>
    </row>
    <row r="738" spans="1:28" x14ac:dyDescent="0.25">
      <c r="A738" t="s">
        <v>742</v>
      </c>
      <c r="B738">
        <v>0.99542014353169495</v>
      </c>
      <c r="C738">
        <v>1.1031780664386399</v>
      </c>
      <c r="D738">
        <v>1.03802355057579</v>
      </c>
      <c r="E738">
        <v>0.89813470996205202</v>
      </c>
      <c r="F738">
        <v>0.71474613400259701</v>
      </c>
      <c r="G738">
        <v>0.30895156886762398</v>
      </c>
      <c r="H738">
        <v>0.20701349408040301</v>
      </c>
      <c r="I738">
        <v>0.143505891455292</v>
      </c>
      <c r="J738">
        <v>0.170467149000816</v>
      </c>
      <c r="K738">
        <v>0.14896690676668101</v>
      </c>
      <c r="L738">
        <v>1405.5848496706999</v>
      </c>
      <c r="M738">
        <v>27.442146373801702</v>
      </c>
      <c r="N738">
        <v>51.896615858818002</v>
      </c>
      <c r="O738">
        <v>50.950255284539899</v>
      </c>
      <c r="P738">
        <v>-0.11440101040527501</v>
      </c>
      <c r="Q738">
        <v>0.15040075612970399</v>
      </c>
      <c r="R738">
        <v>0.98902936966614396</v>
      </c>
      <c r="S738" t="s">
        <v>7140</v>
      </c>
      <c r="T738" t="s">
        <v>12802</v>
      </c>
      <c r="U738" t="s">
        <v>12802</v>
      </c>
      <c r="V738" t="s">
        <v>12802</v>
      </c>
      <c r="W738" t="s">
        <v>13529</v>
      </c>
      <c r="X738">
        <v>3</v>
      </c>
      <c r="Y738" t="s">
        <v>19852</v>
      </c>
      <c r="Z738" t="s">
        <v>26056</v>
      </c>
      <c r="AA738">
        <v>0.5594110903777878</v>
      </c>
      <c r="AB738" t="str">
        <f>HYPERLINK("Melting_Curves/meltCurve_F5H777_CCDC82.pdf", "Melting_Curves/meltCurve_F5H777_CCDC82.pdf")</f>
        <v>Melting_Curves/meltCurve_F5H777_CCDC82.pdf</v>
      </c>
    </row>
    <row r="739" spans="1:28" x14ac:dyDescent="0.25">
      <c r="A739" t="s">
        <v>743</v>
      </c>
      <c r="B739">
        <v>0.99542014353169495</v>
      </c>
      <c r="C739">
        <v>0.84941617476208597</v>
      </c>
      <c r="D739">
        <v>1.0463394079981001</v>
      </c>
      <c r="E739">
        <v>0.84098192481052803</v>
      </c>
      <c r="F739">
        <v>0.75087611986718505</v>
      </c>
      <c r="G739">
        <v>0.41507630573473198</v>
      </c>
      <c r="H739">
        <v>0.37007545618910698</v>
      </c>
      <c r="I739">
        <v>0.297425792545641</v>
      </c>
      <c r="J739">
        <v>0.362238086873929</v>
      </c>
      <c r="K739">
        <v>0.36029680650065898</v>
      </c>
      <c r="L739">
        <v>1161.93680901366</v>
      </c>
      <c r="M739">
        <v>22.994634829945301</v>
      </c>
      <c r="N739">
        <v>52.991781220088299</v>
      </c>
      <c r="O739">
        <v>50.153269431603</v>
      </c>
      <c r="P739">
        <v>-7.7011852210268794E-2</v>
      </c>
      <c r="Q739">
        <v>0.32813483152531803</v>
      </c>
      <c r="R739">
        <v>0.947986534498656</v>
      </c>
      <c r="S739" t="s">
        <v>7141</v>
      </c>
      <c r="T739" t="s">
        <v>12802</v>
      </c>
      <c r="U739" t="s">
        <v>12802</v>
      </c>
      <c r="V739" t="s">
        <v>12802</v>
      </c>
      <c r="W739" t="s">
        <v>13530</v>
      </c>
      <c r="X739">
        <v>2</v>
      </c>
      <c r="Y739" t="s">
        <v>19853</v>
      </c>
      <c r="Z739" t="s">
        <v>26057</v>
      </c>
      <c r="AA739">
        <v>0.63806022661343598</v>
      </c>
      <c r="AB739" t="str">
        <f>HYPERLINK("Melting_Curves/meltCurve_F5H7F6_MGST1.pdf", "Melting_Curves/meltCurve_F5H7F6_MGST1.pdf")</f>
        <v>Melting_Curves/meltCurve_F5H7F6_MGST1.pdf</v>
      </c>
    </row>
    <row r="740" spans="1:28" x14ac:dyDescent="0.25">
      <c r="A740" t="s">
        <v>744</v>
      </c>
      <c r="B740">
        <v>0.99542014353169495</v>
      </c>
      <c r="C740">
        <v>1.1842800786257901</v>
      </c>
      <c r="D740">
        <v>0.961802128850059</v>
      </c>
      <c r="E740">
        <v>0.54391530509494102</v>
      </c>
      <c r="F740">
        <v>0.26375495261501097</v>
      </c>
      <c r="G740">
        <v>0.146413505459669</v>
      </c>
      <c r="H740">
        <v>9.0278097660643999E-2</v>
      </c>
      <c r="I740">
        <v>7.5910618836114302E-2</v>
      </c>
      <c r="J740">
        <v>0.123395468985214</v>
      </c>
      <c r="K740">
        <v>9.0152900480493903E-2</v>
      </c>
      <c r="L740">
        <v>1332.85602757377</v>
      </c>
      <c r="M740">
        <v>28.4834577749488</v>
      </c>
      <c r="N740">
        <v>47.184440347872602</v>
      </c>
      <c r="O740">
        <v>46.565207509575004</v>
      </c>
      <c r="P740">
        <v>-0.13686979069574001</v>
      </c>
      <c r="Q740">
        <v>0.10497956859637</v>
      </c>
      <c r="R740">
        <v>0.97540673437410796</v>
      </c>
      <c r="S740" t="s">
        <v>7142</v>
      </c>
      <c r="T740" t="s">
        <v>12802</v>
      </c>
      <c r="U740" t="s">
        <v>12802</v>
      </c>
      <c r="V740" t="s">
        <v>12802</v>
      </c>
      <c r="W740" t="s">
        <v>13531</v>
      </c>
      <c r="X740">
        <v>5</v>
      </c>
      <c r="Y740" t="s">
        <v>19854</v>
      </c>
      <c r="Z740" t="s">
        <v>26058</v>
      </c>
      <c r="AA740">
        <v>0.40293103461472252</v>
      </c>
      <c r="AB740" t="str">
        <f>HYPERLINK("Melting_Curves/meltCurve_F5H7I4_GABPB1.pdf", "Melting_Curves/meltCurve_F5H7I4_GABPB1.pdf")</f>
        <v>Melting_Curves/meltCurve_F5H7I4_GABPB1.pdf</v>
      </c>
    </row>
    <row r="741" spans="1:28" x14ac:dyDescent="0.25">
      <c r="A741" t="s">
        <v>745</v>
      </c>
      <c r="B741">
        <v>0.99542014353169495</v>
      </c>
      <c r="C741">
        <v>0.96579979243316505</v>
      </c>
      <c r="D741">
        <v>0.994164927141865</v>
      </c>
      <c r="E741">
        <v>0.78699828571341301</v>
      </c>
      <c r="F741">
        <v>0.24825842407632101</v>
      </c>
      <c r="G741">
        <v>0.12708254697069299</v>
      </c>
      <c r="H741">
        <v>7.8153874540523499E-2</v>
      </c>
      <c r="I741">
        <v>5.8493366175463399E-2</v>
      </c>
      <c r="J741">
        <v>6.3804296236785601E-2</v>
      </c>
      <c r="K741">
        <v>7.2518639192916401E-2</v>
      </c>
      <c r="L741">
        <v>1684.8095489667</v>
      </c>
      <c r="M741">
        <v>34.961581873961798</v>
      </c>
      <c r="N741">
        <v>48.409223958668797</v>
      </c>
      <c r="O741">
        <v>48.033464716402399</v>
      </c>
      <c r="P741">
        <v>-0.16866042297898301</v>
      </c>
      <c r="Q741">
        <v>7.3117933151723505E-2</v>
      </c>
      <c r="R741">
        <v>0.99851359691569397</v>
      </c>
      <c r="S741" t="s">
        <v>7143</v>
      </c>
      <c r="T741" t="s">
        <v>12802</v>
      </c>
      <c r="U741" t="s">
        <v>12802</v>
      </c>
      <c r="V741" t="s">
        <v>12802</v>
      </c>
      <c r="W741" t="s">
        <v>13532</v>
      </c>
      <c r="X741">
        <v>12</v>
      </c>
      <c r="Y741" t="s">
        <v>19855</v>
      </c>
      <c r="Z741" t="s">
        <v>26059</v>
      </c>
      <c r="AA741">
        <v>0.4229041883441812</v>
      </c>
      <c r="AB741" t="str">
        <f>HYPERLINK("Melting_Curves/meltCurve_F5H7J5_RPTOR.pdf", "Melting_Curves/meltCurve_F5H7J5_RPTOR.pdf")</f>
        <v>Melting_Curves/meltCurve_F5H7J5_RPTOR.pdf</v>
      </c>
    </row>
    <row r="742" spans="1:28" x14ac:dyDescent="0.25">
      <c r="A742" t="s">
        <v>746</v>
      </c>
      <c r="B742">
        <v>0.99542014353169495</v>
      </c>
      <c r="C742">
        <v>0.71660136519065698</v>
      </c>
      <c r="D742">
        <v>0.55613190063550499</v>
      </c>
      <c r="E742">
        <v>0.19766714419727799</v>
      </c>
      <c r="F742">
        <v>7.7098618847423403E-2</v>
      </c>
      <c r="G742">
        <v>5.2988763864049097E-2</v>
      </c>
      <c r="H742">
        <v>5.3708444371935601E-2</v>
      </c>
      <c r="I742">
        <v>1.90329598639301E-2</v>
      </c>
      <c r="J742">
        <v>3.4005372388862198E-2</v>
      </c>
      <c r="K742">
        <v>4.1036888073499297E-2</v>
      </c>
      <c r="L742">
        <v>741.26089387638399</v>
      </c>
      <c r="M742">
        <v>17.2931099293674</v>
      </c>
      <c r="N742">
        <v>42.9960225568719</v>
      </c>
      <c r="O742">
        <v>42.303644738897503</v>
      </c>
      <c r="P742">
        <v>-9.9569734452714706E-2</v>
      </c>
      <c r="Q742">
        <v>2.5757814356138501E-2</v>
      </c>
      <c r="R742">
        <v>0.98838390435435497</v>
      </c>
      <c r="S742" t="s">
        <v>7144</v>
      </c>
      <c r="T742" t="s">
        <v>12802</v>
      </c>
      <c r="U742" t="s">
        <v>12802</v>
      </c>
      <c r="V742" t="s">
        <v>12802</v>
      </c>
      <c r="W742" t="s">
        <v>13533</v>
      </c>
      <c r="X742">
        <v>2</v>
      </c>
      <c r="Y742" t="s">
        <v>19856</v>
      </c>
      <c r="Z742" t="s">
        <v>26060</v>
      </c>
      <c r="AA742">
        <v>0.235250010332861</v>
      </c>
      <c r="AB742" t="str">
        <f>HYPERLINK("Melting_Curves/meltCurve_F5H7K2_MGA.pdf", "Melting_Curves/meltCurve_F5H7K2_MGA.pdf")</f>
        <v>Melting_Curves/meltCurve_F5H7K2_MGA.pdf</v>
      </c>
    </row>
    <row r="743" spans="1:28" x14ac:dyDescent="0.25">
      <c r="A743" t="s">
        <v>747</v>
      </c>
      <c r="B743">
        <v>0.99542014353169495</v>
      </c>
      <c r="C743">
        <v>1.18705529773633</v>
      </c>
      <c r="D743">
        <v>0.95221863926914996</v>
      </c>
      <c r="E743">
        <v>0.90515584138441696</v>
      </c>
      <c r="F743">
        <v>0.74550092014455605</v>
      </c>
      <c r="G743">
        <v>0.45924028170381898</v>
      </c>
      <c r="H743">
        <v>0.34653478060086601</v>
      </c>
      <c r="I743">
        <v>0.29781062853256302</v>
      </c>
      <c r="J743">
        <v>0.257506831521994</v>
      </c>
      <c r="K743">
        <v>0.30582117171599599</v>
      </c>
      <c r="L743">
        <v>1112.8876774948001</v>
      </c>
      <c r="M743">
        <v>21.669391960853101</v>
      </c>
      <c r="N743">
        <v>53.318634026022401</v>
      </c>
      <c r="O743">
        <v>50.926205517397598</v>
      </c>
      <c r="P743">
        <v>-7.7160972709538797E-2</v>
      </c>
      <c r="Q743">
        <v>0.27465940947811701</v>
      </c>
      <c r="R743">
        <v>0.96406472070884697</v>
      </c>
      <c r="S743" t="s">
        <v>7145</v>
      </c>
      <c r="T743" t="s">
        <v>12802</v>
      </c>
      <c r="U743" t="s">
        <v>12802</v>
      </c>
      <c r="V743" t="s">
        <v>12802</v>
      </c>
      <c r="W743" t="s">
        <v>13534</v>
      </c>
      <c r="X743">
        <v>2</v>
      </c>
      <c r="Y743" t="s">
        <v>19857</v>
      </c>
      <c r="Z743" t="s">
        <v>26061</v>
      </c>
      <c r="AA743">
        <v>0.63006888354512258</v>
      </c>
      <c r="AB743" t="str">
        <f>HYPERLINK("Melting_Curves/meltCurve_F5H7K3_EFCAB14.pdf", "Melting_Curves/meltCurve_F5H7K3_EFCAB14.pdf")</f>
        <v>Melting_Curves/meltCurve_F5H7K3_EFCAB14.pdf</v>
      </c>
    </row>
    <row r="744" spans="1:28" x14ac:dyDescent="0.25">
      <c r="A744" t="s">
        <v>748</v>
      </c>
      <c r="B744">
        <v>0.99542014353169495</v>
      </c>
      <c r="C744">
        <v>1.11925668920577</v>
      </c>
      <c r="D744">
        <v>1.0564349885219699</v>
      </c>
      <c r="E744">
        <v>0.829764277422396</v>
      </c>
      <c r="F744">
        <v>0.76042296403794996</v>
      </c>
      <c r="G744">
        <v>0.47543689072384598</v>
      </c>
      <c r="H744">
        <v>0.258525249121836</v>
      </c>
      <c r="I744">
        <v>0.152605713678715</v>
      </c>
      <c r="J744">
        <v>0.14492328914834701</v>
      </c>
      <c r="K744">
        <v>0.13046506472141101</v>
      </c>
      <c r="L744">
        <v>921.02975482234103</v>
      </c>
      <c r="M744">
        <v>17.4876731225919</v>
      </c>
      <c r="N744">
        <v>53.328615006535799</v>
      </c>
      <c r="O744">
        <v>51.993162903505201</v>
      </c>
      <c r="P744">
        <v>-7.5894761962127993E-2</v>
      </c>
      <c r="Q744">
        <v>9.7469509455148803E-2</v>
      </c>
      <c r="R744">
        <v>0.97986790236770005</v>
      </c>
      <c r="S744" t="s">
        <v>7146</v>
      </c>
      <c r="T744" t="s">
        <v>12802</v>
      </c>
      <c r="U744" t="s">
        <v>12802</v>
      </c>
      <c r="V744" t="s">
        <v>12802</v>
      </c>
      <c r="W744" t="s">
        <v>13535</v>
      </c>
      <c r="X744">
        <v>3</v>
      </c>
      <c r="Y744" t="s">
        <v>19858</v>
      </c>
      <c r="Z744" t="s">
        <v>26062</v>
      </c>
      <c r="AA744">
        <v>0.58264519670402526</v>
      </c>
      <c r="AB744" t="str">
        <f>HYPERLINK("Melting_Curves/meltCurve_F5H7N9_MFGE8.pdf", "Melting_Curves/meltCurve_F5H7N9_MFGE8.pdf")</f>
        <v>Melting_Curves/meltCurve_F5H7N9_MFGE8.pdf</v>
      </c>
    </row>
    <row r="745" spans="1:28" x14ac:dyDescent="0.25">
      <c r="A745" t="s">
        <v>749</v>
      </c>
      <c r="B745">
        <v>0.99542014353169495</v>
      </c>
      <c r="C745">
        <v>0.80996647840309199</v>
      </c>
      <c r="D745">
        <v>0.74771330937170299</v>
      </c>
      <c r="E745">
        <v>0.55578738972985398</v>
      </c>
      <c r="F745">
        <v>0.218444124593664</v>
      </c>
      <c r="G745">
        <v>5.5259893512938099E-2</v>
      </c>
      <c r="H745">
        <v>4.8380402047440201E-2</v>
      </c>
      <c r="I745">
        <v>3.5798353508860903E-2</v>
      </c>
      <c r="J745">
        <v>7.0569791091312506E-2</v>
      </c>
      <c r="K745">
        <v>6.3626213335094106E-2</v>
      </c>
      <c r="L745">
        <v>672.56041347457005</v>
      </c>
      <c r="M745">
        <v>14.5705321675277</v>
      </c>
      <c r="N745">
        <v>46.256640593181501</v>
      </c>
      <c r="O745">
        <v>45.315612887244299</v>
      </c>
      <c r="P745">
        <v>-7.9174589078119306E-2</v>
      </c>
      <c r="Q745">
        <v>1.51522283510748E-2</v>
      </c>
      <c r="R745">
        <v>0.97950381546575105</v>
      </c>
      <c r="S745" t="s">
        <v>7147</v>
      </c>
      <c r="T745" t="s">
        <v>12802</v>
      </c>
      <c r="U745" t="s">
        <v>12802</v>
      </c>
      <c r="V745" t="s">
        <v>12802</v>
      </c>
      <c r="W745" t="s">
        <v>13536</v>
      </c>
      <c r="X745">
        <v>2</v>
      </c>
      <c r="Y745" t="s">
        <v>19859</v>
      </c>
      <c r="Z745" t="s">
        <v>26063</v>
      </c>
      <c r="AA745">
        <v>0.3397041788529393</v>
      </c>
      <c r="AB745" t="str">
        <f>HYPERLINK("Melting_Curves/meltCurve_F5H7P6_GBA2.pdf", "Melting_Curves/meltCurve_F5H7P6_GBA2.pdf")</f>
        <v>Melting_Curves/meltCurve_F5H7P6_GBA2.pdf</v>
      </c>
    </row>
    <row r="746" spans="1:28" x14ac:dyDescent="0.25">
      <c r="A746" t="s">
        <v>750</v>
      </c>
      <c r="B746">
        <v>0.99542014353169495</v>
      </c>
      <c r="C746">
        <v>0.91902953598487402</v>
      </c>
      <c r="D746">
        <v>1.0025265503099401</v>
      </c>
      <c r="E746">
        <v>0.80295524317105504</v>
      </c>
      <c r="F746">
        <v>0.38620242667996402</v>
      </c>
      <c r="G746">
        <v>0.159512344049003</v>
      </c>
      <c r="H746">
        <v>0.10342828766508</v>
      </c>
      <c r="I746">
        <v>7.67770766136876E-2</v>
      </c>
      <c r="J746">
        <v>8.0411021667251004E-2</v>
      </c>
      <c r="K746">
        <v>9.0091011578649099E-2</v>
      </c>
      <c r="L746">
        <v>1307.63903887482</v>
      </c>
      <c r="M746">
        <v>26.745964007218902</v>
      </c>
      <c r="N746">
        <v>49.222106568012897</v>
      </c>
      <c r="O746">
        <v>48.6202202661865</v>
      </c>
      <c r="P746">
        <v>-0.12620600968270501</v>
      </c>
      <c r="Q746">
        <v>8.2313830726368095E-2</v>
      </c>
      <c r="R746">
        <v>0.99546566571777795</v>
      </c>
      <c r="S746" t="s">
        <v>7148</v>
      </c>
      <c r="T746" t="s">
        <v>12802</v>
      </c>
      <c r="U746" t="s">
        <v>12802</v>
      </c>
      <c r="V746" t="s">
        <v>12802</v>
      </c>
      <c r="W746" t="s">
        <v>13537</v>
      </c>
      <c r="X746">
        <v>12</v>
      </c>
      <c r="Y746" t="s">
        <v>19860</v>
      </c>
      <c r="Z746" t="s">
        <v>26064</v>
      </c>
      <c r="AA746">
        <v>0.45299381065568212</v>
      </c>
      <c r="AB746" t="str">
        <f>HYPERLINK("Melting_Curves/meltCurve_F5H801_OGDH.pdf", "Melting_Curves/meltCurve_F5H801_OGDH.pdf")</f>
        <v>Melting_Curves/meltCurve_F5H801_OGDH.pdf</v>
      </c>
    </row>
    <row r="747" spans="1:28" x14ac:dyDescent="0.25">
      <c r="A747" t="s">
        <v>751</v>
      </c>
      <c r="B747">
        <v>0.99542014353169495</v>
      </c>
      <c r="C747">
        <v>0.97168284543053196</v>
      </c>
      <c r="D747">
        <v>0.73842232850155298</v>
      </c>
      <c r="E747">
        <v>0.66837622408811204</v>
      </c>
      <c r="F747">
        <v>0.426611616679059</v>
      </c>
      <c r="G747">
        <v>0.30099176760798302</v>
      </c>
      <c r="H747">
        <v>0.229957401998996</v>
      </c>
      <c r="I747">
        <v>0.232915596919259</v>
      </c>
      <c r="J747">
        <v>0.103558245304143</v>
      </c>
      <c r="K747">
        <v>0.34058912561598498</v>
      </c>
      <c r="L747">
        <v>647.43954974053599</v>
      </c>
      <c r="M747">
        <v>13.8289602544525</v>
      </c>
      <c r="N747">
        <v>48.593393604261898</v>
      </c>
      <c r="O747">
        <v>45.871238214041497</v>
      </c>
      <c r="P747">
        <v>-6.0427389229651601E-2</v>
      </c>
      <c r="Q747">
        <v>0.19835061684638899</v>
      </c>
      <c r="R747">
        <v>0.95466844091497904</v>
      </c>
      <c r="S747" t="s">
        <v>7149</v>
      </c>
      <c r="T747" t="s">
        <v>12802</v>
      </c>
      <c r="U747" t="s">
        <v>12802</v>
      </c>
      <c r="V747" t="s">
        <v>12802</v>
      </c>
      <c r="W747" t="s">
        <v>13538</v>
      </c>
      <c r="X747">
        <v>1</v>
      </c>
      <c r="Y747" t="s">
        <v>19861</v>
      </c>
      <c r="Z747" t="s">
        <v>26065</v>
      </c>
      <c r="AA747">
        <v>0.48163374434056949</v>
      </c>
      <c r="AB747" t="str">
        <f>HYPERLINK("Melting_Curves/meltCurve_F5H827_POMGNT1.pdf", "Melting_Curves/meltCurve_F5H827_POMGNT1.pdf")</f>
        <v>Melting_Curves/meltCurve_F5H827_POMGNT1.pdf</v>
      </c>
    </row>
    <row r="748" spans="1:28" x14ac:dyDescent="0.25">
      <c r="A748" t="s">
        <v>752</v>
      </c>
      <c r="B748">
        <v>0.99542014353169495</v>
      </c>
      <c r="C748">
        <v>1.0218235658397501</v>
      </c>
      <c r="D748">
        <v>0.94067864993532602</v>
      </c>
      <c r="E748">
        <v>0.78510140810228801</v>
      </c>
      <c r="F748">
        <v>0.67806528664872501</v>
      </c>
      <c r="G748">
        <v>0.51741840848712295</v>
      </c>
      <c r="H748">
        <v>0.31914396768363701</v>
      </c>
      <c r="I748">
        <v>0.209332439648514</v>
      </c>
      <c r="J748">
        <v>8.5623872302943799E-2</v>
      </c>
      <c r="K748">
        <v>4.2716455156004897E-2</v>
      </c>
      <c r="L748">
        <v>618.79788494810202</v>
      </c>
      <c r="M748">
        <v>11.587776127131299</v>
      </c>
      <c r="N748">
        <v>53.400918187539503</v>
      </c>
      <c r="O748">
        <v>51.884868955992999</v>
      </c>
      <c r="P748">
        <v>-5.5849494249099699E-2</v>
      </c>
      <c r="Q748">
        <v>0</v>
      </c>
      <c r="R748">
        <v>0.99161849128533797</v>
      </c>
      <c r="S748" t="s">
        <v>7150</v>
      </c>
      <c r="T748" t="s">
        <v>12802</v>
      </c>
      <c r="U748" t="s">
        <v>12802</v>
      </c>
      <c r="V748" t="s">
        <v>12802</v>
      </c>
      <c r="W748" t="s">
        <v>13539</v>
      </c>
      <c r="X748">
        <v>5</v>
      </c>
      <c r="Y748" t="s">
        <v>19862</v>
      </c>
      <c r="Z748" t="s">
        <v>26066</v>
      </c>
      <c r="AA748">
        <v>0.56681886478217391</v>
      </c>
      <c r="AB748" t="str">
        <f>HYPERLINK("Melting_Curves/meltCurve_F5H860_INPP4A.pdf", "Melting_Curves/meltCurve_F5H860_INPP4A.pdf")</f>
        <v>Melting_Curves/meltCurve_F5H860_INPP4A.pdf</v>
      </c>
    </row>
    <row r="749" spans="1:28" x14ac:dyDescent="0.25">
      <c r="A749" t="s">
        <v>753</v>
      </c>
      <c r="B749">
        <v>0.99542014353169495</v>
      </c>
      <c r="C749">
        <v>0.92352695447751598</v>
      </c>
      <c r="D749">
        <v>0.85077743080500801</v>
      </c>
      <c r="E749">
        <v>0.83376041084410901</v>
      </c>
      <c r="F749">
        <v>1.049987021465</v>
      </c>
      <c r="G749">
        <v>0.87151809030100502</v>
      </c>
      <c r="H749">
        <v>0.54677329171913702</v>
      </c>
      <c r="I749">
        <v>0.47074879409819698</v>
      </c>
      <c r="J749">
        <v>0.47515673986845097</v>
      </c>
      <c r="K749">
        <v>0.48600724926330602</v>
      </c>
      <c r="L749">
        <v>2703.5979118026498</v>
      </c>
      <c r="M749">
        <v>49.074945450931502</v>
      </c>
      <c r="N749">
        <v>58.784298332117402</v>
      </c>
      <c r="O749">
        <v>54.999958601108901</v>
      </c>
      <c r="P749">
        <v>-0.116644277345374</v>
      </c>
      <c r="Q749">
        <v>0.47709166887397497</v>
      </c>
      <c r="R749">
        <v>0.87632601115589803</v>
      </c>
      <c r="S749" t="s">
        <v>7151</v>
      </c>
      <c r="T749" t="s">
        <v>12802</v>
      </c>
      <c r="U749" t="s">
        <v>12802</v>
      </c>
      <c r="V749" t="s">
        <v>12802</v>
      </c>
      <c r="W749" t="s">
        <v>13540</v>
      </c>
      <c r="X749">
        <v>1</v>
      </c>
      <c r="Y749" t="s">
        <v>19863</v>
      </c>
      <c r="Z749" t="s">
        <v>26067</v>
      </c>
      <c r="AA749">
        <v>0.79374080066360597</v>
      </c>
      <c r="AB749" t="str">
        <f>HYPERLINK("Melting_Curves/meltCurve_F5H872_MED21.pdf", "Melting_Curves/meltCurve_F5H872_MED21.pdf")</f>
        <v>Melting_Curves/meltCurve_F5H872_MED21.pdf</v>
      </c>
    </row>
    <row r="750" spans="1:28" x14ac:dyDescent="0.25">
      <c r="A750" t="s">
        <v>754</v>
      </c>
      <c r="B750">
        <v>0.99542014353169495</v>
      </c>
      <c r="C750">
        <v>1.0033231898184001</v>
      </c>
      <c r="D750">
        <v>1.0071808139390299</v>
      </c>
      <c r="E750">
        <v>0.98172211739366899</v>
      </c>
      <c r="F750">
        <v>0.83906263071626397</v>
      </c>
      <c r="G750">
        <v>0.66867588770869502</v>
      </c>
      <c r="H750">
        <v>0.23433864243896599</v>
      </c>
      <c r="I750">
        <v>7.1705240171982196E-2</v>
      </c>
      <c r="J750">
        <v>5.03250754760892E-2</v>
      </c>
      <c r="K750">
        <v>5.7364266001872603E-2</v>
      </c>
      <c r="L750">
        <v>1350.0459474940401</v>
      </c>
      <c r="M750">
        <v>24.646472193984899</v>
      </c>
      <c r="N750">
        <v>54.872685389591702</v>
      </c>
      <c r="O750">
        <v>54.419648330708299</v>
      </c>
      <c r="P750">
        <v>-0.11083050486363299</v>
      </c>
      <c r="Q750">
        <v>2.1154630287983901E-2</v>
      </c>
      <c r="R750">
        <v>0.99466305940925703</v>
      </c>
      <c r="S750" t="s">
        <v>7152</v>
      </c>
      <c r="T750" t="s">
        <v>12802</v>
      </c>
      <c r="U750" t="s">
        <v>12802</v>
      </c>
      <c r="V750" t="s">
        <v>12802</v>
      </c>
      <c r="W750" t="s">
        <v>13541</v>
      </c>
      <c r="X750">
        <v>43</v>
      </c>
      <c r="Y750" t="s">
        <v>19864</v>
      </c>
      <c r="Z750" t="s">
        <v>26068</v>
      </c>
      <c r="AA750">
        <v>0.60973483443255672</v>
      </c>
      <c r="AB750" t="str">
        <f>HYPERLINK("Melting_Curves/meltCurve_F5H897_TRAP1.pdf", "Melting_Curves/meltCurve_F5H897_TRAP1.pdf")</f>
        <v>Melting_Curves/meltCurve_F5H897_TRAP1.pdf</v>
      </c>
    </row>
    <row r="751" spans="1:28" x14ac:dyDescent="0.25">
      <c r="A751" t="s">
        <v>755</v>
      </c>
      <c r="B751">
        <v>0.99542014353169495</v>
      </c>
      <c r="C751">
        <v>0.99800761120666404</v>
      </c>
      <c r="D751">
        <v>0.95565642337232803</v>
      </c>
      <c r="E751">
        <v>0.56287681319415905</v>
      </c>
      <c r="F751">
        <v>0.21349960510027499</v>
      </c>
      <c r="G751">
        <v>0.124319746675163</v>
      </c>
      <c r="H751">
        <v>8.0773714746883399E-2</v>
      </c>
      <c r="I751">
        <v>6.9426796927722606E-2</v>
      </c>
      <c r="J751">
        <v>8.7465338617967903E-2</v>
      </c>
      <c r="K751">
        <v>9.9705033095684903E-2</v>
      </c>
      <c r="L751">
        <v>1352.17188773622</v>
      </c>
      <c r="M751">
        <v>28.882145296237098</v>
      </c>
      <c r="N751">
        <v>47.133133922127897</v>
      </c>
      <c r="O751">
        <v>46.594162918094298</v>
      </c>
      <c r="P751">
        <v>-0.141316335387106</v>
      </c>
      <c r="Q751">
        <v>8.8091775314065604E-2</v>
      </c>
      <c r="R751">
        <v>0.99894908159656404</v>
      </c>
      <c r="S751" t="s">
        <v>7153</v>
      </c>
      <c r="T751" t="s">
        <v>12802</v>
      </c>
      <c r="U751" t="s">
        <v>12802</v>
      </c>
      <c r="V751" t="s">
        <v>12802</v>
      </c>
      <c r="W751" t="s">
        <v>13542</v>
      </c>
      <c r="X751">
        <v>19</v>
      </c>
      <c r="Y751" t="s">
        <v>19865</v>
      </c>
      <c r="Z751" t="s">
        <v>26069</v>
      </c>
      <c r="AA751">
        <v>0.39219894876916078</v>
      </c>
      <c r="AB751" t="str">
        <f>HYPERLINK("Melting_Curves/meltCurve_F5H8D7_XRCC1.pdf", "Melting_Curves/meltCurve_F5H8D7_XRCC1.pdf")</f>
        <v>Melting_Curves/meltCurve_F5H8D7_XRCC1.pdf</v>
      </c>
    </row>
    <row r="752" spans="1:28" x14ac:dyDescent="0.25">
      <c r="A752" t="s">
        <v>756</v>
      </c>
      <c r="B752">
        <v>0.99542014353169495</v>
      </c>
      <c r="C752">
        <v>0.96455953306487996</v>
      </c>
      <c r="D752">
        <v>1.0248372520745099</v>
      </c>
      <c r="E752">
        <v>0.90082583201178001</v>
      </c>
      <c r="F752">
        <v>0.71989800185227903</v>
      </c>
      <c r="G752">
        <v>0.52995710099636295</v>
      </c>
      <c r="H752">
        <v>0.29632695897102901</v>
      </c>
      <c r="I752">
        <v>0.113844162751831</v>
      </c>
      <c r="J752">
        <v>0.112664221505844</v>
      </c>
      <c r="K752">
        <v>7.8852431151443997E-2</v>
      </c>
      <c r="L752">
        <v>809.07880139085898</v>
      </c>
      <c r="M752">
        <v>15.070959557107599</v>
      </c>
      <c r="N752">
        <v>53.831715758788697</v>
      </c>
      <c r="O752">
        <v>52.766041021161598</v>
      </c>
      <c r="P752">
        <v>-6.9971200541758094E-2</v>
      </c>
      <c r="Q752">
        <v>2.0171985140140701E-2</v>
      </c>
      <c r="R752">
        <v>0.99499020483508105</v>
      </c>
      <c r="S752" t="s">
        <v>7154</v>
      </c>
      <c r="T752" t="s">
        <v>12802</v>
      </c>
      <c r="U752" t="s">
        <v>12802</v>
      </c>
      <c r="V752" t="s">
        <v>12802</v>
      </c>
      <c r="W752" t="s">
        <v>13543</v>
      </c>
      <c r="X752">
        <v>7</v>
      </c>
      <c r="Y752" t="s">
        <v>19866</v>
      </c>
      <c r="Z752" t="s">
        <v>26070</v>
      </c>
      <c r="AA752">
        <v>0.58146868433486432</v>
      </c>
      <c r="AB752" t="str">
        <f>HYPERLINK("Melting_Curves/meltCurve_F5H8H2_MVK.pdf", "Melting_Curves/meltCurve_F5H8H2_MVK.pdf")</f>
        <v>Melting_Curves/meltCurve_F5H8H2_MVK.pdf</v>
      </c>
    </row>
    <row r="753" spans="1:28" x14ac:dyDescent="0.25">
      <c r="A753" t="s">
        <v>757</v>
      </c>
      <c r="B753">
        <v>0.99542014353169495</v>
      </c>
      <c r="C753">
        <v>0.97571885076684695</v>
      </c>
      <c r="D753">
        <v>1.0118072986500899</v>
      </c>
      <c r="E753">
        <v>0.75893782188311798</v>
      </c>
      <c r="F753">
        <v>0.45654488536717902</v>
      </c>
      <c r="G753">
        <v>0.16801995233821401</v>
      </c>
      <c r="H753">
        <v>9.2175134560494004E-2</v>
      </c>
      <c r="I753">
        <v>5.90008322783473E-2</v>
      </c>
      <c r="J753">
        <v>6.5337703779332096E-2</v>
      </c>
      <c r="K753">
        <v>5.3265535537099701E-2</v>
      </c>
      <c r="L753">
        <v>1069.3097012865601</v>
      </c>
      <c r="M753">
        <v>21.687051793405001</v>
      </c>
      <c r="N753">
        <v>49.545098932956201</v>
      </c>
      <c r="O753">
        <v>48.892878135083599</v>
      </c>
      <c r="P753">
        <v>-0.105391603385357</v>
      </c>
      <c r="Q753">
        <v>4.9612252792175099E-2</v>
      </c>
      <c r="R753">
        <v>0.99718831545901099</v>
      </c>
      <c r="S753" t="s">
        <v>7155</v>
      </c>
      <c r="T753" t="s">
        <v>12802</v>
      </c>
      <c r="U753" t="s">
        <v>12802</v>
      </c>
      <c r="V753" t="s">
        <v>12802</v>
      </c>
      <c r="W753" t="s">
        <v>13544</v>
      </c>
      <c r="X753">
        <v>5</v>
      </c>
      <c r="Y753" t="s">
        <v>19867</v>
      </c>
      <c r="Z753" t="s">
        <v>26071</v>
      </c>
      <c r="AA753">
        <v>0.45027171970493579</v>
      </c>
      <c r="AB753" t="str">
        <f>HYPERLINK("Melting_Curves/meltCurve_F5H8J3_CLPTM1.pdf", "Melting_Curves/meltCurve_F5H8J3_CLPTM1.pdf")</f>
        <v>Melting_Curves/meltCurve_F5H8J3_CLPTM1.pdf</v>
      </c>
    </row>
    <row r="754" spans="1:28" x14ac:dyDescent="0.25">
      <c r="A754" t="s">
        <v>758</v>
      </c>
      <c r="B754">
        <v>0.99542014353169495</v>
      </c>
      <c r="C754">
        <v>0.89999389092453297</v>
      </c>
      <c r="D754">
        <v>1.0717533654579701</v>
      </c>
      <c r="E754">
        <v>0.75165547532140098</v>
      </c>
      <c r="F754">
        <v>0.61780359889053704</v>
      </c>
      <c r="G754">
        <v>0.2060351552968</v>
      </c>
      <c r="H754">
        <v>0.12636216106258499</v>
      </c>
      <c r="I754">
        <v>8.6659944799365105E-2</v>
      </c>
      <c r="J754">
        <v>7.06203914854312E-2</v>
      </c>
      <c r="K754">
        <v>9.0500814213790706E-2</v>
      </c>
      <c r="L754">
        <v>1020.36307159105</v>
      </c>
      <c r="M754">
        <v>20.283281979293101</v>
      </c>
      <c r="N754">
        <v>50.629043221966199</v>
      </c>
      <c r="O754">
        <v>49.824297884967599</v>
      </c>
      <c r="P754">
        <v>-9.5592775640270494E-2</v>
      </c>
      <c r="Q754">
        <v>6.0764176452469003E-2</v>
      </c>
      <c r="R754">
        <v>0.97613767999894097</v>
      </c>
      <c r="S754" t="s">
        <v>7156</v>
      </c>
      <c r="T754" t="s">
        <v>12802</v>
      </c>
      <c r="U754" t="s">
        <v>12802</v>
      </c>
      <c r="V754" t="s">
        <v>12802</v>
      </c>
      <c r="W754" t="s">
        <v>13545</v>
      </c>
      <c r="X754">
        <v>3</v>
      </c>
      <c r="Y754" t="s">
        <v>19868</v>
      </c>
      <c r="Z754" t="s">
        <v>26072</v>
      </c>
      <c r="AA754">
        <v>0.48939253729402887</v>
      </c>
      <c r="AB754" t="str">
        <f>HYPERLINK("Melting_Curves/meltCurve_F5H8L0_RABGAP1L.pdf", "Melting_Curves/meltCurve_F5H8L0_RABGAP1L.pdf")</f>
        <v>Melting_Curves/meltCurve_F5H8L0_RABGAP1L.pdf</v>
      </c>
    </row>
    <row r="755" spans="1:28" x14ac:dyDescent="0.25">
      <c r="A755" t="s">
        <v>759</v>
      </c>
      <c r="B755">
        <v>0.99542014353169495</v>
      </c>
      <c r="C755">
        <v>0.79808109622667001</v>
      </c>
      <c r="D755">
        <v>0.95171668555486699</v>
      </c>
      <c r="E755">
        <v>0.83095336587881796</v>
      </c>
      <c r="F755">
        <v>0.72973117797491305</v>
      </c>
      <c r="G755">
        <v>0.55697978376339297</v>
      </c>
      <c r="H755">
        <v>0.30252068525173198</v>
      </c>
      <c r="I755">
        <v>0.16017600380096</v>
      </c>
      <c r="J755">
        <v>0.15777924332679699</v>
      </c>
      <c r="K755">
        <v>0.13299558775505599</v>
      </c>
      <c r="L755">
        <v>594.62252896726898</v>
      </c>
      <c r="M755">
        <v>11.0239917790521</v>
      </c>
      <c r="N755">
        <v>53.938948668028502</v>
      </c>
      <c r="O755">
        <v>52.2552190740426</v>
      </c>
      <c r="P755">
        <v>-5.2758748189421903E-2</v>
      </c>
      <c r="Q755">
        <v>0</v>
      </c>
      <c r="R755">
        <v>0.96004699535819804</v>
      </c>
      <c r="S755" t="s">
        <v>7157</v>
      </c>
      <c r="T755" t="s">
        <v>12802</v>
      </c>
      <c r="U755" t="s">
        <v>12802</v>
      </c>
      <c r="V755" t="s">
        <v>12802</v>
      </c>
      <c r="W755" t="s">
        <v>13546</v>
      </c>
      <c r="X755">
        <v>4</v>
      </c>
      <c r="Y755" t="s">
        <v>19869</v>
      </c>
      <c r="Z755" t="s">
        <v>26073</v>
      </c>
      <c r="AA755">
        <v>0.58287292306690786</v>
      </c>
      <c r="AB755" t="str">
        <f>HYPERLINK("Melting_Curves/meltCurve_F6PQP6_EPN2.pdf", "Melting_Curves/meltCurve_F6PQP6_EPN2.pdf")</f>
        <v>Melting_Curves/meltCurve_F6PQP6_EPN2.pdf</v>
      </c>
    </row>
    <row r="756" spans="1:28" x14ac:dyDescent="0.25">
      <c r="A756" t="s">
        <v>760</v>
      </c>
      <c r="B756">
        <v>0.99542014353169495</v>
      </c>
      <c r="C756">
        <v>0.92715393166441396</v>
      </c>
      <c r="D756">
        <v>0.60950726330660998</v>
      </c>
      <c r="E756">
        <v>0.376911939830819</v>
      </c>
      <c r="F756">
        <v>0.30262207844621603</v>
      </c>
      <c r="G756">
        <v>0.138493681483848</v>
      </c>
      <c r="H756">
        <v>9.5505449402952095E-2</v>
      </c>
      <c r="I756">
        <v>5.8852584805692498E-2</v>
      </c>
      <c r="J756">
        <v>2.47338628599891E-2</v>
      </c>
      <c r="K756">
        <v>3.4616957794887E-2</v>
      </c>
      <c r="L756">
        <v>609.153219420764</v>
      </c>
      <c r="M756">
        <v>13.506458664249701</v>
      </c>
      <c r="N756">
        <v>45.342323838762198</v>
      </c>
      <c r="O756">
        <v>44.146644384230399</v>
      </c>
      <c r="P756">
        <v>-7.3843760541949299E-2</v>
      </c>
      <c r="Q756">
        <v>3.46964469826005E-2</v>
      </c>
      <c r="R756">
        <v>0.98517720716666402</v>
      </c>
      <c r="S756" t="s">
        <v>7158</v>
      </c>
      <c r="T756" t="s">
        <v>12802</v>
      </c>
      <c r="U756" t="s">
        <v>12802</v>
      </c>
      <c r="V756" t="s">
        <v>12802</v>
      </c>
      <c r="W756" t="s">
        <v>13547</v>
      </c>
      <c r="X756">
        <v>3</v>
      </c>
      <c r="Y756" t="s">
        <v>19870</v>
      </c>
      <c r="Z756" t="s">
        <v>26074</v>
      </c>
      <c r="AA756">
        <v>0.323411790506341</v>
      </c>
      <c r="AB756" t="str">
        <f>HYPERLINK("Melting_Curves/meltCurve_F6RU81_ELMSAN1.pdf", "Melting_Curves/meltCurve_F6RU81_ELMSAN1.pdf")</f>
        <v>Melting_Curves/meltCurve_F6RU81_ELMSAN1.pdf</v>
      </c>
    </row>
    <row r="757" spans="1:28" x14ac:dyDescent="0.25">
      <c r="A757" t="s">
        <v>761</v>
      </c>
      <c r="B757">
        <v>0.99542014353169495</v>
      </c>
      <c r="C757">
        <v>0.99338795518974798</v>
      </c>
      <c r="D757">
        <v>0.93534214044014996</v>
      </c>
      <c r="E757">
        <v>0.87056515943897705</v>
      </c>
      <c r="F757">
        <v>0.65523863145364303</v>
      </c>
      <c r="G757">
        <v>0.30367406712096401</v>
      </c>
      <c r="H757">
        <v>9.9892220756940098E-2</v>
      </c>
      <c r="I757">
        <v>7.51934738200708E-2</v>
      </c>
      <c r="J757">
        <v>7.32496820480317E-2</v>
      </c>
      <c r="K757">
        <v>6.5742713755053903E-2</v>
      </c>
      <c r="L757">
        <v>1081.16773925302</v>
      </c>
      <c r="M757">
        <v>21.085001793289901</v>
      </c>
      <c r="N757">
        <v>51.507013469097501</v>
      </c>
      <c r="O757">
        <v>50.822070075930398</v>
      </c>
      <c r="P757">
        <v>-9.9054882957170298E-2</v>
      </c>
      <c r="Q757">
        <v>4.5000472807721202E-2</v>
      </c>
      <c r="R757">
        <v>0.99652471844488399</v>
      </c>
      <c r="S757" t="s">
        <v>7159</v>
      </c>
      <c r="T757" t="s">
        <v>12802</v>
      </c>
      <c r="U757" t="s">
        <v>12802</v>
      </c>
      <c r="V757" t="s">
        <v>12802</v>
      </c>
      <c r="W757" t="s">
        <v>13548</v>
      </c>
      <c r="X757">
        <v>18</v>
      </c>
      <c r="Y757" t="s">
        <v>19871</v>
      </c>
      <c r="Z757" t="s">
        <v>26075</v>
      </c>
      <c r="AA757">
        <v>0.51088861426311361</v>
      </c>
      <c r="AB757" t="str">
        <f>HYPERLINK("Melting_Curves/meltCurve_F6T1Q0_PDE12.pdf", "Melting_Curves/meltCurve_F6T1Q0_PDE12.pdf")</f>
        <v>Melting_Curves/meltCurve_F6T1Q0_PDE12.pdf</v>
      </c>
    </row>
    <row r="758" spans="1:28" x14ac:dyDescent="0.25">
      <c r="A758" t="s">
        <v>762</v>
      </c>
      <c r="B758">
        <v>0.99542014353169495</v>
      </c>
      <c r="C758">
        <v>0.83311096909799798</v>
      </c>
      <c r="D758">
        <v>0.90157578664534699</v>
      </c>
      <c r="E758">
        <v>0.45152960967647998</v>
      </c>
      <c r="F758">
        <v>0.16612232599422</v>
      </c>
      <c r="G758">
        <v>5.3880369380002999E-2</v>
      </c>
      <c r="H758">
        <v>0</v>
      </c>
      <c r="I758">
        <v>5.89067013955904E-2</v>
      </c>
      <c r="J758">
        <v>0</v>
      </c>
      <c r="K758">
        <v>0</v>
      </c>
      <c r="L758">
        <v>1002.2426796152899</v>
      </c>
      <c r="M758">
        <v>21.6502887062497</v>
      </c>
      <c r="N758">
        <v>46.3282832847663</v>
      </c>
      <c r="O758">
        <v>45.902845389817799</v>
      </c>
      <c r="P758">
        <v>-0.11693461955918</v>
      </c>
      <c r="Q758">
        <v>8.3267918524911402E-3</v>
      </c>
      <c r="R758">
        <v>0.98343402686254999</v>
      </c>
      <c r="S758" t="s">
        <v>7160</v>
      </c>
      <c r="T758" t="s">
        <v>12802</v>
      </c>
      <c r="U758" t="s">
        <v>12802</v>
      </c>
      <c r="V758" t="s">
        <v>12802</v>
      </c>
      <c r="W758" t="s">
        <v>13549</v>
      </c>
      <c r="X758">
        <v>9</v>
      </c>
      <c r="Y758" t="s">
        <v>19221</v>
      </c>
      <c r="Z758" t="s">
        <v>26076</v>
      </c>
      <c r="AA758">
        <v>0.32654117928507193</v>
      </c>
      <c r="AB758" t="str">
        <f>HYPERLINK("Melting_Curves/meltCurve_F6U1F2_BAG6.pdf", "Melting_Curves/meltCurve_F6U1F2_BAG6.pdf")</f>
        <v>Melting_Curves/meltCurve_F6U1F2_BAG6.pdf</v>
      </c>
    </row>
    <row r="759" spans="1:28" x14ac:dyDescent="0.25">
      <c r="A759" t="s">
        <v>763</v>
      </c>
      <c r="B759">
        <v>0.99542014353169495</v>
      </c>
      <c r="C759">
        <v>1.0640278703744199</v>
      </c>
      <c r="D759">
        <v>0.9528806175897</v>
      </c>
      <c r="E759">
        <v>0.91533915123101195</v>
      </c>
      <c r="F759">
        <v>0.67036296039174004</v>
      </c>
      <c r="G759">
        <v>0.42545417915603101</v>
      </c>
      <c r="H759">
        <v>0.230579322236666</v>
      </c>
      <c r="I759">
        <v>0.19490325959126001</v>
      </c>
      <c r="J759">
        <v>0.201818838612424</v>
      </c>
      <c r="K759">
        <v>0.158336735634409</v>
      </c>
      <c r="L759">
        <v>1028.511648785</v>
      </c>
      <c r="M759">
        <v>20.003410739610999</v>
      </c>
      <c r="N759">
        <v>52.441840606505899</v>
      </c>
      <c r="O759">
        <v>50.9112230006141</v>
      </c>
      <c r="P759">
        <v>-8.2335974157228001E-2</v>
      </c>
      <c r="Q759">
        <v>0.16180517350628301</v>
      </c>
      <c r="R759">
        <v>0.99434424645854003</v>
      </c>
      <c r="S759" t="s">
        <v>7161</v>
      </c>
      <c r="T759" t="s">
        <v>12802</v>
      </c>
      <c r="U759" t="s">
        <v>12802</v>
      </c>
      <c r="V759" t="s">
        <v>12802</v>
      </c>
      <c r="W759" t="s">
        <v>13550</v>
      </c>
      <c r="X759">
        <v>6</v>
      </c>
      <c r="Y759" t="s">
        <v>19872</v>
      </c>
      <c r="Z759" t="s">
        <v>26077</v>
      </c>
      <c r="AA759">
        <v>0.57552936057983151</v>
      </c>
      <c r="AB759" t="str">
        <f>HYPERLINK("Melting_Curves/meltCurve_F6U1T9_PPP3R1.pdf", "Melting_Curves/meltCurve_F6U1T9_PPP3R1.pdf")</f>
        <v>Melting_Curves/meltCurve_F6U1T9_PPP3R1.pdf</v>
      </c>
    </row>
    <row r="760" spans="1:28" x14ac:dyDescent="0.25">
      <c r="A760" t="s">
        <v>764</v>
      </c>
      <c r="B760">
        <v>0.99542014353169495</v>
      </c>
      <c r="C760">
        <v>1.02781320374147</v>
      </c>
      <c r="D760">
        <v>0.948039314498902</v>
      </c>
      <c r="E760">
        <v>0.83104694921995603</v>
      </c>
      <c r="F760">
        <v>0.77289220345163201</v>
      </c>
      <c r="G760">
        <v>0.52020413230634099</v>
      </c>
      <c r="H760">
        <v>0.71201127138487996</v>
      </c>
      <c r="I760">
        <v>0.71528868623899799</v>
      </c>
      <c r="J760">
        <v>0.70803378228287905</v>
      </c>
      <c r="K760">
        <v>0.66632809536392301</v>
      </c>
      <c r="L760">
        <v>1206.0004076985899</v>
      </c>
      <c r="M760">
        <v>25.8871548913447</v>
      </c>
      <c r="O760">
        <v>46.311506245162001</v>
      </c>
      <c r="P760">
        <v>-4.5874551512536103E-2</v>
      </c>
      <c r="Q760">
        <v>0.67173000649944903</v>
      </c>
      <c r="R760">
        <v>0.84798963680855399</v>
      </c>
      <c r="S760" t="s">
        <v>7162</v>
      </c>
      <c r="T760" t="s">
        <v>12802</v>
      </c>
      <c r="U760" t="s">
        <v>12802</v>
      </c>
      <c r="V760" t="s">
        <v>12802</v>
      </c>
      <c r="W760" t="s">
        <v>13149</v>
      </c>
      <c r="X760">
        <v>7</v>
      </c>
      <c r="Y760" t="s">
        <v>19873</v>
      </c>
      <c r="Z760" t="s">
        <v>26078</v>
      </c>
      <c r="AA760">
        <v>0.77918599987150305</v>
      </c>
      <c r="AB760" t="str">
        <f>HYPERLINK("Melting_Curves/meltCurve_F6XY72_NME2.pdf", "Melting_Curves/meltCurve_F6XY72_NME2.pdf")</f>
        <v>Melting_Curves/meltCurve_F6XY72_NME2.pdf</v>
      </c>
    </row>
    <row r="761" spans="1:28" x14ac:dyDescent="0.25">
      <c r="A761" t="s">
        <v>765</v>
      </c>
      <c r="B761">
        <v>0.99542014353169495</v>
      </c>
      <c r="C761">
        <v>1.15667871288833</v>
      </c>
      <c r="D761">
        <v>0.76480301932117001</v>
      </c>
      <c r="E761">
        <v>0.81686318217231701</v>
      </c>
      <c r="F761">
        <v>0.72620788648832901</v>
      </c>
      <c r="G761">
        <v>0.77568655191540103</v>
      </c>
      <c r="H761">
        <v>0.45905582534220302</v>
      </c>
      <c r="I761">
        <v>0.43745447345018301</v>
      </c>
      <c r="J761">
        <v>0.59589437357358399</v>
      </c>
      <c r="K761">
        <v>0.78848481061168796</v>
      </c>
      <c r="L761">
        <v>690.33740376288995</v>
      </c>
      <c r="M761">
        <v>14.779243149087399</v>
      </c>
      <c r="O761">
        <v>45.879761136413698</v>
      </c>
      <c r="P761">
        <v>-3.2816060218102398E-2</v>
      </c>
      <c r="Q761">
        <v>0.59255509842592502</v>
      </c>
      <c r="R761">
        <v>0.62547396322336501</v>
      </c>
      <c r="S761" t="s">
        <v>7163</v>
      </c>
      <c r="T761" t="s">
        <v>12802</v>
      </c>
      <c r="U761" t="s">
        <v>12802</v>
      </c>
      <c r="V761" t="s">
        <v>12802</v>
      </c>
      <c r="W761" t="s">
        <v>13551</v>
      </c>
      <c r="X761">
        <v>27</v>
      </c>
      <c r="Y761" t="s">
        <v>19654</v>
      </c>
      <c r="Z761" t="s">
        <v>26079</v>
      </c>
      <c r="AA761">
        <v>0.73391551565234436</v>
      </c>
      <c r="AB761" t="str">
        <f>HYPERLINK("Melting_Curves/meltCurve_F8VP89_EIF4B.pdf", "Melting_Curves/meltCurve_F8VP89_EIF4B.pdf")</f>
        <v>Melting_Curves/meltCurve_F8VP89_EIF4B.pdf</v>
      </c>
    </row>
    <row r="762" spans="1:28" x14ac:dyDescent="0.25">
      <c r="A762" t="s">
        <v>766</v>
      </c>
      <c r="B762">
        <v>0.99542014353169495</v>
      </c>
      <c r="C762">
        <v>0.87457129383864096</v>
      </c>
      <c r="D762">
        <v>0.88781676920185204</v>
      </c>
      <c r="E762">
        <v>0.62278043770873304</v>
      </c>
      <c r="F762">
        <v>0.24637712511446799</v>
      </c>
      <c r="G762">
        <v>8.7998040177249104E-2</v>
      </c>
      <c r="H762">
        <v>5.1196834295723401E-2</v>
      </c>
      <c r="I762">
        <v>3.6554707968332399E-2</v>
      </c>
      <c r="J762">
        <v>3.7655904965658099E-2</v>
      </c>
      <c r="K762">
        <v>3.6362535469384602E-2</v>
      </c>
      <c r="L762">
        <v>950.43882850404702</v>
      </c>
      <c r="M762">
        <v>20.053437351330601</v>
      </c>
      <c r="N762">
        <v>47.509401072773002</v>
      </c>
      <c r="O762">
        <v>46.931528166360799</v>
      </c>
      <c r="P762">
        <v>-0.104314920102807</v>
      </c>
      <c r="Q762">
        <v>2.3508497703324499E-2</v>
      </c>
      <c r="R762">
        <v>0.991832709790334</v>
      </c>
      <c r="S762" t="s">
        <v>7164</v>
      </c>
      <c r="T762" t="s">
        <v>12802</v>
      </c>
      <c r="U762" t="s">
        <v>12802</v>
      </c>
      <c r="V762" t="s">
        <v>12802</v>
      </c>
      <c r="W762" t="s">
        <v>13552</v>
      </c>
      <c r="X762">
        <v>41</v>
      </c>
      <c r="Y762" t="s">
        <v>19874</v>
      </c>
      <c r="Z762" t="s">
        <v>26080</v>
      </c>
      <c r="AA762">
        <v>0.37460808136741047</v>
      </c>
      <c r="AB762" t="str">
        <f>HYPERLINK("Melting_Curves/meltCurve_F8VPD4_CAD.pdf", "Melting_Curves/meltCurve_F8VPD4_CAD.pdf")</f>
        <v>Melting_Curves/meltCurve_F8VPD4_CAD.pdf</v>
      </c>
    </row>
    <row r="763" spans="1:28" x14ac:dyDescent="0.25">
      <c r="A763" t="s">
        <v>767</v>
      </c>
      <c r="B763">
        <v>0.99542014353169495</v>
      </c>
      <c r="C763">
        <v>1.0229760438097699</v>
      </c>
      <c r="D763">
        <v>0.94240729337771301</v>
      </c>
      <c r="E763">
        <v>0.90190977879477696</v>
      </c>
      <c r="F763">
        <v>0.56484238624170002</v>
      </c>
      <c r="G763">
        <v>0.35980461396257402</v>
      </c>
      <c r="H763">
        <v>0.119563250514598</v>
      </c>
      <c r="I763">
        <v>5.9118390951470499E-2</v>
      </c>
      <c r="J763">
        <v>5.1645911182149E-2</v>
      </c>
      <c r="K763">
        <v>5.2554613395561098E-2</v>
      </c>
      <c r="L763">
        <v>941.18025330494504</v>
      </c>
      <c r="M763">
        <v>18.3598766210863</v>
      </c>
      <c r="N763">
        <v>51.406686921077799</v>
      </c>
      <c r="O763">
        <v>50.666339040270501</v>
      </c>
      <c r="P763">
        <v>-8.8328508323802499E-2</v>
      </c>
      <c r="Q763">
        <v>2.5030905407913601E-2</v>
      </c>
      <c r="R763">
        <v>0.99517627074644499</v>
      </c>
      <c r="S763" t="s">
        <v>7165</v>
      </c>
      <c r="T763" t="s">
        <v>12802</v>
      </c>
      <c r="U763" t="s">
        <v>12802</v>
      </c>
      <c r="V763" t="s">
        <v>12802</v>
      </c>
      <c r="W763" t="s">
        <v>13553</v>
      </c>
      <c r="X763">
        <v>28</v>
      </c>
      <c r="Y763" t="s">
        <v>19875</v>
      </c>
      <c r="Z763" t="s">
        <v>26081</v>
      </c>
      <c r="AA763">
        <v>0.50314824067033037</v>
      </c>
      <c r="AB763" t="str">
        <f>HYPERLINK("Melting_Curves/meltCurve_F8VQ10_DDX39B.pdf", "Melting_Curves/meltCurve_F8VQ10_DDX39B.pdf")</f>
        <v>Melting_Curves/meltCurve_F8VQ10_DDX39B.pdf</v>
      </c>
    </row>
    <row r="764" spans="1:28" x14ac:dyDescent="0.25">
      <c r="A764" t="s">
        <v>768</v>
      </c>
      <c r="B764">
        <v>0.99542014353169495</v>
      </c>
      <c r="C764">
        <v>0.97237684103446198</v>
      </c>
      <c r="D764">
        <v>0.98870517791593804</v>
      </c>
      <c r="E764">
        <v>0.92980852546681703</v>
      </c>
      <c r="F764">
        <v>1.08755730240394</v>
      </c>
      <c r="G764">
        <v>0.79212552180331697</v>
      </c>
      <c r="H764">
        <v>0.31220104105312602</v>
      </c>
      <c r="I764">
        <v>0.222988113344919</v>
      </c>
      <c r="J764">
        <v>0.31073429746025</v>
      </c>
      <c r="K764">
        <v>0.50404079279865599</v>
      </c>
      <c r="L764">
        <v>13492.1016831053</v>
      </c>
      <c r="M764">
        <v>250</v>
      </c>
      <c r="N764">
        <v>54.212121117723299</v>
      </c>
      <c r="O764">
        <v>53.9649369219619</v>
      </c>
      <c r="P764">
        <v>-0.76729079404600398</v>
      </c>
      <c r="Q764">
        <v>0.33749101225572797</v>
      </c>
      <c r="R764">
        <v>0.94553318900030603</v>
      </c>
      <c r="S764" t="s">
        <v>7166</v>
      </c>
      <c r="T764" t="s">
        <v>12802</v>
      </c>
      <c r="U764" t="s">
        <v>12802</v>
      </c>
      <c r="V764" t="s">
        <v>12802</v>
      </c>
      <c r="W764" t="s">
        <v>13554</v>
      </c>
      <c r="X764">
        <v>11</v>
      </c>
      <c r="Y764" t="s">
        <v>19876</v>
      </c>
      <c r="Z764" t="s">
        <v>26082</v>
      </c>
      <c r="AA764">
        <v>0.71227782654008598</v>
      </c>
      <c r="AB764" t="str">
        <f>HYPERLINK("Melting_Curves/meltCurve_F8VQE1_LIMA1.pdf", "Melting_Curves/meltCurve_F8VQE1_LIMA1.pdf")</f>
        <v>Melting_Curves/meltCurve_F8VQE1_LIMA1.pdf</v>
      </c>
    </row>
    <row r="765" spans="1:28" x14ac:dyDescent="0.25">
      <c r="A765" t="s">
        <v>769</v>
      </c>
      <c r="B765">
        <v>0.99542014353169495</v>
      </c>
      <c r="C765">
        <v>1.0203412250941</v>
      </c>
      <c r="D765">
        <v>0.95792741850101804</v>
      </c>
      <c r="E765">
        <v>0.92569434068900303</v>
      </c>
      <c r="F765">
        <v>0.72485028203304602</v>
      </c>
      <c r="G765">
        <v>0.46170323572473898</v>
      </c>
      <c r="H765">
        <v>0.41964359912034399</v>
      </c>
      <c r="I765">
        <v>0.30643263173847601</v>
      </c>
      <c r="J765">
        <v>0.40091187980578902</v>
      </c>
      <c r="K765">
        <v>0.40769507711806202</v>
      </c>
      <c r="L765">
        <v>1330.87815519538</v>
      </c>
      <c r="M765">
        <v>26.350992822377599</v>
      </c>
      <c r="N765">
        <v>53.272219175684</v>
      </c>
      <c r="O765">
        <v>50.217650809362503</v>
      </c>
      <c r="P765">
        <v>-8.2287027248258607E-2</v>
      </c>
      <c r="Q765">
        <v>0.37274254648350402</v>
      </c>
      <c r="R765">
        <v>0.98693617844496995</v>
      </c>
      <c r="S765" t="s">
        <v>7167</v>
      </c>
      <c r="T765" t="s">
        <v>12802</v>
      </c>
      <c r="U765" t="s">
        <v>12802</v>
      </c>
      <c r="V765" t="s">
        <v>12802</v>
      </c>
      <c r="W765" t="s">
        <v>13555</v>
      </c>
      <c r="X765">
        <v>3</v>
      </c>
      <c r="Y765" t="s">
        <v>19877</v>
      </c>
      <c r="Z765" t="s">
        <v>26083</v>
      </c>
      <c r="AA765">
        <v>0.66011864769676631</v>
      </c>
      <c r="AB765" t="str">
        <f>HYPERLINK("Melting_Curves/meltCurve_F8VQR7_CSRP2.pdf", "Melting_Curves/meltCurve_F8VQR7_CSRP2.pdf")</f>
        <v>Melting_Curves/meltCurve_F8VQR7_CSRP2.pdf</v>
      </c>
    </row>
    <row r="766" spans="1:28" x14ac:dyDescent="0.25">
      <c r="A766" t="s">
        <v>770</v>
      </c>
      <c r="B766">
        <v>0.99542014353169495</v>
      </c>
      <c r="C766">
        <v>1.0184323040496699</v>
      </c>
      <c r="D766">
        <v>0.89998271061190604</v>
      </c>
      <c r="E766">
        <v>0.95597731271045205</v>
      </c>
      <c r="F766">
        <v>0.80300546131852002</v>
      </c>
      <c r="G766">
        <v>0.79854650387080095</v>
      </c>
      <c r="H766">
        <v>0.53480865857701199</v>
      </c>
      <c r="I766">
        <v>0.48458580070123097</v>
      </c>
      <c r="J766">
        <v>0.63583138660416505</v>
      </c>
      <c r="K766">
        <v>0.36094070602985501</v>
      </c>
      <c r="L766">
        <v>565.26812839215802</v>
      </c>
      <c r="M766">
        <v>10.201813325158801</v>
      </c>
      <c r="N766">
        <v>62.724842834008498</v>
      </c>
      <c r="O766">
        <v>53.406145645889403</v>
      </c>
      <c r="P766">
        <v>-3.1156510320402401E-2</v>
      </c>
      <c r="Q766">
        <v>0.34788074942278102</v>
      </c>
      <c r="R766">
        <v>0.88849441195162804</v>
      </c>
      <c r="S766" t="s">
        <v>7168</v>
      </c>
      <c r="T766" t="s">
        <v>12802</v>
      </c>
      <c r="U766" t="s">
        <v>12802</v>
      </c>
      <c r="V766" t="s">
        <v>12802</v>
      </c>
      <c r="W766" t="s">
        <v>13556</v>
      </c>
      <c r="X766">
        <v>4</v>
      </c>
      <c r="Y766" t="s">
        <v>19878</v>
      </c>
      <c r="Z766" t="s">
        <v>26084</v>
      </c>
      <c r="AA766">
        <v>0.75466297269361782</v>
      </c>
      <c r="AB766" t="str">
        <f>HYPERLINK("Melting_Curves/meltCurve_F8VQX6_METTL7A.pdf", "Melting_Curves/meltCurve_F8VQX6_METTL7A.pdf")</f>
        <v>Melting_Curves/meltCurve_F8VQX6_METTL7A.pdf</v>
      </c>
    </row>
    <row r="767" spans="1:28" x14ac:dyDescent="0.25">
      <c r="A767" t="s">
        <v>771</v>
      </c>
      <c r="B767">
        <v>0.99542014353169495</v>
      </c>
      <c r="C767">
        <v>0.92969848937491595</v>
      </c>
      <c r="D767">
        <v>1.10848213612464</v>
      </c>
      <c r="E767">
        <v>1.1258389342891799</v>
      </c>
      <c r="F767">
        <v>0.91086799383365502</v>
      </c>
      <c r="G767">
        <v>0.72911076826618804</v>
      </c>
      <c r="H767">
        <v>0.50812431593461205</v>
      </c>
      <c r="I767">
        <v>0.46298862044311001</v>
      </c>
      <c r="J767">
        <v>0.50623443378931998</v>
      </c>
      <c r="K767">
        <v>0.53852928828690505</v>
      </c>
      <c r="L767">
        <v>1919.2890680537901</v>
      </c>
      <c r="M767">
        <v>35.981573358548999</v>
      </c>
      <c r="N767">
        <v>61.428726477261101</v>
      </c>
      <c r="O767">
        <v>53.1769327267004</v>
      </c>
      <c r="P767">
        <v>-8.5321145805951404E-2</v>
      </c>
      <c r="Q767">
        <v>0.495619354236007</v>
      </c>
      <c r="R767">
        <v>0.93698402490976995</v>
      </c>
      <c r="S767" t="s">
        <v>7169</v>
      </c>
      <c r="T767" t="s">
        <v>12802</v>
      </c>
      <c r="U767" t="s">
        <v>12802</v>
      </c>
      <c r="V767" t="s">
        <v>12802</v>
      </c>
      <c r="W767" t="s">
        <v>13557</v>
      </c>
      <c r="X767">
        <v>30</v>
      </c>
      <c r="Y767" t="s">
        <v>19879</v>
      </c>
      <c r="Z767" t="s">
        <v>26085</v>
      </c>
      <c r="AA767">
        <v>0.77262975241477438</v>
      </c>
      <c r="AB767" t="str">
        <f>HYPERLINK("Melting_Curves/meltCurve_F8VQZ7_METAP2.pdf", "Melting_Curves/meltCurve_F8VQZ7_METAP2.pdf")</f>
        <v>Melting_Curves/meltCurve_F8VQZ7_METAP2.pdf</v>
      </c>
    </row>
    <row r="768" spans="1:28" x14ac:dyDescent="0.25">
      <c r="A768" t="s">
        <v>772</v>
      </c>
      <c r="B768">
        <v>0.99542014353169495</v>
      </c>
      <c r="C768">
        <v>0.919949004527433</v>
      </c>
      <c r="D768">
        <v>1.19056281665835</v>
      </c>
      <c r="E768">
        <v>0.81819008423134498</v>
      </c>
      <c r="F768">
        <v>0.28421217715465502</v>
      </c>
      <c r="G768">
        <v>3.8989502006409001E-2</v>
      </c>
      <c r="H768">
        <v>0</v>
      </c>
      <c r="I768">
        <v>0</v>
      </c>
      <c r="J768">
        <v>0</v>
      </c>
      <c r="K768">
        <v>0</v>
      </c>
      <c r="L768">
        <v>1725.7179035025299</v>
      </c>
      <c r="M768">
        <v>35.344022328021097</v>
      </c>
      <c r="N768">
        <v>48.826301410998397</v>
      </c>
      <c r="O768">
        <v>48.670785721909901</v>
      </c>
      <c r="P768">
        <v>-0.18154700410576399</v>
      </c>
      <c r="Q768">
        <v>0</v>
      </c>
      <c r="R768">
        <v>0.97880719379006698</v>
      </c>
      <c r="S768" t="s">
        <v>7170</v>
      </c>
      <c r="T768" t="s">
        <v>12802</v>
      </c>
      <c r="U768" t="s">
        <v>12802</v>
      </c>
      <c r="V768" t="s">
        <v>12802</v>
      </c>
      <c r="W768" t="s">
        <v>13558</v>
      </c>
      <c r="X768">
        <v>6</v>
      </c>
      <c r="Y768" t="s">
        <v>19880</v>
      </c>
      <c r="Z768" t="s">
        <v>26086</v>
      </c>
      <c r="AA768">
        <v>0.39853882151122449</v>
      </c>
      <c r="AB768" t="str">
        <f>HYPERLINK("Melting_Curves/meltCurve_F8VRH0_PCBP2.pdf", "Melting_Curves/meltCurve_F8VRH0_PCBP2.pdf")</f>
        <v>Melting_Curves/meltCurve_F8VRH0_PCBP2.pdf</v>
      </c>
    </row>
    <row r="769" spans="1:28" x14ac:dyDescent="0.25">
      <c r="A769" t="s">
        <v>773</v>
      </c>
      <c r="B769">
        <v>0.99542014353169495</v>
      </c>
      <c r="C769">
        <v>0.97634077930003904</v>
      </c>
      <c r="D769">
        <v>0.86333698735179898</v>
      </c>
      <c r="E769">
        <v>0.80256964134509601</v>
      </c>
      <c r="F769">
        <v>0.59690441808739803</v>
      </c>
      <c r="G769">
        <v>0.46084332214565199</v>
      </c>
      <c r="H769">
        <v>0.24526190319691599</v>
      </c>
      <c r="I769">
        <v>0.110489844548546</v>
      </c>
      <c r="J769">
        <v>0.119342320113885</v>
      </c>
      <c r="K769">
        <v>0.110413956262849</v>
      </c>
      <c r="L769">
        <v>576.78946824355603</v>
      </c>
      <c r="M769">
        <v>11.067846327857801</v>
      </c>
      <c r="N769">
        <v>52.113975117978001</v>
      </c>
      <c r="O769">
        <v>50.4994284943484</v>
      </c>
      <c r="P769">
        <v>-5.4809994510219201E-2</v>
      </c>
      <c r="Q769">
        <v>0</v>
      </c>
      <c r="R769">
        <v>0.99210764509994598</v>
      </c>
      <c r="S769" t="s">
        <v>7171</v>
      </c>
      <c r="T769" t="s">
        <v>12802</v>
      </c>
      <c r="U769" t="s">
        <v>12802</v>
      </c>
      <c r="V769" t="s">
        <v>12802</v>
      </c>
      <c r="W769" t="s">
        <v>13559</v>
      </c>
      <c r="X769">
        <v>2</v>
      </c>
      <c r="Y769" t="s">
        <v>19881</v>
      </c>
      <c r="Z769" t="s">
        <v>26087</v>
      </c>
      <c r="AA769">
        <v>0.52861608688810502</v>
      </c>
      <c r="AB769" t="str">
        <f>HYPERLINK("Melting_Curves/meltCurve_F8VSL3_NFYB.pdf", "Melting_Curves/meltCurve_F8VSL3_NFYB.pdf")</f>
        <v>Melting_Curves/meltCurve_F8VSL3_NFYB.pdf</v>
      </c>
    </row>
    <row r="770" spans="1:28" x14ac:dyDescent="0.25">
      <c r="A770" t="s">
        <v>774</v>
      </c>
      <c r="B770">
        <v>0.99542014353169495</v>
      </c>
      <c r="C770">
        <v>0.93736845814402503</v>
      </c>
      <c r="D770">
        <v>1.01449844560578</v>
      </c>
      <c r="E770">
        <v>0.73081414550503498</v>
      </c>
      <c r="F770">
        <v>0.60539471388950095</v>
      </c>
      <c r="G770">
        <v>0.27611587718036901</v>
      </c>
      <c r="H770">
        <v>0.102503316161264</v>
      </c>
      <c r="I770">
        <v>5.6864716021451503E-2</v>
      </c>
      <c r="J770">
        <v>7.3436093586923407E-2</v>
      </c>
      <c r="K770">
        <v>8.6187156413419397E-2</v>
      </c>
      <c r="L770">
        <v>860.38017119479196</v>
      </c>
      <c r="M770">
        <v>17.047382843066298</v>
      </c>
      <c r="N770">
        <v>50.684917322934503</v>
      </c>
      <c r="O770">
        <v>49.790789426600597</v>
      </c>
      <c r="P770">
        <v>-8.2614807821545802E-2</v>
      </c>
      <c r="Q770">
        <v>3.4877134954262798E-2</v>
      </c>
      <c r="R770">
        <v>0.98589375846691196</v>
      </c>
      <c r="S770" t="s">
        <v>7172</v>
      </c>
      <c r="T770" t="s">
        <v>12802</v>
      </c>
      <c r="U770" t="s">
        <v>12802</v>
      </c>
      <c r="V770" t="s">
        <v>12802</v>
      </c>
      <c r="W770" t="s">
        <v>13560</v>
      </c>
      <c r="X770">
        <v>18</v>
      </c>
      <c r="Y770" t="s">
        <v>19882</v>
      </c>
      <c r="Z770" t="s">
        <v>26088</v>
      </c>
      <c r="AA770">
        <v>0.48467209662982341</v>
      </c>
      <c r="AB770" t="str">
        <f>HYPERLINK("Melting_Curves/meltCurve_F8VSZ4_PLXNA1.pdf", "Melting_Curves/meltCurve_F8VSZ4_PLXNA1.pdf")</f>
        <v>Melting_Curves/meltCurve_F8VSZ4_PLXNA1.pdf</v>
      </c>
    </row>
    <row r="771" spans="1:28" x14ac:dyDescent="0.25">
      <c r="A771" t="s">
        <v>775</v>
      </c>
      <c r="B771">
        <v>0.99542014353169495</v>
      </c>
      <c r="C771">
        <v>1.0076636952062501</v>
      </c>
      <c r="D771">
        <v>1.1870680564016101</v>
      </c>
      <c r="E771">
        <v>0.88119212324948704</v>
      </c>
      <c r="F771">
        <v>0.58862024490666498</v>
      </c>
      <c r="G771">
        <v>0.29138204074380702</v>
      </c>
      <c r="H771">
        <v>0.17523257085185401</v>
      </c>
      <c r="I771">
        <v>0.17412493473992199</v>
      </c>
      <c r="J771">
        <v>0.20855825684309201</v>
      </c>
      <c r="K771">
        <v>0.181188848157845</v>
      </c>
      <c r="L771">
        <v>1456.0599440237199</v>
      </c>
      <c r="M771">
        <v>29.039001922206801</v>
      </c>
      <c r="N771">
        <v>50.928017460439399</v>
      </c>
      <c r="O771">
        <v>49.905546890432298</v>
      </c>
      <c r="P771">
        <v>-0.11918535011355</v>
      </c>
      <c r="Q771">
        <v>0.18069278244699899</v>
      </c>
      <c r="R771">
        <v>0.97332382939421502</v>
      </c>
      <c r="S771" t="s">
        <v>7173</v>
      </c>
      <c r="T771" t="s">
        <v>12802</v>
      </c>
      <c r="U771" t="s">
        <v>12802</v>
      </c>
      <c r="V771" t="s">
        <v>12802</v>
      </c>
      <c r="W771" t="s">
        <v>13561</v>
      </c>
      <c r="X771">
        <v>4</v>
      </c>
      <c r="Y771" t="s">
        <v>19883</v>
      </c>
      <c r="Z771" t="s">
        <v>26089</v>
      </c>
      <c r="AA771">
        <v>0.54496278110721863</v>
      </c>
      <c r="AB771" t="str">
        <f>HYPERLINK("Melting_Curves/meltCurve_F8VUJ3_POC1B_GALNT4.pdf", "Melting_Curves/meltCurve_F8VUJ3_POC1B_GALNT4.pdf")</f>
        <v>Melting_Curves/meltCurve_F8VUJ3_POC1B_GALNT4.pdf</v>
      </c>
    </row>
    <row r="772" spans="1:28" x14ac:dyDescent="0.25">
      <c r="A772" t="s">
        <v>776</v>
      </c>
      <c r="B772">
        <v>0.99542014353169495</v>
      </c>
      <c r="C772">
        <v>0.88878547754443704</v>
      </c>
      <c r="D772">
        <v>1.0932212924651099</v>
      </c>
      <c r="E772">
        <v>0.94472437541418397</v>
      </c>
      <c r="F772">
        <v>0.77256214037252302</v>
      </c>
      <c r="G772">
        <v>0.51182910892195599</v>
      </c>
      <c r="H772">
        <v>0.428632590617188</v>
      </c>
      <c r="I772">
        <v>0.329388878004434</v>
      </c>
      <c r="J772">
        <v>0.38855274230555298</v>
      </c>
      <c r="K772">
        <v>0.343985123602911</v>
      </c>
      <c r="L772">
        <v>1270.9969056284399</v>
      </c>
      <c r="M772">
        <v>24.7054519955553</v>
      </c>
      <c r="N772">
        <v>54.151629556290501</v>
      </c>
      <c r="O772">
        <v>51.112493710960997</v>
      </c>
      <c r="P772">
        <v>-7.8003544051143306E-2</v>
      </c>
      <c r="Q772">
        <v>0.35449074933596503</v>
      </c>
      <c r="R772">
        <v>0.96850981782282497</v>
      </c>
      <c r="S772" t="s">
        <v>7174</v>
      </c>
      <c r="T772" t="s">
        <v>12802</v>
      </c>
      <c r="U772" t="s">
        <v>12802</v>
      </c>
      <c r="V772" t="s">
        <v>12802</v>
      </c>
      <c r="W772" t="s">
        <v>13562</v>
      </c>
      <c r="X772">
        <v>2</v>
      </c>
      <c r="Y772" t="s">
        <v>19884</v>
      </c>
      <c r="Z772" t="s">
        <v>26090</v>
      </c>
      <c r="AA772">
        <v>0.67115970608808262</v>
      </c>
      <c r="AB772" t="str">
        <f>HYPERLINK("Melting_Curves/meltCurve_F8VUY8_SLC38A2.pdf", "Melting_Curves/meltCurve_F8VUY8_SLC38A2.pdf")</f>
        <v>Melting_Curves/meltCurve_F8VUY8_SLC38A2.pdf</v>
      </c>
    </row>
    <row r="773" spans="1:28" x14ac:dyDescent="0.25">
      <c r="A773" t="s">
        <v>777</v>
      </c>
      <c r="B773">
        <v>0.99542014353169495</v>
      </c>
      <c r="C773">
        <v>0.91439449762305203</v>
      </c>
      <c r="D773">
        <v>0.96150373601154104</v>
      </c>
      <c r="E773">
        <v>0.58335841114891696</v>
      </c>
      <c r="F773">
        <v>0.31419723126111998</v>
      </c>
      <c r="G773">
        <v>0.104651920814138</v>
      </c>
      <c r="H773">
        <v>6.8170615008566707E-2</v>
      </c>
      <c r="I773">
        <v>3.29978344191523E-2</v>
      </c>
      <c r="J773">
        <v>4.5840385256669301E-2</v>
      </c>
      <c r="K773">
        <v>3.9062686287095597E-2</v>
      </c>
      <c r="L773">
        <v>964.04561169151805</v>
      </c>
      <c r="M773">
        <v>20.252843821879399</v>
      </c>
      <c r="N773">
        <v>47.766831470722302</v>
      </c>
      <c r="O773">
        <v>47.143718136042999</v>
      </c>
      <c r="P773">
        <v>-0.103746184565027</v>
      </c>
      <c r="Q773">
        <v>3.4045900240873603E-2</v>
      </c>
      <c r="R773">
        <v>0.99308117674076501</v>
      </c>
      <c r="S773" t="s">
        <v>7175</v>
      </c>
      <c r="T773" t="s">
        <v>12802</v>
      </c>
      <c r="U773" t="s">
        <v>12802</v>
      </c>
      <c r="V773" t="s">
        <v>12802</v>
      </c>
      <c r="W773" t="s">
        <v>13563</v>
      </c>
      <c r="X773">
        <v>8</v>
      </c>
      <c r="Y773" t="s">
        <v>19885</v>
      </c>
      <c r="Z773" t="s">
        <v>26091</v>
      </c>
      <c r="AA773">
        <v>0.38773636755766511</v>
      </c>
      <c r="AB773" t="str">
        <f>HYPERLINK("Melting_Curves/meltCurve_F8VV52_CNOT2.pdf", "Melting_Curves/meltCurve_F8VV52_CNOT2.pdf")</f>
        <v>Melting_Curves/meltCurve_F8VV52_CNOT2.pdf</v>
      </c>
    </row>
    <row r="774" spans="1:28" x14ac:dyDescent="0.25">
      <c r="A774" t="s">
        <v>778</v>
      </c>
      <c r="B774">
        <v>0.99542014353169495</v>
      </c>
      <c r="C774">
        <v>1.26642316522831</v>
      </c>
      <c r="D774">
        <v>1.1120419067465599</v>
      </c>
      <c r="E774">
        <v>0.96411140285048302</v>
      </c>
      <c r="F774">
        <v>0.825587840135382</v>
      </c>
      <c r="G774">
        <v>0.39826040050075301</v>
      </c>
      <c r="H774">
        <v>0.132905761907428</v>
      </c>
      <c r="I774">
        <v>6.18329469161428E-2</v>
      </c>
      <c r="J774">
        <v>4.7181202709236501E-2</v>
      </c>
      <c r="K774">
        <v>8.6694298343196002E-2</v>
      </c>
      <c r="L774">
        <v>1566.71166648555</v>
      </c>
      <c r="M774">
        <v>29.709370201003601</v>
      </c>
      <c r="N774">
        <v>52.953048856292099</v>
      </c>
      <c r="O774">
        <v>52.497411558111303</v>
      </c>
      <c r="P774">
        <v>-0.13332143177531</v>
      </c>
      <c r="Q774">
        <v>5.7673530628620497E-2</v>
      </c>
      <c r="R774">
        <v>0.96055015447997605</v>
      </c>
      <c r="S774" t="s">
        <v>7176</v>
      </c>
      <c r="T774" t="s">
        <v>12802</v>
      </c>
      <c r="U774" t="s">
        <v>12802</v>
      </c>
      <c r="V774" t="s">
        <v>12802</v>
      </c>
      <c r="W774" t="s">
        <v>13564</v>
      </c>
      <c r="X774">
        <v>12</v>
      </c>
      <c r="Y774" t="s">
        <v>19886</v>
      </c>
      <c r="Z774" t="s">
        <v>26092</v>
      </c>
      <c r="AA774">
        <v>0.55800864572382147</v>
      </c>
      <c r="AB774" t="str">
        <f>HYPERLINK("Melting_Curves/meltCurve_F8VV59_NAP1L1.pdf", "Melting_Curves/meltCurve_F8VV59_NAP1L1.pdf")</f>
        <v>Melting_Curves/meltCurve_F8VV59_NAP1L1.pdf</v>
      </c>
    </row>
    <row r="775" spans="1:28" x14ac:dyDescent="0.25">
      <c r="A775" t="s">
        <v>779</v>
      </c>
      <c r="B775">
        <v>0.99542014353169495</v>
      </c>
      <c r="C775">
        <v>0.90451908606070097</v>
      </c>
      <c r="D775">
        <v>0.90201972298618505</v>
      </c>
      <c r="E775">
        <v>0.76985661840947095</v>
      </c>
      <c r="F775">
        <v>0.52825172638653595</v>
      </c>
      <c r="G775">
        <v>0.307585598951857</v>
      </c>
      <c r="H775">
        <v>0.13261722200893</v>
      </c>
      <c r="I775">
        <v>6.5802270810951705E-2</v>
      </c>
      <c r="J775">
        <v>6.4225186419014799E-2</v>
      </c>
      <c r="K775">
        <v>5.5779780253657103E-2</v>
      </c>
      <c r="L775">
        <v>685.72614085234704</v>
      </c>
      <c r="M775">
        <v>13.5908700849418</v>
      </c>
      <c r="N775">
        <v>50.454914313318099</v>
      </c>
      <c r="O775">
        <v>49.400152067688801</v>
      </c>
      <c r="P775">
        <v>-6.8789707471499803E-2</v>
      </c>
      <c r="Q775">
        <v>0</v>
      </c>
      <c r="R775">
        <v>0.99480117122075995</v>
      </c>
      <c r="S775" t="s">
        <v>7177</v>
      </c>
      <c r="T775" t="s">
        <v>12802</v>
      </c>
      <c r="U775" t="s">
        <v>12802</v>
      </c>
      <c r="V775" t="s">
        <v>12802</v>
      </c>
      <c r="W775" t="s">
        <v>13565</v>
      </c>
      <c r="X775">
        <v>8</v>
      </c>
      <c r="Y775" t="s">
        <v>19887</v>
      </c>
      <c r="Z775" t="s">
        <v>26093</v>
      </c>
      <c r="AA775">
        <v>0.47193975217063239</v>
      </c>
      <c r="AB775" t="str">
        <f>HYPERLINK("Melting_Curves/meltCurve_F8VVA7_COPZ1.pdf", "Melting_Curves/meltCurve_F8VVA7_COPZ1.pdf")</f>
        <v>Melting_Curves/meltCurve_F8VVA7_COPZ1.pdf</v>
      </c>
    </row>
    <row r="776" spans="1:28" x14ac:dyDescent="0.25">
      <c r="A776" t="s">
        <v>780</v>
      </c>
      <c r="B776">
        <v>0.99542014353169495</v>
      </c>
      <c r="C776">
        <v>1.5219866100153301</v>
      </c>
      <c r="D776">
        <v>1.4205151062314001</v>
      </c>
      <c r="E776">
        <v>0.65356606978033005</v>
      </c>
      <c r="F776">
        <v>0.291477327870584</v>
      </c>
      <c r="G776">
        <v>0.24021557415202699</v>
      </c>
      <c r="H776">
        <v>0</v>
      </c>
      <c r="I776">
        <v>0</v>
      </c>
      <c r="J776">
        <v>0.234394555267598</v>
      </c>
      <c r="K776">
        <v>0</v>
      </c>
      <c r="L776">
        <v>1683.80121772899</v>
      </c>
      <c r="M776">
        <v>35.221224445929899</v>
      </c>
      <c r="N776">
        <v>48.097959373012799</v>
      </c>
      <c r="O776">
        <v>47.653121782046398</v>
      </c>
      <c r="P776">
        <v>-0.167019578040915</v>
      </c>
      <c r="Q776">
        <v>9.6116009883329204E-2</v>
      </c>
      <c r="R776">
        <v>0.82499929529739902</v>
      </c>
      <c r="S776" t="s">
        <v>7178</v>
      </c>
      <c r="T776" t="s">
        <v>12802</v>
      </c>
      <c r="U776" t="s">
        <v>12802</v>
      </c>
      <c r="V776" t="s">
        <v>12802</v>
      </c>
      <c r="W776" t="s">
        <v>13566</v>
      </c>
      <c r="X776">
        <v>1</v>
      </c>
      <c r="Y776" t="s">
        <v>19888</v>
      </c>
      <c r="Z776" t="s">
        <v>26094</v>
      </c>
      <c r="AA776">
        <v>0.42556885784625892</v>
      </c>
      <c r="AB776" t="str">
        <f>HYPERLINK("Melting_Curves/meltCurve_F8VVN7_TMEM106C.pdf", "Melting_Curves/meltCurve_F8VVN7_TMEM106C.pdf")</f>
        <v>Melting_Curves/meltCurve_F8VVN7_TMEM106C.pdf</v>
      </c>
    </row>
    <row r="777" spans="1:28" x14ac:dyDescent="0.25">
      <c r="A777" t="s">
        <v>781</v>
      </c>
      <c r="B777">
        <v>0.99542014353169495</v>
      </c>
      <c r="C777">
        <v>1.0511682926858099</v>
      </c>
      <c r="D777">
        <v>0.95353669777194106</v>
      </c>
      <c r="E777">
        <v>0.86374996745876498</v>
      </c>
      <c r="F777">
        <v>0.64663256416779502</v>
      </c>
      <c r="G777">
        <v>0.53150255730206997</v>
      </c>
      <c r="H777">
        <v>0.34895567461692301</v>
      </c>
      <c r="I777">
        <v>0.25063438159241203</v>
      </c>
      <c r="J777">
        <v>0.23891118736420799</v>
      </c>
      <c r="K777">
        <v>0.18622081724599701</v>
      </c>
      <c r="L777">
        <v>686.408560224148</v>
      </c>
      <c r="M777">
        <v>13.1412249257701</v>
      </c>
      <c r="N777">
        <v>53.727192126216401</v>
      </c>
      <c r="O777">
        <v>51.068088114768699</v>
      </c>
      <c r="P777">
        <v>-5.44955606414411E-2</v>
      </c>
      <c r="Q777">
        <v>0.15304310666072901</v>
      </c>
      <c r="R777">
        <v>0.99255338412324001</v>
      </c>
      <c r="S777" t="s">
        <v>7179</v>
      </c>
      <c r="T777" t="s">
        <v>12802</v>
      </c>
      <c r="U777" t="s">
        <v>12802</v>
      </c>
      <c r="V777" t="s">
        <v>12802</v>
      </c>
      <c r="W777" t="s">
        <v>13567</v>
      </c>
      <c r="X777">
        <v>7</v>
      </c>
      <c r="Y777" t="s">
        <v>19889</v>
      </c>
      <c r="Z777" t="s">
        <v>26095</v>
      </c>
      <c r="AA777">
        <v>0.60134128762339623</v>
      </c>
      <c r="AB777" t="str">
        <f>HYPERLINK("Melting_Curves/meltCurve_F8VVX6_COQ5.pdf", "Melting_Curves/meltCurve_F8VVX6_COQ5.pdf")</f>
        <v>Melting_Curves/meltCurve_F8VVX6_COQ5.pdf</v>
      </c>
    </row>
    <row r="778" spans="1:28" x14ac:dyDescent="0.25">
      <c r="A778" t="s">
        <v>782</v>
      </c>
      <c r="B778">
        <v>0.99542014353169495</v>
      </c>
      <c r="C778">
        <v>1.4066145444387901</v>
      </c>
      <c r="D778">
        <v>1.32025844456037</v>
      </c>
      <c r="E778">
        <v>1.02276970198377</v>
      </c>
      <c r="F778">
        <v>1.0779319197745001</v>
      </c>
      <c r="G778">
        <v>0.91137144157774397</v>
      </c>
      <c r="H778">
        <v>0.57870301343519204</v>
      </c>
      <c r="I778">
        <v>0.52616383109200104</v>
      </c>
      <c r="J778">
        <v>0.55698588171328201</v>
      </c>
      <c r="K778">
        <v>0.45369880092057902</v>
      </c>
      <c r="L778">
        <v>2932.7196184598301</v>
      </c>
      <c r="M778">
        <v>52.944921071382304</v>
      </c>
      <c r="O778">
        <v>55.313042658534599</v>
      </c>
      <c r="P778">
        <v>-0.11699094914543</v>
      </c>
      <c r="Q778">
        <v>0.511105439748476</v>
      </c>
      <c r="R778">
        <v>0.73218174475679798</v>
      </c>
      <c r="S778" t="s">
        <v>7180</v>
      </c>
      <c r="T778" t="s">
        <v>12802</v>
      </c>
      <c r="U778" t="s">
        <v>12802</v>
      </c>
      <c r="V778" t="s">
        <v>12802</v>
      </c>
      <c r="W778" t="s">
        <v>13568</v>
      </c>
      <c r="X778">
        <v>1</v>
      </c>
      <c r="Y778" t="s">
        <v>19890</v>
      </c>
      <c r="Z778" t="s">
        <v>26096</v>
      </c>
      <c r="AA778">
        <v>0.81189071044856365</v>
      </c>
      <c r="AB778" t="str">
        <f>HYPERLINK("Melting_Curves/meltCurve_F8VW54_TSPAN31.pdf", "Melting_Curves/meltCurve_F8VW54_TSPAN31.pdf")</f>
        <v>Melting_Curves/meltCurve_F8VW54_TSPAN31.pdf</v>
      </c>
    </row>
    <row r="779" spans="1:28" x14ac:dyDescent="0.25">
      <c r="A779" t="s">
        <v>783</v>
      </c>
      <c r="B779">
        <v>0.99542014353169495</v>
      </c>
      <c r="C779">
        <v>0.860979630372116</v>
      </c>
      <c r="D779">
        <v>0.87423938245863697</v>
      </c>
      <c r="E779">
        <v>0.60801125138296397</v>
      </c>
      <c r="F779">
        <v>0.26691963161828203</v>
      </c>
      <c r="G779">
        <v>0.15002156998021801</v>
      </c>
      <c r="H779">
        <v>0.108693059729084</v>
      </c>
      <c r="I779">
        <v>8.6359283368089804E-2</v>
      </c>
      <c r="J779">
        <v>0.101356104038468</v>
      </c>
      <c r="K779">
        <v>7.73822454051111E-2</v>
      </c>
      <c r="L779">
        <v>858.50795538250395</v>
      </c>
      <c r="M779">
        <v>18.251566605596899</v>
      </c>
      <c r="N779">
        <v>47.4557839305428</v>
      </c>
      <c r="O779">
        <v>46.483749388211301</v>
      </c>
      <c r="P779">
        <v>-9.0871867335105494E-2</v>
      </c>
      <c r="Q779">
        <v>7.43005814863371E-2</v>
      </c>
      <c r="R779">
        <v>0.98943567170663804</v>
      </c>
      <c r="S779" t="s">
        <v>7181</v>
      </c>
      <c r="T779" t="s">
        <v>12802</v>
      </c>
      <c r="U779" t="s">
        <v>12802</v>
      </c>
      <c r="V779" t="s">
        <v>12802</v>
      </c>
      <c r="W779" t="s">
        <v>13569</v>
      </c>
      <c r="X779">
        <v>6</v>
      </c>
      <c r="Y779" t="s">
        <v>19891</v>
      </c>
      <c r="Z779" t="s">
        <v>26097</v>
      </c>
      <c r="AA779">
        <v>0.39849282994028962</v>
      </c>
      <c r="AB779" t="str">
        <f>HYPERLINK("Melting_Curves/meltCurve_F8VWA6_MON2.pdf", "Melting_Curves/meltCurve_F8VWA6_MON2.pdf")</f>
        <v>Melting_Curves/meltCurve_F8VWA6_MON2.pdf</v>
      </c>
    </row>
    <row r="780" spans="1:28" x14ac:dyDescent="0.25">
      <c r="A780" t="s">
        <v>784</v>
      </c>
      <c r="B780">
        <v>0.99542014353169495</v>
      </c>
      <c r="C780">
        <v>1.0670295648102599</v>
      </c>
      <c r="D780">
        <v>1.05586508139153</v>
      </c>
      <c r="E780">
        <v>0.83800728126431001</v>
      </c>
      <c r="F780">
        <v>0.66358959048303501</v>
      </c>
      <c r="G780">
        <v>0.25031320696297699</v>
      </c>
      <c r="H780">
        <v>0.177928084054506</v>
      </c>
      <c r="I780">
        <v>0.102228112162561</v>
      </c>
      <c r="J780">
        <v>0.10924048314693199</v>
      </c>
      <c r="K780">
        <v>0.10442567164097501</v>
      </c>
      <c r="L780">
        <v>1203.48421547415</v>
      </c>
      <c r="M780">
        <v>23.6641432635193</v>
      </c>
      <c r="N780">
        <v>51.326465719263403</v>
      </c>
      <c r="O780">
        <v>50.497865724856602</v>
      </c>
      <c r="P780">
        <v>-0.105752482336813</v>
      </c>
      <c r="Q780">
        <v>9.7337215643672301E-2</v>
      </c>
      <c r="R780">
        <v>0.98867671782751299</v>
      </c>
      <c r="S780" t="s">
        <v>7182</v>
      </c>
      <c r="T780" t="s">
        <v>12802</v>
      </c>
      <c r="U780" t="s">
        <v>12802</v>
      </c>
      <c r="V780" t="s">
        <v>12802</v>
      </c>
      <c r="W780" t="s">
        <v>13570</v>
      </c>
      <c r="X780">
        <v>1</v>
      </c>
      <c r="Y780" t="s">
        <v>19892</v>
      </c>
      <c r="Z780" t="s">
        <v>26098</v>
      </c>
      <c r="AA780">
        <v>0.52307811338515864</v>
      </c>
      <c r="AB780" t="str">
        <f>HYPERLINK("Melting_Curves/meltCurve_F8VWA9_ALG10B.pdf", "Melting_Curves/meltCurve_F8VWA9_ALG10B.pdf")</f>
        <v>Melting_Curves/meltCurve_F8VWA9_ALG10B.pdf</v>
      </c>
    </row>
    <row r="781" spans="1:28" x14ac:dyDescent="0.25">
      <c r="A781" t="s">
        <v>785</v>
      </c>
      <c r="B781">
        <v>0.99542014353169495</v>
      </c>
      <c r="C781">
        <v>0.90935673782744697</v>
      </c>
      <c r="D781">
        <v>0.91368987009677705</v>
      </c>
      <c r="E781">
        <v>0.73856678083798499</v>
      </c>
      <c r="F781">
        <v>0.59015631603454799</v>
      </c>
      <c r="G781">
        <v>0.38515621261699201</v>
      </c>
      <c r="H781">
        <v>0.27837304645345901</v>
      </c>
      <c r="I781">
        <v>0.25675916926356601</v>
      </c>
      <c r="J781">
        <v>0.47968352387463098</v>
      </c>
      <c r="K781">
        <v>0.87920049215683704</v>
      </c>
      <c r="L781">
        <v>1125.4825133679001</v>
      </c>
      <c r="M781">
        <v>24.179593353209398</v>
      </c>
      <c r="N781">
        <v>51.999434214980397</v>
      </c>
      <c r="O781">
        <v>46.231920432892998</v>
      </c>
      <c r="P781">
        <v>-7.0556293492949396E-2</v>
      </c>
      <c r="Q781">
        <v>0.46038748847384903</v>
      </c>
      <c r="R781">
        <v>0.61815603709019695</v>
      </c>
      <c r="S781" t="s">
        <v>7183</v>
      </c>
      <c r="T781" t="s">
        <v>12802</v>
      </c>
      <c r="U781" t="s">
        <v>12802</v>
      </c>
      <c r="V781" t="s">
        <v>12802</v>
      </c>
      <c r="W781" t="s">
        <v>13571</v>
      </c>
      <c r="X781">
        <v>15</v>
      </c>
      <c r="Y781" t="s">
        <v>19893</v>
      </c>
      <c r="Z781" t="s">
        <v>26099</v>
      </c>
      <c r="AA781">
        <v>0.63692445688574761</v>
      </c>
      <c r="AB781" t="str">
        <f>HYPERLINK("Melting_Curves/meltCurve_F8VXG7_SCAF11.pdf", "Melting_Curves/meltCurve_F8VXG7_SCAF11.pdf")</f>
        <v>Melting_Curves/meltCurve_F8VXG7_SCAF11.pdf</v>
      </c>
    </row>
    <row r="782" spans="1:28" x14ac:dyDescent="0.25">
      <c r="A782" t="s">
        <v>786</v>
      </c>
      <c r="B782">
        <v>0.99542014353169495</v>
      </c>
      <c r="C782">
        <v>0.75203505181346197</v>
      </c>
      <c r="D782">
        <v>0.70147613420638499</v>
      </c>
      <c r="E782">
        <v>0.5467524371936</v>
      </c>
      <c r="F782">
        <v>0.32757225816804297</v>
      </c>
      <c r="G782">
        <v>6.9594571189294505E-2</v>
      </c>
      <c r="H782">
        <v>0.12958512599636701</v>
      </c>
      <c r="I782">
        <v>6.1046160297916298E-2</v>
      </c>
      <c r="J782">
        <v>0.110315378062311</v>
      </c>
      <c r="K782">
        <v>7.8363166289422304E-2</v>
      </c>
      <c r="L782">
        <v>517.58647844833399</v>
      </c>
      <c r="M782">
        <v>11.252291844662</v>
      </c>
      <c r="N782">
        <v>46.226965048739402</v>
      </c>
      <c r="O782">
        <v>44.6172900699069</v>
      </c>
      <c r="P782">
        <v>-6.1361302427156802E-2</v>
      </c>
      <c r="Q782">
        <v>2.7067916867425899E-2</v>
      </c>
      <c r="R782">
        <v>0.96721581670310797</v>
      </c>
      <c r="S782" t="s">
        <v>7184</v>
      </c>
      <c r="T782" t="s">
        <v>12802</v>
      </c>
      <c r="U782" t="s">
        <v>12802</v>
      </c>
      <c r="V782" t="s">
        <v>12802</v>
      </c>
      <c r="W782" t="s">
        <v>13572</v>
      </c>
      <c r="X782">
        <v>3</v>
      </c>
      <c r="Y782" t="s">
        <v>19894</v>
      </c>
      <c r="Z782" t="s">
        <v>26100</v>
      </c>
      <c r="AA782">
        <v>0.3562672975630316</v>
      </c>
      <c r="AB782" t="str">
        <f>HYPERLINK("Melting_Curves/meltCurve_F8VXI9_GIT2.pdf", "Melting_Curves/meltCurve_F8VXI9_GIT2.pdf")</f>
        <v>Melting_Curves/meltCurve_F8VXI9_GIT2.pdf</v>
      </c>
    </row>
    <row r="783" spans="1:28" x14ac:dyDescent="0.25">
      <c r="A783" t="s">
        <v>787</v>
      </c>
      <c r="B783">
        <v>0.99542014353169495</v>
      </c>
      <c r="C783">
        <v>1.0260123147517901</v>
      </c>
      <c r="D783">
        <v>1.04673752558052</v>
      </c>
      <c r="E783">
        <v>0.95856360406556396</v>
      </c>
      <c r="F783">
        <v>0.83561967317365204</v>
      </c>
      <c r="G783">
        <v>0.75865580454665105</v>
      </c>
      <c r="H783">
        <v>0.41792075214471103</v>
      </c>
      <c r="I783">
        <v>0.203836424311933</v>
      </c>
      <c r="J783">
        <v>8.5835843747281301E-2</v>
      </c>
      <c r="K783">
        <v>8.25581138198071E-2</v>
      </c>
      <c r="L783">
        <v>997.39773767328904</v>
      </c>
      <c r="M783">
        <v>17.663284848695099</v>
      </c>
      <c r="N783">
        <v>56.467285027914897</v>
      </c>
      <c r="O783">
        <v>55.758420068817699</v>
      </c>
      <c r="P783">
        <v>-7.9199797447371698E-2</v>
      </c>
      <c r="Q783">
        <v>0</v>
      </c>
      <c r="R783">
        <v>0.99178027861417295</v>
      </c>
      <c r="S783" t="s">
        <v>7185</v>
      </c>
      <c r="T783" t="s">
        <v>12802</v>
      </c>
      <c r="U783" t="s">
        <v>12802</v>
      </c>
      <c r="V783" t="s">
        <v>12802</v>
      </c>
      <c r="W783" t="s">
        <v>13573</v>
      </c>
      <c r="X783">
        <v>9</v>
      </c>
      <c r="Y783" t="s">
        <v>19895</v>
      </c>
      <c r="Z783" t="s">
        <v>26101</v>
      </c>
      <c r="AA783">
        <v>0.65909715011949355</v>
      </c>
      <c r="AB783" t="str">
        <f>HYPERLINK("Melting_Curves/meltCurve_F8VXU5_VPS29.pdf", "Melting_Curves/meltCurve_F8VXU5_VPS29.pdf")</f>
        <v>Melting_Curves/meltCurve_F8VXU5_VPS29.pdf</v>
      </c>
    </row>
    <row r="784" spans="1:28" x14ac:dyDescent="0.25">
      <c r="A784" t="s">
        <v>788</v>
      </c>
      <c r="B784">
        <v>0.99542014353169495</v>
      </c>
      <c r="C784">
        <v>0.93863676551525499</v>
      </c>
      <c r="D784">
        <v>0.89582788093688803</v>
      </c>
      <c r="E784">
        <v>0.86365853390642999</v>
      </c>
      <c r="F784">
        <v>0.68051898069113004</v>
      </c>
      <c r="G784">
        <v>0.32657784459686101</v>
      </c>
      <c r="H784">
        <v>8.4630387632909296E-2</v>
      </c>
      <c r="I784">
        <v>5.1363185690555903E-2</v>
      </c>
      <c r="J784">
        <v>5.1305917130208503E-2</v>
      </c>
      <c r="K784">
        <v>5.4413592857208801E-2</v>
      </c>
      <c r="L784">
        <v>1017.2675113956</v>
      </c>
      <c r="M784">
        <v>19.705462737079198</v>
      </c>
      <c r="N784">
        <v>51.709110776525101</v>
      </c>
      <c r="O784">
        <v>51.100799056782101</v>
      </c>
      <c r="P784">
        <v>-9.4863228258334695E-2</v>
      </c>
      <c r="Q784">
        <v>1.60252524788628E-2</v>
      </c>
      <c r="R784">
        <v>0.98920487746686803</v>
      </c>
      <c r="S784" t="s">
        <v>7186</v>
      </c>
      <c r="T784" t="s">
        <v>12802</v>
      </c>
      <c r="U784" t="s">
        <v>12802</v>
      </c>
      <c r="V784" t="s">
        <v>12802</v>
      </c>
      <c r="W784" t="s">
        <v>13574</v>
      </c>
      <c r="X784">
        <v>12</v>
      </c>
      <c r="Y784" t="s">
        <v>19886</v>
      </c>
      <c r="Z784" t="s">
        <v>26102</v>
      </c>
      <c r="AA784">
        <v>0.50876184217812226</v>
      </c>
      <c r="AB784" t="str">
        <f>HYPERLINK("Melting_Curves/meltCurve_F8VY35_NAP1L1.pdf", "Melting_Curves/meltCurve_F8VY35_NAP1L1.pdf")</f>
        <v>Melting_Curves/meltCurve_F8VY35_NAP1L1.pdf</v>
      </c>
    </row>
    <row r="785" spans="1:28" x14ac:dyDescent="0.25">
      <c r="A785" t="s">
        <v>789</v>
      </c>
      <c r="B785">
        <v>0.99542014353169495</v>
      </c>
      <c r="C785">
        <v>1.0526635087718501</v>
      </c>
      <c r="D785">
        <v>1.02082468771526</v>
      </c>
      <c r="E785">
        <v>0.90561617484332602</v>
      </c>
      <c r="F785">
        <v>0.78283736532552495</v>
      </c>
      <c r="G785">
        <v>0.54240359256105197</v>
      </c>
      <c r="H785">
        <v>0.20619444003260501</v>
      </c>
      <c r="I785">
        <v>9.5363612663883102E-2</v>
      </c>
      <c r="J785">
        <v>2.4207992907977999E-2</v>
      </c>
      <c r="K785">
        <v>3.7607643507010402E-2</v>
      </c>
      <c r="L785">
        <v>1022.97347891816</v>
      </c>
      <c r="M785">
        <v>19.004931401569898</v>
      </c>
      <c r="N785">
        <v>53.826738636691204</v>
      </c>
      <c r="O785">
        <v>53.241404121049001</v>
      </c>
      <c r="P785">
        <v>-8.9242989190557107E-2</v>
      </c>
      <c r="Q785">
        <v>0</v>
      </c>
      <c r="R785">
        <v>0.99472310571921796</v>
      </c>
      <c r="S785" t="s">
        <v>7187</v>
      </c>
      <c r="T785" t="s">
        <v>12802</v>
      </c>
      <c r="U785" t="s">
        <v>12802</v>
      </c>
      <c r="V785" t="s">
        <v>12802</v>
      </c>
      <c r="W785" t="s">
        <v>13575</v>
      </c>
      <c r="X785">
        <v>17</v>
      </c>
      <c r="Y785" t="s">
        <v>19896</v>
      </c>
      <c r="Z785" t="s">
        <v>26103</v>
      </c>
      <c r="AA785">
        <v>0.57390635944706403</v>
      </c>
      <c r="AB785" t="str">
        <f>HYPERLINK("Melting_Curves/meltCurve_F8VYE8_PPP1CC.pdf", "Melting_Curves/meltCurve_F8VYE8_PPP1CC.pdf")</f>
        <v>Melting_Curves/meltCurve_F8VYE8_PPP1CC.pdf</v>
      </c>
    </row>
    <row r="786" spans="1:28" x14ac:dyDescent="0.25">
      <c r="A786" t="s">
        <v>790</v>
      </c>
      <c r="B786">
        <v>0.99542014353169495</v>
      </c>
      <c r="C786">
        <v>0.94914884062386295</v>
      </c>
      <c r="D786">
        <v>0.85730491207709403</v>
      </c>
      <c r="E786">
        <v>0.75340385662261</v>
      </c>
      <c r="F786">
        <v>0.597461519129735</v>
      </c>
      <c r="G786">
        <v>0.30289096220227002</v>
      </c>
      <c r="H786">
        <v>0.12866630111819899</v>
      </c>
      <c r="I786">
        <v>9.4544967856720605E-2</v>
      </c>
      <c r="J786">
        <v>0.11770586697150399</v>
      </c>
      <c r="K786">
        <v>0.11736802293929199</v>
      </c>
      <c r="L786">
        <v>698.28491760351994</v>
      </c>
      <c r="M786">
        <v>13.8981154923495</v>
      </c>
      <c r="N786">
        <v>50.609134585635502</v>
      </c>
      <c r="O786">
        <v>49.237220317388399</v>
      </c>
      <c r="P786">
        <v>-6.7202272017746603E-2</v>
      </c>
      <c r="Q786">
        <v>4.7812633837365601E-2</v>
      </c>
      <c r="R786">
        <v>0.98715082110546004</v>
      </c>
      <c r="S786" t="s">
        <v>7188</v>
      </c>
      <c r="T786" t="s">
        <v>12802</v>
      </c>
      <c r="U786" t="s">
        <v>12802</v>
      </c>
      <c r="V786" t="s">
        <v>12802</v>
      </c>
      <c r="W786" t="s">
        <v>13576</v>
      </c>
      <c r="X786">
        <v>9</v>
      </c>
      <c r="Y786" t="s">
        <v>19897</v>
      </c>
      <c r="Z786" t="s">
        <v>26104</v>
      </c>
      <c r="AA786">
        <v>0.49005519160823269</v>
      </c>
      <c r="AB786" t="str">
        <f>HYPERLINK("Melting_Curves/meltCurve_F8VZ44_AAAS.pdf", "Melting_Curves/meltCurve_F8VZ44_AAAS.pdf")</f>
        <v>Melting_Curves/meltCurve_F8VZ44_AAAS.pdf</v>
      </c>
    </row>
    <row r="787" spans="1:28" x14ac:dyDescent="0.25">
      <c r="A787" t="s">
        <v>791</v>
      </c>
      <c r="B787">
        <v>0.99542014353169495</v>
      </c>
      <c r="C787">
        <v>1.0361821482109901</v>
      </c>
      <c r="D787">
        <v>0.95527515295268095</v>
      </c>
      <c r="E787">
        <v>0.88787884652907501</v>
      </c>
      <c r="F787">
        <v>0.81932089893639504</v>
      </c>
      <c r="G787">
        <v>0.648692978815535</v>
      </c>
      <c r="H787">
        <v>0.43535022780364202</v>
      </c>
      <c r="I787">
        <v>0.403642642630473</v>
      </c>
      <c r="J787">
        <v>0.73548607331590599</v>
      </c>
      <c r="K787">
        <v>0.884505216353771</v>
      </c>
      <c r="L787">
        <v>1365.6730262788799</v>
      </c>
      <c r="M787">
        <v>27.649002910407798</v>
      </c>
      <c r="O787">
        <v>49.1370175942278</v>
      </c>
      <c r="P787">
        <v>-5.3762617008549E-2</v>
      </c>
      <c r="Q787">
        <v>0.61782206023811703</v>
      </c>
      <c r="R787">
        <v>0.60621541634480902</v>
      </c>
      <c r="S787" t="s">
        <v>7189</v>
      </c>
      <c r="T787" t="s">
        <v>12802</v>
      </c>
      <c r="U787" t="s">
        <v>12802</v>
      </c>
      <c r="V787" t="s">
        <v>12802</v>
      </c>
      <c r="W787" t="s">
        <v>13577</v>
      </c>
      <c r="X787">
        <v>1</v>
      </c>
      <c r="Y787" t="s">
        <v>19898</v>
      </c>
      <c r="Z787" t="s">
        <v>26105</v>
      </c>
      <c r="AA787">
        <v>0.77842993935748317</v>
      </c>
      <c r="AB787" t="str">
        <f>HYPERLINK("Melting_Curves/meltCurve_F8VZH8_UNC13A.pdf", "Melting_Curves/meltCurve_F8VZH8_UNC13A.pdf")</f>
        <v>Melting_Curves/meltCurve_F8VZH8_UNC13A.pdf</v>
      </c>
    </row>
    <row r="788" spans="1:28" x14ac:dyDescent="0.25">
      <c r="A788" t="s">
        <v>792</v>
      </c>
      <c r="B788">
        <v>0.99542014353169495</v>
      </c>
      <c r="C788">
        <v>1.0313069064557101</v>
      </c>
      <c r="D788">
        <v>0.90072891908225805</v>
      </c>
      <c r="E788">
        <v>0.90611345126567999</v>
      </c>
      <c r="F788">
        <v>0.72808047825092703</v>
      </c>
      <c r="G788">
        <v>0.63637699291181304</v>
      </c>
      <c r="H788">
        <v>0.46977366028397899</v>
      </c>
      <c r="I788">
        <v>0.49372431726969501</v>
      </c>
      <c r="J788">
        <v>0.82393251912603405</v>
      </c>
      <c r="K788">
        <v>0.85565666694510001</v>
      </c>
      <c r="L788">
        <v>1497.4751090674999</v>
      </c>
      <c r="M788">
        <v>31.344244502252</v>
      </c>
      <c r="O788">
        <v>47.581924258821097</v>
      </c>
      <c r="P788">
        <v>-5.6683155912237201E-2</v>
      </c>
      <c r="Q788">
        <v>0.655811946590515</v>
      </c>
      <c r="R788">
        <v>0.59907812638917202</v>
      </c>
      <c r="S788" t="s">
        <v>7190</v>
      </c>
      <c r="T788" t="s">
        <v>12802</v>
      </c>
      <c r="U788" t="s">
        <v>12802</v>
      </c>
      <c r="V788" t="s">
        <v>12802</v>
      </c>
      <c r="W788" t="s">
        <v>13578</v>
      </c>
      <c r="X788">
        <v>6</v>
      </c>
      <c r="Y788" t="s">
        <v>19899</v>
      </c>
      <c r="Z788" t="s">
        <v>26106</v>
      </c>
      <c r="AA788">
        <v>0.78129271647495269</v>
      </c>
      <c r="AB788" t="str">
        <f>HYPERLINK("Melting_Curves/meltCurve_F8VZJ2_NACA.pdf", "Melting_Curves/meltCurve_F8VZJ2_NACA.pdf")</f>
        <v>Melting_Curves/meltCurve_F8VZJ2_NACA.pdf</v>
      </c>
    </row>
    <row r="789" spans="1:28" x14ac:dyDescent="0.25">
      <c r="A789" t="s">
        <v>793</v>
      </c>
      <c r="B789">
        <v>0.99542014353169495</v>
      </c>
      <c r="C789">
        <v>0.97933915741825095</v>
      </c>
      <c r="D789">
        <v>0.95723319824103503</v>
      </c>
      <c r="E789">
        <v>0.711414376894004</v>
      </c>
      <c r="F789">
        <v>0.60835424921484105</v>
      </c>
      <c r="G789">
        <v>0.41667356770127001</v>
      </c>
      <c r="H789">
        <v>0.34289666190079798</v>
      </c>
      <c r="I789">
        <v>0.29004050102358298</v>
      </c>
      <c r="J789">
        <v>0.39376795969870898</v>
      </c>
      <c r="K789">
        <v>0.63205631324523404</v>
      </c>
      <c r="L789">
        <v>1027.1513162541901</v>
      </c>
      <c r="M789">
        <v>21.7547786271526</v>
      </c>
      <c r="N789">
        <v>51.329994681255599</v>
      </c>
      <c r="O789">
        <v>46.8214521110039</v>
      </c>
      <c r="P789">
        <v>-6.8233688689320393E-2</v>
      </c>
      <c r="Q789">
        <v>0.412593259715061</v>
      </c>
      <c r="R789">
        <v>0.88225212584766799</v>
      </c>
      <c r="S789" t="s">
        <v>7191</v>
      </c>
      <c r="T789" t="s">
        <v>12802</v>
      </c>
      <c r="U789" t="s">
        <v>12802</v>
      </c>
      <c r="V789" t="s">
        <v>12802</v>
      </c>
      <c r="W789" t="s">
        <v>13579</v>
      </c>
      <c r="X789">
        <v>5</v>
      </c>
      <c r="Y789" t="s">
        <v>19900</v>
      </c>
      <c r="Z789" t="s">
        <v>26107</v>
      </c>
      <c r="AA789">
        <v>0.61913127308459437</v>
      </c>
      <c r="AB789" t="str">
        <f>HYPERLINK("Melting_Curves/meltCurve_F8W0Q9_PPHLN1.pdf", "Melting_Curves/meltCurve_F8W0Q9_PPHLN1.pdf")</f>
        <v>Melting_Curves/meltCurve_F8W0Q9_PPHLN1.pdf</v>
      </c>
    </row>
    <row r="790" spans="1:28" x14ac:dyDescent="0.25">
      <c r="A790" t="s">
        <v>794</v>
      </c>
      <c r="B790">
        <v>0.99542014353169495</v>
      </c>
      <c r="C790">
        <v>0.88336056532248097</v>
      </c>
      <c r="D790">
        <v>0.76785409337074595</v>
      </c>
      <c r="E790">
        <v>0.32558872874251998</v>
      </c>
      <c r="F790">
        <v>0.22240286785600699</v>
      </c>
      <c r="G790">
        <v>0.14261999832606301</v>
      </c>
      <c r="H790">
        <v>0.107614390322994</v>
      </c>
      <c r="I790">
        <v>8.9563651631031305E-2</v>
      </c>
      <c r="J790">
        <v>0.10409517739490901</v>
      </c>
      <c r="K790">
        <v>0.15263783566511399</v>
      </c>
      <c r="L790">
        <v>966.36433387173804</v>
      </c>
      <c r="M790">
        <v>21.670902170878101</v>
      </c>
      <c r="N790">
        <v>45.139092139935101</v>
      </c>
      <c r="O790">
        <v>44.218211630173798</v>
      </c>
      <c r="P790">
        <v>-0.108390163346025</v>
      </c>
      <c r="Q790">
        <v>0.115365864821457</v>
      </c>
      <c r="R790">
        <v>0.99146038384449398</v>
      </c>
      <c r="S790" t="s">
        <v>7192</v>
      </c>
      <c r="T790" t="s">
        <v>12802</v>
      </c>
      <c r="U790" t="s">
        <v>12802</v>
      </c>
      <c r="V790" t="s">
        <v>12802</v>
      </c>
      <c r="W790" t="s">
        <v>13580</v>
      </c>
      <c r="X790">
        <v>2</v>
      </c>
      <c r="Y790" t="s">
        <v>19901</v>
      </c>
      <c r="Z790" t="s">
        <v>26108</v>
      </c>
      <c r="AA790">
        <v>0.34909938884702618</v>
      </c>
      <c r="AB790" t="str">
        <f>HYPERLINK("Melting_Curves/meltCurve_F8W108_ARID2.pdf", "Melting_Curves/meltCurve_F8W108_ARID2.pdf")</f>
        <v>Melting_Curves/meltCurve_F8W108_ARID2.pdf</v>
      </c>
    </row>
    <row r="791" spans="1:28" x14ac:dyDescent="0.25">
      <c r="A791" t="s">
        <v>795</v>
      </c>
      <c r="B791">
        <v>0.99542014353169495</v>
      </c>
      <c r="C791">
        <v>0.93731342495706604</v>
      </c>
      <c r="D791">
        <v>0.60826327526170898</v>
      </c>
      <c r="E791">
        <v>0.39601275564515398</v>
      </c>
      <c r="F791">
        <v>0.23298239439048701</v>
      </c>
      <c r="G791">
        <v>0.17845418338153299</v>
      </c>
      <c r="H791">
        <v>9.5181051827988195E-2</v>
      </c>
      <c r="I791">
        <v>5.8284443613864499E-2</v>
      </c>
      <c r="J791">
        <v>8.6800964816494103E-2</v>
      </c>
      <c r="K791">
        <v>9.1484990919161194E-2</v>
      </c>
      <c r="L791">
        <v>710.28773790391199</v>
      </c>
      <c r="M791">
        <v>15.9449584885982</v>
      </c>
      <c r="N791">
        <v>45.058748420297199</v>
      </c>
      <c r="O791">
        <v>43.863242076335801</v>
      </c>
      <c r="P791">
        <v>-8.3348446684614594E-2</v>
      </c>
      <c r="Q791">
        <v>8.2935093915062194E-2</v>
      </c>
      <c r="R791">
        <v>0.989633709600099</v>
      </c>
      <c r="S791" t="s">
        <v>7193</v>
      </c>
      <c r="T791" t="s">
        <v>12802</v>
      </c>
      <c r="U791" t="s">
        <v>12802</v>
      </c>
      <c r="V791" t="s">
        <v>12802</v>
      </c>
      <c r="W791" t="s">
        <v>13581</v>
      </c>
      <c r="X791">
        <v>5</v>
      </c>
      <c r="Y791" t="s">
        <v>19902</v>
      </c>
      <c r="Z791" t="s">
        <v>26109</v>
      </c>
      <c r="AA791">
        <v>0.33320176776382487</v>
      </c>
      <c r="AB791" t="str">
        <f>HYPERLINK("Melting_Curves/meltCurve_F8W1N9_NFE2.pdf", "Melting_Curves/meltCurve_F8W1N9_NFE2.pdf")</f>
        <v>Melting_Curves/meltCurve_F8W1N9_NFE2.pdf</v>
      </c>
    </row>
    <row r="792" spans="1:28" x14ac:dyDescent="0.25">
      <c r="A792" t="s">
        <v>796</v>
      </c>
      <c r="B792">
        <v>0.99542014353169495</v>
      </c>
      <c r="C792">
        <v>0.91813666878203104</v>
      </c>
      <c r="D792">
        <v>0.78161899933645995</v>
      </c>
      <c r="E792">
        <v>0.63965709181830699</v>
      </c>
      <c r="F792">
        <v>0.47629338542361499</v>
      </c>
      <c r="G792">
        <v>0.30037083126896502</v>
      </c>
      <c r="H792">
        <v>0.17729639501202099</v>
      </c>
      <c r="I792">
        <v>0.121272119806631</v>
      </c>
      <c r="J792">
        <v>0.124265006747311</v>
      </c>
      <c r="K792">
        <v>0.18456523413982701</v>
      </c>
      <c r="L792">
        <v>551.595807889355</v>
      </c>
      <c r="M792">
        <v>11.447782078499401</v>
      </c>
      <c r="N792">
        <v>49.000139944535398</v>
      </c>
      <c r="O792">
        <v>46.783654219700999</v>
      </c>
      <c r="P792">
        <v>-5.5878274495040701E-2</v>
      </c>
      <c r="Q792">
        <v>8.6833148823250494E-2</v>
      </c>
      <c r="R792">
        <v>0.99026352830351405</v>
      </c>
      <c r="S792" t="s">
        <v>7194</v>
      </c>
      <c r="T792" t="s">
        <v>12802</v>
      </c>
      <c r="U792" t="s">
        <v>12802</v>
      </c>
      <c r="V792" t="s">
        <v>12802</v>
      </c>
      <c r="W792" t="s">
        <v>13582</v>
      </c>
      <c r="X792">
        <v>5</v>
      </c>
      <c r="Y792" t="s">
        <v>19903</v>
      </c>
      <c r="Z792" t="s">
        <v>26110</v>
      </c>
      <c r="AA792">
        <v>0.45752968677620182</v>
      </c>
      <c r="AB792" t="str">
        <f>HYPERLINK("Melting_Curves/meltCurve_F8W689_RFX5.pdf", "Melting_Curves/meltCurve_F8W689_RFX5.pdf")</f>
        <v>Melting_Curves/meltCurve_F8W689_RFX5.pdf</v>
      </c>
    </row>
    <row r="793" spans="1:28" x14ac:dyDescent="0.25">
      <c r="A793" t="s">
        <v>797</v>
      </c>
      <c r="B793">
        <v>0.99542014353169495</v>
      </c>
      <c r="C793">
        <v>0.95803628278096897</v>
      </c>
      <c r="D793">
        <v>1.0267559170243299</v>
      </c>
      <c r="E793">
        <v>1.0041058103973799</v>
      </c>
      <c r="F793">
        <v>0.62833384219514898</v>
      </c>
      <c r="G793">
        <v>0.28230880608544701</v>
      </c>
      <c r="H793">
        <v>0.135706088054729</v>
      </c>
      <c r="I793">
        <v>0.10645611117405999</v>
      </c>
      <c r="J793">
        <v>0.124904436657369</v>
      </c>
      <c r="K793">
        <v>0.151340417392794</v>
      </c>
      <c r="L793">
        <v>1648.2708094636</v>
      </c>
      <c r="M793">
        <v>32.426620833925803</v>
      </c>
      <c r="N793">
        <v>51.297859588245302</v>
      </c>
      <c r="O793">
        <v>50.638622209942604</v>
      </c>
      <c r="P793">
        <v>-0.139625621600414</v>
      </c>
      <c r="Q793">
        <v>0.12782549742031199</v>
      </c>
      <c r="R793">
        <v>0.99515278137640595</v>
      </c>
      <c r="S793" t="s">
        <v>7195</v>
      </c>
      <c r="T793" t="s">
        <v>12802</v>
      </c>
      <c r="U793" t="s">
        <v>12802</v>
      </c>
      <c r="V793" t="s">
        <v>12802</v>
      </c>
      <c r="W793" t="s">
        <v>13583</v>
      </c>
      <c r="X793">
        <v>15</v>
      </c>
      <c r="Y793" t="s">
        <v>19904</v>
      </c>
      <c r="Z793" t="s">
        <v>26111</v>
      </c>
      <c r="AA793">
        <v>0.53457283064990035</v>
      </c>
      <c r="AB793" t="str">
        <f>HYPERLINK("Melting_Curves/meltCurve_F8W6I7_HNRNPA1.pdf", "Melting_Curves/meltCurve_F8W6I7_HNRNPA1.pdf")</f>
        <v>Melting_Curves/meltCurve_F8W6I7_HNRNPA1.pdf</v>
      </c>
    </row>
    <row r="794" spans="1:28" x14ac:dyDescent="0.25">
      <c r="A794" t="s">
        <v>798</v>
      </c>
      <c r="B794">
        <v>0.99542014353169495</v>
      </c>
      <c r="C794">
        <v>0.84382054514453597</v>
      </c>
      <c r="D794">
        <v>0.20753824143036001</v>
      </c>
      <c r="E794">
        <v>0.16619875193369099</v>
      </c>
      <c r="F794">
        <v>9.2804145424988493E-2</v>
      </c>
      <c r="G794">
        <v>0.16067823221164401</v>
      </c>
      <c r="H794">
        <v>8.1358261324480097E-2</v>
      </c>
      <c r="I794">
        <v>6.0337785154774698E-2</v>
      </c>
      <c r="J794">
        <v>0.14945786697285299</v>
      </c>
      <c r="K794">
        <v>0.26235838246748699</v>
      </c>
      <c r="L794">
        <v>2174.09636212243</v>
      </c>
      <c r="M794">
        <v>52.983978474489099</v>
      </c>
      <c r="N794">
        <v>41.286135712805098</v>
      </c>
      <c r="O794">
        <v>40.974766710157603</v>
      </c>
      <c r="P794">
        <v>-0.27845261214991601</v>
      </c>
      <c r="Q794">
        <v>0.138643625060548</v>
      </c>
      <c r="R794">
        <v>0.97181765182611102</v>
      </c>
      <c r="S794" t="s">
        <v>7196</v>
      </c>
      <c r="T794" t="s">
        <v>12802</v>
      </c>
      <c r="U794" t="s">
        <v>12802</v>
      </c>
      <c r="V794" t="s">
        <v>12802</v>
      </c>
      <c r="W794" t="s">
        <v>13584</v>
      </c>
      <c r="X794">
        <v>2</v>
      </c>
      <c r="Y794" t="s">
        <v>19905</v>
      </c>
      <c r="Z794" t="s">
        <v>26112</v>
      </c>
      <c r="AA794">
        <v>0.25588294541062451</v>
      </c>
      <c r="AB794" t="str">
        <f>HYPERLINK("Melting_Curves/meltCurve_F8W6M3_ZDHHC3.pdf", "Melting_Curves/meltCurve_F8W6M3_ZDHHC3.pdf")</f>
        <v>Melting_Curves/meltCurve_F8W6M3_ZDHHC3.pdf</v>
      </c>
    </row>
    <row r="795" spans="1:28" x14ac:dyDescent="0.25">
      <c r="A795" t="s">
        <v>799</v>
      </c>
      <c r="B795">
        <v>0.99542014353169495</v>
      </c>
      <c r="C795">
        <v>0.93243836186838303</v>
      </c>
      <c r="D795">
        <v>0.80350429817536495</v>
      </c>
      <c r="E795">
        <v>0.59098753841959595</v>
      </c>
      <c r="F795">
        <v>0.40730345278385799</v>
      </c>
      <c r="G795">
        <v>0.19023161904088701</v>
      </c>
      <c r="H795">
        <v>7.8802754882529094E-2</v>
      </c>
      <c r="I795">
        <v>5.0356178034570903E-2</v>
      </c>
      <c r="J795">
        <v>6.6184341663783397E-2</v>
      </c>
      <c r="K795">
        <v>9.0392627041418996E-2</v>
      </c>
      <c r="L795">
        <v>641.48625313505704</v>
      </c>
      <c r="M795">
        <v>13.418551176649199</v>
      </c>
      <c r="N795">
        <v>48.000381601669297</v>
      </c>
      <c r="O795">
        <v>46.781627790689001</v>
      </c>
      <c r="P795">
        <v>-6.9822322493876099E-2</v>
      </c>
      <c r="Q795">
        <v>2.64546809298426E-2</v>
      </c>
      <c r="R795">
        <v>0.99450516708404202</v>
      </c>
      <c r="S795" t="s">
        <v>7197</v>
      </c>
      <c r="T795" t="s">
        <v>12802</v>
      </c>
      <c r="U795" t="s">
        <v>12802</v>
      </c>
      <c r="V795" t="s">
        <v>12802</v>
      </c>
      <c r="W795" t="s">
        <v>13585</v>
      </c>
      <c r="X795">
        <v>6</v>
      </c>
      <c r="Y795" t="s">
        <v>19906</v>
      </c>
      <c r="Z795" t="s">
        <v>26113</v>
      </c>
      <c r="AA795">
        <v>0.4030137637844578</v>
      </c>
      <c r="AB795" t="str">
        <f>HYPERLINK("Melting_Curves/meltCurve_F8W6N3_BAP1.pdf", "Melting_Curves/meltCurve_F8W6N3_BAP1.pdf")</f>
        <v>Melting_Curves/meltCurve_F8W6N3_BAP1.pdf</v>
      </c>
    </row>
    <row r="796" spans="1:28" x14ac:dyDescent="0.25">
      <c r="A796" t="s">
        <v>800</v>
      </c>
      <c r="B796">
        <v>0.99542014353169495</v>
      </c>
      <c r="C796">
        <v>1.0807402538916899</v>
      </c>
      <c r="D796">
        <v>0.90626960572182902</v>
      </c>
      <c r="E796">
        <v>0.67064486398369905</v>
      </c>
      <c r="F796">
        <v>0.246177695030111</v>
      </c>
      <c r="G796">
        <v>0.122199115075452</v>
      </c>
      <c r="H796">
        <v>0.108792337853984</v>
      </c>
      <c r="I796">
        <v>0.10616306824318</v>
      </c>
      <c r="J796">
        <v>9.0040064772116193E-2</v>
      </c>
      <c r="K796">
        <v>0.19524299229036299</v>
      </c>
      <c r="L796">
        <v>1409.06125348876</v>
      </c>
      <c r="M796">
        <v>29.789019224453199</v>
      </c>
      <c r="N796">
        <v>47.734079954639903</v>
      </c>
      <c r="O796">
        <v>47.089711288107303</v>
      </c>
      <c r="P796">
        <v>-0.139437925577683</v>
      </c>
      <c r="Q796">
        <v>0.118325980503433</v>
      </c>
      <c r="R796">
        <v>0.98860037148881297</v>
      </c>
      <c r="S796" t="s">
        <v>7198</v>
      </c>
      <c r="T796" t="s">
        <v>12802</v>
      </c>
      <c r="U796" t="s">
        <v>12802</v>
      </c>
      <c r="V796" t="s">
        <v>12802</v>
      </c>
      <c r="W796" t="s">
        <v>13586</v>
      </c>
      <c r="X796">
        <v>3</v>
      </c>
      <c r="Y796" t="s">
        <v>19907</v>
      </c>
      <c r="Z796" t="s">
        <v>26114</v>
      </c>
      <c r="AA796">
        <v>0.42630165010328602</v>
      </c>
      <c r="AB796" t="str">
        <f>HYPERLINK("Melting_Curves/meltCurve_F8W6N8_TRIM5.pdf", "Melting_Curves/meltCurve_F8W6N8_TRIM5.pdf")</f>
        <v>Melting_Curves/meltCurve_F8W6N8_TRIM5.pdf</v>
      </c>
    </row>
    <row r="797" spans="1:28" x14ac:dyDescent="0.25">
      <c r="A797" t="s">
        <v>801</v>
      </c>
      <c r="B797">
        <v>0.99542014353169495</v>
      </c>
      <c r="C797">
        <v>1.1000093506070701</v>
      </c>
      <c r="D797">
        <v>0.84184971289129695</v>
      </c>
      <c r="E797">
        <v>0.78151427570262899</v>
      </c>
      <c r="F797">
        <v>0.70495982245467603</v>
      </c>
      <c r="G797">
        <v>0.44033515692290998</v>
      </c>
      <c r="H797">
        <v>0.311562375448594</v>
      </c>
      <c r="I797">
        <v>0.20874193244863101</v>
      </c>
      <c r="J797">
        <v>0.23452797611482901</v>
      </c>
      <c r="K797">
        <v>0.201296876902685</v>
      </c>
      <c r="L797">
        <v>641.33106739322</v>
      </c>
      <c r="M797">
        <v>12.469332296364</v>
      </c>
      <c r="N797">
        <v>52.8443172474134</v>
      </c>
      <c r="O797">
        <v>50.1635668266454</v>
      </c>
      <c r="P797">
        <v>-5.3351847648876002E-2</v>
      </c>
      <c r="Q797">
        <v>0.14164966823703701</v>
      </c>
      <c r="R797">
        <v>0.96993493801585795</v>
      </c>
      <c r="S797" t="s">
        <v>7199</v>
      </c>
      <c r="T797" t="s">
        <v>12802</v>
      </c>
      <c r="U797" t="s">
        <v>12802</v>
      </c>
      <c r="V797" t="s">
        <v>12802</v>
      </c>
      <c r="W797" t="s">
        <v>13587</v>
      </c>
      <c r="X797">
        <v>1</v>
      </c>
      <c r="Y797" t="s">
        <v>19908</v>
      </c>
      <c r="Z797" t="s">
        <v>26115</v>
      </c>
      <c r="AA797">
        <v>0.57536985159640663</v>
      </c>
      <c r="AB797" t="str">
        <f>HYPERLINK("Melting_Curves/meltCurve_F8W782_ADIPOR1.pdf", "Melting_Curves/meltCurve_F8W782_ADIPOR1.pdf")</f>
        <v>Melting_Curves/meltCurve_F8W782_ADIPOR1.pdf</v>
      </c>
    </row>
    <row r="798" spans="1:28" x14ac:dyDescent="0.25">
      <c r="A798" t="s">
        <v>802</v>
      </c>
      <c r="B798">
        <v>0.99542014353169495</v>
      </c>
      <c r="C798">
        <v>0.89373850802241195</v>
      </c>
      <c r="D798">
        <v>0.85307061804367601</v>
      </c>
      <c r="E798">
        <v>0.69259529283292298</v>
      </c>
      <c r="F798">
        <v>0.70932621053977296</v>
      </c>
      <c r="G798">
        <v>0.41784054076986399</v>
      </c>
      <c r="H798">
        <v>0.75162516118454603</v>
      </c>
      <c r="I798">
        <v>1.12473535650613</v>
      </c>
      <c r="J798">
        <v>1.2477394221211699</v>
      </c>
      <c r="K798">
        <v>1.59083952497224</v>
      </c>
      <c r="L798">
        <v>3876.2399705262701</v>
      </c>
      <c r="M798">
        <v>60.803455663166801</v>
      </c>
      <c r="O798">
        <v>63.681448734236497</v>
      </c>
      <c r="P798">
        <v>0.11935080153334</v>
      </c>
      <c r="Q798">
        <v>1.5</v>
      </c>
      <c r="R798">
        <v>0.35411984647692801</v>
      </c>
      <c r="S798" t="s">
        <v>7200</v>
      </c>
      <c r="T798" t="s">
        <v>12802</v>
      </c>
      <c r="U798" t="s">
        <v>12802</v>
      </c>
      <c r="V798" t="s">
        <v>12802</v>
      </c>
      <c r="W798" t="s">
        <v>13588</v>
      </c>
      <c r="X798">
        <v>1</v>
      </c>
      <c r="Y798" t="s">
        <v>19909</v>
      </c>
      <c r="Z798" t="s">
        <v>26116</v>
      </c>
      <c r="AA798">
        <v>1.054234187752829</v>
      </c>
      <c r="AB798" t="str">
        <f>HYPERLINK("Melting_Curves/meltCurve_F8W7A7_CCDC178.pdf", "Melting_Curves/meltCurve_F8W7A7_CCDC178.pdf")</f>
        <v>Melting_Curves/meltCurve_F8W7A7_CCDC178.pdf</v>
      </c>
    </row>
    <row r="799" spans="1:28" x14ac:dyDescent="0.25">
      <c r="A799" t="s">
        <v>803</v>
      </c>
      <c r="B799">
        <v>0.99542014353169495</v>
      </c>
      <c r="C799">
        <v>0.94118523530234499</v>
      </c>
      <c r="D799">
        <v>1.0198694091048801</v>
      </c>
      <c r="E799">
        <v>0.75796341885403196</v>
      </c>
      <c r="F799">
        <v>0.69126078657592505</v>
      </c>
      <c r="G799">
        <v>0.278568607414511</v>
      </c>
      <c r="H799">
        <v>0.25632565082838399</v>
      </c>
      <c r="I799">
        <v>0.20946161405128799</v>
      </c>
      <c r="J799">
        <v>4.8969152844815997E-2</v>
      </c>
      <c r="K799">
        <v>5.2552277436327802E-2</v>
      </c>
      <c r="L799">
        <v>732.84811535731205</v>
      </c>
      <c r="M799">
        <v>14.2220047093186</v>
      </c>
      <c r="N799">
        <v>51.810270392720803</v>
      </c>
      <c r="O799">
        <v>50.542492455423996</v>
      </c>
      <c r="P799">
        <v>-6.7743220043318994E-2</v>
      </c>
      <c r="Q799">
        <v>3.7130070834961497E-2</v>
      </c>
      <c r="R799">
        <v>0.97269796482990101</v>
      </c>
      <c r="S799" t="s">
        <v>7201</v>
      </c>
      <c r="T799" t="s">
        <v>12802</v>
      </c>
      <c r="U799" t="s">
        <v>12802</v>
      </c>
      <c r="V799" t="s">
        <v>12802</v>
      </c>
      <c r="W799" t="s">
        <v>13589</v>
      </c>
      <c r="X799">
        <v>7</v>
      </c>
      <c r="Y799" t="s">
        <v>19910</v>
      </c>
      <c r="Z799" t="s">
        <v>26117</v>
      </c>
      <c r="AA799">
        <v>0.52359728341750844</v>
      </c>
      <c r="AB799" t="str">
        <f>HYPERLINK("Melting_Curves/meltCurve_F8W7D6_GPHN.pdf", "Melting_Curves/meltCurve_F8W7D6_GPHN.pdf")</f>
        <v>Melting_Curves/meltCurve_F8W7D6_GPHN.pdf</v>
      </c>
    </row>
    <row r="800" spans="1:28" x14ac:dyDescent="0.25">
      <c r="A800" t="s">
        <v>804</v>
      </c>
      <c r="B800">
        <v>0.99542014353169495</v>
      </c>
      <c r="C800">
        <v>0.85798800319688695</v>
      </c>
      <c r="D800">
        <v>0.94274504336815301</v>
      </c>
      <c r="E800">
        <v>0.69585542710296999</v>
      </c>
      <c r="F800">
        <v>0.53967378469485405</v>
      </c>
      <c r="G800">
        <v>0.31673903447380197</v>
      </c>
      <c r="H800">
        <v>0.17309267811579601</v>
      </c>
      <c r="I800">
        <v>0.121026566659215</v>
      </c>
      <c r="J800">
        <v>0.17683651540570899</v>
      </c>
      <c r="K800">
        <v>0.154325786661237</v>
      </c>
      <c r="L800">
        <v>679.78222742310095</v>
      </c>
      <c r="M800">
        <v>13.7859529967517</v>
      </c>
      <c r="N800">
        <v>50.157681976585401</v>
      </c>
      <c r="O800">
        <v>48.3069545092957</v>
      </c>
      <c r="P800">
        <v>-6.3938733401866496E-2</v>
      </c>
      <c r="Q800">
        <v>0.103942549871156</v>
      </c>
      <c r="R800">
        <v>0.97998928859176904</v>
      </c>
      <c r="S800" t="s">
        <v>7202</v>
      </c>
      <c r="T800" t="s">
        <v>12802</v>
      </c>
      <c r="U800" t="s">
        <v>12802</v>
      </c>
      <c r="V800" t="s">
        <v>12802</v>
      </c>
      <c r="W800" t="s">
        <v>13590</v>
      </c>
      <c r="X800">
        <v>1</v>
      </c>
      <c r="Y800" t="s">
        <v>19911</v>
      </c>
      <c r="Z800" t="s">
        <v>26118</v>
      </c>
      <c r="AA800">
        <v>0.49329121077905819</v>
      </c>
      <c r="AB800" t="str">
        <f>HYPERLINK("Melting_Curves/meltCurve_F8W7G7_FN1.pdf", "Melting_Curves/meltCurve_F8W7G7_FN1.pdf")</f>
        <v>Melting_Curves/meltCurve_F8W7G7_FN1.pdf</v>
      </c>
    </row>
    <row r="801" spans="1:28" x14ac:dyDescent="0.25">
      <c r="A801" t="s">
        <v>805</v>
      </c>
      <c r="B801">
        <v>0.99542014353169495</v>
      </c>
      <c r="C801">
        <v>1.1004784865413799</v>
      </c>
      <c r="D801">
        <v>1.0475474490824801</v>
      </c>
      <c r="E801">
        <v>0.877436490359356</v>
      </c>
      <c r="F801">
        <v>0.80649931753988702</v>
      </c>
      <c r="G801">
        <v>0.56148257493070997</v>
      </c>
      <c r="H801">
        <v>0.39420052534384098</v>
      </c>
      <c r="I801">
        <v>0.37522112939149599</v>
      </c>
      <c r="J801">
        <v>0.43328477441916302</v>
      </c>
      <c r="K801">
        <v>0.39705371619261698</v>
      </c>
      <c r="L801">
        <v>1181.0533639919199</v>
      </c>
      <c r="M801">
        <v>22.942450895370499</v>
      </c>
      <c r="N801">
        <v>54.982975963900302</v>
      </c>
      <c r="O801">
        <v>51.092641430936503</v>
      </c>
      <c r="P801">
        <v>-6.9138878198459805E-2</v>
      </c>
      <c r="Q801">
        <v>0.38412505911320899</v>
      </c>
      <c r="R801">
        <v>0.97030036183693003</v>
      </c>
      <c r="S801" t="s">
        <v>7203</v>
      </c>
      <c r="T801" t="s">
        <v>12802</v>
      </c>
      <c r="U801" t="s">
        <v>12802</v>
      </c>
      <c r="V801" t="s">
        <v>12802</v>
      </c>
      <c r="W801" t="s">
        <v>13591</v>
      </c>
      <c r="X801">
        <v>2</v>
      </c>
      <c r="Y801" t="s">
        <v>19912</v>
      </c>
      <c r="Z801" t="s">
        <v>26119</v>
      </c>
      <c r="AA801">
        <v>0.68772300788056528</v>
      </c>
      <c r="AB801" t="str">
        <f>HYPERLINK("Melting_Curves/meltCurve_F8W7Q4_FAM162A.pdf", "Melting_Curves/meltCurve_F8W7Q4_FAM162A.pdf")</f>
        <v>Melting_Curves/meltCurve_F8W7Q4_FAM162A.pdf</v>
      </c>
    </row>
    <row r="802" spans="1:28" x14ac:dyDescent="0.25">
      <c r="A802" t="s">
        <v>806</v>
      </c>
      <c r="B802">
        <v>0.99542014353169495</v>
      </c>
      <c r="C802">
        <v>0.93309354093825903</v>
      </c>
      <c r="D802">
        <v>0.82077298795766496</v>
      </c>
      <c r="E802">
        <v>0.68319471117415098</v>
      </c>
      <c r="F802">
        <v>0.403267830346554</v>
      </c>
      <c r="G802">
        <v>0.22768352579214199</v>
      </c>
      <c r="H802">
        <v>0.145299827647103</v>
      </c>
      <c r="I802">
        <v>0.120078137190215</v>
      </c>
      <c r="J802">
        <v>0.15874192519310401</v>
      </c>
      <c r="K802">
        <v>0.17081903134331899</v>
      </c>
      <c r="L802">
        <v>738.41187694095197</v>
      </c>
      <c r="M802">
        <v>15.4771226133191</v>
      </c>
      <c r="N802">
        <v>48.563236465992901</v>
      </c>
      <c r="O802">
        <v>46.934691881835398</v>
      </c>
      <c r="P802">
        <v>-7.2631103812179701E-2</v>
      </c>
      <c r="Q802">
        <v>0.119057474618873</v>
      </c>
      <c r="R802">
        <v>0.99196841620110099</v>
      </c>
      <c r="S802" t="s">
        <v>7204</v>
      </c>
      <c r="T802" t="s">
        <v>12802</v>
      </c>
      <c r="U802" t="s">
        <v>12802</v>
      </c>
      <c r="V802" t="s">
        <v>12802</v>
      </c>
      <c r="W802" t="s">
        <v>13592</v>
      </c>
      <c r="X802">
        <v>5</v>
      </c>
      <c r="Y802" t="s">
        <v>19913</v>
      </c>
      <c r="Z802" t="s">
        <v>26120</v>
      </c>
      <c r="AA802">
        <v>0.45204862647830779</v>
      </c>
      <c r="AB802" t="str">
        <f>HYPERLINK("Melting_Curves/meltCurve_F8W894_KANSL3.pdf", "Melting_Curves/meltCurve_F8W894_KANSL3.pdf")</f>
        <v>Melting_Curves/meltCurve_F8W894_KANSL3.pdf</v>
      </c>
    </row>
    <row r="803" spans="1:28" x14ac:dyDescent="0.25">
      <c r="A803" t="s">
        <v>807</v>
      </c>
      <c r="B803">
        <v>0.99542014353169495</v>
      </c>
      <c r="C803">
        <v>1.0099776971751799</v>
      </c>
      <c r="D803">
        <v>0.98013551662938403</v>
      </c>
      <c r="E803">
        <v>0.69127640742472796</v>
      </c>
      <c r="F803">
        <v>0.52683122867872301</v>
      </c>
      <c r="G803">
        <v>0.138075665655151</v>
      </c>
      <c r="H803">
        <v>6.0473323512752697E-2</v>
      </c>
      <c r="I803">
        <v>3.39821765328032E-2</v>
      </c>
      <c r="J803">
        <v>3.4968599126139303E-2</v>
      </c>
      <c r="K803">
        <v>2.57075397239705E-2</v>
      </c>
      <c r="L803">
        <v>913.68007559972898</v>
      </c>
      <c r="M803">
        <v>18.433048246520599</v>
      </c>
      <c r="N803">
        <v>49.587028739815302</v>
      </c>
      <c r="O803">
        <v>48.995165020219098</v>
      </c>
      <c r="P803">
        <v>-9.3719055490623399E-2</v>
      </c>
      <c r="Q803">
        <v>3.6212697343425901E-3</v>
      </c>
      <c r="R803">
        <v>0.98972476904036699</v>
      </c>
      <c r="S803" t="s">
        <v>7205</v>
      </c>
      <c r="T803" t="s">
        <v>12802</v>
      </c>
      <c r="U803" t="s">
        <v>12802</v>
      </c>
      <c r="V803" t="s">
        <v>12802</v>
      </c>
      <c r="W803" t="s">
        <v>13593</v>
      </c>
      <c r="X803">
        <v>2</v>
      </c>
      <c r="Y803" t="s">
        <v>19914</v>
      </c>
      <c r="Z803" t="s">
        <v>26121</v>
      </c>
      <c r="AA803">
        <v>0.43616526781639547</v>
      </c>
      <c r="AB803" t="str">
        <f>HYPERLINK("Melting_Curves/meltCurve_F8W8C2_VEZT.pdf", "Melting_Curves/meltCurve_F8W8C2_VEZT.pdf")</f>
        <v>Melting_Curves/meltCurve_F8W8C2_VEZT.pdf</v>
      </c>
    </row>
    <row r="804" spans="1:28" x14ac:dyDescent="0.25">
      <c r="A804" t="s">
        <v>808</v>
      </c>
      <c r="B804">
        <v>0.99542014353169495</v>
      </c>
      <c r="C804">
        <v>1.0023416674466901</v>
      </c>
      <c r="D804">
        <v>0.923647208522129</v>
      </c>
      <c r="E804">
        <v>0.60563010064415201</v>
      </c>
      <c r="F804">
        <v>0.29082289235546399</v>
      </c>
      <c r="G804">
        <v>0.15535160011031299</v>
      </c>
      <c r="H804">
        <v>9.3442225027469197E-2</v>
      </c>
      <c r="I804">
        <v>7.08820802820391E-2</v>
      </c>
      <c r="J804">
        <v>9.3632939175569599E-2</v>
      </c>
      <c r="K804">
        <v>0.119846866204602</v>
      </c>
      <c r="L804">
        <v>1073.04792363315</v>
      </c>
      <c r="M804">
        <v>22.708017337662501</v>
      </c>
      <c r="N804">
        <v>47.6789070026894</v>
      </c>
      <c r="O804">
        <v>46.892256987451098</v>
      </c>
      <c r="P804">
        <v>-0.10998052689063401</v>
      </c>
      <c r="Q804">
        <v>9.1574842806588105E-2</v>
      </c>
      <c r="R804">
        <v>0.99841412790696105</v>
      </c>
      <c r="S804" t="s">
        <v>7206</v>
      </c>
      <c r="T804" t="s">
        <v>12802</v>
      </c>
      <c r="U804" t="s">
        <v>12802</v>
      </c>
      <c r="V804" t="s">
        <v>12802</v>
      </c>
      <c r="W804" t="s">
        <v>13594</v>
      </c>
      <c r="X804">
        <v>10</v>
      </c>
      <c r="Y804" t="s">
        <v>19915</v>
      </c>
      <c r="Z804" t="s">
        <v>26122</v>
      </c>
      <c r="AA804">
        <v>0.41135463581137932</v>
      </c>
      <c r="AB804" t="str">
        <f>HYPERLINK("Melting_Curves/meltCurve_F8W8D3_SLBP.pdf", "Melting_Curves/meltCurve_F8W8D3_SLBP.pdf")</f>
        <v>Melting_Curves/meltCurve_F8W8D3_SLBP.pdf</v>
      </c>
    </row>
    <row r="805" spans="1:28" x14ac:dyDescent="0.25">
      <c r="A805" t="s">
        <v>809</v>
      </c>
      <c r="B805">
        <v>0.99542014353169495</v>
      </c>
      <c r="C805">
        <v>0.94737828102914901</v>
      </c>
      <c r="D805">
        <v>0.922857669865358</v>
      </c>
      <c r="E805">
        <v>0.83289816462018496</v>
      </c>
      <c r="F805">
        <v>0.69635761251081396</v>
      </c>
      <c r="G805">
        <v>0.48723592246714498</v>
      </c>
      <c r="H805">
        <v>0.31820032920913099</v>
      </c>
      <c r="I805">
        <v>0.24669761939618101</v>
      </c>
      <c r="J805">
        <v>0.23485868503695401</v>
      </c>
      <c r="K805">
        <v>0.146817607821526</v>
      </c>
      <c r="L805">
        <v>605.89471164560996</v>
      </c>
      <c r="M805">
        <v>11.512344212375799</v>
      </c>
      <c r="N805">
        <v>53.607066803604397</v>
      </c>
      <c r="O805">
        <v>51.117120850375699</v>
      </c>
      <c r="P805">
        <v>-5.0989689459540598E-2</v>
      </c>
      <c r="Q805">
        <v>9.4638400944051695E-2</v>
      </c>
      <c r="R805">
        <v>0.99565108823582105</v>
      </c>
      <c r="S805" t="s">
        <v>7207</v>
      </c>
      <c r="T805" t="s">
        <v>12802</v>
      </c>
      <c r="U805" t="s">
        <v>12802</v>
      </c>
      <c r="V805" t="s">
        <v>12802</v>
      </c>
      <c r="W805" t="s">
        <v>13595</v>
      </c>
      <c r="X805">
        <v>9</v>
      </c>
      <c r="Y805" t="s">
        <v>19916</v>
      </c>
      <c r="Z805" t="s">
        <v>26123</v>
      </c>
      <c r="AA805">
        <v>0.58685427662394196</v>
      </c>
      <c r="AB805" t="str">
        <f>HYPERLINK("Melting_Curves/meltCurve_F8W8H5_RAB24.pdf", "Melting_Curves/meltCurve_F8W8H5_RAB24.pdf")</f>
        <v>Melting_Curves/meltCurve_F8W8H5_RAB24.pdf</v>
      </c>
    </row>
    <row r="806" spans="1:28" x14ac:dyDescent="0.25">
      <c r="A806" t="s">
        <v>810</v>
      </c>
      <c r="B806">
        <v>0.99542014353169495</v>
      </c>
      <c r="C806">
        <v>1.00358889633656</v>
      </c>
      <c r="D806">
        <v>0.87740169667922496</v>
      </c>
      <c r="E806">
        <v>0.84922737529004599</v>
      </c>
      <c r="F806">
        <v>0.44361075551246998</v>
      </c>
      <c r="G806">
        <v>0.23834969993345401</v>
      </c>
      <c r="H806">
        <v>8.8111558523446501E-2</v>
      </c>
      <c r="I806">
        <v>5.0040654820302399E-2</v>
      </c>
      <c r="J806">
        <v>7.8088637566911395E-2</v>
      </c>
      <c r="K806">
        <v>6.4926647624839295E-2</v>
      </c>
      <c r="L806">
        <v>1012.9047594610699</v>
      </c>
      <c r="M806">
        <v>20.405003824569999</v>
      </c>
      <c r="N806">
        <v>49.901630835759299</v>
      </c>
      <c r="O806">
        <v>49.170625364110997</v>
      </c>
      <c r="P806">
        <v>-9.8486291745355697E-2</v>
      </c>
      <c r="Q806">
        <v>5.0725599563248097E-2</v>
      </c>
      <c r="R806">
        <v>0.99231211646682804</v>
      </c>
      <c r="S806" t="s">
        <v>7208</v>
      </c>
      <c r="T806" t="s">
        <v>12802</v>
      </c>
      <c r="U806" t="s">
        <v>12802</v>
      </c>
      <c r="V806" t="s">
        <v>12802</v>
      </c>
      <c r="W806" t="s">
        <v>13596</v>
      </c>
      <c r="X806">
        <v>9</v>
      </c>
      <c r="Y806" t="s">
        <v>19917</v>
      </c>
      <c r="Z806" t="s">
        <v>26124</v>
      </c>
      <c r="AA806">
        <v>0.46275645310068791</v>
      </c>
      <c r="AB806" t="str">
        <f>HYPERLINK("Melting_Curves/meltCurve_F8W8I6_TIA1.pdf", "Melting_Curves/meltCurve_F8W8I6_TIA1.pdf")</f>
        <v>Melting_Curves/meltCurve_F8W8I6_TIA1.pdf</v>
      </c>
    </row>
    <row r="807" spans="1:28" x14ac:dyDescent="0.25">
      <c r="A807" t="s">
        <v>811</v>
      </c>
      <c r="B807">
        <v>0.99542014353169495</v>
      </c>
      <c r="C807">
        <v>0.96428248266755201</v>
      </c>
      <c r="D807">
        <v>0.875805817419817</v>
      </c>
      <c r="E807">
        <v>0.53926134737314302</v>
      </c>
      <c r="F807">
        <v>0.25739035389412002</v>
      </c>
      <c r="G807">
        <v>0.146145861839417</v>
      </c>
      <c r="H807">
        <v>0.104778523800668</v>
      </c>
      <c r="I807">
        <v>7.7454223912398798E-2</v>
      </c>
      <c r="J807">
        <v>5.6910135537727197E-2</v>
      </c>
      <c r="K807">
        <v>9.4924063977505399E-2</v>
      </c>
      <c r="L807">
        <v>950.87114174132103</v>
      </c>
      <c r="M807">
        <v>20.364273142177002</v>
      </c>
      <c r="N807">
        <v>47.080327383935597</v>
      </c>
      <c r="O807">
        <v>46.249834530119998</v>
      </c>
      <c r="P807">
        <v>-0.10159283515841599</v>
      </c>
      <c r="Q807">
        <v>7.7107301793465893E-2</v>
      </c>
      <c r="R807">
        <v>0.999050600088074</v>
      </c>
      <c r="S807" t="s">
        <v>7209</v>
      </c>
      <c r="T807" t="s">
        <v>12802</v>
      </c>
      <c r="U807" t="s">
        <v>12802</v>
      </c>
      <c r="V807" t="s">
        <v>12802</v>
      </c>
      <c r="W807" t="s">
        <v>13597</v>
      </c>
      <c r="X807">
        <v>5</v>
      </c>
      <c r="Y807" t="s">
        <v>19918</v>
      </c>
      <c r="Z807" t="s">
        <v>26125</v>
      </c>
      <c r="AA807">
        <v>0.38694522665332209</v>
      </c>
      <c r="AB807" t="str">
        <f>HYPERLINK("Melting_Curves/meltCurve_F8W930_IGF2BP2.pdf", "Melting_Curves/meltCurve_F8W930_IGF2BP2.pdf")</f>
        <v>Melting_Curves/meltCurve_F8W930_IGF2BP2.pdf</v>
      </c>
    </row>
    <row r="808" spans="1:28" x14ac:dyDescent="0.25">
      <c r="A808" t="s">
        <v>812</v>
      </c>
      <c r="B808">
        <v>0.99542014353169495</v>
      </c>
      <c r="C808">
        <v>0.93231381758145104</v>
      </c>
      <c r="D808">
        <v>0.93075276991162803</v>
      </c>
      <c r="E808">
        <v>0.77772298336690304</v>
      </c>
      <c r="F808">
        <v>0.51031035127148705</v>
      </c>
      <c r="G808">
        <v>0.17104801618295801</v>
      </c>
      <c r="H808">
        <v>0.12997088567285101</v>
      </c>
      <c r="I808">
        <v>0.113889401636461</v>
      </c>
      <c r="J808">
        <v>0</v>
      </c>
      <c r="K808">
        <v>6.5066916607460501E-2</v>
      </c>
      <c r="L808">
        <v>908.90708542447396</v>
      </c>
      <c r="M808">
        <v>18.288644821983901</v>
      </c>
      <c r="N808">
        <v>49.906006783616803</v>
      </c>
      <c r="O808">
        <v>49.115138298161</v>
      </c>
      <c r="P808">
        <v>-8.9676990724485303E-2</v>
      </c>
      <c r="Q808">
        <v>3.6715249836164303E-2</v>
      </c>
      <c r="R808">
        <v>0.99102978792394802</v>
      </c>
      <c r="S808" t="s">
        <v>7210</v>
      </c>
      <c r="T808" t="s">
        <v>12802</v>
      </c>
      <c r="U808" t="s">
        <v>12802</v>
      </c>
      <c r="V808" t="s">
        <v>12802</v>
      </c>
      <c r="W808" t="s">
        <v>13598</v>
      </c>
      <c r="X808">
        <v>8</v>
      </c>
      <c r="Y808" t="s">
        <v>19919</v>
      </c>
      <c r="Z808" t="s">
        <v>26126</v>
      </c>
      <c r="AA808">
        <v>0.45926165623839038</v>
      </c>
      <c r="AB808" t="str">
        <f>HYPERLINK("Melting_Curves/meltCurve_F8W9A8_PPIP5K1.pdf", "Melting_Curves/meltCurve_F8W9A8_PPIP5K1.pdf")</f>
        <v>Melting_Curves/meltCurve_F8W9A8_PPIP5K1.pdf</v>
      </c>
    </row>
    <row r="809" spans="1:28" x14ac:dyDescent="0.25">
      <c r="A809" t="s">
        <v>813</v>
      </c>
      <c r="B809">
        <v>0.99542014353169495</v>
      </c>
      <c r="C809">
        <v>0.95622454167283699</v>
      </c>
      <c r="D809">
        <v>0.95189242730210499</v>
      </c>
      <c r="E809">
        <v>0.73631431038236395</v>
      </c>
      <c r="F809">
        <v>0.41292714084089999</v>
      </c>
      <c r="G809">
        <v>0.25089535408496599</v>
      </c>
      <c r="H809">
        <v>0.103920857503577</v>
      </c>
      <c r="I809">
        <v>8.1266157740321698E-2</v>
      </c>
      <c r="J809">
        <v>0.101148431244448</v>
      </c>
      <c r="K809">
        <v>7.3075269509897595E-2</v>
      </c>
      <c r="L809">
        <v>901.47209785817995</v>
      </c>
      <c r="M809">
        <v>18.420214368289201</v>
      </c>
      <c r="N809">
        <v>49.343225941221696</v>
      </c>
      <c r="O809">
        <v>48.373431036187696</v>
      </c>
      <c r="P809">
        <v>-8.8539307250010704E-2</v>
      </c>
      <c r="Q809">
        <v>6.9987536456748697E-2</v>
      </c>
      <c r="R809">
        <v>0.99742177205370497</v>
      </c>
      <c r="S809" t="s">
        <v>7211</v>
      </c>
      <c r="T809" t="s">
        <v>12802</v>
      </c>
      <c r="U809" t="s">
        <v>12802</v>
      </c>
      <c r="V809" t="s">
        <v>12802</v>
      </c>
      <c r="W809" t="s">
        <v>13599</v>
      </c>
      <c r="X809">
        <v>1</v>
      </c>
      <c r="Y809" t="s">
        <v>19920</v>
      </c>
      <c r="Z809" t="s">
        <v>26127</v>
      </c>
      <c r="AA809">
        <v>0.45431499480779097</v>
      </c>
      <c r="AB809" t="str">
        <f>HYPERLINK("Melting_Curves/meltCurve_F8W9B9_SYTL4.pdf", "Melting_Curves/meltCurve_F8W9B9_SYTL4.pdf")</f>
        <v>Melting_Curves/meltCurve_F8W9B9_SYTL4.pdf</v>
      </c>
    </row>
    <row r="810" spans="1:28" x14ac:dyDescent="0.25">
      <c r="A810" t="s">
        <v>814</v>
      </c>
      <c r="B810">
        <v>0.99542014353169495</v>
      </c>
      <c r="C810">
        <v>1.0704198084338401</v>
      </c>
      <c r="D810">
        <v>1.0722600785765899</v>
      </c>
      <c r="E810">
        <v>0.83014415325789304</v>
      </c>
      <c r="F810">
        <v>0.60968195191712804</v>
      </c>
      <c r="G810">
        <v>0.30023524874862101</v>
      </c>
      <c r="H810">
        <v>0.29389003202984298</v>
      </c>
      <c r="I810">
        <v>0.23085506988731799</v>
      </c>
      <c r="J810">
        <v>0.20439294536250799</v>
      </c>
      <c r="K810">
        <v>0.25001902666268999</v>
      </c>
      <c r="L810">
        <v>1216.91207548285</v>
      </c>
      <c r="M810">
        <v>24.430565575342001</v>
      </c>
      <c r="N810">
        <v>51.090209625823803</v>
      </c>
      <c r="O810">
        <v>49.480905287858597</v>
      </c>
      <c r="P810">
        <v>-9.51964854760836E-2</v>
      </c>
      <c r="Q810">
        <v>0.228779407629468</v>
      </c>
      <c r="R810">
        <v>0.98382247694113101</v>
      </c>
      <c r="S810" t="s">
        <v>7212</v>
      </c>
      <c r="T810" t="s">
        <v>12802</v>
      </c>
      <c r="U810" t="s">
        <v>12802</v>
      </c>
      <c r="V810" t="s">
        <v>12802</v>
      </c>
      <c r="W810" t="s">
        <v>13600</v>
      </c>
      <c r="X810">
        <v>8</v>
      </c>
      <c r="Y810" t="s">
        <v>19921</v>
      </c>
      <c r="Z810" t="s">
        <v>26128</v>
      </c>
      <c r="AA810">
        <v>0.56515067893656878</v>
      </c>
      <c r="AB810" t="str">
        <f>HYPERLINK("Melting_Curves/meltCurve_F8W9I4_MLLT4.pdf", "Melting_Curves/meltCurve_F8W9I4_MLLT4.pdf")</f>
        <v>Melting_Curves/meltCurve_F8W9I4_MLLT4.pdf</v>
      </c>
    </row>
    <row r="811" spans="1:28" x14ac:dyDescent="0.25">
      <c r="A811" t="s">
        <v>815</v>
      </c>
      <c r="B811">
        <v>0.99542014353169495</v>
      </c>
      <c r="C811">
        <v>0.895414408110763</v>
      </c>
      <c r="D811">
        <v>0.94620740043685503</v>
      </c>
      <c r="E811">
        <v>0.68535125330904001</v>
      </c>
      <c r="F811">
        <v>0.30392215041380999</v>
      </c>
      <c r="G811">
        <v>0.14702535880225301</v>
      </c>
      <c r="H811">
        <v>9.4554089941245603E-2</v>
      </c>
      <c r="I811">
        <v>5.9346774259282101E-2</v>
      </c>
      <c r="J811">
        <v>6.0225459358416999E-2</v>
      </c>
      <c r="K811">
        <v>6.9507375748222897E-2</v>
      </c>
      <c r="L811">
        <v>1055.4257830629299</v>
      </c>
      <c r="M811">
        <v>22.006164191286299</v>
      </c>
      <c r="N811">
        <v>48.246856008666299</v>
      </c>
      <c r="O811">
        <v>47.569707801378598</v>
      </c>
      <c r="P811">
        <v>-0.108573471561542</v>
      </c>
      <c r="Q811">
        <v>6.1228382973685602E-2</v>
      </c>
      <c r="R811">
        <v>0.99354128535684705</v>
      </c>
      <c r="S811" t="s">
        <v>7213</v>
      </c>
      <c r="T811" t="s">
        <v>12802</v>
      </c>
      <c r="U811" t="s">
        <v>12802</v>
      </c>
      <c r="V811" t="s">
        <v>12802</v>
      </c>
      <c r="W811" t="s">
        <v>13601</v>
      </c>
      <c r="X811">
        <v>7</v>
      </c>
      <c r="Y811" t="s">
        <v>19922</v>
      </c>
      <c r="Z811" t="s">
        <v>26129</v>
      </c>
      <c r="AA811">
        <v>0.4144745242827183</v>
      </c>
      <c r="AB811" t="str">
        <f>HYPERLINK("Melting_Curves/meltCurve_F8W9Q9_LENG8.pdf", "Melting_Curves/meltCurve_F8W9Q9_LENG8.pdf")</f>
        <v>Melting_Curves/meltCurve_F8W9Q9_LENG8.pdf</v>
      </c>
    </row>
    <row r="812" spans="1:28" x14ac:dyDescent="0.25">
      <c r="A812" t="s">
        <v>816</v>
      </c>
      <c r="B812">
        <v>0.99542014353169495</v>
      </c>
      <c r="C812">
        <v>0.83874924756455904</v>
      </c>
      <c r="D812">
        <v>0.84885781656057602</v>
      </c>
      <c r="E812">
        <v>0.57097180379061196</v>
      </c>
      <c r="F812">
        <v>0.24913825126338099</v>
      </c>
      <c r="G812">
        <v>0.13107351974808701</v>
      </c>
      <c r="H812">
        <v>8.8124241267867706E-2</v>
      </c>
      <c r="I812">
        <v>6.9642326843987995E-2</v>
      </c>
      <c r="J812">
        <v>7.5472477775560806E-2</v>
      </c>
      <c r="K812">
        <v>6.8040197853679693E-2</v>
      </c>
      <c r="L812">
        <v>779.96502736380296</v>
      </c>
      <c r="M812">
        <v>16.6826130274371</v>
      </c>
      <c r="N812">
        <v>47.054837165989703</v>
      </c>
      <c r="O812">
        <v>46.096874617218297</v>
      </c>
      <c r="P812">
        <v>-8.5893016078615297E-2</v>
      </c>
      <c r="Q812">
        <v>5.0715596278833E-2</v>
      </c>
      <c r="R812">
        <v>0.98797225350252704</v>
      </c>
      <c r="S812" t="s">
        <v>7214</v>
      </c>
      <c r="T812" t="s">
        <v>12802</v>
      </c>
      <c r="U812" t="s">
        <v>12802</v>
      </c>
      <c r="V812" t="s">
        <v>12802</v>
      </c>
      <c r="W812" t="s">
        <v>13602</v>
      </c>
      <c r="X812">
        <v>9</v>
      </c>
      <c r="Y812" t="s">
        <v>19923</v>
      </c>
      <c r="Z812" t="s">
        <v>26130</v>
      </c>
      <c r="AA812">
        <v>0.3769774336360921</v>
      </c>
      <c r="AB812" t="str">
        <f>HYPERLINK("Melting_Curves/meltCurve_F8W9X7_CCDC93.pdf", "Melting_Curves/meltCurve_F8W9X7_CCDC93.pdf")</f>
        <v>Melting_Curves/meltCurve_F8W9X7_CCDC93.pdf</v>
      </c>
    </row>
    <row r="813" spans="1:28" x14ac:dyDescent="0.25">
      <c r="A813" t="s">
        <v>817</v>
      </c>
      <c r="B813">
        <v>0.99542014353169495</v>
      </c>
      <c r="C813">
        <v>0.98020637389830201</v>
      </c>
      <c r="D813">
        <v>0.94800493832240296</v>
      </c>
      <c r="E813">
        <v>0.71994545357311901</v>
      </c>
      <c r="F813">
        <v>0.34709297070535899</v>
      </c>
      <c r="G813">
        <v>0.16960654529757799</v>
      </c>
      <c r="H813">
        <v>0.11312048198954</v>
      </c>
      <c r="I813">
        <v>9.5052332026176106E-2</v>
      </c>
      <c r="J813">
        <v>0.112683057219543</v>
      </c>
      <c r="K813">
        <v>9.5283920303013095E-2</v>
      </c>
      <c r="L813">
        <v>1130.9948490111899</v>
      </c>
      <c r="M813">
        <v>23.480551980821101</v>
      </c>
      <c r="N813">
        <v>48.6122381896527</v>
      </c>
      <c r="O813">
        <v>47.822011612153297</v>
      </c>
      <c r="P813">
        <v>-0.11088250285180699</v>
      </c>
      <c r="Q813">
        <v>9.6693657749399295E-2</v>
      </c>
      <c r="R813">
        <v>0.99968940881953905</v>
      </c>
      <c r="S813" t="s">
        <v>7215</v>
      </c>
      <c r="T813" t="s">
        <v>12802</v>
      </c>
      <c r="U813" t="s">
        <v>12802</v>
      </c>
      <c r="V813" t="s">
        <v>12802</v>
      </c>
      <c r="W813" t="s">
        <v>13603</v>
      </c>
      <c r="X813">
        <v>5</v>
      </c>
      <c r="Y813" t="s">
        <v>19924</v>
      </c>
      <c r="Z813" t="s">
        <v>26131</v>
      </c>
      <c r="AA813">
        <v>0.44167072113645223</v>
      </c>
      <c r="AB813" t="str">
        <f>HYPERLINK("Melting_Curves/meltCurve_F8WA39_MTMR1.pdf", "Melting_Curves/meltCurve_F8WA39_MTMR1.pdf")</f>
        <v>Melting_Curves/meltCurve_F8WA39_MTMR1.pdf</v>
      </c>
    </row>
    <row r="814" spans="1:28" x14ac:dyDescent="0.25">
      <c r="A814" t="s">
        <v>818</v>
      </c>
      <c r="B814">
        <v>0.99542014353169495</v>
      </c>
      <c r="C814">
        <v>0.93289802244598896</v>
      </c>
      <c r="D814">
        <v>0.93857064237210797</v>
      </c>
      <c r="E814">
        <v>0.71860242463689294</v>
      </c>
      <c r="F814">
        <v>0.49075757451666102</v>
      </c>
      <c r="G814">
        <v>0.25252283999703201</v>
      </c>
      <c r="H814">
        <v>0.15286858098216899</v>
      </c>
      <c r="I814">
        <v>0.102923884616525</v>
      </c>
      <c r="J814">
        <v>0.10109756284256501</v>
      </c>
      <c r="K814">
        <v>8.5248782511516699E-2</v>
      </c>
      <c r="L814">
        <v>774.42086389507801</v>
      </c>
      <c r="M814">
        <v>15.6979206651631</v>
      </c>
      <c r="N814">
        <v>49.783121802947697</v>
      </c>
      <c r="O814">
        <v>48.552938502350599</v>
      </c>
      <c r="P814">
        <v>-7.5484254804264198E-2</v>
      </c>
      <c r="Q814">
        <v>6.6201773627484806E-2</v>
      </c>
      <c r="R814">
        <v>0.99732573024217497</v>
      </c>
      <c r="S814" t="s">
        <v>7216</v>
      </c>
      <c r="T814" t="s">
        <v>12802</v>
      </c>
      <c r="U814" t="s">
        <v>12802</v>
      </c>
      <c r="V814" t="s">
        <v>12802</v>
      </c>
      <c r="W814" t="s">
        <v>13604</v>
      </c>
      <c r="X814">
        <v>8</v>
      </c>
      <c r="Y814" t="s">
        <v>19925</v>
      </c>
      <c r="Z814" t="s">
        <v>26132</v>
      </c>
      <c r="AA814">
        <v>0.46863044542531662</v>
      </c>
      <c r="AB814" t="str">
        <f>HYPERLINK("Melting_Curves/meltCurve_F8WAC3_UCKL1.pdf", "Melting_Curves/meltCurve_F8WAC3_UCKL1.pdf")</f>
        <v>Melting_Curves/meltCurve_F8WAC3_UCKL1.pdf</v>
      </c>
    </row>
    <row r="815" spans="1:28" x14ac:dyDescent="0.25">
      <c r="A815" t="s">
        <v>819</v>
      </c>
      <c r="B815">
        <v>0.99542014353169495</v>
      </c>
      <c r="C815">
        <v>0.95455857138629696</v>
      </c>
      <c r="D815">
        <v>0.99909324836296798</v>
      </c>
      <c r="E815">
        <v>0.78624920299840295</v>
      </c>
      <c r="F815">
        <v>0.645915945172852</v>
      </c>
      <c r="G815">
        <v>0.31514114379591301</v>
      </c>
      <c r="H815">
        <v>0.117668123258921</v>
      </c>
      <c r="I815">
        <v>7.8821694354300698E-2</v>
      </c>
      <c r="J815">
        <v>7.4933522833081898E-2</v>
      </c>
      <c r="K815">
        <v>9.6472415365939201E-2</v>
      </c>
      <c r="L815">
        <v>917.27429690917904</v>
      </c>
      <c r="M815">
        <v>17.978251245004198</v>
      </c>
      <c r="N815">
        <v>51.301194362976098</v>
      </c>
      <c r="O815">
        <v>50.402623713412602</v>
      </c>
      <c r="P815">
        <v>-8.5012153675225993E-2</v>
      </c>
      <c r="Q815">
        <v>4.6709489398984602E-2</v>
      </c>
      <c r="R815">
        <v>0.99115621175804902</v>
      </c>
      <c r="S815" t="s">
        <v>7217</v>
      </c>
      <c r="T815" t="s">
        <v>12802</v>
      </c>
      <c r="U815" t="s">
        <v>12802</v>
      </c>
      <c r="V815" t="s">
        <v>12802</v>
      </c>
      <c r="W815" t="s">
        <v>13605</v>
      </c>
      <c r="X815">
        <v>18</v>
      </c>
      <c r="Y815" t="s">
        <v>19926</v>
      </c>
      <c r="Z815" t="s">
        <v>26133</v>
      </c>
      <c r="AA815">
        <v>0.50706218902350719</v>
      </c>
      <c r="AB815" t="str">
        <f>HYPERLINK("Melting_Curves/meltCurve_F8WAK8_STAG2.pdf", "Melting_Curves/meltCurve_F8WAK8_STAG2.pdf")</f>
        <v>Melting_Curves/meltCurve_F8WAK8_STAG2.pdf</v>
      </c>
    </row>
    <row r="816" spans="1:28" x14ac:dyDescent="0.25">
      <c r="A816" t="s">
        <v>820</v>
      </c>
      <c r="B816">
        <v>0.99542014353169495</v>
      </c>
      <c r="C816">
        <v>0.98740135584350497</v>
      </c>
      <c r="D816">
        <v>0.96578069869947403</v>
      </c>
      <c r="E816">
        <v>1.05834383247676</v>
      </c>
      <c r="F816">
        <v>0.85454841631007805</v>
      </c>
      <c r="G816">
        <v>0.39462437999257299</v>
      </c>
      <c r="H816">
        <v>0.18071070760199401</v>
      </c>
      <c r="I816">
        <v>0.18255131151234699</v>
      </c>
      <c r="J816">
        <v>0.27941987583053401</v>
      </c>
      <c r="K816">
        <v>0.32411397275166198</v>
      </c>
      <c r="L816">
        <v>2307.5651748607702</v>
      </c>
      <c r="M816">
        <v>44.418933673972298</v>
      </c>
      <c r="N816">
        <v>52.7357153400106</v>
      </c>
      <c r="O816">
        <v>51.845071100010301</v>
      </c>
      <c r="P816">
        <v>-0.16234993832075201</v>
      </c>
      <c r="Q816">
        <v>0.24203201033414801</v>
      </c>
      <c r="R816">
        <v>0.98222173525483203</v>
      </c>
      <c r="S816" t="s">
        <v>7218</v>
      </c>
      <c r="T816" t="s">
        <v>12802</v>
      </c>
      <c r="U816" t="s">
        <v>12802</v>
      </c>
      <c r="V816" t="s">
        <v>12802</v>
      </c>
      <c r="W816" t="s">
        <v>13606</v>
      </c>
      <c r="X816">
        <v>5</v>
      </c>
      <c r="Y816" t="s">
        <v>19927</v>
      </c>
      <c r="Z816" t="s">
        <v>26134</v>
      </c>
      <c r="AA816">
        <v>0.62195532400815057</v>
      </c>
      <c r="AB816" t="str">
        <f>HYPERLINK("Melting_Curves/meltCurve_F8WBK5_MRPL40.pdf", "Melting_Curves/meltCurve_F8WBK5_MRPL40.pdf")</f>
        <v>Melting_Curves/meltCurve_F8WBK5_MRPL40.pdf</v>
      </c>
    </row>
    <row r="817" spans="1:28" x14ac:dyDescent="0.25">
      <c r="A817" t="s">
        <v>821</v>
      </c>
      <c r="B817">
        <v>0.99542014353169495</v>
      </c>
      <c r="C817">
        <v>1.2851425636367799</v>
      </c>
      <c r="D817">
        <v>1.00556673416791</v>
      </c>
      <c r="E817">
        <v>1.1071651884514999</v>
      </c>
      <c r="F817">
        <v>0.63672298862425603</v>
      </c>
      <c r="G817">
        <v>0.38195683808711201</v>
      </c>
      <c r="H817">
        <v>0.27438691119220698</v>
      </c>
      <c r="I817">
        <v>0.23145801410621999</v>
      </c>
      <c r="J817">
        <v>7.5464372851284406E-2</v>
      </c>
      <c r="K817">
        <v>0.413072385579211</v>
      </c>
      <c r="L817">
        <v>2091.9280282238301</v>
      </c>
      <c r="M817">
        <v>41.449469576445701</v>
      </c>
      <c r="N817">
        <v>51.380999045973802</v>
      </c>
      <c r="O817">
        <v>50.3523065340055</v>
      </c>
      <c r="P817">
        <v>-0.15221868903453101</v>
      </c>
      <c r="Q817">
        <v>0.26034775421228001</v>
      </c>
      <c r="R817">
        <v>0.90028590953376797</v>
      </c>
      <c r="S817" t="s">
        <v>7219</v>
      </c>
      <c r="T817" t="s">
        <v>12802</v>
      </c>
      <c r="U817" t="s">
        <v>12802</v>
      </c>
      <c r="V817" t="s">
        <v>12802</v>
      </c>
      <c r="W817" t="s">
        <v>13607</v>
      </c>
      <c r="X817">
        <v>5</v>
      </c>
      <c r="Y817" t="s">
        <v>19928</v>
      </c>
      <c r="Z817" t="s">
        <v>26135</v>
      </c>
      <c r="AA817">
        <v>0.59483593562031012</v>
      </c>
      <c r="AB817" t="str">
        <f>HYPERLINK("Melting_Curves/meltCurve_F8WBT5_PINX1.pdf", "Melting_Curves/meltCurve_F8WBT5_PINX1.pdf")</f>
        <v>Melting_Curves/meltCurve_F8WBT5_PINX1.pdf</v>
      </c>
    </row>
    <row r="818" spans="1:28" x14ac:dyDescent="0.25">
      <c r="A818" t="s">
        <v>822</v>
      </c>
      <c r="B818">
        <v>0.99542014353169495</v>
      </c>
      <c r="C818">
        <v>0.98493615571743998</v>
      </c>
      <c r="D818">
        <v>0.90301264891099997</v>
      </c>
      <c r="E818">
        <v>0.83811370161659504</v>
      </c>
      <c r="F818">
        <v>0.59908013047054198</v>
      </c>
      <c r="G818">
        <v>0.30892125218586802</v>
      </c>
      <c r="H818">
        <v>9.0006114206580598E-2</v>
      </c>
      <c r="I818">
        <v>7.3090884223181093E-2</v>
      </c>
      <c r="J818">
        <v>7.4581943466452805E-2</v>
      </c>
      <c r="K818">
        <v>7.0565476797408794E-2</v>
      </c>
      <c r="L818">
        <v>916.295753949615</v>
      </c>
      <c r="M818">
        <v>18.013555677741198</v>
      </c>
      <c r="N818">
        <v>51.070027863260002</v>
      </c>
      <c r="O818">
        <v>50.252575754147699</v>
      </c>
      <c r="P818">
        <v>-8.65230331046552E-2</v>
      </c>
      <c r="Q818">
        <v>3.4551619697237503E-2</v>
      </c>
      <c r="R818">
        <v>0.99431421795180197</v>
      </c>
      <c r="S818" t="s">
        <v>7220</v>
      </c>
      <c r="T818" t="s">
        <v>12802</v>
      </c>
      <c r="U818" t="s">
        <v>12802</v>
      </c>
      <c r="V818" t="s">
        <v>12802</v>
      </c>
      <c r="W818" t="s">
        <v>13608</v>
      </c>
      <c r="X818">
        <v>3</v>
      </c>
      <c r="Y818" t="s">
        <v>19929</v>
      </c>
      <c r="Z818" t="s">
        <v>26136</v>
      </c>
      <c r="AA818">
        <v>0.49580861106905633</v>
      </c>
      <c r="AB818" t="str">
        <f>HYPERLINK("Melting_Curves/meltCurve_F8WBY6_GTPBP8.pdf", "Melting_Curves/meltCurve_F8WBY6_GTPBP8.pdf")</f>
        <v>Melting_Curves/meltCurve_F8WBY6_GTPBP8.pdf</v>
      </c>
    </row>
    <row r="819" spans="1:28" x14ac:dyDescent="0.25">
      <c r="A819" t="s">
        <v>823</v>
      </c>
      <c r="B819">
        <v>0.99542014353169495</v>
      </c>
      <c r="C819">
        <v>1.0963261057186799</v>
      </c>
      <c r="D819">
        <v>0.95309537486764995</v>
      </c>
      <c r="E819">
        <v>0.98508461107239398</v>
      </c>
      <c r="F819">
        <v>0.700828292584047</v>
      </c>
      <c r="G819">
        <v>0.376538061217984</v>
      </c>
      <c r="H819">
        <v>0.19913854870737199</v>
      </c>
      <c r="I819">
        <v>0.18296792294199299</v>
      </c>
      <c r="J819">
        <v>0.22327120330908201</v>
      </c>
      <c r="K819">
        <v>0.20860674494298501</v>
      </c>
      <c r="L819">
        <v>1510.7497439302499</v>
      </c>
      <c r="M819">
        <v>29.493014883659999</v>
      </c>
      <c r="N819">
        <v>52.107491641972501</v>
      </c>
      <c r="O819">
        <v>50.9902197956579</v>
      </c>
      <c r="P819">
        <v>-0.116151074434952</v>
      </c>
      <c r="Q819">
        <v>0.19675525604632299</v>
      </c>
      <c r="R819">
        <v>0.98921661963595398</v>
      </c>
      <c r="S819" t="s">
        <v>7221</v>
      </c>
      <c r="T819" t="s">
        <v>12802</v>
      </c>
      <c r="U819" t="s">
        <v>12802</v>
      </c>
      <c r="V819" t="s">
        <v>12802</v>
      </c>
      <c r="W819" t="s">
        <v>13609</v>
      </c>
      <c r="X819">
        <v>6</v>
      </c>
      <c r="Y819" t="s">
        <v>19930</v>
      </c>
      <c r="Z819" t="s">
        <v>26137</v>
      </c>
      <c r="AA819">
        <v>0.58278852515178869</v>
      </c>
      <c r="AB819" t="str">
        <f>HYPERLINK("Melting_Curves/meltCurve_F8WC68_DOM3Z.pdf", "Melting_Curves/meltCurve_F8WC68_DOM3Z.pdf")</f>
        <v>Melting_Curves/meltCurve_F8WC68_DOM3Z.pdf</v>
      </c>
    </row>
    <row r="820" spans="1:28" x14ac:dyDescent="0.25">
      <c r="A820" t="s">
        <v>824</v>
      </c>
      <c r="B820">
        <v>0.99542014353169495</v>
      </c>
      <c r="C820">
        <v>1.0023426442511201</v>
      </c>
      <c r="D820">
        <v>1.0042756564517601</v>
      </c>
      <c r="E820">
        <v>0.75335070900159595</v>
      </c>
      <c r="F820">
        <v>0.49066827570242499</v>
      </c>
      <c r="G820">
        <v>0.29159899500401998</v>
      </c>
      <c r="H820">
        <v>0.20012986751626399</v>
      </c>
      <c r="I820">
        <v>0.19931868543123099</v>
      </c>
      <c r="J820">
        <v>0.178658539525023</v>
      </c>
      <c r="K820">
        <v>0.19759641329955699</v>
      </c>
      <c r="L820">
        <v>1034.8348432744899</v>
      </c>
      <c r="M820">
        <v>21.1904955426843</v>
      </c>
      <c r="N820">
        <v>49.910415872006801</v>
      </c>
      <c r="O820">
        <v>48.406189733670303</v>
      </c>
      <c r="P820">
        <v>-8.9382895035159005E-2</v>
      </c>
      <c r="Q820">
        <v>0.18329926300399499</v>
      </c>
      <c r="R820">
        <v>0.99671686617080302</v>
      </c>
      <c r="S820" t="s">
        <v>7222</v>
      </c>
      <c r="T820" t="s">
        <v>12802</v>
      </c>
      <c r="U820" t="s">
        <v>12802</v>
      </c>
      <c r="V820" t="s">
        <v>12802</v>
      </c>
      <c r="W820" t="s">
        <v>13610</v>
      </c>
      <c r="X820">
        <v>2</v>
      </c>
      <c r="Y820" t="s">
        <v>19931</v>
      </c>
      <c r="Z820" t="s">
        <v>26138</v>
      </c>
      <c r="AA820">
        <v>0.51514703166036335</v>
      </c>
      <c r="AB820" t="str">
        <f>HYPERLINK("Melting_Curves/meltCurve_F8WC89_SAC3D1.pdf", "Melting_Curves/meltCurve_F8WC89_SAC3D1.pdf")</f>
        <v>Melting_Curves/meltCurve_F8WC89_SAC3D1.pdf</v>
      </c>
    </row>
    <row r="821" spans="1:28" x14ac:dyDescent="0.25">
      <c r="A821" t="s">
        <v>825</v>
      </c>
      <c r="B821">
        <v>0.99542014353169495</v>
      </c>
      <c r="C821">
        <v>1.0046911323504699</v>
      </c>
      <c r="D821">
        <v>0.90003672936561496</v>
      </c>
      <c r="E821">
        <v>0.82179073778973</v>
      </c>
      <c r="F821">
        <v>0.75025447718128901</v>
      </c>
      <c r="G821">
        <v>0.51923990682741095</v>
      </c>
      <c r="H821">
        <v>0.426740972332672</v>
      </c>
      <c r="I821">
        <v>0.28270953482477401</v>
      </c>
      <c r="J821">
        <v>0.28995382492201299</v>
      </c>
      <c r="K821">
        <v>0.29976089077842399</v>
      </c>
      <c r="L821">
        <v>617.71099755941998</v>
      </c>
      <c r="M821">
        <v>11.8339950620735</v>
      </c>
      <c r="N821">
        <v>54.756262456771097</v>
      </c>
      <c r="O821">
        <v>50.774409299087701</v>
      </c>
      <c r="P821">
        <v>-4.59056087613013E-2</v>
      </c>
      <c r="Q821">
        <v>0.21235838004459101</v>
      </c>
      <c r="R821">
        <v>0.98743295419020305</v>
      </c>
      <c r="S821" t="s">
        <v>7223</v>
      </c>
      <c r="T821" t="s">
        <v>12802</v>
      </c>
      <c r="U821" t="s">
        <v>12802</v>
      </c>
      <c r="V821" t="s">
        <v>12802</v>
      </c>
      <c r="W821" t="s">
        <v>13611</v>
      </c>
      <c r="X821">
        <v>5</v>
      </c>
      <c r="Y821" t="s">
        <v>19932</v>
      </c>
      <c r="Z821" t="s">
        <v>26139</v>
      </c>
      <c r="AA821">
        <v>0.62988476604445887</v>
      </c>
      <c r="AB821" t="str">
        <f>HYPERLINK("Melting_Curves/meltCurve_F8WCD0_RNF149.pdf", "Melting_Curves/meltCurve_F8WCD0_RNF149.pdf")</f>
        <v>Melting_Curves/meltCurve_F8WCD0_RNF149.pdf</v>
      </c>
    </row>
    <row r="822" spans="1:28" x14ac:dyDescent="0.25">
      <c r="A822" t="s">
        <v>826</v>
      </c>
      <c r="B822">
        <v>0.99542014353169495</v>
      </c>
      <c r="C822">
        <v>0.91029418594681699</v>
      </c>
      <c r="D822">
        <v>0.96372890802472799</v>
      </c>
      <c r="E822">
        <v>0.64824781845493895</v>
      </c>
      <c r="F822">
        <v>0.22450786532534101</v>
      </c>
      <c r="G822">
        <v>0.1359270000342</v>
      </c>
      <c r="H822">
        <v>8.9245242053002299E-2</v>
      </c>
      <c r="I822">
        <v>6.9618836489812402E-2</v>
      </c>
      <c r="J822">
        <v>6.4389292060252304E-2</v>
      </c>
      <c r="K822">
        <v>6.8518047475210203E-2</v>
      </c>
      <c r="L822">
        <v>1307.87290101398</v>
      </c>
      <c r="M822">
        <v>27.589657185265398</v>
      </c>
      <c r="N822">
        <v>47.683440347678101</v>
      </c>
      <c r="O822">
        <v>47.1575284862326</v>
      </c>
      <c r="P822">
        <v>-0.13536339075905399</v>
      </c>
      <c r="Q822">
        <v>7.45309771184956E-2</v>
      </c>
      <c r="R822">
        <v>0.99431548791330904</v>
      </c>
      <c r="S822" t="s">
        <v>7224</v>
      </c>
      <c r="T822" t="s">
        <v>12802</v>
      </c>
      <c r="U822" t="s">
        <v>12802</v>
      </c>
      <c r="V822" t="s">
        <v>12802</v>
      </c>
      <c r="W822" t="s">
        <v>13612</v>
      </c>
      <c r="X822">
        <v>19</v>
      </c>
      <c r="Y822" t="s">
        <v>19933</v>
      </c>
      <c r="Z822" t="s">
        <v>26140</v>
      </c>
      <c r="AA822">
        <v>0.40191405672119601</v>
      </c>
      <c r="AB822" t="str">
        <f>HYPERLINK("Melting_Curves/meltCurve_F8WCP6_KIF21A.pdf", "Melting_Curves/meltCurve_F8WCP6_KIF21A.pdf")</f>
        <v>Melting_Curves/meltCurve_F8WCP6_KIF21A.pdf</v>
      </c>
    </row>
    <row r="823" spans="1:28" x14ac:dyDescent="0.25">
      <c r="A823" t="s">
        <v>827</v>
      </c>
      <c r="B823">
        <v>0.99542014353169495</v>
      </c>
      <c r="C823">
        <v>1.3330824106378401</v>
      </c>
      <c r="D823">
        <v>1.46231594757593</v>
      </c>
      <c r="E823">
        <v>1.8720498906129801</v>
      </c>
      <c r="F823">
        <v>1.6770087936490601</v>
      </c>
      <c r="G823">
        <v>0.49540003355175199</v>
      </c>
      <c r="H823">
        <v>0.113347001820588</v>
      </c>
      <c r="I823">
        <v>3.7815519541738299E-2</v>
      </c>
      <c r="J823">
        <v>3.4455810156648899E-2</v>
      </c>
      <c r="K823">
        <v>0</v>
      </c>
      <c r="L823">
        <v>13443.718699647099</v>
      </c>
      <c r="M823">
        <v>250</v>
      </c>
      <c r="N823">
        <v>53.795810940695603</v>
      </c>
      <c r="O823">
        <v>53.771433580185303</v>
      </c>
      <c r="P823">
        <v>-1.10838991907166</v>
      </c>
      <c r="Q823">
        <v>4.6404562788570698E-2</v>
      </c>
      <c r="R823">
        <v>0.69303834562789801</v>
      </c>
      <c r="S823" t="s">
        <v>7225</v>
      </c>
      <c r="T823" t="s">
        <v>12802</v>
      </c>
      <c r="U823" t="s">
        <v>12802</v>
      </c>
      <c r="V823" t="s">
        <v>12802</v>
      </c>
      <c r="W823" t="s">
        <v>13613</v>
      </c>
      <c r="X823">
        <v>3</v>
      </c>
      <c r="Y823" t="s">
        <v>19934</v>
      </c>
      <c r="Z823" t="s">
        <v>26141</v>
      </c>
      <c r="AA823">
        <v>0.57970935972710258</v>
      </c>
      <c r="AB823" t="str">
        <f>HYPERLINK("Melting_Curves/meltCurve_F8WDT8_DDX56.pdf", "Melting_Curves/meltCurve_F8WDT8_DDX56.pdf")</f>
        <v>Melting_Curves/meltCurve_F8WDT8_DDX56.pdf</v>
      </c>
    </row>
    <row r="824" spans="1:28" x14ac:dyDescent="0.25">
      <c r="A824" t="s">
        <v>828</v>
      </c>
      <c r="B824">
        <v>0.99542014353169495</v>
      </c>
      <c r="C824">
        <v>0.90165505128358203</v>
      </c>
      <c r="D824">
        <v>0.86708050850545104</v>
      </c>
      <c r="E824">
        <v>0.63184259407643495</v>
      </c>
      <c r="F824">
        <v>0.58542677471306204</v>
      </c>
      <c r="G824">
        <v>0.42956551152641997</v>
      </c>
      <c r="H824">
        <v>0.13320045831677499</v>
      </c>
      <c r="I824">
        <v>7.9313424404557006E-2</v>
      </c>
      <c r="J824">
        <v>8.3641642451411202E-2</v>
      </c>
      <c r="K824">
        <v>9.9536717617696002E-2</v>
      </c>
      <c r="L824">
        <v>532.12368764703206</v>
      </c>
      <c r="M824">
        <v>10.5440878739177</v>
      </c>
      <c r="N824">
        <v>50.466543902721298</v>
      </c>
      <c r="O824">
        <v>48.7527111200517</v>
      </c>
      <c r="P824">
        <v>-5.40907056637807E-2</v>
      </c>
      <c r="Q824">
        <v>0</v>
      </c>
      <c r="R824">
        <v>0.97350708297562205</v>
      </c>
      <c r="S824" t="s">
        <v>7226</v>
      </c>
      <c r="T824" t="s">
        <v>12802</v>
      </c>
      <c r="U824" t="s">
        <v>12802</v>
      </c>
      <c r="V824" t="s">
        <v>12802</v>
      </c>
      <c r="W824" t="s">
        <v>13614</v>
      </c>
      <c r="X824">
        <v>3</v>
      </c>
      <c r="Y824" t="s">
        <v>19935</v>
      </c>
      <c r="Z824" t="s">
        <v>26142</v>
      </c>
      <c r="AA824">
        <v>0.47976073710980288</v>
      </c>
      <c r="AB824" t="str">
        <f>HYPERLINK("Melting_Curves/meltCurve_F8WDV1_POLR3H.pdf", "Melting_Curves/meltCurve_F8WDV1_POLR3H.pdf")</f>
        <v>Melting_Curves/meltCurve_F8WDV1_POLR3H.pdf</v>
      </c>
    </row>
    <row r="825" spans="1:28" x14ac:dyDescent="0.25">
      <c r="A825" t="s">
        <v>829</v>
      </c>
      <c r="B825">
        <v>0.99542014353169495</v>
      </c>
      <c r="C825">
        <v>1.60131552246002</v>
      </c>
      <c r="D825">
        <v>1.1325715829131999</v>
      </c>
      <c r="E825">
        <v>1.0077441493513699</v>
      </c>
      <c r="F825">
        <v>1.0572774827903</v>
      </c>
      <c r="G825">
        <v>0.64566660121368902</v>
      </c>
      <c r="H825">
        <v>0.4053347244835</v>
      </c>
      <c r="I825">
        <v>0.30699275690024402</v>
      </c>
      <c r="J825">
        <v>0.31443949423266399</v>
      </c>
      <c r="K825">
        <v>0.25039857242921498</v>
      </c>
      <c r="L825">
        <v>2345.9040052734899</v>
      </c>
      <c r="M825">
        <v>43.487122206871398</v>
      </c>
      <c r="N825">
        <v>55.124573614393199</v>
      </c>
      <c r="O825">
        <v>53.831097487986199</v>
      </c>
      <c r="P825">
        <v>-0.14079397155453599</v>
      </c>
      <c r="Q825">
        <v>0.30286646870735601</v>
      </c>
      <c r="R825">
        <v>0.78797797629725597</v>
      </c>
      <c r="S825" t="s">
        <v>7227</v>
      </c>
      <c r="T825" t="s">
        <v>12802</v>
      </c>
      <c r="U825" t="s">
        <v>12802</v>
      </c>
      <c r="V825" t="s">
        <v>12802</v>
      </c>
      <c r="W825" t="s">
        <v>13615</v>
      </c>
      <c r="X825">
        <v>1</v>
      </c>
      <c r="Y825" t="s">
        <v>19936</v>
      </c>
      <c r="Z825" t="s">
        <v>26143</v>
      </c>
      <c r="AA825">
        <v>0.69881308336736903</v>
      </c>
      <c r="AB825" t="str">
        <f>HYPERLINK("Melting_Curves/meltCurve_F8WE28_EXOG.pdf", "Melting_Curves/meltCurve_F8WE28_EXOG.pdf")</f>
        <v>Melting_Curves/meltCurve_F8WE28_EXOG.pdf</v>
      </c>
    </row>
    <row r="826" spans="1:28" x14ac:dyDescent="0.25">
      <c r="A826" t="s">
        <v>830</v>
      </c>
      <c r="B826">
        <v>0.99542014353169495</v>
      </c>
      <c r="C826">
        <v>1.24625244830575</v>
      </c>
      <c r="D826">
        <v>1.3728940743601501</v>
      </c>
      <c r="E826">
        <v>1.14484528706592</v>
      </c>
      <c r="F826">
        <v>1.07460690569365</v>
      </c>
      <c r="G826">
        <v>0.69465181432640699</v>
      </c>
      <c r="H826">
        <v>1.0082360755212501</v>
      </c>
      <c r="I826">
        <v>0.73150155183448196</v>
      </c>
      <c r="J826">
        <v>0.879832970845559</v>
      </c>
      <c r="K826">
        <v>1.0391529691357999</v>
      </c>
      <c r="L826">
        <v>3202.7521949940101</v>
      </c>
      <c r="M826">
        <v>62.1050848078904</v>
      </c>
      <c r="O826">
        <v>51.516498207977499</v>
      </c>
      <c r="P826">
        <v>-3.6232545824230702E-2</v>
      </c>
      <c r="Q826">
        <v>0.87977968597046297</v>
      </c>
      <c r="R826">
        <v>0.18150833205695899</v>
      </c>
      <c r="S826" t="s">
        <v>7228</v>
      </c>
      <c r="T826" t="s">
        <v>12802</v>
      </c>
      <c r="U826" t="s">
        <v>12802</v>
      </c>
      <c r="V826" t="s">
        <v>12802</v>
      </c>
      <c r="W826" t="s">
        <v>13616</v>
      </c>
      <c r="X826">
        <v>1</v>
      </c>
      <c r="Y826" t="s">
        <v>19937</v>
      </c>
      <c r="Z826" t="s">
        <v>26144</v>
      </c>
      <c r="AA826">
        <v>0.93834313409378256</v>
      </c>
      <c r="AB826" t="str">
        <f>HYPERLINK("Melting_Curves/meltCurve_F8WE91_DNMT3A.pdf", "Melting_Curves/meltCurve_F8WE91_DNMT3A.pdf")</f>
        <v>Melting_Curves/meltCurve_F8WE91_DNMT3A.pdf</v>
      </c>
    </row>
    <row r="827" spans="1:28" x14ac:dyDescent="0.25">
      <c r="A827" t="s">
        <v>831</v>
      </c>
      <c r="B827">
        <v>0.99542014353169495</v>
      </c>
      <c r="C827">
        <v>0.98993180325886798</v>
      </c>
      <c r="D827">
        <v>0.78207109580325196</v>
      </c>
      <c r="E827">
        <v>0.44049093977960602</v>
      </c>
      <c r="F827">
        <v>0.207738256235101</v>
      </c>
      <c r="G827">
        <v>0.116793648269023</v>
      </c>
      <c r="H827">
        <v>8.4358708851483999E-2</v>
      </c>
      <c r="I827">
        <v>4.7174063068583801E-2</v>
      </c>
      <c r="J827">
        <v>4.7832434792245901E-2</v>
      </c>
      <c r="K827">
        <v>7.7251211776592402E-2</v>
      </c>
      <c r="L827">
        <v>911.383908606305</v>
      </c>
      <c r="M827">
        <v>19.920684326598401</v>
      </c>
      <c r="N827">
        <v>46.050663596013997</v>
      </c>
      <c r="O827">
        <v>45.2970771764669</v>
      </c>
      <c r="P827">
        <v>-0.103256924006403</v>
      </c>
      <c r="Q827">
        <v>6.0859151464353403E-2</v>
      </c>
      <c r="R827">
        <v>0.99803095675180498</v>
      </c>
      <c r="S827" t="s">
        <v>7229</v>
      </c>
      <c r="T827" t="s">
        <v>12802</v>
      </c>
      <c r="U827" t="s">
        <v>12802</v>
      </c>
      <c r="V827" t="s">
        <v>12802</v>
      </c>
      <c r="W827" t="s">
        <v>13617</v>
      </c>
      <c r="X827">
        <v>3</v>
      </c>
      <c r="Y827" t="s">
        <v>19938</v>
      </c>
      <c r="Z827" t="s">
        <v>26145</v>
      </c>
      <c r="AA827">
        <v>0.34717873607119037</v>
      </c>
      <c r="AB827" t="str">
        <f>HYPERLINK("Melting_Curves/meltCurve_F8WEC0_MMADHC.pdf", "Melting_Curves/meltCurve_F8WEC0_MMADHC.pdf")</f>
        <v>Melting_Curves/meltCurve_F8WEC0_MMADHC.pdf</v>
      </c>
    </row>
    <row r="828" spans="1:28" x14ac:dyDescent="0.25">
      <c r="A828" t="s">
        <v>832</v>
      </c>
      <c r="B828">
        <v>0.99542014353169495</v>
      </c>
      <c r="C828">
        <v>1.03024766571546</v>
      </c>
      <c r="D828">
        <v>0.95307753107460003</v>
      </c>
      <c r="E828">
        <v>0.61378604305720696</v>
      </c>
      <c r="F828">
        <v>0.75214374500873704</v>
      </c>
      <c r="G828">
        <v>0.51143869773534201</v>
      </c>
      <c r="H828">
        <v>0.414516322775277</v>
      </c>
      <c r="I828">
        <v>0.36784470699471999</v>
      </c>
      <c r="J828">
        <v>0.53982432551153803</v>
      </c>
      <c r="K828">
        <v>0.51514330597594205</v>
      </c>
      <c r="L828">
        <v>766.98753825777806</v>
      </c>
      <c r="M828">
        <v>16.317498876098501</v>
      </c>
      <c r="N828">
        <v>55.688586442118101</v>
      </c>
      <c r="O828">
        <v>46.315035455705697</v>
      </c>
      <c r="P828">
        <v>-4.7499784743165602E-2</v>
      </c>
      <c r="Q828">
        <v>0.46075198748109503</v>
      </c>
      <c r="R828">
        <v>0.87018800848570999</v>
      </c>
      <c r="S828" t="s">
        <v>7230</v>
      </c>
      <c r="T828" t="s">
        <v>12802</v>
      </c>
      <c r="U828" t="s">
        <v>12802</v>
      </c>
      <c r="V828" t="s">
        <v>12802</v>
      </c>
      <c r="W828" t="s">
        <v>13618</v>
      </c>
      <c r="X828">
        <v>3</v>
      </c>
      <c r="Y828" t="s">
        <v>19939</v>
      </c>
      <c r="Z828" t="s">
        <v>26146</v>
      </c>
      <c r="AA828">
        <v>0.65098543856536506</v>
      </c>
      <c r="AB828" t="str">
        <f>HYPERLINK("Melting_Curves/meltCurve_F8WEE4_ZFAND2B.pdf", "Melting_Curves/meltCurve_F8WEE4_ZFAND2B.pdf")</f>
        <v>Melting_Curves/meltCurve_F8WEE4_ZFAND2B.pdf</v>
      </c>
    </row>
    <row r="829" spans="1:28" x14ac:dyDescent="0.25">
      <c r="A829" t="s">
        <v>833</v>
      </c>
      <c r="B829">
        <v>0.99542014353169495</v>
      </c>
      <c r="C829">
        <v>1.00028516070014</v>
      </c>
      <c r="D829">
        <v>0.89995661783501602</v>
      </c>
      <c r="E829">
        <v>0.58048078061484998</v>
      </c>
      <c r="F829">
        <v>0.29952897991446098</v>
      </c>
      <c r="G829">
        <v>0.170930419495085</v>
      </c>
      <c r="H829">
        <v>0.11866885851262</v>
      </c>
      <c r="I829">
        <v>7.0660618363165104E-2</v>
      </c>
      <c r="J829">
        <v>9.8232912524994706E-2</v>
      </c>
      <c r="K829">
        <v>0.11441641745664299</v>
      </c>
      <c r="L829">
        <v>978.44159682718805</v>
      </c>
      <c r="M829">
        <v>20.783229669130002</v>
      </c>
      <c r="N829">
        <v>47.563254875855797</v>
      </c>
      <c r="O829">
        <v>46.6490611541901</v>
      </c>
      <c r="P829">
        <v>-0.100751423469415</v>
      </c>
      <c r="Q829">
        <v>9.54576386400844E-2</v>
      </c>
      <c r="R829">
        <v>0.99828952387509495</v>
      </c>
      <c r="S829" t="s">
        <v>7231</v>
      </c>
      <c r="T829" t="s">
        <v>12802</v>
      </c>
      <c r="U829" t="s">
        <v>12802</v>
      </c>
      <c r="V829" t="s">
        <v>12802</v>
      </c>
      <c r="W829" t="s">
        <v>13619</v>
      </c>
      <c r="X829">
        <v>4</v>
      </c>
      <c r="Y829" t="s">
        <v>19940</v>
      </c>
      <c r="Z829" t="s">
        <v>26147</v>
      </c>
      <c r="AA829">
        <v>0.41032215433389918</v>
      </c>
      <c r="AB829" t="str">
        <f>HYPERLINK("Melting_Curves/meltCurve_F8WEG4_CBWD2.pdf", "Melting_Curves/meltCurve_F8WEG4_CBWD2.pdf")</f>
        <v>Melting_Curves/meltCurve_F8WEG4_CBWD2.pdf</v>
      </c>
    </row>
    <row r="830" spans="1:28" x14ac:dyDescent="0.25">
      <c r="A830" t="s">
        <v>834</v>
      </c>
      <c r="B830">
        <v>0.99542014353169495</v>
      </c>
      <c r="C830">
        <v>0.99809001458272695</v>
      </c>
      <c r="D830">
        <v>1.0911482659567699</v>
      </c>
      <c r="E830">
        <v>0.59101384790398603</v>
      </c>
      <c r="F830">
        <v>0.30680052000190799</v>
      </c>
      <c r="G830">
        <v>0.15085527774566301</v>
      </c>
      <c r="H830">
        <v>0.120007124346176</v>
      </c>
      <c r="I830">
        <v>8.7631426124970602E-2</v>
      </c>
      <c r="J830">
        <v>7.3474917206205401E-2</v>
      </c>
      <c r="K830">
        <v>0.12761394119599501</v>
      </c>
      <c r="L830">
        <v>1371.0708356714499</v>
      </c>
      <c r="M830">
        <v>28.982413455108901</v>
      </c>
      <c r="N830">
        <v>47.7206141975823</v>
      </c>
      <c r="O830">
        <v>47.0835071816172</v>
      </c>
      <c r="P830">
        <v>-0.13679717646836501</v>
      </c>
      <c r="Q830">
        <v>0.11106918308022699</v>
      </c>
      <c r="R830">
        <v>0.98268745262255897</v>
      </c>
      <c r="S830" t="s">
        <v>7232</v>
      </c>
      <c r="T830" t="s">
        <v>12802</v>
      </c>
      <c r="U830" t="s">
        <v>12802</v>
      </c>
      <c r="V830" t="s">
        <v>12802</v>
      </c>
      <c r="W830" t="s">
        <v>13620</v>
      </c>
      <c r="X830">
        <v>3</v>
      </c>
      <c r="Y830" t="s">
        <v>19941</v>
      </c>
      <c r="Z830" t="s">
        <v>26148</v>
      </c>
      <c r="AA830">
        <v>0.42204715838052148</v>
      </c>
      <c r="AB830" t="str">
        <f>HYPERLINK("Melting_Curves/meltCurve_F8WEG8_PRKRA.pdf", "Melting_Curves/meltCurve_F8WEG8_PRKRA.pdf")</f>
        <v>Melting_Curves/meltCurve_F8WEG8_PRKRA.pdf</v>
      </c>
    </row>
    <row r="831" spans="1:28" x14ac:dyDescent="0.25">
      <c r="A831" t="s">
        <v>835</v>
      </c>
      <c r="B831">
        <v>0.99542014353169495</v>
      </c>
      <c r="C831">
        <v>0.94020029321210696</v>
      </c>
      <c r="D831">
        <v>1.0422218950056801</v>
      </c>
      <c r="E831">
        <v>0.84457215971835398</v>
      </c>
      <c r="F831">
        <v>0.80854681409170504</v>
      </c>
      <c r="G831">
        <v>0.44845874284595799</v>
      </c>
      <c r="H831">
        <v>0.31337164490550401</v>
      </c>
      <c r="I831">
        <v>0.21343305511632299</v>
      </c>
      <c r="J831">
        <v>0.193687860777433</v>
      </c>
      <c r="K831">
        <v>0.17405617223259101</v>
      </c>
      <c r="L831">
        <v>974.04658598416097</v>
      </c>
      <c r="M831">
        <v>18.563417293247799</v>
      </c>
      <c r="N831">
        <v>53.583471710876601</v>
      </c>
      <c r="O831">
        <v>51.873756120376903</v>
      </c>
      <c r="P831">
        <v>-7.5164379564493997E-2</v>
      </c>
      <c r="Q831">
        <v>0.15987703422919899</v>
      </c>
      <c r="R831">
        <v>0.98422895995276205</v>
      </c>
      <c r="S831" t="s">
        <v>7233</v>
      </c>
      <c r="T831" t="s">
        <v>12802</v>
      </c>
      <c r="U831" t="s">
        <v>12802</v>
      </c>
      <c r="V831" t="s">
        <v>12802</v>
      </c>
      <c r="W831" t="s">
        <v>13621</v>
      </c>
      <c r="X831">
        <v>6</v>
      </c>
      <c r="Y831" t="s">
        <v>19942</v>
      </c>
      <c r="Z831" t="s">
        <v>26149</v>
      </c>
      <c r="AA831">
        <v>0.60511140569641786</v>
      </c>
      <c r="AB831" t="str">
        <f>HYPERLINK("Melting_Curves/meltCurve_F8WF48_SEC62.pdf", "Melting_Curves/meltCurve_F8WF48_SEC62.pdf")</f>
        <v>Melting_Curves/meltCurve_F8WF48_SEC62.pdf</v>
      </c>
    </row>
    <row r="832" spans="1:28" x14ac:dyDescent="0.25">
      <c r="A832" t="s">
        <v>836</v>
      </c>
      <c r="B832">
        <v>0.99542014353169495</v>
      </c>
      <c r="C832">
        <v>0.87984403478362405</v>
      </c>
      <c r="D832">
        <v>1.16327530928092</v>
      </c>
      <c r="E832">
        <v>0.66827313447550296</v>
      </c>
      <c r="F832">
        <v>0.62191565343245503</v>
      </c>
      <c r="G832">
        <v>0.205276813829884</v>
      </c>
      <c r="H832">
        <v>7.4084681775650599E-2</v>
      </c>
      <c r="I832">
        <v>4.1239570717562901E-2</v>
      </c>
      <c r="J832">
        <v>1.0355434032473699E-2</v>
      </c>
      <c r="K832">
        <v>1.4948641338438699E-2</v>
      </c>
      <c r="L832">
        <v>933.52663815481696</v>
      </c>
      <c r="M832">
        <v>18.499140830354399</v>
      </c>
      <c r="N832">
        <v>50.463243096297397</v>
      </c>
      <c r="O832">
        <v>49.884636271533999</v>
      </c>
      <c r="P832">
        <v>-9.2713701871485699E-2</v>
      </c>
      <c r="Q832">
        <v>0</v>
      </c>
      <c r="R832">
        <v>0.95112067630394803</v>
      </c>
      <c r="S832" t="s">
        <v>7234</v>
      </c>
      <c r="T832" t="s">
        <v>12802</v>
      </c>
      <c r="U832" t="s">
        <v>12802</v>
      </c>
      <c r="V832" t="s">
        <v>12802</v>
      </c>
      <c r="W832" t="s">
        <v>13622</v>
      </c>
      <c r="X832">
        <v>1</v>
      </c>
      <c r="Y832" t="s">
        <v>19943</v>
      </c>
      <c r="Z832" t="s">
        <v>26150</v>
      </c>
      <c r="AA832">
        <v>0.46375249928303081</v>
      </c>
      <c r="AB832" t="str">
        <f>HYPERLINK("Melting_Curves/meltCurve_F8WF93_ALG3.pdf", "Melting_Curves/meltCurve_F8WF93_ALG3.pdf")</f>
        <v>Melting_Curves/meltCurve_F8WF93_ALG3.pdf</v>
      </c>
    </row>
    <row r="833" spans="1:28" x14ac:dyDescent="0.25">
      <c r="A833" t="s">
        <v>837</v>
      </c>
      <c r="B833">
        <v>0.99542014353169495</v>
      </c>
      <c r="C833">
        <v>0.90821104025617305</v>
      </c>
      <c r="D833">
        <v>0.94455940615968903</v>
      </c>
      <c r="E833">
        <v>0.785209376759608</v>
      </c>
      <c r="F833">
        <v>0.74954954070604896</v>
      </c>
      <c r="G833">
        <v>0.28156441007683503</v>
      </c>
      <c r="H833">
        <v>8.7726919210612E-2</v>
      </c>
      <c r="I833">
        <v>6.1597754411679001E-2</v>
      </c>
      <c r="J833">
        <v>6.2148335688459101E-2</v>
      </c>
      <c r="K833">
        <v>6.4837646148628497E-2</v>
      </c>
      <c r="L833">
        <v>1068.5243748212999</v>
      </c>
      <c r="M833">
        <v>20.7129373655637</v>
      </c>
      <c r="N833">
        <v>51.7276864940442</v>
      </c>
      <c r="O833">
        <v>51.1136657916838</v>
      </c>
      <c r="P833">
        <v>-9.8541974757680006E-2</v>
      </c>
      <c r="Q833">
        <v>2.7332803380493001E-2</v>
      </c>
      <c r="R833">
        <v>0.97500650094061303</v>
      </c>
      <c r="S833" t="s">
        <v>7235</v>
      </c>
      <c r="T833" t="s">
        <v>12802</v>
      </c>
      <c r="U833" t="s">
        <v>12802</v>
      </c>
      <c r="V833" t="s">
        <v>12802</v>
      </c>
      <c r="W833" t="s">
        <v>13623</v>
      </c>
      <c r="X833">
        <v>13</v>
      </c>
      <c r="Y833" t="s">
        <v>19944</v>
      </c>
      <c r="Z833" t="s">
        <v>26151</v>
      </c>
      <c r="AA833">
        <v>0.51223116648322375</v>
      </c>
      <c r="AB833" t="str">
        <f>HYPERLINK("Melting_Curves/meltCurve_G3V0I5_NDUFV1.pdf", "Melting_Curves/meltCurve_G3V0I5_NDUFV1.pdf")</f>
        <v>Melting_Curves/meltCurve_G3V0I5_NDUFV1.pdf</v>
      </c>
    </row>
    <row r="834" spans="1:28" x14ac:dyDescent="0.25">
      <c r="A834" t="s">
        <v>838</v>
      </c>
      <c r="B834">
        <v>0.99542014353169495</v>
      </c>
      <c r="C834">
        <v>0.90696743320988704</v>
      </c>
      <c r="D834">
        <v>0.89877231571003502</v>
      </c>
      <c r="E834">
        <v>0.730892398183692</v>
      </c>
      <c r="F834">
        <v>0.420013451641643</v>
      </c>
      <c r="G834">
        <v>0.16308720315744801</v>
      </c>
      <c r="H834">
        <v>0.10099107196200401</v>
      </c>
      <c r="I834">
        <v>7.6464598494431907E-2</v>
      </c>
      <c r="J834">
        <v>7.2848499722334301E-2</v>
      </c>
      <c r="K834">
        <v>0.10054958732555699</v>
      </c>
      <c r="L834">
        <v>899.49063591660195</v>
      </c>
      <c r="M834">
        <v>18.483320599759399</v>
      </c>
      <c r="N834">
        <v>49.009739128895902</v>
      </c>
      <c r="O834">
        <v>48.106073587852997</v>
      </c>
      <c r="P834">
        <v>-9.0203601727991994E-2</v>
      </c>
      <c r="Q834">
        <v>6.0959151126651699E-2</v>
      </c>
      <c r="R834">
        <v>0.99292109538199202</v>
      </c>
      <c r="S834" t="s">
        <v>7236</v>
      </c>
      <c r="T834" t="s">
        <v>12802</v>
      </c>
      <c r="U834" t="s">
        <v>12802</v>
      </c>
      <c r="V834" t="s">
        <v>12802</v>
      </c>
      <c r="W834" t="s">
        <v>13624</v>
      </c>
      <c r="X834">
        <v>8</v>
      </c>
      <c r="Y834" t="s">
        <v>19945</v>
      </c>
      <c r="Z834" t="s">
        <v>26152</v>
      </c>
      <c r="AA834">
        <v>0.44036045364078252</v>
      </c>
      <c r="AB834" t="str">
        <f>HYPERLINK("Melting_Curves/meltCurve_G3V0I6_OTUD4.pdf", "Melting_Curves/meltCurve_G3V0I6_OTUD4.pdf")</f>
        <v>Melting_Curves/meltCurve_G3V0I6_OTUD4.pdf</v>
      </c>
    </row>
    <row r="835" spans="1:28" x14ac:dyDescent="0.25">
      <c r="A835" t="s">
        <v>839</v>
      </c>
      <c r="B835">
        <v>0.99542014353169495</v>
      </c>
      <c r="C835">
        <v>0.95850630683812599</v>
      </c>
      <c r="D835">
        <v>0.66297001831640401</v>
      </c>
      <c r="E835">
        <v>0.39061745585743302</v>
      </c>
      <c r="F835">
        <v>0.26372991440722898</v>
      </c>
      <c r="G835">
        <v>0.14005072763153301</v>
      </c>
      <c r="H835">
        <v>0.105980326374964</v>
      </c>
      <c r="I835">
        <v>6.9355367409270702E-2</v>
      </c>
      <c r="J835">
        <v>5.2023076541622602E-2</v>
      </c>
      <c r="K835">
        <v>4.2104809960711802E-2</v>
      </c>
      <c r="L835">
        <v>708.46807271412501</v>
      </c>
      <c r="M835">
        <v>15.6989293783487</v>
      </c>
      <c r="N835">
        <v>45.491781545007598</v>
      </c>
      <c r="O835">
        <v>44.415210504775501</v>
      </c>
      <c r="P835">
        <v>-8.3164563753704901E-2</v>
      </c>
      <c r="Q835">
        <v>5.89270391333966E-2</v>
      </c>
      <c r="R835">
        <v>0.99183481585856603</v>
      </c>
      <c r="S835" t="s">
        <v>7237</v>
      </c>
      <c r="T835" t="s">
        <v>12802</v>
      </c>
      <c r="U835" t="s">
        <v>12802</v>
      </c>
      <c r="V835" t="s">
        <v>12802</v>
      </c>
      <c r="W835" t="s">
        <v>13625</v>
      </c>
      <c r="X835">
        <v>2</v>
      </c>
      <c r="Y835" t="s">
        <v>19946</v>
      </c>
      <c r="Z835" t="s">
        <v>26153</v>
      </c>
      <c r="AA835">
        <v>0.33425663656671362</v>
      </c>
      <c r="AB835" t="str">
        <f>HYPERLINK("Melting_Curves/meltCurve_G3V167_PARP2.pdf", "Melting_Curves/meltCurve_G3V167_PARP2.pdf")</f>
        <v>Melting_Curves/meltCurve_G3V167_PARP2.pdf</v>
      </c>
    </row>
    <row r="836" spans="1:28" x14ac:dyDescent="0.25">
      <c r="A836" t="s">
        <v>840</v>
      </c>
      <c r="B836">
        <v>0.99542014353169495</v>
      </c>
      <c r="C836">
        <v>0.932971190910453</v>
      </c>
      <c r="D836">
        <v>0.84849292576603097</v>
      </c>
      <c r="E836">
        <v>0.80594729964508605</v>
      </c>
      <c r="F836">
        <v>0.63168833974392302</v>
      </c>
      <c r="G836">
        <v>0.49956199327860801</v>
      </c>
      <c r="H836">
        <v>0.108194722226785</v>
      </c>
      <c r="I836">
        <v>4.7562792821828903E-2</v>
      </c>
      <c r="J836">
        <v>3.9653061706052602E-2</v>
      </c>
      <c r="K836">
        <v>4.7023723351019397E-2</v>
      </c>
      <c r="L836">
        <v>735.66458477985702</v>
      </c>
      <c r="M836">
        <v>14.174527864579</v>
      </c>
      <c r="N836">
        <v>51.900483834834802</v>
      </c>
      <c r="O836">
        <v>50.900220860407899</v>
      </c>
      <c r="P836">
        <v>-6.9627964716429194E-2</v>
      </c>
      <c r="Q836">
        <v>0</v>
      </c>
      <c r="R836">
        <v>0.97055061114016306</v>
      </c>
      <c r="S836" t="s">
        <v>7238</v>
      </c>
      <c r="T836" t="s">
        <v>12802</v>
      </c>
      <c r="U836" t="s">
        <v>12802</v>
      </c>
      <c r="V836" t="s">
        <v>12802</v>
      </c>
      <c r="W836" t="s">
        <v>13626</v>
      </c>
      <c r="X836">
        <v>25</v>
      </c>
      <c r="Y836" t="s">
        <v>19947</v>
      </c>
      <c r="Z836" t="s">
        <v>26154</v>
      </c>
      <c r="AA836">
        <v>0.51719261597543964</v>
      </c>
      <c r="AB836" t="str">
        <f>HYPERLINK("Melting_Curves/meltCurve_G3V1C3_API5.pdf", "Melting_Curves/meltCurve_G3V1C3_API5.pdf")</f>
        <v>Melting_Curves/meltCurve_G3V1C3_API5.pdf</v>
      </c>
    </row>
    <row r="837" spans="1:28" x14ac:dyDescent="0.25">
      <c r="A837" t="s">
        <v>841</v>
      </c>
      <c r="B837">
        <v>0.99542014353169495</v>
      </c>
      <c r="C837">
        <v>1.0411998026284801</v>
      </c>
      <c r="D837">
        <v>1.03046050885709</v>
      </c>
      <c r="E837">
        <v>0.91580907124445898</v>
      </c>
      <c r="F837">
        <v>0.73980354923396496</v>
      </c>
      <c r="G837">
        <v>0.40545040371659302</v>
      </c>
      <c r="H837">
        <v>0.103976123438327</v>
      </c>
      <c r="I837">
        <v>5.4649073475214402E-2</v>
      </c>
      <c r="J837">
        <v>4.5784234000181501E-2</v>
      </c>
      <c r="K837">
        <v>5.3491611038041099E-2</v>
      </c>
      <c r="L837">
        <v>1208.25806754122</v>
      </c>
      <c r="M837">
        <v>23.032268656643499</v>
      </c>
      <c r="N837">
        <v>52.578828356488202</v>
      </c>
      <c r="O837">
        <v>52.068712750663501</v>
      </c>
      <c r="P837">
        <v>-0.107768719645642</v>
      </c>
      <c r="Q837">
        <v>2.5493661744850699E-2</v>
      </c>
      <c r="R837">
        <v>0.99601863139727098</v>
      </c>
      <c r="S837" t="s">
        <v>7239</v>
      </c>
      <c r="T837" t="s">
        <v>12802</v>
      </c>
      <c r="U837" t="s">
        <v>12802</v>
      </c>
      <c r="V837" t="s">
        <v>12802</v>
      </c>
      <c r="W837" t="s">
        <v>13627</v>
      </c>
      <c r="X837">
        <v>22</v>
      </c>
      <c r="Y837" t="s">
        <v>19948</v>
      </c>
      <c r="Z837" t="s">
        <v>26155</v>
      </c>
      <c r="AA837">
        <v>0.53761075936615632</v>
      </c>
      <c r="AB837" t="str">
        <f>HYPERLINK("Melting_Curves/meltCurve_G3V1D3_DPP3.pdf", "Melting_Curves/meltCurve_G3V1D3_DPP3.pdf")</f>
        <v>Melting_Curves/meltCurve_G3V1D3_DPP3.pdf</v>
      </c>
    </row>
    <row r="838" spans="1:28" x14ac:dyDescent="0.25">
      <c r="A838" t="s">
        <v>842</v>
      </c>
      <c r="B838">
        <v>0.99542014353169495</v>
      </c>
      <c r="C838">
        <v>1.01403665060812</v>
      </c>
      <c r="D838">
        <v>1.0010004272848201</v>
      </c>
      <c r="E838">
        <v>0.86291680268203996</v>
      </c>
      <c r="F838">
        <v>0.45343228820091103</v>
      </c>
      <c r="G838">
        <v>0.190994497500135</v>
      </c>
      <c r="H838">
        <v>0.10980424888086</v>
      </c>
      <c r="I838">
        <v>8.5603473539704905E-2</v>
      </c>
      <c r="J838">
        <v>0.11439541003723</v>
      </c>
      <c r="K838">
        <v>7.6458894460768007E-2</v>
      </c>
      <c r="L838">
        <v>1369.80368705509</v>
      </c>
      <c r="M838">
        <v>27.676137225113099</v>
      </c>
      <c r="N838">
        <v>49.858138160401097</v>
      </c>
      <c r="O838">
        <v>49.237795926863697</v>
      </c>
      <c r="P838">
        <v>-0.12766649023898899</v>
      </c>
      <c r="Q838">
        <v>9.1497460643503906E-2</v>
      </c>
      <c r="R838">
        <v>0.99914016931428595</v>
      </c>
      <c r="S838" t="s">
        <v>7240</v>
      </c>
      <c r="T838" t="s">
        <v>12802</v>
      </c>
      <c r="U838" t="s">
        <v>12802</v>
      </c>
      <c r="V838" t="s">
        <v>12802</v>
      </c>
      <c r="W838" t="s">
        <v>13628</v>
      </c>
      <c r="X838">
        <v>3</v>
      </c>
      <c r="Y838" t="s">
        <v>19949</v>
      </c>
      <c r="Z838" t="s">
        <v>26156</v>
      </c>
      <c r="AA838">
        <v>0.47634080817942182</v>
      </c>
      <c r="AB838" t="str">
        <f>HYPERLINK("Melting_Curves/meltCurve_G3V1K3_PON2.pdf", "Melting_Curves/meltCurve_G3V1K3_PON2.pdf")</f>
        <v>Melting_Curves/meltCurve_G3V1K3_PON2.pdf</v>
      </c>
    </row>
    <row r="839" spans="1:28" x14ac:dyDescent="0.25">
      <c r="A839" t="s">
        <v>843</v>
      </c>
      <c r="B839">
        <v>0.99542014353169495</v>
      </c>
      <c r="C839">
        <v>0.95135084327371</v>
      </c>
      <c r="D839">
        <v>0.967203976171783</v>
      </c>
      <c r="E839">
        <v>0.73590285274196399</v>
      </c>
      <c r="F839">
        <v>0.30366772000757503</v>
      </c>
      <c r="G839">
        <v>0.14000931078397799</v>
      </c>
      <c r="H839">
        <v>8.6622067406249198E-2</v>
      </c>
      <c r="I839">
        <v>6.5620302889902005E-2</v>
      </c>
      <c r="J839">
        <v>7.4530934250874301E-2</v>
      </c>
      <c r="K839">
        <v>8.0541458323150905E-2</v>
      </c>
      <c r="L839">
        <v>1278.9827488350199</v>
      </c>
      <c r="M839">
        <v>26.5470661167702</v>
      </c>
      <c r="N839">
        <v>48.470418202087103</v>
      </c>
      <c r="O839">
        <v>47.907043279910802</v>
      </c>
      <c r="P839">
        <v>-0.12828261670497099</v>
      </c>
      <c r="Q839">
        <v>7.40105635665778E-2</v>
      </c>
      <c r="R839">
        <v>0.99845862559917997</v>
      </c>
      <c r="S839" t="s">
        <v>7241</v>
      </c>
      <c r="T839" t="s">
        <v>12802</v>
      </c>
      <c r="U839" t="s">
        <v>12802</v>
      </c>
      <c r="V839" t="s">
        <v>12802</v>
      </c>
      <c r="W839" t="s">
        <v>13629</v>
      </c>
      <c r="X839">
        <v>39</v>
      </c>
      <c r="Y839" t="s">
        <v>19950</v>
      </c>
      <c r="Z839" t="s">
        <v>26157</v>
      </c>
      <c r="AA839">
        <v>0.42605664726714981</v>
      </c>
      <c r="AB839" t="str">
        <f>HYPERLINK("Melting_Curves/meltCurve_G3V1L9_TJP1.pdf", "Melting_Curves/meltCurve_G3V1L9_TJP1.pdf")</f>
        <v>Melting_Curves/meltCurve_G3V1L9_TJP1.pdf</v>
      </c>
    </row>
    <row r="840" spans="1:28" x14ac:dyDescent="0.25">
      <c r="A840" t="s">
        <v>844</v>
      </c>
      <c r="B840">
        <v>0.99542014353169495</v>
      </c>
      <c r="C840">
        <v>1.1383104827203501</v>
      </c>
      <c r="D840">
        <v>0.93604999306791203</v>
      </c>
      <c r="E840">
        <v>0.86456453550301504</v>
      </c>
      <c r="F840">
        <v>0.83992095126639998</v>
      </c>
      <c r="G840">
        <v>0.54564562914564096</v>
      </c>
      <c r="H840">
        <v>0.50545734866622505</v>
      </c>
      <c r="I840">
        <v>0.42950243008975098</v>
      </c>
      <c r="J840">
        <v>0.48676404005217</v>
      </c>
      <c r="K840">
        <v>0.42452897265144901</v>
      </c>
      <c r="L840">
        <v>971.65907177607005</v>
      </c>
      <c r="M840">
        <v>18.9647050649479</v>
      </c>
      <c r="N840">
        <v>57.158234015225197</v>
      </c>
      <c r="O840">
        <v>50.675650921517502</v>
      </c>
      <c r="P840">
        <v>-5.3336599123739198E-2</v>
      </c>
      <c r="Q840">
        <v>0.42993927796617698</v>
      </c>
      <c r="R840">
        <v>0.94315324055963701</v>
      </c>
      <c r="S840" t="s">
        <v>7242</v>
      </c>
      <c r="T840" t="s">
        <v>12802</v>
      </c>
      <c r="U840" t="s">
        <v>12802</v>
      </c>
      <c r="V840" t="s">
        <v>12802</v>
      </c>
      <c r="W840" t="s">
        <v>13630</v>
      </c>
      <c r="X840">
        <v>7</v>
      </c>
      <c r="Y840" t="s">
        <v>19951</v>
      </c>
      <c r="Z840" t="s">
        <v>26158</v>
      </c>
      <c r="AA840">
        <v>0.708548094914912</v>
      </c>
      <c r="AB840" t="str">
        <f>HYPERLINK("Melting_Curves/meltCurve_G3V1N2_HBA2.pdf", "Melting_Curves/meltCurve_G3V1N2_HBA2.pdf")</f>
        <v>Melting_Curves/meltCurve_G3V1N2_HBA2.pdf</v>
      </c>
    </row>
    <row r="841" spans="1:28" x14ac:dyDescent="0.25">
      <c r="A841" t="s">
        <v>845</v>
      </c>
      <c r="B841">
        <v>0.99542014353169495</v>
      </c>
      <c r="C841">
        <v>0.92642978272982401</v>
      </c>
      <c r="D841">
        <v>0.76495151089496505</v>
      </c>
      <c r="E841">
        <v>0.45591023883694998</v>
      </c>
      <c r="F841">
        <v>0.35607234115511799</v>
      </c>
      <c r="G841">
        <v>0.208294143627929</v>
      </c>
      <c r="H841">
        <v>0.17821936566364499</v>
      </c>
      <c r="I841">
        <v>0.106821001865123</v>
      </c>
      <c r="J841">
        <v>0.15837855405135701</v>
      </c>
      <c r="K841">
        <v>0.139553189625856</v>
      </c>
      <c r="L841">
        <v>695.895230303105</v>
      </c>
      <c r="M841">
        <v>15.239095706621599</v>
      </c>
      <c r="N841">
        <v>46.599673012677997</v>
      </c>
      <c r="O841">
        <v>44.900434819154199</v>
      </c>
      <c r="P841">
        <v>-7.3684632427169799E-2</v>
      </c>
      <c r="Q841">
        <v>0.131665562332621</v>
      </c>
      <c r="R841">
        <v>0.99319389907053002</v>
      </c>
      <c r="S841" t="s">
        <v>7243</v>
      </c>
      <c r="T841" t="s">
        <v>12802</v>
      </c>
      <c r="U841" t="s">
        <v>12802</v>
      </c>
      <c r="V841" t="s">
        <v>12802</v>
      </c>
      <c r="W841" t="s">
        <v>13631</v>
      </c>
      <c r="X841">
        <v>4</v>
      </c>
      <c r="Y841" t="s">
        <v>19952</v>
      </c>
      <c r="Z841" t="s">
        <v>26159</v>
      </c>
      <c r="AA841">
        <v>0.40207787553835272</v>
      </c>
      <c r="AB841" t="str">
        <f>HYPERLINK("Melting_Curves/meltCurve_G3V1N5_USP28.pdf", "Melting_Curves/meltCurve_G3V1N5_USP28.pdf")</f>
        <v>Melting_Curves/meltCurve_G3V1N5_USP28.pdf</v>
      </c>
    </row>
    <row r="842" spans="1:28" x14ac:dyDescent="0.25">
      <c r="A842" t="s">
        <v>846</v>
      </c>
      <c r="B842">
        <v>0.99542014353169495</v>
      </c>
      <c r="C842">
        <v>1.0332250446624001</v>
      </c>
      <c r="D842">
        <v>0.89862888531766905</v>
      </c>
      <c r="E842">
        <v>0.61947116539065294</v>
      </c>
      <c r="F842">
        <v>0.57325782556300797</v>
      </c>
      <c r="G842">
        <v>0.48367687004070697</v>
      </c>
      <c r="H842">
        <v>0.32788934447076701</v>
      </c>
      <c r="I842">
        <v>0.15111315731802699</v>
      </c>
      <c r="J842">
        <v>0.167553589434672</v>
      </c>
      <c r="K842">
        <v>0.15929051114513901</v>
      </c>
      <c r="L842">
        <v>493.49325337954002</v>
      </c>
      <c r="M842">
        <v>9.6501448016071905</v>
      </c>
      <c r="N842">
        <v>51.751636232483499</v>
      </c>
      <c r="O842">
        <v>49.087212821695502</v>
      </c>
      <c r="P842">
        <v>-4.6518646932295397E-2</v>
      </c>
      <c r="Q842">
        <v>5.4024941217372197E-2</v>
      </c>
      <c r="R842">
        <v>0.96906585174266402</v>
      </c>
      <c r="S842" t="s">
        <v>7244</v>
      </c>
      <c r="T842" t="s">
        <v>12802</v>
      </c>
      <c r="U842" t="s">
        <v>12802</v>
      </c>
      <c r="V842" t="s">
        <v>12802</v>
      </c>
      <c r="W842" t="s">
        <v>13632</v>
      </c>
      <c r="X842">
        <v>6</v>
      </c>
      <c r="Y842" t="s">
        <v>19953</v>
      </c>
      <c r="Z842" t="s">
        <v>26160</v>
      </c>
      <c r="AA842">
        <v>0.5288982565145941</v>
      </c>
      <c r="AB842" t="str">
        <f>HYPERLINK("Melting_Curves/meltCurve_G3V1P3_LOH12CR1.pdf", "Melting_Curves/meltCurve_G3V1P3_LOH12CR1.pdf")</f>
        <v>Melting_Curves/meltCurve_G3V1P3_LOH12CR1.pdf</v>
      </c>
    </row>
    <row r="843" spans="1:28" x14ac:dyDescent="0.25">
      <c r="A843" t="s">
        <v>847</v>
      </c>
      <c r="B843">
        <v>0.99542014353169495</v>
      </c>
      <c r="C843">
        <v>0.90419536780181398</v>
      </c>
      <c r="D843">
        <v>0.80515731763067999</v>
      </c>
      <c r="E843">
        <v>0.55774441596924995</v>
      </c>
      <c r="F843">
        <v>0.479621286989169</v>
      </c>
      <c r="G843">
        <v>0.22591191045331099</v>
      </c>
      <c r="H843">
        <v>6.5212019346864505E-2</v>
      </c>
      <c r="I843">
        <v>0</v>
      </c>
      <c r="J843">
        <v>0</v>
      </c>
      <c r="K843">
        <v>0</v>
      </c>
      <c r="L843">
        <v>612.73783580142504</v>
      </c>
      <c r="M843">
        <v>12.7148726055157</v>
      </c>
      <c r="N843">
        <v>48.190639080904901</v>
      </c>
      <c r="O843">
        <v>47.045251026893702</v>
      </c>
      <c r="P843">
        <v>-6.7580264621161804E-2</v>
      </c>
      <c r="Q843">
        <v>0</v>
      </c>
      <c r="R843">
        <v>0.983135180799388</v>
      </c>
      <c r="S843" t="s">
        <v>7245</v>
      </c>
      <c r="T843" t="s">
        <v>12802</v>
      </c>
      <c r="U843" t="s">
        <v>12802</v>
      </c>
      <c r="V843" t="s">
        <v>12802</v>
      </c>
      <c r="W843" t="s">
        <v>13633</v>
      </c>
      <c r="X843">
        <v>1</v>
      </c>
      <c r="Y843" t="s">
        <v>19954</v>
      </c>
      <c r="Z843" t="s">
        <v>26161</v>
      </c>
      <c r="AA843">
        <v>0.40150596905681402</v>
      </c>
      <c r="AB843" t="str">
        <f>HYPERLINK("Melting_Curves/meltCurve_G3V1P9_LEPREL2.pdf", "Melting_Curves/meltCurve_G3V1P9_LEPREL2.pdf")</f>
        <v>Melting_Curves/meltCurve_G3V1P9_LEPREL2.pdf</v>
      </c>
    </row>
    <row r="844" spans="1:28" x14ac:dyDescent="0.25">
      <c r="A844" t="s">
        <v>848</v>
      </c>
      <c r="B844">
        <v>0.99542014353169495</v>
      </c>
      <c r="C844">
        <v>0.88353017971773895</v>
      </c>
      <c r="D844">
        <v>0.94468387125872999</v>
      </c>
      <c r="E844">
        <v>0.81628072067646495</v>
      </c>
      <c r="F844">
        <v>0.74185835605005801</v>
      </c>
      <c r="G844">
        <v>0.356382688996634</v>
      </c>
      <c r="H844">
        <v>0.27821606151842698</v>
      </c>
      <c r="I844">
        <v>0.234567599158406</v>
      </c>
      <c r="J844">
        <v>0.140856292584573</v>
      </c>
      <c r="K844">
        <v>0.113968499724952</v>
      </c>
      <c r="L844">
        <v>707.2180944429</v>
      </c>
      <c r="M844">
        <v>13.6033210005416</v>
      </c>
      <c r="N844">
        <v>52.682578281037202</v>
      </c>
      <c r="O844">
        <v>50.903738588275402</v>
      </c>
      <c r="P844">
        <v>-6.1338164022491197E-2</v>
      </c>
      <c r="Q844">
        <v>8.2024247461132599E-2</v>
      </c>
      <c r="R844">
        <v>0.975312597088558</v>
      </c>
      <c r="S844" t="s">
        <v>7246</v>
      </c>
      <c r="T844" t="s">
        <v>12802</v>
      </c>
      <c r="U844" t="s">
        <v>12802</v>
      </c>
      <c r="V844" t="s">
        <v>12802</v>
      </c>
      <c r="W844" t="s">
        <v>13634</v>
      </c>
      <c r="X844">
        <v>29</v>
      </c>
      <c r="Y844" t="s">
        <v>19955</v>
      </c>
      <c r="Z844" t="s">
        <v>26162</v>
      </c>
      <c r="AA844">
        <v>0.56018880123118164</v>
      </c>
      <c r="AB844" t="str">
        <f>HYPERLINK("Melting_Curves/meltCurve_G3V1Q4_SEPT7.pdf", "Melting_Curves/meltCurve_G3V1Q4_SEPT7.pdf")</f>
        <v>Melting_Curves/meltCurve_G3V1Q4_SEPT7.pdf</v>
      </c>
    </row>
    <row r="845" spans="1:28" x14ac:dyDescent="0.25">
      <c r="A845" t="s">
        <v>849</v>
      </c>
      <c r="B845">
        <v>0.99542014353169495</v>
      </c>
      <c r="C845">
        <v>1.0656145432931201</v>
      </c>
      <c r="D845">
        <v>0.930993803405884</v>
      </c>
      <c r="E845">
        <v>1.1799623963085699</v>
      </c>
      <c r="F845">
        <v>0.97415603022772301</v>
      </c>
      <c r="G845">
        <v>0.75851392780001603</v>
      </c>
      <c r="H845">
        <v>0.50912689007985001</v>
      </c>
      <c r="I845">
        <v>0.15459204518216799</v>
      </c>
      <c r="J845">
        <v>0.11662311656858999</v>
      </c>
      <c r="K845">
        <v>0.211714579756687</v>
      </c>
      <c r="L845">
        <v>1544.8501532610001</v>
      </c>
      <c r="M845">
        <v>27.464867388081</v>
      </c>
      <c r="N845">
        <v>56.868585012566598</v>
      </c>
      <c r="O845">
        <v>55.952544733594003</v>
      </c>
      <c r="P845">
        <v>-0.106831312793702</v>
      </c>
      <c r="Q845">
        <v>0.129443350645045</v>
      </c>
      <c r="R845">
        <v>0.95991861237287102</v>
      </c>
      <c r="S845" t="s">
        <v>7247</v>
      </c>
      <c r="T845" t="s">
        <v>12802</v>
      </c>
      <c r="U845" t="s">
        <v>12802</v>
      </c>
      <c r="V845" t="s">
        <v>12802</v>
      </c>
      <c r="W845" t="s">
        <v>13635</v>
      </c>
      <c r="X845">
        <v>2</v>
      </c>
      <c r="Y845" t="s">
        <v>19956</v>
      </c>
      <c r="Z845" t="s">
        <v>26163</v>
      </c>
      <c r="AA845">
        <v>0.69412978670165726</v>
      </c>
      <c r="AB845" t="str">
        <f>HYPERLINK("Melting_Curves/meltCurve_G3V1Q7_PMFBP1.pdf", "Melting_Curves/meltCurve_G3V1Q7_PMFBP1.pdf")</f>
        <v>Melting_Curves/meltCurve_G3V1Q7_PMFBP1.pdf</v>
      </c>
    </row>
    <row r="846" spans="1:28" x14ac:dyDescent="0.25">
      <c r="A846" t="s">
        <v>850</v>
      </c>
      <c r="B846">
        <v>0.99542014353169495</v>
      </c>
      <c r="C846">
        <v>1.0164663881265601</v>
      </c>
      <c r="D846">
        <v>0.81559282251035403</v>
      </c>
      <c r="E846">
        <v>0.651525328167461</v>
      </c>
      <c r="F846">
        <v>0.55248687868718105</v>
      </c>
      <c r="G846">
        <v>0.379609248451106</v>
      </c>
      <c r="H846">
        <v>0.63368049846966601</v>
      </c>
      <c r="I846">
        <v>0.61492655036655497</v>
      </c>
      <c r="J846">
        <v>0.58562764828896896</v>
      </c>
      <c r="K846">
        <v>1.0201792851234099</v>
      </c>
      <c r="L846">
        <v>3799.4331796292499</v>
      </c>
      <c r="M846">
        <v>88.372372641033095</v>
      </c>
      <c r="O846">
        <v>42.971448198013903</v>
      </c>
      <c r="P846">
        <v>-0.18820475446658599</v>
      </c>
      <c r="Q846">
        <v>0.63393853105174502</v>
      </c>
      <c r="R846">
        <v>0.50015142277177804</v>
      </c>
      <c r="S846" t="s">
        <v>7248</v>
      </c>
      <c r="T846" t="s">
        <v>12802</v>
      </c>
      <c r="U846" t="s">
        <v>12802</v>
      </c>
      <c r="V846" t="s">
        <v>12802</v>
      </c>
      <c r="W846" t="s">
        <v>13636</v>
      </c>
      <c r="X846">
        <v>2</v>
      </c>
      <c r="Y846" t="s">
        <v>19957</v>
      </c>
      <c r="Z846" t="s">
        <v>26164</v>
      </c>
      <c r="AA846">
        <v>0.70729228995430837</v>
      </c>
      <c r="AB846" t="str">
        <f>HYPERLINK("Melting_Curves/meltCurve_G3V1S9_ACSL6.pdf", "Melting_Curves/meltCurve_G3V1S9_ACSL6.pdf")</f>
        <v>Melting_Curves/meltCurve_G3V1S9_ACSL6.pdf</v>
      </c>
    </row>
    <row r="847" spans="1:28" x14ac:dyDescent="0.25">
      <c r="A847" t="s">
        <v>851</v>
      </c>
      <c r="B847">
        <v>0.99542014353169495</v>
      </c>
      <c r="C847">
        <v>0.96300364557277596</v>
      </c>
      <c r="D847">
        <v>0.88001203155622698</v>
      </c>
      <c r="E847">
        <v>0.78399234217263003</v>
      </c>
      <c r="F847">
        <v>0.70747367485863299</v>
      </c>
      <c r="G847">
        <v>0.56413343977512598</v>
      </c>
      <c r="H847">
        <v>0.47355266913244598</v>
      </c>
      <c r="I847">
        <v>0.44680795966661702</v>
      </c>
      <c r="J847">
        <v>0.654119732452769</v>
      </c>
      <c r="K847">
        <v>0.795599199772142</v>
      </c>
      <c r="L847">
        <v>846.536580024665</v>
      </c>
      <c r="M847">
        <v>18.4594366795267</v>
      </c>
      <c r="O847">
        <v>45.3312633128606</v>
      </c>
      <c r="P847">
        <v>-4.1869824090704798E-2</v>
      </c>
      <c r="Q847">
        <v>0.58873569656975</v>
      </c>
      <c r="R847">
        <v>0.73224122668027103</v>
      </c>
      <c r="S847" t="s">
        <v>7249</v>
      </c>
      <c r="T847" t="s">
        <v>12802</v>
      </c>
      <c r="U847" t="s">
        <v>12802</v>
      </c>
      <c r="V847" t="s">
        <v>12802</v>
      </c>
      <c r="W847" t="s">
        <v>13637</v>
      </c>
      <c r="X847">
        <v>2</v>
      </c>
      <c r="Y847" t="s">
        <v>19958</v>
      </c>
      <c r="Z847" t="s">
        <v>26165</v>
      </c>
      <c r="AA847">
        <v>0.71651318298531641</v>
      </c>
      <c r="AB847" t="str">
        <f>HYPERLINK("Melting_Curves/meltCurve_G3V1U5_GOLT1B.pdf", "Melting_Curves/meltCurve_G3V1U5_GOLT1B.pdf")</f>
        <v>Melting_Curves/meltCurve_G3V1U5_GOLT1B.pdf</v>
      </c>
    </row>
    <row r="848" spans="1:28" x14ac:dyDescent="0.25">
      <c r="A848" t="s">
        <v>852</v>
      </c>
      <c r="B848">
        <v>0.99542014353169495</v>
      </c>
      <c r="C848">
        <v>1.0134919092610299</v>
      </c>
      <c r="D848">
        <v>0.98919091246276203</v>
      </c>
      <c r="E848">
        <v>0.98528168364422497</v>
      </c>
      <c r="F848">
        <v>0.82968080328740601</v>
      </c>
      <c r="G848">
        <v>0.72315929799508505</v>
      </c>
      <c r="H848">
        <v>0.39091676214879301</v>
      </c>
      <c r="I848">
        <v>0.422982369742469</v>
      </c>
      <c r="J848">
        <v>0.438315659105176</v>
      </c>
      <c r="K848">
        <v>0.64391582326033103</v>
      </c>
      <c r="L848">
        <v>1489.1916718833399</v>
      </c>
      <c r="M848">
        <v>28.46806078945</v>
      </c>
      <c r="N848">
        <v>58.484345137395501</v>
      </c>
      <c r="O848">
        <v>52.0548673511544</v>
      </c>
      <c r="P848">
        <v>-7.1747877048561698E-2</v>
      </c>
      <c r="Q848">
        <v>0.47522986324908001</v>
      </c>
      <c r="R848">
        <v>0.90167796981816295</v>
      </c>
      <c r="S848" t="s">
        <v>7250</v>
      </c>
      <c r="T848" t="s">
        <v>12802</v>
      </c>
      <c r="U848" t="s">
        <v>12802</v>
      </c>
      <c r="V848" t="s">
        <v>12802</v>
      </c>
      <c r="W848" t="s">
        <v>13638</v>
      </c>
      <c r="X848">
        <v>9</v>
      </c>
      <c r="Y848" t="s">
        <v>19959</v>
      </c>
      <c r="Z848" t="s">
        <v>26166</v>
      </c>
      <c r="AA848">
        <v>0.74672165147998137</v>
      </c>
      <c r="AB848" t="str">
        <f>HYPERLINK("Melting_Curves/meltCurve_G3V1V4_GTSF1.pdf", "Melting_Curves/meltCurve_G3V1V4_GTSF1.pdf")</f>
        <v>Melting_Curves/meltCurve_G3V1V4_GTSF1.pdf</v>
      </c>
    </row>
    <row r="849" spans="1:28" x14ac:dyDescent="0.25">
      <c r="A849" t="s">
        <v>853</v>
      </c>
      <c r="B849">
        <v>0.99542014353169495</v>
      </c>
      <c r="C849">
        <v>0.82554360885130895</v>
      </c>
      <c r="D849">
        <v>0.87240506535996298</v>
      </c>
      <c r="E849">
        <v>0.92508605334307603</v>
      </c>
      <c r="F849">
        <v>0.78404969126399804</v>
      </c>
      <c r="G849">
        <v>0.51864711324415103</v>
      </c>
      <c r="H849">
        <v>0.39716393642872899</v>
      </c>
      <c r="I849">
        <v>0.41757820286854302</v>
      </c>
      <c r="J849">
        <v>0.54097851696770005</v>
      </c>
      <c r="K849">
        <v>0.62465717772901197</v>
      </c>
      <c r="L849">
        <v>1952.7487717275401</v>
      </c>
      <c r="M849">
        <v>38.735159598395697</v>
      </c>
      <c r="N849">
        <v>56.462348709423402</v>
      </c>
      <c r="O849">
        <v>50.278997355993297</v>
      </c>
      <c r="P849">
        <v>-9.7818567161347597E-2</v>
      </c>
      <c r="Q849">
        <v>0.49211928120924903</v>
      </c>
      <c r="R849">
        <v>0.79874722445050805</v>
      </c>
      <c r="S849" t="s">
        <v>7251</v>
      </c>
      <c r="T849" t="s">
        <v>12802</v>
      </c>
      <c r="U849" t="s">
        <v>12802</v>
      </c>
      <c r="V849" t="s">
        <v>12802</v>
      </c>
      <c r="W849" t="s">
        <v>13639</v>
      </c>
      <c r="X849">
        <v>1</v>
      </c>
      <c r="Y849" t="s">
        <v>19960</v>
      </c>
      <c r="Z849" t="s">
        <v>26167</v>
      </c>
      <c r="AA849">
        <v>0.72107583867688696</v>
      </c>
      <c r="AB849" t="str">
        <f>HYPERLINK("Melting_Curves/meltCurve_G3V1X5_YAF2.pdf", "Melting_Curves/meltCurve_G3V1X5_YAF2.pdf")</f>
        <v>Melting_Curves/meltCurve_G3V1X5_YAF2.pdf</v>
      </c>
    </row>
    <row r="850" spans="1:28" x14ac:dyDescent="0.25">
      <c r="A850" t="s">
        <v>854</v>
      </c>
      <c r="B850">
        <v>0.99542014353169495</v>
      </c>
      <c r="C850">
        <v>0.96483671772829804</v>
      </c>
      <c r="D850">
        <v>0.890110448393714</v>
      </c>
      <c r="E850">
        <v>0.862558321462501</v>
      </c>
      <c r="F850">
        <v>0.69645519511572296</v>
      </c>
      <c r="G850">
        <v>0.36404242866361303</v>
      </c>
      <c r="H850">
        <v>0.16424867284360301</v>
      </c>
      <c r="I850">
        <v>0.101899249468796</v>
      </c>
      <c r="J850">
        <v>0.170548589445497</v>
      </c>
      <c r="K850">
        <v>0.16773043153594999</v>
      </c>
      <c r="L850">
        <v>1043.4232670885499</v>
      </c>
      <c r="M850">
        <v>20.353740871760301</v>
      </c>
      <c r="N850">
        <v>51.959564450090902</v>
      </c>
      <c r="O850">
        <v>50.777310697589101</v>
      </c>
      <c r="P850">
        <v>-8.8269942786522101E-2</v>
      </c>
      <c r="Q850">
        <v>0.11918459577752701</v>
      </c>
      <c r="R850">
        <v>0.98405759814856297</v>
      </c>
      <c r="S850" t="s">
        <v>7252</v>
      </c>
      <c r="T850" t="s">
        <v>12802</v>
      </c>
      <c r="U850" t="s">
        <v>12802</v>
      </c>
      <c r="V850" t="s">
        <v>12802</v>
      </c>
      <c r="W850" t="s">
        <v>13640</v>
      </c>
      <c r="X850">
        <v>5</v>
      </c>
      <c r="Y850" t="s">
        <v>19961</v>
      </c>
      <c r="Z850" t="s">
        <v>26168</v>
      </c>
      <c r="AA850">
        <v>0.54916868460842538</v>
      </c>
      <c r="AB850" t="str">
        <f>HYPERLINK("Melting_Curves/meltCurve_G3V203_RPL18.pdf", "Melting_Curves/meltCurve_G3V203_RPL18.pdf")</f>
        <v>Melting_Curves/meltCurve_G3V203_RPL18.pdf</v>
      </c>
    </row>
    <row r="851" spans="1:28" x14ac:dyDescent="0.25">
      <c r="A851" t="s">
        <v>855</v>
      </c>
      <c r="B851">
        <v>0.99542014353169495</v>
      </c>
      <c r="C851">
        <v>1.0201628289960101</v>
      </c>
      <c r="D851">
        <v>1.01056129590064</v>
      </c>
      <c r="E851">
        <v>0.78021712621019201</v>
      </c>
      <c r="F851">
        <v>0.22175330726828399</v>
      </c>
      <c r="G851">
        <v>9.6601386974156003E-2</v>
      </c>
      <c r="H851">
        <v>9.9029529565293498E-2</v>
      </c>
      <c r="I851">
        <v>9.9357530901451704E-2</v>
      </c>
      <c r="J851">
        <v>9.8072528300320497E-2</v>
      </c>
      <c r="K851">
        <v>0.119892711147648</v>
      </c>
      <c r="L851">
        <v>1982.7126028458999</v>
      </c>
      <c r="M851">
        <v>41.402726451993402</v>
      </c>
      <c r="N851">
        <v>48.1513640621192</v>
      </c>
      <c r="O851">
        <v>47.777125378106199</v>
      </c>
      <c r="P851">
        <v>-0.19472760910116799</v>
      </c>
      <c r="Q851">
        <v>0.101169171807373</v>
      </c>
      <c r="R851">
        <v>0.99919048537801103</v>
      </c>
      <c r="S851" t="s">
        <v>7253</v>
      </c>
      <c r="T851" t="s">
        <v>12802</v>
      </c>
      <c r="U851" t="s">
        <v>12802</v>
      </c>
      <c r="V851" t="s">
        <v>12802</v>
      </c>
      <c r="W851" t="s">
        <v>13641</v>
      </c>
      <c r="X851">
        <v>2</v>
      </c>
      <c r="Y851" t="s">
        <v>19962</v>
      </c>
      <c r="Z851" t="s">
        <v>26169</v>
      </c>
      <c r="AA851">
        <v>0.43017429350010439</v>
      </c>
      <c r="AB851" t="str">
        <f>HYPERLINK("Melting_Curves/meltCurve_G3V238_METTL10.pdf", "Melting_Curves/meltCurve_G3V238_METTL10.pdf")</f>
        <v>Melting_Curves/meltCurve_G3V238_METTL10.pdf</v>
      </c>
    </row>
    <row r="852" spans="1:28" x14ac:dyDescent="0.25">
      <c r="A852" t="s">
        <v>856</v>
      </c>
      <c r="B852">
        <v>0.99542014353169495</v>
      </c>
      <c r="C852">
        <v>0.93104007428992497</v>
      </c>
      <c r="D852">
        <v>0.97389792928729302</v>
      </c>
      <c r="E852">
        <v>0.81230360436534199</v>
      </c>
      <c r="F852">
        <v>0.67260150063479995</v>
      </c>
      <c r="G852">
        <v>0.35885982718147802</v>
      </c>
      <c r="H852">
        <v>7.6755357023433099E-2</v>
      </c>
      <c r="I852">
        <v>4.7372430427590699E-2</v>
      </c>
      <c r="J852">
        <v>3.8160416967458498E-2</v>
      </c>
      <c r="K852">
        <v>3.8634850924689101E-2</v>
      </c>
      <c r="L852">
        <v>928.79969691951101</v>
      </c>
      <c r="M852">
        <v>17.965274911425499</v>
      </c>
      <c r="N852">
        <v>51.699734321557898</v>
      </c>
      <c r="O852">
        <v>51.071913945767001</v>
      </c>
      <c r="P852">
        <v>-8.7945447329206505E-2</v>
      </c>
      <c r="Q852">
        <v>0</v>
      </c>
      <c r="R852">
        <v>0.99005443703854901</v>
      </c>
      <c r="S852" t="s">
        <v>7254</v>
      </c>
      <c r="T852" t="s">
        <v>12802</v>
      </c>
      <c r="U852" t="s">
        <v>12802</v>
      </c>
      <c r="V852" t="s">
        <v>12802</v>
      </c>
      <c r="W852" t="s">
        <v>13642</v>
      </c>
      <c r="X852">
        <v>58</v>
      </c>
      <c r="Y852" t="s">
        <v>19963</v>
      </c>
      <c r="Z852" t="s">
        <v>26170</v>
      </c>
      <c r="AA852">
        <v>0.50528884606993629</v>
      </c>
      <c r="AB852" t="str">
        <f>HYPERLINK("Melting_Curves/meltCurve_G3V2B8_MTHFD1.pdf", "Melting_Curves/meltCurve_G3V2B8_MTHFD1.pdf")</f>
        <v>Melting_Curves/meltCurve_G3V2B8_MTHFD1.pdf</v>
      </c>
    </row>
    <row r="853" spans="1:28" x14ac:dyDescent="0.25">
      <c r="A853" t="s">
        <v>857</v>
      </c>
      <c r="B853">
        <v>0.99542014353169495</v>
      </c>
      <c r="C853">
        <v>0.96117510559544495</v>
      </c>
      <c r="D853">
        <v>0.91880748588264705</v>
      </c>
      <c r="E853">
        <v>0.94769711261252698</v>
      </c>
      <c r="F853">
        <v>0.64732936190294399</v>
      </c>
      <c r="G853">
        <v>0.39763479535372198</v>
      </c>
      <c r="H853">
        <v>0.125869176046285</v>
      </c>
      <c r="I853">
        <v>4.8445953963638398E-2</v>
      </c>
      <c r="J853">
        <v>4.1066839280636598E-2</v>
      </c>
      <c r="K853">
        <v>4.0369726074226897E-2</v>
      </c>
      <c r="L853">
        <v>997.98248521599203</v>
      </c>
      <c r="M853">
        <v>19.146866912580201</v>
      </c>
      <c r="N853">
        <v>52.167962258994898</v>
      </c>
      <c r="O853">
        <v>51.563917113483598</v>
      </c>
      <c r="P853">
        <v>-9.2066170802624303E-2</v>
      </c>
      <c r="Q853">
        <v>8.2745446308101298E-3</v>
      </c>
      <c r="R853">
        <v>0.99331147814008902</v>
      </c>
      <c r="S853" t="s">
        <v>7255</v>
      </c>
      <c r="T853" t="s">
        <v>12802</v>
      </c>
      <c r="U853" t="s">
        <v>12802</v>
      </c>
      <c r="V853" t="s">
        <v>12802</v>
      </c>
      <c r="W853" t="s">
        <v>13643</v>
      </c>
      <c r="X853">
        <v>16</v>
      </c>
      <c r="Y853" t="s">
        <v>19964</v>
      </c>
      <c r="Z853" t="s">
        <v>26171</v>
      </c>
      <c r="AA853">
        <v>0.52184108495921411</v>
      </c>
      <c r="AB853" t="str">
        <f>HYPERLINK("Melting_Curves/meltCurve_G3V2F7_TMEM189.pdf", "Melting_Curves/meltCurve_G3V2F7_TMEM189.pdf")</f>
        <v>Melting_Curves/meltCurve_G3V2F7_TMEM189.pdf</v>
      </c>
    </row>
    <row r="854" spans="1:28" x14ac:dyDescent="0.25">
      <c r="A854" t="s">
        <v>858</v>
      </c>
      <c r="B854">
        <v>0.99542014353169495</v>
      </c>
      <c r="C854">
        <v>1.05973362342677</v>
      </c>
      <c r="D854">
        <v>0.77570404448693298</v>
      </c>
      <c r="E854">
        <v>0.78378703413113304</v>
      </c>
      <c r="F854">
        <v>0.59638275064229995</v>
      </c>
      <c r="G854">
        <v>0.38815371345691702</v>
      </c>
      <c r="H854">
        <v>0.21266205577084801</v>
      </c>
      <c r="I854">
        <v>0.10107024581943</v>
      </c>
      <c r="J854">
        <v>9.3079845330646602E-2</v>
      </c>
      <c r="K854">
        <v>0.143540516161626</v>
      </c>
      <c r="L854">
        <v>599.81640815982405</v>
      </c>
      <c r="M854">
        <v>11.743882549321601</v>
      </c>
      <c r="N854">
        <v>51.317053629004299</v>
      </c>
      <c r="O854">
        <v>49.6613343934618</v>
      </c>
      <c r="P854">
        <v>-5.7540702575289197E-2</v>
      </c>
      <c r="Q854">
        <v>2.69659509485836E-2</v>
      </c>
      <c r="R854">
        <v>0.97303941597719401</v>
      </c>
      <c r="S854" t="s">
        <v>7256</v>
      </c>
      <c r="T854" t="s">
        <v>12802</v>
      </c>
      <c r="U854" t="s">
        <v>12802</v>
      </c>
      <c r="V854" t="s">
        <v>12802</v>
      </c>
      <c r="W854" t="s">
        <v>13644</v>
      </c>
      <c r="X854">
        <v>4</v>
      </c>
      <c r="Y854" t="s">
        <v>19965</v>
      </c>
      <c r="Z854" t="s">
        <v>26172</v>
      </c>
      <c r="AA854">
        <v>0.50918003277852775</v>
      </c>
      <c r="AB854" t="str">
        <f>HYPERLINK("Melting_Curves/meltCurve_G3V2U7_ACYP1.pdf", "Melting_Curves/meltCurve_G3V2U7_ACYP1.pdf")</f>
        <v>Melting_Curves/meltCurve_G3V2U7_ACYP1.pdf</v>
      </c>
    </row>
    <row r="855" spans="1:28" x14ac:dyDescent="0.25">
      <c r="A855" t="s">
        <v>859</v>
      </c>
      <c r="B855">
        <v>0.99542014353169495</v>
      </c>
      <c r="C855">
        <v>0.92703598789729402</v>
      </c>
      <c r="D855">
        <v>0.816219651242727</v>
      </c>
      <c r="E855">
        <v>0.57030076830429399</v>
      </c>
      <c r="F855">
        <v>0.46312203547427799</v>
      </c>
      <c r="G855">
        <v>0.32556798236180901</v>
      </c>
      <c r="H855">
        <v>0.22898673949166101</v>
      </c>
      <c r="I855">
        <v>0.189501073507198</v>
      </c>
      <c r="J855">
        <v>0.335084690166215</v>
      </c>
      <c r="K855">
        <v>0.41829858343440601</v>
      </c>
      <c r="L855">
        <v>778.58077524724104</v>
      </c>
      <c r="M855">
        <v>17.0673778048867</v>
      </c>
      <c r="N855">
        <v>48.054216334129002</v>
      </c>
      <c r="O855">
        <v>45.005618421721202</v>
      </c>
      <c r="P855">
        <v>-6.7361962860737506E-2</v>
      </c>
      <c r="Q855">
        <v>0.28952592657998999</v>
      </c>
      <c r="R855">
        <v>0.94850765207384502</v>
      </c>
      <c r="S855" t="s">
        <v>7257</v>
      </c>
      <c r="T855" t="s">
        <v>12802</v>
      </c>
      <c r="U855" t="s">
        <v>12802</v>
      </c>
      <c r="V855" t="s">
        <v>12802</v>
      </c>
      <c r="W855" t="s">
        <v>13645</v>
      </c>
      <c r="X855">
        <v>7</v>
      </c>
      <c r="Y855" t="s">
        <v>19966</v>
      </c>
      <c r="Z855" t="s">
        <v>26173</v>
      </c>
      <c r="AA855">
        <v>0.50646089718162701</v>
      </c>
      <c r="AB855" t="str">
        <f>HYPERLINK("Melting_Curves/meltCurve_G3V325_ATP5J2_PTCD1.pdf", "Melting_Curves/meltCurve_G3V325_ATP5J2_PTCD1.pdf")</f>
        <v>Melting_Curves/meltCurve_G3V325_ATP5J2_PTCD1.pdf</v>
      </c>
    </row>
    <row r="856" spans="1:28" x14ac:dyDescent="0.25">
      <c r="A856" t="s">
        <v>860</v>
      </c>
      <c r="B856">
        <v>0.99542014353169495</v>
      </c>
      <c r="C856">
        <v>0.77417668800042705</v>
      </c>
      <c r="D856">
        <v>0.77227877481435103</v>
      </c>
      <c r="E856">
        <v>0.448174094305267</v>
      </c>
      <c r="F856">
        <v>0.44988625011294398</v>
      </c>
      <c r="G856">
        <v>0.21118215575767499</v>
      </c>
      <c r="H856">
        <v>0.21098547139530199</v>
      </c>
      <c r="I856">
        <v>0.233148185472663</v>
      </c>
      <c r="J856">
        <v>0.427540058799665</v>
      </c>
      <c r="K856">
        <v>0.54621610191848202</v>
      </c>
      <c r="L856">
        <v>756.113583005142</v>
      </c>
      <c r="M856">
        <v>17.452506106584799</v>
      </c>
      <c r="N856">
        <v>46.1809582886154</v>
      </c>
      <c r="O856">
        <v>42.767262948630702</v>
      </c>
      <c r="P856">
        <v>-6.8342477471459703E-2</v>
      </c>
      <c r="Q856">
        <v>0.330145920625457</v>
      </c>
      <c r="R856">
        <v>0.80541515650001905</v>
      </c>
      <c r="S856" t="s">
        <v>7258</v>
      </c>
      <c r="T856" t="s">
        <v>12802</v>
      </c>
      <c r="U856" t="s">
        <v>12802</v>
      </c>
      <c r="V856" t="s">
        <v>12802</v>
      </c>
      <c r="W856" t="s">
        <v>13646</v>
      </c>
      <c r="X856">
        <v>2</v>
      </c>
      <c r="Y856" t="s">
        <v>19967</v>
      </c>
      <c r="Z856" t="s">
        <v>26174</v>
      </c>
      <c r="AA856">
        <v>0.48381184770820868</v>
      </c>
      <c r="AB856" t="str">
        <f>HYPERLINK("Melting_Curves/meltCurve_G3V379_FERMT2.pdf", "Melting_Curves/meltCurve_G3V379_FERMT2.pdf")</f>
        <v>Melting_Curves/meltCurve_G3V379_FERMT2.pdf</v>
      </c>
    </row>
    <row r="857" spans="1:28" x14ac:dyDescent="0.25">
      <c r="A857" t="s">
        <v>861</v>
      </c>
      <c r="B857">
        <v>0.99542014353169495</v>
      </c>
      <c r="C857">
        <v>0.95538002171858705</v>
      </c>
      <c r="D857">
        <v>1.04950305992542</v>
      </c>
      <c r="E857">
        <v>0.97613281587702705</v>
      </c>
      <c r="F857">
        <v>0.67071061153425804</v>
      </c>
      <c r="G857">
        <v>0.23523735568684301</v>
      </c>
      <c r="H857">
        <v>0.13716530253150799</v>
      </c>
      <c r="I857">
        <v>8.1368978941858905E-2</v>
      </c>
      <c r="J857">
        <v>9.7529631260671296E-2</v>
      </c>
      <c r="K857">
        <v>0.105185525506474</v>
      </c>
      <c r="L857">
        <v>1728.2753974872701</v>
      </c>
      <c r="M857">
        <v>33.856878012848902</v>
      </c>
      <c r="N857">
        <v>51.380709594720102</v>
      </c>
      <c r="O857">
        <v>50.869412685493003</v>
      </c>
      <c r="P857">
        <v>-0.149947109239532</v>
      </c>
      <c r="Q857">
        <v>9.88312452406164E-2</v>
      </c>
      <c r="R857">
        <v>0.996736970574021</v>
      </c>
      <c r="S857" t="s">
        <v>7259</v>
      </c>
      <c r="T857" t="s">
        <v>12802</v>
      </c>
      <c r="U857" t="s">
        <v>12802</v>
      </c>
      <c r="V857" t="s">
        <v>12802</v>
      </c>
      <c r="W857" t="s">
        <v>13647</v>
      </c>
      <c r="X857">
        <v>10</v>
      </c>
      <c r="Y857" t="s">
        <v>19968</v>
      </c>
      <c r="Z857" t="s">
        <v>26175</v>
      </c>
      <c r="AA857">
        <v>0.52520241318396521</v>
      </c>
      <c r="AB857" t="str">
        <f>HYPERLINK("Melting_Curves/meltCurve_G3V3G9_DCAF8.pdf", "Melting_Curves/meltCurve_G3V3G9_DCAF8.pdf")</f>
        <v>Melting_Curves/meltCurve_G3V3G9_DCAF8.pdf</v>
      </c>
    </row>
    <row r="858" spans="1:28" x14ac:dyDescent="0.25">
      <c r="A858" t="s">
        <v>862</v>
      </c>
      <c r="B858">
        <v>0.99542014353169495</v>
      </c>
      <c r="C858">
        <v>0.81096247212537798</v>
      </c>
      <c r="D858">
        <v>0.95344125969774596</v>
      </c>
      <c r="E858">
        <v>0.72477537908873502</v>
      </c>
      <c r="F858">
        <v>0.54672959547459099</v>
      </c>
      <c r="G858">
        <v>0.10191465856196601</v>
      </c>
      <c r="H858">
        <v>0.12612437181115199</v>
      </c>
      <c r="I858">
        <v>5.3756944653313897E-2</v>
      </c>
      <c r="J858">
        <v>0.14341204027753801</v>
      </c>
      <c r="K858">
        <v>7.4980444034279697E-2</v>
      </c>
      <c r="L858">
        <v>938.75050426706298</v>
      </c>
      <c r="M858">
        <v>19.066242133638799</v>
      </c>
      <c r="N858">
        <v>49.584607621495103</v>
      </c>
      <c r="O858">
        <v>48.704222753992802</v>
      </c>
      <c r="P858">
        <v>-9.1736673099042501E-2</v>
      </c>
      <c r="Q858">
        <v>6.2681007570530398E-2</v>
      </c>
      <c r="R858">
        <v>0.95467464226510601</v>
      </c>
      <c r="S858" t="s">
        <v>7260</v>
      </c>
      <c r="T858" t="s">
        <v>12802</v>
      </c>
      <c r="U858" t="s">
        <v>12802</v>
      </c>
      <c r="V858" t="s">
        <v>12802</v>
      </c>
      <c r="W858" t="s">
        <v>13648</v>
      </c>
      <c r="X858">
        <v>1</v>
      </c>
      <c r="Y858" t="s">
        <v>19969</v>
      </c>
      <c r="Z858" t="s">
        <v>26176</v>
      </c>
      <c r="AA858">
        <v>0.45844542391742571</v>
      </c>
      <c r="AB858" t="str">
        <f>HYPERLINK("Melting_Curves/meltCurve_G3V3H7_AKAP6.pdf", "Melting_Curves/meltCurve_G3V3H7_AKAP6.pdf")</f>
        <v>Melting_Curves/meltCurve_G3V3H7_AKAP6.pdf</v>
      </c>
    </row>
    <row r="859" spans="1:28" x14ac:dyDescent="0.25">
      <c r="A859" t="s">
        <v>863</v>
      </c>
      <c r="B859">
        <v>0.99542014353169495</v>
      </c>
      <c r="C859">
        <v>1.0088136255193001</v>
      </c>
      <c r="D859">
        <v>0.90802758097451597</v>
      </c>
      <c r="E859">
        <v>0.68789716134546597</v>
      </c>
      <c r="F859">
        <v>0.31072364305849098</v>
      </c>
      <c r="G859">
        <v>0.19423749608500401</v>
      </c>
      <c r="H859">
        <v>9.6805202000994003E-2</v>
      </c>
      <c r="I859">
        <v>6.4221512764130906E-2</v>
      </c>
      <c r="J859">
        <v>4.0660825867493401E-2</v>
      </c>
      <c r="K859">
        <v>8.6901319969250795E-2</v>
      </c>
      <c r="L859">
        <v>977.04432910145897</v>
      </c>
      <c r="M859">
        <v>20.340808182854399</v>
      </c>
      <c r="N859">
        <v>48.354415508988801</v>
      </c>
      <c r="O859">
        <v>47.576667050276598</v>
      </c>
      <c r="P859">
        <v>-0.10014264883990701</v>
      </c>
      <c r="Q859">
        <v>6.3103306379778096E-2</v>
      </c>
      <c r="R859">
        <v>0.99717952803580101</v>
      </c>
      <c r="S859" t="s">
        <v>7261</v>
      </c>
      <c r="T859" t="s">
        <v>12802</v>
      </c>
      <c r="U859" t="s">
        <v>12802</v>
      </c>
      <c r="V859" t="s">
        <v>12802</v>
      </c>
      <c r="W859" t="s">
        <v>13649</v>
      </c>
      <c r="X859">
        <v>3</v>
      </c>
      <c r="Y859" t="s">
        <v>19970</v>
      </c>
      <c r="Z859" t="s">
        <v>26177</v>
      </c>
      <c r="AA859">
        <v>0.41960786351326612</v>
      </c>
      <c r="AB859" t="str">
        <f>HYPERLINK("Melting_Curves/meltCurve_G3V3I4_NFKBIA.pdf", "Melting_Curves/meltCurve_G3V3I4_NFKBIA.pdf")</f>
        <v>Melting_Curves/meltCurve_G3V3I4_NFKBIA.pdf</v>
      </c>
    </row>
    <row r="860" spans="1:28" x14ac:dyDescent="0.25">
      <c r="A860" t="s">
        <v>864</v>
      </c>
      <c r="B860">
        <v>0.99542014353169495</v>
      </c>
      <c r="C860">
        <v>0.84274625891599797</v>
      </c>
      <c r="D860">
        <v>0.77643835253442794</v>
      </c>
      <c r="E860">
        <v>0.75119565406569699</v>
      </c>
      <c r="F860">
        <v>0.57126348096838897</v>
      </c>
      <c r="G860">
        <v>0.32158776224562402</v>
      </c>
      <c r="H860">
        <v>0.15041947956073401</v>
      </c>
      <c r="I860">
        <v>0.145025109227188</v>
      </c>
      <c r="J860">
        <v>6.89949502528278E-2</v>
      </c>
      <c r="K860">
        <v>0</v>
      </c>
      <c r="L860">
        <v>543.63672423756202</v>
      </c>
      <c r="M860">
        <v>10.8252646550257</v>
      </c>
      <c r="N860">
        <v>50.219252564555603</v>
      </c>
      <c r="O860">
        <v>48.596610772529502</v>
      </c>
      <c r="P860">
        <v>-5.5709360378231002E-2</v>
      </c>
      <c r="Q860">
        <v>0</v>
      </c>
      <c r="R860">
        <v>0.97313487622745698</v>
      </c>
      <c r="S860" t="s">
        <v>7262</v>
      </c>
      <c r="T860" t="s">
        <v>12802</v>
      </c>
      <c r="U860" t="s">
        <v>12802</v>
      </c>
      <c r="V860" t="s">
        <v>12802</v>
      </c>
      <c r="W860" t="s">
        <v>13650</v>
      </c>
      <c r="X860">
        <v>2</v>
      </c>
      <c r="Y860" t="s">
        <v>19971</v>
      </c>
      <c r="Z860" t="s">
        <v>26178</v>
      </c>
      <c r="AA860">
        <v>0.47143164891588257</v>
      </c>
      <c r="AB860" t="str">
        <f>HYPERLINK("Melting_Curves/meltCurve_G3V3Q2_XRCC3.pdf", "Melting_Curves/meltCurve_G3V3Q2_XRCC3.pdf")</f>
        <v>Melting_Curves/meltCurve_G3V3Q2_XRCC3.pdf</v>
      </c>
    </row>
    <row r="861" spans="1:28" x14ac:dyDescent="0.25">
      <c r="A861" t="s">
        <v>865</v>
      </c>
      <c r="B861">
        <v>0.99542014353169495</v>
      </c>
      <c r="C861">
        <v>1.0560034347801801</v>
      </c>
      <c r="D861">
        <v>0.92368566874439595</v>
      </c>
      <c r="E861">
        <v>0.58670868243976904</v>
      </c>
      <c r="F861">
        <v>0.26615962392354398</v>
      </c>
      <c r="G861">
        <v>0.130461077553917</v>
      </c>
      <c r="H861">
        <v>8.3284144553813E-2</v>
      </c>
      <c r="I861">
        <v>4.9786211597805198E-2</v>
      </c>
      <c r="J861">
        <v>5.7086532698200403E-2</v>
      </c>
      <c r="K861">
        <v>6.4591226655918696E-2</v>
      </c>
      <c r="L861">
        <v>1089.4999379200201</v>
      </c>
      <c r="M861">
        <v>23.059258151216799</v>
      </c>
      <c r="N861">
        <v>47.521172289541802</v>
      </c>
      <c r="O861">
        <v>46.896796964976303</v>
      </c>
      <c r="P861">
        <v>-0.115292993255565</v>
      </c>
      <c r="Q861">
        <v>6.2108273516903199E-2</v>
      </c>
      <c r="R861">
        <v>0.99630469424171697</v>
      </c>
      <c r="S861" t="s">
        <v>7263</v>
      </c>
      <c r="T861" t="s">
        <v>12802</v>
      </c>
      <c r="U861" t="s">
        <v>12802</v>
      </c>
      <c r="V861" t="s">
        <v>12802</v>
      </c>
      <c r="W861" t="s">
        <v>13651</v>
      </c>
      <c r="X861">
        <v>7</v>
      </c>
      <c r="Y861" t="s">
        <v>19972</v>
      </c>
      <c r="Z861" t="s">
        <v>26179</v>
      </c>
      <c r="AA861">
        <v>0.39177530925579002</v>
      </c>
      <c r="AB861" t="str">
        <f>HYPERLINK("Melting_Curves/meltCurve_G3V3R7_ATXN3.pdf", "Melting_Curves/meltCurve_G3V3R7_ATXN3.pdf")</f>
        <v>Melting_Curves/meltCurve_G3V3R7_ATXN3.pdf</v>
      </c>
    </row>
    <row r="862" spans="1:28" x14ac:dyDescent="0.25">
      <c r="A862" t="s">
        <v>866</v>
      </c>
      <c r="B862">
        <v>0.99542014353169495</v>
      </c>
      <c r="C862">
        <v>0.80032852471977201</v>
      </c>
      <c r="D862">
        <v>0.68474836751115198</v>
      </c>
      <c r="E862">
        <v>0.57378608379222495</v>
      </c>
      <c r="F862">
        <v>0.22014090762403199</v>
      </c>
      <c r="G862">
        <v>8.50057939082456E-2</v>
      </c>
      <c r="H862">
        <v>2.1486419901946299E-2</v>
      </c>
      <c r="I862">
        <v>2.76295116645255E-2</v>
      </c>
      <c r="J862">
        <v>1.9126736894425199E-2</v>
      </c>
      <c r="K862">
        <v>3.6961656763300502E-2</v>
      </c>
      <c r="L862">
        <v>607.36261851382403</v>
      </c>
      <c r="M862">
        <v>13.1911365436133</v>
      </c>
      <c r="N862">
        <v>46.043236370153402</v>
      </c>
      <c r="O862">
        <v>45.0236730864629</v>
      </c>
      <c r="P862">
        <v>-7.3257821974275994E-2</v>
      </c>
      <c r="Q862">
        <v>0</v>
      </c>
      <c r="R862">
        <v>0.97842488335940103</v>
      </c>
      <c r="S862" t="s">
        <v>7264</v>
      </c>
      <c r="T862" t="s">
        <v>12802</v>
      </c>
      <c r="U862" t="s">
        <v>12802</v>
      </c>
      <c r="V862" t="s">
        <v>12802</v>
      </c>
      <c r="W862" t="s">
        <v>13652</v>
      </c>
      <c r="X862">
        <v>2</v>
      </c>
      <c r="Y862" t="s">
        <v>19973</v>
      </c>
      <c r="Z862" t="s">
        <v>26180</v>
      </c>
      <c r="AA862">
        <v>0.33062633766885802</v>
      </c>
      <c r="AB862" t="str">
        <f>HYPERLINK("Melting_Curves/meltCurve_G3V4A5_MED6.pdf", "Melting_Curves/meltCurve_G3V4A5_MED6.pdf")</f>
        <v>Melting_Curves/meltCurve_G3V4A5_MED6.pdf</v>
      </c>
    </row>
    <row r="863" spans="1:28" x14ac:dyDescent="0.25">
      <c r="A863" t="s">
        <v>867</v>
      </c>
      <c r="B863">
        <v>0.99542014353169495</v>
      </c>
      <c r="C863">
        <v>0.97113831139392703</v>
      </c>
      <c r="D863">
        <v>0.86538561514354995</v>
      </c>
      <c r="E863">
        <v>0.78967171777493606</v>
      </c>
      <c r="F863">
        <v>0.66379529414944005</v>
      </c>
      <c r="G863">
        <v>0.384538032652742</v>
      </c>
      <c r="H863">
        <v>0.40724782585139402</v>
      </c>
      <c r="I863">
        <v>0.327160562353698</v>
      </c>
      <c r="J863">
        <v>0.287157184352473</v>
      </c>
      <c r="K863">
        <v>0.388526715411882</v>
      </c>
      <c r="L863">
        <v>695.10605643235397</v>
      </c>
      <c r="M863">
        <v>14.153952184761399</v>
      </c>
      <c r="N863">
        <v>52.618649114059501</v>
      </c>
      <c r="O863">
        <v>48.161246978576003</v>
      </c>
      <c r="P863">
        <v>-5.1039492531165798E-2</v>
      </c>
      <c r="Q863">
        <v>0.30540560456399801</v>
      </c>
      <c r="R863">
        <v>0.97121225066814698</v>
      </c>
      <c r="S863" t="s">
        <v>7265</v>
      </c>
      <c r="T863" t="s">
        <v>12802</v>
      </c>
      <c r="U863" t="s">
        <v>12802</v>
      </c>
      <c r="V863" t="s">
        <v>12802</v>
      </c>
      <c r="W863" t="s">
        <v>13653</v>
      </c>
      <c r="X863">
        <v>2</v>
      </c>
      <c r="Y863" t="s">
        <v>19974</v>
      </c>
      <c r="Z863" t="s">
        <v>26181</v>
      </c>
      <c r="AA863">
        <v>0.60207823010076855</v>
      </c>
      <c r="AB863" t="str">
        <f>HYPERLINK("Melting_Curves/meltCurve_G3V4I0_ENTPD5.pdf", "Melting_Curves/meltCurve_G3V4I0_ENTPD5.pdf")</f>
        <v>Melting_Curves/meltCurve_G3V4I0_ENTPD5.pdf</v>
      </c>
    </row>
    <row r="864" spans="1:28" x14ac:dyDescent="0.25">
      <c r="A864" t="s">
        <v>868</v>
      </c>
      <c r="B864">
        <v>0.99542014353169495</v>
      </c>
      <c r="C864">
        <v>0.96130304759024898</v>
      </c>
      <c r="D864">
        <v>0.88541779795581499</v>
      </c>
      <c r="E864">
        <v>0.71142279234260697</v>
      </c>
      <c r="F864">
        <v>0.37614207119672599</v>
      </c>
      <c r="G864">
        <v>0.13852005506325299</v>
      </c>
      <c r="H864">
        <v>8.0433138985085903E-2</v>
      </c>
      <c r="I864">
        <v>8.0023442904972403E-2</v>
      </c>
      <c r="J864">
        <v>5.0300916017606202E-2</v>
      </c>
      <c r="K864">
        <v>0.10330939971980301</v>
      </c>
      <c r="L864">
        <v>953.596195282812</v>
      </c>
      <c r="M864">
        <v>19.736358583906899</v>
      </c>
      <c r="N864">
        <v>48.622039916183702</v>
      </c>
      <c r="O864">
        <v>47.828886695691203</v>
      </c>
      <c r="P864">
        <v>-9.7152518685271402E-2</v>
      </c>
      <c r="Q864">
        <v>5.8278612361601902E-2</v>
      </c>
      <c r="R864">
        <v>0.99600353777329198</v>
      </c>
      <c r="S864" t="s">
        <v>7266</v>
      </c>
      <c r="T864" t="s">
        <v>12802</v>
      </c>
      <c r="U864" t="s">
        <v>12802</v>
      </c>
      <c r="V864" t="s">
        <v>12802</v>
      </c>
      <c r="W864" t="s">
        <v>13654</v>
      </c>
      <c r="X864">
        <v>2</v>
      </c>
      <c r="Y864" t="s">
        <v>19975</v>
      </c>
      <c r="Z864" t="s">
        <v>26182</v>
      </c>
      <c r="AA864">
        <v>0.42621541130093132</v>
      </c>
      <c r="AB864" t="str">
        <f>HYPERLINK("Melting_Curves/meltCurve_G3V4P7_AP4S1.pdf", "Melting_Curves/meltCurve_G3V4P7_AP4S1.pdf")</f>
        <v>Melting_Curves/meltCurve_G3V4P7_AP4S1.pdf</v>
      </c>
    </row>
    <row r="865" spans="1:28" x14ac:dyDescent="0.25">
      <c r="A865" t="s">
        <v>869</v>
      </c>
      <c r="B865">
        <v>0.99542014353169495</v>
      </c>
      <c r="C865">
        <v>0.89563679627469595</v>
      </c>
      <c r="D865">
        <v>0.78446480202904101</v>
      </c>
      <c r="E865">
        <v>0.558315140078123</v>
      </c>
      <c r="F865">
        <v>0.30470410691656702</v>
      </c>
      <c r="G865">
        <v>0.15152616933135299</v>
      </c>
      <c r="H865">
        <v>8.6471745112736295E-2</v>
      </c>
      <c r="I865">
        <v>6.23305358656994E-2</v>
      </c>
      <c r="J865">
        <v>9.9629933240904495E-2</v>
      </c>
      <c r="K865">
        <v>0.1242998348304</v>
      </c>
      <c r="L865">
        <v>710.14989119213806</v>
      </c>
      <c r="M865">
        <v>15.251620105488</v>
      </c>
      <c r="N865">
        <v>47.010309452933498</v>
      </c>
      <c r="O865">
        <v>45.783789737823099</v>
      </c>
      <c r="P865">
        <v>-7.7654494454671194E-2</v>
      </c>
      <c r="Q865">
        <v>6.7645137729276994E-2</v>
      </c>
      <c r="R865">
        <v>0.99399885195934401</v>
      </c>
      <c r="S865" t="s">
        <v>7267</v>
      </c>
      <c r="T865" t="s">
        <v>12802</v>
      </c>
      <c r="U865" t="s">
        <v>12802</v>
      </c>
      <c r="V865" t="s">
        <v>12802</v>
      </c>
      <c r="W865" t="s">
        <v>13655</v>
      </c>
      <c r="X865">
        <v>4</v>
      </c>
      <c r="Y865" t="s">
        <v>19976</v>
      </c>
      <c r="Z865" t="s">
        <v>26183</v>
      </c>
      <c r="AA865">
        <v>0.3853865613288453</v>
      </c>
      <c r="AB865" t="str">
        <f>HYPERLINK("Melting_Curves/meltCurve_G3V4W0_HNRNPC.pdf", "Melting_Curves/meltCurve_G3V4W0_HNRNPC.pdf")</f>
        <v>Melting_Curves/meltCurve_G3V4W0_HNRNPC.pdf</v>
      </c>
    </row>
    <row r="866" spans="1:28" x14ac:dyDescent="0.25">
      <c r="A866" t="s">
        <v>870</v>
      </c>
      <c r="B866">
        <v>0.99542014353169495</v>
      </c>
      <c r="C866">
        <v>0.95575776527128398</v>
      </c>
      <c r="D866">
        <v>0.87606076366234997</v>
      </c>
      <c r="E866">
        <v>0.81482301626891396</v>
      </c>
      <c r="F866">
        <v>0.60529897374686104</v>
      </c>
      <c r="G866">
        <v>0.49941963849792798</v>
      </c>
      <c r="H866">
        <v>0.30832463388095099</v>
      </c>
      <c r="I866">
        <v>0.27705725975300899</v>
      </c>
      <c r="J866">
        <v>0.32000775228907802</v>
      </c>
      <c r="K866">
        <v>0.38828774089648499</v>
      </c>
      <c r="L866">
        <v>713.20047297542499</v>
      </c>
      <c r="M866">
        <v>14.458889508890801</v>
      </c>
      <c r="N866">
        <v>52.549956409651699</v>
      </c>
      <c r="O866">
        <v>48.411357641775901</v>
      </c>
      <c r="P866">
        <v>-5.2716307798779498E-2</v>
      </c>
      <c r="Q866">
        <v>0.29406198770126901</v>
      </c>
      <c r="R866">
        <v>0.97306761770818095</v>
      </c>
      <c r="S866" t="s">
        <v>7268</v>
      </c>
      <c r="T866" t="s">
        <v>12802</v>
      </c>
      <c r="U866" t="s">
        <v>12802</v>
      </c>
      <c r="V866" t="s">
        <v>12802</v>
      </c>
      <c r="W866" t="s">
        <v>13656</v>
      </c>
      <c r="X866">
        <v>4</v>
      </c>
      <c r="Y866" t="s">
        <v>19977</v>
      </c>
      <c r="Z866" t="s">
        <v>26184</v>
      </c>
      <c r="AA866">
        <v>0.60002527813892825</v>
      </c>
      <c r="AB866" t="str">
        <f>HYPERLINK("Melting_Curves/meltCurve_G3V583_FAM177A1.pdf", "Melting_Curves/meltCurve_G3V583_FAM177A1.pdf")</f>
        <v>Melting_Curves/meltCurve_G3V583_FAM177A1.pdf</v>
      </c>
    </row>
    <row r="867" spans="1:28" x14ac:dyDescent="0.25">
      <c r="A867" t="s">
        <v>871</v>
      </c>
      <c r="B867">
        <v>0.99542014353169495</v>
      </c>
      <c r="C867">
        <v>0.77080251239694897</v>
      </c>
      <c r="D867">
        <v>0.77484388987776698</v>
      </c>
      <c r="E867">
        <v>0.79073991412660205</v>
      </c>
      <c r="F867">
        <v>0.64199594150655004</v>
      </c>
      <c r="G867">
        <v>0.51626700471531495</v>
      </c>
      <c r="H867">
        <v>0.73851021562246499</v>
      </c>
      <c r="I867">
        <v>0.32288199116976701</v>
      </c>
      <c r="J867">
        <v>0.169428296521065</v>
      </c>
      <c r="K867">
        <v>0.232952892746662</v>
      </c>
      <c r="L867">
        <v>315.27543289085099</v>
      </c>
      <c r="M867">
        <v>5.67847068030866</v>
      </c>
      <c r="N867">
        <v>55.521180197190603</v>
      </c>
      <c r="O867">
        <v>49.786968499507601</v>
      </c>
      <c r="P867">
        <v>-2.86261094361961E-2</v>
      </c>
      <c r="Q867">
        <v>0</v>
      </c>
      <c r="R867">
        <v>0.80128647517061102</v>
      </c>
      <c r="S867" t="s">
        <v>7269</v>
      </c>
      <c r="T867" t="s">
        <v>12802</v>
      </c>
      <c r="U867" t="s">
        <v>12802</v>
      </c>
      <c r="V867" t="s">
        <v>12802</v>
      </c>
      <c r="W867" t="s">
        <v>13657</v>
      </c>
      <c r="X867">
        <v>2</v>
      </c>
      <c r="Y867" t="s">
        <v>19965</v>
      </c>
      <c r="Z867" t="s">
        <v>26185</v>
      </c>
      <c r="AA867">
        <v>0.60381217962577671</v>
      </c>
      <c r="AB867" t="str">
        <f>HYPERLINK("Melting_Curves/meltCurve_G3V597_ACYP1.pdf", "Melting_Curves/meltCurve_G3V597_ACYP1.pdf")</f>
        <v>Melting_Curves/meltCurve_G3V597_ACYP1.pdf</v>
      </c>
    </row>
    <row r="868" spans="1:28" x14ac:dyDescent="0.25">
      <c r="A868" t="s">
        <v>872</v>
      </c>
      <c r="B868">
        <v>0.99542014353169495</v>
      </c>
      <c r="C868">
        <v>1.0046608406089701</v>
      </c>
      <c r="D868">
        <v>0.95905416308422198</v>
      </c>
      <c r="E868">
        <v>0.52879659875885698</v>
      </c>
      <c r="F868">
        <v>0.21768560279013899</v>
      </c>
      <c r="G868">
        <v>0.107466049248805</v>
      </c>
      <c r="H868">
        <v>6.1865820626355199E-2</v>
      </c>
      <c r="I868">
        <v>4.3614623949769997E-2</v>
      </c>
      <c r="J868">
        <v>6.4056123845063706E-2</v>
      </c>
      <c r="K868">
        <v>8.8974894715802597E-2</v>
      </c>
      <c r="L868">
        <v>1294.4868496716599</v>
      </c>
      <c r="M868">
        <v>27.698534272687301</v>
      </c>
      <c r="N868">
        <v>46.9906424779061</v>
      </c>
      <c r="O868">
        <v>46.493284846924702</v>
      </c>
      <c r="P868">
        <v>-0.13851717070733299</v>
      </c>
      <c r="Q868">
        <v>6.9978133089115602E-2</v>
      </c>
      <c r="R868">
        <v>0.99727891893079201</v>
      </c>
      <c r="S868" t="s">
        <v>7270</v>
      </c>
      <c r="T868" t="s">
        <v>12802</v>
      </c>
      <c r="U868" t="s">
        <v>12802</v>
      </c>
      <c r="V868" t="s">
        <v>12802</v>
      </c>
      <c r="W868" t="s">
        <v>13658</v>
      </c>
      <c r="X868">
        <v>14</v>
      </c>
      <c r="Y868" t="s">
        <v>19978</v>
      </c>
      <c r="Z868" t="s">
        <v>26186</v>
      </c>
      <c r="AA868">
        <v>0.37808852437520291</v>
      </c>
      <c r="AB868" t="str">
        <f>HYPERLINK("Melting_Curves/meltCurve_G3V599_CTAGE5.pdf", "Melting_Curves/meltCurve_G3V599_CTAGE5.pdf")</f>
        <v>Melting_Curves/meltCurve_G3V599_CTAGE5.pdf</v>
      </c>
    </row>
    <row r="869" spans="1:28" x14ac:dyDescent="0.25">
      <c r="A869" t="s">
        <v>873</v>
      </c>
      <c r="B869">
        <v>0.99542014353169495</v>
      </c>
      <c r="C869">
        <v>1.09725490764079</v>
      </c>
      <c r="D869">
        <v>1.0126989876161101</v>
      </c>
      <c r="E869">
        <v>0.883549147686567</v>
      </c>
      <c r="F869">
        <v>0.42517531813495602</v>
      </c>
      <c r="G869">
        <v>0.133319131872672</v>
      </c>
      <c r="H869">
        <v>8.6201645734392596E-2</v>
      </c>
      <c r="I869">
        <v>7.7915292877178993E-2</v>
      </c>
      <c r="J869">
        <v>0.110479883640912</v>
      </c>
      <c r="K869">
        <v>0.13069336024873601</v>
      </c>
      <c r="L869">
        <v>1704.1268864143599</v>
      </c>
      <c r="M869">
        <v>34.5456343604084</v>
      </c>
      <c r="N869">
        <v>49.640572728052703</v>
      </c>
      <c r="O869">
        <v>49.165308550914098</v>
      </c>
      <c r="P869">
        <v>-0.15857632549911399</v>
      </c>
      <c r="Q869">
        <v>9.7260758995767596E-2</v>
      </c>
      <c r="R869">
        <v>0.993169042757862</v>
      </c>
      <c r="S869" t="s">
        <v>7271</v>
      </c>
      <c r="T869" t="s">
        <v>12802</v>
      </c>
      <c r="U869" t="s">
        <v>12802</v>
      </c>
      <c r="V869" t="s">
        <v>12802</v>
      </c>
      <c r="W869" t="s">
        <v>13659</v>
      </c>
      <c r="X869">
        <v>5</v>
      </c>
      <c r="Y869" t="s">
        <v>19979</v>
      </c>
      <c r="Z869" t="s">
        <v>26187</v>
      </c>
      <c r="AA869">
        <v>0.47240995730801261</v>
      </c>
      <c r="AB869" t="str">
        <f>HYPERLINK("Melting_Curves/meltCurve_G3V5N8_ZFYVE1.pdf", "Melting_Curves/meltCurve_G3V5N8_ZFYVE1.pdf")</f>
        <v>Melting_Curves/meltCurve_G3V5N8_ZFYVE1.pdf</v>
      </c>
    </row>
    <row r="870" spans="1:28" x14ac:dyDescent="0.25">
      <c r="A870" t="s">
        <v>874</v>
      </c>
      <c r="B870">
        <v>0.99542014353169495</v>
      </c>
      <c r="C870">
        <v>1.0996080665247401</v>
      </c>
      <c r="D870">
        <v>0.85956095143566102</v>
      </c>
      <c r="E870">
        <v>0.83157378884517497</v>
      </c>
      <c r="F870">
        <v>0.63450790211237995</v>
      </c>
      <c r="G870">
        <v>0.46541404218501198</v>
      </c>
      <c r="H870">
        <v>0.204751193300519</v>
      </c>
      <c r="I870">
        <v>0.11929175057172001</v>
      </c>
      <c r="J870">
        <v>0.101728596638944</v>
      </c>
      <c r="K870">
        <v>0.10627222129154899</v>
      </c>
      <c r="L870">
        <v>694.61677153735502</v>
      </c>
      <c r="M870">
        <v>13.3240662729644</v>
      </c>
      <c r="N870">
        <v>52.342653569918099</v>
      </c>
      <c r="O870">
        <v>51.000162204877903</v>
      </c>
      <c r="P870">
        <v>-6.3622890235622107E-2</v>
      </c>
      <c r="Q870">
        <v>2.6045954949025601E-2</v>
      </c>
      <c r="R870">
        <v>0.98044889175698102</v>
      </c>
      <c r="S870" t="s">
        <v>7272</v>
      </c>
      <c r="T870" t="s">
        <v>12802</v>
      </c>
      <c r="U870" t="s">
        <v>12802</v>
      </c>
      <c r="V870" t="s">
        <v>12802</v>
      </c>
      <c r="W870" t="s">
        <v>13660</v>
      </c>
      <c r="X870">
        <v>7</v>
      </c>
      <c r="Y870" t="s">
        <v>19980</v>
      </c>
      <c r="Z870" t="s">
        <v>26188</v>
      </c>
      <c r="AA870">
        <v>0.53821430959563443</v>
      </c>
      <c r="AB870" t="str">
        <f>HYPERLINK("Melting_Curves/meltCurve_G3V5T0_GSTZ1.pdf", "Melting_Curves/meltCurve_G3V5T0_GSTZ1.pdf")</f>
        <v>Melting_Curves/meltCurve_G3V5T0_GSTZ1.pdf</v>
      </c>
    </row>
    <row r="871" spans="1:28" x14ac:dyDescent="0.25">
      <c r="A871" t="s">
        <v>875</v>
      </c>
      <c r="B871">
        <v>0.99542014353169495</v>
      </c>
      <c r="C871">
        <v>1.0041791679726799</v>
      </c>
      <c r="D871">
        <v>0.93494780804644395</v>
      </c>
      <c r="E871">
        <v>0.89910837957243706</v>
      </c>
      <c r="F871">
        <v>0.67539144911204296</v>
      </c>
      <c r="G871">
        <v>0.51532699848761998</v>
      </c>
      <c r="H871">
        <v>0.283725653908461</v>
      </c>
      <c r="I871">
        <v>0.20498660678297001</v>
      </c>
      <c r="J871">
        <v>0.20506931121447</v>
      </c>
      <c r="K871">
        <v>0.13490885952708001</v>
      </c>
      <c r="L871">
        <v>757.09375474719297</v>
      </c>
      <c r="M871">
        <v>14.410828525380399</v>
      </c>
      <c r="N871">
        <v>53.460406603843303</v>
      </c>
      <c r="O871">
        <v>51.5558651580019</v>
      </c>
      <c r="P871">
        <v>-6.2183879371551301E-2</v>
      </c>
      <c r="Q871">
        <v>0.110234405174716</v>
      </c>
      <c r="R871">
        <v>0.99519077674104806</v>
      </c>
      <c r="S871" t="s">
        <v>7273</v>
      </c>
      <c r="T871" t="s">
        <v>12802</v>
      </c>
      <c r="U871" t="s">
        <v>12802</v>
      </c>
      <c r="V871" t="s">
        <v>12802</v>
      </c>
      <c r="W871" t="s">
        <v>13661</v>
      </c>
      <c r="X871">
        <v>16</v>
      </c>
      <c r="Y871" t="s">
        <v>19981</v>
      </c>
      <c r="Z871" t="s">
        <v>26189</v>
      </c>
      <c r="AA871">
        <v>0.588161221815377</v>
      </c>
      <c r="AB871" t="str">
        <f>HYPERLINK("Melting_Curves/meltCurve_G3V5T9_CDK2.pdf", "Melting_Curves/meltCurve_G3V5T9_CDK2.pdf")</f>
        <v>Melting_Curves/meltCurve_G3V5T9_CDK2.pdf</v>
      </c>
    </row>
    <row r="872" spans="1:28" x14ac:dyDescent="0.25">
      <c r="A872" t="s">
        <v>876</v>
      </c>
      <c r="B872">
        <v>0.99542014353169495</v>
      </c>
      <c r="C872">
        <v>0.88106725701451905</v>
      </c>
      <c r="D872">
        <v>0.94092847655862399</v>
      </c>
      <c r="E872">
        <v>0.84527563548774198</v>
      </c>
      <c r="F872">
        <v>0.94618569709225397</v>
      </c>
      <c r="G872">
        <v>0.56845465201549294</v>
      </c>
      <c r="H872">
        <v>0.92112712124415697</v>
      </c>
      <c r="I872">
        <v>0.66763010723237803</v>
      </c>
      <c r="J872">
        <v>0.67305284212080796</v>
      </c>
      <c r="K872">
        <v>0.91824571573930103</v>
      </c>
      <c r="L872">
        <v>472.239700776696</v>
      </c>
      <c r="M872">
        <v>10.527684516414199</v>
      </c>
      <c r="O872">
        <v>43.329121601480502</v>
      </c>
      <c r="P872">
        <v>-1.48475216125139E-2</v>
      </c>
      <c r="Q872">
        <v>0.75566395518540297</v>
      </c>
      <c r="R872">
        <v>0.28469128322957099</v>
      </c>
      <c r="S872" t="s">
        <v>7274</v>
      </c>
      <c r="T872" t="s">
        <v>12802</v>
      </c>
      <c r="U872" t="s">
        <v>12802</v>
      </c>
      <c r="V872" t="s">
        <v>12802</v>
      </c>
      <c r="W872" t="s">
        <v>13662</v>
      </c>
      <c r="X872">
        <v>4</v>
      </c>
      <c r="Y872" t="s">
        <v>19982</v>
      </c>
      <c r="Z872" t="s">
        <v>26190</v>
      </c>
      <c r="AA872">
        <v>0.830905443508407</v>
      </c>
      <c r="AB872" t="str">
        <f>HYPERLINK("Melting_Curves/meltCurve_G3V5W1_WARS.pdf", "Melting_Curves/meltCurve_G3V5W1_WARS.pdf")</f>
        <v>Melting_Curves/meltCurve_G3V5W1_WARS.pdf</v>
      </c>
    </row>
    <row r="873" spans="1:28" x14ac:dyDescent="0.25">
      <c r="A873" t="s">
        <v>877</v>
      </c>
      <c r="B873">
        <v>0.99542014353169495</v>
      </c>
      <c r="C873">
        <v>0.90149980456234602</v>
      </c>
      <c r="D873">
        <v>0.91700965457660999</v>
      </c>
      <c r="E873">
        <v>0.85601283734480804</v>
      </c>
      <c r="F873">
        <v>0.70202507733681796</v>
      </c>
      <c r="G873">
        <v>0.34903308989930498</v>
      </c>
      <c r="H873">
        <v>0.338615088147314</v>
      </c>
      <c r="I873">
        <v>0.36283640070503498</v>
      </c>
      <c r="J873">
        <v>0.35080339155562901</v>
      </c>
      <c r="K873">
        <v>0.46385313953518498</v>
      </c>
      <c r="L873">
        <v>1304.5412493225699</v>
      </c>
      <c r="M873">
        <v>26.295859238030001</v>
      </c>
      <c r="N873">
        <v>52.165411012301497</v>
      </c>
      <c r="O873">
        <v>49.325894936273201</v>
      </c>
      <c r="P873">
        <v>-8.5017830760592494E-2</v>
      </c>
      <c r="Q873">
        <v>0.36209966903173801</v>
      </c>
      <c r="R873">
        <v>0.94011495504796405</v>
      </c>
      <c r="S873" t="s">
        <v>7275</v>
      </c>
      <c r="T873" t="s">
        <v>12802</v>
      </c>
      <c r="U873" t="s">
        <v>12802</v>
      </c>
      <c r="V873" t="s">
        <v>12802</v>
      </c>
      <c r="W873" t="s">
        <v>13663</v>
      </c>
      <c r="X873">
        <v>15</v>
      </c>
      <c r="Y873" t="s">
        <v>19983</v>
      </c>
      <c r="Z873" t="s">
        <v>26191</v>
      </c>
      <c r="AA873">
        <v>0.63527103238851934</v>
      </c>
      <c r="AB873" t="str">
        <f>HYPERLINK("Melting_Curves/meltCurve_G3V5Z7_PSMA6.pdf", "Melting_Curves/meltCurve_G3V5Z7_PSMA6.pdf")</f>
        <v>Melting_Curves/meltCurve_G3V5Z7_PSMA6.pdf</v>
      </c>
    </row>
    <row r="874" spans="1:28" x14ac:dyDescent="0.25">
      <c r="A874" t="s">
        <v>878</v>
      </c>
      <c r="B874">
        <v>0.99542014353169495</v>
      </c>
      <c r="C874">
        <v>0.98968032968425901</v>
      </c>
      <c r="D874">
        <v>1.0468543803360799</v>
      </c>
      <c r="E874">
        <v>0.89419239254239202</v>
      </c>
      <c r="F874">
        <v>0.91544398889092904</v>
      </c>
      <c r="G874">
        <v>0.39439970560454601</v>
      </c>
      <c r="H874">
        <v>7.6958254117694594E-2</v>
      </c>
      <c r="I874">
        <v>3.71141471522888E-2</v>
      </c>
      <c r="J874">
        <v>4.28148325022173E-2</v>
      </c>
      <c r="K874">
        <v>5.0705197935890602E-2</v>
      </c>
      <c r="L874">
        <v>2103.7157795532398</v>
      </c>
      <c r="M874">
        <v>39.641697683511097</v>
      </c>
      <c r="N874">
        <v>53.177376153855697</v>
      </c>
      <c r="O874">
        <v>52.933749793772698</v>
      </c>
      <c r="P874">
        <v>-0.179910124870934</v>
      </c>
      <c r="Q874">
        <v>3.9062690018827999E-2</v>
      </c>
      <c r="R874">
        <v>0.99318116833479397</v>
      </c>
      <c r="S874" t="s">
        <v>7276</v>
      </c>
      <c r="T874" t="s">
        <v>12802</v>
      </c>
      <c r="U874" t="s">
        <v>12802</v>
      </c>
      <c r="V874" t="s">
        <v>12802</v>
      </c>
      <c r="W874" t="s">
        <v>13664</v>
      </c>
      <c r="X874">
        <v>5</v>
      </c>
      <c r="Y874" t="s">
        <v>19984</v>
      </c>
      <c r="Z874" t="s">
        <v>26192</v>
      </c>
      <c r="AA874">
        <v>0.5573202402844587</v>
      </c>
      <c r="AB874" t="str">
        <f>HYPERLINK("Melting_Curves/meltCurve_G3XA81_TMEM48.pdf", "Melting_Curves/meltCurve_G3XA81_TMEM48.pdf")</f>
        <v>Melting_Curves/meltCurve_G3XA81_TMEM48.pdf</v>
      </c>
    </row>
    <row r="875" spans="1:28" x14ac:dyDescent="0.25">
      <c r="A875" t="s">
        <v>879</v>
      </c>
      <c r="B875">
        <v>0.99542014353169495</v>
      </c>
      <c r="C875">
        <v>0.88107608904814605</v>
      </c>
      <c r="D875">
        <v>0.66809898257441203</v>
      </c>
      <c r="E875">
        <v>0.38346700421205998</v>
      </c>
      <c r="F875">
        <v>0.22011107672258301</v>
      </c>
      <c r="G875">
        <v>0.18497496098111699</v>
      </c>
      <c r="H875">
        <v>9.6936913007903594E-2</v>
      </c>
      <c r="I875">
        <v>7.5814228227847599E-2</v>
      </c>
      <c r="J875">
        <v>9.26766302743115E-2</v>
      </c>
      <c r="K875">
        <v>9.5590819208917294E-2</v>
      </c>
      <c r="L875">
        <v>711.85265071013498</v>
      </c>
      <c r="M875">
        <v>15.966096082245301</v>
      </c>
      <c r="N875">
        <v>45.125600073252997</v>
      </c>
      <c r="O875">
        <v>43.903443005647901</v>
      </c>
      <c r="P875">
        <v>-8.3012229860983999E-2</v>
      </c>
      <c r="Q875">
        <v>8.7007179817329403E-2</v>
      </c>
      <c r="R875">
        <v>0.99681873355109896</v>
      </c>
      <c r="S875" t="s">
        <v>7277</v>
      </c>
      <c r="T875" t="s">
        <v>12802</v>
      </c>
      <c r="U875" t="s">
        <v>12802</v>
      </c>
      <c r="V875" t="s">
        <v>12802</v>
      </c>
      <c r="W875" t="s">
        <v>13665</v>
      </c>
      <c r="X875">
        <v>8</v>
      </c>
      <c r="Y875" t="s">
        <v>19985</v>
      </c>
      <c r="Z875" t="s">
        <v>26193</v>
      </c>
      <c r="AA875">
        <v>0.33726949153095748</v>
      </c>
      <c r="AB875" t="str">
        <f>HYPERLINK("Melting_Curves/meltCurve_G3XAA0_ARID1B.pdf", "Melting_Curves/meltCurve_G3XAA0_ARID1B.pdf")</f>
        <v>Melting_Curves/meltCurve_G3XAA0_ARID1B.pdf</v>
      </c>
    </row>
    <row r="876" spans="1:28" x14ac:dyDescent="0.25">
      <c r="A876" t="s">
        <v>880</v>
      </c>
      <c r="B876">
        <v>0.99542014353169495</v>
      </c>
      <c r="C876">
        <v>0.89603148550408496</v>
      </c>
      <c r="D876">
        <v>1.01988461926329</v>
      </c>
      <c r="E876">
        <v>0.71532541830310803</v>
      </c>
      <c r="F876">
        <v>0.64901995426953496</v>
      </c>
      <c r="G876">
        <v>0.19488239508019201</v>
      </c>
      <c r="H876">
        <v>0.13042148997532399</v>
      </c>
      <c r="I876">
        <v>9.3078789759265798E-2</v>
      </c>
      <c r="J876">
        <v>0.101715426992759</v>
      </c>
      <c r="K876">
        <v>9.8292737296885105E-2</v>
      </c>
      <c r="L876">
        <v>925.19664913000997</v>
      </c>
      <c r="M876">
        <v>18.435088216422901</v>
      </c>
      <c r="N876">
        <v>50.567823017070602</v>
      </c>
      <c r="O876">
        <v>49.607365533374796</v>
      </c>
      <c r="P876">
        <v>-8.6883315236796696E-2</v>
      </c>
      <c r="Q876">
        <v>6.4857457506569294E-2</v>
      </c>
      <c r="R876">
        <v>0.96901468020699399</v>
      </c>
      <c r="S876" t="s">
        <v>7278</v>
      </c>
      <c r="T876" t="s">
        <v>12802</v>
      </c>
      <c r="U876" t="s">
        <v>12802</v>
      </c>
      <c r="V876" t="s">
        <v>12802</v>
      </c>
      <c r="W876" t="s">
        <v>13666</v>
      </c>
      <c r="X876">
        <v>1</v>
      </c>
      <c r="Y876" t="s">
        <v>19986</v>
      </c>
      <c r="Z876" t="s">
        <v>26194</v>
      </c>
      <c r="AA876">
        <v>0.49003843590584423</v>
      </c>
      <c r="AB876" t="str">
        <f>HYPERLINK("Melting_Curves/meltCurve_G3XAB3_TTC17.pdf", "Melting_Curves/meltCurve_G3XAB3_TTC17.pdf")</f>
        <v>Melting_Curves/meltCurve_G3XAB3_TTC17.pdf</v>
      </c>
    </row>
    <row r="877" spans="1:28" x14ac:dyDescent="0.25">
      <c r="A877" t="s">
        <v>881</v>
      </c>
      <c r="B877">
        <v>0.99542014353169495</v>
      </c>
      <c r="C877">
        <v>0.77983180778787997</v>
      </c>
      <c r="D877">
        <v>0.97304336877843101</v>
      </c>
      <c r="E877">
        <v>0.76522580006548702</v>
      </c>
      <c r="F877">
        <v>0.48584966767542198</v>
      </c>
      <c r="G877">
        <v>0.34445429505211</v>
      </c>
      <c r="H877">
        <v>0.21861278576915899</v>
      </c>
      <c r="I877">
        <v>0</v>
      </c>
      <c r="J877">
        <v>0.11000892174734</v>
      </c>
      <c r="K877">
        <v>0</v>
      </c>
      <c r="L877">
        <v>646.78220533224999</v>
      </c>
      <c r="M877">
        <v>12.8023926884782</v>
      </c>
      <c r="N877">
        <v>50.520418836693601</v>
      </c>
      <c r="O877">
        <v>49.335380506292204</v>
      </c>
      <c r="P877">
        <v>-6.4886462757324001E-2</v>
      </c>
      <c r="Q877">
        <v>0</v>
      </c>
      <c r="R877">
        <v>0.95719694808609301</v>
      </c>
      <c r="S877" t="s">
        <v>7279</v>
      </c>
      <c r="T877" t="s">
        <v>12802</v>
      </c>
      <c r="U877" t="s">
        <v>12802</v>
      </c>
      <c r="V877" t="s">
        <v>12802</v>
      </c>
      <c r="W877" t="s">
        <v>13667</v>
      </c>
      <c r="X877">
        <v>2</v>
      </c>
      <c r="Y877" t="s">
        <v>19987</v>
      </c>
      <c r="Z877" t="s">
        <v>26195</v>
      </c>
      <c r="AA877">
        <v>0.47579257595120239</v>
      </c>
      <c r="AB877" t="str">
        <f>HYPERLINK("Melting_Curves/meltCurve_G3XAC1_SLC26A6.pdf", "Melting_Curves/meltCurve_G3XAC1_SLC26A6.pdf")</f>
        <v>Melting_Curves/meltCurve_G3XAC1_SLC26A6.pdf</v>
      </c>
    </row>
    <row r="878" spans="1:28" x14ac:dyDescent="0.25">
      <c r="A878" t="s">
        <v>882</v>
      </c>
      <c r="B878">
        <v>0.99542014353169495</v>
      </c>
      <c r="C878">
        <v>0.92980101687573602</v>
      </c>
      <c r="D878">
        <v>0.98582851263053695</v>
      </c>
      <c r="E878">
        <v>0.81618957044998997</v>
      </c>
      <c r="F878">
        <v>0.65729232231290302</v>
      </c>
      <c r="G878">
        <v>0.43461074119202697</v>
      </c>
      <c r="H878">
        <v>0.10503892078341601</v>
      </c>
      <c r="I878">
        <v>4.1495543377990302E-2</v>
      </c>
      <c r="J878">
        <v>3.3340791567184697E-2</v>
      </c>
      <c r="K878">
        <v>3.8276364689256402E-2</v>
      </c>
      <c r="L878">
        <v>873.62584512971</v>
      </c>
      <c r="M878">
        <v>16.794444413725699</v>
      </c>
      <c r="N878">
        <v>52.018736965431799</v>
      </c>
      <c r="O878">
        <v>51.298012135149897</v>
      </c>
      <c r="P878">
        <v>-8.1852766513599698E-2</v>
      </c>
      <c r="Q878">
        <v>0</v>
      </c>
      <c r="R878">
        <v>0.988108040089692</v>
      </c>
      <c r="S878" t="s">
        <v>7280</v>
      </c>
      <c r="T878" t="s">
        <v>12802</v>
      </c>
      <c r="U878" t="s">
        <v>12802</v>
      </c>
      <c r="V878" t="s">
        <v>12802</v>
      </c>
      <c r="W878" t="s">
        <v>13668</v>
      </c>
      <c r="X878">
        <v>15</v>
      </c>
      <c r="Y878" t="s">
        <v>19988</v>
      </c>
      <c r="Z878" t="s">
        <v>26196</v>
      </c>
      <c r="AA878">
        <v>0.51724619415038064</v>
      </c>
      <c r="AB878" t="str">
        <f>HYPERLINK("Melting_Curves/meltCurve_G3XAH0_SEPT5.pdf", "Melting_Curves/meltCurve_G3XAH0_SEPT5.pdf")</f>
        <v>Melting_Curves/meltCurve_G3XAH0_SEPT5.pdf</v>
      </c>
    </row>
    <row r="879" spans="1:28" x14ac:dyDescent="0.25">
      <c r="A879" t="s">
        <v>883</v>
      </c>
      <c r="B879">
        <v>0.99542014353169495</v>
      </c>
      <c r="C879">
        <v>0.97642782822949503</v>
      </c>
      <c r="D879">
        <v>1.0533273218155501</v>
      </c>
      <c r="E879">
        <v>0.83444734995272296</v>
      </c>
      <c r="F879">
        <v>0.70002430393996196</v>
      </c>
      <c r="G879">
        <v>0.34865538882998598</v>
      </c>
      <c r="H879">
        <v>0.14053954622391199</v>
      </c>
      <c r="I879">
        <v>9.0056721024297695E-2</v>
      </c>
      <c r="J879">
        <v>9.48995582413453E-2</v>
      </c>
      <c r="K879">
        <v>0.12655141137620299</v>
      </c>
      <c r="L879">
        <v>1096.2743475001</v>
      </c>
      <c r="M879">
        <v>21.284277060918601</v>
      </c>
      <c r="N879">
        <v>51.931071839258301</v>
      </c>
      <c r="O879">
        <v>51.058100805267301</v>
      </c>
      <c r="P879">
        <v>-9.5892519560407896E-2</v>
      </c>
      <c r="Q879">
        <v>7.9890722040181203E-2</v>
      </c>
      <c r="R879">
        <v>0.99005015301278598</v>
      </c>
      <c r="S879" t="s">
        <v>7281</v>
      </c>
      <c r="T879" t="s">
        <v>12802</v>
      </c>
      <c r="U879" t="s">
        <v>12802</v>
      </c>
      <c r="V879" t="s">
        <v>12802</v>
      </c>
      <c r="W879" t="s">
        <v>13669</v>
      </c>
      <c r="X879">
        <v>12</v>
      </c>
      <c r="Y879" t="s">
        <v>19989</v>
      </c>
      <c r="Z879" t="s">
        <v>26197</v>
      </c>
      <c r="AA879">
        <v>0.535610587360552</v>
      </c>
      <c r="AB879" t="str">
        <f>HYPERLINK("Melting_Curves/meltCurve_G3XAI2_LAMB1.pdf", "Melting_Curves/meltCurve_G3XAI2_LAMB1.pdf")</f>
        <v>Melting_Curves/meltCurve_G3XAI2_LAMB1.pdf</v>
      </c>
    </row>
    <row r="880" spans="1:28" x14ac:dyDescent="0.25">
      <c r="A880" t="s">
        <v>884</v>
      </c>
      <c r="B880">
        <v>0.99542014353169495</v>
      </c>
      <c r="C880">
        <v>1.0421673529009901</v>
      </c>
      <c r="D880">
        <v>1.04662901194097</v>
      </c>
      <c r="E880">
        <v>0.68205528251935699</v>
      </c>
      <c r="F880">
        <v>0.470042959222221</v>
      </c>
      <c r="G880">
        <v>0.32939412621673098</v>
      </c>
      <c r="H880">
        <v>0.23357806769556699</v>
      </c>
      <c r="I880">
        <v>0.20880044412815099</v>
      </c>
      <c r="J880">
        <v>0.25717274086013697</v>
      </c>
      <c r="K880">
        <v>0.35236264622845898</v>
      </c>
      <c r="L880">
        <v>1205.32220615602</v>
      </c>
      <c r="M880">
        <v>25.2857435765495</v>
      </c>
      <c r="N880">
        <v>49.171285036714103</v>
      </c>
      <c r="O880">
        <v>47.372908212457801</v>
      </c>
      <c r="P880">
        <v>-9.7520310755389E-2</v>
      </c>
      <c r="Q880">
        <v>0.26919114737404098</v>
      </c>
      <c r="R880">
        <v>0.973776535345797</v>
      </c>
      <c r="S880" t="s">
        <v>7282</v>
      </c>
      <c r="T880" t="s">
        <v>12802</v>
      </c>
      <c r="U880" t="s">
        <v>12802</v>
      </c>
      <c r="V880" t="s">
        <v>12802</v>
      </c>
      <c r="W880" t="s">
        <v>13670</v>
      </c>
      <c r="X880">
        <v>2</v>
      </c>
      <c r="Y880" t="s">
        <v>19990</v>
      </c>
      <c r="Z880" t="s">
        <v>26198</v>
      </c>
      <c r="AA880">
        <v>0.53512711586376172</v>
      </c>
      <c r="AB880" t="str">
        <f>HYPERLINK("Melting_Curves/meltCurve_G3XAI9_FAM133B.pdf", "Melting_Curves/meltCurve_G3XAI9_FAM133B.pdf")</f>
        <v>Melting_Curves/meltCurve_G3XAI9_FAM133B.pdf</v>
      </c>
    </row>
    <row r="881" spans="1:28" x14ac:dyDescent="0.25">
      <c r="A881" t="s">
        <v>885</v>
      </c>
      <c r="B881">
        <v>0.99542014353169495</v>
      </c>
      <c r="C881">
        <v>0.82328467526457405</v>
      </c>
      <c r="D881">
        <v>0.91328806542656704</v>
      </c>
      <c r="E881">
        <v>0.66100334320141996</v>
      </c>
      <c r="F881">
        <v>0.48217685958944001</v>
      </c>
      <c r="G881">
        <v>0.226180772115986</v>
      </c>
      <c r="H881">
        <v>0.203529885833476</v>
      </c>
      <c r="I881">
        <v>0.13289524408068801</v>
      </c>
      <c r="J881">
        <v>0.16567120216744599</v>
      </c>
      <c r="K881">
        <v>0.22250544760148999</v>
      </c>
      <c r="L881">
        <v>714.11134700661296</v>
      </c>
      <c r="M881">
        <v>14.8862847647446</v>
      </c>
      <c r="N881">
        <v>49.082200893639502</v>
      </c>
      <c r="O881">
        <v>47.130373496142703</v>
      </c>
      <c r="P881">
        <v>-6.7675326143305903E-2</v>
      </c>
      <c r="Q881">
        <v>0.14304166809574501</v>
      </c>
      <c r="R881">
        <v>0.96811520619553304</v>
      </c>
      <c r="S881" t="s">
        <v>7283</v>
      </c>
      <c r="T881" t="s">
        <v>12802</v>
      </c>
      <c r="U881" t="s">
        <v>12802</v>
      </c>
      <c r="V881" t="s">
        <v>12802</v>
      </c>
      <c r="W881" t="s">
        <v>13671</v>
      </c>
      <c r="X881">
        <v>1</v>
      </c>
      <c r="Y881" t="s">
        <v>19991</v>
      </c>
      <c r="Z881" t="s">
        <v>26199</v>
      </c>
      <c r="AA881">
        <v>0.47556369533550419</v>
      </c>
      <c r="AB881" t="str">
        <f>HYPERLINK("Melting_Curves/meltCurve_G3XAN4_TRAM1.pdf", "Melting_Curves/meltCurve_G3XAN4_TRAM1.pdf")</f>
        <v>Melting_Curves/meltCurve_G3XAN4_TRAM1.pdf</v>
      </c>
    </row>
    <row r="882" spans="1:28" x14ac:dyDescent="0.25">
      <c r="A882" t="s">
        <v>886</v>
      </c>
      <c r="B882">
        <v>0.99542014353169495</v>
      </c>
      <c r="C882">
        <v>1.02066745334805</v>
      </c>
      <c r="D882">
        <v>0.99090500435982198</v>
      </c>
      <c r="E882">
        <v>0.89466570890020303</v>
      </c>
      <c r="F882">
        <v>0.79971777033980895</v>
      </c>
      <c r="G882">
        <v>0.60752752340550398</v>
      </c>
      <c r="H882">
        <v>0.41888631242645302</v>
      </c>
      <c r="I882">
        <v>0.39821068113255498</v>
      </c>
      <c r="J882">
        <v>0.52059928376501297</v>
      </c>
      <c r="K882">
        <v>0.58093467399173104</v>
      </c>
      <c r="L882">
        <v>1274.8601919677101</v>
      </c>
      <c r="M882">
        <v>25.104088946096301</v>
      </c>
      <c r="N882">
        <v>57.975466108212203</v>
      </c>
      <c r="O882">
        <v>50.464011387644099</v>
      </c>
      <c r="P882">
        <v>-6.4945152104065901E-2</v>
      </c>
      <c r="Q882">
        <v>0.47779823079308498</v>
      </c>
      <c r="R882">
        <v>0.94118206158540596</v>
      </c>
      <c r="S882" t="s">
        <v>7284</v>
      </c>
      <c r="T882" t="s">
        <v>12802</v>
      </c>
      <c r="U882" t="s">
        <v>12802</v>
      </c>
      <c r="V882" t="s">
        <v>12802</v>
      </c>
      <c r="W882" t="s">
        <v>13672</v>
      </c>
      <c r="X882">
        <v>6</v>
      </c>
      <c r="Y882" t="s">
        <v>19992</v>
      </c>
      <c r="Z882" t="s">
        <v>26200</v>
      </c>
      <c r="AA882">
        <v>0.72227895281872911</v>
      </c>
      <c r="AB882" t="str">
        <f>HYPERLINK("Melting_Curves/meltCurve_G3XAN8_TIMM8B.pdf", "Melting_Curves/meltCurve_G3XAN8_TIMM8B.pdf")</f>
        <v>Melting_Curves/meltCurve_G3XAN8_TIMM8B.pdf</v>
      </c>
    </row>
    <row r="883" spans="1:28" x14ac:dyDescent="0.25">
      <c r="A883" t="s">
        <v>887</v>
      </c>
      <c r="B883">
        <v>0.99542014353169495</v>
      </c>
      <c r="C883">
        <v>0.91515432251825402</v>
      </c>
      <c r="D883">
        <v>0.90126640153871196</v>
      </c>
      <c r="E883">
        <v>0.76835309584464295</v>
      </c>
      <c r="F883">
        <v>0.51517253804688901</v>
      </c>
      <c r="G883">
        <v>0.20397467670865699</v>
      </c>
      <c r="H883">
        <v>0.13861145505267</v>
      </c>
      <c r="I883">
        <v>0.100497875928321</v>
      </c>
      <c r="J883">
        <v>9.4259293964192706E-2</v>
      </c>
      <c r="K883">
        <v>0.106772211353529</v>
      </c>
      <c r="L883">
        <v>862.01301272719797</v>
      </c>
      <c r="M883">
        <v>17.439806354877302</v>
      </c>
      <c r="N883">
        <v>49.872786213524897</v>
      </c>
      <c r="O883">
        <v>48.791745672646996</v>
      </c>
      <c r="P883">
        <v>-8.2925958476308501E-2</v>
      </c>
      <c r="Q883">
        <v>7.2036447652141705E-2</v>
      </c>
      <c r="R883">
        <v>0.99169888968615705</v>
      </c>
      <c r="S883" t="s">
        <v>7285</v>
      </c>
      <c r="T883" t="s">
        <v>12802</v>
      </c>
      <c r="U883" t="s">
        <v>12802</v>
      </c>
      <c r="V883" t="s">
        <v>12802</v>
      </c>
      <c r="W883" t="s">
        <v>13673</v>
      </c>
      <c r="X883">
        <v>12</v>
      </c>
      <c r="Y883" t="s">
        <v>19993</v>
      </c>
      <c r="Z883" t="s">
        <v>26201</v>
      </c>
      <c r="AA883">
        <v>0.47196982723758618</v>
      </c>
      <c r="AB883" t="str">
        <f>HYPERLINK("Melting_Curves/meltCurve_G3XAP3_ABCB8.pdf", "Melting_Curves/meltCurve_G3XAP3_ABCB8.pdf")</f>
        <v>Melting_Curves/meltCurve_G3XAP3_ABCB8.pdf</v>
      </c>
    </row>
    <row r="884" spans="1:28" x14ac:dyDescent="0.25">
      <c r="A884" t="s">
        <v>888</v>
      </c>
      <c r="B884">
        <v>0.99542014353169495</v>
      </c>
      <c r="C884">
        <v>0.94805743445502999</v>
      </c>
      <c r="D884">
        <v>1.0456392199746201</v>
      </c>
      <c r="E884">
        <v>0.61267018514034899</v>
      </c>
      <c r="F884">
        <v>0.261756993915506</v>
      </c>
      <c r="G884">
        <v>0.12510754695027401</v>
      </c>
      <c r="H884">
        <v>9.8578065878717494E-2</v>
      </c>
      <c r="I884">
        <v>8.8379015504534794E-2</v>
      </c>
      <c r="J884">
        <v>6.6163915950499003E-2</v>
      </c>
      <c r="K884">
        <v>7.7523870688845503E-2</v>
      </c>
      <c r="L884">
        <v>1383.7481090511101</v>
      </c>
      <c r="M884">
        <v>29.2294843122686</v>
      </c>
      <c r="N884">
        <v>47.653948382253397</v>
      </c>
      <c r="O884">
        <v>47.120919635560298</v>
      </c>
      <c r="P884">
        <v>-0.14152933001703799</v>
      </c>
      <c r="Q884">
        <v>8.7367859829256198E-2</v>
      </c>
      <c r="R884">
        <v>0.99163549509761695</v>
      </c>
      <c r="S884" t="s">
        <v>7286</v>
      </c>
      <c r="T884" t="s">
        <v>12802</v>
      </c>
      <c r="U884" t="s">
        <v>12802</v>
      </c>
      <c r="V884" t="s">
        <v>12802</v>
      </c>
      <c r="W884" t="s">
        <v>13674</v>
      </c>
      <c r="X884">
        <v>2</v>
      </c>
      <c r="Y884" t="s">
        <v>19994</v>
      </c>
      <c r="Z884" t="s">
        <v>26202</v>
      </c>
      <c r="AA884">
        <v>0.40757320640183309</v>
      </c>
      <c r="AB884" t="str">
        <f>HYPERLINK("Melting_Curves/meltCurve_G5E933_SBF1.pdf", "Melting_Curves/meltCurve_G5E933_SBF1.pdf")</f>
        <v>Melting_Curves/meltCurve_G5E933_SBF1.pdf</v>
      </c>
    </row>
    <row r="885" spans="1:28" x14ac:dyDescent="0.25">
      <c r="A885" t="s">
        <v>889</v>
      </c>
      <c r="B885">
        <v>0.99542014353169495</v>
      </c>
      <c r="C885">
        <v>0.97917147588040998</v>
      </c>
      <c r="D885">
        <v>0.94402543579210096</v>
      </c>
      <c r="E885">
        <v>0.72462081426410696</v>
      </c>
      <c r="F885">
        <v>0.44157315790450902</v>
      </c>
      <c r="G885">
        <v>0.15453684324074299</v>
      </c>
      <c r="H885">
        <v>9.3688578929260705E-2</v>
      </c>
      <c r="I885">
        <v>6.7022707874291598E-2</v>
      </c>
      <c r="J885">
        <v>4.9440361330601701E-2</v>
      </c>
      <c r="K885">
        <v>6.2406174933229003E-2</v>
      </c>
      <c r="L885">
        <v>952.81268708117398</v>
      </c>
      <c r="M885">
        <v>19.451317949458499</v>
      </c>
      <c r="N885">
        <v>49.213186981922298</v>
      </c>
      <c r="O885">
        <v>48.475547612430901</v>
      </c>
      <c r="P885">
        <v>-9.5983445752507404E-2</v>
      </c>
      <c r="Q885">
        <v>4.32151406705669E-2</v>
      </c>
      <c r="R885">
        <v>0.99836977481065103</v>
      </c>
      <c r="S885" t="s">
        <v>7287</v>
      </c>
      <c r="T885" t="s">
        <v>12802</v>
      </c>
      <c r="U885" t="s">
        <v>12802</v>
      </c>
      <c r="V885" t="s">
        <v>12802</v>
      </c>
      <c r="W885" t="s">
        <v>13675</v>
      </c>
      <c r="X885">
        <v>18</v>
      </c>
      <c r="Y885" t="s">
        <v>19995</v>
      </c>
      <c r="Z885" t="s">
        <v>26203</v>
      </c>
      <c r="AA885">
        <v>0.4386917894027294</v>
      </c>
      <c r="AB885" t="str">
        <f>HYPERLINK("Melting_Curves/meltCurve_G5E948_MAP4K4.pdf", "Melting_Curves/meltCurve_G5E948_MAP4K4.pdf")</f>
        <v>Melting_Curves/meltCurve_G5E948_MAP4K4.pdf</v>
      </c>
    </row>
    <row r="886" spans="1:28" x14ac:dyDescent="0.25">
      <c r="A886" t="s">
        <v>890</v>
      </c>
      <c r="B886">
        <v>0.99542014353169495</v>
      </c>
      <c r="C886">
        <v>0.89969418137690804</v>
      </c>
      <c r="D886">
        <v>0.83610959833770304</v>
      </c>
      <c r="E886">
        <v>0.68925945799032695</v>
      </c>
      <c r="F886">
        <v>0.44513688628346298</v>
      </c>
      <c r="G886">
        <v>0.19601395856699699</v>
      </c>
      <c r="H886">
        <v>0.106187237418362</v>
      </c>
      <c r="I886">
        <v>6.8332184322113604E-2</v>
      </c>
      <c r="J886">
        <v>7.5816651877411503E-2</v>
      </c>
      <c r="K886">
        <v>6.7838798217354002E-2</v>
      </c>
      <c r="L886">
        <v>662.63764282787201</v>
      </c>
      <c r="M886">
        <v>13.5930237191517</v>
      </c>
      <c r="N886">
        <v>48.897790106382303</v>
      </c>
      <c r="O886">
        <v>47.729592191649502</v>
      </c>
      <c r="P886">
        <v>-6.9759980573019395E-2</v>
      </c>
      <c r="Q886">
        <v>2.0344151669238301E-2</v>
      </c>
      <c r="R886">
        <v>0.99333036904859495</v>
      </c>
      <c r="S886" t="s">
        <v>7288</v>
      </c>
      <c r="T886" t="s">
        <v>12802</v>
      </c>
      <c r="U886" t="s">
        <v>12802</v>
      </c>
      <c r="V886" t="s">
        <v>12802</v>
      </c>
      <c r="W886" t="s">
        <v>13676</v>
      </c>
      <c r="X886">
        <v>2</v>
      </c>
      <c r="Y886" t="s">
        <v>19996</v>
      </c>
      <c r="Z886" t="s">
        <v>26204</v>
      </c>
      <c r="AA886">
        <v>0.42868936559876591</v>
      </c>
      <c r="AB886" t="str">
        <f>HYPERLINK("Melting_Curves/meltCurve_G5E953_MTMR3.pdf", "Melting_Curves/meltCurve_G5E953_MTMR3.pdf")</f>
        <v>Melting_Curves/meltCurve_G5E953_MTMR3.pdf</v>
      </c>
    </row>
    <row r="887" spans="1:28" x14ac:dyDescent="0.25">
      <c r="A887" t="s">
        <v>891</v>
      </c>
      <c r="B887">
        <v>0.99542014353169495</v>
      </c>
      <c r="C887">
        <v>0.73349979526489495</v>
      </c>
      <c r="D887">
        <v>0.622512750325109</v>
      </c>
      <c r="E887">
        <v>0.208723249619442</v>
      </c>
      <c r="F887">
        <v>0.114604592878012</v>
      </c>
      <c r="G887">
        <v>6.7971227684732002E-2</v>
      </c>
      <c r="H887">
        <v>4.3016175183008099E-2</v>
      </c>
      <c r="I887">
        <v>3.0626017539938901E-2</v>
      </c>
      <c r="J887">
        <v>2.17460519709828E-2</v>
      </c>
      <c r="K887">
        <v>2.0315776651269501E-2</v>
      </c>
      <c r="L887">
        <v>720.22440868315005</v>
      </c>
      <c r="M887">
        <v>16.592342935345599</v>
      </c>
      <c r="N887">
        <v>43.511777982992598</v>
      </c>
      <c r="O887">
        <v>42.791218658999099</v>
      </c>
      <c r="P887">
        <v>-9.5046462682240998E-2</v>
      </c>
      <c r="Q887">
        <v>1.95772684332376E-2</v>
      </c>
      <c r="R887">
        <v>0.98538273044201596</v>
      </c>
      <c r="S887" t="s">
        <v>7289</v>
      </c>
      <c r="T887" t="s">
        <v>12802</v>
      </c>
      <c r="U887" t="s">
        <v>12802</v>
      </c>
      <c r="V887" t="s">
        <v>12802</v>
      </c>
      <c r="W887" t="s">
        <v>13677</v>
      </c>
      <c r="X887">
        <v>2</v>
      </c>
      <c r="Y887" t="s">
        <v>19997</v>
      </c>
      <c r="Z887" t="s">
        <v>26205</v>
      </c>
      <c r="AA887">
        <v>0.24924561448237531</v>
      </c>
      <c r="AB887" t="str">
        <f>HYPERLINK("Melting_Curves/meltCurve_G5E975_SMARCB1.pdf", "Melting_Curves/meltCurve_G5E975_SMARCB1.pdf")</f>
        <v>Melting_Curves/meltCurve_G5E975_SMARCB1.pdf</v>
      </c>
    </row>
    <row r="888" spans="1:28" x14ac:dyDescent="0.25">
      <c r="A888" t="s">
        <v>892</v>
      </c>
      <c r="B888">
        <v>0.99542014353169495</v>
      </c>
      <c r="C888">
        <v>0.89164728149385797</v>
      </c>
      <c r="D888">
        <v>0.91081069841115703</v>
      </c>
      <c r="E888">
        <v>0.76764777235547699</v>
      </c>
      <c r="F888">
        <v>0.65197079435739802</v>
      </c>
      <c r="G888">
        <v>0.41964937590307499</v>
      </c>
      <c r="H888">
        <v>0.30628984518199798</v>
      </c>
      <c r="I888">
        <v>0.17327345819079801</v>
      </c>
      <c r="J888">
        <v>0.19234632993456499</v>
      </c>
      <c r="K888">
        <v>0.21040065287812801</v>
      </c>
      <c r="L888">
        <v>579.82969110624595</v>
      </c>
      <c r="M888">
        <v>11.3314273436163</v>
      </c>
      <c r="N888">
        <v>52.2891807164442</v>
      </c>
      <c r="O888">
        <v>49.654091834235899</v>
      </c>
      <c r="P888">
        <v>-5.0923884681479903E-2</v>
      </c>
      <c r="Q888">
        <v>0.10767862583224599</v>
      </c>
      <c r="R888">
        <v>0.98582584975646503</v>
      </c>
      <c r="S888" t="s">
        <v>7290</v>
      </c>
      <c r="T888" t="s">
        <v>12802</v>
      </c>
      <c r="U888" t="s">
        <v>12802</v>
      </c>
      <c r="V888" t="s">
        <v>12802</v>
      </c>
      <c r="W888" t="s">
        <v>13678</v>
      </c>
      <c r="X888">
        <v>3</v>
      </c>
      <c r="Y888" t="s">
        <v>19998</v>
      </c>
      <c r="Z888" t="s">
        <v>26206</v>
      </c>
      <c r="AA888">
        <v>0.55329777142462477</v>
      </c>
      <c r="AB888" t="str">
        <f>HYPERLINK("Melting_Curves/meltCurve_G5E994_GPR107.pdf", "Melting_Curves/meltCurve_G5E994_GPR107.pdf")</f>
        <v>Melting_Curves/meltCurve_G5E994_GPR107.pdf</v>
      </c>
    </row>
    <row r="889" spans="1:28" x14ac:dyDescent="0.25">
      <c r="A889" t="s">
        <v>893</v>
      </c>
      <c r="B889">
        <v>0.99542014353169495</v>
      </c>
      <c r="C889">
        <v>0.86140448257435398</v>
      </c>
      <c r="D889">
        <v>0.55822591401926502</v>
      </c>
      <c r="E889">
        <v>0.27616393472974399</v>
      </c>
      <c r="F889">
        <v>0.178826548574365</v>
      </c>
      <c r="G889">
        <v>0.114168158217616</v>
      </c>
      <c r="H889">
        <v>7.20349258820209E-2</v>
      </c>
      <c r="I889">
        <v>4.7015344377001299E-2</v>
      </c>
      <c r="J889">
        <v>4.98023550362987E-2</v>
      </c>
      <c r="K889">
        <v>4.1786014668315198E-2</v>
      </c>
      <c r="L889">
        <v>767.06451160183201</v>
      </c>
      <c r="M889">
        <v>17.609878385100899</v>
      </c>
      <c r="N889">
        <v>43.864785724081898</v>
      </c>
      <c r="O889">
        <v>43.008701868786403</v>
      </c>
      <c r="P889">
        <v>-9.6450518829854795E-2</v>
      </c>
      <c r="Q889">
        <v>5.7804286137657597E-2</v>
      </c>
      <c r="R889">
        <v>0.99571406498874204</v>
      </c>
      <c r="S889" t="s">
        <v>7291</v>
      </c>
      <c r="T889" t="s">
        <v>12802</v>
      </c>
      <c r="U889" t="s">
        <v>12802</v>
      </c>
      <c r="V889" t="s">
        <v>12802</v>
      </c>
      <c r="W889" t="s">
        <v>13053</v>
      </c>
      <c r="X889">
        <v>9</v>
      </c>
      <c r="Y889" t="s">
        <v>19999</v>
      </c>
      <c r="Z889" t="s">
        <v>26207</v>
      </c>
      <c r="AA889">
        <v>0.28076116807735207</v>
      </c>
      <c r="AB889" t="str">
        <f>HYPERLINK("Melting_Curves/meltCurve_G5E9A6_USP11.pdf", "Melting_Curves/meltCurve_G5E9A6_USP11.pdf")</f>
        <v>Melting_Curves/meltCurve_G5E9A6_USP11.pdf</v>
      </c>
    </row>
    <row r="890" spans="1:28" x14ac:dyDescent="0.25">
      <c r="A890" t="s">
        <v>894</v>
      </c>
      <c r="B890">
        <v>0.99542014353169495</v>
      </c>
      <c r="C890">
        <v>0.93955252026156799</v>
      </c>
      <c r="D890">
        <v>0.89353555993699796</v>
      </c>
      <c r="E890">
        <v>0.47905794681570202</v>
      </c>
      <c r="F890">
        <v>0.19816070104276301</v>
      </c>
      <c r="G890">
        <v>0.13136548827747299</v>
      </c>
      <c r="H890">
        <v>7.6993986062706798E-2</v>
      </c>
      <c r="I890">
        <v>6.1660055124790197E-2</v>
      </c>
      <c r="J890">
        <v>5.5131434463050501E-2</v>
      </c>
      <c r="K890">
        <v>4.0004431372696603E-2</v>
      </c>
      <c r="L890">
        <v>1058.9988539282699</v>
      </c>
      <c r="M890">
        <v>22.868189352603199</v>
      </c>
      <c r="N890">
        <v>46.572875387000302</v>
      </c>
      <c r="O890">
        <v>45.9590640950913</v>
      </c>
      <c r="P890">
        <v>-0.11683326638055599</v>
      </c>
      <c r="Q890">
        <v>6.08011455888341E-2</v>
      </c>
      <c r="R890">
        <v>0.99704869853440103</v>
      </c>
      <c r="S890" t="s">
        <v>7292</v>
      </c>
      <c r="T890" t="s">
        <v>12802</v>
      </c>
      <c r="U890" t="s">
        <v>12802</v>
      </c>
      <c r="V890" t="s">
        <v>12802</v>
      </c>
      <c r="W890" t="s">
        <v>13679</v>
      </c>
      <c r="X890">
        <v>7</v>
      </c>
      <c r="Y890" t="s">
        <v>20000</v>
      </c>
      <c r="Z890" t="s">
        <v>26208</v>
      </c>
      <c r="AA890">
        <v>0.36159480587337911</v>
      </c>
      <c r="AB890" t="str">
        <f>HYPERLINK("Melting_Curves/meltCurve_G5E9C8_SOS1.pdf", "Melting_Curves/meltCurve_G5E9C8_SOS1.pdf")</f>
        <v>Melting_Curves/meltCurve_G5E9C8_SOS1.pdf</v>
      </c>
    </row>
    <row r="891" spans="1:28" x14ac:dyDescent="0.25">
      <c r="A891" t="s">
        <v>895</v>
      </c>
      <c r="B891">
        <v>0.99542014353169495</v>
      </c>
      <c r="C891">
        <v>1.0260951928258599</v>
      </c>
      <c r="D891">
        <v>1.0409082479938301</v>
      </c>
      <c r="E891">
        <v>0.60715206597876603</v>
      </c>
      <c r="F891">
        <v>0.28603830583705703</v>
      </c>
      <c r="G891">
        <v>0.19999017374463099</v>
      </c>
      <c r="H891">
        <v>0.113286064571978</v>
      </c>
      <c r="I891">
        <v>8.6398348613288101E-2</v>
      </c>
      <c r="J891">
        <v>0.14135476198275801</v>
      </c>
      <c r="K891">
        <v>0.16969734527218699</v>
      </c>
      <c r="L891">
        <v>1455.49763426102</v>
      </c>
      <c r="M891">
        <v>30.897875527397499</v>
      </c>
      <c r="N891">
        <v>47.618476624861998</v>
      </c>
      <c r="O891">
        <v>46.910698309696699</v>
      </c>
      <c r="P891">
        <v>-0.14140087305483701</v>
      </c>
      <c r="Q891">
        <v>0.141277147602859</v>
      </c>
      <c r="R891">
        <v>0.98890835955177503</v>
      </c>
      <c r="S891" t="s">
        <v>7293</v>
      </c>
      <c r="T891" t="s">
        <v>12802</v>
      </c>
      <c r="U891" t="s">
        <v>12802</v>
      </c>
      <c r="V891" t="s">
        <v>12802</v>
      </c>
      <c r="W891" t="s">
        <v>13680</v>
      </c>
      <c r="X891">
        <v>3</v>
      </c>
      <c r="Y891" t="s">
        <v>20001</v>
      </c>
      <c r="Z891" t="s">
        <v>26209</v>
      </c>
      <c r="AA891">
        <v>0.43528452302246579</v>
      </c>
      <c r="AB891" t="str">
        <f>HYPERLINK("Melting_Curves/meltCurve_G5E9L8_ECT2.pdf", "Melting_Curves/meltCurve_G5E9L8_ECT2.pdf")</f>
        <v>Melting_Curves/meltCurve_G5E9L8_ECT2.pdf</v>
      </c>
    </row>
    <row r="892" spans="1:28" x14ac:dyDescent="0.25">
      <c r="A892" t="s">
        <v>896</v>
      </c>
      <c r="B892">
        <v>0.99542014353169495</v>
      </c>
      <c r="C892">
        <v>1.1369091340762201</v>
      </c>
      <c r="D892">
        <v>1.0147919421962599</v>
      </c>
      <c r="E892">
        <v>0.98538659983807597</v>
      </c>
      <c r="F892">
        <v>0.92012512123804002</v>
      </c>
      <c r="G892">
        <v>0.64093478703652496</v>
      </c>
      <c r="H892">
        <v>0.63861015941866905</v>
      </c>
      <c r="I892">
        <v>0.23158346619018899</v>
      </c>
      <c r="J892">
        <v>0.13456093199208</v>
      </c>
      <c r="K892">
        <v>0.130238940707088</v>
      </c>
      <c r="L892">
        <v>884.09390452596404</v>
      </c>
      <c r="M892">
        <v>15.372529762188799</v>
      </c>
      <c r="N892">
        <v>57.511282699994801</v>
      </c>
      <c r="O892">
        <v>56.5644142103165</v>
      </c>
      <c r="P892">
        <v>-6.7948819780637201E-2</v>
      </c>
      <c r="Q892">
        <v>0</v>
      </c>
      <c r="R892">
        <v>0.96116319597079802</v>
      </c>
      <c r="S892" t="s">
        <v>7294</v>
      </c>
      <c r="T892" t="s">
        <v>12802</v>
      </c>
      <c r="U892" t="s">
        <v>12802</v>
      </c>
      <c r="V892" t="s">
        <v>12802</v>
      </c>
      <c r="W892" t="s">
        <v>13681</v>
      </c>
      <c r="X892">
        <v>1</v>
      </c>
      <c r="Y892" t="s">
        <v>20002</v>
      </c>
      <c r="Z892" t="s">
        <v>26210</v>
      </c>
      <c r="AA892">
        <v>0.69024047086242135</v>
      </c>
      <c r="AB892" t="str">
        <f>HYPERLINK("Melting_Curves/meltCurve_G5E9N0_ENTPD3.pdf", "Melting_Curves/meltCurve_G5E9N0_ENTPD3.pdf")</f>
        <v>Melting_Curves/meltCurve_G5E9N0_ENTPD3.pdf</v>
      </c>
    </row>
    <row r="893" spans="1:28" x14ac:dyDescent="0.25">
      <c r="A893" t="s">
        <v>897</v>
      </c>
      <c r="B893">
        <v>0.99542014353169495</v>
      </c>
      <c r="C893">
        <v>0.813300780658338</v>
      </c>
      <c r="D893">
        <v>0.92069920788144499</v>
      </c>
      <c r="E893">
        <v>0.53827923740792105</v>
      </c>
      <c r="F893">
        <v>0.283977271234026</v>
      </c>
      <c r="G893">
        <v>0.13099794595075101</v>
      </c>
      <c r="H893">
        <v>0.100299144959911</v>
      </c>
      <c r="I893">
        <v>7.7963142022978604E-2</v>
      </c>
      <c r="J893">
        <v>5.6300193740821902E-2</v>
      </c>
      <c r="K893">
        <v>2.0826729196150501E-2</v>
      </c>
      <c r="L893">
        <v>784.67769006423805</v>
      </c>
      <c r="M893">
        <v>16.678370048977499</v>
      </c>
      <c r="N893">
        <v>47.275786948904901</v>
      </c>
      <c r="O893">
        <v>46.386862763643201</v>
      </c>
      <c r="P893">
        <v>-8.6417214002206005E-2</v>
      </c>
      <c r="Q893">
        <v>3.8669397782650501E-2</v>
      </c>
      <c r="R893">
        <v>0.97857664015826895</v>
      </c>
      <c r="S893" t="s">
        <v>7295</v>
      </c>
      <c r="T893" t="s">
        <v>12802</v>
      </c>
      <c r="U893" t="s">
        <v>12802</v>
      </c>
      <c r="V893" t="s">
        <v>12802</v>
      </c>
      <c r="W893" t="s">
        <v>13682</v>
      </c>
      <c r="X893">
        <v>4</v>
      </c>
      <c r="Y893" t="s">
        <v>20003</v>
      </c>
      <c r="Z893" t="s">
        <v>26211</v>
      </c>
      <c r="AA893">
        <v>0.37845283463538032</v>
      </c>
      <c r="AB893" t="str">
        <f>HYPERLINK("Melting_Curves/meltCurve_G5E9P1_ITPR1.pdf", "Melting_Curves/meltCurve_G5E9P1_ITPR1.pdf")</f>
        <v>Melting_Curves/meltCurve_G5E9P1_ITPR1.pdf</v>
      </c>
    </row>
    <row r="894" spans="1:28" x14ac:dyDescent="0.25">
      <c r="A894" t="s">
        <v>898</v>
      </c>
      <c r="B894">
        <v>0.99542014353169495</v>
      </c>
      <c r="C894">
        <v>0.942915698229984</v>
      </c>
      <c r="D894">
        <v>1.0000708880259399</v>
      </c>
      <c r="E894">
        <v>0.88098693857577304</v>
      </c>
      <c r="F894">
        <v>0.65485419409042001</v>
      </c>
      <c r="G894">
        <v>0.45160540249227499</v>
      </c>
      <c r="H894">
        <v>0.29320263973023902</v>
      </c>
      <c r="I894">
        <v>0.191253676918305</v>
      </c>
      <c r="J894">
        <v>0.17461723303564899</v>
      </c>
      <c r="K894">
        <v>0.156288496366082</v>
      </c>
      <c r="L894">
        <v>820.22799875614896</v>
      </c>
      <c r="M894">
        <v>15.834168762535301</v>
      </c>
      <c r="N894">
        <v>52.822353751139801</v>
      </c>
      <c r="O894">
        <v>50.9960271691955</v>
      </c>
      <c r="P894">
        <v>-6.7395118777592605E-2</v>
      </c>
      <c r="Q894">
        <v>0.13185146866196101</v>
      </c>
      <c r="R894">
        <v>0.99633370470455196</v>
      </c>
      <c r="S894" t="s">
        <v>7296</v>
      </c>
      <c r="T894" t="s">
        <v>12802</v>
      </c>
      <c r="U894" t="s">
        <v>12802</v>
      </c>
      <c r="V894" t="s">
        <v>12802</v>
      </c>
      <c r="W894" t="s">
        <v>13683</v>
      </c>
      <c r="X894">
        <v>9</v>
      </c>
      <c r="Y894" t="s">
        <v>19668</v>
      </c>
      <c r="Z894" t="s">
        <v>26212</v>
      </c>
      <c r="AA894">
        <v>0.57589463274218855</v>
      </c>
      <c r="AB894" t="str">
        <f>HYPERLINK("Melting_Curves/meltCurve_G5E9T8_GOSR1.pdf", "Melting_Curves/meltCurve_G5E9T8_GOSR1.pdf")</f>
        <v>Melting_Curves/meltCurve_G5E9T8_GOSR1.pdf</v>
      </c>
    </row>
    <row r="895" spans="1:28" x14ac:dyDescent="0.25">
      <c r="A895" t="s">
        <v>899</v>
      </c>
      <c r="B895">
        <v>0.99542014353169495</v>
      </c>
      <c r="C895">
        <v>0.95059578563185199</v>
      </c>
      <c r="D895">
        <v>0.75035497736573298</v>
      </c>
      <c r="E895">
        <v>0.50952808291442697</v>
      </c>
      <c r="F895">
        <v>0.326524969653606</v>
      </c>
      <c r="G895">
        <v>0.21471470392098099</v>
      </c>
      <c r="H895">
        <v>0.107712432079799</v>
      </c>
      <c r="I895">
        <v>9.7431097856204796E-2</v>
      </c>
      <c r="J895">
        <v>9.46580726804893E-2</v>
      </c>
      <c r="K895">
        <v>0.10244691370435299</v>
      </c>
      <c r="L895">
        <v>663.27525670681302</v>
      </c>
      <c r="M895">
        <v>14.3103372147754</v>
      </c>
      <c r="N895">
        <v>46.9157281002703</v>
      </c>
      <c r="O895">
        <v>45.472463234855297</v>
      </c>
      <c r="P895">
        <v>-7.2443638646143699E-2</v>
      </c>
      <c r="Q895">
        <v>7.9325468561357901E-2</v>
      </c>
      <c r="R895">
        <v>0.99665229390134602</v>
      </c>
      <c r="S895" t="s">
        <v>7297</v>
      </c>
      <c r="T895" t="s">
        <v>12802</v>
      </c>
      <c r="U895" t="s">
        <v>12802</v>
      </c>
      <c r="V895" t="s">
        <v>12802</v>
      </c>
      <c r="W895" t="s">
        <v>13684</v>
      </c>
      <c r="X895">
        <v>3</v>
      </c>
      <c r="Y895" t="s">
        <v>20004</v>
      </c>
      <c r="Z895" t="s">
        <v>26213</v>
      </c>
      <c r="AA895">
        <v>0.38919896501454071</v>
      </c>
      <c r="AB895" t="str">
        <f>HYPERLINK("Melting_Curves/meltCurve_G5E9W7_MRPS22.pdf", "Melting_Curves/meltCurve_G5E9W7_MRPS22.pdf")</f>
        <v>Melting_Curves/meltCurve_G5E9W7_MRPS22.pdf</v>
      </c>
    </row>
    <row r="896" spans="1:28" x14ac:dyDescent="0.25">
      <c r="A896" t="s">
        <v>900</v>
      </c>
      <c r="B896">
        <v>0.99542014353169495</v>
      </c>
      <c r="C896">
        <v>1.3019536772821301</v>
      </c>
      <c r="D896">
        <v>1.0456992704139101</v>
      </c>
      <c r="E896">
        <v>0.97473817647358896</v>
      </c>
      <c r="F896">
        <v>0.79106205392142803</v>
      </c>
      <c r="G896">
        <v>0.22394445356003201</v>
      </c>
      <c r="H896">
        <v>0.280553343815797</v>
      </c>
      <c r="I896">
        <v>0.12969237003867701</v>
      </c>
      <c r="J896">
        <v>0</v>
      </c>
      <c r="K896">
        <v>0</v>
      </c>
      <c r="L896">
        <v>1699.27741816138</v>
      </c>
      <c r="M896">
        <v>32.791151324022501</v>
      </c>
      <c r="N896">
        <v>52.092547900850803</v>
      </c>
      <c r="O896">
        <v>51.629629736747397</v>
      </c>
      <c r="P896">
        <v>-0.14631654631135699</v>
      </c>
      <c r="Q896">
        <v>7.85033018712432E-2</v>
      </c>
      <c r="R896">
        <v>0.93609463304534302</v>
      </c>
      <c r="S896" t="s">
        <v>7298</v>
      </c>
      <c r="T896" t="s">
        <v>12802</v>
      </c>
      <c r="U896" t="s">
        <v>12802</v>
      </c>
      <c r="V896" t="s">
        <v>12802</v>
      </c>
      <c r="W896" t="s">
        <v>13685</v>
      </c>
      <c r="X896">
        <v>8</v>
      </c>
      <c r="Y896" t="s">
        <v>20005</v>
      </c>
      <c r="Z896" t="s">
        <v>26214</v>
      </c>
      <c r="AA896">
        <v>0.53864231917525518</v>
      </c>
      <c r="AB896" t="str">
        <f>HYPERLINK("Melting_Curves/meltCurve_G5EA09_SDCBP.pdf", "Melting_Curves/meltCurve_G5EA09_SDCBP.pdf")</f>
        <v>Melting_Curves/meltCurve_G5EA09_SDCBP.pdf</v>
      </c>
    </row>
    <row r="897" spans="1:28" x14ac:dyDescent="0.25">
      <c r="A897" t="s">
        <v>901</v>
      </c>
      <c r="B897">
        <v>0.99542014353169495</v>
      </c>
      <c r="C897">
        <v>1.0219052237508801</v>
      </c>
      <c r="D897">
        <v>0.838632023987116</v>
      </c>
      <c r="E897">
        <v>0.40208877919917602</v>
      </c>
      <c r="F897">
        <v>0.165204726662906</v>
      </c>
      <c r="G897">
        <v>0.104125405162086</v>
      </c>
      <c r="H897">
        <v>8.21173737600496E-2</v>
      </c>
      <c r="I897">
        <v>5.9042201340420201E-2</v>
      </c>
      <c r="J897">
        <v>4.5743398396835999E-2</v>
      </c>
      <c r="K897">
        <v>5.9020388628130999E-2</v>
      </c>
      <c r="L897">
        <v>1175.42359710551</v>
      </c>
      <c r="M897">
        <v>25.753549694962899</v>
      </c>
      <c r="N897">
        <v>45.896266590674898</v>
      </c>
      <c r="O897">
        <v>45.368717862087301</v>
      </c>
      <c r="P897">
        <v>-0.13245278930715601</v>
      </c>
      <c r="Q897">
        <v>6.6670132968094903E-2</v>
      </c>
      <c r="R897">
        <v>0.99775575089161195</v>
      </c>
      <c r="S897" t="s">
        <v>7299</v>
      </c>
      <c r="T897" t="s">
        <v>12802</v>
      </c>
      <c r="U897" t="s">
        <v>12802</v>
      </c>
      <c r="V897" t="s">
        <v>12802</v>
      </c>
      <c r="W897" t="s">
        <v>13686</v>
      </c>
      <c r="X897">
        <v>13</v>
      </c>
      <c r="Y897" t="s">
        <v>20006</v>
      </c>
      <c r="Z897" t="s">
        <v>26215</v>
      </c>
      <c r="AA897">
        <v>0.34275138969307661</v>
      </c>
      <c r="AB897" t="str">
        <f>HYPERLINK("Melting_Curves/meltCurve_G5EA30_CELF1.pdf", "Melting_Curves/meltCurve_G5EA30_CELF1.pdf")</f>
        <v>Melting_Curves/meltCurve_G5EA30_CELF1.pdf</v>
      </c>
    </row>
    <row r="898" spans="1:28" x14ac:dyDescent="0.25">
      <c r="A898" t="s">
        <v>902</v>
      </c>
      <c r="B898">
        <v>0.99542014353169495</v>
      </c>
      <c r="C898">
        <v>0.93178031595645905</v>
      </c>
      <c r="D898">
        <v>0.87151945400825603</v>
      </c>
      <c r="E898">
        <v>0.76488777913527495</v>
      </c>
      <c r="F898">
        <v>0.28269932399849002</v>
      </c>
      <c r="G898">
        <v>0.117573044393787</v>
      </c>
      <c r="H898">
        <v>5.9170518140355698E-2</v>
      </c>
      <c r="I898">
        <v>4.0436170257491598E-2</v>
      </c>
      <c r="J898">
        <v>5.0419991644990801E-2</v>
      </c>
      <c r="K898">
        <v>5.7285997112469102E-2</v>
      </c>
      <c r="L898">
        <v>1189.20300812758</v>
      </c>
      <c r="M898">
        <v>24.639267304177299</v>
      </c>
      <c r="N898">
        <v>48.4425578127641</v>
      </c>
      <c r="O898">
        <v>47.949988822014298</v>
      </c>
      <c r="P898">
        <v>-0.12290525273821699</v>
      </c>
      <c r="Q898">
        <v>4.32797427546786E-2</v>
      </c>
      <c r="R898">
        <v>0.99102264070955304</v>
      </c>
      <c r="S898" t="s">
        <v>7300</v>
      </c>
      <c r="T898" t="s">
        <v>12802</v>
      </c>
      <c r="U898" t="s">
        <v>12802</v>
      </c>
      <c r="V898" t="s">
        <v>12802</v>
      </c>
      <c r="W898" t="s">
        <v>13687</v>
      </c>
      <c r="X898">
        <v>46</v>
      </c>
      <c r="Y898" t="s">
        <v>20007</v>
      </c>
      <c r="Z898" t="s">
        <v>26216</v>
      </c>
      <c r="AA898">
        <v>0.41093503054358282</v>
      </c>
      <c r="AB898" t="str">
        <f>HYPERLINK("Melting_Curves/meltCurve_G5EA52_PDIA3.pdf", "Melting_Curves/meltCurve_G5EA52_PDIA3.pdf")</f>
        <v>Melting_Curves/meltCurve_G5EA52_PDIA3.pdf</v>
      </c>
    </row>
    <row r="899" spans="1:28" x14ac:dyDescent="0.25">
      <c r="A899" t="s">
        <v>903</v>
      </c>
      <c r="B899">
        <v>0.99542014353169495</v>
      </c>
      <c r="C899">
        <v>0.84162577748828604</v>
      </c>
      <c r="D899">
        <v>0.81110994609000597</v>
      </c>
      <c r="E899">
        <v>0.67926073864440994</v>
      </c>
      <c r="F899">
        <v>0.38785609133460702</v>
      </c>
      <c r="G899">
        <v>0.18578041925417299</v>
      </c>
      <c r="H899">
        <v>9.949285167803E-2</v>
      </c>
      <c r="I899">
        <v>7.7297860664017504E-2</v>
      </c>
      <c r="J899">
        <v>9.4486218358351901E-2</v>
      </c>
      <c r="K899">
        <v>0.11598995572529799</v>
      </c>
      <c r="L899">
        <v>641.84565965101297</v>
      </c>
      <c r="M899">
        <v>13.3932313857356</v>
      </c>
      <c r="N899">
        <v>48.268342335785597</v>
      </c>
      <c r="O899">
        <v>46.892579782951003</v>
      </c>
      <c r="P899">
        <v>-6.8153450848301697E-2</v>
      </c>
      <c r="Q899">
        <v>4.5670643320148301E-2</v>
      </c>
      <c r="R899">
        <v>0.98256821627302704</v>
      </c>
      <c r="S899" t="s">
        <v>7301</v>
      </c>
      <c r="T899" t="s">
        <v>12802</v>
      </c>
      <c r="U899" t="s">
        <v>12802</v>
      </c>
      <c r="V899" t="s">
        <v>12802</v>
      </c>
      <c r="W899" t="s">
        <v>13688</v>
      </c>
      <c r="X899">
        <v>10</v>
      </c>
      <c r="Y899" t="s">
        <v>20008</v>
      </c>
      <c r="Z899" t="s">
        <v>26217</v>
      </c>
      <c r="AA899">
        <v>0.4184980088003154</v>
      </c>
      <c r="AB899" t="str">
        <f>HYPERLINK("Melting_Curves/meltCurve_G8JLA2_MYL6.pdf", "Melting_Curves/meltCurve_G8JLA2_MYL6.pdf")</f>
        <v>Melting_Curves/meltCurve_G8JLA2_MYL6.pdf</v>
      </c>
    </row>
    <row r="900" spans="1:28" x14ac:dyDescent="0.25">
      <c r="A900" t="s">
        <v>904</v>
      </c>
      <c r="B900">
        <v>0.99542014353169495</v>
      </c>
      <c r="C900">
        <v>0.97799736182743402</v>
      </c>
      <c r="D900">
        <v>0.61244595090673404</v>
      </c>
      <c r="E900">
        <v>0.17762446426097001</v>
      </c>
      <c r="F900">
        <v>8.0978917391742303E-2</v>
      </c>
      <c r="G900">
        <v>4.63444863299909E-2</v>
      </c>
      <c r="H900">
        <v>2.9997970378428499E-2</v>
      </c>
      <c r="I900">
        <v>2.0986584636193201E-2</v>
      </c>
      <c r="J900">
        <v>2.49117409966895E-2</v>
      </c>
      <c r="K900">
        <v>3.08344695948168E-2</v>
      </c>
      <c r="L900">
        <v>1270.7792614442601</v>
      </c>
      <c r="M900">
        <v>29.089861841728499</v>
      </c>
      <c r="N900">
        <v>43.7937835778894</v>
      </c>
      <c r="O900">
        <v>43.479741900361098</v>
      </c>
      <c r="P900">
        <v>-0.161412192834442</v>
      </c>
      <c r="Q900">
        <v>3.4975586493144799E-2</v>
      </c>
      <c r="R900">
        <v>0.99826180062983305</v>
      </c>
      <c r="S900" t="s">
        <v>7302</v>
      </c>
      <c r="T900" t="s">
        <v>12802</v>
      </c>
      <c r="U900" t="s">
        <v>12802</v>
      </c>
      <c r="V900" t="s">
        <v>12802</v>
      </c>
      <c r="W900" t="s">
        <v>13689</v>
      </c>
      <c r="X900">
        <v>8</v>
      </c>
      <c r="Y900" t="s">
        <v>20009</v>
      </c>
      <c r="Z900" t="s">
        <v>26218</v>
      </c>
      <c r="AA900">
        <v>0.25572404328381049</v>
      </c>
      <c r="AB900" t="str">
        <f>HYPERLINK("Melting_Curves/meltCurve_G8JLB3_PUS1.pdf", "Melting_Curves/meltCurve_G8JLB3_PUS1.pdf")</f>
        <v>Melting_Curves/meltCurve_G8JLB3_PUS1.pdf</v>
      </c>
    </row>
    <row r="901" spans="1:28" x14ac:dyDescent="0.25">
      <c r="A901" t="s">
        <v>905</v>
      </c>
      <c r="B901">
        <v>0.99542014353169495</v>
      </c>
      <c r="C901">
        <v>0.92911703172695004</v>
      </c>
      <c r="D901">
        <v>0.85497090883126503</v>
      </c>
      <c r="E901">
        <v>0.55616585623945702</v>
      </c>
      <c r="F901">
        <v>0.26428427488556799</v>
      </c>
      <c r="G901">
        <v>0.15890917962131701</v>
      </c>
      <c r="H901">
        <v>0.185656998703113</v>
      </c>
      <c r="I901">
        <v>0.148473298478807</v>
      </c>
      <c r="J901">
        <v>0.119715974795552</v>
      </c>
      <c r="K901">
        <v>0.113262353869229</v>
      </c>
      <c r="L901">
        <v>932.32427405854605</v>
      </c>
      <c r="M901">
        <v>20.107111080679399</v>
      </c>
      <c r="N901">
        <v>47.056655034654099</v>
      </c>
      <c r="O901">
        <v>45.916547881041502</v>
      </c>
      <c r="P901">
        <v>-9.5523895008808396E-2</v>
      </c>
      <c r="Q901">
        <v>0.127475084339081</v>
      </c>
      <c r="R901">
        <v>0.99615747096505802</v>
      </c>
      <c r="S901" t="s">
        <v>7303</v>
      </c>
      <c r="T901" t="s">
        <v>12802</v>
      </c>
      <c r="U901" t="s">
        <v>12802</v>
      </c>
      <c r="V901" t="s">
        <v>12802</v>
      </c>
      <c r="W901" t="s">
        <v>13690</v>
      </c>
      <c r="X901">
        <v>8</v>
      </c>
      <c r="Y901" t="s">
        <v>20010</v>
      </c>
      <c r="Z901" t="s">
        <v>26219</v>
      </c>
      <c r="AA901">
        <v>0.41121812647515432</v>
      </c>
      <c r="AB901" t="str">
        <f>HYPERLINK("Melting_Curves/meltCurve_G8JLD3_ERC1.pdf", "Melting_Curves/meltCurve_G8JLD3_ERC1.pdf")</f>
        <v>Melting_Curves/meltCurve_G8JLD3_ERC1.pdf</v>
      </c>
    </row>
    <row r="902" spans="1:28" x14ac:dyDescent="0.25">
      <c r="A902" t="s">
        <v>906</v>
      </c>
      <c r="B902">
        <v>0.99542014353169495</v>
      </c>
      <c r="C902">
        <v>1.07450831746507</v>
      </c>
      <c r="D902">
        <v>0.72893648520077203</v>
      </c>
      <c r="E902">
        <v>0.60680292864727603</v>
      </c>
      <c r="F902">
        <v>0.35822915387332199</v>
      </c>
      <c r="G902">
        <v>0.30641733184838199</v>
      </c>
      <c r="H902">
        <v>0.155364785063515</v>
      </c>
      <c r="I902">
        <v>0.16022922188154701</v>
      </c>
      <c r="J902">
        <v>0.22963762904183899</v>
      </c>
      <c r="K902">
        <v>0.30820975068954898</v>
      </c>
      <c r="L902">
        <v>817.21635464306405</v>
      </c>
      <c r="M902">
        <v>17.749364272437099</v>
      </c>
      <c r="N902">
        <v>47.537056799510999</v>
      </c>
      <c r="O902">
        <v>45.4694977192162</v>
      </c>
      <c r="P902">
        <v>-7.6720380068324406E-2</v>
      </c>
      <c r="Q902">
        <v>0.213886158747567</v>
      </c>
      <c r="R902">
        <v>0.95526497594751203</v>
      </c>
      <c r="S902" t="s">
        <v>7304</v>
      </c>
      <c r="T902" t="s">
        <v>12802</v>
      </c>
      <c r="U902" t="s">
        <v>12802</v>
      </c>
      <c r="V902" t="s">
        <v>12802</v>
      </c>
      <c r="W902" t="s">
        <v>13691</v>
      </c>
      <c r="X902">
        <v>4</v>
      </c>
      <c r="Y902" t="s">
        <v>20011</v>
      </c>
      <c r="Z902" t="s">
        <v>26220</v>
      </c>
      <c r="AA902">
        <v>0.46388082792768348</v>
      </c>
      <c r="AB902" t="str">
        <f>HYPERLINK("Melting_Curves/meltCurve_G8JLE5_TIPIN.pdf", "Melting_Curves/meltCurve_G8JLE5_TIPIN.pdf")</f>
        <v>Melting_Curves/meltCurve_G8JLE5_TIPIN.pdf</v>
      </c>
    </row>
    <row r="903" spans="1:28" x14ac:dyDescent="0.25">
      <c r="A903" t="s">
        <v>907</v>
      </c>
      <c r="B903">
        <v>0.99542014353169495</v>
      </c>
      <c r="C903">
        <v>0.95846459215796098</v>
      </c>
      <c r="D903">
        <v>0.86289122099350801</v>
      </c>
      <c r="E903">
        <v>0.76686410408226502</v>
      </c>
      <c r="F903">
        <v>0.60720800900471705</v>
      </c>
      <c r="G903">
        <v>0.42028066659972901</v>
      </c>
      <c r="H903">
        <v>0.19417711159259199</v>
      </c>
      <c r="I903">
        <v>6.2371950197994901E-2</v>
      </c>
      <c r="J903">
        <v>4.03476087041914E-2</v>
      </c>
      <c r="K903">
        <v>3.2508412182856702E-2</v>
      </c>
      <c r="L903">
        <v>659.78673220388498</v>
      </c>
      <c r="M903">
        <v>12.8248533198059</v>
      </c>
      <c r="N903">
        <v>51.4459477545306</v>
      </c>
      <c r="O903">
        <v>50.243268812957901</v>
      </c>
      <c r="P903">
        <v>-6.3825680853595704E-2</v>
      </c>
      <c r="Q903">
        <v>0</v>
      </c>
      <c r="R903">
        <v>0.99022177373258702</v>
      </c>
      <c r="S903" t="s">
        <v>7305</v>
      </c>
      <c r="T903" t="s">
        <v>12802</v>
      </c>
      <c r="U903" t="s">
        <v>12802</v>
      </c>
      <c r="V903" t="s">
        <v>12802</v>
      </c>
      <c r="W903" t="s">
        <v>13692</v>
      </c>
      <c r="X903">
        <v>8</v>
      </c>
      <c r="Y903" t="s">
        <v>20012</v>
      </c>
      <c r="Z903" t="s">
        <v>26221</v>
      </c>
      <c r="AA903">
        <v>0.50505102057299434</v>
      </c>
      <c r="AB903" t="str">
        <f>HYPERLINK("Melting_Curves/meltCurve_G8JLI5_WDR45.pdf", "Melting_Curves/meltCurve_G8JLI5_WDR45.pdf")</f>
        <v>Melting_Curves/meltCurve_G8JLI5_WDR45.pdf</v>
      </c>
    </row>
    <row r="904" spans="1:28" x14ac:dyDescent="0.25">
      <c r="A904" t="s">
        <v>908</v>
      </c>
      <c r="B904">
        <v>0.99542014353169495</v>
      </c>
      <c r="C904">
        <v>0.99900316500014397</v>
      </c>
      <c r="D904">
        <v>0.99476762822182196</v>
      </c>
      <c r="E904">
        <v>0.88158401211834603</v>
      </c>
      <c r="F904">
        <v>0.62282183855776296</v>
      </c>
      <c r="G904">
        <v>0.28756671374253201</v>
      </c>
      <c r="H904">
        <v>0.13570996334249899</v>
      </c>
      <c r="I904">
        <v>9.1438377396825699E-2</v>
      </c>
      <c r="J904">
        <v>0.107015711695129</v>
      </c>
      <c r="K904">
        <v>0.12259022668927801</v>
      </c>
      <c r="L904">
        <v>1195.0797074197101</v>
      </c>
      <c r="M904">
        <v>23.5241509493056</v>
      </c>
      <c r="N904">
        <v>51.258153553072901</v>
      </c>
      <c r="O904">
        <v>50.439409486869103</v>
      </c>
      <c r="P904">
        <v>-0.105591663822292</v>
      </c>
      <c r="Q904">
        <v>9.4396408356231004E-2</v>
      </c>
      <c r="R904">
        <v>0.99869601652499496</v>
      </c>
      <c r="S904" t="s">
        <v>7306</v>
      </c>
      <c r="T904" t="s">
        <v>12802</v>
      </c>
      <c r="U904" t="s">
        <v>12802</v>
      </c>
      <c r="V904" t="s">
        <v>12802</v>
      </c>
      <c r="W904" t="s">
        <v>13693</v>
      </c>
      <c r="X904">
        <v>27</v>
      </c>
      <c r="Y904" t="s">
        <v>20013</v>
      </c>
      <c r="Z904" t="s">
        <v>26222</v>
      </c>
      <c r="AA904">
        <v>0.51996965504973625</v>
      </c>
      <c r="AB904" t="str">
        <f>HYPERLINK("Melting_Curves/meltCurve_G8JLK4_TACC1.pdf", "Melting_Curves/meltCurve_G8JLK4_TACC1.pdf")</f>
        <v>Melting_Curves/meltCurve_G8JLK4_TACC1.pdf</v>
      </c>
    </row>
    <row r="905" spans="1:28" x14ac:dyDescent="0.25">
      <c r="A905" t="s">
        <v>909</v>
      </c>
      <c r="B905">
        <v>0.99542014353169495</v>
      </c>
      <c r="C905">
        <v>1.1172626707294899</v>
      </c>
      <c r="D905">
        <v>1.3075361778793599</v>
      </c>
      <c r="E905">
        <v>0.97935552783233704</v>
      </c>
      <c r="F905">
        <v>0.381995732071575</v>
      </c>
      <c r="G905">
        <v>0.13431201050900299</v>
      </c>
      <c r="H905">
        <v>8.3322625528748001E-2</v>
      </c>
      <c r="I905">
        <v>6.1772113771656298E-2</v>
      </c>
      <c r="J905">
        <v>8.9837988214345896E-2</v>
      </c>
      <c r="K905">
        <v>0.12317322419414301</v>
      </c>
      <c r="L905">
        <v>2795.4853834916798</v>
      </c>
      <c r="M905">
        <v>56.4460697832344</v>
      </c>
      <c r="N905">
        <v>49.712781514059998</v>
      </c>
      <c r="O905">
        <v>49.462843977880802</v>
      </c>
      <c r="P905">
        <v>-0.25789205074919502</v>
      </c>
      <c r="Q905">
        <v>9.6052726325627599E-2</v>
      </c>
      <c r="R905">
        <v>0.95207284498012901</v>
      </c>
      <c r="S905" t="s">
        <v>7307</v>
      </c>
      <c r="T905" t="s">
        <v>12802</v>
      </c>
      <c r="U905" t="s">
        <v>12802</v>
      </c>
      <c r="V905" t="s">
        <v>12802</v>
      </c>
      <c r="W905" t="s">
        <v>13694</v>
      </c>
      <c r="X905">
        <v>3</v>
      </c>
      <c r="Y905" t="s">
        <v>20014</v>
      </c>
      <c r="Z905" t="s">
        <v>26223</v>
      </c>
      <c r="AA905">
        <v>0.4749949558546076</v>
      </c>
      <c r="AB905" t="str">
        <f>HYPERLINK("Melting_Curves/meltCurve_G8JLK7_NOL6.pdf", "Melting_Curves/meltCurve_G8JLK7_NOL6.pdf")</f>
        <v>Melting_Curves/meltCurve_G8JLK7_NOL6.pdf</v>
      </c>
    </row>
    <row r="906" spans="1:28" x14ac:dyDescent="0.25">
      <c r="A906" t="s">
        <v>910</v>
      </c>
      <c r="B906">
        <v>0.99542014353169495</v>
      </c>
      <c r="C906">
        <v>1.0160561875935801</v>
      </c>
      <c r="D906">
        <v>0.95547331712690098</v>
      </c>
      <c r="E906">
        <v>0.83106325632622802</v>
      </c>
      <c r="F906">
        <v>0.65071604243034098</v>
      </c>
      <c r="G906">
        <v>0.53047253052891696</v>
      </c>
      <c r="H906">
        <v>0.324180536189621</v>
      </c>
      <c r="I906">
        <v>0.19434894535555999</v>
      </c>
      <c r="J906">
        <v>0.114638728579373</v>
      </c>
      <c r="K906">
        <v>0.12994597698447399</v>
      </c>
      <c r="L906">
        <v>607.78617760957002</v>
      </c>
      <c r="M906">
        <v>11.363003564245499</v>
      </c>
      <c r="N906">
        <v>53.604471028802898</v>
      </c>
      <c r="O906">
        <v>51.911902159548198</v>
      </c>
      <c r="P906">
        <v>-5.4072331836449501E-2</v>
      </c>
      <c r="Q906">
        <v>1.21759253716246E-2</v>
      </c>
      <c r="R906">
        <v>0.99501580627479103</v>
      </c>
      <c r="S906" t="s">
        <v>7308</v>
      </c>
      <c r="T906" t="s">
        <v>12802</v>
      </c>
      <c r="U906" t="s">
        <v>12802</v>
      </c>
      <c r="V906" t="s">
        <v>12802</v>
      </c>
      <c r="W906" t="s">
        <v>13695</v>
      </c>
      <c r="X906">
        <v>3</v>
      </c>
      <c r="Y906" t="s">
        <v>20015</v>
      </c>
      <c r="Z906" t="s">
        <v>26224</v>
      </c>
      <c r="AA906">
        <v>0.57477117818482903</v>
      </c>
      <c r="AB906" t="str">
        <f>HYPERLINK("Melting_Curves/meltCurve_G8JLL2_PPT2.pdf", "Melting_Curves/meltCurve_G8JLL2_PPT2.pdf")</f>
        <v>Melting_Curves/meltCurve_G8JLL2_PPT2.pdf</v>
      </c>
    </row>
    <row r="907" spans="1:28" x14ac:dyDescent="0.25">
      <c r="A907" t="s">
        <v>911</v>
      </c>
      <c r="B907">
        <v>0.99542014353169495</v>
      </c>
      <c r="C907">
        <v>0.82037722671831004</v>
      </c>
      <c r="D907">
        <v>1.2110828726943701</v>
      </c>
      <c r="E907">
        <v>0.74083236019799803</v>
      </c>
      <c r="F907">
        <v>0.62889960909298104</v>
      </c>
      <c r="G907">
        <v>0.20714412296444101</v>
      </c>
      <c r="H907">
        <v>0.138960909124932</v>
      </c>
      <c r="I907">
        <v>0.19400901076234101</v>
      </c>
      <c r="J907">
        <v>0.27159494825642</v>
      </c>
      <c r="K907">
        <v>0.12806269580683299</v>
      </c>
      <c r="L907">
        <v>1240.14531970895</v>
      </c>
      <c r="M907">
        <v>24.9237959096202</v>
      </c>
      <c r="N907">
        <v>50.5788412306214</v>
      </c>
      <c r="O907">
        <v>49.4404839808129</v>
      </c>
      <c r="P907">
        <v>-0.105056216795268</v>
      </c>
      <c r="Q907">
        <v>0.16642567205973599</v>
      </c>
      <c r="R907">
        <v>0.90907104007248796</v>
      </c>
      <c r="S907" t="s">
        <v>7309</v>
      </c>
      <c r="T907" t="s">
        <v>12802</v>
      </c>
      <c r="U907" t="s">
        <v>12802</v>
      </c>
      <c r="V907" t="s">
        <v>12802</v>
      </c>
      <c r="W907" t="s">
        <v>13696</v>
      </c>
      <c r="X907">
        <v>5</v>
      </c>
      <c r="Y907" t="s">
        <v>20016</v>
      </c>
      <c r="Z907" t="s">
        <v>26225</v>
      </c>
      <c r="AA907">
        <v>0.52821579283926345</v>
      </c>
      <c r="AB907" t="str">
        <f>HYPERLINK("Melting_Curves/meltCurve_G8JLM6_TAF6.pdf", "Melting_Curves/meltCurve_G8JLM6_TAF6.pdf")</f>
        <v>Melting_Curves/meltCurve_G8JLM6_TAF6.pdf</v>
      </c>
    </row>
    <row r="908" spans="1:28" x14ac:dyDescent="0.25">
      <c r="A908" t="s">
        <v>912</v>
      </c>
      <c r="B908">
        <v>0.99542014353169495</v>
      </c>
      <c r="C908">
        <v>1.0272554182060301</v>
      </c>
      <c r="D908">
        <v>0.58956003516822697</v>
      </c>
      <c r="E908">
        <v>0.28636491714533502</v>
      </c>
      <c r="F908">
        <v>0.16437088577099501</v>
      </c>
      <c r="G908">
        <v>8.1998405672202498E-2</v>
      </c>
      <c r="H908">
        <v>0</v>
      </c>
      <c r="I908">
        <v>5.8929264158270399E-2</v>
      </c>
      <c r="J908">
        <v>6.9975628442854002E-2</v>
      </c>
      <c r="K908">
        <v>0</v>
      </c>
      <c r="L908">
        <v>980.95062372585096</v>
      </c>
      <c r="M908">
        <v>22.2415129499066</v>
      </c>
      <c r="N908">
        <v>44.303014467944998</v>
      </c>
      <c r="O908">
        <v>43.752604649686397</v>
      </c>
      <c r="P908">
        <v>-0.121061903595495</v>
      </c>
      <c r="Q908">
        <v>4.74282007110585E-2</v>
      </c>
      <c r="R908">
        <v>0.98184317076124406</v>
      </c>
      <c r="S908" t="s">
        <v>7310</v>
      </c>
      <c r="T908" t="s">
        <v>12802</v>
      </c>
      <c r="U908" t="s">
        <v>12802</v>
      </c>
      <c r="V908" t="s">
        <v>12802</v>
      </c>
      <c r="W908" t="s">
        <v>13697</v>
      </c>
      <c r="X908">
        <v>1</v>
      </c>
      <c r="Y908" t="s">
        <v>20017</v>
      </c>
      <c r="Z908" t="s">
        <v>26226</v>
      </c>
      <c r="AA908">
        <v>0.28309256320226123</v>
      </c>
      <c r="AB908" t="str">
        <f>HYPERLINK("Melting_Curves/meltCurve_G8JLP4_KIAA0430.pdf", "Melting_Curves/meltCurve_G8JLP4_KIAA0430.pdf")</f>
        <v>Melting_Curves/meltCurve_G8JLP4_KIAA0430.pdf</v>
      </c>
    </row>
    <row r="909" spans="1:28" x14ac:dyDescent="0.25">
      <c r="A909" t="s">
        <v>913</v>
      </c>
      <c r="B909">
        <v>0.99542014353169495</v>
      </c>
      <c r="C909">
        <v>0.96387124586722195</v>
      </c>
      <c r="D909">
        <v>0.93212227025875105</v>
      </c>
      <c r="E909">
        <v>0.57141953695345904</v>
      </c>
      <c r="F909">
        <v>0.22508913708570499</v>
      </c>
      <c r="G909">
        <v>9.9448507473717696E-2</v>
      </c>
      <c r="H909">
        <v>7.1360225749140693E-2</v>
      </c>
      <c r="I909">
        <v>4.4702216470043701E-2</v>
      </c>
      <c r="J909">
        <v>6.7052739313698595E-2</v>
      </c>
      <c r="K909">
        <v>5.0164941106889398E-2</v>
      </c>
      <c r="L909">
        <v>1157.0677106230701</v>
      </c>
      <c r="M909">
        <v>24.6076669034994</v>
      </c>
      <c r="N909">
        <v>47.246642611262402</v>
      </c>
      <c r="O909">
        <v>46.713390166733099</v>
      </c>
      <c r="P909">
        <v>-0.124383950330601</v>
      </c>
      <c r="Q909">
        <v>5.5528034527178798E-2</v>
      </c>
      <c r="R909">
        <v>0.99909691008031298</v>
      </c>
      <c r="S909" t="s">
        <v>7311</v>
      </c>
      <c r="T909" t="s">
        <v>12802</v>
      </c>
      <c r="U909" t="s">
        <v>12802</v>
      </c>
      <c r="V909" t="s">
        <v>12802</v>
      </c>
      <c r="W909" t="s">
        <v>13698</v>
      </c>
      <c r="X909">
        <v>6</v>
      </c>
      <c r="Y909" t="s">
        <v>20018</v>
      </c>
      <c r="Z909" t="s">
        <v>26227</v>
      </c>
      <c r="AA909">
        <v>0.37919167644711688</v>
      </c>
      <c r="AB909" t="str">
        <f>HYPERLINK("Melting_Curves/meltCurve_H0UI80_TH1L.pdf", "Melting_Curves/meltCurve_H0UI80_TH1L.pdf")</f>
        <v>Melting_Curves/meltCurve_H0UI80_TH1L.pdf</v>
      </c>
    </row>
    <row r="910" spans="1:28" x14ac:dyDescent="0.25">
      <c r="A910" t="s">
        <v>914</v>
      </c>
      <c r="B910">
        <v>0.99542014353169495</v>
      </c>
      <c r="C910">
        <v>0.97648105316707601</v>
      </c>
      <c r="D910">
        <v>0.82176354435716903</v>
      </c>
      <c r="E910">
        <v>0.65162518274453096</v>
      </c>
      <c r="F910">
        <v>0.36750756155268799</v>
      </c>
      <c r="G910">
        <v>0.23173497932551201</v>
      </c>
      <c r="H910">
        <v>0.13760542131484699</v>
      </c>
      <c r="I910">
        <v>0.106118785081498</v>
      </c>
      <c r="J910">
        <v>9.2567159460954604E-2</v>
      </c>
      <c r="K910">
        <v>4.9653176865201099E-2</v>
      </c>
      <c r="L910">
        <v>684.41885046506695</v>
      </c>
      <c r="M910">
        <v>14.245035339132601</v>
      </c>
      <c r="N910">
        <v>48.4326822411197</v>
      </c>
      <c r="O910">
        <v>47.129047802747799</v>
      </c>
      <c r="P910">
        <v>-7.1512532807984794E-2</v>
      </c>
      <c r="Q910">
        <v>5.3733690420373501E-2</v>
      </c>
      <c r="R910">
        <v>0.99762143372416001</v>
      </c>
      <c r="S910" t="s">
        <v>7312</v>
      </c>
      <c r="T910" t="s">
        <v>12802</v>
      </c>
      <c r="U910" t="s">
        <v>12802</v>
      </c>
      <c r="V910" t="s">
        <v>12802</v>
      </c>
      <c r="W910" t="s">
        <v>13699</v>
      </c>
      <c r="X910">
        <v>4</v>
      </c>
      <c r="Z910" t="s">
        <v>26228</v>
      </c>
      <c r="AA910">
        <v>0.42482972224413601</v>
      </c>
      <c r="AB910" t="str">
        <f>HYPERLINK("Melting_Curves/meltCurve_H0Y2U5_.pdf", "Melting_Curves/meltCurve_H0Y2U5_.pdf")</f>
        <v>Melting_Curves/meltCurve_H0Y2U5_.pdf</v>
      </c>
    </row>
    <row r="911" spans="1:28" x14ac:dyDescent="0.25">
      <c r="A911" t="s">
        <v>915</v>
      </c>
      <c r="B911">
        <v>0.99542014353169495</v>
      </c>
      <c r="C911">
        <v>0.89398783232359702</v>
      </c>
      <c r="D911">
        <v>0.933880747384362</v>
      </c>
      <c r="E911">
        <v>0.76716324798852897</v>
      </c>
      <c r="F911">
        <v>0.68493744866405204</v>
      </c>
      <c r="G911">
        <v>0.362781888849187</v>
      </c>
      <c r="H911">
        <v>0.18820867249256701</v>
      </c>
      <c r="I911">
        <v>6.4950898672107293E-2</v>
      </c>
      <c r="J911">
        <v>4.6504639803163397E-2</v>
      </c>
      <c r="K911">
        <v>4.8721121743114201E-2</v>
      </c>
      <c r="L911">
        <v>730.97314053186506</v>
      </c>
      <c r="M911">
        <v>14.1216217385712</v>
      </c>
      <c r="N911">
        <v>51.762690877980397</v>
      </c>
      <c r="O911">
        <v>50.757839019701898</v>
      </c>
      <c r="P911">
        <v>-6.9562775273653593E-2</v>
      </c>
      <c r="Q911">
        <v>0</v>
      </c>
      <c r="R911">
        <v>0.98572376941055595</v>
      </c>
      <c r="S911" t="s">
        <v>7313</v>
      </c>
      <c r="T911" t="s">
        <v>12802</v>
      </c>
      <c r="U911" t="s">
        <v>12802</v>
      </c>
      <c r="V911" t="s">
        <v>12802</v>
      </c>
      <c r="W911" t="s">
        <v>13700</v>
      </c>
      <c r="X911">
        <v>22</v>
      </c>
      <c r="Y911" t="s">
        <v>20019</v>
      </c>
      <c r="Z911" t="s">
        <v>26229</v>
      </c>
      <c r="AA911">
        <v>0.51287235697402933</v>
      </c>
      <c r="AB911" t="str">
        <f>HYPERLINK("Melting_Curves/meltCurve_H0Y360_AMPD2.pdf", "Melting_Curves/meltCurve_H0Y360_AMPD2.pdf")</f>
        <v>Melting_Curves/meltCurve_H0Y360_AMPD2.pdf</v>
      </c>
    </row>
    <row r="912" spans="1:28" x14ac:dyDescent="0.25">
      <c r="A912" t="s">
        <v>916</v>
      </c>
      <c r="B912">
        <v>0.99542014353169495</v>
      </c>
      <c r="C912">
        <v>0.77383949091483795</v>
      </c>
      <c r="D912">
        <v>0.95568154190104404</v>
      </c>
      <c r="E912">
        <v>0.81053040146923805</v>
      </c>
      <c r="F912">
        <v>0.64594881017433303</v>
      </c>
      <c r="G912">
        <v>0.34295559281121502</v>
      </c>
      <c r="H912">
        <v>0.340485433547486</v>
      </c>
      <c r="I912">
        <v>0.20427253930951</v>
      </c>
      <c r="J912">
        <v>0.222004189939222</v>
      </c>
      <c r="K912">
        <v>0.18761088141370499</v>
      </c>
      <c r="L912">
        <v>623.34236713069595</v>
      </c>
      <c r="M912">
        <v>12.2813795344616</v>
      </c>
      <c r="N912">
        <v>52.126017614010998</v>
      </c>
      <c r="O912">
        <v>49.465703816493601</v>
      </c>
      <c r="P912">
        <v>-5.3515336585789199E-2</v>
      </c>
      <c r="Q912">
        <v>0.13801534200811399</v>
      </c>
      <c r="R912">
        <v>0.94356882263916197</v>
      </c>
      <c r="S912" t="s">
        <v>7314</v>
      </c>
      <c r="T912" t="s">
        <v>12802</v>
      </c>
      <c r="U912" t="s">
        <v>12802</v>
      </c>
      <c r="V912" t="s">
        <v>12802</v>
      </c>
      <c r="W912" t="s">
        <v>13701</v>
      </c>
      <c r="X912">
        <v>1</v>
      </c>
      <c r="Y912" t="s">
        <v>20020</v>
      </c>
      <c r="Z912" t="s">
        <v>26230</v>
      </c>
      <c r="AA912">
        <v>0.55556140472656135</v>
      </c>
      <c r="AB912" t="str">
        <f>HYPERLINK("Melting_Curves/meltCurve_H0Y362_SLC30A7.pdf", "Melting_Curves/meltCurve_H0Y362_SLC30A7.pdf")</f>
        <v>Melting_Curves/meltCurve_H0Y362_SLC30A7.pdf</v>
      </c>
    </row>
    <row r="913" spans="1:28" x14ac:dyDescent="0.25">
      <c r="A913" t="s">
        <v>917</v>
      </c>
      <c r="B913">
        <v>0.99542014353169495</v>
      </c>
      <c r="C913">
        <v>1.0049985498266001</v>
      </c>
      <c r="D913">
        <v>0.98360547407696997</v>
      </c>
      <c r="E913">
        <v>0.51823074239419398</v>
      </c>
      <c r="F913">
        <v>0.14510096888869001</v>
      </c>
      <c r="G913">
        <v>0.15251085624640801</v>
      </c>
      <c r="H913">
        <v>5.5658454774457099E-2</v>
      </c>
      <c r="I913">
        <v>3.1919129184109898E-2</v>
      </c>
      <c r="J913">
        <v>2.32065311383737E-2</v>
      </c>
      <c r="K913">
        <v>4.0487702484516802E-2</v>
      </c>
      <c r="L913">
        <v>1569.76915353443</v>
      </c>
      <c r="M913">
        <v>33.674582945161802</v>
      </c>
      <c r="N913">
        <v>46.789248149161899</v>
      </c>
      <c r="O913">
        <v>46.452376246808598</v>
      </c>
      <c r="P913">
        <v>-0.17060173883636001</v>
      </c>
      <c r="Q913">
        <v>5.8658222189307302E-2</v>
      </c>
      <c r="R913">
        <v>0.99365031832373196</v>
      </c>
      <c r="S913" t="s">
        <v>7315</v>
      </c>
      <c r="T913" t="s">
        <v>12802</v>
      </c>
      <c r="U913" t="s">
        <v>12802</v>
      </c>
      <c r="V913" t="s">
        <v>12802</v>
      </c>
      <c r="W913" t="s">
        <v>13702</v>
      </c>
      <c r="X913">
        <v>9</v>
      </c>
      <c r="Y913" t="s">
        <v>20021</v>
      </c>
      <c r="Z913" t="s">
        <v>26231</v>
      </c>
      <c r="AA913">
        <v>0.36468222713948262</v>
      </c>
      <c r="AB913" t="str">
        <f>HYPERLINK("Melting_Curves/meltCurve_H0Y384_ODF2.pdf", "Melting_Curves/meltCurve_H0Y384_ODF2.pdf")</f>
        <v>Melting_Curves/meltCurve_H0Y384_ODF2.pdf</v>
      </c>
    </row>
    <row r="914" spans="1:28" x14ac:dyDescent="0.25">
      <c r="A914" t="s">
        <v>918</v>
      </c>
      <c r="B914">
        <v>0.99542014353169495</v>
      </c>
      <c r="C914">
        <v>1.09429267478521</v>
      </c>
      <c r="D914">
        <v>1.0912604673855</v>
      </c>
      <c r="E914">
        <v>1.1904225008504301</v>
      </c>
      <c r="F914">
        <v>0.97944648143869395</v>
      </c>
      <c r="G914">
        <v>0.67123857586824898</v>
      </c>
      <c r="H914">
        <v>0.37639610163418402</v>
      </c>
      <c r="I914">
        <v>0.24972571530996701</v>
      </c>
      <c r="J914">
        <v>0.33130454849516999</v>
      </c>
      <c r="K914">
        <v>0.39962629657021798</v>
      </c>
      <c r="L914">
        <v>2636.32089440763</v>
      </c>
      <c r="M914">
        <v>48.956416033483997</v>
      </c>
      <c r="N914">
        <v>55.067878548455802</v>
      </c>
      <c r="O914">
        <v>53.760739343865701</v>
      </c>
      <c r="P914">
        <v>-0.15239309522913</v>
      </c>
      <c r="Q914">
        <v>0.33060800589837702</v>
      </c>
      <c r="R914">
        <v>0.946936723569617</v>
      </c>
      <c r="S914" t="s">
        <v>7316</v>
      </c>
      <c r="T914" t="s">
        <v>12802</v>
      </c>
      <c r="U914" t="s">
        <v>12802</v>
      </c>
      <c r="V914" t="s">
        <v>12802</v>
      </c>
      <c r="W914" t="s">
        <v>13703</v>
      </c>
      <c r="X914">
        <v>1</v>
      </c>
      <c r="Y914" t="s">
        <v>20022</v>
      </c>
      <c r="Z914" t="s">
        <v>26232</v>
      </c>
      <c r="AA914">
        <v>0.7082476016439998</v>
      </c>
      <c r="AB914" t="str">
        <f>HYPERLINK("Melting_Curves/meltCurve_H0Y3A3_DAB2IP.pdf", "Melting_Curves/meltCurve_H0Y3A3_DAB2IP.pdf")</f>
        <v>Melting_Curves/meltCurve_H0Y3A3_DAB2IP.pdf</v>
      </c>
    </row>
    <row r="915" spans="1:28" x14ac:dyDescent="0.25">
      <c r="A915" t="s">
        <v>919</v>
      </c>
      <c r="B915">
        <v>0.99542014353169495</v>
      </c>
      <c r="C915">
        <v>0.959684879685341</v>
      </c>
      <c r="D915">
        <v>0.86817261774894905</v>
      </c>
      <c r="E915">
        <v>0.33098520135269599</v>
      </c>
      <c r="F915">
        <v>0.12596372700999101</v>
      </c>
      <c r="G915">
        <v>7.4952547799462796E-2</v>
      </c>
      <c r="H915">
        <v>4.9035106487573803E-2</v>
      </c>
      <c r="I915">
        <v>3.4118868582408E-2</v>
      </c>
      <c r="J915">
        <v>3.5185253326732301E-2</v>
      </c>
      <c r="K915">
        <v>3.3305146219208298E-2</v>
      </c>
      <c r="L915">
        <v>1370.0962171502999</v>
      </c>
      <c r="M915">
        <v>30.177536130664802</v>
      </c>
      <c r="N915">
        <v>45.549532083546801</v>
      </c>
      <c r="O915">
        <v>45.203237471733999</v>
      </c>
      <c r="P915">
        <v>-0.15908923441398901</v>
      </c>
      <c r="Q915">
        <v>4.6800769914087298E-2</v>
      </c>
      <c r="R915">
        <v>0.99813226676639499</v>
      </c>
      <c r="S915" t="s">
        <v>7317</v>
      </c>
      <c r="T915" t="s">
        <v>12802</v>
      </c>
      <c r="U915" t="s">
        <v>12802</v>
      </c>
      <c r="V915" t="s">
        <v>12802</v>
      </c>
      <c r="W915" t="s">
        <v>13704</v>
      </c>
      <c r="X915">
        <v>31</v>
      </c>
      <c r="Y915" t="s">
        <v>20023</v>
      </c>
      <c r="Z915" t="s">
        <v>26233</v>
      </c>
      <c r="AA915">
        <v>0.31905268815431848</v>
      </c>
      <c r="AB915" t="str">
        <f>HYPERLINK("Melting_Curves/meltCurve_H0Y3P2_EIF4G2.pdf", "Melting_Curves/meltCurve_H0Y3P2_EIF4G2.pdf")</f>
        <v>Melting_Curves/meltCurve_H0Y3P2_EIF4G2.pdf</v>
      </c>
    </row>
    <row r="916" spans="1:28" x14ac:dyDescent="0.25">
      <c r="A916" t="s">
        <v>920</v>
      </c>
      <c r="B916">
        <v>0.99542014353169495</v>
      </c>
      <c r="C916">
        <v>1.03468861629583</v>
      </c>
      <c r="D916">
        <v>0.85188436357017105</v>
      </c>
      <c r="E916">
        <v>0.27700003496785103</v>
      </c>
      <c r="F916">
        <v>8.6499587435372602E-2</v>
      </c>
      <c r="G916">
        <v>5.4829044854554101E-2</v>
      </c>
      <c r="H916">
        <v>3.3951752066431702E-2</v>
      </c>
      <c r="I916">
        <v>1.5648649122530601E-2</v>
      </c>
      <c r="J916">
        <v>2.0539947664659799E-2</v>
      </c>
      <c r="K916">
        <v>1.1695173826997999E-2</v>
      </c>
      <c r="L916">
        <v>1539.9032029577199</v>
      </c>
      <c r="M916">
        <v>34.0876881533298</v>
      </c>
      <c r="N916">
        <v>45.257922899082097</v>
      </c>
      <c r="O916">
        <v>45.020137665573102</v>
      </c>
      <c r="P916">
        <v>-0.18354570190166999</v>
      </c>
      <c r="Q916">
        <v>3.0357195887602901E-2</v>
      </c>
      <c r="R916">
        <v>0.99778871576806905</v>
      </c>
      <c r="S916" t="s">
        <v>7318</v>
      </c>
      <c r="T916" t="s">
        <v>12802</v>
      </c>
      <c r="U916" t="s">
        <v>12802</v>
      </c>
      <c r="V916" t="s">
        <v>12802</v>
      </c>
      <c r="W916" t="s">
        <v>13705</v>
      </c>
      <c r="X916">
        <v>5</v>
      </c>
      <c r="Y916" t="s">
        <v>20024</v>
      </c>
      <c r="Z916" t="s">
        <v>26234</v>
      </c>
      <c r="AA916">
        <v>0.29877485992091812</v>
      </c>
      <c r="AB916" t="str">
        <f>HYPERLINK("Melting_Curves/meltCurve_H0Y4G9_MYD88.pdf", "Melting_Curves/meltCurve_H0Y4G9_MYD88.pdf")</f>
        <v>Melting_Curves/meltCurve_H0Y4G9_MYD88.pdf</v>
      </c>
    </row>
    <row r="917" spans="1:28" x14ac:dyDescent="0.25">
      <c r="A917" t="s">
        <v>921</v>
      </c>
      <c r="B917">
        <v>0.99542014353169495</v>
      </c>
      <c r="C917">
        <v>1.0003786794230201</v>
      </c>
      <c r="D917">
        <v>0.94887120628056099</v>
      </c>
      <c r="E917">
        <v>0.78600047096793402</v>
      </c>
      <c r="F917">
        <v>0.64959816551225602</v>
      </c>
      <c r="G917">
        <v>0.36209194263497402</v>
      </c>
      <c r="H917">
        <v>0.175540914242411</v>
      </c>
      <c r="I917">
        <v>0.12230445579907601</v>
      </c>
      <c r="J917">
        <v>0.14918634068582001</v>
      </c>
      <c r="K917">
        <v>0.17352348849590299</v>
      </c>
      <c r="L917">
        <v>855.98441647539801</v>
      </c>
      <c r="M917">
        <v>16.866724118445699</v>
      </c>
      <c r="N917">
        <v>51.5175444151525</v>
      </c>
      <c r="O917">
        <v>50.052601542830303</v>
      </c>
      <c r="P917">
        <v>-7.4888761090487699E-2</v>
      </c>
      <c r="Q917">
        <v>0.11111631540776699</v>
      </c>
      <c r="R917">
        <v>0.99085000794726896</v>
      </c>
      <c r="S917" t="s">
        <v>7319</v>
      </c>
      <c r="T917" t="s">
        <v>12802</v>
      </c>
      <c r="U917" t="s">
        <v>12802</v>
      </c>
      <c r="V917" t="s">
        <v>12802</v>
      </c>
      <c r="W917" t="s">
        <v>13706</v>
      </c>
      <c r="X917">
        <v>9</v>
      </c>
      <c r="Y917" t="s">
        <v>20025</v>
      </c>
      <c r="Z917" t="s">
        <v>26235</v>
      </c>
      <c r="AA917">
        <v>0.53382337471991181</v>
      </c>
      <c r="AB917" t="str">
        <f>HYPERLINK("Melting_Curves/meltCurve_H0Y4R1_IMPDH2.pdf", "Melting_Curves/meltCurve_H0Y4R1_IMPDH2.pdf")</f>
        <v>Melting_Curves/meltCurve_H0Y4R1_IMPDH2.pdf</v>
      </c>
    </row>
    <row r="918" spans="1:28" x14ac:dyDescent="0.25">
      <c r="A918" t="s">
        <v>922</v>
      </c>
      <c r="B918">
        <v>0.99542014353169495</v>
      </c>
      <c r="C918">
        <v>0.75845028680937498</v>
      </c>
      <c r="D918">
        <v>0.868423484475217</v>
      </c>
      <c r="E918">
        <v>0.721433999590954</v>
      </c>
      <c r="F918">
        <v>0.45433726468885599</v>
      </c>
      <c r="G918">
        <v>0.232110844993135</v>
      </c>
      <c r="H918">
        <v>0.137748289550919</v>
      </c>
      <c r="I918">
        <v>9.6882643322113396E-2</v>
      </c>
      <c r="J918">
        <v>8.9794948903004407E-2</v>
      </c>
      <c r="K918">
        <v>0.11282689951552299</v>
      </c>
      <c r="L918">
        <v>575.34847385824401</v>
      </c>
      <c r="M918">
        <v>11.753007390634499</v>
      </c>
      <c r="N918">
        <v>49.173985980704501</v>
      </c>
      <c r="O918">
        <v>47.600554624702802</v>
      </c>
      <c r="P918">
        <v>-6.0157221134331702E-2</v>
      </c>
      <c r="Q918">
        <v>2.5689678849129299E-2</v>
      </c>
      <c r="R918">
        <v>0.96239154151524797</v>
      </c>
      <c r="S918" t="s">
        <v>7320</v>
      </c>
      <c r="T918" t="s">
        <v>12802</v>
      </c>
      <c r="U918" t="s">
        <v>12802</v>
      </c>
      <c r="V918" t="s">
        <v>12802</v>
      </c>
      <c r="W918" t="s">
        <v>13707</v>
      </c>
      <c r="X918">
        <v>1</v>
      </c>
      <c r="Y918" t="s">
        <v>20026</v>
      </c>
      <c r="Z918" t="s">
        <v>26236</v>
      </c>
      <c r="AA918">
        <v>0.44373517123145362</v>
      </c>
      <c r="AB918" t="str">
        <f>HYPERLINK("Melting_Curves/meltCurve_H0Y4R5_TMEM201.pdf", "Melting_Curves/meltCurve_H0Y4R5_TMEM201.pdf")</f>
        <v>Melting_Curves/meltCurve_H0Y4R5_TMEM201.pdf</v>
      </c>
    </row>
    <row r="919" spans="1:28" x14ac:dyDescent="0.25">
      <c r="A919" t="s">
        <v>923</v>
      </c>
      <c r="B919">
        <v>0.99542014353169495</v>
      </c>
      <c r="C919">
        <v>0.91243227365783397</v>
      </c>
      <c r="D919">
        <v>0.85479618647076006</v>
      </c>
      <c r="E919">
        <v>0.57715710453719304</v>
      </c>
      <c r="F919">
        <v>0.50587334340686896</v>
      </c>
      <c r="G919">
        <v>0.30167640465045398</v>
      </c>
      <c r="H919">
        <v>0.16504069185814299</v>
      </c>
      <c r="I919">
        <v>6.3562715071273104E-2</v>
      </c>
      <c r="J919">
        <v>7.2639651579688505E-2</v>
      </c>
      <c r="K919">
        <v>6.2672049308903896E-2</v>
      </c>
      <c r="L919">
        <v>534.41718532060099</v>
      </c>
      <c r="M919">
        <v>10.8588594917588</v>
      </c>
      <c r="N919">
        <v>49.214834088905903</v>
      </c>
      <c r="O919">
        <v>47.633990771981502</v>
      </c>
      <c r="P919">
        <v>-5.7011336156575297E-2</v>
      </c>
      <c r="Q919">
        <v>0</v>
      </c>
      <c r="R919">
        <v>0.98990641651806599</v>
      </c>
      <c r="S919" t="s">
        <v>7321</v>
      </c>
      <c r="T919" t="s">
        <v>12802</v>
      </c>
      <c r="U919" t="s">
        <v>12802</v>
      </c>
      <c r="V919" t="s">
        <v>12802</v>
      </c>
      <c r="W919" t="s">
        <v>13708</v>
      </c>
      <c r="X919">
        <v>9</v>
      </c>
      <c r="Y919" t="s">
        <v>20027</v>
      </c>
      <c r="Z919" t="s">
        <v>26237</v>
      </c>
      <c r="AA919">
        <v>0.44038030027098879</v>
      </c>
      <c r="AB919" t="str">
        <f>HYPERLINK("Melting_Curves/meltCurve_H0Y4W2_TRRAP.pdf", "Melting_Curves/meltCurve_H0Y4W2_TRRAP.pdf")</f>
        <v>Melting_Curves/meltCurve_H0Y4W2_TRRAP.pdf</v>
      </c>
    </row>
    <row r="920" spans="1:28" x14ac:dyDescent="0.25">
      <c r="A920" t="s">
        <v>924</v>
      </c>
      <c r="B920">
        <v>0.99542014353169495</v>
      </c>
      <c r="C920">
        <v>0.912958271100759</v>
      </c>
      <c r="D920">
        <v>0.86457775285725802</v>
      </c>
      <c r="E920">
        <v>0.71592661149317005</v>
      </c>
      <c r="F920">
        <v>0.64715575052877705</v>
      </c>
      <c r="G920">
        <v>0.45463340200137098</v>
      </c>
      <c r="H920">
        <v>0.27755998498700302</v>
      </c>
      <c r="I920">
        <v>6.1878960776368098E-2</v>
      </c>
      <c r="J920">
        <v>3.3734390697012499E-2</v>
      </c>
      <c r="K920">
        <v>5.6937789383535997E-2</v>
      </c>
      <c r="L920">
        <v>588.475540871715</v>
      </c>
      <c r="M920">
        <v>11.3690559041037</v>
      </c>
      <c r="N920">
        <v>51.761161650173698</v>
      </c>
      <c r="O920">
        <v>50.237338087921003</v>
      </c>
      <c r="P920">
        <v>-5.6593530772403103E-2</v>
      </c>
      <c r="Q920">
        <v>0</v>
      </c>
      <c r="R920">
        <v>0.97650529034566103</v>
      </c>
      <c r="S920" t="s">
        <v>7322</v>
      </c>
      <c r="T920" t="s">
        <v>12802</v>
      </c>
      <c r="U920" t="s">
        <v>12802</v>
      </c>
      <c r="V920" t="s">
        <v>12802</v>
      </c>
      <c r="W920" t="s">
        <v>13709</v>
      </c>
      <c r="X920">
        <v>2</v>
      </c>
      <c r="Y920" t="s">
        <v>20028</v>
      </c>
      <c r="Z920" t="s">
        <v>26238</v>
      </c>
      <c r="AA920">
        <v>0.51743904934297791</v>
      </c>
      <c r="AB920" t="str">
        <f>HYPERLINK("Melting_Curves/meltCurve_H0Y547_ATP11A.pdf", "Melting_Curves/meltCurve_H0Y547_ATP11A.pdf")</f>
        <v>Melting_Curves/meltCurve_H0Y547_ATP11A.pdf</v>
      </c>
    </row>
    <row r="921" spans="1:28" x14ac:dyDescent="0.25">
      <c r="A921" t="s">
        <v>925</v>
      </c>
      <c r="B921">
        <v>0.99542014353169495</v>
      </c>
      <c r="C921">
        <v>0.96652332724535805</v>
      </c>
      <c r="D921">
        <v>0.92337013021421499</v>
      </c>
      <c r="E921">
        <v>0.74955887333214399</v>
      </c>
      <c r="F921">
        <v>0.31135964891076401</v>
      </c>
      <c r="G921">
        <v>0.110968524733457</v>
      </c>
      <c r="H921">
        <v>0.105449551179567</v>
      </c>
      <c r="I921">
        <v>6.8639044454162093E-2</v>
      </c>
      <c r="J921">
        <v>5.1210127020727601E-2</v>
      </c>
      <c r="K921">
        <v>6.0475842885567697E-2</v>
      </c>
      <c r="L921">
        <v>1227.8040310976201</v>
      </c>
      <c r="M921">
        <v>25.431545801832598</v>
      </c>
      <c r="N921">
        <v>48.529255622460802</v>
      </c>
      <c r="O921">
        <v>47.983253141689403</v>
      </c>
      <c r="P921">
        <v>-0.12435404865696099</v>
      </c>
      <c r="Q921">
        <v>6.1506568096710297E-2</v>
      </c>
      <c r="R921">
        <v>0.99763810380872098</v>
      </c>
      <c r="S921" t="s">
        <v>7323</v>
      </c>
      <c r="T921" t="s">
        <v>12802</v>
      </c>
      <c r="U921" t="s">
        <v>12802</v>
      </c>
      <c r="V921" t="s">
        <v>12802</v>
      </c>
      <c r="W921" t="s">
        <v>13710</v>
      </c>
      <c r="X921">
        <v>1</v>
      </c>
      <c r="Y921" t="s">
        <v>20029</v>
      </c>
      <c r="Z921" t="s">
        <v>26239</v>
      </c>
      <c r="AA921">
        <v>0.42210524151883322</v>
      </c>
      <c r="AB921" t="str">
        <f>HYPERLINK("Melting_Curves/meltCurve_H0Y5Y0_PREP.pdf", "Melting_Curves/meltCurve_H0Y5Y0_PREP.pdf")</f>
        <v>Melting_Curves/meltCurve_H0Y5Y0_PREP.pdf</v>
      </c>
    </row>
    <row r="922" spans="1:28" x14ac:dyDescent="0.25">
      <c r="A922" t="s">
        <v>926</v>
      </c>
      <c r="B922">
        <v>0.99542014353169495</v>
      </c>
      <c r="C922">
        <v>1.0234823586065001</v>
      </c>
      <c r="D922">
        <v>0.92611605221290005</v>
      </c>
      <c r="E922">
        <v>0.99910402148280097</v>
      </c>
      <c r="F922">
        <v>0.752045802699567</v>
      </c>
      <c r="G922">
        <v>0.63586802457380698</v>
      </c>
      <c r="H922">
        <v>0.25304196075836699</v>
      </c>
      <c r="I922">
        <v>0.154043595010671</v>
      </c>
      <c r="J922">
        <v>0.15526875950969499</v>
      </c>
      <c r="K922">
        <v>0.14856470267115901</v>
      </c>
      <c r="L922">
        <v>1062.6139058926001</v>
      </c>
      <c r="M922">
        <v>19.749776389607799</v>
      </c>
      <c r="N922">
        <v>54.450682960378302</v>
      </c>
      <c r="O922">
        <v>53.261335130051798</v>
      </c>
      <c r="P922">
        <v>-8.30119253800575E-2</v>
      </c>
      <c r="Q922">
        <v>0.104562069963095</v>
      </c>
      <c r="R922">
        <v>0.98243152689462299</v>
      </c>
      <c r="S922" t="s">
        <v>7324</v>
      </c>
      <c r="T922" t="s">
        <v>12802</v>
      </c>
      <c r="U922" t="s">
        <v>12802</v>
      </c>
      <c r="V922" t="s">
        <v>12802</v>
      </c>
      <c r="W922" t="s">
        <v>13711</v>
      </c>
      <c r="X922">
        <v>3</v>
      </c>
      <c r="Y922" t="s">
        <v>20030</v>
      </c>
      <c r="Z922" t="s">
        <v>26240</v>
      </c>
      <c r="AA922">
        <v>0.61723635947491351</v>
      </c>
      <c r="AB922" t="str">
        <f>HYPERLINK("Melting_Curves/meltCurve_H0Y614_UFM1.pdf", "Melting_Curves/meltCurve_H0Y614_UFM1.pdf")</f>
        <v>Melting_Curves/meltCurve_H0Y614_UFM1.pdf</v>
      </c>
    </row>
    <row r="923" spans="1:28" x14ac:dyDescent="0.25">
      <c r="A923" t="s">
        <v>927</v>
      </c>
      <c r="B923">
        <v>0.99542014353169495</v>
      </c>
      <c r="C923">
        <v>0.78761266176181299</v>
      </c>
      <c r="D923">
        <v>0.88457941661793504</v>
      </c>
      <c r="E923">
        <v>0.64827856521305205</v>
      </c>
      <c r="F923">
        <v>0.52641770957996403</v>
      </c>
      <c r="G923">
        <v>0.17360266912382299</v>
      </c>
      <c r="H923">
        <v>0.144338124767797</v>
      </c>
      <c r="I923">
        <v>6.9114375974641304E-2</v>
      </c>
      <c r="J923">
        <v>7.8091536661255401E-2</v>
      </c>
      <c r="K923">
        <v>0.12180602050729999</v>
      </c>
      <c r="L923">
        <v>591.822953471029</v>
      </c>
      <c r="M923">
        <v>12.1131513525812</v>
      </c>
      <c r="N923">
        <v>49.049349701192497</v>
      </c>
      <c r="O923">
        <v>47.583474575598103</v>
      </c>
      <c r="P923">
        <v>-6.2186447377032203E-2</v>
      </c>
      <c r="Q923">
        <v>2.30916937041435E-2</v>
      </c>
      <c r="R923">
        <v>0.96053560696329898</v>
      </c>
      <c r="S923" t="s">
        <v>7325</v>
      </c>
      <c r="T923" t="s">
        <v>12802</v>
      </c>
      <c r="U923" t="s">
        <v>12802</v>
      </c>
      <c r="V923" t="s">
        <v>12802</v>
      </c>
      <c r="W923" t="s">
        <v>13712</v>
      </c>
      <c r="X923">
        <v>1</v>
      </c>
      <c r="Y923" t="s">
        <v>20031</v>
      </c>
      <c r="Z923" t="s">
        <v>26241</v>
      </c>
      <c r="AA923">
        <v>0.43811875942750028</v>
      </c>
      <c r="AB923" t="str">
        <f>HYPERLINK("Melting_Curves/meltCurve_H0Y6B2_SUSD1.pdf", "Melting_Curves/meltCurve_H0Y6B2_SUSD1.pdf")</f>
        <v>Melting_Curves/meltCurve_H0Y6B2_SUSD1.pdf</v>
      </c>
    </row>
    <row r="924" spans="1:28" x14ac:dyDescent="0.25">
      <c r="A924" t="s">
        <v>928</v>
      </c>
      <c r="B924">
        <v>0.99542014353169495</v>
      </c>
      <c r="C924">
        <v>0.89094621305680299</v>
      </c>
      <c r="D924">
        <v>0.808681262436038</v>
      </c>
      <c r="E924">
        <v>0.54147829060203301</v>
      </c>
      <c r="F924">
        <v>0.38286340634468102</v>
      </c>
      <c r="G924">
        <v>0.23139118784003199</v>
      </c>
      <c r="H924">
        <v>0.184599994616196</v>
      </c>
      <c r="I924">
        <v>0.14100671175205201</v>
      </c>
      <c r="J924">
        <v>0.19467152424461701</v>
      </c>
      <c r="K924">
        <v>6.5580731132225595E-2</v>
      </c>
      <c r="L924">
        <v>609.72592616004295</v>
      </c>
      <c r="M924">
        <v>13.032088380604099</v>
      </c>
      <c r="N924">
        <v>47.652070259785503</v>
      </c>
      <c r="O924">
        <v>45.725974740679497</v>
      </c>
      <c r="P924">
        <v>-6.3752835911252498E-2</v>
      </c>
      <c r="Q924">
        <v>0.105392693649629</v>
      </c>
      <c r="R924">
        <v>0.99059211890193499</v>
      </c>
      <c r="S924" t="s">
        <v>7326</v>
      </c>
      <c r="T924" t="s">
        <v>12802</v>
      </c>
      <c r="U924" t="s">
        <v>12802</v>
      </c>
      <c r="V924" t="s">
        <v>12802</v>
      </c>
      <c r="W924" t="s">
        <v>13713</v>
      </c>
      <c r="X924">
        <v>1</v>
      </c>
      <c r="Y924" t="s">
        <v>20032</v>
      </c>
      <c r="Z924" t="s">
        <v>26242</v>
      </c>
      <c r="AA924">
        <v>0.4231355030096034</v>
      </c>
      <c r="AB924" t="str">
        <f>HYPERLINK("Melting_Curves/meltCurve_H0Y6F5_ZHX3.pdf", "Melting_Curves/meltCurve_H0Y6F5_ZHX3.pdf")</f>
        <v>Melting_Curves/meltCurve_H0Y6F5_ZHX3.pdf</v>
      </c>
    </row>
    <row r="925" spans="1:28" x14ac:dyDescent="0.25">
      <c r="A925" t="s">
        <v>929</v>
      </c>
      <c r="B925">
        <v>0.99542014353169495</v>
      </c>
      <c r="C925">
        <v>1.04952010467112</v>
      </c>
      <c r="D925">
        <v>0.99885701928308601</v>
      </c>
      <c r="E925">
        <v>0.55896574075218897</v>
      </c>
      <c r="F925">
        <v>0.20259072018155799</v>
      </c>
      <c r="G925">
        <v>0.120430926613482</v>
      </c>
      <c r="H925">
        <v>7.4029355668306596E-2</v>
      </c>
      <c r="I925">
        <v>4.3988639398468199E-2</v>
      </c>
      <c r="J925">
        <v>4.74081640299992E-2</v>
      </c>
      <c r="K925">
        <v>4.72400981341113E-2</v>
      </c>
      <c r="L925">
        <v>1428.6200607829801</v>
      </c>
      <c r="M925">
        <v>30.430085527272201</v>
      </c>
      <c r="N925">
        <v>47.160777462903198</v>
      </c>
      <c r="O925">
        <v>46.746267057174698</v>
      </c>
      <c r="P925">
        <v>-0.15228576757895901</v>
      </c>
      <c r="Q925">
        <v>6.4248783859589001E-2</v>
      </c>
      <c r="R925">
        <v>0.99464547140106996</v>
      </c>
      <c r="S925" t="s">
        <v>7327</v>
      </c>
      <c r="T925" t="s">
        <v>12802</v>
      </c>
      <c r="U925" t="s">
        <v>12802</v>
      </c>
      <c r="V925" t="s">
        <v>12802</v>
      </c>
      <c r="W925" t="s">
        <v>13714</v>
      </c>
      <c r="X925">
        <v>8</v>
      </c>
      <c r="Y925" t="s">
        <v>20033</v>
      </c>
      <c r="Z925" t="s">
        <v>26243</v>
      </c>
      <c r="AA925">
        <v>0.37981098361190241</v>
      </c>
      <c r="AB925" t="str">
        <f>HYPERLINK("Melting_Curves/meltCurve_H0Y6K2_BRD2.pdf", "Melting_Curves/meltCurve_H0Y6K2_BRD2.pdf")</f>
        <v>Melting_Curves/meltCurve_H0Y6K2_BRD2.pdf</v>
      </c>
    </row>
    <row r="926" spans="1:28" x14ac:dyDescent="0.25">
      <c r="A926" t="s">
        <v>930</v>
      </c>
      <c r="B926">
        <v>0.99542014353169495</v>
      </c>
      <c r="C926">
        <v>1.10860343505665</v>
      </c>
      <c r="D926">
        <v>0.99678934773849104</v>
      </c>
      <c r="E926">
        <v>0.79851854161971303</v>
      </c>
      <c r="F926">
        <v>0.47187982206851897</v>
      </c>
      <c r="G926">
        <v>0.277405206519234</v>
      </c>
      <c r="H926">
        <v>0.17097417866924999</v>
      </c>
      <c r="I926">
        <v>0.15481885596226799</v>
      </c>
      <c r="J926">
        <v>0.13571881435354299</v>
      </c>
      <c r="K926">
        <v>0.17304011206132899</v>
      </c>
      <c r="L926">
        <v>1131.9895845682699</v>
      </c>
      <c r="M926">
        <v>23.028357633418501</v>
      </c>
      <c r="N926">
        <v>49.939407721254902</v>
      </c>
      <c r="O926">
        <v>48.7901487095166</v>
      </c>
      <c r="P926">
        <v>-0.100117070063345</v>
      </c>
      <c r="Q926">
        <v>0.15154422618305499</v>
      </c>
      <c r="R926">
        <v>0.98963028407199005</v>
      </c>
      <c r="S926" t="s">
        <v>7328</v>
      </c>
      <c r="T926" t="s">
        <v>12802</v>
      </c>
      <c r="U926" t="s">
        <v>12802</v>
      </c>
      <c r="V926" t="s">
        <v>12802</v>
      </c>
      <c r="W926" t="s">
        <v>13715</v>
      </c>
      <c r="X926">
        <v>7</v>
      </c>
      <c r="Y926" t="s">
        <v>20034</v>
      </c>
      <c r="Z926" t="s">
        <v>26244</v>
      </c>
      <c r="AA926">
        <v>0.50395001480821977</v>
      </c>
      <c r="AB926" t="str">
        <f>HYPERLINK("Melting_Curves/meltCurve_H0Y6K5_SP3.pdf", "Melting_Curves/meltCurve_H0Y6K5_SP3.pdf")</f>
        <v>Melting_Curves/meltCurve_H0Y6K5_SP3.pdf</v>
      </c>
    </row>
    <row r="927" spans="1:28" x14ac:dyDescent="0.25">
      <c r="A927" t="s">
        <v>931</v>
      </c>
      <c r="B927">
        <v>0.99542014353169495</v>
      </c>
      <c r="C927">
        <v>0.82781377660332101</v>
      </c>
      <c r="D927">
        <v>0.87386802820749299</v>
      </c>
      <c r="E927">
        <v>0.57650742067971905</v>
      </c>
      <c r="F927">
        <v>0.32050343592388197</v>
      </c>
      <c r="G927">
        <v>0.13404397351096201</v>
      </c>
      <c r="H927">
        <v>8.2860525210920202E-2</v>
      </c>
      <c r="I927">
        <v>5.4733724753018798E-2</v>
      </c>
      <c r="J927">
        <v>4.92075484694941E-2</v>
      </c>
      <c r="K927">
        <v>4.9044743843915502E-2</v>
      </c>
      <c r="L927">
        <v>705.22415457832005</v>
      </c>
      <c r="M927">
        <v>14.887855875514401</v>
      </c>
      <c r="N927">
        <v>47.509096273925003</v>
      </c>
      <c r="O927">
        <v>46.539089448223201</v>
      </c>
      <c r="P927">
        <v>-7.8266659362315499E-2</v>
      </c>
      <c r="Q927">
        <v>2.14628233306315E-2</v>
      </c>
      <c r="R927">
        <v>0.98713908835962605</v>
      </c>
      <c r="S927" t="s">
        <v>7329</v>
      </c>
      <c r="T927" t="s">
        <v>12802</v>
      </c>
      <c r="U927" t="s">
        <v>12802</v>
      </c>
      <c r="V927" t="s">
        <v>12802</v>
      </c>
      <c r="W927" t="s">
        <v>13716</v>
      </c>
      <c r="X927">
        <v>7</v>
      </c>
      <c r="Y927" t="s">
        <v>20035</v>
      </c>
      <c r="Z927" t="s">
        <v>26245</v>
      </c>
      <c r="AA927">
        <v>0.38182020190270699</v>
      </c>
      <c r="AB927" t="str">
        <f>HYPERLINK("Melting_Curves/meltCurve_H0Y6N5_SUN1.pdf", "Melting_Curves/meltCurve_H0Y6N5_SUN1.pdf")</f>
        <v>Melting_Curves/meltCurve_H0Y6N5_SUN1.pdf</v>
      </c>
    </row>
    <row r="928" spans="1:28" x14ac:dyDescent="0.25">
      <c r="A928" t="s">
        <v>932</v>
      </c>
      <c r="B928">
        <v>0.99542014353169495</v>
      </c>
      <c r="C928">
        <v>0.93910842846007603</v>
      </c>
      <c r="D928">
        <v>0.98539924149023606</v>
      </c>
      <c r="E928">
        <v>0.54408151358780099</v>
      </c>
      <c r="F928">
        <v>0.35403885208060798</v>
      </c>
      <c r="G928">
        <v>0.21328186551011299</v>
      </c>
      <c r="H928">
        <v>0.22616221330762701</v>
      </c>
      <c r="I928">
        <v>0.20111906299684601</v>
      </c>
      <c r="J928">
        <v>0.19719174450712901</v>
      </c>
      <c r="K928">
        <v>0.171972379286991</v>
      </c>
      <c r="L928">
        <v>1251.3367760254</v>
      </c>
      <c r="M928">
        <v>26.9174105697338</v>
      </c>
      <c r="N928">
        <v>47.405118970756703</v>
      </c>
      <c r="O928">
        <v>46.233697833211799</v>
      </c>
      <c r="P928">
        <v>-0.116010559943289</v>
      </c>
      <c r="Q928">
        <v>0.20296294516420599</v>
      </c>
      <c r="R928">
        <v>0.988120577432406</v>
      </c>
      <c r="S928" t="s">
        <v>7330</v>
      </c>
      <c r="T928" t="s">
        <v>12802</v>
      </c>
      <c r="U928" t="s">
        <v>12802</v>
      </c>
      <c r="V928" t="s">
        <v>12802</v>
      </c>
      <c r="W928" t="s">
        <v>13717</v>
      </c>
      <c r="X928">
        <v>5</v>
      </c>
      <c r="Y928" t="s">
        <v>20036</v>
      </c>
      <c r="Z928" t="s">
        <v>26246</v>
      </c>
      <c r="AA928">
        <v>0.46075861977667881</v>
      </c>
      <c r="AB928" t="str">
        <f>HYPERLINK("Melting_Curves/meltCurve_H0Y6R6_TTC5.pdf", "Melting_Curves/meltCurve_H0Y6R6_TTC5.pdf")</f>
        <v>Melting_Curves/meltCurve_H0Y6R6_TTC5.pdf</v>
      </c>
    </row>
    <row r="929" spans="1:28" x14ac:dyDescent="0.25">
      <c r="A929" t="s">
        <v>933</v>
      </c>
      <c r="B929">
        <v>0.99542014353169495</v>
      </c>
      <c r="C929">
        <v>0.97127500899077202</v>
      </c>
      <c r="D929">
        <v>1.06029119656902</v>
      </c>
      <c r="E929">
        <v>0.82431540748763699</v>
      </c>
      <c r="F929">
        <v>0.47438441563774802</v>
      </c>
      <c r="G929">
        <v>0.24214099398477601</v>
      </c>
      <c r="H929">
        <v>0.14846111274089199</v>
      </c>
      <c r="I929">
        <v>6.0443698492411199E-2</v>
      </c>
      <c r="J929">
        <v>6.5861342058277803E-2</v>
      </c>
      <c r="K929">
        <v>7.7845341629605699E-2</v>
      </c>
      <c r="L929">
        <v>1107.9210853068801</v>
      </c>
      <c r="M929">
        <v>22.2539084266079</v>
      </c>
      <c r="N929">
        <v>50.137543834196101</v>
      </c>
      <c r="O929">
        <v>49.388678127924599</v>
      </c>
      <c r="P929">
        <v>-0.104500751039996</v>
      </c>
      <c r="Q929">
        <v>7.2334871234558007E-2</v>
      </c>
      <c r="R929">
        <v>0.99328817249262902</v>
      </c>
      <c r="S929" t="s">
        <v>7331</v>
      </c>
      <c r="T929" t="s">
        <v>12802</v>
      </c>
      <c r="U929" t="s">
        <v>12802</v>
      </c>
      <c r="V929" t="s">
        <v>12802</v>
      </c>
      <c r="W929" t="s">
        <v>13718</v>
      </c>
      <c r="X929">
        <v>1</v>
      </c>
      <c r="Y929" t="s">
        <v>20037</v>
      </c>
      <c r="Z929" t="s">
        <v>26247</v>
      </c>
      <c r="AA929">
        <v>0.47776491482730871</v>
      </c>
      <c r="AB929" t="str">
        <f>HYPERLINK("Melting_Curves/meltCurve_H0Y6Y8_MRPL43.pdf", "Melting_Curves/meltCurve_H0Y6Y8_MRPL43.pdf")</f>
        <v>Melting_Curves/meltCurve_H0Y6Y8_MRPL43.pdf</v>
      </c>
    </row>
    <row r="930" spans="1:28" x14ac:dyDescent="0.25">
      <c r="A930" t="s">
        <v>934</v>
      </c>
      <c r="B930">
        <v>0.99542014353169495</v>
      </c>
      <c r="C930">
        <v>0.65467497432684796</v>
      </c>
      <c r="D930">
        <v>0.60585119247504104</v>
      </c>
      <c r="E930">
        <v>0.31752440693172002</v>
      </c>
      <c r="F930">
        <v>0.23231444953076399</v>
      </c>
      <c r="G930">
        <v>0.157399300452884</v>
      </c>
      <c r="H930">
        <v>0.102211460871281</v>
      </c>
      <c r="I930">
        <v>6.7004619455933806E-2</v>
      </c>
      <c r="J930">
        <v>3.49250211538659E-2</v>
      </c>
      <c r="K930">
        <v>5.2819965427057899E-2</v>
      </c>
      <c r="L930">
        <v>502.999799313707</v>
      </c>
      <c r="M930">
        <v>11.5224799052178</v>
      </c>
      <c r="N930">
        <v>43.941966444566198</v>
      </c>
      <c r="O930">
        <v>42.401027289330997</v>
      </c>
      <c r="P930">
        <v>-6.54835971937682E-2</v>
      </c>
      <c r="Q930">
        <v>3.6391883843064E-2</v>
      </c>
      <c r="R930">
        <v>0.97278763302887905</v>
      </c>
      <c r="S930" t="s">
        <v>7332</v>
      </c>
      <c r="T930" t="s">
        <v>12802</v>
      </c>
      <c r="U930" t="s">
        <v>12802</v>
      </c>
      <c r="V930" t="s">
        <v>12802</v>
      </c>
      <c r="W930" t="s">
        <v>13719</v>
      </c>
      <c r="X930">
        <v>1</v>
      </c>
      <c r="Y930" t="s">
        <v>20038</v>
      </c>
      <c r="Z930" t="s">
        <v>26248</v>
      </c>
      <c r="AA930">
        <v>0.29125140643503572</v>
      </c>
      <c r="AB930" t="str">
        <f>HYPERLINK("Melting_Curves/meltCurve_H0Y702_STIL.pdf", "Melting_Curves/meltCurve_H0Y702_STIL.pdf")</f>
        <v>Melting_Curves/meltCurve_H0Y702_STIL.pdf</v>
      </c>
    </row>
    <row r="931" spans="1:28" x14ac:dyDescent="0.25">
      <c r="A931" t="s">
        <v>935</v>
      </c>
      <c r="B931">
        <v>0.99542014353169495</v>
      </c>
      <c r="C931">
        <v>0.83760558201129998</v>
      </c>
      <c r="D931">
        <v>0.90666575837390295</v>
      </c>
      <c r="E931">
        <v>0.66439823823796595</v>
      </c>
      <c r="F931">
        <v>0.44071053732271198</v>
      </c>
      <c r="G931">
        <v>0.22239625924797601</v>
      </c>
      <c r="H931">
        <v>0.129387772382592</v>
      </c>
      <c r="I931">
        <v>0.10495059395348599</v>
      </c>
      <c r="J931">
        <v>0.14298433348387099</v>
      </c>
      <c r="K931">
        <v>0.18644460385157199</v>
      </c>
      <c r="L931">
        <v>756.80036604386896</v>
      </c>
      <c r="M931">
        <v>15.7619108768244</v>
      </c>
      <c r="N931">
        <v>48.7966220015281</v>
      </c>
      <c r="O931">
        <v>47.261574183894801</v>
      </c>
      <c r="P931">
        <v>-7.40754036394001E-2</v>
      </c>
      <c r="Q931">
        <v>0.11162333389854399</v>
      </c>
      <c r="R931">
        <v>0.97655786158305502</v>
      </c>
      <c r="S931" t="s">
        <v>7333</v>
      </c>
      <c r="T931" t="s">
        <v>12802</v>
      </c>
      <c r="U931" t="s">
        <v>12802</v>
      </c>
      <c r="V931" t="s">
        <v>12802</v>
      </c>
      <c r="W931" t="s">
        <v>13720</v>
      </c>
      <c r="X931">
        <v>5</v>
      </c>
      <c r="Y931" t="s">
        <v>20039</v>
      </c>
      <c r="Z931" t="s">
        <v>26249</v>
      </c>
      <c r="AA931">
        <v>0.45576821072665408</v>
      </c>
      <c r="AB931" t="str">
        <f>HYPERLINK("Melting_Curves/meltCurve_H0Y720_TNRC6B.pdf", "Melting_Curves/meltCurve_H0Y720_TNRC6B.pdf")</f>
        <v>Melting_Curves/meltCurve_H0Y720_TNRC6B.pdf</v>
      </c>
    </row>
    <row r="932" spans="1:28" x14ac:dyDescent="0.25">
      <c r="A932" t="s">
        <v>936</v>
      </c>
      <c r="B932">
        <v>0.99542014353169495</v>
      </c>
      <c r="C932">
        <v>1.2925183087910601</v>
      </c>
      <c r="D932">
        <v>0.91859676665068901</v>
      </c>
      <c r="E932">
        <v>0.58730809255704097</v>
      </c>
      <c r="F932">
        <v>0.38656583619560098</v>
      </c>
      <c r="G932">
        <v>0</v>
      </c>
      <c r="H932">
        <v>8.6387679761684294E-2</v>
      </c>
      <c r="I932">
        <v>0</v>
      </c>
      <c r="J932">
        <v>0</v>
      </c>
      <c r="K932">
        <v>0.25554128083255501</v>
      </c>
      <c r="L932">
        <v>1139.44993674228</v>
      </c>
      <c r="M932">
        <v>23.950908270531102</v>
      </c>
      <c r="N932">
        <v>47.864395294175701</v>
      </c>
      <c r="O932">
        <v>47.246464519695003</v>
      </c>
      <c r="P932">
        <v>-0.11817636690022899</v>
      </c>
      <c r="Q932">
        <v>6.7538239351170898E-2</v>
      </c>
      <c r="R932">
        <v>0.91736882860951796</v>
      </c>
      <c r="S932" t="s">
        <v>7334</v>
      </c>
      <c r="T932" t="s">
        <v>12802</v>
      </c>
      <c r="U932" t="s">
        <v>12802</v>
      </c>
      <c r="V932" t="s">
        <v>12802</v>
      </c>
      <c r="W932" t="s">
        <v>13549</v>
      </c>
      <c r="X932">
        <v>2</v>
      </c>
      <c r="Y932" t="s">
        <v>19221</v>
      </c>
      <c r="Z932" t="s">
        <v>26250</v>
      </c>
      <c r="AA932">
        <v>0.40481148301730402</v>
      </c>
      <c r="AB932" t="str">
        <f>HYPERLINK("Melting_Curves/meltCurve_H0Y759_BAG6.pdf", "Melting_Curves/meltCurve_H0Y759_BAG6.pdf")</f>
        <v>Melting_Curves/meltCurve_H0Y759_BAG6.pdf</v>
      </c>
    </row>
    <row r="933" spans="1:28" x14ac:dyDescent="0.25">
      <c r="A933" t="s">
        <v>937</v>
      </c>
      <c r="B933">
        <v>0.99542014353169495</v>
      </c>
      <c r="C933">
        <v>0.98600987960023101</v>
      </c>
      <c r="D933">
        <v>1.0111408666025199</v>
      </c>
      <c r="E933">
        <v>1.0296012530804199</v>
      </c>
      <c r="F933">
        <v>0.90018091934552302</v>
      </c>
      <c r="G933">
        <v>0.80282352153646896</v>
      </c>
      <c r="H933">
        <v>0.71914114778194504</v>
      </c>
      <c r="I933">
        <v>0.68219119688723395</v>
      </c>
      <c r="J933">
        <v>1.0846381974116199</v>
      </c>
      <c r="K933">
        <v>1.2116459888131801</v>
      </c>
      <c r="L933">
        <v>12231.478375811201</v>
      </c>
      <c r="M933">
        <v>250</v>
      </c>
      <c r="O933">
        <v>48.922771909547201</v>
      </c>
      <c r="P933">
        <v>-0.12765733481623001</v>
      </c>
      <c r="Q933">
        <v>0.90007436748941005</v>
      </c>
      <c r="R933">
        <v>0.10684123051996799</v>
      </c>
      <c r="S933" t="s">
        <v>7335</v>
      </c>
      <c r="T933" t="s">
        <v>12802</v>
      </c>
      <c r="U933" t="s">
        <v>12802</v>
      </c>
      <c r="V933" t="s">
        <v>12802</v>
      </c>
      <c r="W933" t="s">
        <v>13721</v>
      </c>
      <c r="X933">
        <v>13</v>
      </c>
      <c r="Y933" t="s">
        <v>20040</v>
      </c>
      <c r="Z933" t="s">
        <v>26251</v>
      </c>
      <c r="AA933">
        <v>0.93980642919485546</v>
      </c>
      <c r="AB933" t="str">
        <f>HYPERLINK("Melting_Curves/meltCurve_H0Y7A7_CALM2.pdf", "Melting_Curves/meltCurve_H0Y7A7_CALM2.pdf")</f>
        <v>Melting_Curves/meltCurve_H0Y7A7_CALM2.pdf</v>
      </c>
    </row>
    <row r="934" spans="1:28" x14ac:dyDescent="0.25">
      <c r="A934" t="s">
        <v>938</v>
      </c>
      <c r="B934">
        <v>0.99542014353169495</v>
      </c>
      <c r="C934">
        <v>0.82809613189946696</v>
      </c>
      <c r="D934">
        <v>0.78869166234428401</v>
      </c>
      <c r="E934">
        <v>0.47843252611327802</v>
      </c>
      <c r="F934">
        <v>0.25527943536318298</v>
      </c>
      <c r="G934">
        <v>0.114173504150414</v>
      </c>
      <c r="H934">
        <v>7.5983844938376705E-2</v>
      </c>
      <c r="I934">
        <v>3.4322742439552197E-2</v>
      </c>
      <c r="J934">
        <v>3.9962735621668397E-2</v>
      </c>
      <c r="K934">
        <v>3.53455936713475E-2</v>
      </c>
      <c r="L934">
        <v>648.15079353805197</v>
      </c>
      <c r="M934">
        <v>14.0164465244287</v>
      </c>
      <c r="N934">
        <v>46.319773412774097</v>
      </c>
      <c r="O934">
        <v>45.331407267846302</v>
      </c>
      <c r="P934">
        <v>-7.6412795173499595E-2</v>
      </c>
      <c r="Q934">
        <v>1.16058714865418E-2</v>
      </c>
      <c r="R934">
        <v>0.99309206027367303</v>
      </c>
      <c r="S934" t="s">
        <v>7336</v>
      </c>
      <c r="T934" t="s">
        <v>12802</v>
      </c>
      <c r="U934" t="s">
        <v>12802</v>
      </c>
      <c r="V934" t="s">
        <v>12802</v>
      </c>
      <c r="W934" t="s">
        <v>13722</v>
      </c>
      <c r="X934">
        <v>1</v>
      </c>
      <c r="Y934" t="s">
        <v>20041</v>
      </c>
      <c r="Z934" t="s">
        <v>26252</v>
      </c>
      <c r="AA934">
        <v>0.34177333482971278</v>
      </c>
      <c r="AB934" t="str">
        <f>HYPERLINK("Melting_Curves/meltCurve_H0Y7L9_ABCD1.pdf", "Melting_Curves/meltCurve_H0Y7L9_ABCD1.pdf")</f>
        <v>Melting_Curves/meltCurve_H0Y7L9_ABCD1.pdf</v>
      </c>
    </row>
    <row r="935" spans="1:28" x14ac:dyDescent="0.25">
      <c r="A935" t="s">
        <v>939</v>
      </c>
      <c r="B935">
        <v>0.99542014353169495</v>
      </c>
      <c r="C935">
        <v>0.78539278092831799</v>
      </c>
      <c r="D935">
        <v>0.77818373084921599</v>
      </c>
      <c r="E935">
        <v>0.67096931954528205</v>
      </c>
      <c r="F935">
        <v>0.47618898203795701</v>
      </c>
      <c r="G935">
        <v>0.20548537145366999</v>
      </c>
      <c r="H935">
        <v>0.102175485954195</v>
      </c>
      <c r="I935">
        <v>8.95277622747154E-2</v>
      </c>
      <c r="J935">
        <v>0.10007508434076801</v>
      </c>
      <c r="K935">
        <v>4.9572923763674899E-2</v>
      </c>
      <c r="L935">
        <v>513.92453572695501</v>
      </c>
      <c r="M935">
        <v>10.590896295738</v>
      </c>
      <c r="N935">
        <v>48.525122105701797</v>
      </c>
      <c r="O935">
        <v>46.890951280415599</v>
      </c>
      <c r="P935">
        <v>-5.6487606494038202E-2</v>
      </c>
      <c r="Q935">
        <v>0</v>
      </c>
      <c r="R935">
        <v>0.97210744772968405</v>
      </c>
      <c r="S935" t="s">
        <v>7337</v>
      </c>
      <c r="T935" t="s">
        <v>12802</v>
      </c>
      <c r="U935" t="s">
        <v>12802</v>
      </c>
      <c r="V935" t="s">
        <v>12802</v>
      </c>
      <c r="W935" t="s">
        <v>13723</v>
      </c>
      <c r="X935">
        <v>3</v>
      </c>
      <c r="Y935" t="s">
        <v>20042</v>
      </c>
      <c r="Z935" t="s">
        <v>26253</v>
      </c>
      <c r="AA935">
        <v>0.42013596850164409</v>
      </c>
      <c r="AB935" t="str">
        <f>HYPERLINK("Melting_Curves/meltCurve_H0Y7P7_PISD.pdf", "Melting_Curves/meltCurve_H0Y7P7_PISD.pdf")</f>
        <v>Melting_Curves/meltCurve_H0Y7P7_PISD.pdf</v>
      </c>
    </row>
    <row r="936" spans="1:28" x14ac:dyDescent="0.25">
      <c r="A936" t="s">
        <v>940</v>
      </c>
      <c r="B936">
        <v>0.99542014353169495</v>
      </c>
      <c r="C936">
        <v>0.85834136027463104</v>
      </c>
      <c r="D936">
        <v>0.88596552560998199</v>
      </c>
      <c r="E936">
        <v>0.81810013365873802</v>
      </c>
      <c r="F936">
        <v>0.64635074392038105</v>
      </c>
      <c r="G936">
        <v>0.45686776838377102</v>
      </c>
      <c r="H936">
        <v>0.32261168685312802</v>
      </c>
      <c r="I936">
        <v>0.232454718786158</v>
      </c>
      <c r="J936">
        <v>0.17635277076606501</v>
      </c>
      <c r="K936">
        <v>6.8441015608754097E-2</v>
      </c>
      <c r="L936">
        <v>504.782702664753</v>
      </c>
      <c r="M936">
        <v>9.5258772066466495</v>
      </c>
      <c r="N936">
        <v>52.990679147747997</v>
      </c>
      <c r="O936">
        <v>50.8130938832577</v>
      </c>
      <c r="P936">
        <v>-4.6894672802850097E-2</v>
      </c>
      <c r="Q936">
        <v>0</v>
      </c>
      <c r="R936">
        <v>0.98568072904307302</v>
      </c>
      <c r="S936" t="s">
        <v>7338</v>
      </c>
      <c r="T936" t="s">
        <v>12802</v>
      </c>
      <c r="U936" t="s">
        <v>12802</v>
      </c>
      <c r="V936" t="s">
        <v>12802</v>
      </c>
      <c r="W936" t="s">
        <v>13724</v>
      </c>
      <c r="X936">
        <v>2</v>
      </c>
      <c r="Y936" t="s">
        <v>20043</v>
      </c>
      <c r="Z936" t="s">
        <v>26254</v>
      </c>
      <c r="AA936">
        <v>0.55555368231886937</v>
      </c>
      <c r="AB936" t="str">
        <f>HYPERLINK("Melting_Curves/meltCurve_H0Y8D0_TMEM222.pdf", "Melting_Curves/meltCurve_H0Y8D0_TMEM222.pdf")</f>
        <v>Melting_Curves/meltCurve_H0Y8D0_TMEM222.pdf</v>
      </c>
    </row>
    <row r="937" spans="1:28" x14ac:dyDescent="0.25">
      <c r="A937" t="s">
        <v>941</v>
      </c>
      <c r="B937">
        <v>0.99542014353169495</v>
      </c>
      <c r="C937">
        <v>0.83142001497423801</v>
      </c>
      <c r="D937">
        <v>0.91804697611332298</v>
      </c>
      <c r="E937">
        <v>0.77321012874811001</v>
      </c>
      <c r="F937">
        <v>0.66569706865858902</v>
      </c>
      <c r="G937">
        <v>0.34007823585728197</v>
      </c>
      <c r="H937">
        <v>0.67454129203109603</v>
      </c>
      <c r="I937">
        <v>0.63045729905341397</v>
      </c>
      <c r="J937">
        <v>0.73695778325332995</v>
      </c>
      <c r="K937">
        <v>1.12699544596334</v>
      </c>
      <c r="L937">
        <v>804.98867032294004</v>
      </c>
      <c r="M937">
        <v>19.026628012574498</v>
      </c>
      <c r="O937">
        <v>41.849479600682002</v>
      </c>
      <c r="P937">
        <v>-3.3860012297233198E-2</v>
      </c>
      <c r="Q937">
        <v>0.702108494558075</v>
      </c>
      <c r="R937">
        <v>0.20052810360114101</v>
      </c>
      <c r="S937" t="s">
        <v>7339</v>
      </c>
      <c r="T937" t="s">
        <v>12802</v>
      </c>
      <c r="U937" t="s">
        <v>12802</v>
      </c>
      <c r="V937" t="s">
        <v>12802</v>
      </c>
      <c r="W937" t="s">
        <v>13725</v>
      </c>
      <c r="X937">
        <v>6</v>
      </c>
      <c r="Y937" t="s">
        <v>20044</v>
      </c>
      <c r="Z937" t="s">
        <v>26255</v>
      </c>
      <c r="AA937">
        <v>0.75971725955429448</v>
      </c>
      <c r="AB937" t="str">
        <f>HYPERLINK("Melting_Curves/meltCurve_H0Y8F2_TACC3.pdf", "Melting_Curves/meltCurve_H0Y8F2_TACC3.pdf")</f>
        <v>Melting_Curves/meltCurve_H0Y8F2_TACC3.pdf</v>
      </c>
    </row>
    <row r="938" spans="1:28" x14ac:dyDescent="0.25">
      <c r="A938" t="s">
        <v>942</v>
      </c>
      <c r="B938">
        <v>0.99542014353169495</v>
      </c>
      <c r="C938">
        <v>1.0234853555999099</v>
      </c>
      <c r="D938">
        <v>0.97063882923783495</v>
      </c>
      <c r="E938">
        <v>0.75254001968123596</v>
      </c>
      <c r="F938">
        <v>0.67523258423828403</v>
      </c>
      <c r="G938">
        <v>0.48764608183397701</v>
      </c>
      <c r="H938">
        <v>0.380437516242638</v>
      </c>
      <c r="I938">
        <v>0.29793509399543799</v>
      </c>
      <c r="J938">
        <v>0.32869462028770802</v>
      </c>
      <c r="K938">
        <v>0.26331870100794802</v>
      </c>
      <c r="L938">
        <v>666.34936038165699</v>
      </c>
      <c r="M938">
        <v>13.174261286845301</v>
      </c>
      <c r="N938">
        <v>53.4045010689102</v>
      </c>
      <c r="O938">
        <v>49.456830341735198</v>
      </c>
      <c r="P938">
        <v>-4.98927225598466E-2</v>
      </c>
      <c r="Q938">
        <v>0.25092662391229598</v>
      </c>
      <c r="R938">
        <v>0.98748010058151403</v>
      </c>
      <c r="S938" t="s">
        <v>7340</v>
      </c>
      <c r="T938" t="s">
        <v>12802</v>
      </c>
      <c r="U938" t="s">
        <v>12802</v>
      </c>
      <c r="V938" t="s">
        <v>12802</v>
      </c>
      <c r="W938" t="s">
        <v>13726</v>
      </c>
      <c r="X938">
        <v>2</v>
      </c>
      <c r="Y938" t="s">
        <v>20045</v>
      </c>
      <c r="Z938" t="s">
        <v>26256</v>
      </c>
      <c r="AA938">
        <v>0.60811887280580834</v>
      </c>
      <c r="AB938" t="str">
        <f>HYPERLINK("Melting_Curves/meltCurve_H0Y8H1_CHIC2.pdf", "Melting_Curves/meltCurve_H0Y8H1_CHIC2.pdf")</f>
        <v>Melting_Curves/meltCurve_H0Y8H1_CHIC2.pdf</v>
      </c>
    </row>
    <row r="939" spans="1:28" x14ac:dyDescent="0.25">
      <c r="A939" t="s">
        <v>943</v>
      </c>
      <c r="B939">
        <v>0.99542014353169495</v>
      </c>
      <c r="C939">
        <v>0.91983114885221995</v>
      </c>
      <c r="D939">
        <v>0.96506668665490702</v>
      </c>
      <c r="E939">
        <v>0.98160754642512404</v>
      </c>
      <c r="F939">
        <v>0.87182805634183702</v>
      </c>
      <c r="G939">
        <v>0.49432152772614002</v>
      </c>
      <c r="H939">
        <v>0.22196805800456099</v>
      </c>
      <c r="I939">
        <v>8.5647982885109303E-2</v>
      </c>
      <c r="J939">
        <v>6.1975326411673699E-2</v>
      </c>
      <c r="K939">
        <v>6.8689961535520094E-2</v>
      </c>
      <c r="L939">
        <v>1373.5679736310501</v>
      </c>
      <c r="M939">
        <v>25.614666988267601</v>
      </c>
      <c r="N939">
        <v>53.871858891696199</v>
      </c>
      <c r="O939">
        <v>53.3006376158867</v>
      </c>
      <c r="P939">
        <v>-0.113472587807077</v>
      </c>
      <c r="Q939">
        <v>5.5527455370972902E-2</v>
      </c>
      <c r="R939">
        <v>0.99469243605765201</v>
      </c>
      <c r="S939" t="s">
        <v>7341</v>
      </c>
      <c r="T939" t="s">
        <v>12802</v>
      </c>
      <c r="U939" t="s">
        <v>12802</v>
      </c>
      <c r="V939" t="s">
        <v>12802</v>
      </c>
      <c r="W939" t="s">
        <v>13727</v>
      </c>
      <c r="X939">
        <v>11</v>
      </c>
      <c r="Y939" t="s">
        <v>20046</v>
      </c>
      <c r="Z939" t="s">
        <v>26257</v>
      </c>
      <c r="AA939">
        <v>0.58686448221140464</v>
      </c>
      <c r="AB939" t="str">
        <f>HYPERLINK("Melting_Curves/meltCurve_H0Y8P4_UTP15.pdf", "Melting_Curves/meltCurve_H0Y8P4_UTP15.pdf")</f>
        <v>Melting_Curves/meltCurve_H0Y8P4_UTP15.pdf</v>
      </c>
    </row>
    <row r="940" spans="1:28" x14ac:dyDescent="0.25">
      <c r="A940" t="s">
        <v>944</v>
      </c>
      <c r="B940">
        <v>0.99542014353169495</v>
      </c>
      <c r="C940">
        <v>1.0531542040842601</v>
      </c>
      <c r="D940">
        <v>1.0345479946361</v>
      </c>
      <c r="E940">
        <v>0.93649630317678401</v>
      </c>
      <c r="F940">
        <v>0.65371781493319503</v>
      </c>
      <c r="G940">
        <v>0.70796158655375896</v>
      </c>
      <c r="H940">
        <v>0.39828643363128402</v>
      </c>
      <c r="I940">
        <v>0.34476067605981298</v>
      </c>
      <c r="J940">
        <v>0.50622359946531703</v>
      </c>
      <c r="K940">
        <v>0</v>
      </c>
      <c r="L940">
        <v>541.145439430598</v>
      </c>
      <c r="M940">
        <v>9.5036377746930398</v>
      </c>
      <c r="N940">
        <v>56.9408558385635</v>
      </c>
      <c r="O940">
        <v>54.590755330204502</v>
      </c>
      <c r="P940">
        <v>-4.3547915861316899E-2</v>
      </c>
      <c r="Q940">
        <v>0</v>
      </c>
      <c r="R940">
        <v>0.87317154385612095</v>
      </c>
      <c r="S940" t="s">
        <v>7342</v>
      </c>
      <c r="T940" t="s">
        <v>12802</v>
      </c>
      <c r="U940" t="s">
        <v>12802</v>
      </c>
      <c r="V940" t="s">
        <v>12802</v>
      </c>
      <c r="W940" t="s">
        <v>13728</v>
      </c>
      <c r="X940">
        <v>8</v>
      </c>
      <c r="Y940" t="s">
        <v>20047</v>
      </c>
      <c r="Z940" t="s">
        <v>26258</v>
      </c>
      <c r="AA940">
        <v>0.66234268312784494</v>
      </c>
      <c r="AB940" t="str">
        <f>HYPERLINK("Melting_Curves/meltCurve_H0Y8X4_DNPH1.pdf", "Melting_Curves/meltCurve_H0Y8X4_DNPH1.pdf")</f>
        <v>Melting_Curves/meltCurve_H0Y8X4_DNPH1.pdf</v>
      </c>
    </row>
    <row r="941" spans="1:28" x14ac:dyDescent="0.25">
      <c r="A941" t="s">
        <v>945</v>
      </c>
      <c r="B941">
        <v>0.99542014353169495</v>
      </c>
      <c r="C941">
        <v>0.97650304037440905</v>
      </c>
      <c r="D941">
        <v>0.83642030156942304</v>
      </c>
      <c r="E941">
        <v>0.77864042892765295</v>
      </c>
      <c r="F941">
        <v>0.58371013624193002</v>
      </c>
      <c r="G941">
        <v>0.43512184688032302</v>
      </c>
      <c r="H941">
        <v>0.32812590581443601</v>
      </c>
      <c r="I941">
        <v>0.25152545142708599</v>
      </c>
      <c r="J941">
        <v>8.1545898509708406E-2</v>
      </c>
      <c r="K941">
        <v>8.6378237901809402E-2</v>
      </c>
      <c r="L941">
        <v>498.25571161114999</v>
      </c>
      <c r="M941">
        <v>9.5305986467405202</v>
      </c>
      <c r="N941">
        <v>52.279581793644198</v>
      </c>
      <c r="O941">
        <v>50.1332034885139</v>
      </c>
      <c r="P941">
        <v>-4.7554148970810797E-2</v>
      </c>
      <c r="Q941">
        <v>0</v>
      </c>
      <c r="R941">
        <v>0.98924284571199605</v>
      </c>
      <c r="S941" t="s">
        <v>7343</v>
      </c>
      <c r="T941" t="s">
        <v>12802</v>
      </c>
      <c r="U941" t="s">
        <v>12802</v>
      </c>
      <c r="V941" t="s">
        <v>12802</v>
      </c>
      <c r="W941" t="s">
        <v>13699</v>
      </c>
      <c r="X941">
        <v>1</v>
      </c>
      <c r="Z941" t="s">
        <v>26259</v>
      </c>
      <c r="AA941">
        <v>0.53527654414258052</v>
      </c>
      <c r="AB941" t="str">
        <f>HYPERLINK("Melting_Curves/meltCurve_H0Y9B8_.pdf", "Melting_Curves/meltCurve_H0Y9B8_.pdf")</f>
        <v>Melting_Curves/meltCurve_H0Y9B8_.pdf</v>
      </c>
    </row>
    <row r="942" spans="1:28" x14ac:dyDescent="0.25">
      <c r="A942" t="s">
        <v>946</v>
      </c>
      <c r="B942">
        <v>0.99542014353169495</v>
      </c>
      <c r="C942">
        <v>0.90557054765554701</v>
      </c>
      <c r="D942">
        <v>0.96199865887618596</v>
      </c>
      <c r="E942">
        <v>0.54870546514548901</v>
      </c>
      <c r="F942">
        <v>0.22016012640806301</v>
      </c>
      <c r="G942">
        <v>6.7246338408429807E-2</v>
      </c>
      <c r="H942">
        <v>4.36038973744243E-2</v>
      </c>
      <c r="I942">
        <v>2.56508515665992E-2</v>
      </c>
      <c r="J942">
        <v>2.6518638037298599E-2</v>
      </c>
      <c r="K942">
        <v>3.6567153403137001E-2</v>
      </c>
      <c r="L942">
        <v>1156.1856463920301</v>
      </c>
      <c r="M942">
        <v>24.575884384344199</v>
      </c>
      <c r="N942">
        <v>47.164191692054601</v>
      </c>
      <c r="O942">
        <v>46.737357334129001</v>
      </c>
      <c r="P942">
        <v>-0.127518429439441</v>
      </c>
      <c r="Q942">
        <v>2.99777311529669E-2</v>
      </c>
      <c r="R942">
        <v>0.993637592110862</v>
      </c>
      <c r="S942" t="s">
        <v>7344</v>
      </c>
      <c r="T942" t="s">
        <v>12802</v>
      </c>
      <c r="U942" t="s">
        <v>12802</v>
      </c>
      <c r="V942" t="s">
        <v>12802</v>
      </c>
      <c r="W942" t="s">
        <v>13729</v>
      </c>
      <c r="X942">
        <v>2</v>
      </c>
      <c r="Y942" t="s">
        <v>20048</v>
      </c>
      <c r="Z942" t="s">
        <v>26260</v>
      </c>
      <c r="AA942">
        <v>0.36322773219807541</v>
      </c>
      <c r="AB942" t="str">
        <f>HYPERLINK("Melting_Curves/meltCurve_H0Y9G6_MRPL3.pdf", "Melting_Curves/meltCurve_H0Y9G6_MRPL3.pdf")</f>
        <v>Melting_Curves/meltCurve_H0Y9G6_MRPL3.pdf</v>
      </c>
    </row>
    <row r="943" spans="1:28" x14ac:dyDescent="0.25">
      <c r="A943" t="s">
        <v>947</v>
      </c>
      <c r="B943">
        <v>0.99542014353169495</v>
      </c>
      <c r="C943">
        <v>0.96438113826907301</v>
      </c>
      <c r="D943">
        <v>0.72505303008419297</v>
      </c>
      <c r="E943">
        <v>0.50871610135240097</v>
      </c>
      <c r="F943">
        <v>0.327977361535079</v>
      </c>
      <c r="G943">
        <v>0.211882430886287</v>
      </c>
      <c r="H943">
        <v>9.1480701006418794E-2</v>
      </c>
      <c r="I943">
        <v>5.7728709625344897E-2</v>
      </c>
      <c r="J943">
        <v>9.6368490884625999E-2</v>
      </c>
      <c r="K943">
        <v>3.7939738200685302E-2</v>
      </c>
      <c r="L943">
        <v>617.30348098348804</v>
      </c>
      <c r="M943">
        <v>13.228302302959801</v>
      </c>
      <c r="N943">
        <v>46.952336427641399</v>
      </c>
      <c r="O943">
        <v>45.637583629311997</v>
      </c>
      <c r="P943">
        <v>-6.9661211450057201E-2</v>
      </c>
      <c r="Q943">
        <v>3.8835181674280302E-2</v>
      </c>
      <c r="R943">
        <v>0.99270436004989104</v>
      </c>
      <c r="S943" t="s">
        <v>7345</v>
      </c>
      <c r="T943" t="s">
        <v>12802</v>
      </c>
      <c r="U943" t="s">
        <v>12802</v>
      </c>
      <c r="V943" t="s">
        <v>12802</v>
      </c>
      <c r="W943" t="s">
        <v>13730</v>
      </c>
      <c r="X943">
        <v>2</v>
      </c>
      <c r="Y943" t="s">
        <v>20049</v>
      </c>
      <c r="Z943" t="s">
        <v>26261</v>
      </c>
      <c r="AA943">
        <v>0.37575860730703969</v>
      </c>
      <c r="AB943" t="str">
        <f>HYPERLINK("Melting_Curves/meltCurve_H0Y9L4_WHSC1.pdf", "Melting_Curves/meltCurve_H0Y9L4_WHSC1.pdf")</f>
        <v>Melting_Curves/meltCurve_H0Y9L4_WHSC1.pdf</v>
      </c>
    </row>
    <row r="944" spans="1:28" x14ac:dyDescent="0.25">
      <c r="A944" t="s">
        <v>948</v>
      </c>
      <c r="B944">
        <v>0.99542014353169495</v>
      </c>
      <c r="C944">
        <v>0.93918796569830698</v>
      </c>
      <c r="D944">
        <v>0.97735923679682901</v>
      </c>
      <c r="E944">
        <v>0.92980743304699798</v>
      </c>
      <c r="F944">
        <v>0.71972711225113695</v>
      </c>
      <c r="G944">
        <v>0.50638777652976097</v>
      </c>
      <c r="H944">
        <v>0.10949044636032899</v>
      </c>
      <c r="I944">
        <v>3.0143301552067198E-2</v>
      </c>
      <c r="J944">
        <v>3.0703887085478301E-2</v>
      </c>
      <c r="K944">
        <v>3.0128570478849301E-2</v>
      </c>
      <c r="L944">
        <v>1095.4690091708401</v>
      </c>
      <c r="M944">
        <v>20.654782794207399</v>
      </c>
      <c r="N944">
        <v>53.0370626026411</v>
      </c>
      <c r="O944">
        <v>52.547419458923898</v>
      </c>
      <c r="P944">
        <v>-9.8270166933831005E-2</v>
      </c>
      <c r="Q944">
        <v>0</v>
      </c>
      <c r="R944">
        <v>0.98976562518808897</v>
      </c>
      <c r="S944" t="s">
        <v>7346</v>
      </c>
      <c r="T944" t="s">
        <v>12802</v>
      </c>
      <c r="U944" t="s">
        <v>12802</v>
      </c>
      <c r="V944" t="s">
        <v>12802</v>
      </c>
      <c r="W944" t="s">
        <v>13731</v>
      </c>
      <c r="X944">
        <v>12</v>
      </c>
      <c r="Y944" t="s">
        <v>20050</v>
      </c>
      <c r="Z944" t="s">
        <v>26262</v>
      </c>
      <c r="AA944">
        <v>0.54657209182396294</v>
      </c>
      <c r="AB944" t="str">
        <f>HYPERLINK("Melting_Curves/meltCurve_H0Y9S9_PPIP5K2.pdf", "Melting_Curves/meltCurve_H0Y9S9_PPIP5K2.pdf")</f>
        <v>Melting_Curves/meltCurve_H0Y9S9_PPIP5K2.pdf</v>
      </c>
    </row>
    <row r="945" spans="1:28" x14ac:dyDescent="0.25">
      <c r="A945" t="s">
        <v>949</v>
      </c>
      <c r="B945">
        <v>0.99542014353169495</v>
      </c>
      <c r="C945">
        <v>0.89295275527050899</v>
      </c>
      <c r="D945">
        <v>0.87669439189980003</v>
      </c>
      <c r="E945">
        <v>0.57416147382411398</v>
      </c>
      <c r="F945">
        <v>0.22932669202922301</v>
      </c>
      <c r="G945">
        <v>0.14427218706432299</v>
      </c>
      <c r="H945">
        <v>9.9120295930480995E-2</v>
      </c>
      <c r="I945">
        <v>8.7608706070511203E-2</v>
      </c>
      <c r="J945">
        <v>0.100170940050341</v>
      </c>
      <c r="K945">
        <v>0.114308071511526</v>
      </c>
      <c r="L945">
        <v>989.63408905733297</v>
      </c>
      <c r="M945">
        <v>21.2109304800472</v>
      </c>
      <c r="N945">
        <v>47.101904274520003</v>
      </c>
      <c r="O945">
        <v>46.2480252861846</v>
      </c>
      <c r="P945">
        <v>-0.104248649405474</v>
      </c>
      <c r="Q945">
        <v>9.0814087510236202E-2</v>
      </c>
      <c r="R945">
        <v>0.99323342741432097</v>
      </c>
      <c r="S945" t="s">
        <v>7347</v>
      </c>
      <c r="T945" t="s">
        <v>12802</v>
      </c>
      <c r="U945" t="s">
        <v>12802</v>
      </c>
      <c r="V945" t="s">
        <v>12802</v>
      </c>
      <c r="W945" t="s">
        <v>13732</v>
      </c>
      <c r="X945">
        <v>3</v>
      </c>
      <c r="Y945" t="s">
        <v>20051</v>
      </c>
      <c r="Z945" t="s">
        <v>26263</v>
      </c>
      <c r="AA945">
        <v>0.39405394340616551</v>
      </c>
      <c r="AB945" t="str">
        <f>HYPERLINK("Melting_Curves/meltCurve_H0Y9T5_DCP2.pdf", "Melting_Curves/meltCurve_H0Y9T5_DCP2.pdf")</f>
        <v>Melting_Curves/meltCurve_H0Y9T5_DCP2.pdf</v>
      </c>
    </row>
    <row r="946" spans="1:28" x14ac:dyDescent="0.25">
      <c r="A946" t="s">
        <v>950</v>
      </c>
      <c r="B946">
        <v>0.99542014353169495</v>
      </c>
      <c r="C946">
        <v>0.99869235743582896</v>
      </c>
      <c r="D946">
        <v>0.858558556559051</v>
      </c>
      <c r="E946">
        <v>0.62908150174440902</v>
      </c>
      <c r="F946">
        <v>0.36247624952535801</v>
      </c>
      <c r="G946">
        <v>0.21186715021286701</v>
      </c>
      <c r="H946">
        <v>0.123294179269343</v>
      </c>
      <c r="I946">
        <v>7.8622647773202006E-2</v>
      </c>
      <c r="J946">
        <v>8.7842718466369998E-2</v>
      </c>
      <c r="K946">
        <v>9.7090041252306095E-2</v>
      </c>
      <c r="L946">
        <v>788.870251513261</v>
      </c>
      <c r="M946">
        <v>16.514356878913901</v>
      </c>
      <c r="N946">
        <v>48.236896975438398</v>
      </c>
      <c r="O946">
        <v>47.084795360885202</v>
      </c>
      <c r="P946">
        <v>-8.1197229434655599E-2</v>
      </c>
      <c r="Q946">
        <v>7.4044438421428604E-2</v>
      </c>
      <c r="R946">
        <v>0.99844810785181703</v>
      </c>
      <c r="S946" t="s">
        <v>7348</v>
      </c>
      <c r="T946" t="s">
        <v>12802</v>
      </c>
      <c r="U946" t="s">
        <v>12802</v>
      </c>
      <c r="V946" t="s">
        <v>12802</v>
      </c>
      <c r="W946" t="s">
        <v>13733</v>
      </c>
      <c r="X946">
        <v>8</v>
      </c>
      <c r="Y946" t="s">
        <v>20052</v>
      </c>
      <c r="Z946" t="s">
        <v>26264</v>
      </c>
      <c r="AA946">
        <v>0.42374931376609709</v>
      </c>
      <c r="AB946" t="str">
        <f>HYPERLINK("Melting_Curves/meltCurve_H0Y9X1_TMA16.pdf", "Melting_Curves/meltCurve_H0Y9X1_TMA16.pdf")</f>
        <v>Melting_Curves/meltCurve_H0Y9X1_TMA16.pdf</v>
      </c>
    </row>
    <row r="947" spans="1:28" x14ac:dyDescent="0.25">
      <c r="A947" t="s">
        <v>951</v>
      </c>
      <c r="B947">
        <v>0.99542014353169495</v>
      </c>
      <c r="C947">
        <v>1.0296047628628799</v>
      </c>
      <c r="D947">
        <v>0.92473831739330004</v>
      </c>
      <c r="E947">
        <v>0.91069780251060894</v>
      </c>
      <c r="F947">
        <v>0.70156868243422399</v>
      </c>
      <c r="G947">
        <v>0.555645682171512</v>
      </c>
      <c r="H947">
        <v>0.30958496105015698</v>
      </c>
      <c r="I947">
        <v>0.28220349580083598</v>
      </c>
      <c r="J947">
        <v>0.44093453007664002</v>
      </c>
      <c r="K947">
        <v>0.50722666439472597</v>
      </c>
      <c r="L947">
        <v>1188.3329844518701</v>
      </c>
      <c r="M947">
        <v>23.611634918322299</v>
      </c>
      <c r="N947">
        <v>53.699965668962498</v>
      </c>
      <c r="O947">
        <v>49.971446624922898</v>
      </c>
      <c r="P947">
        <v>-7.2475192067971594E-2</v>
      </c>
      <c r="Q947">
        <v>0.38646704109595398</v>
      </c>
      <c r="R947">
        <v>0.93126506307942603</v>
      </c>
      <c r="S947" t="s">
        <v>7349</v>
      </c>
      <c r="T947" t="s">
        <v>12802</v>
      </c>
      <c r="U947" t="s">
        <v>12802</v>
      </c>
      <c r="V947" t="s">
        <v>12802</v>
      </c>
      <c r="W947" t="s">
        <v>13734</v>
      </c>
      <c r="X947">
        <v>3</v>
      </c>
      <c r="Y947" t="s">
        <v>20053</v>
      </c>
      <c r="Z947" t="s">
        <v>26265</v>
      </c>
      <c r="AA947">
        <v>0.66503669180368941</v>
      </c>
      <c r="AB947" t="str">
        <f>HYPERLINK("Melting_Curves/meltCurve_H0YA52_PCBD2.pdf", "Melting_Curves/meltCurve_H0YA52_PCBD2.pdf")</f>
        <v>Melting_Curves/meltCurve_H0YA52_PCBD2.pdf</v>
      </c>
    </row>
    <row r="948" spans="1:28" x14ac:dyDescent="0.25">
      <c r="A948" t="s">
        <v>952</v>
      </c>
      <c r="B948">
        <v>0.99542014353169495</v>
      </c>
      <c r="C948">
        <v>1.01892201821791</v>
      </c>
      <c r="D948">
        <v>0.954829289720036</v>
      </c>
      <c r="E948">
        <v>0.84299175725278996</v>
      </c>
      <c r="F948">
        <v>0.52678906712797302</v>
      </c>
      <c r="G948">
        <v>0.35848794410276802</v>
      </c>
      <c r="H948">
        <v>0.22046181419007299</v>
      </c>
      <c r="I948">
        <v>0.230867998659118</v>
      </c>
      <c r="J948">
        <v>0.32200406819004102</v>
      </c>
      <c r="K948">
        <v>0.58433030887336002</v>
      </c>
      <c r="L948">
        <v>1480.33650417017</v>
      </c>
      <c r="M948">
        <v>30.544152659285899</v>
      </c>
      <c r="N948">
        <v>50.324209036472404</v>
      </c>
      <c r="O948">
        <v>48.259148442021697</v>
      </c>
      <c r="P948">
        <v>-0.104719138163179</v>
      </c>
      <c r="Q948">
        <v>0.338187575070163</v>
      </c>
      <c r="R948">
        <v>0.90438727456047496</v>
      </c>
      <c r="S948" t="s">
        <v>7350</v>
      </c>
      <c r="T948" t="s">
        <v>12802</v>
      </c>
      <c r="U948" t="s">
        <v>12802</v>
      </c>
      <c r="V948" t="s">
        <v>12802</v>
      </c>
      <c r="W948" t="s">
        <v>13735</v>
      </c>
      <c r="X948">
        <v>2</v>
      </c>
      <c r="Y948" t="s">
        <v>20054</v>
      </c>
      <c r="Z948" t="s">
        <v>26266</v>
      </c>
      <c r="AA948">
        <v>0.59493418913892049</v>
      </c>
      <c r="AB948" t="str">
        <f>HYPERLINK("Melting_Curves/meltCurve_H0YA61_RBM24.pdf", "Melting_Curves/meltCurve_H0YA61_RBM24.pdf")</f>
        <v>Melting_Curves/meltCurve_H0YA61_RBM24.pdf</v>
      </c>
    </row>
    <row r="949" spans="1:28" x14ac:dyDescent="0.25">
      <c r="A949" t="s">
        <v>953</v>
      </c>
      <c r="B949">
        <v>0.99542014353169495</v>
      </c>
      <c r="C949">
        <v>1.0327960346638301</v>
      </c>
      <c r="D949">
        <v>1.05878017733951</v>
      </c>
      <c r="E949">
        <v>1.1508793962186901</v>
      </c>
      <c r="F949">
        <v>0.78602779279313695</v>
      </c>
      <c r="G949">
        <v>0.33857763381783101</v>
      </c>
      <c r="H949">
        <v>0.206960893368479</v>
      </c>
      <c r="I949">
        <v>0.159781605555079</v>
      </c>
      <c r="J949">
        <v>0.163682635133233</v>
      </c>
      <c r="K949">
        <v>0.15658381296430801</v>
      </c>
      <c r="L949">
        <v>1998.26975100955</v>
      </c>
      <c r="M949">
        <v>38.582242501950198</v>
      </c>
      <c r="N949">
        <v>52.346517278183299</v>
      </c>
      <c r="O949">
        <v>51.653922742327403</v>
      </c>
      <c r="P949">
        <v>-0.15543137093020601</v>
      </c>
      <c r="Q949">
        <v>0.16763567407522501</v>
      </c>
      <c r="R949">
        <v>0.98097135805198898</v>
      </c>
      <c r="S949" t="s">
        <v>7351</v>
      </c>
      <c r="T949" t="s">
        <v>12802</v>
      </c>
      <c r="U949" t="s">
        <v>12802</v>
      </c>
      <c r="V949" t="s">
        <v>12802</v>
      </c>
      <c r="W949" t="s">
        <v>13736</v>
      </c>
      <c r="X949">
        <v>2</v>
      </c>
      <c r="Y949" t="s">
        <v>20055</v>
      </c>
      <c r="Z949" t="s">
        <v>26267</v>
      </c>
      <c r="AA949">
        <v>0.58125535557933938</v>
      </c>
      <c r="AB949" t="str">
        <f>HYPERLINK("Melting_Curves/meltCurve_H0YA80_UBE2B.pdf", "Melting_Curves/meltCurve_H0YA80_UBE2B.pdf")</f>
        <v>Melting_Curves/meltCurve_H0YA80_UBE2B.pdf</v>
      </c>
    </row>
    <row r="950" spans="1:28" x14ac:dyDescent="0.25">
      <c r="A950" t="s">
        <v>954</v>
      </c>
      <c r="B950">
        <v>0.99542014353169495</v>
      </c>
      <c r="C950">
        <v>1.0282949983569201</v>
      </c>
      <c r="D950">
        <v>1.0701845438777</v>
      </c>
      <c r="E950">
        <v>0.55531691081300305</v>
      </c>
      <c r="F950">
        <v>0.43430246666494199</v>
      </c>
      <c r="G950">
        <v>0.320294167656199</v>
      </c>
      <c r="H950">
        <v>0.28812390262320597</v>
      </c>
      <c r="I950">
        <v>0.18647340457591999</v>
      </c>
      <c r="J950">
        <v>0.25510062203324402</v>
      </c>
      <c r="K950">
        <v>0.24269240535370401</v>
      </c>
      <c r="L950">
        <v>1453.3527790339101</v>
      </c>
      <c r="M950">
        <v>31.2681632184491</v>
      </c>
      <c r="N950">
        <v>47.656703811723098</v>
      </c>
      <c r="O950">
        <v>46.291397831123298</v>
      </c>
      <c r="P950">
        <v>-0.12345400599074299</v>
      </c>
      <c r="Q950">
        <v>0.26892706658166998</v>
      </c>
      <c r="R950">
        <v>0.96476394474400795</v>
      </c>
      <c r="S950" t="s">
        <v>7352</v>
      </c>
      <c r="T950" t="s">
        <v>12802</v>
      </c>
      <c r="U950" t="s">
        <v>12802</v>
      </c>
      <c r="V950" t="s">
        <v>12802</v>
      </c>
      <c r="W950" t="s">
        <v>13737</v>
      </c>
      <c r="X950">
        <v>3</v>
      </c>
      <c r="Y950" t="s">
        <v>20056</v>
      </c>
      <c r="Z950" t="s">
        <v>26268</v>
      </c>
      <c r="AA950">
        <v>0.50382131647017014</v>
      </c>
      <c r="AB950" t="str">
        <f>HYPERLINK("Melting_Curves/meltCurve_H0YAA8_MED28.pdf", "Melting_Curves/meltCurve_H0YAA8_MED28.pdf")</f>
        <v>Melting_Curves/meltCurve_H0YAA8_MED28.pdf</v>
      </c>
    </row>
    <row r="951" spans="1:28" x14ac:dyDescent="0.25">
      <c r="A951" t="s">
        <v>955</v>
      </c>
      <c r="B951">
        <v>0.99542014353169495</v>
      </c>
      <c r="C951">
        <v>1.04438142302848</v>
      </c>
      <c r="D951">
        <v>1.15036791166342</v>
      </c>
      <c r="E951">
        <v>0.90847745339163</v>
      </c>
      <c r="F951">
        <v>0.31056991325632399</v>
      </c>
      <c r="G951">
        <v>0.14219644208082</v>
      </c>
      <c r="H951">
        <v>6.12112861397252E-2</v>
      </c>
      <c r="I951">
        <v>6.6993604125424905E-2</v>
      </c>
      <c r="J951">
        <v>6.8175487258542194E-2</v>
      </c>
      <c r="K951">
        <v>5.3119406074642203E-2</v>
      </c>
      <c r="L951">
        <v>2101.07084592198</v>
      </c>
      <c r="M951">
        <v>42.877845107013101</v>
      </c>
      <c r="N951">
        <v>49.181766156157302</v>
      </c>
      <c r="O951">
        <v>48.895090522880601</v>
      </c>
      <c r="P951">
        <v>-0.20327728677088999</v>
      </c>
      <c r="Q951">
        <v>7.2784963887233406E-2</v>
      </c>
      <c r="R951">
        <v>0.98617591551845296</v>
      </c>
      <c r="S951" t="s">
        <v>7353</v>
      </c>
      <c r="T951" t="s">
        <v>12802</v>
      </c>
      <c r="U951" t="s">
        <v>12802</v>
      </c>
      <c r="V951" t="s">
        <v>12802</v>
      </c>
      <c r="W951" t="s">
        <v>13738</v>
      </c>
      <c r="X951">
        <v>28</v>
      </c>
      <c r="Y951" t="s">
        <v>20057</v>
      </c>
      <c r="Z951" t="s">
        <v>26269</v>
      </c>
      <c r="AA951">
        <v>0.44644176162323301</v>
      </c>
      <c r="AB951" t="str">
        <f>HYPERLINK("Melting_Curves/meltCurve_H0YAR2_PABPC1.pdf", "Melting_Curves/meltCurve_H0YAR2_PABPC1.pdf")</f>
        <v>Melting_Curves/meltCurve_H0YAR2_PABPC1.pdf</v>
      </c>
    </row>
    <row r="952" spans="1:28" x14ac:dyDescent="0.25">
      <c r="A952" t="s">
        <v>956</v>
      </c>
      <c r="B952">
        <v>0.99542014353169495</v>
      </c>
      <c r="C952">
        <v>1.0839664671161799</v>
      </c>
      <c r="D952">
        <v>0.86820120278020796</v>
      </c>
      <c r="E952">
        <v>0.45449798015639298</v>
      </c>
      <c r="F952">
        <v>0.31036549396637197</v>
      </c>
      <c r="G952">
        <v>0.17343511725305399</v>
      </c>
      <c r="H952">
        <v>0.148762263069531</v>
      </c>
      <c r="I952">
        <v>0.131190167259264</v>
      </c>
      <c r="J952">
        <v>0.122962866692997</v>
      </c>
      <c r="K952">
        <v>0.102926186645134</v>
      </c>
      <c r="L952">
        <v>1080.52514051648</v>
      </c>
      <c r="M952">
        <v>23.490130549739501</v>
      </c>
      <c r="N952">
        <v>46.624742212895001</v>
      </c>
      <c r="O952">
        <v>45.6696369606113</v>
      </c>
      <c r="P952">
        <v>-0.11120706299046799</v>
      </c>
      <c r="Q952">
        <v>0.13517757765837399</v>
      </c>
      <c r="R952">
        <v>0.98554625908154303</v>
      </c>
      <c r="S952" t="s">
        <v>7354</v>
      </c>
      <c r="T952" t="s">
        <v>12802</v>
      </c>
      <c r="U952" t="s">
        <v>12802</v>
      </c>
      <c r="V952" t="s">
        <v>12802</v>
      </c>
      <c r="W952" t="s">
        <v>13739</v>
      </c>
      <c r="X952">
        <v>1</v>
      </c>
      <c r="Y952" t="s">
        <v>20058</v>
      </c>
      <c r="Z952" t="s">
        <v>26270</v>
      </c>
      <c r="AA952">
        <v>0.40274050334955203</v>
      </c>
      <c r="AB952" t="str">
        <f>HYPERLINK("Melting_Curves/meltCurve_H0YB94_STAR.pdf", "Melting_Curves/meltCurve_H0YB94_STAR.pdf")</f>
        <v>Melting_Curves/meltCurve_H0YB94_STAR.pdf</v>
      </c>
    </row>
    <row r="953" spans="1:28" x14ac:dyDescent="0.25">
      <c r="A953" t="s">
        <v>957</v>
      </c>
      <c r="B953">
        <v>0.99542014353169495</v>
      </c>
      <c r="C953">
        <v>0.92060553868950101</v>
      </c>
      <c r="D953">
        <v>0.93911960275733097</v>
      </c>
      <c r="E953">
        <v>0.87020824254067697</v>
      </c>
      <c r="F953">
        <v>0.67586546278441795</v>
      </c>
      <c r="G953">
        <v>0.44013600819106902</v>
      </c>
      <c r="H953">
        <v>0.145189861314414</v>
      </c>
      <c r="I953">
        <v>7.6497649324641995E-2</v>
      </c>
      <c r="J953">
        <v>7.8889093545906397E-2</v>
      </c>
      <c r="K953">
        <v>7.9009409075202305E-2</v>
      </c>
      <c r="L953">
        <v>871.84176940436896</v>
      </c>
      <c r="M953">
        <v>16.6926677630182</v>
      </c>
      <c r="N953">
        <v>52.376885068036501</v>
      </c>
      <c r="O953">
        <v>51.496731602223903</v>
      </c>
      <c r="P953">
        <v>-7.9177615537493098E-2</v>
      </c>
      <c r="Q953">
        <v>2.3016007138892701E-2</v>
      </c>
      <c r="R953">
        <v>0.99027886942648302</v>
      </c>
      <c r="S953" t="s">
        <v>7355</v>
      </c>
      <c r="T953" t="s">
        <v>12802</v>
      </c>
      <c r="U953" t="s">
        <v>12802</v>
      </c>
      <c r="V953" t="s">
        <v>12802</v>
      </c>
      <c r="W953" t="s">
        <v>13740</v>
      </c>
      <c r="X953">
        <v>23</v>
      </c>
      <c r="Y953" t="s">
        <v>20059</v>
      </c>
      <c r="Z953" t="s">
        <v>26271</v>
      </c>
      <c r="AA953">
        <v>0.53518545566325593</v>
      </c>
      <c r="AB953" t="str">
        <f>HYPERLINK("Melting_Curves/meltCurve_H0YBP1_PTK2.pdf", "Melting_Curves/meltCurve_H0YBP1_PTK2.pdf")</f>
        <v>Melting_Curves/meltCurve_H0YBP1_PTK2.pdf</v>
      </c>
    </row>
    <row r="954" spans="1:28" x14ac:dyDescent="0.25">
      <c r="A954" t="s">
        <v>958</v>
      </c>
      <c r="B954">
        <v>0.99542014353169495</v>
      </c>
      <c r="C954">
        <v>1.0400726988397799</v>
      </c>
      <c r="D954">
        <v>0.90553773915785696</v>
      </c>
      <c r="E954">
        <v>0.61352415818297001</v>
      </c>
      <c r="F954">
        <v>0.31472844723464699</v>
      </c>
      <c r="G954">
        <v>0.10102294678955701</v>
      </c>
      <c r="H954">
        <v>4.3499767104729699E-2</v>
      </c>
      <c r="I954">
        <v>0</v>
      </c>
      <c r="J954">
        <v>0</v>
      </c>
      <c r="K954">
        <v>2.5291927444497101E-2</v>
      </c>
      <c r="L954">
        <v>934.84839729438795</v>
      </c>
      <c r="M954">
        <v>19.508978132734299</v>
      </c>
      <c r="N954">
        <v>47.928005442667398</v>
      </c>
      <c r="O954">
        <v>47.4239143452848</v>
      </c>
      <c r="P954">
        <v>-0.102656621230205</v>
      </c>
      <c r="Q954">
        <v>1.8536212163712601E-3</v>
      </c>
      <c r="R954">
        <v>0.99697614821207103</v>
      </c>
      <c r="S954" t="s">
        <v>7356</v>
      </c>
      <c r="T954" t="s">
        <v>12802</v>
      </c>
      <c r="U954" t="s">
        <v>12802</v>
      </c>
      <c r="V954" t="s">
        <v>12802</v>
      </c>
      <c r="W954" t="s">
        <v>13741</v>
      </c>
      <c r="X954">
        <v>2</v>
      </c>
      <c r="Y954" t="s">
        <v>20060</v>
      </c>
      <c r="Z954" t="s">
        <v>26272</v>
      </c>
      <c r="AA954">
        <v>0.37888266337584081</v>
      </c>
      <c r="AB954" t="str">
        <f>HYPERLINK("Melting_Curves/meltCurve_H0YBS1_INTS8.pdf", "Melting_Curves/meltCurve_H0YBS1_INTS8.pdf")</f>
        <v>Melting_Curves/meltCurve_H0YBS1_INTS8.pdf</v>
      </c>
    </row>
    <row r="955" spans="1:28" x14ac:dyDescent="0.25">
      <c r="A955" t="s">
        <v>959</v>
      </c>
      <c r="B955">
        <v>0.99542014353169495</v>
      </c>
      <c r="C955">
        <v>0.91682061617775701</v>
      </c>
      <c r="D955">
        <v>0.88468828019772106</v>
      </c>
      <c r="E955">
        <v>0.67077677361927701</v>
      </c>
      <c r="F955">
        <v>0.38696514671429899</v>
      </c>
      <c r="G955">
        <v>0.23264627038208199</v>
      </c>
      <c r="H955">
        <v>0.18310830664983499</v>
      </c>
      <c r="I955">
        <v>8.7869311902069105E-2</v>
      </c>
      <c r="J955">
        <v>0.12326608338127</v>
      </c>
      <c r="K955">
        <v>0.12537022896761499</v>
      </c>
      <c r="L955">
        <v>759.43353333938899</v>
      </c>
      <c r="M955">
        <v>15.8177401711967</v>
      </c>
      <c r="N955">
        <v>48.683477231301303</v>
      </c>
      <c r="O955">
        <v>47.263790303918903</v>
      </c>
      <c r="P955">
        <v>-7.5468292927362804E-2</v>
      </c>
      <c r="Q955">
        <v>9.8069789521877504E-2</v>
      </c>
      <c r="R955">
        <v>0.995640559797905</v>
      </c>
      <c r="S955" t="s">
        <v>7357</v>
      </c>
      <c r="T955" t="s">
        <v>12802</v>
      </c>
      <c r="U955" t="s">
        <v>12802</v>
      </c>
      <c r="V955" t="s">
        <v>12802</v>
      </c>
      <c r="W955" t="s">
        <v>13742</v>
      </c>
      <c r="X955">
        <v>4</v>
      </c>
      <c r="Y955" t="s">
        <v>20061</v>
      </c>
      <c r="Z955" t="s">
        <v>26273</v>
      </c>
      <c r="AA955">
        <v>0.44726479354438098</v>
      </c>
      <c r="AB955" t="str">
        <f>HYPERLINK("Melting_Curves/meltCurve_H0YBZ4_MTFR1.pdf", "Melting_Curves/meltCurve_H0YBZ4_MTFR1.pdf")</f>
        <v>Melting_Curves/meltCurve_H0YBZ4_MTFR1.pdf</v>
      </c>
    </row>
    <row r="956" spans="1:28" x14ac:dyDescent="0.25">
      <c r="A956" t="s">
        <v>960</v>
      </c>
      <c r="B956">
        <v>0.99542014353169495</v>
      </c>
      <c r="C956">
        <v>0.92378999885573898</v>
      </c>
      <c r="D956">
        <v>0.74146295986988098</v>
      </c>
      <c r="E956">
        <v>0.38552560178280199</v>
      </c>
      <c r="F956">
        <v>0.203154143524792</v>
      </c>
      <c r="G956">
        <v>8.9599477725893301E-2</v>
      </c>
      <c r="H956">
        <v>5.9116577647181798E-2</v>
      </c>
      <c r="I956">
        <v>4.2610144346162997E-2</v>
      </c>
      <c r="J956">
        <v>4.5650713340889201E-2</v>
      </c>
      <c r="K956">
        <v>4.64644447820277E-2</v>
      </c>
      <c r="L956">
        <v>819.26353139548496</v>
      </c>
      <c r="M956">
        <v>18.086238211998001</v>
      </c>
      <c r="N956">
        <v>45.512955588845998</v>
      </c>
      <c r="O956">
        <v>44.754740520361203</v>
      </c>
      <c r="P956">
        <v>-9.6891563476883394E-2</v>
      </c>
      <c r="Q956">
        <v>4.1006378159520102E-2</v>
      </c>
      <c r="R956">
        <v>0.999255372235758</v>
      </c>
      <c r="S956" t="s">
        <v>7358</v>
      </c>
      <c r="T956" t="s">
        <v>12802</v>
      </c>
      <c r="U956" t="s">
        <v>12802</v>
      </c>
      <c r="V956" t="s">
        <v>12802</v>
      </c>
      <c r="W956" t="s">
        <v>13743</v>
      </c>
      <c r="X956">
        <v>4</v>
      </c>
      <c r="Y956" t="s">
        <v>20062</v>
      </c>
      <c r="Z956" t="s">
        <v>26274</v>
      </c>
      <c r="AA956">
        <v>0.32173352360826679</v>
      </c>
      <c r="AB956" t="str">
        <f>HYPERLINK("Melting_Curves/meltCurve_H0YC02_HMBOX1.pdf", "Melting_Curves/meltCurve_H0YC02_HMBOX1.pdf")</f>
        <v>Melting_Curves/meltCurve_H0YC02_HMBOX1.pdf</v>
      </c>
    </row>
    <row r="957" spans="1:28" x14ac:dyDescent="0.25">
      <c r="A957" t="s">
        <v>961</v>
      </c>
      <c r="B957">
        <v>0.99542014353169495</v>
      </c>
      <c r="C957">
        <v>1.0358426150376501</v>
      </c>
      <c r="D957">
        <v>1.0457543679043699</v>
      </c>
      <c r="E957">
        <v>0.97711577744864198</v>
      </c>
      <c r="F957">
        <v>0.57098274673223803</v>
      </c>
      <c r="G957">
        <v>0.27761816851784299</v>
      </c>
      <c r="H957">
        <v>0.12638285056672399</v>
      </c>
      <c r="I957">
        <v>9.3459487715836703E-2</v>
      </c>
      <c r="J957">
        <v>7.2841934475089506E-2</v>
      </c>
      <c r="K957">
        <v>0.12605350775309701</v>
      </c>
      <c r="L957">
        <v>1464.9509224983501</v>
      </c>
      <c r="M957">
        <v>28.938926044421599</v>
      </c>
      <c r="N957">
        <v>51.018950965565999</v>
      </c>
      <c r="O957">
        <v>50.382269794860001</v>
      </c>
      <c r="P957">
        <v>-0.12912760813975099</v>
      </c>
      <c r="Q957">
        <v>0.100769099724436</v>
      </c>
      <c r="R957">
        <v>0.99400108527856801</v>
      </c>
      <c r="S957" t="s">
        <v>7359</v>
      </c>
      <c r="T957" t="s">
        <v>12802</v>
      </c>
      <c r="U957" t="s">
        <v>12802</v>
      </c>
      <c r="V957" t="s">
        <v>12802</v>
      </c>
      <c r="W957" t="s">
        <v>13744</v>
      </c>
      <c r="X957">
        <v>5</v>
      </c>
      <c r="Y957" t="s">
        <v>20063</v>
      </c>
      <c r="Z957" t="s">
        <v>26275</v>
      </c>
      <c r="AA957">
        <v>0.51506229592409092</v>
      </c>
      <c r="AB957" t="str">
        <f>HYPERLINK("Melting_Curves/meltCurve_H0YCB3_ASCC1.pdf", "Melting_Curves/meltCurve_H0YCB3_ASCC1.pdf")</f>
        <v>Melting_Curves/meltCurve_H0YCB3_ASCC1.pdf</v>
      </c>
    </row>
    <row r="958" spans="1:28" x14ac:dyDescent="0.25">
      <c r="A958" t="s">
        <v>962</v>
      </c>
      <c r="B958">
        <v>0.99542014353169495</v>
      </c>
      <c r="C958">
        <v>1.27263124677957</v>
      </c>
      <c r="D958">
        <v>0.97248139070525197</v>
      </c>
      <c r="E958">
        <v>0.71915137976772203</v>
      </c>
      <c r="F958">
        <v>0.85175442650380195</v>
      </c>
      <c r="G958">
        <v>0.684555519659095</v>
      </c>
      <c r="H958">
        <v>0.41318964995061103</v>
      </c>
      <c r="I958">
        <v>0.42006346834747799</v>
      </c>
      <c r="J958">
        <v>0.37909459989517802</v>
      </c>
      <c r="K958">
        <v>0.45869499305628902</v>
      </c>
      <c r="L958">
        <v>726.21591656798</v>
      </c>
      <c r="M958">
        <v>13.9219002510807</v>
      </c>
      <c r="N958">
        <v>57.528438548250499</v>
      </c>
      <c r="O958">
        <v>51.122648877537202</v>
      </c>
      <c r="P958">
        <v>-4.3339181343213698E-2</v>
      </c>
      <c r="Q958">
        <v>0.36350243466221899</v>
      </c>
      <c r="R958">
        <v>0.83514310311532003</v>
      </c>
      <c r="S958" t="s">
        <v>7360</v>
      </c>
      <c r="T958" t="s">
        <v>12802</v>
      </c>
      <c r="U958" t="s">
        <v>12802</v>
      </c>
      <c r="V958" t="s">
        <v>12802</v>
      </c>
      <c r="W958" t="s">
        <v>13745</v>
      </c>
      <c r="X958">
        <v>1</v>
      </c>
      <c r="Y958" t="s">
        <v>20064</v>
      </c>
      <c r="Z958" t="s">
        <v>26276</v>
      </c>
      <c r="AA958">
        <v>0.69827448511767132</v>
      </c>
      <c r="AB958" t="str">
        <f>HYPERLINK("Melting_Curves/meltCurve_H0YD13_CD44.pdf", "Melting_Curves/meltCurve_H0YD13_CD44.pdf")</f>
        <v>Melting_Curves/meltCurve_H0YD13_CD44.pdf</v>
      </c>
    </row>
    <row r="959" spans="1:28" x14ac:dyDescent="0.25">
      <c r="A959" t="s">
        <v>963</v>
      </c>
      <c r="B959">
        <v>0.99542014353169495</v>
      </c>
      <c r="C959">
        <v>1.0038767444954599</v>
      </c>
      <c r="D959">
        <v>1.0316792598688</v>
      </c>
      <c r="E959">
        <v>1.3381649596152301</v>
      </c>
      <c r="F959">
        <v>1.6736132111034101</v>
      </c>
      <c r="G959">
        <v>0.387279899373418</v>
      </c>
      <c r="H959">
        <v>0.164223351284528</v>
      </c>
      <c r="I959">
        <v>6.8484817959990299E-2</v>
      </c>
      <c r="J959">
        <v>6.3626374352589304E-2</v>
      </c>
      <c r="K959">
        <v>3.7569342280715602E-2</v>
      </c>
      <c r="L959">
        <v>13412.257941739401</v>
      </c>
      <c r="M959">
        <v>250</v>
      </c>
      <c r="N959">
        <v>53.6882595570235</v>
      </c>
      <c r="O959">
        <v>53.645598616686001</v>
      </c>
      <c r="P959">
        <v>-1.06779976137931</v>
      </c>
      <c r="Q959">
        <v>8.3475883188393593E-2</v>
      </c>
      <c r="R959">
        <v>0.82294052996656297</v>
      </c>
      <c r="S959" t="s">
        <v>7361</v>
      </c>
      <c r="T959" t="s">
        <v>12802</v>
      </c>
      <c r="U959" t="s">
        <v>12802</v>
      </c>
      <c r="V959" t="s">
        <v>12802</v>
      </c>
      <c r="W959" t="s">
        <v>13746</v>
      </c>
      <c r="X959">
        <v>6</v>
      </c>
      <c r="Y959" t="s">
        <v>20065</v>
      </c>
      <c r="Z959" t="s">
        <v>26277</v>
      </c>
      <c r="AA959">
        <v>0.59220348141397872</v>
      </c>
      <c r="AB959" t="str">
        <f>HYPERLINK("Melting_Curves/meltCurve_H0YDD4_DLAT.pdf", "Melting_Curves/meltCurve_H0YDD4_DLAT.pdf")</f>
        <v>Melting_Curves/meltCurve_H0YDD4_DLAT.pdf</v>
      </c>
    </row>
    <row r="960" spans="1:28" x14ac:dyDescent="0.25">
      <c r="A960" t="s">
        <v>964</v>
      </c>
      <c r="B960">
        <v>0.99542014353169495</v>
      </c>
      <c r="C960">
        <v>0.91026516096785304</v>
      </c>
      <c r="D960">
        <v>0.91490057331744801</v>
      </c>
      <c r="E960">
        <v>0.83936236816396603</v>
      </c>
      <c r="F960">
        <v>0.352502217871002</v>
      </c>
      <c r="G960">
        <v>0.13013510287269101</v>
      </c>
      <c r="H960">
        <v>9.6123567993802797E-2</v>
      </c>
      <c r="I960">
        <v>8.95778916275798E-2</v>
      </c>
      <c r="J960">
        <v>0.114294452492214</v>
      </c>
      <c r="K960">
        <v>0.16594245851554401</v>
      </c>
      <c r="L960">
        <v>1588.9606148374201</v>
      </c>
      <c r="M960">
        <v>32.653821353553802</v>
      </c>
      <c r="N960">
        <v>49.037216039142002</v>
      </c>
      <c r="O960">
        <v>48.479368959287299</v>
      </c>
      <c r="P960">
        <v>-0.149723458005974</v>
      </c>
      <c r="Q960">
        <v>0.11085864579957699</v>
      </c>
      <c r="R960">
        <v>0.98767240854001703</v>
      </c>
      <c r="S960" t="s">
        <v>7362</v>
      </c>
      <c r="T960" t="s">
        <v>12802</v>
      </c>
      <c r="U960" t="s">
        <v>12802</v>
      </c>
      <c r="V960" t="s">
        <v>12802</v>
      </c>
      <c r="W960" t="s">
        <v>13747</v>
      </c>
      <c r="X960">
        <v>1</v>
      </c>
      <c r="Y960" t="s">
        <v>20066</v>
      </c>
      <c r="Z960" t="s">
        <v>26278</v>
      </c>
      <c r="AA960">
        <v>0.46095955076118572</v>
      </c>
      <c r="AB960" t="str">
        <f>HYPERLINK("Melting_Curves/meltCurve_H0YDM5_SLC27A3.pdf", "Melting_Curves/meltCurve_H0YDM5_SLC27A3.pdf")</f>
        <v>Melting_Curves/meltCurve_H0YDM5_SLC27A3.pdf</v>
      </c>
    </row>
    <row r="961" spans="1:28" x14ac:dyDescent="0.25">
      <c r="A961" t="s">
        <v>965</v>
      </c>
      <c r="B961">
        <v>0.99542014353169495</v>
      </c>
      <c r="C961">
        <v>0.85217073401872101</v>
      </c>
      <c r="D961">
        <v>0.87527078156059501</v>
      </c>
      <c r="E961">
        <v>0.69618670028608998</v>
      </c>
      <c r="F961">
        <v>0.51603404585498702</v>
      </c>
      <c r="G961">
        <v>0.23288856903740199</v>
      </c>
      <c r="H961">
        <v>0.109299908229561</v>
      </c>
      <c r="I961">
        <v>6.2084880587289601E-2</v>
      </c>
      <c r="J961">
        <v>4.1373009922706698E-2</v>
      </c>
      <c r="K961">
        <v>4.5956249181670697E-2</v>
      </c>
      <c r="L961">
        <v>646.14657202842204</v>
      </c>
      <c r="M961">
        <v>13.047344325226501</v>
      </c>
      <c r="N961">
        <v>49.523248931126901</v>
      </c>
      <c r="O961">
        <v>48.403199372771503</v>
      </c>
      <c r="P961">
        <v>-6.7400619762761793E-2</v>
      </c>
      <c r="Q961">
        <v>0</v>
      </c>
      <c r="R961">
        <v>0.987002176835162</v>
      </c>
      <c r="S961" t="s">
        <v>7363</v>
      </c>
      <c r="T961" t="s">
        <v>12802</v>
      </c>
      <c r="U961" t="s">
        <v>12802</v>
      </c>
      <c r="V961" t="s">
        <v>12802</v>
      </c>
      <c r="W961" t="s">
        <v>13748</v>
      </c>
      <c r="X961">
        <v>1</v>
      </c>
      <c r="Y961" t="s">
        <v>20067</v>
      </c>
      <c r="Z961" t="s">
        <v>26279</v>
      </c>
      <c r="AA961">
        <v>0.44331828610215879</v>
      </c>
      <c r="AB961" t="str">
        <f>HYPERLINK("Melting_Curves/meltCurve_H0YDQ1_ALG8.pdf", "Melting_Curves/meltCurve_H0YDQ1_ALG8.pdf")</f>
        <v>Melting_Curves/meltCurve_H0YDQ1_ALG8.pdf</v>
      </c>
    </row>
    <row r="962" spans="1:28" x14ac:dyDescent="0.25">
      <c r="A962" t="s">
        <v>966</v>
      </c>
      <c r="B962">
        <v>0.99542014353169495</v>
      </c>
      <c r="C962">
        <v>0.98365315301305101</v>
      </c>
      <c r="D962">
        <v>0.87186589112943003</v>
      </c>
      <c r="E962">
        <v>0.88486357549085903</v>
      </c>
      <c r="F962">
        <v>0.70610006066497699</v>
      </c>
      <c r="G962">
        <v>0.602474344099591</v>
      </c>
      <c r="H962">
        <v>0.43684431737002999</v>
      </c>
      <c r="I962">
        <v>0.45787748130058398</v>
      </c>
      <c r="J962">
        <v>0.727638132020893</v>
      </c>
      <c r="K962">
        <v>0.77411823762716303</v>
      </c>
      <c r="L962">
        <v>1092.3232588979099</v>
      </c>
      <c r="M962">
        <v>22.958826121011199</v>
      </c>
      <c r="O962">
        <v>47.220942569225997</v>
      </c>
      <c r="P962">
        <v>-4.8993971859731797E-2</v>
      </c>
      <c r="Q962">
        <v>0.59693097486949398</v>
      </c>
      <c r="R962">
        <v>0.69694574887093397</v>
      </c>
      <c r="S962" t="s">
        <v>7364</v>
      </c>
      <c r="T962" t="s">
        <v>12802</v>
      </c>
      <c r="U962" t="s">
        <v>12802</v>
      </c>
      <c r="V962" t="s">
        <v>12802</v>
      </c>
      <c r="W962" t="s">
        <v>13749</v>
      </c>
      <c r="X962">
        <v>1</v>
      </c>
      <c r="Y962" t="s">
        <v>20068</v>
      </c>
      <c r="Z962" t="s">
        <v>26280</v>
      </c>
      <c r="AA962">
        <v>0.74308786470659427</v>
      </c>
      <c r="AB962" t="str">
        <f>HYPERLINK("Melting_Curves/meltCurve_H0YDR5_SIGIRR.pdf", "Melting_Curves/meltCurve_H0YDR5_SIGIRR.pdf")</f>
        <v>Melting_Curves/meltCurve_H0YDR5_SIGIRR.pdf</v>
      </c>
    </row>
    <row r="963" spans="1:28" x14ac:dyDescent="0.25">
      <c r="A963" t="s">
        <v>967</v>
      </c>
      <c r="B963">
        <v>0.99542014353169495</v>
      </c>
      <c r="C963">
        <v>0.98466554989598498</v>
      </c>
      <c r="D963">
        <v>0.98160070606155503</v>
      </c>
      <c r="E963">
        <v>0.87850826134214999</v>
      </c>
      <c r="F963">
        <v>0.593782641503523</v>
      </c>
      <c r="G963">
        <v>0.27046453689093602</v>
      </c>
      <c r="H963">
        <v>9.4513474451019999E-2</v>
      </c>
      <c r="I963">
        <v>6.1170662277696901E-2</v>
      </c>
      <c r="J963">
        <v>6.5688943442722705E-2</v>
      </c>
      <c r="K963">
        <v>8.0299882845699402E-2</v>
      </c>
      <c r="L963">
        <v>1147.1889792212801</v>
      </c>
      <c r="M963">
        <v>22.5902547904819</v>
      </c>
      <c r="N963">
        <v>51.036665268666198</v>
      </c>
      <c r="O963">
        <v>50.389560804647097</v>
      </c>
      <c r="P963">
        <v>-0.106116848180383</v>
      </c>
      <c r="Q963">
        <v>5.3207175070774999E-2</v>
      </c>
      <c r="R963">
        <v>0.99893876159122097</v>
      </c>
      <c r="S963" t="s">
        <v>7365</v>
      </c>
      <c r="T963" t="s">
        <v>12802</v>
      </c>
      <c r="U963" t="s">
        <v>12802</v>
      </c>
      <c r="V963" t="s">
        <v>12802</v>
      </c>
      <c r="W963" t="s">
        <v>13226</v>
      </c>
      <c r="X963">
        <v>24</v>
      </c>
      <c r="Y963" t="s">
        <v>20069</v>
      </c>
      <c r="Z963" t="s">
        <v>26281</v>
      </c>
      <c r="AA963">
        <v>0.4982226224403814</v>
      </c>
      <c r="AB963" t="str">
        <f>HYPERLINK("Melting_Curves/meltCurve_H0YDU8_PPP5C.pdf", "Melting_Curves/meltCurve_H0YDU8_PPP5C.pdf")</f>
        <v>Melting_Curves/meltCurve_H0YDU8_PPP5C.pdf</v>
      </c>
    </row>
    <row r="964" spans="1:28" x14ac:dyDescent="0.25">
      <c r="A964" t="s">
        <v>968</v>
      </c>
      <c r="B964">
        <v>0.99542014353169495</v>
      </c>
      <c r="C964">
        <v>0.80406189165859598</v>
      </c>
      <c r="D964">
        <v>0.91088462988336905</v>
      </c>
      <c r="E964">
        <v>0.76115664656066095</v>
      </c>
      <c r="F964">
        <v>0.68428020623765096</v>
      </c>
      <c r="G964">
        <v>0.32064528449251201</v>
      </c>
      <c r="H964">
        <v>0.36207869162289102</v>
      </c>
      <c r="I964">
        <v>0.331593526599612</v>
      </c>
      <c r="J964">
        <v>0.38759884415388801</v>
      </c>
      <c r="K964">
        <v>0.64698407170030203</v>
      </c>
      <c r="L964">
        <v>826.19740151040503</v>
      </c>
      <c r="M964">
        <v>17.420000266410899</v>
      </c>
      <c r="N964">
        <v>52.490422767136103</v>
      </c>
      <c r="O964">
        <v>46.816317833471302</v>
      </c>
      <c r="P964">
        <v>-5.5182895268778898E-2</v>
      </c>
      <c r="Q964">
        <v>0.40681632620741498</v>
      </c>
      <c r="R964">
        <v>0.76389580826763004</v>
      </c>
      <c r="S964" t="s">
        <v>7366</v>
      </c>
      <c r="T964" t="s">
        <v>12802</v>
      </c>
      <c r="U964" t="s">
        <v>12802</v>
      </c>
      <c r="V964" t="s">
        <v>12802</v>
      </c>
      <c r="W964" t="s">
        <v>13750</v>
      </c>
      <c r="X964">
        <v>8</v>
      </c>
      <c r="Y964" t="s">
        <v>20070</v>
      </c>
      <c r="Z964" t="s">
        <v>26282</v>
      </c>
      <c r="AA964">
        <v>0.62311155585510813</v>
      </c>
      <c r="AB964" t="str">
        <f>HYPERLINK("Melting_Curves/meltCurve_H0YEB6_SSSCA1.pdf", "Melting_Curves/meltCurve_H0YEB6_SSSCA1.pdf")</f>
        <v>Melting_Curves/meltCurve_H0YEB6_SSSCA1.pdf</v>
      </c>
    </row>
    <row r="965" spans="1:28" x14ac:dyDescent="0.25">
      <c r="A965" t="s">
        <v>969</v>
      </c>
      <c r="B965">
        <v>0.99542014353169495</v>
      </c>
      <c r="C965">
        <v>0.99099805355511905</v>
      </c>
      <c r="D965">
        <v>0.87043112288517099</v>
      </c>
      <c r="E965">
        <v>0.71218429525125304</v>
      </c>
      <c r="F965">
        <v>0.22384797374896401</v>
      </c>
      <c r="G965">
        <v>0.15175036506242001</v>
      </c>
      <c r="H965">
        <v>0.111729241853868</v>
      </c>
      <c r="I965">
        <v>6.8652998274714494E-2</v>
      </c>
      <c r="J965">
        <v>7.8829645532381601E-2</v>
      </c>
      <c r="K965">
        <v>9.9106206668628599E-2</v>
      </c>
      <c r="L965">
        <v>1270.5299916521101</v>
      </c>
      <c r="M965">
        <v>26.700650502837</v>
      </c>
      <c r="N965">
        <v>47.924207321888801</v>
      </c>
      <c r="O965">
        <v>47.319718617747903</v>
      </c>
      <c r="P965">
        <v>-0.12889565107762699</v>
      </c>
      <c r="Q965">
        <v>8.6277934434647499E-2</v>
      </c>
      <c r="R965">
        <v>0.992125861074168</v>
      </c>
      <c r="S965" t="s">
        <v>7367</v>
      </c>
      <c r="T965" t="s">
        <v>12802</v>
      </c>
      <c r="U965" t="s">
        <v>12802</v>
      </c>
      <c r="V965" t="s">
        <v>12802</v>
      </c>
      <c r="W965" t="s">
        <v>13751</v>
      </c>
      <c r="X965">
        <v>6</v>
      </c>
      <c r="Y965" t="s">
        <v>20071</v>
      </c>
      <c r="Z965" t="s">
        <v>26283</v>
      </c>
      <c r="AA965">
        <v>0.4154319992757049</v>
      </c>
      <c r="AB965" t="str">
        <f>HYPERLINK("Melting_Curves/meltCurve_H0YEF3_RNASEH2C.pdf", "Melting_Curves/meltCurve_H0YEF3_RNASEH2C.pdf")</f>
        <v>Melting_Curves/meltCurve_H0YEF3_RNASEH2C.pdf</v>
      </c>
    </row>
    <row r="966" spans="1:28" x14ac:dyDescent="0.25">
      <c r="A966" t="s">
        <v>970</v>
      </c>
      <c r="B966">
        <v>0.99542014353169495</v>
      </c>
      <c r="C966">
        <v>0.97381072985904404</v>
      </c>
      <c r="D966">
        <v>0.96037409087306203</v>
      </c>
      <c r="E966">
        <v>0.66288397301524704</v>
      </c>
      <c r="F966">
        <v>0.49673274328335598</v>
      </c>
      <c r="G966">
        <v>0.20552147121469899</v>
      </c>
      <c r="H966">
        <v>0.127914800564364</v>
      </c>
      <c r="I966">
        <v>7.0559697677747293E-2</v>
      </c>
      <c r="J966">
        <v>5.61044262914136E-2</v>
      </c>
      <c r="K966">
        <v>4.8566444403559103E-2</v>
      </c>
      <c r="L966">
        <v>777.19045413862</v>
      </c>
      <c r="M966">
        <v>15.768283246001401</v>
      </c>
      <c r="N966">
        <v>49.479692378920497</v>
      </c>
      <c r="O966">
        <v>48.515905842316002</v>
      </c>
      <c r="P966">
        <v>-7.8854721540401004E-2</v>
      </c>
      <c r="Q966">
        <v>2.95987296936196E-2</v>
      </c>
      <c r="R966">
        <v>0.99386614513109095</v>
      </c>
      <c r="S966" t="s">
        <v>7368</v>
      </c>
      <c r="T966" t="s">
        <v>12802</v>
      </c>
      <c r="U966" t="s">
        <v>12802</v>
      </c>
      <c r="V966" t="s">
        <v>12802</v>
      </c>
      <c r="W966" t="s">
        <v>13752</v>
      </c>
      <c r="X966">
        <v>1</v>
      </c>
      <c r="Y966" t="s">
        <v>20072</v>
      </c>
      <c r="Z966" t="s">
        <v>26284</v>
      </c>
      <c r="AA966">
        <v>0.44624513105242231</v>
      </c>
      <c r="AB966" t="str">
        <f>HYPERLINK("Melting_Curves/meltCurve_H0YER1_RSF1.pdf", "Melting_Curves/meltCurve_H0YER1_RSF1.pdf")</f>
        <v>Melting_Curves/meltCurve_H0YER1_RSF1.pdf</v>
      </c>
    </row>
    <row r="967" spans="1:28" x14ac:dyDescent="0.25">
      <c r="A967" t="s">
        <v>971</v>
      </c>
      <c r="B967">
        <v>0.99542014353169495</v>
      </c>
      <c r="C967">
        <v>1.0384690128985301</v>
      </c>
      <c r="D967">
        <v>0.903056311842653</v>
      </c>
      <c r="E967">
        <v>0.87764257969784598</v>
      </c>
      <c r="F967">
        <v>0.63637200667381</v>
      </c>
      <c r="G967">
        <v>0.50919092132942201</v>
      </c>
      <c r="H967">
        <v>0.225848169093674</v>
      </c>
      <c r="I967">
        <v>7.1742138945551398E-2</v>
      </c>
      <c r="J967">
        <v>6.1616411197567403E-2</v>
      </c>
      <c r="K967">
        <v>3.5543840423520101E-2</v>
      </c>
      <c r="L967">
        <v>767.07867012299903</v>
      </c>
      <c r="M967">
        <v>14.532980728172999</v>
      </c>
      <c r="N967">
        <v>52.781923800800399</v>
      </c>
      <c r="O967">
        <v>51.8127491925706</v>
      </c>
      <c r="P967">
        <v>-7.0130627926796807E-2</v>
      </c>
      <c r="Q967">
        <v>0</v>
      </c>
      <c r="R967">
        <v>0.98885615430782103</v>
      </c>
      <c r="S967" t="s">
        <v>7369</v>
      </c>
      <c r="T967" t="s">
        <v>12802</v>
      </c>
      <c r="U967" t="s">
        <v>12802</v>
      </c>
      <c r="V967" t="s">
        <v>12802</v>
      </c>
      <c r="W967" t="s">
        <v>13753</v>
      </c>
      <c r="X967">
        <v>5</v>
      </c>
      <c r="Y967" t="s">
        <v>20073</v>
      </c>
      <c r="Z967" t="s">
        <v>26285</v>
      </c>
      <c r="AA967">
        <v>0.54479150261538256</v>
      </c>
      <c r="AB967" t="str">
        <f>HYPERLINK("Melting_Curves/meltCurve_H0YF29_C8orf82.pdf", "Melting_Curves/meltCurve_H0YF29_C8orf82.pdf")</f>
        <v>Melting_Curves/meltCurve_H0YF29_C8orf82.pdf</v>
      </c>
    </row>
    <row r="968" spans="1:28" x14ac:dyDescent="0.25">
      <c r="A968" t="s">
        <v>972</v>
      </c>
      <c r="B968">
        <v>0.99542014353169495</v>
      </c>
      <c r="C968">
        <v>0.98652900435875501</v>
      </c>
      <c r="D968">
        <v>1.02476449538489</v>
      </c>
      <c r="E968">
        <v>1.0614275740607</v>
      </c>
      <c r="F968">
        <v>0.92623925305792998</v>
      </c>
      <c r="G968">
        <v>0.74460966039697096</v>
      </c>
      <c r="H968">
        <v>0.59915890717223796</v>
      </c>
      <c r="I968">
        <v>0.57359345610730395</v>
      </c>
      <c r="J968">
        <v>0.87457286678843704</v>
      </c>
      <c r="K968">
        <v>0.98784024673220305</v>
      </c>
      <c r="L968">
        <v>12591.999437218299</v>
      </c>
      <c r="M968">
        <v>250</v>
      </c>
      <c r="O968">
        <v>50.364774791465997</v>
      </c>
      <c r="P968">
        <v>-0.30284680650899998</v>
      </c>
      <c r="Q968">
        <v>0.75595502224932398</v>
      </c>
      <c r="R968">
        <v>0.53981050036443301</v>
      </c>
      <c r="S968" t="s">
        <v>7370</v>
      </c>
      <c r="T968" t="s">
        <v>12802</v>
      </c>
      <c r="U968" t="s">
        <v>12802</v>
      </c>
      <c r="V968" t="s">
        <v>12802</v>
      </c>
      <c r="W968" t="s">
        <v>13754</v>
      </c>
      <c r="X968">
        <v>16</v>
      </c>
      <c r="Y968" t="s">
        <v>20074</v>
      </c>
      <c r="Z968" t="s">
        <v>26286</v>
      </c>
      <c r="AA968">
        <v>0.8647230183910195</v>
      </c>
      <c r="AB968" t="str">
        <f>HYPERLINK("Melting_Curves/meltCurve_H0YGR4_REXO2.pdf", "Melting_Curves/meltCurve_H0YGR4_REXO2.pdf")</f>
        <v>Melting_Curves/meltCurve_H0YGR4_REXO2.pdf</v>
      </c>
    </row>
    <row r="969" spans="1:28" x14ac:dyDescent="0.25">
      <c r="A969" t="s">
        <v>973</v>
      </c>
      <c r="B969">
        <v>0.99542014353169495</v>
      </c>
      <c r="C969">
        <v>1.07386352697117</v>
      </c>
      <c r="D969">
        <v>0.97972457473450703</v>
      </c>
      <c r="E969">
        <v>1.0132084641330901</v>
      </c>
      <c r="F969">
        <v>0.79149650786912895</v>
      </c>
      <c r="G969">
        <v>0.598740805925703</v>
      </c>
      <c r="H969">
        <v>0.228878080801352</v>
      </c>
      <c r="I969">
        <v>0.116963092846259</v>
      </c>
      <c r="J969">
        <v>8.6937166434461505E-2</v>
      </c>
      <c r="K969">
        <v>0.125999580742962</v>
      </c>
      <c r="L969">
        <v>1220.2225789612801</v>
      </c>
      <c r="M969">
        <v>22.646477054236001</v>
      </c>
      <c r="N969">
        <v>54.274330742410498</v>
      </c>
      <c r="O969">
        <v>53.466476654729497</v>
      </c>
      <c r="P969">
        <v>-9.7885481720711001E-2</v>
      </c>
      <c r="Q969">
        <v>7.5619855095998501E-2</v>
      </c>
      <c r="R969">
        <v>0.98931273221557403</v>
      </c>
      <c r="S969" t="s">
        <v>7371</v>
      </c>
      <c r="T969" t="s">
        <v>12802</v>
      </c>
      <c r="U969" t="s">
        <v>12802</v>
      </c>
      <c r="V969" t="s">
        <v>12802</v>
      </c>
      <c r="W969" t="s">
        <v>13755</v>
      </c>
      <c r="X969">
        <v>5</v>
      </c>
      <c r="Y969" t="s">
        <v>20075</v>
      </c>
      <c r="Z969" t="s">
        <v>26287</v>
      </c>
      <c r="AA969">
        <v>0.60522066525046914</v>
      </c>
      <c r="AB969" t="str">
        <f>HYPERLINK("Melting_Curves/meltCurve_H0YH69_ETNK1.pdf", "Melting_Curves/meltCurve_H0YH69_ETNK1.pdf")</f>
        <v>Melting_Curves/meltCurve_H0YH69_ETNK1.pdf</v>
      </c>
    </row>
    <row r="970" spans="1:28" x14ac:dyDescent="0.25">
      <c r="A970" t="s">
        <v>974</v>
      </c>
      <c r="B970">
        <v>0.99542014353169495</v>
      </c>
      <c r="C970">
        <v>1.07939647719999</v>
      </c>
      <c r="D970">
        <v>1.0785701156765799</v>
      </c>
      <c r="E970">
        <v>1.21598737041602</v>
      </c>
      <c r="F970">
        <v>0.78513236525960695</v>
      </c>
      <c r="G970">
        <v>0.155549096496053</v>
      </c>
      <c r="H970">
        <v>0</v>
      </c>
      <c r="I970">
        <v>0</v>
      </c>
      <c r="J970">
        <v>0</v>
      </c>
      <c r="K970">
        <v>0</v>
      </c>
      <c r="L970">
        <v>2410.4000137834801</v>
      </c>
      <c r="M970">
        <v>46.6061978942843</v>
      </c>
      <c r="N970">
        <v>51.718443705884702</v>
      </c>
      <c r="O970">
        <v>51.623493664614998</v>
      </c>
      <c r="P970">
        <v>-0.22570270699766501</v>
      </c>
      <c r="Q970">
        <v>0</v>
      </c>
      <c r="R970">
        <v>0.97617041288740003</v>
      </c>
      <c r="S970" t="s">
        <v>7372</v>
      </c>
      <c r="T970" t="s">
        <v>12802</v>
      </c>
      <c r="U970" t="s">
        <v>12802</v>
      </c>
      <c r="V970" t="s">
        <v>12802</v>
      </c>
      <c r="W970" t="s">
        <v>13574</v>
      </c>
      <c r="X970">
        <v>10</v>
      </c>
      <c r="Y970" t="s">
        <v>19886</v>
      </c>
      <c r="Z970" t="s">
        <v>26288</v>
      </c>
      <c r="AA970">
        <v>0.49324109774996222</v>
      </c>
      <c r="AB970" t="str">
        <f>HYPERLINK("Melting_Curves/meltCurve_H0YHC3_NAP1L1.pdf", "Melting_Curves/meltCurve_H0YHC3_NAP1L1.pdf")</f>
        <v>Melting_Curves/meltCurve_H0YHC3_NAP1L1.pdf</v>
      </c>
    </row>
    <row r="971" spans="1:28" x14ac:dyDescent="0.25">
      <c r="A971" t="s">
        <v>975</v>
      </c>
      <c r="B971">
        <v>0.99542014353169495</v>
      </c>
      <c r="C971">
        <v>1.0765943936080999</v>
      </c>
      <c r="D971">
        <v>1.0181432167178801</v>
      </c>
      <c r="E971">
        <v>1.0390833114935201</v>
      </c>
      <c r="F971">
        <v>0.86600643660851095</v>
      </c>
      <c r="G971">
        <v>0.74402925395508901</v>
      </c>
      <c r="H971">
        <v>0.60982631544751398</v>
      </c>
      <c r="I971">
        <v>0.58868044295934596</v>
      </c>
      <c r="J971">
        <v>0.87981571986664397</v>
      </c>
      <c r="K971">
        <v>1.09589092398538</v>
      </c>
      <c r="L971">
        <v>12525.566787108501</v>
      </c>
      <c r="M971">
        <v>250</v>
      </c>
      <c r="O971">
        <v>50.099063301252997</v>
      </c>
      <c r="P971">
        <v>-0.26990459706353498</v>
      </c>
      <c r="Q971">
        <v>0.783648530564515</v>
      </c>
      <c r="R971">
        <v>0.42090495180378501</v>
      </c>
      <c r="S971" t="s">
        <v>7373</v>
      </c>
      <c r="T971" t="s">
        <v>12802</v>
      </c>
      <c r="U971" t="s">
        <v>12802</v>
      </c>
      <c r="V971" t="s">
        <v>12802</v>
      </c>
      <c r="W971" t="s">
        <v>13699</v>
      </c>
      <c r="X971">
        <v>15</v>
      </c>
      <c r="Z971" t="s">
        <v>26289</v>
      </c>
      <c r="AA971">
        <v>0.87815737908443281</v>
      </c>
      <c r="AB971" t="str">
        <f>HYPERLINK("Melting_Curves/meltCurve_H0YHG0_.pdf", "Melting_Curves/meltCurve_H0YHG0_.pdf")</f>
        <v>Melting_Curves/meltCurve_H0YHG0_.pdf</v>
      </c>
    </row>
    <row r="972" spans="1:28" x14ac:dyDescent="0.25">
      <c r="A972" t="s">
        <v>976</v>
      </c>
      <c r="B972">
        <v>0.99542014353169495</v>
      </c>
      <c r="C972">
        <v>1.0786452248468701</v>
      </c>
      <c r="D972">
        <v>1.1049139791925899</v>
      </c>
      <c r="E972">
        <v>0.96834837434038001</v>
      </c>
      <c r="F972">
        <v>0.54102117165885799</v>
      </c>
      <c r="G972">
        <v>0.63586621961933398</v>
      </c>
      <c r="H972">
        <v>0</v>
      </c>
      <c r="I972">
        <v>0.18735794918669901</v>
      </c>
      <c r="J972">
        <v>0.245399339074585</v>
      </c>
      <c r="K972">
        <v>0</v>
      </c>
      <c r="L972">
        <v>971.098980314134</v>
      </c>
      <c r="M972">
        <v>18.6052442936838</v>
      </c>
      <c r="N972">
        <v>52.675687588463703</v>
      </c>
      <c r="O972">
        <v>51.603137944703398</v>
      </c>
      <c r="P972">
        <v>-8.31011746931902E-2</v>
      </c>
      <c r="Q972">
        <v>7.80889365854784E-2</v>
      </c>
      <c r="R972">
        <v>0.89965725367187499</v>
      </c>
      <c r="S972" t="s">
        <v>7374</v>
      </c>
      <c r="T972" t="s">
        <v>12802</v>
      </c>
      <c r="U972" t="s">
        <v>12802</v>
      </c>
      <c r="V972" t="s">
        <v>12802</v>
      </c>
      <c r="W972" t="s">
        <v>13756</v>
      </c>
      <c r="X972">
        <v>1</v>
      </c>
      <c r="Y972" t="s">
        <v>20076</v>
      </c>
      <c r="Z972" t="s">
        <v>26290</v>
      </c>
      <c r="AA972">
        <v>0.55824813613465119</v>
      </c>
      <c r="AB972" t="str">
        <f>HYPERLINK("Melting_Curves/meltCurve_H0YIE9_FBXO21.pdf", "Melting_Curves/meltCurve_H0YIE9_FBXO21.pdf")</f>
        <v>Melting_Curves/meltCurve_H0YIE9_FBXO21.pdf</v>
      </c>
    </row>
    <row r="973" spans="1:28" x14ac:dyDescent="0.25">
      <c r="A973" t="s">
        <v>977</v>
      </c>
      <c r="B973">
        <v>0.99542014353169495</v>
      </c>
      <c r="C973">
        <v>0.79455279866784501</v>
      </c>
      <c r="D973">
        <v>0.61107659516431601</v>
      </c>
      <c r="E973">
        <v>0.33016999773299399</v>
      </c>
      <c r="F973">
        <v>0.16596781523897999</v>
      </c>
      <c r="G973">
        <v>0.113466353503411</v>
      </c>
      <c r="H973">
        <v>5.5705558514850297E-2</v>
      </c>
      <c r="I973">
        <v>3.90931110389513E-2</v>
      </c>
      <c r="J973">
        <v>4.1607278573894901E-2</v>
      </c>
      <c r="K973">
        <v>3.7463886245694501E-2</v>
      </c>
      <c r="L973">
        <v>647.63273841014302</v>
      </c>
      <c r="M973">
        <v>14.698237250062</v>
      </c>
      <c r="N973">
        <v>44.257231396912999</v>
      </c>
      <c r="O973">
        <v>43.270436356356498</v>
      </c>
      <c r="P973">
        <v>-8.2263205346906704E-2</v>
      </c>
      <c r="Q973">
        <v>3.1400930570312097E-2</v>
      </c>
      <c r="R973">
        <v>0.99627896174749997</v>
      </c>
      <c r="S973" t="s">
        <v>7375</v>
      </c>
      <c r="T973" t="s">
        <v>12802</v>
      </c>
      <c r="U973" t="s">
        <v>12802</v>
      </c>
      <c r="V973" t="s">
        <v>12802</v>
      </c>
      <c r="W973" t="s">
        <v>13757</v>
      </c>
      <c r="X973">
        <v>3</v>
      </c>
      <c r="Y973" t="s">
        <v>20077</v>
      </c>
      <c r="Z973" t="s">
        <v>26291</v>
      </c>
      <c r="AA973">
        <v>0.28441735995731149</v>
      </c>
      <c r="AB973" t="str">
        <f>HYPERLINK("Melting_Curves/meltCurve_H0YIQ8_KANSL2.pdf", "Melting_Curves/meltCurve_H0YIQ8_KANSL2.pdf")</f>
        <v>Melting_Curves/meltCurve_H0YIQ8_KANSL2.pdf</v>
      </c>
    </row>
    <row r="974" spans="1:28" x14ac:dyDescent="0.25">
      <c r="A974" t="s">
        <v>978</v>
      </c>
      <c r="B974">
        <v>0.99542014353169495</v>
      </c>
      <c r="C974">
        <v>0.99267358784984705</v>
      </c>
      <c r="D974">
        <v>0.92321523965188201</v>
      </c>
      <c r="E974">
        <v>0.81354932485751097</v>
      </c>
      <c r="F974">
        <v>0.48047057395612502</v>
      </c>
      <c r="G974">
        <v>0.28979929251742798</v>
      </c>
      <c r="H974">
        <v>0.209359460822827</v>
      </c>
      <c r="I974">
        <v>0.170931930092205</v>
      </c>
      <c r="J974">
        <v>0.19233930189887499</v>
      </c>
      <c r="K974">
        <v>0.24075313180799199</v>
      </c>
      <c r="L974">
        <v>1089.48043877134</v>
      </c>
      <c r="M974">
        <v>22.279601358028899</v>
      </c>
      <c r="N974">
        <v>49.9957088809184</v>
      </c>
      <c r="O974">
        <v>48.511504444080302</v>
      </c>
      <c r="P974">
        <v>-9.2645454308412506E-2</v>
      </c>
      <c r="Q974">
        <v>0.19311380584259899</v>
      </c>
      <c r="R974">
        <v>0.99551204134876203</v>
      </c>
      <c r="S974" t="s">
        <v>7376</v>
      </c>
      <c r="T974" t="s">
        <v>12802</v>
      </c>
      <c r="U974" t="s">
        <v>12802</v>
      </c>
      <c r="V974" t="s">
        <v>12802</v>
      </c>
      <c r="W974" t="s">
        <v>13699</v>
      </c>
      <c r="X974">
        <v>8</v>
      </c>
      <c r="Z974" t="s">
        <v>26292</v>
      </c>
      <c r="AA974">
        <v>0.52187898973071112</v>
      </c>
      <c r="AB974" t="str">
        <f>HYPERLINK("Melting_Curves/meltCurve_H0YIV9_.pdf", "Melting_Curves/meltCurve_H0YIV9_.pdf")</f>
        <v>Melting_Curves/meltCurve_H0YIV9_.pdf</v>
      </c>
    </row>
    <row r="975" spans="1:28" x14ac:dyDescent="0.25">
      <c r="A975" t="s">
        <v>979</v>
      </c>
      <c r="B975">
        <v>0.99542014353169495</v>
      </c>
      <c r="C975">
        <v>1.07453491235953</v>
      </c>
      <c r="D975">
        <v>1.0167341627411299</v>
      </c>
      <c r="E975">
        <v>0.80428422506027597</v>
      </c>
      <c r="F975">
        <v>0.61178263528513999</v>
      </c>
      <c r="G975">
        <v>0.37828569839975401</v>
      </c>
      <c r="H975">
        <v>0.235847070093401</v>
      </c>
      <c r="I975">
        <v>0.17157226107863899</v>
      </c>
      <c r="J975">
        <v>0.16387426774727901</v>
      </c>
      <c r="K975">
        <v>0.146981518120406</v>
      </c>
      <c r="L975">
        <v>883.073961718281</v>
      </c>
      <c r="M975">
        <v>17.420330705149599</v>
      </c>
      <c r="N975">
        <v>51.640622011649299</v>
      </c>
      <c r="O975">
        <v>50.038288664282298</v>
      </c>
      <c r="P975">
        <v>-7.5123291457651106E-2</v>
      </c>
      <c r="Q975">
        <v>0.136909561074887</v>
      </c>
      <c r="R975">
        <v>0.99132473135774801</v>
      </c>
      <c r="S975" t="s">
        <v>7377</v>
      </c>
      <c r="T975" t="s">
        <v>12802</v>
      </c>
      <c r="U975" t="s">
        <v>12802</v>
      </c>
      <c r="V975" t="s">
        <v>12802</v>
      </c>
      <c r="W975" t="s">
        <v>13758</v>
      </c>
      <c r="X975">
        <v>1</v>
      </c>
      <c r="Y975" t="s">
        <v>20078</v>
      </c>
      <c r="Z975" t="s">
        <v>26293</v>
      </c>
      <c r="AA975">
        <v>0.54499651106190516</v>
      </c>
      <c r="AB975" t="str">
        <f>HYPERLINK("Melting_Curves/meltCurve_H0YJG9_DHRS2.pdf", "Melting_Curves/meltCurve_H0YJG9_DHRS2.pdf")</f>
        <v>Melting_Curves/meltCurve_H0YJG9_DHRS2.pdf</v>
      </c>
    </row>
    <row r="976" spans="1:28" x14ac:dyDescent="0.25">
      <c r="A976" t="s">
        <v>980</v>
      </c>
      <c r="B976">
        <v>0.99542014353169495</v>
      </c>
      <c r="C976">
        <v>0.95557860313546195</v>
      </c>
      <c r="D976">
        <v>0.84327282047863295</v>
      </c>
      <c r="E976">
        <v>0.83418803861799795</v>
      </c>
      <c r="F976">
        <v>0.70219458245319</v>
      </c>
      <c r="G976">
        <v>0.57687682654652594</v>
      </c>
      <c r="H976">
        <v>0.37856710012204497</v>
      </c>
      <c r="I976">
        <v>0.39605161335822597</v>
      </c>
      <c r="J976">
        <v>0.63515159575645397</v>
      </c>
      <c r="K976">
        <v>0.75546184441131103</v>
      </c>
      <c r="L976">
        <v>780.81181095154705</v>
      </c>
      <c r="M976">
        <v>16.666357362962</v>
      </c>
      <c r="O976">
        <v>46.190676607330602</v>
      </c>
      <c r="P976">
        <v>-4.1266520366962003E-2</v>
      </c>
      <c r="Q976">
        <v>0.542551232741736</v>
      </c>
      <c r="R976">
        <v>0.70435910635992804</v>
      </c>
      <c r="S976" t="s">
        <v>7378</v>
      </c>
      <c r="T976" t="s">
        <v>12802</v>
      </c>
      <c r="U976" t="s">
        <v>12802</v>
      </c>
      <c r="V976" t="s">
        <v>12802</v>
      </c>
      <c r="W976" t="s">
        <v>13759</v>
      </c>
      <c r="X976">
        <v>20</v>
      </c>
      <c r="Y976" t="s">
        <v>20079</v>
      </c>
      <c r="Z976" t="s">
        <v>26294</v>
      </c>
      <c r="AA976">
        <v>0.70124854488160071</v>
      </c>
      <c r="AB976" t="str">
        <f>HYPERLINK("Melting_Curves/meltCurve_H0YK48_TPM1.pdf", "Melting_Curves/meltCurve_H0YK48_TPM1.pdf")</f>
        <v>Melting_Curves/meltCurve_H0YK48_TPM1.pdf</v>
      </c>
    </row>
    <row r="977" spans="1:28" x14ac:dyDescent="0.25">
      <c r="A977" t="s">
        <v>981</v>
      </c>
      <c r="B977">
        <v>0.99542014353169495</v>
      </c>
      <c r="C977">
        <v>0.84153142664723002</v>
      </c>
      <c r="D977">
        <v>0.96917693396913396</v>
      </c>
      <c r="E977">
        <v>0.63597699869995505</v>
      </c>
      <c r="F977">
        <v>0.64335906901629603</v>
      </c>
      <c r="G977">
        <v>0.25028607542829301</v>
      </c>
      <c r="H977">
        <v>0.15534141363613899</v>
      </c>
      <c r="I977">
        <v>7.9810296895256594E-2</v>
      </c>
      <c r="J977">
        <v>6.7890999262216298E-2</v>
      </c>
      <c r="K977">
        <v>6.0333088796911197E-2</v>
      </c>
      <c r="L977">
        <v>630.22674543466599</v>
      </c>
      <c r="M977">
        <v>12.5136265260504</v>
      </c>
      <c r="N977">
        <v>50.363241635086297</v>
      </c>
      <c r="O977">
        <v>49.1289632897535</v>
      </c>
      <c r="P977">
        <v>-6.3690487759348602E-2</v>
      </c>
      <c r="Q977">
        <v>0</v>
      </c>
      <c r="R977">
        <v>0.96109141848871005</v>
      </c>
      <c r="S977" t="s">
        <v>7379</v>
      </c>
      <c r="T977" t="s">
        <v>12802</v>
      </c>
      <c r="U977" t="s">
        <v>12802</v>
      </c>
      <c r="V977" t="s">
        <v>12802</v>
      </c>
      <c r="W977" t="s">
        <v>13760</v>
      </c>
      <c r="X977">
        <v>4</v>
      </c>
      <c r="Y977" t="s">
        <v>20080</v>
      </c>
      <c r="Z977" t="s">
        <v>26295</v>
      </c>
      <c r="AA977">
        <v>0.47148383487710321</v>
      </c>
      <c r="AB977" t="str">
        <f>HYPERLINK("Melting_Curves/meltCurve_H0YK61_EMC4.pdf", "Melting_Curves/meltCurve_H0YK61_EMC4.pdf")</f>
        <v>Melting_Curves/meltCurve_H0YK61_EMC4.pdf</v>
      </c>
    </row>
    <row r="978" spans="1:28" x14ac:dyDescent="0.25">
      <c r="A978" t="s">
        <v>982</v>
      </c>
      <c r="B978">
        <v>0.99542014353169495</v>
      </c>
      <c r="C978">
        <v>0.97944093621303996</v>
      </c>
      <c r="D978">
        <v>0.85391633078603901</v>
      </c>
      <c r="E978">
        <v>0.73646675881461199</v>
      </c>
      <c r="F978">
        <v>0.64913412984248298</v>
      </c>
      <c r="G978">
        <v>0.45094914225848498</v>
      </c>
      <c r="H978">
        <v>0.30374329833059599</v>
      </c>
      <c r="I978">
        <v>0.232063716277744</v>
      </c>
      <c r="J978">
        <v>0.27919456595265002</v>
      </c>
      <c r="K978">
        <v>0.26998618874396701</v>
      </c>
      <c r="L978">
        <v>574.40701099264402</v>
      </c>
      <c r="M978">
        <v>11.473682967625001</v>
      </c>
      <c r="N978">
        <v>52.292228210118601</v>
      </c>
      <c r="O978">
        <v>48.614656626212401</v>
      </c>
      <c r="P978">
        <v>-4.7604589660218501E-2</v>
      </c>
      <c r="Q978">
        <v>0.193417712773963</v>
      </c>
      <c r="R978">
        <v>0.985207570745531</v>
      </c>
      <c r="S978" t="s">
        <v>7380</v>
      </c>
      <c r="T978" t="s">
        <v>12802</v>
      </c>
      <c r="U978" t="s">
        <v>12802</v>
      </c>
      <c r="V978" t="s">
        <v>12802</v>
      </c>
      <c r="W978" t="s">
        <v>13761</v>
      </c>
      <c r="X978">
        <v>2</v>
      </c>
      <c r="Y978" t="s">
        <v>20081</v>
      </c>
      <c r="Z978" t="s">
        <v>26296</v>
      </c>
      <c r="AA978">
        <v>0.56828470982681745</v>
      </c>
      <c r="AB978" t="str">
        <f>HYPERLINK("Melting_Curves/meltCurve_H0YKG9_EID1.pdf", "Melting_Curves/meltCurve_H0YKG9_EID1.pdf")</f>
        <v>Melting_Curves/meltCurve_H0YKG9_EID1.pdf</v>
      </c>
    </row>
    <row r="979" spans="1:28" x14ac:dyDescent="0.25">
      <c r="A979" t="s">
        <v>983</v>
      </c>
      <c r="B979">
        <v>0.99542014353169495</v>
      </c>
      <c r="C979">
        <v>1.06203743523571</v>
      </c>
      <c r="D979">
        <v>1.0666630485022699</v>
      </c>
      <c r="E979">
        <v>0.988392470054964</v>
      </c>
      <c r="F979">
        <v>0.85253454660130101</v>
      </c>
      <c r="G979">
        <v>0.55185318502529002</v>
      </c>
      <c r="H979">
        <v>0.40173840147807699</v>
      </c>
      <c r="I979">
        <v>0.31009972291230398</v>
      </c>
      <c r="J979">
        <v>0.477767457518672</v>
      </c>
      <c r="K979">
        <v>0.58194986399236903</v>
      </c>
      <c r="L979">
        <v>2036.4263373188001</v>
      </c>
      <c r="M979">
        <v>39.487278324315596</v>
      </c>
      <c r="N979">
        <v>54.587887050585799</v>
      </c>
      <c r="O979">
        <v>51.439970455425403</v>
      </c>
      <c r="P979">
        <v>-0.10678209715413201</v>
      </c>
      <c r="Q979">
        <v>0.44358221891028499</v>
      </c>
      <c r="R979">
        <v>0.93590554004577098</v>
      </c>
      <c r="S979" t="s">
        <v>7381</v>
      </c>
      <c r="T979" t="s">
        <v>12802</v>
      </c>
      <c r="U979" t="s">
        <v>12802</v>
      </c>
      <c r="V979" t="s">
        <v>12802</v>
      </c>
      <c r="W979" t="s">
        <v>13762</v>
      </c>
      <c r="X979">
        <v>2</v>
      </c>
      <c r="Y979" t="s">
        <v>20082</v>
      </c>
      <c r="Z979" t="s">
        <v>26297</v>
      </c>
      <c r="AA979">
        <v>0.71587892504625328</v>
      </c>
      <c r="AB979" t="str">
        <f>HYPERLINK("Melting_Curves/meltCurve_H0YKJ9_TSPAN3.pdf", "Melting_Curves/meltCurve_H0YKJ9_TSPAN3.pdf")</f>
        <v>Melting_Curves/meltCurve_H0YKJ9_TSPAN3.pdf</v>
      </c>
    </row>
    <row r="980" spans="1:28" x14ac:dyDescent="0.25">
      <c r="A980" t="s">
        <v>984</v>
      </c>
      <c r="B980">
        <v>0.99542014353169495</v>
      </c>
      <c r="C980">
        <v>0.88084498435672498</v>
      </c>
      <c r="D980">
        <v>0.85561235717962603</v>
      </c>
      <c r="E980">
        <v>0.76179746069500398</v>
      </c>
      <c r="F980">
        <v>0.70240751429009896</v>
      </c>
      <c r="G980">
        <v>0.29757443967944303</v>
      </c>
      <c r="H980">
        <v>0.106082424823048</v>
      </c>
      <c r="I980">
        <v>7.4302561129045999E-2</v>
      </c>
      <c r="J980">
        <v>5.2448535772121302E-2</v>
      </c>
      <c r="K980">
        <v>5.5020798957197602E-2</v>
      </c>
      <c r="L980">
        <v>742.39579084314596</v>
      </c>
      <c r="M980">
        <v>14.493557817726</v>
      </c>
      <c r="N980">
        <v>51.222467503210602</v>
      </c>
      <c r="O980">
        <v>50.2769602812809</v>
      </c>
      <c r="P980">
        <v>-7.2076914930091801E-2</v>
      </c>
      <c r="Q980">
        <v>0</v>
      </c>
      <c r="R980">
        <v>0.96898568168838795</v>
      </c>
      <c r="S980" t="s">
        <v>7382</v>
      </c>
      <c r="T980" t="s">
        <v>12802</v>
      </c>
      <c r="U980" t="s">
        <v>12802</v>
      </c>
      <c r="V980" t="s">
        <v>12802</v>
      </c>
      <c r="W980" t="s">
        <v>13763</v>
      </c>
      <c r="X980">
        <v>32</v>
      </c>
      <c r="Y980" t="s">
        <v>20083</v>
      </c>
      <c r="Z980" t="s">
        <v>26298</v>
      </c>
      <c r="AA980">
        <v>0.494889762136899</v>
      </c>
      <c r="AB980" t="str">
        <f>HYPERLINK("Melting_Curves/meltCurve_H0YL33_ANXA2.pdf", "Melting_Curves/meltCurve_H0YL33_ANXA2.pdf")</f>
        <v>Melting_Curves/meltCurve_H0YL33_ANXA2.pdf</v>
      </c>
    </row>
    <row r="981" spans="1:28" x14ac:dyDescent="0.25">
      <c r="A981" t="s">
        <v>985</v>
      </c>
      <c r="B981">
        <v>0.99542014353169495</v>
      </c>
      <c r="C981">
        <v>0.94390502072028004</v>
      </c>
      <c r="D981">
        <v>1.0242668263313599</v>
      </c>
      <c r="E981">
        <v>0.88176251695907604</v>
      </c>
      <c r="F981">
        <v>0.65597121411765602</v>
      </c>
      <c r="G981">
        <v>0.405224387700231</v>
      </c>
      <c r="H981">
        <v>0.20182299180544799</v>
      </c>
      <c r="I981">
        <v>8.7532725088957597E-2</v>
      </c>
      <c r="J981">
        <v>8.1220898941055497E-2</v>
      </c>
      <c r="K981">
        <v>8.3967760557495802E-2</v>
      </c>
      <c r="L981">
        <v>913.58754553506105</v>
      </c>
      <c r="M981">
        <v>17.571714756186001</v>
      </c>
      <c r="N981">
        <v>52.293409841595299</v>
      </c>
      <c r="O981">
        <v>51.332585714772598</v>
      </c>
      <c r="P981">
        <v>-8.1459991983389698E-2</v>
      </c>
      <c r="Q981">
        <v>4.8169152168611999E-2</v>
      </c>
      <c r="R981">
        <v>0.99562950409057505</v>
      </c>
      <c r="S981" t="s">
        <v>7383</v>
      </c>
      <c r="T981" t="s">
        <v>12802</v>
      </c>
      <c r="U981" t="s">
        <v>12802</v>
      </c>
      <c r="V981" t="s">
        <v>12802</v>
      </c>
      <c r="W981" t="s">
        <v>13764</v>
      </c>
      <c r="X981">
        <v>16</v>
      </c>
      <c r="Y981" t="s">
        <v>20084</v>
      </c>
      <c r="Z981" t="s">
        <v>26299</v>
      </c>
      <c r="AA981">
        <v>0.53872193915755162</v>
      </c>
      <c r="AB981" t="str">
        <f>HYPERLINK("Melting_Curves/meltCurve_H0YL70_TLE3.pdf", "Melting_Curves/meltCurve_H0YL70_TLE3.pdf")</f>
        <v>Melting_Curves/meltCurve_H0YL70_TLE3.pdf</v>
      </c>
    </row>
    <row r="982" spans="1:28" x14ac:dyDescent="0.25">
      <c r="A982" t="s">
        <v>986</v>
      </c>
      <c r="B982">
        <v>0.99542014353169495</v>
      </c>
      <c r="C982">
        <v>0.94315772474070403</v>
      </c>
      <c r="D982">
        <v>0.78881130905387498</v>
      </c>
      <c r="E982">
        <v>0.48701993209377598</v>
      </c>
      <c r="F982">
        <v>0.16409220411025999</v>
      </c>
      <c r="G982">
        <v>8.8623442982970105E-2</v>
      </c>
      <c r="H982">
        <v>4.4472555113788101E-2</v>
      </c>
      <c r="I982">
        <v>3.7698022501352998E-2</v>
      </c>
      <c r="J982">
        <v>4.0049483922865399E-2</v>
      </c>
      <c r="K982">
        <v>4.87407830774459E-2</v>
      </c>
      <c r="L982">
        <v>896.17363357099396</v>
      </c>
      <c r="M982">
        <v>19.467060484611999</v>
      </c>
      <c r="N982">
        <v>46.1909431206047</v>
      </c>
      <c r="O982">
        <v>45.557867566509202</v>
      </c>
      <c r="P982">
        <v>-0.103440369486265</v>
      </c>
      <c r="Q982">
        <v>3.1728262459135299E-2</v>
      </c>
      <c r="R982">
        <v>0.99845397036916905</v>
      </c>
      <c r="S982" t="s">
        <v>7384</v>
      </c>
      <c r="T982" t="s">
        <v>12802</v>
      </c>
      <c r="U982" t="s">
        <v>12802</v>
      </c>
      <c r="V982" t="s">
        <v>12802</v>
      </c>
      <c r="W982" t="s">
        <v>13765</v>
      </c>
      <c r="X982">
        <v>3</v>
      </c>
      <c r="Y982" t="s">
        <v>20085</v>
      </c>
      <c r="Z982" t="s">
        <v>26300</v>
      </c>
      <c r="AA982">
        <v>0.33672074271615332</v>
      </c>
      <c r="AB982" t="str">
        <f>HYPERLINK("Melting_Curves/meltCurve_H0YLB5_POU2F1.pdf", "Melting_Curves/meltCurve_H0YLB5_POU2F1.pdf")</f>
        <v>Melting_Curves/meltCurve_H0YLB5_POU2F1.pdf</v>
      </c>
    </row>
    <row r="983" spans="1:28" x14ac:dyDescent="0.25">
      <c r="A983" t="s">
        <v>987</v>
      </c>
      <c r="B983">
        <v>0.99542014353169495</v>
      </c>
      <c r="C983">
        <v>0.87978170426981706</v>
      </c>
      <c r="D983">
        <v>0.805744724194142</v>
      </c>
      <c r="E983">
        <v>0.650362650082279</v>
      </c>
      <c r="F983">
        <v>0.55570097251495498</v>
      </c>
      <c r="G983">
        <v>0.22096002408637999</v>
      </c>
      <c r="H983">
        <v>0.12539979915507199</v>
      </c>
      <c r="I983">
        <v>7.8962499830019101E-2</v>
      </c>
      <c r="J983">
        <v>9.5114657807784095E-2</v>
      </c>
      <c r="K983">
        <v>0.125942693835839</v>
      </c>
      <c r="L983">
        <v>556.89280944692302</v>
      </c>
      <c r="M983">
        <v>11.3502637104671</v>
      </c>
      <c r="N983">
        <v>49.235897180218103</v>
      </c>
      <c r="O983">
        <v>47.615321295934798</v>
      </c>
      <c r="P983">
        <v>-5.8455366107338397E-2</v>
      </c>
      <c r="Q983">
        <v>1.93922516356996E-2</v>
      </c>
      <c r="R983">
        <v>0.97663445418871697</v>
      </c>
      <c r="S983" t="s">
        <v>7385</v>
      </c>
      <c r="T983" t="s">
        <v>12802</v>
      </c>
      <c r="U983" t="s">
        <v>12802</v>
      </c>
      <c r="V983" t="s">
        <v>12802</v>
      </c>
      <c r="W983" t="s">
        <v>13766</v>
      </c>
      <c r="X983">
        <v>6</v>
      </c>
      <c r="Y983" t="s">
        <v>20086</v>
      </c>
      <c r="Z983" t="s">
        <v>26301</v>
      </c>
      <c r="AA983">
        <v>0.44492626175344069</v>
      </c>
      <c r="AB983" t="str">
        <f>HYPERLINK("Melting_Curves/meltCurve_H0YLB9_MAN2A2.pdf", "Melting_Curves/meltCurve_H0YLB9_MAN2A2.pdf")</f>
        <v>Melting_Curves/meltCurve_H0YLB9_MAN2A2.pdf</v>
      </c>
    </row>
    <row r="984" spans="1:28" x14ac:dyDescent="0.25">
      <c r="A984" t="s">
        <v>988</v>
      </c>
      <c r="B984">
        <v>0.99542014353169495</v>
      </c>
      <c r="C984">
        <v>1.3548647534720999</v>
      </c>
      <c r="D984">
        <v>0.93904661354757102</v>
      </c>
      <c r="E984">
        <v>0.78693077584682802</v>
      </c>
      <c r="F984">
        <v>0.43997011607575198</v>
      </c>
      <c r="G984">
        <v>0.20886936171662601</v>
      </c>
      <c r="H984">
        <v>7.9195969229786597E-2</v>
      </c>
      <c r="I984">
        <v>8.2151309573809894E-2</v>
      </c>
      <c r="J984">
        <v>8.27519270102864E-2</v>
      </c>
      <c r="K984">
        <v>0.13006298409077699</v>
      </c>
      <c r="L984">
        <v>1172.2086339232001</v>
      </c>
      <c r="M984">
        <v>23.8534918407445</v>
      </c>
      <c r="N984">
        <v>49.543081744112797</v>
      </c>
      <c r="O984">
        <v>48.800539119195399</v>
      </c>
      <c r="P984">
        <v>-0.111471858904171</v>
      </c>
      <c r="Q984">
        <v>8.7798344803307601E-2</v>
      </c>
      <c r="R984">
        <v>0.93325367017780403</v>
      </c>
      <c r="S984" t="s">
        <v>7386</v>
      </c>
      <c r="T984" t="s">
        <v>12802</v>
      </c>
      <c r="U984" t="s">
        <v>12802</v>
      </c>
      <c r="V984" t="s">
        <v>12802</v>
      </c>
      <c r="W984" t="s">
        <v>13767</v>
      </c>
      <c r="X984">
        <v>1</v>
      </c>
      <c r="Y984" t="s">
        <v>20087</v>
      </c>
      <c r="Z984" t="s">
        <v>26302</v>
      </c>
      <c r="AA984">
        <v>0.46564293198873069</v>
      </c>
      <c r="AB984" t="str">
        <f>HYPERLINK("Melting_Curves/meltCurve_H0YLF3_B2M.pdf", "Melting_Curves/meltCurve_H0YLF3_B2M.pdf")</f>
        <v>Melting_Curves/meltCurve_H0YLF3_B2M.pdf</v>
      </c>
    </row>
    <row r="985" spans="1:28" x14ac:dyDescent="0.25">
      <c r="A985" t="s">
        <v>989</v>
      </c>
      <c r="B985">
        <v>0.99542014353169495</v>
      </c>
      <c r="C985">
        <v>1.1468143731888001</v>
      </c>
      <c r="D985">
        <v>1.3388655741375799</v>
      </c>
      <c r="E985">
        <v>0.80890897301623899</v>
      </c>
      <c r="F985">
        <v>0.34927704846403002</v>
      </c>
      <c r="G985">
        <v>0.236364347533947</v>
      </c>
      <c r="H985">
        <v>6.1306746502903499E-2</v>
      </c>
      <c r="I985">
        <v>0.11642636702968701</v>
      </c>
      <c r="J985">
        <v>0.19093504273519399</v>
      </c>
      <c r="K985">
        <v>0.39995365219246998</v>
      </c>
      <c r="L985">
        <v>1988.2694414310499</v>
      </c>
      <c r="M985">
        <v>41.266839254426998</v>
      </c>
      <c r="N985">
        <v>48.789519420285998</v>
      </c>
      <c r="O985">
        <v>48.068080040596399</v>
      </c>
      <c r="P985">
        <v>-0.17144135297906399</v>
      </c>
      <c r="Q985">
        <v>0.20121427578291401</v>
      </c>
      <c r="R985">
        <v>0.89329783488818704</v>
      </c>
      <c r="S985" t="s">
        <v>7387</v>
      </c>
      <c r="T985" t="s">
        <v>12802</v>
      </c>
      <c r="U985" t="s">
        <v>12802</v>
      </c>
      <c r="V985" t="s">
        <v>12802</v>
      </c>
      <c r="W985" t="s">
        <v>13768</v>
      </c>
      <c r="X985">
        <v>3</v>
      </c>
      <c r="Y985" t="s">
        <v>20088</v>
      </c>
      <c r="Z985" t="s">
        <v>26303</v>
      </c>
      <c r="AA985">
        <v>0.50141475322245177</v>
      </c>
      <c r="AB985" t="str">
        <f>HYPERLINK("Melting_Curves/meltCurve_H0YLI7_AP3S2.pdf", "Melting_Curves/meltCurve_H0YLI7_AP3S2.pdf")</f>
        <v>Melting_Curves/meltCurve_H0YLI7_AP3S2.pdf</v>
      </c>
    </row>
    <row r="986" spans="1:28" x14ac:dyDescent="0.25">
      <c r="A986" t="s">
        <v>990</v>
      </c>
      <c r="B986">
        <v>0.99542014353169495</v>
      </c>
      <c r="C986">
        <v>0.83228763195571798</v>
      </c>
      <c r="D986">
        <v>0.89031307946860105</v>
      </c>
      <c r="E986">
        <v>0.60900922388346002</v>
      </c>
      <c r="F986">
        <v>0.383294444290803</v>
      </c>
      <c r="G986">
        <v>0.19577526469327</v>
      </c>
      <c r="H986">
        <v>0.115227517580151</v>
      </c>
      <c r="I986">
        <v>8.4188618544772595E-2</v>
      </c>
      <c r="J986">
        <v>8.4813411411010703E-2</v>
      </c>
      <c r="K986">
        <v>0.106138384252152</v>
      </c>
      <c r="L986">
        <v>682.52778777134097</v>
      </c>
      <c r="M986">
        <v>14.2973631087916</v>
      </c>
      <c r="N986">
        <v>48.149660653433003</v>
      </c>
      <c r="O986">
        <v>46.833242790837403</v>
      </c>
      <c r="P986">
        <v>-7.1938777314344504E-2</v>
      </c>
      <c r="Q986">
        <v>5.7528144844610801E-2</v>
      </c>
      <c r="R986">
        <v>0.98525499766059099</v>
      </c>
      <c r="S986" t="s">
        <v>7388</v>
      </c>
      <c r="T986" t="s">
        <v>12802</v>
      </c>
      <c r="U986" t="s">
        <v>12802</v>
      </c>
      <c r="V986" t="s">
        <v>12802</v>
      </c>
      <c r="W986" t="s">
        <v>13769</v>
      </c>
      <c r="X986">
        <v>1</v>
      </c>
      <c r="Y986" t="s">
        <v>20089</v>
      </c>
      <c r="Z986" t="s">
        <v>26304</v>
      </c>
      <c r="AA986">
        <v>0.41751204153667582</v>
      </c>
      <c r="AB986" t="str">
        <f>HYPERLINK("Melting_Curves/meltCurve_H0YLN8_TRPM7.pdf", "Melting_Curves/meltCurve_H0YLN8_TRPM7.pdf")</f>
        <v>Melting_Curves/meltCurve_H0YLN8_TRPM7.pdf</v>
      </c>
    </row>
    <row r="987" spans="1:28" x14ac:dyDescent="0.25">
      <c r="A987" t="s">
        <v>991</v>
      </c>
      <c r="B987">
        <v>0.99542014353169495</v>
      </c>
      <c r="C987">
        <v>1.02127511057133</v>
      </c>
      <c r="D987">
        <v>0.84160510185180404</v>
      </c>
      <c r="E987">
        <v>0.61833990363684899</v>
      </c>
      <c r="F987">
        <v>0.27050300541111799</v>
      </c>
      <c r="G987">
        <v>0.15032640959551899</v>
      </c>
      <c r="H987">
        <v>9.4343714131267797E-2</v>
      </c>
      <c r="I987">
        <v>8.8721898501608498E-2</v>
      </c>
      <c r="J987">
        <v>0.140423694098676</v>
      </c>
      <c r="K987">
        <v>0.172401140675353</v>
      </c>
      <c r="L987">
        <v>1036.8659180013001</v>
      </c>
      <c r="M987">
        <v>22.1167574652045</v>
      </c>
      <c r="N987">
        <v>47.442416786332899</v>
      </c>
      <c r="O987">
        <v>46.503236117405002</v>
      </c>
      <c r="P987">
        <v>-0.10522179807187799</v>
      </c>
      <c r="Q987">
        <v>0.115051627195129</v>
      </c>
      <c r="R987">
        <v>0.99147012979344196</v>
      </c>
      <c r="S987" t="s">
        <v>7389</v>
      </c>
      <c r="T987" t="s">
        <v>12802</v>
      </c>
      <c r="U987" t="s">
        <v>12802</v>
      </c>
      <c r="V987" t="s">
        <v>12802</v>
      </c>
      <c r="W987" t="s">
        <v>13770</v>
      </c>
      <c r="X987">
        <v>1</v>
      </c>
      <c r="Y987" t="s">
        <v>20090</v>
      </c>
      <c r="Z987" t="s">
        <v>26305</v>
      </c>
      <c r="AA987">
        <v>0.41602574282112842</v>
      </c>
      <c r="AB987" t="str">
        <f>HYPERLINK("Melting_Curves/meltCurve_H0YLR1_FAM63B.pdf", "Melting_Curves/meltCurve_H0YLR1_FAM63B.pdf")</f>
        <v>Melting_Curves/meltCurve_H0YLR1_FAM63B.pdf</v>
      </c>
    </row>
    <row r="988" spans="1:28" x14ac:dyDescent="0.25">
      <c r="A988" t="s">
        <v>992</v>
      </c>
      <c r="B988">
        <v>0.99542014353169495</v>
      </c>
      <c r="C988">
        <v>1.0442471816977501</v>
      </c>
      <c r="D988">
        <v>1.128069354697</v>
      </c>
      <c r="E988">
        <v>1.1680983527077</v>
      </c>
      <c r="F988">
        <v>1.0853463424924701</v>
      </c>
      <c r="G988">
        <v>0.59551587508394299</v>
      </c>
      <c r="H988">
        <v>0.36126334775400898</v>
      </c>
      <c r="I988">
        <v>0.30117764969915201</v>
      </c>
      <c r="J988">
        <v>0.35695341493153399</v>
      </c>
      <c r="K988">
        <v>0.40527242501037403</v>
      </c>
      <c r="L988">
        <v>13421.7717371498</v>
      </c>
      <c r="M988">
        <v>250</v>
      </c>
      <c r="N988">
        <v>53.955999754083599</v>
      </c>
      <c r="O988">
        <v>53.683629319082002</v>
      </c>
      <c r="P988">
        <v>-0.74956864282080005</v>
      </c>
      <c r="Q988">
        <v>0.35616669234243198</v>
      </c>
      <c r="R988">
        <v>0.95157968151098404</v>
      </c>
      <c r="S988" t="s">
        <v>7390</v>
      </c>
      <c r="T988" t="s">
        <v>12802</v>
      </c>
      <c r="U988" t="s">
        <v>12802</v>
      </c>
      <c r="V988" t="s">
        <v>12802</v>
      </c>
      <c r="W988" t="s">
        <v>13771</v>
      </c>
      <c r="X988">
        <v>1</v>
      </c>
      <c r="Y988" t="s">
        <v>20091</v>
      </c>
      <c r="Z988" t="s">
        <v>26306</v>
      </c>
      <c r="AA988">
        <v>0.71435076716086177</v>
      </c>
      <c r="AB988" t="str">
        <f>HYPERLINK("Melting_Curves/meltCurve_H0YLX2_RFX7.pdf", "Melting_Curves/meltCurve_H0YLX2_RFX7.pdf")</f>
        <v>Melting_Curves/meltCurve_H0YLX2_RFX7.pdf</v>
      </c>
    </row>
    <row r="989" spans="1:28" x14ac:dyDescent="0.25">
      <c r="A989" t="s">
        <v>993</v>
      </c>
      <c r="B989">
        <v>0.99542014353169495</v>
      </c>
      <c r="C989">
        <v>0.95626653784414495</v>
      </c>
      <c r="D989">
        <v>0.80242364314784698</v>
      </c>
      <c r="E989">
        <v>0.56348101061705702</v>
      </c>
      <c r="F989">
        <v>0.47843116550277998</v>
      </c>
      <c r="G989">
        <v>0.36527759029211498</v>
      </c>
      <c r="H989">
        <v>0.20919331388599399</v>
      </c>
      <c r="I989">
        <v>0.100940099983957</v>
      </c>
      <c r="J989">
        <v>0.10584381795509</v>
      </c>
      <c r="K989">
        <v>0.147784836378304</v>
      </c>
      <c r="L989">
        <v>508.35042993702399</v>
      </c>
      <c r="M989">
        <v>10.460317354498899</v>
      </c>
      <c r="N989">
        <v>49.163915078196702</v>
      </c>
      <c r="O989">
        <v>46.922573996430003</v>
      </c>
      <c r="P989">
        <v>-5.2592176174322797E-2</v>
      </c>
      <c r="Q989">
        <v>5.6720612600380999E-2</v>
      </c>
      <c r="R989">
        <v>0.98442947555455595</v>
      </c>
      <c r="S989" t="s">
        <v>7391</v>
      </c>
      <c r="T989" t="s">
        <v>12802</v>
      </c>
      <c r="U989" t="s">
        <v>12802</v>
      </c>
      <c r="V989" t="s">
        <v>12802</v>
      </c>
      <c r="W989" t="s">
        <v>13772</v>
      </c>
      <c r="X989">
        <v>2</v>
      </c>
      <c r="Y989" t="s">
        <v>20092</v>
      </c>
      <c r="Z989" t="s">
        <v>26307</v>
      </c>
      <c r="AA989">
        <v>0.45566617531947179</v>
      </c>
      <c r="AB989" t="str">
        <f>HYPERLINK("Melting_Curves/meltCurve_H0YLY9_PIGH.pdf", "Melting_Curves/meltCurve_H0YLY9_PIGH.pdf")</f>
        <v>Melting_Curves/meltCurve_H0YLY9_PIGH.pdf</v>
      </c>
    </row>
    <row r="990" spans="1:28" x14ac:dyDescent="0.25">
      <c r="A990" t="s">
        <v>994</v>
      </c>
      <c r="B990">
        <v>0.99542014353169495</v>
      </c>
      <c r="C990">
        <v>0.92786847560894803</v>
      </c>
      <c r="D990">
        <v>0.90844528451513895</v>
      </c>
      <c r="E990">
        <v>0.70632427868098702</v>
      </c>
      <c r="F990">
        <v>0.69875477073463999</v>
      </c>
      <c r="G990">
        <v>0.43781956702123698</v>
      </c>
      <c r="H990">
        <v>0.439284070323397</v>
      </c>
      <c r="I990">
        <v>0.43456733486916799</v>
      </c>
      <c r="J990">
        <v>0.54283298621038001</v>
      </c>
      <c r="K990">
        <v>0.67131675002072699</v>
      </c>
      <c r="L990">
        <v>844.66437914016899</v>
      </c>
      <c r="M990">
        <v>18.333415480676599</v>
      </c>
      <c r="O990">
        <v>45.534736954814598</v>
      </c>
      <c r="P990">
        <v>-4.9343709405274397E-2</v>
      </c>
      <c r="Q990">
        <v>0.50980229147047895</v>
      </c>
      <c r="R990">
        <v>0.84460896293387699</v>
      </c>
      <c r="S990" t="s">
        <v>7392</v>
      </c>
      <c r="T990" t="s">
        <v>12802</v>
      </c>
      <c r="U990" t="s">
        <v>12802</v>
      </c>
      <c r="V990" t="s">
        <v>12802</v>
      </c>
      <c r="W990" t="s">
        <v>13773</v>
      </c>
      <c r="X990">
        <v>11</v>
      </c>
      <c r="Y990" t="s">
        <v>20093</v>
      </c>
      <c r="Z990" t="s">
        <v>26308</v>
      </c>
      <c r="AA990">
        <v>0.66567777913878434</v>
      </c>
      <c r="AB990" t="str">
        <f>HYPERLINK("Melting_Curves/meltCurve_H0YMB3_GMPR2.pdf", "Melting_Curves/meltCurve_H0YMB3_GMPR2.pdf")</f>
        <v>Melting_Curves/meltCurve_H0YMB3_GMPR2.pdf</v>
      </c>
    </row>
    <row r="991" spans="1:28" x14ac:dyDescent="0.25">
      <c r="A991" t="s">
        <v>995</v>
      </c>
      <c r="B991">
        <v>0.99542014353169495</v>
      </c>
      <c r="C991">
        <v>0.967984350397462</v>
      </c>
      <c r="D991">
        <v>0.90095347396933301</v>
      </c>
      <c r="E991">
        <v>0.71018177709004804</v>
      </c>
      <c r="F991">
        <v>0.60172016673335404</v>
      </c>
      <c r="G991">
        <v>0.44259459579104998</v>
      </c>
      <c r="H991">
        <v>0.24767073752369101</v>
      </c>
      <c r="I991">
        <v>0.117477270271824</v>
      </c>
      <c r="J991">
        <v>5.3622459489201697E-2</v>
      </c>
      <c r="K991">
        <v>3.5856462818031301E-2</v>
      </c>
      <c r="L991">
        <v>588.569227721174</v>
      </c>
      <c r="M991">
        <v>11.408638774987001</v>
      </c>
      <c r="N991">
        <v>51.589785474136399</v>
      </c>
      <c r="O991">
        <v>50.081023123428899</v>
      </c>
      <c r="P991">
        <v>-5.6967600752851698E-2</v>
      </c>
      <c r="Q991">
        <v>0</v>
      </c>
      <c r="R991">
        <v>0.99107244333898603</v>
      </c>
      <c r="S991" t="s">
        <v>7393</v>
      </c>
      <c r="T991" t="s">
        <v>12802</v>
      </c>
      <c r="U991" t="s">
        <v>12802</v>
      </c>
      <c r="V991" t="s">
        <v>12802</v>
      </c>
      <c r="W991" t="s">
        <v>13774</v>
      </c>
      <c r="X991">
        <v>10</v>
      </c>
      <c r="Y991" t="s">
        <v>20094</v>
      </c>
      <c r="Z991" t="s">
        <v>26309</v>
      </c>
      <c r="AA991">
        <v>0.51212667504039644</v>
      </c>
      <c r="AB991" t="str">
        <f>HYPERLINK("Melting_Curves/meltCurve_H0YMF4_RPL28.pdf", "Melting_Curves/meltCurve_H0YMF4_RPL28.pdf")</f>
        <v>Melting_Curves/meltCurve_H0YMF4_RPL28.pdf</v>
      </c>
    </row>
    <row r="992" spans="1:28" x14ac:dyDescent="0.25">
      <c r="A992" t="s">
        <v>996</v>
      </c>
      <c r="B992">
        <v>0.99542014353169495</v>
      </c>
      <c r="C992">
        <v>1.0145302972236001</v>
      </c>
      <c r="D992">
        <v>1.0013590492427</v>
      </c>
      <c r="E992">
        <v>0.68291187140776399</v>
      </c>
      <c r="F992">
        <v>0.36795320994647401</v>
      </c>
      <c r="G992">
        <v>0.16589433002071</v>
      </c>
      <c r="H992">
        <v>0.108583097319239</v>
      </c>
      <c r="I992">
        <v>5.9976509150250802E-2</v>
      </c>
      <c r="J992">
        <v>8.1949700651647403E-2</v>
      </c>
      <c r="K992">
        <v>5.7457588219549903E-2</v>
      </c>
      <c r="L992">
        <v>1064.51655245143</v>
      </c>
      <c r="M992">
        <v>22.0165685387929</v>
      </c>
      <c r="N992">
        <v>48.675111979019299</v>
      </c>
      <c r="O992">
        <v>47.957112996616303</v>
      </c>
      <c r="P992">
        <v>-0.106943143732995</v>
      </c>
      <c r="Q992">
        <v>6.8234404039315202E-2</v>
      </c>
      <c r="R992">
        <v>0.99630902120878995</v>
      </c>
      <c r="S992" t="s">
        <v>7394</v>
      </c>
      <c r="T992" t="s">
        <v>12802</v>
      </c>
      <c r="U992" t="s">
        <v>12802</v>
      </c>
      <c r="V992" t="s">
        <v>12802</v>
      </c>
      <c r="W992" t="s">
        <v>13775</v>
      </c>
      <c r="X992">
        <v>8</v>
      </c>
      <c r="Y992" t="s">
        <v>20095</v>
      </c>
      <c r="Z992" t="s">
        <v>26310</v>
      </c>
      <c r="AA992">
        <v>0.43099140038758882</v>
      </c>
      <c r="AB992" t="str">
        <f>HYPERLINK("Melting_Curves/meltCurve_H0YMJ0_MORF4L1.pdf", "Melting_Curves/meltCurve_H0YMJ0_MORF4L1.pdf")</f>
        <v>Melting_Curves/meltCurve_H0YMJ0_MORF4L1.pdf</v>
      </c>
    </row>
    <row r="993" spans="1:28" x14ac:dyDescent="0.25">
      <c r="A993" t="s">
        <v>997</v>
      </c>
      <c r="B993">
        <v>0.99542014353169495</v>
      </c>
      <c r="C993">
        <v>1.22949451921136</v>
      </c>
      <c r="D993">
        <v>1.09960048173415</v>
      </c>
      <c r="E993">
        <v>1.0863595988283401</v>
      </c>
      <c r="F993">
        <v>0.88699847962015399</v>
      </c>
      <c r="G993">
        <v>0.57937170189195697</v>
      </c>
      <c r="H993">
        <v>0.38809484224704599</v>
      </c>
      <c r="I993">
        <v>0.28103181786905801</v>
      </c>
      <c r="J993">
        <v>0.474032677521459</v>
      </c>
      <c r="K993">
        <v>0.641691354465179</v>
      </c>
      <c r="L993">
        <v>2248.7034755620698</v>
      </c>
      <c r="M993">
        <v>43.204667562713702</v>
      </c>
      <c r="N993">
        <v>54.920178759016501</v>
      </c>
      <c r="O993">
        <v>51.936562229730797</v>
      </c>
      <c r="P993">
        <v>-0.11483834135995399</v>
      </c>
      <c r="Q993">
        <v>0.44780970082472299</v>
      </c>
      <c r="R993">
        <v>0.85853802592172102</v>
      </c>
      <c r="S993" t="s">
        <v>7395</v>
      </c>
      <c r="T993" t="s">
        <v>12802</v>
      </c>
      <c r="U993" t="s">
        <v>12802</v>
      </c>
      <c r="V993" t="s">
        <v>12802</v>
      </c>
      <c r="W993" t="s">
        <v>13776</v>
      </c>
      <c r="X993">
        <v>3</v>
      </c>
      <c r="Y993" t="s">
        <v>20096</v>
      </c>
      <c r="Z993" t="s">
        <v>26311</v>
      </c>
      <c r="AA993">
        <v>0.72648140368580294</v>
      </c>
      <c r="AB993" t="str">
        <f>HYPERLINK("Melting_Curves/meltCurve_H0YN78_C15orf57.pdf", "Melting_Curves/meltCurve_H0YN78_C15orf57.pdf")</f>
        <v>Melting_Curves/meltCurve_H0YN78_C15orf57.pdf</v>
      </c>
    </row>
    <row r="994" spans="1:28" x14ac:dyDescent="0.25">
      <c r="A994" t="s">
        <v>998</v>
      </c>
      <c r="B994">
        <v>0.99542014353169495</v>
      </c>
      <c r="C994">
        <v>0.93477238543889096</v>
      </c>
      <c r="D994">
        <v>0.94644393386786496</v>
      </c>
      <c r="E994">
        <v>0.90539366446260905</v>
      </c>
      <c r="F994">
        <v>0.74067321462935198</v>
      </c>
      <c r="G994">
        <v>0.46010629913385398</v>
      </c>
      <c r="H994">
        <v>0.18033491164785301</v>
      </c>
      <c r="I994">
        <v>0.119944219191014</v>
      </c>
      <c r="J994">
        <v>0.133656074914729</v>
      </c>
      <c r="K994">
        <v>0.13484515534307101</v>
      </c>
      <c r="L994">
        <v>1069.69422104407</v>
      </c>
      <c r="M994">
        <v>20.429359402924401</v>
      </c>
      <c r="N994">
        <v>52.9188448862188</v>
      </c>
      <c r="O994">
        <v>51.866676698690199</v>
      </c>
      <c r="P994">
        <v>-8.8928488942173395E-2</v>
      </c>
      <c r="Q994">
        <v>9.69296492560799E-2</v>
      </c>
      <c r="R994">
        <v>0.99147933870233096</v>
      </c>
      <c r="S994" t="s">
        <v>7396</v>
      </c>
      <c r="T994" t="s">
        <v>12802</v>
      </c>
      <c r="U994" t="s">
        <v>12802</v>
      </c>
      <c r="V994" t="s">
        <v>12802</v>
      </c>
      <c r="W994" t="s">
        <v>13777</v>
      </c>
      <c r="X994">
        <v>15</v>
      </c>
      <c r="Y994" t="s">
        <v>20097</v>
      </c>
      <c r="Z994" t="s">
        <v>26312</v>
      </c>
      <c r="AA994">
        <v>0.57052426931969991</v>
      </c>
      <c r="AB994" t="str">
        <f>HYPERLINK("Melting_Curves/meltCurve_H0YNE3_PSME1.pdf", "Melting_Curves/meltCurve_H0YNE3_PSME1.pdf")</f>
        <v>Melting_Curves/meltCurve_H0YNE3_PSME1.pdf</v>
      </c>
    </row>
    <row r="995" spans="1:28" x14ac:dyDescent="0.25">
      <c r="A995" t="s">
        <v>999</v>
      </c>
      <c r="B995">
        <v>0.99542014353169495</v>
      </c>
      <c r="C995">
        <v>0.865147550502261</v>
      </c>
      <c r="D995">
        <v>0.79369509958711304</v>
      </c>
      <c r="E995">
        <v>0.58018761531738605</v>
      </c>
      <c r="F995">
        <v>0.52292125859309502</v>
      </c>
      <c r="G995">
        <v>0.22808554228727301</v>
      </c>
      <c r="H995">
        <v>8.1965192306837895E-2</v>
      </c>
      <c r="I995">
        <v>4.9980876118341601E-2</v>
      </c>
      <c r="J995">
        <v>4.4950059336626803E-2</v>
      </c>
      <c r="K995">
        <v>4.7936661103618501E-2</v>
      </c>
      <c r="L995">
        <v>552.12837548351001</v>
      </c>
      <c r="M995">
        <v>11.386564626210401</v>
      </c>
      <c r="N995">
        <v>48.489460519061097</v>
      </c>
      <c r="O995">
        <v>47.066129313915503</v>
      </c>
      <c r="P995">
        <v>-6.0499595882814797E-2</v>
      </c>
      <c r="Q995">
        <v>0</v>
      </c>
      <c r="R995">
        <v>0.980190584812896</v>
      </c>
      <c r="S995" t="s">
        <v>7397</v>
      </c>
      <c r="T995" t="s">
        <v>12802</v>
      </c>
      <c r="U995" t="s">
        <v>12802</v>
      </c>
      <c r="V995" t="s">
        <v>12802</v>
      </c>
      <c r="W995" t="s">
        <v>13778</v>
      </c>
      <c r="X995">
        <v>12</v>
      </c>
      <c r="Y995" t="s">
        <v>20098</v>
      </c>
      <c r="Z995" t="s">
        <v>26313</v>
      </c>
      <c r="AA995">
        <v>0.41579692061782503</v>
      </c>
      <c r="AB995" t="str">
        <f>HYPERLINK("Melting_Curves/meltCurve_H0YNG3_SEC11A.pdf", "Melting_Curves/meltCurve_H0YNG3_SEC11A.pdf")</f>
        <v>Melting_Curves/meltCurve_H0YNG3_SEC11A.pdf</v>
      </c>
    </row>
    <row r="996" spans="1:28" x14ac:dyDescent="0.25">
      <c r="A996" t="s">
        <v>1000</v>
      </c>
      <c r="B996">
        <v>0.99542014353169495</v>
      </c>
      <c r="C996">
        <v>1.0405832666710599</v>
      </c>
      <c r="D996">
        <v>0.95715968387608397</v>
      </c>
      <c r="E996">
        <v>0.96081624483331896</v>
      </c>
      <c r="F996">
        <v>0.82272042786414801</v>
      </c>
      <c r="G996">
        <v>0.66919910781083403</v>
      </c>
      <c r="H996">
        <v>0.56512821335646302</v>
      </c>
      <c r="I996">
        <v>0.39302919409243697</v>
      </c>
      <c r="J996">
        <v>0.67397334770837103</v>
      </c>
      <c r="K996">
        <v>0.82911186908281498</v>
      </c>
      <c r="L996">
        <v>1749.27905280717</v>
      </c>
      <c r="M996">
        <v>34.741850226905697</v>
      </c>
      <c r="O996">
        <v>50.184826106774402</v>
      </c>
      <c r="P996">
        <v>-6.6203033619054705E-2</v>
      </c>
      <c r="Q996">
        <v>0.61747855220579295</v>
      </c>
      <c r="R996">
        <v>0.73568294421465497</v>
      </c>
      <c r="S996" t="s">
        <v>7398</v>
      </c>
      <c r="T996" t="s">
        <v>12802</v>
      </c>
      <c r="U996" t="s">
        <v>12802</v>
      </c>
      <c r="V996" t="s">
        <v>12802</v>
      </c>
      <c r="W996" t="s">
        <v>13779</v>
      </c>
      <c r="X996">
        <v>1</v>
      </c>
      <c r="Y996" t="s">
        <v>20099</v>
      </c>
      <c r="Z996" t="s">
        <v>26314</v>
      </c>
      <c r="AA996">
        <v>0.78947464425305325</v>
      </c>
      <c r="AB996" t="str">
        <f>HYPERLINK("Melting_Curves/meltCurve_H0YNJ3_PPP2R5C.pdf", "Melting_Curves/meltCurve_H0YNJ3_PPP2R5C.pdf")</f>
        <v>Melting_Curves/meltCurve_H0YNJ3_PPP2R5C.pdf</v>
      </c>
    </row>
    <row r="997" spans="1:28" x14ac:dyDescent="0.25">
      <c r="A997" t="s">
        <v>1001</v>
      </c>
      <c r="B997">
        <v>0.99542014353169495</v>
      </c>
      <c r="C997">
        <v>0.890980346064975</v>
      </c>
      <c r="D997">
        <v>0.84307222184391595</v>
      </c>
      <c r="E997">
        <v>0.55186454211124703</v>
      </c>
      <c r="F997">
        <v>0.328465045381859</v>
      </c>
      <c r="G997">
        <v>0.20665579504164799</v>
      </c>
      <c r="H997">
        <v>0.160316764588147</v>
      </c>
      <c r="I997">
        <v>0.14060016571643899</v>
      </c>
      <c r="J997">
        <v>0.19258178596195299</v>
      </c>
      <c r="K997">
        <v>0.18608366032000301</v>
      </c>
      <c r="L997">
        <v>809.65160668716601</v>
      </c>
      <c r="M997">
        <v>17.513890397988501</v>
      </c>
      <c r="N997">
        <v>47.236031362777602</v>
      </c>
      <c r="O997">
        <v>45.639045421564703</v>
      </c>
      <c r="P997">
        <v>-8.0996036119829098E-2</v>
      </c>
      <c r="Q997">
        <v>0.15578357432586301</v>
      </c>
      <c r="R997">
        <v>0.993118253861208</v>
      </c>
      <c r="S997" t="s">
        <v>7399</v>
      </c>
      <c r="T997" t="s">
        <v>12802</v>
      </c>
      <c r="U997" t="s">
        <v>12802</v>
      </c>
      <c r="V997" t="s">
        <v>12802</v>
      </c>
      <c r="W997" t="s">
        <v>13780</v>
      </c>
      <c r="X997">
        <v>4</v>
      </c>
      <c r="Y997" t="s">
        <v>20100</v>
      </c>
      <c r="Z997" t="s">
        <v>26315</v>
      </c>
      <c r="AA997">
        <v>0.42986782440235671</v>
      </c>
      <c r="AB997" t="str">
        <f>HYPERLINK("Melting_Curves/meltCurve_H0YNU5_BLM.pdf", "Melting_Curves/meltCurve_H0YNU5_BLM.pdf")</f>
        <v>Melting_Curves/meltCurve_H0YNU5_BLM.pdf</v>
      </c>
    </row>
    <row r="998" spans="1:28" x14ac:dyDescent="0.25">
      <c r="A998" t="s">
        <v>1002</v>
      </c>
      <c r="B998">
        <v>0.99542014353169495</v>
      </c>
      <c r="C998">
        <v>1.00054800902843</v>
      </c>
      <c r="D998">
        <v>0.83038992990979599</v>
      </c>
      <c r="E998">
        <v>0.69667890121083897</v>
      </c>
      <c r="F998">
        <v>0.47392489500611801</v>
      </c>
      <c r="G998">
        <v>0.37545792667987998</v>
      </c>
      <c r="H998">
        <v>0.23787436049925501</v>
      </c>
      <c r="I998">
        <v>0.18705899438856299</v>
      </c>
      <c r="J998">
        <v>0.219888676592157</v>
      </c>
      <c r="K998">
        <v>0.22805283602270501</v>
      </c>
      <c r="L998">
        <v>665.76524673317499</v>
      </c>
      <c r="M998">
        <v>13.8191152540685</v>
      </c>
      <c r="N998">
        <v>49.834113657482398</v>
      </c>
      <c r="O998">
        <v>47.201883181540701</v>
      </c>
      <c r="P998">
        <v>-5.9718115035041999E-2</v>
      </c>
      <c r="Q998">
        <v>0.184198152944236</v>
      </c>
      <c r="R998">
        <v>0.99162492648886402</v>
      </c>
      <c r="S998" t="s">
        <v>7400</v>
      </c>
      <c r="T998" t="s">
        <v>12802</v>
      </c>
      <c r="U998" t="s">
        <v>12802</v>
      </c>
      <c r="V998" t="s">
        <v>12802</v>
      </c>
      <c r="W998" t="s">
        <v>13781</v>
      </c>
      <c r="X998">
        <v>2</v>
      </c>
      <c r="Y998" t="s">
        <v>20101</v>
      </c>
      <c r="Z998" t="s">
        <v>26316</v>
      </c>
      <c r="AA998">
        <v>0.50858934601905803</v>
      </c>
      <c r="AB998" t="str">
        <f>HYPERLINK("Melting_Curves/meltCurve_H3BLT4_BIRC5.pdf", "Melting_Curves/meltCurve_H3BLT4_BIRC5.pdf")</f>
        <v>Melting_Curves/meltCurve_H3BLT4_BIRC5.pdf</v>
      </c>
    </row>
    <row r="999" spans="1:28" x14ac:dyDescent="0.25">
      <c r="A999" t="s">
        <v>1003</v>
      </c>
      <c r="B999">
        <v>0.99542014353169495</v>
      </c>
      <c r="C999">
        <v>1.0245652404983101</v>
      </c>
      <c r="D999">
        <v>0.90939314259534199</v>
      </c>
      <c r="E999">
        <v>0.87675451844084096</v>
      </c>
      <c r="F999">
        <v>0.693507977522136</v>
      </c>
      <c r="G999">
        <v>0.41290786188936701</v>
      </c>
      <c r="H999">
        <v>0.109316343180089</v>
      </c>
      <c r="I999">
        <v>7.3663727061831996E-2</v>
      </c>
      <c r="J999">
        <v>8.1825084545068899E-2</v>
      </c>
      <c r="K999">
        <v>8.5004536537339595E-2</v>
      </c>
      <c r="L999">
        <v>994.78016597641295</v>
      </c>
      <c r="M999">
        <v>19.122144882043902</v>
      </c>
      <c r="N999">
        <v>52.244307909659</v>
      </c>
      <c r="O999">
        <v>51.463479884167199</v>
      </c>
      <c r="P999">
        <v>-8.9272242509167293E-2</v>
      </c>
      <c r="Q999">
        <v>3.9002606993346497E-2</v>
      </c>
      <c r="R999">
        <v>0.99024637938549298</v>
      </c>
      <c r="S999" t="s">
        <v>7401</v>
      </c>
      <c r="T999" t="s">
        <v>12802</v>
      </c>
      <c r="U999" t="s">
        <v>12802</v>
      </c>
      <c r="V999" t="s">
        <v>12802</v>
      </c>
      <c r="W999" t="s">
        <v>13782</v>
      </c>
      <c r="X999">
        <v>12</v>
      </c>
      <c r="Y999" t="s">
        <v>20102</v>
      </c>
      <c r="Z999" t="s">
        <v>26317</v>
      </c>
      <c r="AA999">
        <v>0.53350910263259499</v>
      </c>
      <c r="AB999" t="str">
        <f>HYPERLINK("Melting_Curves/meltCurve_H3BLU7_AKR7A2.pdf", "Melting_Curves/meltCurve_H3BLU7_AKR7A2.pdf")</f>
        <v>Melting_Curves/meltCurve_H3BLU7_AKR7A2.pdf</v>
      </c>
    </row>
    <row r="1000" spans="1:28" x14ac:dyDescent="0.25">
      <c r="A1000" t="s">
        <v>1004</v>
      </c>
      <c r="B1000">
        <v>0.99542014353169495</v>
      </c>
      <c r="C1000">
        <v>0.87857637762726104</v>
      </c>
      <c r="D1000">
        <v>0.84241205093579896</v>
      </c>
      <c r="E1000">
        <v>0.78189098593359097</v>
      </c>
      <c r="F1000">
        <v>0.57993954375408197</v>
      </c>
      <c r="G1000">
        <v>0.419992967235225</v>
      </c>
      <c r="H1000">
        <v>0.28015179648130101</v>
      </c>
      <c r="I1000">
        <v>0.238317210077091</v>
      </c>
      <c r="J1000">
        <v>0.415385894022612</v>
      </c>
      <c r="K1000">
        <v>0.52318662676563599</v>
      </c>
      <c r="L1000">
        <v>733.18276318826497</v>
      </c>
      <c r="M1000">
        <v>15.444902077775399</v>
      </c>
      <c r="N1000">
        <v>51.4996895108901</v>
      </c>
      <c r="O1000">
        <v>46.696419173689698</v>
      </c>
      <c r="P1000">
        <v>-5.3698876574223398E-2</v>
      </c>
      <c r="Q1000">
        <v>0.35064175327821201</v>
      </c>
      <c r="R1000">
        <v>0.87979844868347801</v>
      </c>
      <c r="S1000" t="s">
        <v>7402</v>
      </c>
      <c r="T1000" t="s">
        <v>12802</v>
      </c>
      <c r="U1000" t="s">
        <v>12802</v>
      </c>
      <c r="V1000" t="s">
        <v>12802</v>
      </c>
      <c r="W1000" t="s">
        <v>13783</v>
      </c>
      <c r="X1000">
        <v>3</v>
      </c>
      <c r="Y1000" t="s">
        <v>20103</v>
      </c>
      <c r="Z1000" t="s">
        <v>26318</v>
      </c>
      <c r="AA1000">
        <v>0.59103197982367039</v>
      </c>
      <c r="AB1000" t="str">
        <f>HYPERLINK("Melting_Curves/meltCurve_H3BLV0_CD55.pdf", "Melting_Curves/meltCurve_H3BLV0_CD55.pdf")</f>
        <v>Melting_Curves/meltCurve_H3BLV0_CD55.pdf</v>
      </c>
    </row>
    <row r="1001" spans="1:28" x14ac:dyDescent="0.25">
      <c r="A1001" t="s">
        <v>1005</v>
      </c>
      <c r="B1001">
        <v>0.99542014353169495</v>
      </c>
      <c r="C1001">
        <v>0.94218225389518495</v>
      </c>
      <c r="D1001">
        <v>0.97730379933355505</v>
      </c>
      <c r="E1001">
        <v>0.83042589304351999</v>
      </c>
      <c r="F1001">
        <v>0.50930101972119601</v>
      </c>
      <c r="G1001">
        <v>0.17057587421050999</v>
      </c>
      <c r="H1001">
        <v>6.8013189402458193E-2</v>
      </c>
      <c r="I1001">
        <v>5.00003800342287E-2</v>
      </c>
      <c r="J1001">
        <v>5.6522731932485699E-2</v>
      </c>
      <c r="K1001">
        <v>6.4046931973173002E-2</v>
      </c>
      <c r="L1001">
        <v>1180.57261715204</v>
      </c>
      <c r="M1001">
        <v>23.662093388145902</v>
      </c>
      <c r="N1001">
        <v>50.0828584543627</v>
      </c>
      <c r="O1001">
        <v>49.540732494286701</v>
      </c>
      <c r="P1001">
        <v>-0.11428668186379499</v>
      </c>
      <c r="Q1001">
        <v>4.2899351580078501E-2</v>
      </c>
      <c r="R1001">
        <v>0.99699636219939003</v>
      </c>
      <c r="S1001" t="s">
        <v>7403</v>
      </c>
      <c r="T1001" t="s">
        <v>12802</v>
      </c>
      <c r="U1001" t="s">
        <v>12802</v>
      </c>
      <c r="V1001" t="s">
        <v>12802</v>
      </c>
      <c r="W1001" t="s">
        <v>13784</v>
      </c>
      <c r="X1001">
        <v>13</v>
      </c>
      <c r="Y1001" t="s">
        <v>20104</v>
      </c>
      <c r="Z1001" t="s">
        <v>26319</v>
      </c>
      <c r="AA1001">
        <v>0.46350815790839478</v>
      </c>
      <c r="AB1001" t="str">
        <f>HYPERLINK("Melting_Curves/meltCurve_H3BLV9_SRPK1.pdf", "Melting_Curves/meltCurve_H3BLV9_SRPK1.pdf")</f>
        <v>Melting_Curves/meltCurve_H3BLV9_SRPK1.pdf</v>
      </c>
    </row>
    <row r="1002" spans="1:28" x14ac:dyDescent="0.25">
      <c r="A1002" t="s">
        <v>1006</v>
      </c>
      <c r="B1002">
        <v>0.99542014353169495</v>
      </c>
      <c r="C1002">
        <v>0.87809227483202301</v>
      </c>
      <c r="D1002">
        <v>0.94183124309071797</v>
      </c>
      <c r="E1002">
        <v>0.69803232735375897</v>
      </c>
      <c r="F1002">
        <v>0.662231414445694</v>
      </c>
      <c r="G1002">
        <v>0.43520097653350398</v>
      </c>
      <c r="H1002">
        <v>0.31784963496677099</v>
      </c>
      <c r="I1002">
        <v>0.21161887389134901</v>
      </c>
      <c r="J1002">
        <v>0.191345892816698</v>
      </c>
      <c r="K1002">
        <v>0.127785227888294</v>
      </c>
      <c r="L1002">
        <v>464.94884729461501</v>
      </c>
      <c r="M1002">
        <v>8.8338433187446199</v>
      </c>
      <c r="N1002">
        <v>52.632679850170199</v>
      </c>
      <c r="O1002">
        <v>50.1447856379394</v>
      </c>
      <c r="P1002">
        <v>-4.4076003798218202E-2</v>
      </c>
      <c r="Q1002">
        <v>0</v>
      </c>
      <c r="R1002">
        <v>0.98309613399589202</v>
      </c>
      <c r="S1002" t="s">
        <v>7404</v>
      </c>
      <c r="T1002" t="s">
        <v>12802</v>
      </c>
      <c r="U1002" t="s">
        <v>12802</v>
      </c>
      <c r="V1002" t="s">
        <v>12802</v>
      </c>
      <c r="W1002" t="s">
        <v>13785</v>
      </c>
      <c r="X1002">
        <v>4</v>
      </c>
      <c r="Y1002" t="s">
        <v>20105</v>
      </c>
      <c r="Z1002" t="s">
        <v>26320</v>
      </c>
      <c r="AA1002">
        <v>0.54558591887482488</v>
      </c>
      <c r="AB1002" t="str">
        <f>HYPERLINK("Melting_Curves/meltCurve_H3BLW6_TMEM63B.pdf", "Melting_Curves/meltCurve_H3BLW6_TMEM63B.pdf")</f>
        <v>Melting_Curves/meltCurve_H3BLW6_TMEM63B.pdf</v>
      </c>
    </row>
    <row r="1003" spans="1:28" x14ac:dyDescent="0.25">
      <c r="A1003" t="s">
        <v>1007</v>
      </c>
      <c r="B1003">
        <v>0.99542014353169495</v>
      </c>
      <c r="C1003">
        <v>0.94188136665730005</v>
      </c>
      <c r="D1003">
        <v>0.81687857863759195</v>
      </c>
      <c r="E1003">
        <v>0.82234269355791001</v>
      </c>
      <c r="F1003">
        <v>0.77548725313825595</v>
      </c>
      <c r="G1003">
        <v>0.57825374096658799</v>
      </c>
      <c r="H1003">
        <v>0.43243952851793099</v>
      </c>
      <c r="I1003">
        <v>0.37627470406353403</v>
      </c>
      <c r="J1003">
        <v>0.598511651226036</v>
      </c>
      <c r="K1003">
        <v>0.72809047716207997</v>
      </c>
      <c r="L1003">
        <v>614.70886939354</v>
      </c>
      <c r="M1003">
        <v>13.0432617072398</v>
      </c>
      <c r="O1003">
        <v>46.061934760431797</v>
      </c>
      <c r="P1003">
        <v>-3.3474354374850801E-2</v>
      </c>
      <c r="Q1003">
        <v>0.52722725104073098</v>
      </c>
      <c r="R1003">
        <v>0.71739521501768</v>
      </c>
      <c r="S1003" t="s">
        <v>7405</v>
      </c>
      <c r="T1003" t="s">
        <v>12802</v>
      </c>
      <c r="U1003" t="s">
        <v>12802</v>
      </c>
      <c r="V1003" t="s">
        <v>12802</v>
      </c>
      <c r="W1003" t="s">
        <v>13786</v>
      </c>
      <c r="X1003">
        <v>2</v>
      </c>
      <c r="Y1003" t="s">
        <v>20106</v>
      </c>
      <c r="Z1003" t="s">
        <v>26321</v>
      </c>
      <c r="AA1003">
        <v>0.70033694469122809</v>
      </c>
      <c r="AB1003" t="str">
        <f>HYPERLINK("Melting_Curves/meltCurve_H3BLZ2_DBNDD1.pdf", "Melting_Curves/meltCurve_H3BLZ2_DBNDD1.pdf")</f>
        <v>Melting_Curves/meltCurve_H3BLZ2_DBNDD1.pdf</v>
      </c>
    </row>
    <row r="1004" spans="1:28" x14ac:dyDescent="0.25">
      <c r="A1004" t="s">
        <v>1008</v>
      </c>
      <c r="B1004">
        <v>0.99542014353169495</v>
      </c>
      <c r="C1004">
        <v>0.95673631425416505</v>
      </c>
      <c r="D1004">
        <v>0.94039697895456198</v>
      </c>
      <c r="E1004">
        <v>0.85938589096750495</v>
      </c>
      <c r="F1004">
        <v>0.50331326604041804</v>
      </c>
      <c r="G1004">
        <v>0.13375648910778901</v>
      </c>
      <c r="H1004">
        <v>8.1915222067103693E-2</v>
      </c>
      <c r="I1004">
        <v>4.8831219566137299E-2</v>
      </c>
      <c r="J1004">
        <v>4.18206770468426E-2</v>
      </c>
      <c r="K1004">
        <v>4.3679457590820397E-2</v>
      </c>
      <c r="L1004">
        <v>1286.7469795238701</v>
      </c>
      <c r="M1004">
        <v>25.782239356918701</v>
      </c>
      <c r="N1004">
        <v>50.060618080869801</v>
      </c>
      <c r="O1004">
        <v>49.610923408340902</v>
      </c>
      <c r="P1004">
        <v>-0.125021523529873</v>
      </c>
      <c r="Q1004">
        <v>3.7731462899699898E-2</v>
      </c>
      <c r="R1004">
        <v>0.99675651436620005</v>
      </c>
      <c r="S1004" t="s">
        <v>7406</v>
      </c>
      <c r="T1004" t="s">
        <v>12802</v>
      </c>
      <c r="U1004" t="s">
        <v>12802</v>
      </c>
      <c r="V1004" t="s">
        <v>12802</v>
      </c>
      <c r="W1004" t="s">
        <v>13787</v>
      </c>
      <c r="X1004">
        <v>43</v>
      </c>
      <c r="Y1004" t="s">
        <v>20107</v>
      </c>
      <c r="Z1004" t="s">
        <v>26322</v>
      </c>
      <c r="AA1004">
        <v>0.45969720520472479</v>
      </c>
      <c r="AB1004" t="str">
        <f>HYPERLINK("Melting_Curves/meltCurve_H3BLZ8_DDX17.pdf", "Melting_Curves/meltCurve_H3BLZ8_DDX17.pdf")</f>
        <v>Melting_Curves/meltCurve_H3BLZ8_DDX17.pdf</v>
      </c>
    </row>
    <row r="1005" spans="1:28" x14ac:dyDescent="0.25">
      <c r="A1005" t="s">
        <v>1009</v>
      </c>
      <c r="B1005">
        <v>0.99542014353169495</v>
      </c>
      <c r="C1005">
        <v>0.965508540485152</v>
      </c>
      <c r="D1005">
        <v>0.75908679577229199</v>
      </c>
      <c r="E1005">
        <v>0.374212819138384</v>
      </c>
      <c r="F1005">
        <v>0.18900395416111401</v>
      </c>
      <c r="G1005">
        <v>0.114362951365387</v>
      </c>
      <c r="H1005">
        <v>7.1501650579884404E-2</v>
      </c>
      <c r="I1005">
        <v>5.1285832607191703E-2</v>
      </c>
      <c r="J1005">
        <v>6.2568271571481301E-2</v>
      </c>
      <c r="K1005">
        <v>7.0811369550412798E-2</v>
      </c>
      <c r="L1005">
        <v>946.16332042033196</v>
      </c>
      <c r="M1005">
        <v>20.941136271069301</v>
      </c>
      <c r="N1005">
        <v>45.489869364786202</v>
      </c>
      <c r="O1005">
        <v>44.776058603485303</v>
      </c>
      <c r="P1005">
        <v>-0.10920049342403799</v>
      </c>
      <c r="Q1005">
        <v>6.60607603153789E-2</v>
      </c>
      <c r="R1005">
        <v>0.99869561980307797</v>
      </c>
      <c r="S1005" t="s">
        <v>7407</v>
      </c>
      <c r="T1005" t="s">
        <v>12802</v>
      </c>
      <c r="U1005" t="s">
        <v>12802</v>
      </c>
      <c r="V1005" t="s">
        <v>12802</v>
      </c>
      <c r="W1005" t="s">
        <v>13788</v>
      </c>
      <c r="X1005">
        <v>15</v>
      </c>
      <c r="Y1005" t="s">
        <v>20108</v>
      </c>
      <c r="Z1005" t="s">
        <v>26323</v>
      </c>
      <c r="AA1005">
        <v>0.33190563064459638</v>
      </c>
      <c r="AB1005" t="str">
        <f>HYPERLINK("Melting_Curves/meltCurve_H3BM14_NUB1.pdf", "Melting_Curves/meltCurve_H3BM14_NUB1.pdf")</f>
        <v>Melting_Curves/meltCurve_H3BM14_NUB1.pdf</v>
      </c>
    </row>
    <row r="1006" spans="1:28" x14ac:dyDescent="0.25">
      <c r="A1006" t="s">
        <v>1010</v>
      </c>
      <c r="B1006">
        <v>0.99542014353169495</v>
      </c>
      <c r="C1006">
        <v>1.14167180881219</v>
      </c>
      <c r="D1006">
        <v>1.0634996203575799</v>
      </c>
      <c r="E1006">
        <v>1.0416669951844999</v>
      </c>
      <c r="F1006">
        <v>0.88191156088991995</v>
      </c>
      <c r="G1006">
        <v>0.68124812766063503</v>
      </c>
      <c r="H1006">
        <v>0.43550407670934599</v>
      </c>
      <c r="I1006">
        <v>0.39881679823970401</v>
      </c>
      <c r="J1006">
        <v>0.48944411732271198</v>
      </c>
      <c r="K1006">
        <v>0.52978167720403202</v>
      </c>
      <c r="L1006">
        <v>1795.7678896605601</v>
      </c>
      <c r="M1006">
        <v>34.0185738179213</v>
      </c>
      <c r="N1006">
        <v>56.970857123223297</v>
      </c>
      <c r="O1006">
        <v>52.606452441397501</v>
      </c>
      <c r="P1006">
        <v>-8.7483095228635302E-2</v>
      </c>
      <c r="Q1006">
        <v>0.45886537376395597</v>
      </c>
      <c r="R1006">
        <v>0.94379994187349803</v>
      </c>
      <c r="S1006" t="s">
        <v>7408</v>
      </c>
      <c r="T1006" t="s">
        <v>12802</v>
      </c>
      <c r="U1006" t="s">
        <v>12802</v>
      </c>
      <c r="V1006" t="s">
        <v>12802</v>
      </c>
      <c r="W1006" t="s">
        <v>13789</v>
      </c>
      <c r="X1006">
        <v>3</v>
      </c>
      <c r="Y1006" t="s">
        <v>20109</v>
      </c>
      <c r="Z1006" t="s">
        <v>26324</v>
      </c>
      <c r="AA1006">
        <v>0.74634823969129449</v>
      </c>
      <c r="AB1006" t="str">
        <f>HYPERLINK("Melting_Curves/meltCurve_H3BM67_NOL3.pdf", "Melting_Curves/meltCurve_H3BM67_NOL3.pdf")</f>
        <v>Melting_Curves/meltCurve_H3BM67_NOL3.pdf</v>
      </c>
    </row>
    <row r="1007" spans="1:28" x14ac:dyDescent="0.25">
      <c r="A1007" t="s">
        <v>1011</v>
      </c>
      <c r="B1007">
        <v>0.99542014353169495</v>
      </c>
      <c r="C1007">
        <v>0.88793862067191098</v>
      </c>
      <c r="D1007">
        <v>0.73445528707244101</v>
      </c>
      <c r="E1007">
        <v>0.61383952177068402</v>
      </c>
      <c r="F1007">
        <v>0.67497146949034503</v>
      </c>
      <c r="G1007">
        <v>0.49100286729103698</v>
      </c>
      <c r="H1007">
        <v>0.37910146981968101</v>
      </c>
      <c r="I1007">
        <v>0.33938530066517297</v>
      </c>
      <c r="J1007">
        <v>0.634011754890073</v>
      </c>
      <c r="K1007">
        <v>0.59421512768774298</v>
      </c>
      <c r="L1007">
        <v>639.97975884438699</v>
      </c>
      <c r="M1007">
        <v>14.776245676746701</v>
      </c>
      <c r="N1007">
        <v>63.335011731121298</v>
      </c>
      <c r="O1007">
        <v>42.541321782156103</v>
      </c>
      <c r="P1007">
        <v>-4.3828308761671098E-2</v>
      </c>
      <c r="Q1007">
        <v>0.49532122076086699</v>
      </c>
      <c r="R1007">
        <v>0.76871611534912399</v>
      </c>
      <c r="S1007" t="s">
        <v>7409</v>
      </c>
      <c r="T1007" t="s">
        <v>12802</v>
      </c>
      <c r="U1007" t="s">
        <v>12802</v>
      </c>
      <c r="V1007" t="s">
        <v>12802</v>
      </c>
      <c r="W1007" t="s">
        <v>13790</v>
      </c>
      <c r="X1007">
        <v>2</v>
      </c>
      <c r="Y1007" t="s">
        <v>20110</v>
      </c>
      <c r="Z1007" t="s">
        <v>26325</v>
      </c>
      <c r="AA1007">
        <v>0.61496677227636731</v>
      </c>
      <c r="AB1007" t="str">
        <f>HYPERLINK("Melting_Curves/meltCurve_H3BM86_FAM219B.pdf", "Melting_Curves/meltCurve_H3BM86_FAM219B.pdf")</f>
        <v>Melting_Curves/meltCurve_H3BM86_FAM219B.pdf</v>
      </c>
    </row>
    <row r="1008" spans="1:28" x14ac:dyDescent="0.25">
      <c r="A1008" t="s">
        <v>1012</v>
      </c>
      <c r="B1008">
        <v>0.99542014353169495</v>
      </c>
      <c r="C1008">
        <v>1.0211406550028099</v>
      </c>
      <c r="D1008">
        <v>0.85294550536860303</v>
      </c>
      <c r="E1008">
        <v>0.71612305402112797</v>
      </c>
      <c r="F1008">
        <v>0.47743458542195499</v>
      </c>
      <c r="G1008">
        <v>0.32009660938939599</v>
      </c>
      <c r="H1008">
        <v>0.18468164525240199</v>
      </c>
      <c r="I1008">
        <v>0.14844734564626799</v>
      </c>
      <c r="J1008">
        <v>0.131564809088836</v>
      </c>
      <c r="K1008">
        <v>0.128139970224042</v>
      </c>
      <c r="L1008">
        <v>687.91900449668105</v>
      </c>
      <c r="M1008">
        <v>14.0160673053082</v>
      </c>
      <c r="N1008">
        <v>49.862229490700599</v>
      </c>
      <c r="O1008">
        <v>48.114031816753602</v>
      </c>
      <c r="P1008">
        <v>-6.5654564072776894E-2</v>
      </c>
      <c r="Q1008">
        <v>9.8608869726264994E-2</v>
      </c>
      <c r="R1008">
        <v>0.99561742732706804</v>
      </c>
      <c r="S1008" t="s">
        <v>7410</v>
      </c>
      <c r="T1008" t="s">
        <v>12802</v>
      </c>
      <c r="U1008" t="s">
        <v>12802</v>
      </c>
      <c r="V1008" t="s">
        <v>12802</v>
      </c>
      <c r="W1008" t="s">
        <v>13791</v>
      </c>
      <c r="X1008">
        <v>2</v>
      </c>
      <c r="Y1008" t="s">
        <v>20111</v>
      </c>
      <c r="Z1008" t="s">
        <v>26326</v>
      </c>
      <c r="AA1008">
        <v>0.4830490572104944</v>
      </c>
      <c r="AB1008" t="str">
        <f>HYPERLINK("Melting_Curves/meltCurve_H3BM91_COMMD4.pdf", "Melting_Curves/meltCurve_H3BM91_COMMD4.pdf")</f>
        <v>Melting_Curves/meltCurve_H3BM91_COMMD4.pdf</v>
      </c>
    </row>
    <row r="1009" spans="1:28" x14ac:dyDescent="0.25">
      <c r="A1009" t="s">
        <v>1013</v>
      </c>
      <c r="B1009">
        <v>0.99542014353169495</v>
      </c>
      <c r="C1009">
        <v>1.0122698176419</v>
      </c>
      <c r="D1009">
        <v>1.0702411235695199</v>
      </c>
      <c r="E1009">
        <v>1.02402573227581</v>
      </c>
      <c r="F1009">
        <v>0.86071551716342398</v>
      </c>
      <c r="G1009">
        <v>0.56347046428868597</v>
      </c>
      <c r="H1009">
        <v>0.48400798438454301</v>
      </c>
      <c r="I1009">
        <v>0.52942738895436803</v>
      </c>
      <c r="J1009">
        <v>0.81961273272928903</v>
      </c>
      <c r="K1009">
        <v>1.0227303081199699</v>
      </c>
      <c r="L1009">
        <v>12561.991376831</v>
      </c>
      <c r="M1009">
        <v>250</v>
      </c>
      <c r="O1009">
        <v>50.244749988164997</v>
      </c>
      <c r="P1009">
        <v>-0.39326275988834303</v>
      </c>
      <c r="Q1009">
        <v>0.68384977567578598</v>
      </c>
      <c r="R1009">
        <v>0.54225836222827395</v>
      </c>
      <c r="S1009" t="s">
        <v>7411</v>
      </c>
      <c r="T1009" t="s">
        <v>12802</v>
      </c>
      <c r="U1009" t="s">
        <v>12802</v>
      </c>
      <c r="V1009" t="s">
        <v>12802</v>
      </c>
      <c r="W1009" t="s">
        <v>13792</v>
      </c>
      <c r="X1009">
        <v>5</v>
      </c>
      <c r="Y1009" t="s">
        <v>20112</v>
      </c>
      <c r="Z1009" t="s">
        <v>26327</v>
      </c>
      <c r="AA1009">
        <v>0.82348923075881475</v>
      </c>
      <c r="AB1009" t="str">
        <f>HYPERLINK("Melting_Curves/meltCurve_H3BMD8_ARPP19.pdf", "Melting_Curves/meltCurve_H3BMD8_ARPP19.pdf")</f>
        <v>Melting_Curves/meltCurve_H3BMD8_ARPP19.pdf</v>
      </c>
    </row>
    <row r="1010" spans="1:28" x14ac:dyDescent="0.25">
      <c r="A1010" t="s">
        <v>1014</v>
      </c>
      <c r="B1010">
        <v>0.99542014353169495</v>
      </c>
      <c r="C1010">
        <v>0.97831530328088201</v>
      </c>
      <c r="D1010">
        <v>0.84363831804982103</v>
      </c>
      <c r="E1010">
        <v>0.72662215040268696</v>
      </c>
      <c r="F1010">
        <v>0.59197197197568896</v>
      </c>
      <c r="G1010">
        <v>0.41149452357665101</v>
      </c>
      <c r="H1010">
        <v>0.317420678627715</v>
      </c>
      <c r="I1010">
        <v>0.288839882730829</v>
      </c>
      <c r="J1010">
        <v>0.39489519823390301</v>
      </c>
      <c r="K1010">
        <v>0.33436342342049602</v>
      </c>
      <c r="L1010">
        <v>675.44056874591399</v>
      </c>
      <c r="M1010">
        <v>14.0935991622468</v>
      </c>
      <c r="N1010">
        <v>51.387926079798802</v>
      </c>
      <c r="O1010">
        <v>46.991412312549997</v>
      </c>
      <c r="P1010">
        <v>-5.2000522031735899E-2</v>
      </c>
      <c r="Q1010">
        <v>0.30656096290110701</v>
      </c>
      <c r="R1010">
        <v>0.979177806539276</v>
      </c>
      <c r="S1010" t="s">
        <v>7412</v>
      </c>
      <c r="T1010" t="s">
        <v>12802</v>
      </c>
      <c r="U1010" t="s">
        <v>12802</v>
      </c>
      <c r="V1010" t="s">
        <v>12802</v>
      </c>
      <c r="W1010" t="s">
        <v>13793</v>
      </c>
      <c r="X1010">
        <v>2</v>
      </c>
      <c r="Y1010" t="s">
        <v>20113</v>
      </c>
      <c r="Z1010" t="s">
        <v>26328</v>
      </c>
      <c r="AA1010">
        <v>0.57606496645110361</v>
      </c>
      <c r="AB1010" t="str">
        <f>HYPERLINK("Melting_Curves/meltCurve_H3BMF4_SPNS1.pdf", "Melting_Curves/meltCurve_H3BMF4_SPNS1.pdf")</f>
        <v>Melting_Curves/meltCurve_H3BMF4_SPNS1.pdf</v>
      </c>
    </row>
    <row r="1011" spans="1:28" x14ac:dyDescent="0.25">
      <c r="A1011" t="s">
        <v>1015</v>
      </c>
      <c r="B1011">
        <v>0.99542014353169495</v>
      </c>
      <c r="C1011">
        <v>0.953015542330784</v>
      </c>
      <c r="D1011">
        <v>0.92356762408068904</v>
      </c>
      <c r="E1011">
        <v>0.83776804792321902</v>
      </c>
      <c r="F1011">
        <v>0.59435786855764805</v>
      </c>
      <c r="G1011">
        <v>0.40594400295851701</v>
      </c>
      <c r="H1011">
        <v>0.33737169200295403</v>
      </c>
      <c r="I1011">
        <v>0.27458943085236898</v>
      </c>
      <c r="J1011">
        <v>0.49788033658926101</v>
      </c>
      <c r="K1011">
        <v>0.404133253006285</v>
      </c>
      <c r="L1011">
        <v>1150.49841056643</v>
      </c>
      <c r="M1011">
        <v>23.674220831570299</v>
      </c>
      <c r="N1011">
        <v>51.549396777061702</v>
      </c>
      <c r="O1011">
        <v>48.2543356510091</v>
      </c>
      <c r="P1011">
        <v>-7.7133513144393803E-2</v>
      </c>
      <c r="Q1011">
        <v>0.371136343879437</v>
      </c>
      <c r="R1011">
        <v>0.95026431941261702</v>
      </c>
      <c r="S1011" t="s">
        <v>7413</v>
      </c>
      <c r="T1011" t="s">
        <v>12802</v>
      </c>
      <c r="U1011" t="s">
        <v>12802</v>
      </c>
      <c r="V1011" t="s">
        <v>12802</v>
      </c>
      <c r="W1011" t="s">
        <v>13699</v>
      </c>
      <c r="X1011">
        <v>8</v>
      </c>
      <c r="Z1011" t="s">
        <v>26329</v>
      </c>
      <c r="AA1011">
        <v>0.6202462255713731</v>
      </c>
      <c r="AB1011" t="str">
        <f>HYPERLINK("Melting_Curves/meltCurve_H3BN98_.pdf", "Melting_Curves/meltCurve_H3BN98_.pdf")</f>
        <v>Melting_Curves/meltCurve_H3BN98_.pdf</v>
      </c>
    </row>
    <row r="1012" spans="1:28" x14ac:dyDescent="0.25">
      <c r="A1012" t="s">
        <v>1016</v>
      </c>
      <c r="B1012">
        <v>0.99542014353169495</v>
      </c>
      <c r="C1012">
        <v>0.88461134170552902</v>
      </c>
      <c r="D1012">
        <v>1.03599615802437</v>
      </c>
      <c r="E1012">
        <v>0.85726903294988599</v>
      </c>
      <c r="F1012">
        <v>0.98684995772913497</v>
      </c>
      <c r="G1012">
        <v>0.535833762265297</v>
      </c>
      <c r="H1012">
        <v>0.26274334125093102</v>
      </c>
      <c r="I1012">
        <v>7.8317002643949696E-2</v>
      </c>
      <c r="J1012">
        <v>8.9735623010328697E-2</v>
      </c>
      <c r="K1012">
        <v>0.162275630330384</v>
      </c>
      <c r="L1012">
        <v>1818.30633659368</v>
      </c>
      <c r="M1012">
        <v>33.762370619923701</v>
      </c>
      <c r="N1012">
        <v>54.274282826703597</v>
      </c>
      <c r="O1012">
        <v>53.668119216045902</v>
      </c>
      <c r="P1012">
        <v>-0.139258572516505</v>
      </c>
      <c r="Q1012">
        <v>0.114550950254603</v>
      </c>
      <c r="R1012">
        <v>0.96893276652809701</v>
      </c>
      <c r="S1012" t="s">
        <v>7414</v>
      </c>
      <c r="T1012" t="s">
        <v>12802</v>
      </c>
      <c r="U1012" t="s">
        <v>12802</v>
      </c>
      <c r="V1012" t="s">
        <v>12802</v>
      </c>
      <c r="W1012" t="s">
        <v>13794</v>
      </c>
      <c r="X1012">
        <v>8</v>
      </c>
      <c r="Y1012" t="s">
        <v>20114</v>
      </c>
      <c r="Z1012" t="s">
        <v>26330</v>
      </c>
      <c r="AA1012">
        <v>0.61659537772705997</v>
      </c>
      <c r="AB1012" t="str">
        <f>HYPERLINK("Melting_Curves/meltCurve_H3BND3_NUDT21.pdf", "Melting_Curves/meltCurve_H3BND3_NUDT21.pdf")</f>
        <v>Melting_Curves/meltCurve_H3BND3_NUDT21.pdf</v>
      </c>
    </row>
    <row r="1013" spans="1:28" x14ac:dyDescent="0.25">
      <c r="A1013" t="s">
        <v>1017</v>
      </c>
      <c r="B1013">
        <v>0.99542014353169495</v>
      </c>
      <c r="C1013">
        <v>1.02250544672263</v>
      </c>
      <c r="D1013">
        <v>0.82097973216311804</v>
      </c>
      <c r="E1013">
        <v>0.70972568151202997</v>
      </c>
      <c r="F1013">
        <v>0.65373908268502101</v>
      </c>
      <c r="G1013">
        <v>0.33072685704702398</v>
      </c>
      <c r="H1013">
        <v>0.28044493296096401</v>
      </c>
      <c r="I1013">
        <v>0.169212942164125</v>
      </c>
      <c r="J1013">
        <v>0.14844650272064</v>
      </c>
      <c r="K1013">
        <v>0.162764286202915</v>
      </c>
      <c r="L1013">
        <v>565.93267744298805</v>
      </c>
      <c r="M1013">
        <v>11.188035257838999</v>
      </c>
      <c r="N1013">
        <v>51.344837243459601</v>
      </c>
      <c r="O1013">
        <v>49.048421771896301</v>
      </c>
      <c r="P1013">
        <v>-5.26846676460727E-2</v>
      </c>
      <c r="Q1013">
        <v>7.6412152141820303E-2</v>
      </c>
      <c r="R1013">
        <v>0.97784017342524199</v>
      </c>
      <c r="S1013" t="s">
        <v>7415</v>
      </c>
      <c r="T1013" t="s">
        <v>12802</v>
      </c>
      <c r="U1013" t="s">
        <v>12802</v>
      </c>
      <c r="V1013" t="s">
        <v>12802</v>
      </c>
      <c r="W1013" t="s">
        <v>13795</v>
      </c>
      <c r="X1013">
        <v>7</v>
      </c>
      <c r="Y1013" t="s">
        <v>20115</v>
      </c>
      <c r="Z1013" t="s">
        <v>26331</v>
      </c>
      <c r="AA1013">
        <v>0.52127660746458904</v>
      </c>
      <c r="AB1013" t="str">
        <f>HYPERLINK("Melting_Curves/meltCurve_H3BNU9_CARHSP1.pdf", "Melting_Curves/meltCurve_H3BNU9_CARHSP1.pdf")</f>
        <v>Melting_Curves/meltCurve_H3BNU9_CARHSP1.pdf</v>
      </c>
    </row>
    <row r="1014" spans="1:28" x14ac:dyDescent="0.25">
      <c r="A1014" t="s">
        <v>1018</v>
      </c>
      <c r="B1014">
        <v>0.99542014353169495</v>
      </c>
      <c r="C1014">
        <v>0.96612945542052897</v>
      </c>
      <c r="D1014">
        <v>0.95068558236802603</v>
      </c>
      <c r="E1014">
        <v>0.88426980188035498</v>
      </c>
      <c r="F1014">
        <v>0.63903854797326398</v>
      </c>
      <c r="G1014">
        <v>0.45358397062186001</v>
      </c>
      <c r="H1014">
        <v>0.22475195602002099</v>
      </c>
      <c r="I1014">
        <v>9.5604640570650407E-2</v>
      </c>
      <c r="J1014">
        <v>9.5368219731082504E-2</v>
      </c>
      <c r="K1014">
        <v>9.0781115940229806E-2</v>
      </c>
      <c r="L1014">
        <v>787.40826039548597</v>
      </c>
      <c r="M1014">
        <v>15.0522236778035</v>
      </c>
      <c r="N1014">
        <v>52.5489752716732</v>
      </c>
      <c r="O1014">
        <v>51.414498179997899</v>
      </c>
      <c r="P1014">
        <v>-7.0793431547330296E-2</v>
      </c>
      <c r="Q1014">
        <v>3.28482827868486E-2</v>
      </c>
      <c r="R1014">
        <v>0.99623458159332001</v>
      </c>
      <c r="S1014" t="s">
        <v>7416</v>
      </c>
      <c r="T1014" t="s">
        <v>12802</v>
      </c>
      <c r="U1014" t="s">
        <v>12802</v>
      </c>
      <c r="V1014" t="s">
        <v>12802</v>
      </c>
      <c r="W1014" t="s">
        <v>13796</v>
      </c>
      <c r="X1014">
        <v>12</v>
      </c>
      <c r="Y1014" t="s">
        <v>20116</v>
      </c>
      <c r="Z1014" t="s">
        <v>26332</v>
      </c>
      <c r="AA1014">
        <v>0.54455756846122505</v>
      </c>
      <c r="AB1014" t="str">
        <f>HYPERLINK("Melting_Curves/meltCurve_H3BP20_HEXA.pdf", "Melting_Curves/meltCurve_H3BP20_HEXA.pdf")</f>
        <v>Melting_Curves/meltCurve_H3BP20_HEXA.pdf</v>
      </c>
    </row>
    <row r="1015" spans="1:28" x14ac:dyDescent="0.25">
      <c r="A1015" t="s">
        <v>1019</v>
      </c>
      <c r="B1015">
        <v>0.99542014353169495</v>
      </c>
      <c r="C1015">
        <v>0.951939566769747</v>
      </c>
      <c r="D1015">
        <v>0.83386673631210395</v>
      </c>
      <c r="E1015">
        <v>0.69336075333173597</v>
      </c>
      <c r="F1015">
        <v>0.46752335165859799</v>
      </c>
      <c r="G1015">
        <v>0.41028766138774098</v>
      </c>
      <c r="H1015">
        <v>0.29500234119916702</v>
      </c>
      <c r="I1015">
        <v>0.24991218035580201</v>
      </c>
      <c r="J1015">
        <v>0.23947920991111499</v>
      </c>
      <c r="K1015">
        <v>0.23776367012470201</v>
      </c>
      <c r="L1015">
        <v>597.29702835729302</v>
      </c>
      <c r="M1015">
        <v>12.446487166171099</v>
      </c>
      <c r="N1015">
        <v>50.182752628998898</v>
      </c>
      <c r="O1015">
        <v>46.8008867630897</v>
      </c>
      <c r="P1015">
        <v>-5.2548208357386897E-2</v>
      </c>
      <c r="Q1015">
        <v>0.209804524766047</v>
      </c>
      <c r="R1015">
        <v>0.99591795778576298</v>
      </c>
      <c r="S1015" t="s">
        <v>7417</v>
      </c>
      <c r="T1015" t="s">
        <v>12802</v>
      </c>
      <c r="U1015" t="s">
        <v>12802</v>
      </c>
      <c r="V1015" t="s">
        <v>12802</v>
      </c>
      <c r="W1015" t="s">
        <v>13797</v>
      </c>
      <c r="X1015">
        <v>3</v>
      </c>
      <c r="Y1015" t="s">
        <v>20117</v>
      </c>
      <c r="Z1015" t="s">
        <v>26333</v>
      </c>
      <c r="AA1015">
        <v>0.52270464346054624</v>
      </c>
      <c r="AB1015" t="str">
        <f>HYPERLINK("Melting_Curves/meltCurve_H3BP28_COQ7.pdf", "Melting_Curves/meltCurve_H3BP28_COQ7.pdf")</f>
        <v>Melting_Curves/meltCurve_H3BP28_COQ7.pdf</v>
      </c>
    </row>
    <row r="1016" spans="1:28" x14ac:dyDescent="0.25">
      <c r="A1016" t="s">
        <v>1020</v>
      </c>
      <c r="B1016">
        <v>0.99542014353169495</v>
      </c>
      <c r="C1016">
        <v>0.99363019944196895</v>
      </c>
      <c r="D1016">
        <v>0.94279736767184796</v>
      </c>
      <c r="E1016">
        <v>0.83422721449265103</v>
      </c>
      <c r="F1016">
        <v>0.48447284833799797</v>
      </c>
      <c r="G1016">
        <v>0.209796399861509</v>
      </c>
      <c r="H1016">
        <v>9.3996550026903505E-2</v>
      </c>
      <c r="I1016">
        <v>7.3184681238895502E-2</v>
      </c>
      <c r="J1016">
        <v>6.2863953280525797E-2</v>
      </c>
      <c r="K1016">
        <v>6.7163490986855104E-2</v>
      </c>
      <c r="L1016">
        <v>1089.05389415677</v>
      </c>
      <c r="M1016">
        <v>21.880254390160999</v>
      </c>
      <c r="N1016">
        <v>50.043641606619801</v>
      </c>
      <c r="O1016">
        <v>49.363210886119298</v>
      </c>
      <c r="P1016">
        <v>-0.10463988198801</v>
      </c>
      <c r="Q1016">
        <v>5.5725493574176603E-2</v>
      </c>
      <c r="R1016">
        <v>0.99934418921631296</v>
      </c>
      <c r="S1016" t="s">
        <v>7418</v>
      </c>
      <c r="T1016" t="s">
        <v>12802</v>
      </c>
      <c r="U1016" t="s">
        <v>12802</v>
      </c>
      <c r="V1016" t="s">
        <v>12802</v>
      </c>
      <c r="W1016" t="s">
        <v>13798</v>
      </c>
      <c r="X1016">
        <v>7</v>
      </c>
      <c r="Y1016" t="s">
        <v>20118</v>
      </c>
      <c r="Z1016" t="s">
        <v>26334</v>
      </c>
      <c r="AA1016">
        <v>0.46835810044651699</v>
      </c>
      <c r="AB1016" t="str">
        <f>HYPERLINK("Melting_Curves/meltCurve_H3BPB8_MPI.pdf", "Melting_Curves/meltCurve_H3BPB8_MPI.pdf")</f>
        <v>Melting_Curves/meltCurve_H3BPB8_MPI.pdf</v>
      </c>
    </row>
    <row r="1017" spans="1:28" x14ac:dyDescent="0.25">
      <c r="A1017" t="s">
        <v>1021</v>
      </c>
      <c r="B1017">
        <v>0.99542014353169495</v>
      </c>
      <c r="C1017">
        <v>0.94413593404423601</v>
      </c>
      <c r="D1017">
        <v>0.95371167170702498</v>
      </c>
      <c r="E1017">
        <v>0.967578218310022</v>
      </c>
      <c r="F1017">
        <v>0.65279904340758199</v>
      </c>
      <c r="G1017">
        <v>0.28912361163842898</v>
      </c>
      <c r="H1017">
        <v>8.87448323716164E-2</v>
      </c>
      <c r="I1017">
        <v>5.8967826532401901E-2</v>
      </c>
      <c r="J1017">
        <v>6.0432354652645397E-2</v>
      </c>
      <c r="K1017">
        <v>6.03257128840251E-2</v>
      </c>
      <c r="L1017">
        <v>1356.04155590967</v>
      </c>
      <c r="M1017">
        <v>26.394010996049001</v>
      </c>
      <c r="N1017">
        <v>51.584233406366998</v>
      </c>
      <c r="O1017">
        <v>51.084663280888797</v>
      </c>
      <c r="P1017">
        <v>-0.122668360669465</v>
      </c>
      <c r="Q1017">
        <v>5.0329448715616502E-2</v>
      </c>
      <c r="R1017">
        <v>0.99618530002712002</v>
      </c>
      <c r="S1017" t="s">
        <v>7419</v>
      </c>
      <c r="T1017" t="s">
        <v>12802</v>
      </c>
      <c r="U1017" t="s">
        <v>12802</v>
      </c>
      <c r="V1017" t="s">
        <v>12802</v>
      </c>
      <c r="W1017" t="s">
        <v>13799</v>
      </c>
      <c r="X1017">
        <v>5</v>
      </c>
      <c r="Y1017" t="s">
        <v>20119</v>
      </c>
      <c r="Z1017" t="s">
        <v>26335</v>
      </c>
      <c r="AA1017">
        <v>0.51303187932987515</v>
      </c>
      <c r="AB1017" t="str">
        <f>HYPERLINK("Melting_Curves/meltCurve_H3BPC4_UBE2I.pdf", "Melting_Curves/meltCurve_H3BPC4_UBE2I.pdf")</f>
        <v>Melting_Curves/meltCurve_H3BPC4_UBE2I.pdf</v>
      </c>
    </row>
    <row r="1018" spans="1:28" x14ac:dyDescent="0.25">
      <c r="A1018" t="s">
        <v>1022</v>
      </c>
      <c r="B1018">
        <v>0.99542014353169495</v>
      </c>
      <c r="C1018">
        <v>1.0036612549075501</v>
      </c>
      <c r="D1018">
        <v>0.76469870014209695</v>
      </c>
      <c r="E1018">
        <v>0.35210366158199902</v>
      </c>
      <c r="F1018">
        <v>0.13777956197451799</v>
      </c>
      <c r="G1018">
        <v>0.16270166082205401</v>
      </c>
      <c r="H1018">
        <v>1.8292745863935901E-2</v>
      </c>
      <c r="I1018">
        <v>0</v>
      </c>
      <c r="J1018">
        <v>3.7829682976164403E-2</v>
      </c>
      <c r="K1018">
        <v>6.8290508749018999E-2</v>
      </c>
      <c r="L1018">
        <v>1039.706851443</v>
      </c>
      <c r="M1018">
        <v>23.018570966135101</v>
      </c>
      <c r="N1018">
        <v>45.372537911314602</v>
      </c>
      <c r="O1018">
        <v>44.831421158544202</v>
      </c>
      <c r="P1018">
        <v>-0.122043281549505</v>
      </c>
      <c r="Q1018">
        <v>4.9242210495327399E-2</v>
      </c>
      <c r="R1018">
        <v>0.98990548892378605</v>
      </c>
      <c r="S1018" t="s">
        <v>7420</v>
      </c>
      <c r="T1018" t="s">
        <v>12802</v>
      </c>
      <c r="U1018" t="s">
        <v>12802</v>
      </c>
      <c r="V1018" t="s">
        <v>12802</v>
      </c>
      <c r="W1018" t="s">
        <v>13800</v>
      </c>
      <c r="X1018">
        <v>1</v>
      </c>
      <c r="Y1018" t="s">
        <v>20120</v>
      </c>
      <c r="Z1018" t="s">
        <v>26336</v>
      </c>
      <c r="AA1018">
        <v>0.31739627908634099</v>
      </c>
      <c r="AB1018" t="str">
        <f>HYPERLINK("Melting_Curves/meltCurve_H3BPD5_NTHL1.pdf", "Melting_Curves/meltCurve_H3BPD5_NTHL1.pdf")</f>
        <v>Melting_Curves/meltCurve_H3BPD5_NTHL1.pdf</v>
      </c>
    </row>
    <row r="1019" spans="1:28" x14ac:dyDescent="0.25">
      <c r="A1019" t="s">
        <v>1023</v>
      </c>
      <c r="B1019">
        <v>0.99542014353169495</v>
      </c>
      <c r="C1019">
        <v>0.89555538050075401</v>
      </c>
      <c r="D1019">
        <v>0.90280021619602602</v>
      </c>
      <c r="E1019">
        <v>0.55319727649571704</v>
      </c>
      <c r="F1019">
        <v>0.17235826180875699</v>
      </c>
      <c r="G1019">
        <v>0.100964367223704</v>
      </c>
      <c r="H1019">
        <v>6.6979181516550898E-2</v>
      </c>
      <c r="I1019">
        <v>4.60191673427984E-2</v>
      </c>
      <c r="J1019">
        <v>4.7655792486937798E-2</v>
      </c>
      <c r="K1019">
        <v>5.0173777885792602E-2</v>
      </c>
      <c r="L1019">
        <v>1124.33571482467</v>
      </c>
      <c r="M1019">
        <v>24.064602596067498</v>
      </c>
      <c r="N1019">
        <v>46.918575699935502</v>
      </c>
      <c r="O1019">
        <v>46.402487657504103</v>
      </c>
      <c r="P1019">
        <v>-0.12342276348132</v>
      </c>
      <c r="Q1019">
        <v>4.8056377916793402E-2</v>
      </c>
      <c r="R1019">
        <v>0.99381982447796502</v>
      </c>
      <c r="S1019" t="s">
        <v>7421</v>
      </c>
      <c r="T1019" t="s">
        <v>12802</v>
      </c>
      <c r="U1019" t="s">
        <v>12802</v>
      </c>
      <c r="V1019" t="s">
        <v>12802</v>
      </c>
      <c r="W1019" t="s">
        <v>13801</v>
      </c>
      <c r="X1019">
        <v>162</v>
      </c>
      <c r="Y1019" t="s">
        <v>19725</v>
      </c>
      <c r="Z1019" t="s">
        <v>26337</v>
      </c>
      <c r="AA1019">
        <v>0.36513611637039228</v>
      </c>
      <c r="AB1019" t="str">
        <f>HYPERLINK("Melting_Curves/meltCurve_H3BPE1_MACF1.pdf", "Melting_Curves/meltCurve_H3BPE1_MACF1.pdf")</f>
        <v>Melting_Curves/meltCurve_H3BPE1_MACF1.pdf</v>
      </c>
    </row>
    <row r="1020" spans="1:28" x14ac:dyDescent="0.25">
      <c r="A1020" t="s">
        <v>1024</v>
      </c>
      <c r="B1020">
        <v>0.99542014353169495</v>
      </c>
      <c r="C1020">
        <v>0.87986643070704595</v>
      </c>
      <c r="D1020">
        <v>0.98384241172685105</v>
      </c>
      <c r="E1020">
        <v>0.40456320703681597</v>
      </c>
      <c r="F1020">
        <v>0.25228781440700199</v>
      </c>
      <c r="G1020">
        <v>0.149682596734489</v>
      </c>
      <c r="H1020">
        <v>0.10952376914911401</v>
      </c>
      <c r="I1020">
        <v>9.8392967602946593E-2</v>
      </c>
      <c r="J1020">
        <v>5.4448472891488901E-2</v>
      </c>
      <c r="K1020">
        <v>0.20654422667720401</v>
      </c>
      <c r="L1020">
        <v>1819.3995872097901</v>
      </c>
      <c r="M1020">
        <v>39.724195721075802</v>
      </c>
      <c r="N1020">
        <v>46.175833053483899</v>
      </c>
      <c r="O1020">
        <v>45.685166055592298</v>
      </c>
      <c r="P1020">
        <v>-0.187407034876206</v>
      </c>
      <c r="Q1020">
        <v>0.13788500399543199</v>
      </c>
      <c r="R1020">
        <v>0.97137967610090503</v>
      </c>
      <c r="S1020" t="s">
        <v>7422</v>
      </c>
      <c r="T1020" t="s">
        <v>12802</v>
      </c>
      <c r="U1020" t="s">
        <v>12802</v>
      </c>
      <c r="V1020" t="s">
        <v>12802</v>
      </c>
      <c r="W1020" t="s">
        <v>13802</v>
      </c>
      <c r="X1020">
        <v>4</v>
      </c>
      <c r="Y1020" t="s">
        <v>20121</v>
      </c>
      <c r="Z1020" t="s">
        <v>26338</v>
      </c>
      <c r="AA1020">
        <v>0.39356470007750888</v>
      </c>
      <c r="AB1020" t="str">
        <f>HYPERLINK("Melting_Curves/meltCurve_H3BPJ7_TCF4.pdf", "Melting_Curves/meltCurve_H3BPJ7_TCF4.pdf")</f>
        <v>Melting_Curves/meltCurve_H3BPJ7_TCF4.pdf</v>
      </c>
    </row>
    <row r="1021" spans="1:28" x14ac:dyDescent="0.25">
      <c r="A1021" t="s">
        <v>1025</v>
      </c>
      <c r="B1021">
        <v>0.99542014353169495</v>
      </c>
      <c r="C1021">
        <v>1.0283769728073</v>
      </c>
      <c r="D1021">
        <v>0.96044195298019597</v>
      </c>
      <c r="E1021">
        <v>0.91917385538545604</v>
      </c>
      <c r="F1021">
        <v>0.70838625585307102</v>
      </c>
      <c r="G1021">
        <v>0.53370521807603299</v>
      </c>
      <c r="H1021">
        <v>0.302598409276362</v>
      </c>
      <c r="I1021">
        <v>0.21644094863371299</v>
      </c>
      <c r="J1021">
        <v>0.22587132895470699</v>
      </c>
      <c r="K1021">
        <v>0.185885101995443</v>
      </c>
      <c r="L1021">
        <v>870.55001290720202</v>
      </c>
      <c r="M1021">
        <v>16.5873898780142</v>
      </c>
      <c r="N1021">
        <v>53.759367193317601</v>
      </c>
      <c r="O1021">
        <v>51.737634972763402</v>
      </c>
      <c r="P1021">
        <v>-6.71072986008492E-2</v>
      </c>
      <c r="Q1021">
        <v>0.16280099034640999</v>
      </c>
      <c r="R1021">
        <v>0.99560725921683702</v>
      </c>
      <c r="S1021" t="s">
        <v>7423</v>
      </c>
      <c r="T1021" t="s">
        <v>12802</v>
      </c>
      <c r="U1021" t="s">
        <v>12802</v>
      </c>
      <c r="V1021" t="s">
        <v>12802</v>
      </c>
      <c r="W1021" t="s">
        <v>13803</v>
      </c>
      <c r="X1021">
        <v>9</v>
      </c>
      <c r="Y1021" t="s">
        <v>20122</v>
      </c>
      <c r="Z1021" t="s">
        <v>26339</v>
      </c>
      <c r="AA1021">
        <v>0.60870784375706843</v>
      </c>
      <c r="AB1021" t="str">
        <f>HYPERLINK("Melting_Curves/meltCurve_H3BPK3_HAGH.pdf", "Melting_Curves/meltCurve_H3BPK3_HAGH.pdf")</f>
        <v>Melting_Curves/meltCurve_H3BPK3_HAGH.pdf</v>
      </c>
    </row>
    <row r="1022" spans="1:28" x14ac:dyDescent="0.25">
      <c r="A1022" t="s">
        <v>1026</v>
      </c>
      <c r="B1022">
        <v>0.99542014353169495</v>
      </c>
      <c r="C1022">
        <v>0.90603924030142102</v>
      </c>
      <c r="D1022">
        <v>0.83366661075494097</v>
      </c>
      <c r="E1022">
        <v>0.84347630948423002</v>
      </c>
      <c r="F1022">
        <v>0.85933196549659596</v>
      </c>
      <c r="G1022">
        <v>0.43253001049855799</v>
      </c>
      <c r="H1022">
        <v>0.30415727402755099</v>
      </c>
      <c r="I1022">
        <v>0.32727919598730398</v>
      </c>
      <c r="J1022">
        <v>0.39757858619237801</v>
      </c>
      <c r="K1022">
        <v>0.35071679197758199</v>
      </c>
      <c r="L1022">
        <v>2189.03442976104</v>
      </c>
      <c r="M1022">
        <v>42.446924974006102</v>
      </c>
      <c r="N1022">
        <v>53.008986183034899</v>
      </c>
      <c r="O1022">
        <v>51.457037821834703</v>
      </c>
      <c r="P1022">
        <v>-0.13571655997722401</v>
      </c>
      <c r="Q1022">
        <v>0.341901998454052</v>
      </c>
      <c r="R1022">
        <v>0.90990315510606201</v>
      </c>
      <c r="S1022" t="s">
        <v>7424</v>
      </c>
      <c r="T1022" t="s">
        <v>12802</v>
      </c>
      <c r="U1022" t="s">
        <v>12802</v>
      </c>
      <c r="V1022" t="s">
        <v>12802</v>
      </c>
      <c r="W1022" t="s">
        <v>13804</v>
      </c>
      <c r="X1022">
        <v>1</v>
      </c>
      <c r="Y1022" t="s">
        <v>20123</v>
      </c>
      <c r="Z1022" t="s">
        <v>26340</v>
      </c>
      <c r="AA1022">
        <v>0.66362136524037629</v>
      </c>
      <c r="AB1022" t="str">
        <f>HYPERLINK("Melting_Curves/meltCurve_H3BPL0_CLN3.pdf", "Melting_Curves/meltCurve_H3BPL0_CLN3.pdf")</f>
        <v>Melting_Curves/meltCurve_H3BPL0_CLN3.pdf</v>
      </c>
    </row>
    <row r="1023" spans="1:28" x14ac:dyDescent="0.25">
      <c r="A1023" t="s">
        <v>1027</v>
      </c>
      <c r="B1023">
        <v>0.99542014353169495</v>
      </c>
      <c r="C1023">
        <v>0.91493075839068905</v>
      </c>
      <c r="D1023">
        <v>0.88720514441553</v>
      </c>
      <c r="E1023">
        <v>0.76317648991913201</v>
      </c>
      <c r="F1023">
        <v>0.62191318673979101</v>
      </c>
      <c r="G1023">
        <v>0.35443426835042202</v>
      </c>
      <c r="H1023">
        <v>0.32741194541992003</v>
      </c>
      <c r="I1023">
        <v>0.327745371516734</v>
      </c>
      <c r="J1023">
        <v>0.22599205647203699</v>
      </c>
      <c r="K1023">
        <v>0.118921529887828</v>
      </c>
      <c r="L1023">
        <v>510.08597194902399</v>
      </c>
      <c r="M1023">
        <v>9.9949596538678893</v>
      </c>
      <c r="N1023">
        <v>52.220005556412197</v>
      </c>
      <c r="O1023">
        <v>49.117564777864501</v>
      </c>
      <c r="P1023">
        <v>-4.5730478725867399E-2</v>
      </c>
      <c r="Q1023">
        <v>0.10151686264068201</v>
      </c>
      <c r="R1023">
        <v>0.97851741611638299</v>
      </c>
      <c r="S1023" t="s">
        <v>7425</v>
      </c>
      <c r="T1023" t="s">
        <v>12802</v>
      </c>
      <c r="U1023" t="s">
        <v>12802</v>
      </c>
      <c r="V1023" t="s">
        <v>12802</v>
      </c>
      <c r="W1023" t="s">
        <v>13805</v>
      </c>
      <c r="X1023">
        <v>30</v>
      </c>
      <c r="Y1023" t="s">
        <v>20124</v>
      </c>
      <c r="Z1023" t="s">
        <v>26341</v>
      </c>
      <c r="AA1023">
        <v>0.54911988668613598</v>
      </c>
      <c r="AB1023" t="str">
        <f>HYPERLINK("Melting_Curves/meltCurve_H3BPS8_ALDOA.pdf", "Melting_Curves/meltCurve_H3BPS8_ALDOA.pdf")</f>
        <v>Melting_Curves/meltCurve_H3BPS8_ALDOA.pdf</v>
      </c>
    </row>
    <row r="1024" spans="1:28" x14ac:dyDescent="0.25">
      <c r="A1024" t="s">
        <v>1028</v>
      </c>
      <c r="B1024">
        <v>0.99542014353169495</v>
      </c>
      <c r="C1024">
        <v>1.06333257009504</v>
      </c>
      <c r="D1024">
        <v>0.97780068554391097</v>
      </c>
      <c r="E1024">
        <v>0.78683408317479298</v>
      </c>
      <c r="F1024">
        <v>0.65993847723514099</v>
      </c>
      <c r="G1024">
        <v>0.51383263389530598</v>
      </c>
      <c r="H1024">
        <v>0.42077940176545697</v>
      </c>
      <c r="I1024">
        <v>0.37153251962056999</v>
      </c>
      <c r="J1024">
        <v>0.65177385571687196</v>
      </c>
      <c r="K1024">
        <v>0.79810390602356196</v>
      </c>
      <c r="L1024">
        <v>1393.10985605983</v>
      </c>
      <c r="M1024">
        <v>29.668372203106799</v>
      </c>
      <c r="O1024">
        <v>46.744276717288599</v>
      </c>
      <c r="P1024">
        <v>-7.0458880673227198E-2</v>
      </c>
      <c r="Q1024">
        <v>0.55595447344765803</v>
      </c>
      <c r="R1024">
        <v>0.755212701774302</v>
      </c>
      <c r="S1024" t="s">
        <v>7426</v>
      </c>
      <c r="T1024" t="s">
        <v>12802</v>
      </c>
      <c r="U1024" t="s">
        <v>12802</v>
      </c>
      <c r="V1024" t="s">
        <v>12802</v>
      </c>
      <c r="W1024" t="s">
        <v>13806</v>
      </c>
      <c r="X1024">
        <v>5</v>
      </c>
      <c r="Y1024" t="s">
        <v>20125</v>
      </c>
      <c r="Z1024" t="s">
        <v>26342</v>
      </c>
      <c r="AA1024">
        <v>0.705956588706106</v>
      </c>
      <c r="AB1024" t="str">
        <f>HYPERLINK("Melting_Curves/meltCurve_H3BQA0_SNAPC5.pdf", "Melting_Curves/meltCurve_H3BQA0_SNAPC5.pdf")</f>
        <v>Melting_Curves/meltCurve_H3BQA0_SNAPC5.pdf</v>
      </c>
    </row>
    <row r="1025" spans="1:28" x14ac:dyDescent="0.25">
      <c r="A1025" t="s">
        <v>1029</v>
      </c>
      <c r="B1025">
        <v>0.99542014353169495</v>
      </c>
      <c r="C1025">
        <v>1.0463991090028899</v>
      </c>
      <c r="D1025">
        <v>0.99688596195206303</v>
      </c>
      <c r="E1025">
        <v>0.78797538937137102</v>
      </c>
      <c r="F1025">
        <v>0.60938425632031101</v>
      </c>
      <c r="G1025">
        <v>0.34763905573400899</v>
      </c>
      <c r="H1025">
        <v>0.19089085726617699</v>
      </c>
      <c r="I1025">
        <v>0.10753542399168101</v>
      </c>
      <c r="J1025">
        <v>0.105259201141606</v>
      </c>
      <c r="K1025">
        <v>0.112665678518214</v>
      </c>
      <c r="L1025">
        <v>851.81555192738006</v>
      </c>
      <c r="M1025">
        <v>16.7486353919154</v>
      </c>
      <c r="N1025">
        <v>51.372871385929898</v>
      </c>
      <c r="O1025">
        <v>50.150362135927502</v>
      </c>
      <c r="P1025">
        <v>-7.7055454662017797E-2</v>
      </c>
      <c r="Q1025">
        <v>7.7153258309604206E-2</v>
      </c>
      <c r="R1025">
        <v>0.99432912979234001</v>
      </c>
      <c r="S1025" t="s">
        <v>7427</v>
      </c>
      <c r="T1025" t="s">
        <v>12802</v>
      </c>
      <c r="U1025" t="s">
        <v>12802</v>
      </c>
      <c r="V1025" t="s">
        <v>12802</v>
      </c>
      <c r="W1025" t="s">
        <v>13807</v>
      </c>
      <c r="X1025">
        <v>5</v>
      </c>
      <c r="Y1025" t="s">
        <v>20126</v>
      </c>
      <c r="Z1025" t="s">
        <v>26343</v>
      </c>
      <c r="AA1025">
        <v>0.51948302422012516</v>
      </c>
      <c r="AB1025" t="str">
        <f>HYPERLINK("Melting_Curves/meltCurve_H3BR29_C16orf58.pdf", "Melting_Curves/meltCurve_H3BR29_C16orf58.pdf")</f>
        <v>Melting_Curves/meltCurve_H3BR29_C16orf58.pdf</v>
      </c>
    </row>
    <row r="1026" spans="1:28" x14ac:dyDescent="0.25">
      <c r="A1026" t="s">
        <v>1030</v>
      </c>
      <c r="B1026">
        <v>0.99542014353169495</v>
      </c>
      <c r="C1026">
        <v>1.0217213064020501</v>
      </c>
      <c r="D1026">
        <v>0.96501662872731897</v>
      </c>
      <c r="E1026">
        <v>0.86030876851896598</v>
      </c>
      <c r="F1026">
        <v>0.68515202288225496</v>
      </c>
      <c r="G1026">
        <v>0.45506771135243101</v>
      </c>
      <c r="H1026">
        <v>0.22472404963853401</v>
      </c>
      <c r="I1026">
        <v>0.15601290022898001</v>
      </c>
      <c r="J1026">
        <v>0.18566834750841499</v>
      </c>
      <c r="K1026">
        <v>0.124027094291724</v>
      </c>
      <c r="L1026">
        <v>861.36997581035405</v>
      </c>
      <c r="M1026">
        <v>16.590784710669102</v>
      </c>
      <c r="N1026">
        <v>52.697282696623702</v>
      </c>
      <c r="O1026">
        <v>51.181868765004801</v>
      </c>
      <c r="P1026">
        <v>-7.2233690217245003E-2</v>
      </c>
      <c r="Q1026">
        <v>0.10870898693772001</v>
      </c>
      <c r="R1026">
        <v>0.99569106493289405</v>
      </c>
      <c r="S1026" t="s">
        <v>7428</v>
      </c>
      <c r="T1026" t="s">
        <v>12802</v>
      </c>
      <c r="U1026" t="s">
        <v>12802</v>
      </c>
      <c r="V1026" t="s">
        <v>12802</v>
      </c>
      <c r="W1026" t="s">
        <v>13808</v>
      </c>
      <c r="X1026">
        <v>3</v>
      </c>
      <c r="Y1026" t="s">
        <v>20127</v>
      </c>
      <c r="Z1026" t="s">
        <v>26344</v>
      </c>
      <c r="AA1026">
        <v>0.56705361006486299</v>
      </c>
      <c r="AB1026" t="str">
        <f>HYPERLINK("Melting_Curves/meltCurve_H3BR94_DCTN5.pdf", "Melting_Curves/meltCurve_H3BR94_DCTN5.pdf")</f>
        <v>Melting_Curves/meltCurve_H3BR94_DCTN5.pdf</v>
      </c>
    </row>
    <row r="1027" spans="1:28" x14ac:dyDescent="0.25">
      <c r="A1027" t="s">
        <v>1031</v>
      </c>
      <c r="B1027">
        <v>0.99542014353169495</v>
      </c>
      <c r="C1027">
        <v>1.1892627352729399</v>
      </c>
      <c r="D1027">
        <v>0.35799433059598001</v>
      </c>
      <c r="E1027">
        <v>0.31129799373264999</v>
      </c>
      <c r="F1027">
        <v>0.29693354145677803</v>
      </c>
      <c r="G1027">
        <v>0.45429353249951798</v>
      </c>
      <c r="H1027">
        <v>0.15874793959128899</v>
      </c>
      <c r="I1027">
        <v>7.60977146503065E-2</v>
      </c>
      <c r="J1027">
        <v>3.4689430848249499E-2</v>
      </c>
      <c r="K1027">
        <v>5.1606098157087603E-2</v>
      </c>
      <c r="L1027">
        <v>10690.342790795101</v>
      </c>
      <c r="M1027">
        <v>250</v>
      </c>
      <c r="N1027">
        <v>42.847595897012297</v>
      </c>
      <c r="O1027">
        <v>42.758634733370002</v>
      </c>
      <c r="P1027">
        <v>-1.17276516419183</v>
      </c>
      <c r="Q1027">
        <v>0.19766660466985</v>
      </c>
      <c r="R1027">
        <v>0.866964188651691</v>
      </c>
      <c r="S1027" t="s">
        <v>7429</v>
      </c>
      <c r="T1027" t="s">
        <v>12802</v>
      </c>
      <c r="U1027" t="s">
        <v>12802</v>
      </c>
      <c r="V1027" t="s">
        <v>12802</v>
      </c>
      <c r="W1027" t="s">
        <v>13809</v>
      </c>
      <c r="X1027">
        <v>1</v>
      </c>
      <c r="Y1027" t="s">
        <v>20128</v>
      </c>
      <c r="Z1027" t="s">
        <v>26345</v>
      </c>
      <c r="AA1027">
        <v>0.35181149911720699</v>
      </c>
      <c r="AB1027" t="str">
        <f>HYPERLINK("Melting_Curves/meltCurve_H3BRA4_BLOC1S6.pdf", "Melting_Curves/meltCurve_H3BRA4_BLOC1S6.pdf")</f>
        <v>Melting_Curves/meltCurve_H3BRA4_BLOC1S6.pdf</v>
      </c>
    </row>
    <row r="1028" spans="1:28" x14ac:dyDescent="0.25">
      <c r="A1028" t="s">
        <v>1032</v>
      </c>
      <c r="B1028">
        <v>0.99542014353169495</v>
      </c>
      <c r="C1028">
        <v>0.84722323297848701</v>
      </c>
      <c r="D1028">
        <v>0.67222843972380497</v>
      </c>
      <c r="E1028">
        <v>0.62892808891763596</v>
      </c>
      <c r="F1028">
        <v>0.41750958219540002</v>
      </c>
      <c r="G1028">
        <v>0.22182646376877799</v>
      </c>
      <c r="H1028">
        <v>0.17930275586746899</v>
      </c>
      <c r="I1028">
        <v>0.140797252434747</v>
      </c>
      <c r="J1028">
        <v>2.8220640713174198E-2</v>
      </c>
      <c r="K1028">
        <v>8.9656984702752504E-2</v>
      </c>
      <c r="L1028">
        <v>449.45987526020599</v>
      </c>
      <c r="M1028">
        <v>9.3820148436883404</v>
      </c>
      <c r="N1028">
        <v>47.906552738996297</v>
      </c>
      <c r="O1028">
        <v>45.881241868317403</v>
      </c>
      <c r="P1028">
        <v>-5.1152900752409101E-2</v>
      </c>
      <c r="Q1028">
        <v>0</v>
      </c>
      <c r="R1028">
        <v>0.98164394529659604</v>
      </c>
      <c r="S1028" t="s">
        <v>7430</v>
      </c>
      <c r="T1028" t="s">
        <v>12802</v>
      </c>
      <c r="U1028" t="s">
        <v>12802</v>
      </c>
      <c r="V1028" t="s">
        <v>12802</v>
      </c>
      <c r="W1028" t="s">
        <v>13810</v>
      </c>
      <c r="X1028">
        <v>2</v>
      </c>
      <c r="Y1028" t="s">
        <v>20129</v>
      </c>
      <c r="Z1028" t="s">
        <v>26346</v>
      </c>
      <c r="AA1028">
        <v>0.40734039115747012</v>
      </c>
      <c r="AB1028" t="str">
        <f>HYPERLINK("Melting_Curves/meltCurve_H3BRB6_ZNRF1.pdf", "Melting_Curves/meltCurve_H3BRB6_ZNRF1.pdf")</f>
        <v>Melting_Curves/meltCurve_H3BRB6_ZNRF1.pdf</v>
      </c>
    </row>
    <row r="1029" spans="1:28" x14ac:dyDescent="0.25">
      <c r="A1029" t="s">
        <v>1033</v>
      </c>
      <c r="B1029">
        <v>0.99542014353169495</v>
      </c>
      <c r="C1029">
        <v>1.0279716180898599</v>
      </c>
      <c r="D1029">
        <v>0.95735444962202698</v>
      </c>
      <c r="E1029">
        <v>0.85816661596041899</v>
      </c>
      <c r="F1029">
        <v>0.75096407139743404</v>
      </c>
      <c r="G1029">
        <v>0.56190284795954704</v>
      </c>
      <c r="H1029">
        <v>0.39613496791814401</v>
      </c>
      <c r="I1029">
        <v>0.326426749298451</v>
      </c>
      <c r="J1029">
        <v>0.32962975242902598</v>
      </c>
      <c r="K1029">
        <v>0.37498120050793499</v>
      </c>
      <c r="L1029">
        <v>831.27299725975502</v>
      </c>
      <c r="M1029">
        <v>16.1362927853333</v>
      </c>
      <c r="N1029">
        <v>54.819442780741397</v>
      </c>
      <c r="O1029">
        <v>50.744000778149498</v>
      </c>
      <c r="P1029">
        <v>-5.4784678205401498E-2</v>
      </c>
      <c r="Q1029">
        <v>0.31092369853132801</v>
      </c>
      <c r="R1029">
        <v>0.989541416334204</v>
      </c>
      <c r="S1029" t="s">
        <v>7431</v>
      </c>
      <c r="T1029" t="s">
        <v>12802</v>
      </c>
      <c r="U1029" t="s">
        <v>12802</v>
      </c>
      <c r="V1029" t="s">
        <v>12802</v>
      </c>
      <c r="W1029" t="s">
        <v>13811</v>
      </c>
      <c r="X1029">
        <v>11</v>
      </c>
      <c r="Y1029" t="s">
        <v>20130</v>
      </c>
      <c r="Z1029" t="s">
        <v>26347</v>
      </c>
      <c r="AA1029">
        <v>0.65666657935729067</v>
      </c>
      <c r="AB1029" t="str">
        <f>HYPERLINK("Melting_Curves/meltCurve_H3BRF9_ZFYVE19.pdf", "Melting_Curves/meltCurve_H3BRF9_ZFYVE19.pdf")</f>
        <v>Melting_Curves/meltCurve_H3BRF9_ZFYVE19.pdf</v>
      </c>
    </row>
    <row r="1030" spans="1:28" x14ac:dyDescent="0.25">
      <c r="A1030" t="s">
        <v>1034</v>
      </c>
      <c r="B1030">
        <v>0.99542014353169495</v>
      </c>
      <c r="C1030">
        <v>1.1084237317010901</v>
      </c>
      <c r="D1030">
        <v>1.08443440023219</v>
      </c>
      <c r="E1030">
        <v>0.92480493013829401</v>
      </c>
      <c r="F1030">
        <v>0.68642363966142395</v>
      </c>
      <c r="G1030">
        <v>0.25640435269536999</v>
      </c>
      <c r="H1030">
        <v>0.100551664699504</v>
      </c>
      <c r="I1030">
        <v>7.5150970019441501E-2</v>
      </c>
      <c r="J1030">
        <v>8.2892558769145905E-2</v>
      </c>
      <c r="K1030">
        <v>0.100628804484446</v>
      </c>
      <c r="L1030">
        <v>1551.2627852451899</v>
      </c>
      <c r="M1030">
        <v>30.274174233713399</v>
      </c>
      <c r="N1030">
        <v>51.534371061581801</v>
      </c>
      <c r="O1030">
        <v>51.018449641297103</v>
      </c>
      <c r="P1030">
        <v>-0.13658780943555299</v>
      </c>
      <c r="Q1030">
        <v>7.9287258175134406E-2</v>
      </c>
      <c r="R1030">
        <v>0.98875678060201799</v>
      </c>
      <c r="S1030" t="s">
        <v>7432</v>
      </c>
      <c r="T1030" t="s">
        <v>12802</v>
      </c>
      <c r="U1030" t="s">
        <v>12802</v>
      </c>
      <c r="V1030" t="s">
        <v>12802</v>
      </c>
      <c r="W1030" t="s">
        <v>13812</v>
      </c>
      <c r="X1030">
        <v>9</v>
      </c>
      <c r="Y1030" t="s">
        <v>20131</v>
      </c>
      <c r="Z1030" t="s">
        <v>26348</v>
      </c>
      <c r="AA1030">
        <v>0.52198753181403035</v>
      </c>
      <c r="AB1030" t="str">
        <f>HYPERLINK("Melting_Curves/meltCurve_H3BRL3_UBFD1.pdf", "Melting_Curves/meltCurve_H3BRL3_UBFD1.pdf")</f>
        <v>Melting_Curves/meltCurve_H3BRL3_UBFD1.pdf</v>
      </c>
    </row>
    <row r="1031" spans="1:28" x14ac:dyDescent="0.25">
      <c r="A1031" t="s">
        <v>1035</v>
      </c>
      <c r="B1031">
        <v>0.99542014353169495</v>
      </c>
      <c r="C1031">
        <v>0.96902906719605797</v>
      </c>
      <c r="D1031">
        <v>0.92299814005784697</v>
      </c>
      <c r="E1031">
        <v>0.86588593628156096</v>
      </c>
      <c r="F1031">
        <v>0.635143145331028</v>
      </c>
      <c r="G1031">
        <v>0.40467835981744699</v>
      </c>
      <c r="H1031">
        <v>0.38608911698060799</v>
      </c>
      <c r="I1031">
        <v>0.30373955282964199</v>
      </c>
      <c r="J1031">
        <v>0.21845541064850599</v>
      </c>
      <c r="K1031">
        <v>8.1104119982788297E-2</v>
      </c>
      <c r="L1031">
        <v>554.316668753724</v>
      </c>
      <c r="M1031">
        <v>10.4991569639937</v>
      </c>
      <c r="N1031">
        <v>53.4504949584774</v>
      </c>
      <c r="O1031">
        <v>50.988834071412199</v>
      </c>
      <c r="P1031">
        <v>-4.8393458061300298E-2</v>
      </c>
      <c r="Q1031">
        <v>6.0293870323246401E-2</v>
      </c>
      <c r="R1031">
        <v>0.98019857074110694</v>
      </c>
      <c r="S1031" t="s">
        <v>7433</v>
      </c>
      <c r="T1031" t="s">
        <v>12802</v>
      </c>
      <c r="U1031" t="s">
        <v>12802</v>
      </c>
      <c r="V1031" t="s">
        <v>12802</v>
      </c>
      <c r="W1031" t="s">
        <v>13086</v>
      </c>
      <c r="X1031">
        <v>1</v>
      </c>
      <c r="Z1031" t="s">
        <v>26349</v>
      </c>
      <c r="AA1031">
        <v>0.57670471985161986</v>
      </c>
      <c r="AB1031" t="str">
        <f>HYPERLINK("Melting_Curves/meltCurve_H3BRN7_.pdf", "Melting_Curves/meltCurve_H3BRN7_.pdf")</f>
        <v>Melting_Curves/meltCurve_H3BRN7_.pdf</v>
      </c>
    </row>
    <row r="1032" spans="1:28" x14ac:dyDescent="0.25">
      <c r="A1032" t="s">
        <v>1036</v>
      </c>
      <c r="B1032">
        <v>0.99542014353169495</v>
      </c>
      <c r="C1032">
        <v>1.0151776537585799</v>
      </c>
      <c r="D1032">
        <v>0.93542584612478097</v>
      </c>
      <c r="E1032">
        <v>0.88290956712947299</v>
      </c>
      <c r="F1032">
        <v>0.76802598282113999</v>
      </c>
      <c r="G1032">
        <v>0.42471715248394898</v>
      </c>
      <c r="H1032">
        <v>0.48906788489446001</v>
      </c>
      <c r="I1032">
        <v>0.49622596187664603</v>
      </c>
      <c r="J1032">
        <v>0.59855755201046801</v>
      </c>
      <c r="K1032">
        <v>0.53645616539680396</v>
      </c>
      <c r="L1032">
        <v>1671.8143977053101</v>
      </c>
      <c r="M1032">
        <v>33.673551422199097</v>
      </c>
      <c r="O1032">
        <v>49.473584876485504</v>
      </c>
      <c r="P1032">
        <v>-8.3695232125691299E-2</v>
      </c>
      <c r="Q1032">
        <v>0.50813787413479095</v>
      </c>
      <c r="R1032">
        <v>0.92517806225526</v>
      </c>
      <c r="S1032" t="s">
        <v>7434</v>
      </c>
      <c r="T1032" t="s">
        <v>12802</v>
      </c>
      <c r="U1032" t="s">
        <v>12802</v>
      </c>
      <c r="V1032" t="s">
        <v>12802</v>
      </c>
      <c r="W1032" t="s">
        <v>13813</v>
      </c>
      <c r="X1032">
        <v>2</v>
      </c>
      <c r="Y1032" t="s">
        <v>20132</v>
      </c>
      <c r="Z1032" t="s">
        <v>26350</v>
      </c>
      <c r="AA1032">
        <v>0.71788562605896966</v>
      </c>
      <c r="AB1032" t="str">
        <f>HYPERLINK("Melting_Curves/meltCurve_H3BRQ0_PPCDC.pdf", "Melting_Curves/meltCurve_H3BRQ0_PPCDC.pdf")</f>
        <v>Melting_Curves/meltCurve_H3BRQ0_PPCDC.pdf</v>
      </c>
    </row>
    <row r="1033" spans="1:28" x14ac:dyDescent="0.25">
      <c r="A1033" t="s">
        <v>1037</v>
      </c>
      <c r="B1033">
        <v>0.99542014353169495</v>
      </c>
      <c r="C1033">
        <v>1.05835675954092</v>
      </c>
      <c r="D1033">
        <v>1.1015203718793201</v>
      </c>
      <c r="E1033">
        <v>1.0155661593962499</v>
      </c>
      <c r="F1033">
        <v>0.85299078344622103</v>
      </c>
      <c r="G1033">
        <v>0.64522927424229104</v>
      </c>
      <c r="H1033">
        <v>0.39778613295642401</v>
      </c>
      <c r="I1033">
        <v>0.40907607558272002</v>
      </c>
      <c r="J1033">
        <v>0.111048939764024</v>
      </c>
      <c r="K1033">
        <v>0.30234999187120098</v>
      </c>
      <c r="L1033">
        <v>1098.7748075296699</v>
      </c>
      <c r="M1033">
        <v>20.252501767028399</v>
      </c>
      <c r="N1033">
        <v>55.910596353471099</v>
      </c>
      <c r="O1033">
        <v>53.7331348507795</v>
      </c>
      <c r="P1033">
        <v>-7.2968629576023902E-2</v>
      </c>
      <c r="Q1033">
        <v>0.225634159658998</v>
      </c>
      <c r="R1033">
        <v>0.95388166918895101</v>
      </c>
      <c r="S1033" t="s">
        <v>7435</v>
      </c>
      <c r="T1033" t="s">
        <v>12802</v>
      </c>
      <c r="U1033" t="s">
        <v>12802</v>
      </c>
      <c r="V1033" t="s">
        <v>12802</v>
      </c>
      <c r="W1033" t="s">
        <v>13814</v>
      </c>
      <c r="X1033">
        <v>1</v>
      </c>
      <c r="Y1033" t="s">
        <v>20133</v>
      </c>
      <c r="Z1033" t="s">
        <v>26351</v>
      </c>
      <c r="AA1033">
        <v>0.68008562629621783</v>
      </c>
      <c r="AB1033" t="str">
        <f>HYPERLINK("Melting_Curves/meltCurve_H3BRQ8_NUDT7.pdf", "Melting_Curves/meltCurve_H3BRQ8_NUDT7.pdf")</f>
        <v>Melting_Curves/meltCurve_H3BRQ8_NUDT7.pdf</v>
      </c>
    </row>
    <row r="1034" spans="1:28" x14ac:dyDescent="0.25">
      <c r="A1034" t="s">
        <v>1038</v>
      </c>
      <c r="B1034">
        <v>0.99542014353169495</v>
      </c>
      <c r="C1034">
        <v>0.99785934140757604</v>
      </c>
      <c r="D1034">
        <v>0.79563565684908499</v>
      </c>
      <c r="E1034">
        <v>0.43550634307520297</v>
      </c>
      <c r="F1034">
        <v>0.17438243963386801</v>
      </c>
      <c r="G1034">
        <v>9.9185654819022806E-2</v>
      </c>
      <c r="H1034">
        <v>6.8639830148652506E-2</v>
      </c>
      <c r="I1034">
        <v>7.4285319685942597E-2</v>
      </c>
      <c r="J1034">
        <v>9.5260696590797098E-2</v>
      </c>
      <c r="K1034">
        <v>8.7038422727799006E-2</v>
      </c>
      <c r="L1034">
        <v>1045.79789401793</v>
      </c>
      <c r="M1034">
        <v>22.9434186251517</v>
      </c>
      <c r="N1034">
        <v>45.917699874830802</v>
      </c>
      <c r="O1034">
        <v>45.239544887502198</v>
      </c>
      <c r="P1034">
        <v>-0.116990569698109</v>
      </c>
      <c r="Q1034">
        <v>7.7294858300054795E-2</v>
      </c>
      <c r="R1034">
        <v>0.99846988610314902</v>
      </c>
      <c r="S1034" t="s">
        <v>7436</v>
      </c>
      <c r="T1034" t="s">
        <v>12802</v>
      </c>
      <c r="U1034" t="s">
        <v>12802</v>
      </c>
      <c r="V1034" t="s">
        <v>12802</v>
      </c>
      <c r="W1034" t="s">
        <v>13815</v>
      </c>
      <c r="X1034">
        <v>6</v>
      </c>
      <c r="Y1034" t="s">
        <v>20134</v>
      </c>
      <c r="Z1034" t="s">
        <v>26352</v>
      </c>
      <c r="AA1034">
        <v>0.35032870210619799</v>
      </c>
      <c r="AB1034" t="str">
        <f>HYPERLINK("Melting_Curves/meltCurve_H3BRS1_NFATC3.pdf", "Melting_Curves/meltCurve_H3BRS1_NFATC3.pdf")</f>
        <v>Melting_Curves/meltCurve_H3BRS1_NFATC3.pdf</v>
      </c>
    </row>
    <row r="1035" spans="1:28" x14ac:dyDescent="0.25">
      <c r="A1035" t="s">
        <v>1039</v>
      </c>
      <c r="B1035">
        <v>0.99542014353169495</v>
      </c>
      <c r="C1035">
        <v>0.90249366570363898</v>
      </c>
      <c r="D1035">
        <v>0.97112636063308</v>
      </c>
      <c r="E1035">
        <v>0.72361131996330297</v>
      </c>
      <c r="F1035">
        <v>0.53717578089685003</v>
      </c>
      <c r="G1035">
        <v>0.54137946708552498</v>
      </c>
      <c r="H1035">
        <v>0.49951684718147099</v>
      </c>
      <c r="I1035">
        <v>0.48647038121184399</v>
      </c>
      <c r="J1035">
        <v>0.72818061810153401</v>
      </c>
      <c r="K1035">
        <v>0.723522548337039</v>
      </c>
      <c r="L1035">
        <v>2467.8620301125302</v>
      </c>
      <c r="M1035">
        <v>53.7073255033837</v>
      </c>
      <c r="O1035">
        <v>45.8866208008439</v>
      </c>
      <c r="P1035">
        <v>-0.12118531757886999</v>
      </c>
      <c r="Q1035">
        <v>0.58584561431821303</v>
      </c>
      <c r="R1035">
        <v>0.79049292677918903</v>
      </c>
      <c r="S1035" t="s">
        <v>7437</v>
      </c>
      <c r="T1035" t="s">
        <v>12802</v>
      </c>
      <c r="U1035" t="s">
        <v>12802</v>
      </c>
      <c r="V1035" t="s">
        <v>12802</v>
      </c>
      <c r="W1035" t="s">
        <v>13790</v>
      </c>
      <c r="X1035">
        <v>2</v>
      </c>
      <c r="Y1035" t="s">
        <v>20110</v>
      </c>
      <c r="Z1035" t="s">
        <v>26353</v>
      </c>
      <c r="AA1035">
        <v>0.71013137379945812</v>
      </c>
      <c r="AB1035" t="str">
        <f>HYPERLINK("Melting_Curves/meltCurve_H3BRU1_FAM219B.pdf", "Melting_Curves/meltCurve_H3BRU1_FAM219B.pdf")</f>
        <v>Melting_Curves/meltCurve_H3BRU1_FAM219B.pdf</v>
      </c>
    </row>
    <row r="1036" spans="1:28" x14ac:dyDescent="0.25">
      <c r="A1036" t="s">
        <v>1040</v>
      </c>
      <c r="B1036">
        <v>0.99542014353169495</v>
      </c>
      <c r="C1036">
        <v>0.87331114063409399</v>
      </c>
      <c r="D1036">
        <v>0.94468422249960005</v>
      </c>
      <c r="E1036">
        <v>0.581596055959123</v>
      </c>
      <c r="F1036">
        <v>0.20637805396848799</v>
      </c>
      <c r="G1036">
        <v>0.115847495744382</v>
      </c>
      <c r="H1036">
        <v>7.6805010994534198E-2</v>
      </c>
      <c r="I1036">
        <v>6.1277344313093701E-2</v>
      </c>
      <c r="J1036">
        <v>6.9227420843375506E-2</v>
      </c>
      <c r="K1036">
        <v>7.6921105458060704E-2</v>
      </c>
      <c r="L1036">
        <v>1213.23619890894</v>
      </c>
      <c r="M1036">
        <v>25.838162939711701</v>
      </c>
      <c r="N1036">
        <v>47.228035966506198</v>
      </c>
      <c r="O1036">
        <v>46.676624582486703</v>
      </c>
      <c r="P1036">
        <v>-0.12879627850211101</v>
      </c>
      <c r="Q1036">
        <v>6.9328936009363601E-2</v>
      </c>
      <c r="R1036">
        <v>0.98989949756524298</v>
      </c>
      <c r="S1036" t="s">
        <v>7438</v>
      </c>
      <c r="T1036" t="s">
        <v>12802</v>
      </c>
      <c r="U1036" t="s">
        <v>12802</v>
      </c>
      <c r="V1036" t="s">
        <v>12802</v>
      </c>
      <c r="W1036" t="s">
        <v>13816</v>
      </c>
      <c r="X1036">
        <v>34</v>
      </c>
      <c r="Y1036" t="s">
        <v>20135</v>
      </c>
      <c r="Z1036" t="s">
        <v>26354</v>
      </c>
      <c r="AA1036">
        <v>0.38547169972963541</v>
      </c>
      <c r="AB1036" t="str">
        <f>HYPERLINK("Melting_Curves/meltCurve_H3BRV0_EIF3C.pdf", "Melting_Curves/meltCurve_H3BRV0_EIF3C.pdf")</f>
        <v>Melting_Curves/meltCurve_H3BRV0_EIF3C.pdf</v>
      </c>
    </row>
    <row r="1037" spans="1:28" x14ac:dyDescent="0.25">
      <c r="A1037" t="s">
        <v>1041</v>
      </c>
      <c r="B1037">
        <v>0.99542014353169495</v>
      </c>
      <c r="C1037">
        <v>0.87916969108963605</v>
      </c>
      <c r="D1037">
        <v>0.77054919990287896</v>
      </c>
      <c r="E1037">
        <v>0.51967830179866403</v>
      </c>
      <c r="F1037">
        <v>0.31594669294252298</v>
      </c>
      <c r="G1037">
        <v>0.17682863423474199</v>
      </c>
      <c r="H1037">
        <v>8.0871670863274403E-2</v>
      </c>
      <c r="I1037">
        <v>4.4605409298177197E-2</v>
      </c>
      <c r="J1037">
        <v>4.7608407961459202E-2</v>
      </c>
      <c r="K1037">
        <v>6.1600006747628999E-2</v>
      </c>
      <c r="L1037">
        <v>607.03302420036198</v>
      </c>
      <c r="M1037">
        <v>12.9696003344716</v>
      </c>
      <c r="N1037">
        <v>46.934575455339903</v>
      </c>
      <c r="O1037">
        <v>45.733497180533803</v>
      </c>
      <c r="P1037">
        <v>-6.9656654847507896E-2</v>
      </c>
      <c r="Q1037">
        <v>1.7680021019812E-2</v>
      </c>
      <c r="R1037">
        <v>0.99769501758522905</v>
      </c>
      <c r="S1037" t="s">
        <v>7439</v>
      </c>
      <c r="T1037" t="s">
        <v>12802</v>
      </c>
      <c r="U1037" t="s">
        <v>12802</v>
      </c>
      <c r="V1037" t="s">
        <v>12802</v>
      </c>
      <c r="W1037" t="s">
        <v>13817</v>
      </c>
      <c r="X1037">
        <v>3</v>
      </c>
      <c r="Y1037" t="s">
        <v>20136</v>
      </c>
      <c r="Z1037" t="s">
        <v>26355</v>
      </c>
      <c r="AA1037">
        <v>0.36737118427326748</v>
      </c>
      <c r="AB1037" t="str">
        <f>HYPERLINK("Melting_Curves/meltCurve_H3BS01_C15orf41.pdf", "Melting_Curves/meltCurve_H3BS01_C15orf41.pdf")</f>
        <v>Melting_Curves/meltCurve_H3BS01_C15orf41.pdf</v>
      </c>
    </row>
    <row r="1038" spans="1:28" x14ac:dyDescent="0.25">
      <c r="A1038" t="s">
        <v>1042</v>
      </c>
      <c r="B1038">
        <v>0.99542014353169495</v>
      </c>
      <c r="C1038">
        <v>0.92333262578416397</v>
      </c>
      <c r="D1038">
        <v>0.94556722340831401</v>
      </c>
      <c r="E1038">
        <v>0.83452211920335895</v>
      </c>
      <c r="F1038">
        <v>0.774368746265095</v>
      </c>
      <c r="G1038">
        <v>0.59334576284710105</v>
      </c>
      <c r="H1038">
        <v>0.45251860467314797</v>
      </c>
      <c r="I1038">
        <v>0.41695995841172401</v>
      </c>
      <c r="J1038">
        <v>0.56556587165732197</v>
      </c>
      <c r="K1038">
        <v>0.61235214508470703</v>
      </c>
      <c r="L1038">
        <v>858.27143554340296</v>
      </c>
      <c r="M1038">
        <v>17.450911160725202</v>
      </c>
      <c r="O1038">
        <v>48.549839092831803</v>
      </c>
      <c r="P1038">
        <v>-4.4578138964507401E-2</v>
      </c>
      <c r="Q1038">
        <v>0.50394777420380399</v>
      </c>
      <c r="R1038">
        <v>0.89374732925686096</v>
      </c>
      <c r="S1038" t="s">
        <v>7440</v>
      </c>
      <c r="T1038" t="s">
        <v>12802</v>
      </c>
      <c r="U1038" t="s">
        <v>12802</v>
      </c>
      <c r="V1038" t="s">
        <v>12802</v>
      </c>
      <c r="W1038" t="s">
        <v>13818</v>
      </c>
      <c r="X1038">
        <v>2</v>
      </c>
      <c r="Y1038" t="s">
        <v>20137</v>
      </c>
      <c r="Z1038" t="s">
        <v>26356</v>
      </c>
      <c r="AA1038">
        <v>0.71368436657628076</v>
      </c>
      <c r="AB1038" t="str">
        <f>HYPERLINK("Melting_Curves/meltCurve_H3BS66_SMIM1.pdf", "Melting_Curves/meltCurve_H3BS66_SMIM1.pdf")</f>
        <v>Melting_Curves/meltCurve_H3BS66_SMIM1.pdf</v>
      </c>
    </row>
    <row r="1039" spans="1:28" x14ac:dyDescent="0.25">
      <c r="A1039" t="s">
        <v>1043</v>
      </c>
      <c r="B1039">
        <v>0.99542014353169495</v>
      </c>
      <c r="C1039">
        <v>1.23018559484588</v>
      </c>
      <c r="D1039">
        <v>1.13949544727817</v>
      </c>
      <c r="E1039">
        <v>0.99950190338900102</v>
      </c>
      <c r="F1039">
        <v>0.61731105793196395</v>
      </c>
      <c r="G1039">
        <v>0.58489365240129898</v>
      </c>
      <c r="H1039">
        <v>0.349948993222087</v>
      </c>
      <c r="I1039">
        <v>0.39971756238933298</v>
      </c>
      <c r="J1039">
        <v>0.366211352235503</v>
      </c>
      <c r="K1039">
        <v>0.57239560322483096</v>
      </c>
      <c r="L1039">
        <v>2120.0071954518799</v>
      </c>
      <c r="M1039">
        <v>42.8360192409109</v>
      </c>
      <c r="N1039">
        <v>52.2366782509785</v>
      </c>
      <c r="O1039">
        <v>49.383731236249901</v>
      </c>
      <c r="P1039">
        <v>-0.119839039511799</v>
      </c>
      <c r="Q1039">
        <v>0.447372591009294</v>
      </c>
      <c r="R1039">
        <v>0.87726887811024301</v>
      </c>
      <c r="S1039" t="s">
        <v>7441</v>
      </c>
      <c r="T1039" t="s">
        <v>12802</v>
      </c>
      <c r="U1039" t="s">
        <v>12802</v>
      </c>
      <c r="V1039" t="s">
        <v>12802</v>
      </c>
      <c r="W1039" t="s">
        <v>13819</v>
      </c>
      <c r="X1039">
        <v>1</v>
      </c>
      <c r="Y1039" t="s">
        <v>20138</v>
      </c>
      <c r="Z1039" t="s">
        <v>26357</v>
      </c>
      <c r="AA1039">
        <v>0.67911893569470305</v>
      </c>
      <c r="AB1039" t="str">
        <f>HYPERLINK("Melting_Curves/meltCurve_H3BSB3_MPHOSPH6.pdf", "Melting_Curves/meltCurve_H3BSB3_MPHOSPH6.pdf")</f>
        <v>Melting_Curves/meltCurve_H3BSB3_MPHOSPH6.pdf</v>
      </c>
    </row>
    <row r="1040" spans="1:28" x14ac:dyDescent="0.25">
      <c r="A1040" t="s">
        <v>1044</v>
      </c>
      <c r="B1040">
        <v>0.99542014353169495</v>
      </c>
      <c r="C1040">
        <v>1.0012224067878801</v>
      </c>
      <c r="D1040">
        <v>1.03380550127976</v>
      </c>
      <c r="E1040">
        <v>1.23341795090708</v>
      </c>
      <c r="F1040">
        <v>1.6410197161525999</v>
      </c>
      <c r="G1040">
        <v>0.78865230847979595</v>
      </c>
      <c r="H1040">
        <v>0.17619907718074099</v>
      </c>
      <c r="I1040">
        <v>7.6238013865865498E-2</v>
      </c>
      <c r="J1040">
        <v>6.0914246601086998E-2</v>
      </c>
      <c r="K1040">
        <v>8.1710912268682503E-2</v>
      </c>
      <c r="L1040">
        <v>3407.42054745013</v>
      </c>
      <c r="M1040">
        <v>61.9777448749361</v>
      </c>
      <c r="N1040">
        <v>55.1359459903206</v>
      </c>
      <c r="O1040">
        <v>54.9209793499437</v>
      </c>
      <c r="P1040">
        <v>-0.259195106059189</v>
      </c>
      <c r="Q1040">
        <v>8.1267383871533302E-2</v>
      </c>
      <c r="R1040">
        <v>0.83844957608820403</v>
      </c>
      <c r="S1040" t="s">
        <v>7442</v>
      </c>
      <c r="T1040" t="s">
        <v>12802</v>
      </c>
      <c r="U1040" t="s">
        <v>12802</v>
      </c>
      <c r="V1040" t="s">
        <v>12802</v>
      </c>
      <c r="W1040" t="s">
        <v>13820</v>
      </c>
      <c r="X1040">
        <v>10</v>
      </c>
      <c r="Y1040" t="s">
        <v>20139</v>
      </c>
      <c r="Z1040" t="s">
        <v>26358</v>
      </c>
      <c r="AA1040">
        <v>0.63328381971057757</v>
      </c>
      <c r="AB1040" t="str">
        <f>HYPERLINK("Melting_Curves/meltCurve_H3BSH7_CIRH1A.pdf", "Melting_Curves/meltCurve_H3BSH7_CIRH1A.pdf")</f>
        <v>Melting_Curves/meltCurve_H3BSH7_CIRH1A.pdf</v>
      </c>
    </row>
    <row r="1041" spans="1:28" x14ac:dyDescent="0.25">
      <c r="A1041" t="s">
        <v>1045</v>
      </c>
      <c r="B1041">
        <v>0.99542014353169495</v>
      </c>
      <c r="C1041">
        <v>0.93402863370775302</v>
      </c>
      <c r="D1041">
        <v>0.92777868189870805</v>
      </c>
      <c r="E1041">
        <v>0.72989177939486505</v>
      </c>
      <c r="F1041">
        <v>0.46334864329183001</v>
      </c>
      <c r="G1041">
        <v>0.179138664676222</v>
      </c>
      <c r="H1041">
        <v>8.0432834259802993E-2</v>
      </c>
      <c r="I1041">
        <v>4.6082061428209198E-2</v>
      </c>
      <c r="J1041">
        <v>3.5828046050348103E-2</v>
      </c>
      <c r="K1041">
        <v>4.2380566236671503E-2</v>
      </c>
      <c r="L1041">
        <v>853.348561635686</v>
      </c>
      <c r="M1041">
        <v>17.296408022324101</v>
      </c>
      <c r="N1041">
        <v>49.418759202467903</v>
      </c>
      <c r="O1041">
        <v>48.691424105522501</v>
      </c>
      <c r="P1041">
        <v>-8.7554927332920807E-2</v>
      </c>
      <c r="Q1041">
        <v>1.4147201049291999E-2</v>
      </c>
      <c r="R1041">
        <v>0.99708087218943497</v>
      </c>
      <c r="S1041" t="s">
        <v>7443</v>
      </c>
      <c r="T1041" t="s">
        <v>12802</v>
      </c>
      <c r="U1041" t="s">
        <v>12802</v>
      </c>
      <c r="V1041" t="s">
        <v>12802</v>
      </c>
      <c r="W1041" t="s">
        <v>13821</v>
      </c>
      <c r="X1041">
        <v>12</v>
      </c>
      <c r="Y1041" t="s">
        <v>20140</v>
      </c>
      <c r="Z1041" t="s">
        <v>26359</v>
      </c>
      <c r="AA1041">
        <v>0.43628169208153972</v>
      </c>
      <c r="AB1041" t="str">
        <f>HYPERLINK("Melting_Curves/meltCurve_H3BSW6_CTU2.pdf", "Melting_Curves/meltCurve_H3BSW6_CTU2.pdf")</f>
        <v>Melting_Curves/meltCurve_H3BSW6_CTU2.pdf</v>
      </c>
    </row>
    <row r="1042" spans="1:28" x14ac:dyDescent="0.25">
      <c r="A1042" t="s">
        <v>1046</v>
      </c>
      <c r="B1042">
        <v>0.99542014353169495</v>
      </c>
      <c r="C1042">
        <v>0.91774331690818201</v>
      </c>
      <c r="D1042">
        <v>0.84325151377224605</v>
      </c>
      <c r="E1042">
        <v>0.60870342175293402</v>
      </c>
      <c r="F1042">
        <v>0.28664821147546599</v>
      </c>
      <c r="G1042">
        <v>0.116763966820861</v>
      </c>
      <c r="H1042">
        <v>9.1706618649698493E-2</v>
      </c>
      <c r="I1042">
        <v>7.2534425175121903E-2</v>
      </c>
      <c r="J1042">
        <v>8.3573556903398905E-2</v>
      </c>
      <c r="K1042">
        <v>8.29474692075583E-2</v>
      </c>
      <c r="L1042">
        <v>854.89944022170005</v>
      </c>
      <c r="M1042">
        <v>18.145114174903899</v>
      </c>
      <c r="N1042">
        <v>47.454971371661998</v>
      </c>
      <c r="O1042">
        <v>46.553499707408498</v>
      </c>
      <c r="P1042">
        <v>-9.1500725000067104E-2</v>
      </c>
      <c r="Q1042">
        <v>6.1019644246117603E-2</v>
      </c>
      <c r="R1042">
        <v>0.99610415202566605</v>
      </c>
      <c r="S1042" t="s">
        <v>7444</v>
      </c>
      <c r="T1042" t="s">
        <v>12802</v>
      </c>
      <c r="U1042" t="s">
        <v>12802</v>
      </c>
      <c r="V1042" t="s">
        <v>12802</v>
      </c>
      <c r="W1042" t="s">
        <v>13822</v>
      </c>
      <c r="X1042">
        <v>4</v>
      </c>
      <c r="Y1042" t="s">
        <v>20141</v>
      </c>
      <c r="Z1042" t="s">
        <v>26360</v>
      </c>
      <c r="AA1042">
        <v>0.39243630824251319</v>
      </c>
      <c r="AB1042" t="str">
        <f>HYPERLINK("Melting_Curves/meltCurve_H3BSZ4_MLST8.pdf", "Melting_Curves/meltCurve_H3BSZ4_MLST8.pdf")</f>
        <v>Melting_Curves/meltCurve_H3BSZ4_MLST8.pdf</v>
      </c>
    </row>
    <row r="1043" spans="1:28" x14ac:dyDescent="0.25">
      <c r="A1043" t="s">
        <v>1047</v>
      </c>
      <c r="B1043">
        <v>0.99542014353169495</v>
      </c>
      <c r="C1043">
        <v>1.0491269923953399</v>
      </c>
      <c r="D1043">
        <v>0.966295235272564</v>
      </c>
      <c r="E1043">
        <v>0.94780533645329001</v>
      </c>
      <c r="F1043">
        <v>0.73252231387833</v>
      </c>
      <c r="G1043">
        <v>0.41771846458137102</v>
      </c>
      <c r="H1043">
        <v>0.168983061903309</v>
      </c>
      <c r="I1043">
        <v>0.109931656146075</v>
      </c>
      <c r="J1043">
        <v>0.10997983434793</v>
      </c>
      <c r="K1043">
        <v>0.140576754629092</v>
      </c>
      <c r="L1043">
        <v>1232.1650318899301</v>
      </c>
      <c r="M1043">
        <v>23.6329288724131</v>
      </c>
      <c r="N1043">
        <v>52.6479923060757</v>
      </c>
      <c r="O1043">
        <v>51.768630699662197</v>
      </c>
      <c r="P1043">
        <v>-0.10244598152155</v>
      </c>
      <c r="Q1043">
        <v>0.102371262206117</v>
      </c>
      <c r="R1043">
        <v>0.99598223225197302</v>
      </c>
      <c r="S1043" t="s">
        <v>7445</v>
      </c>
      <c r="T1043" t="s">
        <v>12802</v>
      </c>
      <c r="U1043" t="s">
        <v>12802</v>
      </c>
      <c r="V1043" t="s">
        <v>12802</v>
      </c>
      <c r="W1043" t="s">
        <v>13823</v>
      </c>
      <c r="X1043">
        <v>6</v>
      </c>
      <c r="Y1043" t="s">
        <v>20142</v>
      </c>
      <c r="Z1043" t="s">
        <v>26361</v>
      </c>
      <c r="AA1043">
        <v>0.56408560945821307</v>
      </c>
      <c r="AB1043" t="str">
        <f>HYPERLINK("Melting_Curves/meltCurve_H3BTL1_MAP1LC3B.pdf", "Melting_Curves/meltCurve_H3BTL1_MAP1LC3B.pdf")</f>
        <v>Melting_Curves/meltCurve_H3BTL1_MAP1LC3B.pdf</v>
      </c>
    </row>
    <row r="1044" spans="1:28" x14ac:dyDescent="0.25">
      <c r="A1044" t="s">
        <v>1048</v>
      </c>
      <c r="B1044">
        <v>0.99542014353169495</v>
      </c>
      <c r="C1044">
        <v>0.80249558835299895</v>
      </c>
      <c r="D1044">
        <v>0.86917880382355595</v>
      </c>
      <c r="E1044">
        <v>0.74307015924455799</v>
      </c>
      <c r="F1044">
        <v>0.73295346202827205</v>
      </c>
      <c r="G1044">
        <v>0.53041376822101305</v>
      </c>
      <c r="H1044">
        <v>0.79198295120824103</v>
      </c>
      <c r="I1044">
        <v>0.53117282867382398</v>
      </c>
      <c r="J1044">
        <v>7.7821185762303305E-2</v>
      </c>
      <c r="K1044">
        <v>7.8817227473833407E-2</v>
      </c>
      <c r="L1044">
        <v>411.332175345905</v>
      </c>
      <c r="M1044">
        <v>7.2493217932114602</v>
      </c>
      <c r="N1044">
        <v>56.740763033406601</v>
      </c>
      <c r="O1044">
        <v>52.9005736239695</v>
      </c>
      <c r="P1044">
        <v>-3.43150320210431E-2</v>
      </c>
      <c r="Q1044">
        <v>0</v>
      </c>
      <c r="R1044">
        <v>0.73385019440169796</v>
      </c>
      <c r="S1044" t="s">
        <v>7446</v>
      </c>
      <c r="T1044" t="s">
        <v>12802</v>
      </c>
      <c r="U1044" t="s">
        <v>12802</v>
      </c>
      <c r="V1044" t="s">
        <v>12802</v>
      </c>
      <c r="W1044" t="s">
        <v>13824</v>
      </c>
      <c r="X1044">
        <v>39</v>
      </c>
      <c r="Y1044" t="s">
        <v>20143</v>
      </c>
      <c r="Z1044" t="s">
        <v>26362</v>
      </c>
      <c r="AA1044">
        <v>0.6442685562024193</v>
      </c>
      <c r="AB1044" t="str">
        <f>HYPERLINK("Melting_Curves/meltCurve_H3BTN5_PKM.pdf", "Melting_Curves/meltCurve_H3BTN5_PKM.pdf")</f>
        <v>Melting_Curves/meltCurve_H3BTN5_PKM.pdf</v>
      </c>
    </row>
    <row r="1045" spans="1:28" x14ac:dyDescent="0.25">
      <c r="A1045" t="s">
        <v>1049</v>
      </c>
      <c r="B1045">
        <v>0.99542014353169495</v>
      </c>
      <c r="C1045">
        <v>1.00755092663781</v>
      </c>
      <c r="D1045">
        <v>0.81076505093849405</v>
      </c>
      <c r="E1045">
        <v>0.57884660989441705</v>
      </c>
      <c r="F1045">
        <v>0.44077039692211201</v>
      </c>
      <c r="G1045">
        <v>0.34678355557499801</v>
      </c>
      <c r="H1045">
        <v>0.44374037644321301</v>
      </c>
      <c r="I1045">
        <v>0.52788317631662995</v>
      </c>
      <c r="J1045">
        <v>0.80355132500445203</v>
      </c>
      <c r="K1045">
        <v>1.0062398551559699</v>
      </c>
      <c r="L1045">
        <v>10756.1282701899</v>
      </c>
      <c r="M1045">
        <v>250</v>
      </c>
      <c r="O1045">
        <v>43.021759303361598</v>
      </c>
      <c r="P1045">
        <v>-0.59193153680417698</v>
      </c>
      <c r="Q1045">
        <v>0.59254501819137295</v>
      </c>
      <c r="R1045">
        <v>0.45756204957007601</v>
      </c>
      <c r="S1045" t="s">
        <v>7447</v>
      </c>
      <c r="T1045" t="s">
        <v>12802</v>
      </c>
      <c r="U1045" t="s">
        <v>12802</v>
      </c>
      <c r="V1045" t="s">
        <v>12802</v>
      </c>
      <c r="W1045" t="s">
        <v>13699</v>
      </c>
      <c r="X1045">
        <v>3</v>
      </c>
      <c r="Z1045" t="s">
        <v>26363</v>
      </c>
      <c r="AA1045">
        <v>0.67439971296186341</v>
      </c>
      <c r="AB1045" t="str">
        <f>HYPERLINK("Melting_Curves/meltCurve_H3BTX0_.pdf", "Melting_Curves/meltCurve_H3BTX0_.pdf")</f>
        <v>Melting_Curves/meltCurve_H3BTX0_.pdf</v>
      </c>
    </row>
    <row r="1046" spans="1:28" x14ac:dyDescent="0.25">
      <c r="A1046" t="s">
        <v>1050</v>
      </c>
      <c r="B1046">
        <v>0.99542014353169495</v>
      </c>
      <c r="C1046">
        <v>1.0593993374700099</v>
      </c>
      <c r="D1046">
        <v>1.01339021729356</v>
      </c>
      <c r="E1046">
        <v>0.95746198943199301</v>
      </c>
      <c r="F1046">
        <v>0.62320917999690995</v>
      </c>
      <c r="G1046">
        <v>0.43081568983249802</v>
      </c>
      <c r="H1046">
        <v>0.26727610580531402</v>
      </c>
      <c r="I1046">
        <v>0.210258155357118</v>
      </c>
      <c r="J1046">
        <v>0.24736806645039899</v>
      </c>
      <c r="K1046">
        <v>0.19678381317993601</v>
      </c>
      <c r="L1046">
        <v>1166.7491595466299</v>
      </c>
      <c r="M1046">
        <v>22.925802209076799</v>
      </c>
      <c r="N1046">
        <v>52.166115679882701</v>
      </c>
      <c r="O1046">
        <v>50.509937686207103</v>
      </c>
      <c r="P1046">
        <v>-8.91531550745428E-2</v>
      </c>
      <c r="Q1046">
        <v>0.214329038685284</v>
      </c>
      <c r="R1046">
        <v>0.99086630854709201</v>
      </c>
      <c r="S1046" t="s">
        <v>7448</v>
      </c>
      <c r="T1046" t="s">
        <v>12802</v>
      </c>
      <c r="U1046" t="s">
        <v>12802</v>
      </c>
      <c r="V1046" t="s">
        <v>12802</v>
      </c>
      <c r="W1046" t="s">
        <v>13825</v>
      </c>
      <c r="X1046">
        <v>4</v>
      </c>
      <c r="Y1046" t="s">
        <v>20144</v>
      </c>
      <c r="Z1046" t="s">
        <v>26364</v>
      </c>
      <c r="AA1046">
        <v>0.58627593865492666</v>
      </c>
      <c r="AB1046" t="str">
        <f>HYPERLINK("Melting_Curves/meltCurve_H3BTX7_RNF166.pdf", "Melting_Curves/meltCurve_H3BTX7_RNF166.pdf")</f>
        <v>Melting_Curves/meltCurve_H3BTX7_RNF166.pdf</v>
      </c>
    </row>
    <row r="1047" spans="1:28" x14ac:dyDescent="0.25">
      <c r="A1047" t="s">
        <v>1051</v>
      </c>
      <c r="B1047">
        <v>0.99542014353169495</v>
      </c>
      <c r="C1047">
        <v>0.93092390516900902</v>
      </c>
      <c r="D1047">
        <v>0.81169096412396902</v>
      </c>
      <c r="E1047">
        <v>0.51947944832807003</v>
      </c>
      <c r="F1047">
        <v>0.25256123329804198</v>
      </c>
      <c r="G1047">
        <v>0.13095123895406999</v>
      </c>
      <c r="H1047">
        <v>7.9819297898475097E-2</v>
      </c>
      <c r="I1047">
        <v>5.0509246904406502E-2</v>
      </c>
      <c r="J1047">
        <v>4.4920743267403501E-2</v>
      </c>
      <c r="K1047">
        <v>4.4373510832307998E-2</v>
      </c>
      <c r="L1047">
        <v>777.09128497600796</v>
      </c>
      <c r="M1047">
        <v>16.683079904799801</v>
      </c>
      <c r="N1047">
        <v>46.789754618564501</v>
      </c>
      <c r="O1047">
        <v>45.925783381296903</v>
      </c>
      <c r="P1047">
        <v>-8.7543230614655798E-2</v>
      </c>
      <c r="Q1047">
        <v>3.60955086135549E-2</v>
      </c>
      <c r="R1047">
        <v>0.99974670901060603</v>
      </c>
      <c r="S1047" t="s">
        <v>7449</v>
      </c>
      <c r="T1047" t="s">
        <v>12802</v>
      </c>
      <c r="U1047" t="s">
        <v>12802</v>
      </c>
      <c r="V1047" t="s">
        <v>12802</v>
      </c>
      <c r="W1047" t="s">
        <v>13826</v>
      </c>
      <c r="X1047">
        <v>2</v>
      </c>
      <c r="Y1047" t="s">
        <v>20145</v>
      </c>
      <c r="Z1047" t="s">
        <v>26365</v>
      </c>
      <c r="AA1047">
        <v>0.36184411106681258</v>
      </c>
      <c r="AB1047" t="str">
        <f>HYPERLINK("Melting_Curves/meltCurve_H3BU49_ARL2BP.pdf", "Melting_Curves/meltCurve_H3BU49_ARL2BP.pdf")</f>
        <v>Melting_Curves/meltCurve_H3BU49_ARL2BP.pdf</v>
      </c>
    </row>
    <row r="1048" spans="1:28" x14ac:dyDescent="0.25">
      <c r="A1048" t="s">
        <v>1052</v>
      </c>
      <c r="B1048">
        <v>0.99542014353169495</v>
      </c>
      <c r="C1048">
        <v>0.97882528152730497</v>
      </c>
      <c r="D1048">
        <v>0.85042936342365305</v>
      </c>
      <c r="E1048">
        <v>0.88306303960210697</v>
      </c>
      <c r="F1048">
        <v>0.69497719190930596</v>
      </c>
      <c r="G1048">
        <v>0.44560764902723599</v>
      </c>
      <c r="H1048">
        <v>0.19968374055461999</v>
      </c>
      <c r="I1048">
        <v>0.149510033377482</v>
      </c>
      <c r="J1048">
        <v>3.3799032408201098E-2</v>
      </c>
      <c r="K1048">
        <v>0</v>
      </c>
      <c r="L1048">
        <v>782.04173562832602</v>
      </c>
      <c r="M1048">
        <v>14.835398423008201</v>
      </c>
      <c r="N1048">
        <v>52.714576373031299</v>
      </c>
      <c r="O1048">
        <v>51.784560879456201</v>
      </c>
      <c r="P1048">
        <v>-7.1628315341450394E-2</v>
      </c>
      <c r="Q1048">
        <v>0</v>
      </c>
      <c r="R1048">
        <v>0.98700856670541304</v>
      </c>
      <c r="S1048" t="s">
        <v>7450</v>
      </c>
      <c r="T1048" t="s">
        <v>12802</v>
      </c>
      <c r="U1048" t="s">
        <v>12802</v>
      </c>
      <c r="V1048" t="s">
        <v>12802</v>
      </c>
      <c r="W1048" t="s">
        <v>13827</v>
      </c>
      <c r="X1048">
        <v>31</v>
      </c>
      <c r="Y1048" t="s">
        <v>20146</v>
      </c>
      <c r="Z1048" t="s">
        <v>26366</v>
      </c>
      <c r="AA1048">
        <v>0.54227299145430752</v>
      </c>
      <c r="AB1048" t="str">
        <f>HYPERLINK("Melting_Curves/meltCurve_H3BUF6_ATXN2L.pdf", "Melting_Curves/meltCurve_H3BUF6_ATXN2L.pdf")</f>
        <v>Melting_Curves/meltCurve_H3BUF6_ATXN2L.pdf</v>
      </c>
    </row>
    <row r="1049" spans="1:28" x14ac:dyDescent="0.25">
      <c r="A1049" t="s">
        <v>1053</v>
      </c>
      <c r="B1049">
        <v>0.99542014353169495</v>
      </c>
      <c r="C1049">
        <v>1.0582594394323599</v>
      </c>
      <c r="D1049">
        <v>0.92193330225218495</v>
      </c>
      <c r="E1049">
        <v>0.75557049462909498</v>
      </c>
      <c r="F1049">
        <v>0.47937921576853698</v>
      </c>
      <c r="G1049">
        <v>0.35856914929885603</v>
      </c>
      <c r="H1049">
        <v>0.21168302667570599</v>
      </c>
      <c r="I1049">
        <v>0.142527823127544</v>
      </c>
      <c r="J1049">
        <v>0.111657124015307</v>
      </c>
      <c r="K1049">
        <v>9.0322418056769299E-2</v>
      </c>
      <c r="L1049">
        <v>726.92672944070796</v>
      </c>
      <c r="M1049">
        <v>14.573604141509</v>
      </c>
      <c r="N1049">
        <v>50.506221187165401</v>
      </c>
      <c r="O1049">
        <v>48.968743350270103</v>
      </c>
      <c r="P1049">
        <v>-6.8257652816094097E-2</v>
      </c>
      <c r="Q1049">
        <v>8.2694049093450198E-2</v>
      </c>
      <c r="R1049">
        <v>0.99237351308655797</v>
      </c>
      <c r="S1049" t="s">
        <v>7451</v>
      </c>
      <c r="T1049" t="s">
        <v>12802</v>
      </c>
      <c r="U1049" t="s">
        <v>12802</v>
      </c>
      <c r="V1049" t="s">
        <v>12802</v>
      </c>
      <c r="W1049" t="s">
        <v>13828</v>
      </c>
      <c r="X1049">
        <v>18</v>
      </c>
      <c r="Y1049" t="s">
        <v>20147</v>
      </c>
      <c r="Z1049" t="s">
        <v>26367</v>
      </c>
      <c r="AA1049">
        <v>0.4965814574183568</v>
      </c>
      <c r="AB1049" t="str">
        <f>HYPERLINK("Melting_Curves/meltCurve_H3BUQ2_OGFOD1.pdf", "Melting_Curves/meltCurve_H3BUQ2_OGFOD1.pdf")</f>
        <v>Melting_Curves/meltCurve_H3BUQ2_OGFOD1.pdf</v>
      </c>
    </row>
    <row r="1050" spans="1:28" x14ac:dyDescent="0.25">
      <c r="A1050" t="s">
        <v>1054</v>
      </c>
      <c r="B1050">
        <v>0.99542014353169495</v>
      </c>
      <c r="C1050">
        <v>0.81968740078390101</v>
      </c>
      <c r="D1050">
        <v>0.91649280498193397</v>
      </c>
      <c r="E1050">
        <v>0.62753918290993604</v>
      </c>
      <c r="F1050">
        <v>0.382352564724663</v>
      </c>
      <c r="G1050">
        <v>0.112707788380506</v>
      </c>
      <c r="H1050">
        <v>0.125532607927692</v>
      </c>
      <c r="I1050">
        <v>4.3682195490477402E-2</v>
      </c>
      <c r="J1050">
        <v>7.5627319344159893E-2</v>
      </c>
      <c r="K1050">
        <v>3.6205773563693401E-2</v>
      </c>
      <c r="L1050">
        <v>750.24856291167805</v>
      </c>
      <c r="M1050">
        <v>15.623204366511001</v>
      </c>
      <c r="N1050">
        <v>48.192345645336196</v>
      </c>
      <c r="O1050">
        <v>47.2553094984574</v>
      </c>
      <c r="P1050">
        <v>-8.0432424915164794E-2</v>
      </c>
      <c r="Q1050">
        <v>2.6952171877776501E-2</v>
      </c>
      <c r="R1050">
        <v>0.97811111444100995</v>
      </c>
      <c r="S1050" t="s">
        <v>7452</v>
      </c>
      <c r="T1050" t="s">
        <v>12802</v>
      </c>
      <c r="U1050" t="s">
        <v>12802</v>
      </c>
      <c r="V1050" t="s">
        <v>12802</v>
      </c>
      <c r="W1050" t="s">
        <v>13829</v>
      </c>
      <c r="X1050">
        <v>1</v>
      </c>
      <c r="Y1050" t="s">
        <v>20148</v>
      </c>
      <c r="Z1050" t="s">
        <v>26368</v>
      </c>
      <c r="AA1050">
        <v>0.40442127014217921</v>
      </c>
      <c r="AB1050" t="str">
        <f>HYPERLINK("Melting_Curves/meltCurve_H3BV68_C16orf62.pdf", "Melting_Curves/meltCurve_H3BV68_C16orf62.pdf")</f>
        <v>Melting_Curves/meltCurve_H3BV68_C16orf62.pdf</v>
      </c>
    </row>
    <row r="1051" spans="1:28" x14ac:dyDescent="0.25">
      <c r="A1051" t="s">
        <v>1055</v>
      </c>
      <c r="B1051">
        <v>0.99542014353169495</v>
      </c>
      <c r="C1051">
        <v>0.86680659779653202</v>
      </c>
      <c r="D1051">
        <v>0.879847161102571</v>
      </c>
      <c r="E1051">
        <v>0.82532494609179596</v>
      </c>
      <c r="F1051">
        <v>0.494236845606219</v>
      </c>
      <c r="G1051">
        <v>0.22685821686462401</v>
      </c>
      <c r="H1051">
        <v>0.108803897525329</v>
      </c>
      <c r="I1051">
        <v>6.7524048731151406E-2</v>
      </c>
      <c r="J1051">
        <v>0.11848167458240801</v>
      </c>
      <c r="K1051">
        <v>0.15800727287901001</v>
      </c>
      <c r="L1051">
        <v>994.72823544333096</v>
      </c>
      <c r="M1051">
        <v>20.111353968646601</v>
      </c>
      <c r="N1051">
        <v>49.965135322247697</v>
      </c>
      <c r="O1051">
        <v>48.979811267588801</v>
      </c>
      <c r="P1051">
        <v>-9.3228551000040794E-2</v>
      </c>
      <c r="Q1051">
        <v>9.1822535465355404E-2</v>
      </c>
      <c r="R1051">
        <v>0.97645621506139801</v>
      </c>
      <c r="S1051" t="s">
        <v>7453</v>
      </c>
      <c r="T1051" t="s">
        <v>12802</v>
      </c>
      <c r="U1051" t="s">
        <v>12802</v>
      </c>
      <c r="V1051" t="s">
        <v>12802</v>
      </c>
      <c r="W1051" t="s">
        <v>13830</v>
      </c>
      <c r="X1051">
        <v>4</v>
      </c>
      <c r="Y1051" t="s">
        <v>20149</v>
      </c>
      <c r="Z1051" t="s">
        <v>26369</v>
      </c>
      <c r="AA1051">
        <v>0.48090031111094622</v>
      </c>
      <c r="AB1051" t="str">
        <f>HYPERLINK("Melting_Curves/meltCurve_H3BV80_RNPS1.pdf", "Melting_Curves/meltCurve_H3BV80_RNPS1.pdf")</f>
        <v>Melting_Curves/meltCurve_H3BV80_RNPS1.pdf</v>
      </c>
    </row>
    <row r="1052" spans="1:28" x14ac:dyDescent="0.25">
      <c r="A1052" t="s">
        <v>1056</v>
      </c>
      <c r="B1052">
        <v>0.99542014353169495</v>
      </c>
      <c r="C1052">
        <v>1.10082708275907</v>
      </c>
      <c r="D1052">
        <v>0.88380295845031298</v>
      </c>
      <c r="E1052">
        <v>0.64307102562765195</v>
      </c>
      <c r="F1052">
        <v>0.39651509120332201</v>
      </c>
      <c r="G1052">
        <v>0.21871140669443001</v>
      </c>
      <c r="H1052">
        <v>0.118177975097532</v>
      </c>
      <c r="I1052">
        <v>0.106516627968084</v>
      </c>
      <c r="J1052">
        <v>0.15511588007381699</v>
      </c>
      <c r="K1052">
        <v>0.201421485851453</v>
      </c>
      <c r="L1052">
        <v>962.54116932514796</v>
      </c>
      <c r="M1052">
        <v>20.218261613136299</v>
      </c>
      <c r="N1052">
        <v>48.3904651627467</v>
      </c>
      <c r="O1052">
        <v>47.149119592033102</v>
      </c>
      <c r="P1052">
        <v>-9.2250925625168706E-2</v>
      </c>
      <c r="Q1052">
        <v>0.13950776472465001</v>
      </c>
      <c r="R1052">
        <v>0.98254208842559199</v>
      </c>
      <c r="S1052" t="s">
        <v>7454</v>
      </c>
      <c r="T1052" t="s">
        <v>12802</v>
      </c>
      <c r="U1052" t="s">
        <v>12802</v>
      </c>
      <c r="V1052" t="s">
        <v>12802</v>
      </c>
      <c r="W1052" t="s">
        <v>13831</v>
      </c>
      <c r="X1052">
        <v>1</v>
      </c>
      <c r="Y1052" t="s">
        <v>20150</v>
      </c>
      <c r="Z1052" t="s">
        <v>26370</v>
      </c>
      <c r="AA1052">
        <v>0.45482030707463811</v>
      </c>
      <c r="AB1052" t="str">
        <f>HYPERLINK("Melting_Curves/meltCurve_H3BVB1_FBXL19.pdf", "Melting_Curves/meltCurve_H3BVB1_FBXL19.pdf")</f>
        <v>Melting_Curves/meltCurve_H3BVB1_FBXL19.pdf</v>
      </c>
    </row>
    <row r="1053" spans="1:28" x14ac:dyDescent="0.25">
      <c r="A1053" t="s">
        <v>1057</v>
      </c>
      <c r="B1053">
        <v>0.99542014353169495</v>
      </c>
      <c r="C1053">
        <v>1.08710311567854</v>
      </c>
      <c r="D1053">
        <v>0.98996932602572096</v>
      </c>
      <c r="E1053">
        <v>0.96654599138555897</v>
      </c>
      <c r="F1053">
        <v>0.87439161171604796</v>
      </c>
      <c r="G1053">
        <v>0.628274644591161</v>
      </c>
      <c r="H1053">
        <v>0.41291860177067402</v>
      </c>
      <c r="I1053">
        <v>0.250584699469457</v>
      </c>
      <c r="J1053">
        <v>0.24588263192846099</v>
      </c>
      <c r="K1053">
        <v>0.19642592727580599</v>
      </c>
      <c r="L1053">
        <v>1073.74674144449</v>
      </c>
      <c r="M1053">
        <v>19.741510167928698</v>
      </c>
      <c r="N1053">
        <v>55.700937166910101</v>
      </c>
      <c r="O1053">
        <v>53.8414396040817</v>
      </c>
      <c r="P1053">
        <v>-7.4638078962535395E-2</v>
      </c>
      <c r="Q1053">
        <v>0.18577999114489799</v>
      </c>
      <c r="R1053">
        <v>0.99221529633446004</v>
      </c>
      <c r="S1053" t="s">
        <v>7455</v>
      </c>
      <c r="T1053" t="s">
        <v>12802</v>
      </c>
      <c r="U1053" t="s">
        <v>12802</v>
      </c>
      <c r="V1053" t="s">
        <v>12802</v>
      </c>
      <c r="W1053" t="s">
        <v>13832</v>
      </c>
      <c r="X1053">
        <v>4</v>
      </c>
      <c r="Y1053" t="s">
        <v>20151</v>
      </c>
      <c r="Z1053" t="s">
        <v>26371</v>
      </c>
      <c r="AA1053">
        <v>0.66755186199719718</v>
      </c>
      <c r="AB1053" t="str">
        <f>HYPERLINK("Melting_Curves/meltCurve_H3BVD9_SPINT1.pdf", "Melting_Curves/meltCurve_H3BVD9_SPINT1.pdf")</f>
        <v>Melting_Curves/meltCurve_H3BVD9_SPINT1.pdf</v>
      </c>
    </row>
    <row r="1054" spans="1:28" x14ac:dyDescent="0.25">
      <c r="A1054" t="s">
        <v>1058</v>
      </c>
      <c r="B1054">
        <v>0.99542014353169495</v>
      </c>
      <c r="C1054">
        <v>0.87072076604933901</v>
      </c>
      <c r="D1054">
        <v>0.84800708868725105</v>
      </c>
      <c r="E1054">
        <v>0.55782671673545203</v>
      </c>
      <c r="F1054">
        <v>0.27752249948021601</v>
      </c>
      <c r="G1054">
        <v>0.16743274930278301</v>
      </c>
      <c r="H1054">
        <v>0.124376791943951</v>
      </c>
      <c r="I1054">
        <v>7.2868764476367004E-2</v>
      </c>
      <c r="J1054">
        <v>7.9923392573055793E-2</v>
      </c>
      <c r="K1054">
        <v>0.101557467256186</v>
      </c>
      <c r="L1054">
        <v>763.27271656721803</v>
      </c>
      <c r="M1054">
        <v>16.339598493359698</v>
      </c>
      <c r="N1054">
        <v>47.164939681940098</v>
      </c>
      <c r="O1054">
        <v>46.030190053280599</v>
      </c>
      <c r="P1054">
        <v>-8.2320056269128403E-2</v>
      </c>
      <c r="Q1054">
        <v>7.2453628365343303E-2</v>
      </c>
      <c r="R1054">
        <v>0.99337754551362201</v>
      </c>
      <c r="S1054" t="s">
        <v>7456</v>
      </c>
      <c r="T1054" t="s">
        <v>12802</v>
      </c>
      <c r="U1054" t="s">
        <v>12802</v>
      </c>
      <c r="V1054" t="s">
        <v>12802</v>
      </c>
      <c r="W1054" t="s">
        <v>13833</v>
      </c>
      <c r="X1054">
        <v>6</v>
      </c>
      <c r="Y1054" t="s">
        <v>20152</v>
      </c>
      <c r="Z1054" t="s">
        <v>26372</v>
      </c>
      <c r="AA1054">
        <v>0.39070254901965062</v>
      </c>
      <c r="AB1054" t="str">
        <f>HYPERLINK("Melting_Curves/meltCurve_H7BXF4_SMPD4.pdf", "Melting_Curves/meltCurve_H7BXF4_SMPD4.pdf")</f>
        <v>Melting_Curves/meltCurve_H7BXF4_SMPD4.pdf</v>
      </c>
    </row>
    <row r="1055" spans="1:28" x14ac:dyDescent="0.25">
      <c r="A1055" t="s">
        <v>1059</v>
      </c>
      <c r="B1055">
        <v>0.99542014353169495</v>
      </c>
      <c r="C1055">
        <v>0.81887350048540197</v>
      </c>
      <c r="D1055">
        <v>0.69098876498767403</v>
      </c>
      <c r="E1055">
        <v>0.34091283262313998</v>
      </c>
      <c r="F1055">
        <v>0.20930705110329301</v>
      </c>
      <c r="G1055">
        <v>0.13990412109853101</v>
      </c>
      <c r="H1055">
        <v>6.72113176082723E-2</v>
      </c>
      <c r="I1055">
        <v>3.7742195169478097E-2</v>
      </c>
      <c r="J1055">
        <v>9.9843146997996193E-2</v>
      </c>
      <c r="K1055">
        <v>5.79577100770476E-2</v>
      </c>
      <c r="L1055">
        <v>687.30816647439099</v>
      </c>
      <c r="M1055">
        <v>15.4413637476286</v>
      </c>
      <c r="N1055">
        <v>44.860831885758003</v>
      </c>
      <c r="O1055">
        <v>43.784383772471003</v>
      </c>
      <c r="P1055">
        <v>-8.3171407594540697E-2</v>
      </c>
      <c r="Q1055">
        <v>5.6746916953604898E-2</v>
      </c>
      <c r="R1055">
        <v>0.99217613522748704</v>
      </c>
      <c r="S1055" t="s">
        <v>7457</v>
      </c>
      <c r="T1055" t="s">
        <v>12802</v>
      </c>
      <c r="U1055" t="s">
        <v>12802</v>
      </c>
      <c r="V1055" t="s">
        <v>12802</v>
      </c>
      <c r="W1055" t="s">
        <v>13834</v>
      </c>
      <c r="X1055">
        <v>2</v>
      </c>
      <c r="Y1055" t="s">
        <v>20153</v>
      </c>
      <c r="Z1055" t="s">
        <v>26373</v>
      </c>
      <c r="AA1055">
        <v>0.3144566008523858</v>
      </c>
      <c r="AB1055" t="str">
        <f>HYPERLINK("Melting_Curves/meltCurve_H7BXF5_SAP130.pdf", "Melting_Curves/meltCurve_H7BXF5_SAP130.pdf")</f>
        <v>Melting_Curves/meltCurve_H7BXF5_SAP130.pdf</v>
      </c>
    </row>
    <row r="1056" spans="1:28" x14ac:dyDescent="0.25">
      <c r="A1056" t="s">
        <v>1060</v>
      </c>
      <c r="B1056">
        <v>0.99542014353169495</v>
      </c>
      <c r="C1056">
        <v>0.90189172596271505</v>
      </c>
      <c r="D1056">
        <v>0.91234311016204195</v>
      </c>
      <c r="E1056">
        <v>0.74583948594008898</v>
      </c>
      <c r="F1056">
        <v>0.65393382765661201</v>
      </c>
      <c r="G1056">
        <v>0.48785435567372698</v>
      </c>
      <c r="H1056">
        <v>0.153803053564879</v>
      </c>
      <c r="I1056">
        <v>6.6556897204199494E-2</v>
      </c>
      <c r="J1056">
        <v>8.0596049273285106E-2</v>
      </c>
      <c r="K1056">
        <v>9.1849173816823601E-2</v>
      </c>
      <c r="L1056">
        <v>648.683738885411</v>
      </c>
      <c r="M1056">
        <v>12.486266467096099</v>
      </c>
      <c r="N1056">
        <v>51.951777617550803</v>
      </c>
      <c r="O1056">
        <v>50.673222973246403</v>
      </c>
      <c r="P1056">
        <v>-6.1614638377054103E-2</v>
      </c>
      <c r="Q1056">
        <v>0</v>
      </c>
      <c r="R1056">
        <v>0.97463731243679796</v>
      </c>
      <c r="S1056" t="s">
        <v>7458</v>
      </c>
      <c r="T1056" t="s">
        <v>12802</v>
      </c>
      <c r="U1056" t="s">
        <v>12802</v>
      </c>
      <c r="V1056" t="s">
        <v>12802</v>
      </c>
      <c r="W1056" t="s">
        <v>13835</v>
      </c>
      <c r="X1056">
        <v>16</v>
      </c>
      <c r="Y1056" t="s">
        <v>20154</v>
      </c>
      <c r="Z1056" t="s">
        <v>26374</v>
      </c>
      <c r="AA1056">
        <v>0.52149433884988816</v>
      </c>
      <c r="AB1056" t="str">
        <f>HYPERLINK("Melting_Curves/meltCurve_H7BXH2_PPP6R3.pdf", "Melting_Curves/meltCurve_H7BXH2_PPP6R3.pdf")</f>
        <v>Melting_Curves/meltCurve_H7BXH2_PPP6R3.pdf</v>
      </c>
    </row>
    <row r="1057" spans="1:28" x14ac:dyDescent="0.25">
      <c r="A1057" t="s">
        <v>1061</v>
      </c>
      <c r="B1057">
        <v>0.99542014353169495</v>
      </c>
      <c r="C1057">
        <v>0.99380747228673705</v>
      </c>
      <c r="D1057">
        <v>0.84411802551015203</v>
      </c>
      <c r="E1057">
        <v>0.76726837789894597</v>
      </c>
      <c r="F1057">
        <v>0.555894904193592</v>
      </c>
      <c r="G1057">
        <v>0.43313290019528999</v>
      </c>
      <c r="H1057">
        <v>0.196501633810969</v>
      </c>
      <c r="I1057">
        <v>6.25354957405551E-2</v>
      </c>
      <c r="J1057">
        <v>2.93164898113926E-2</v>
      </c>
      <c r="K1057">
        <v>3.1220073188156401E-2</v>
      </c>
      <c r="L1057">
        <v>640.44296617306395</v>
      </c>
      <c r="M1057">
        <v>12.5125641965209</v>
      </c>
      <c r="N1057">
        <v>51.183990808738002</v>
      </c>
      <c r="O1057">
        <v>49.9294090772921</v>
      </c>
      <c r="P1057">
        <v>-6.2664129450911696E-2</v>
      </c>
      <c r="Q1057">
        <v>0</v>
      </c>
      <c r="R1057">
        <v>0.98748157885011001</v>
      </c>
      <c r="S1057" t="s">
        <v>7459</v>
      </c>
      <c r="T1057" t="s">
        <v>12802</v>
      </c>
      <c r="U1057" t="s">
        <v>12802</v>
      </c>
      <c r="V1057" t="s">
        <v>12802</v>
      </c>
      <c r="W1057" t="s">
        <v>13836</v>
      </c>
      <c r="X1057">
        <v>3</v>
      </c>
      <c r="Y1057" t="s">
        <v>20155</v>
      </c>
      <c r="Z1057" t="s">
        <v>26375</v>
      </c>
      <c r="AA1057">
        <v>0.49740204390679083</v>
      </c>
      <c r="AB1057" t="str">
        <f>HYPERLINK("Melting_Curves/meltCurve_H7BXH9_METTL21A.pdf", "Melting_Curves/meltCurve_H7BXH9_METTL21A.pdf")</f>
        <v>Melting_Curves/meltCurve_H7BXH9_METTL21A.pdf</v>
      </c>
    </row>
    <row r="1058" spans="1:28" x14ac:dyDescent="0.25">
      <c r="A1058" t="s">
        <v>1062</v>
      </c>
      <c r="B1058">
        <v>0.99542014353169495</v>
      </c>
      <c r="C1058">
        <v>0.939308637934824</v>
      </c>
      <c r="D1058">
        <v>0.92886733591761494</v>
      </c>
      <c r="E1058">
        <v>0.63377198479526398</v>
      </c>
      <c r="F1058">
        <v>0.37863238834830498</v>
      </c>
      <c r="G1058">
        <v>0.19533532604194501</v>
      </c>
      <c r="H1058">
        <v>8.7683627676399395E-2</v>
      </c>
      <c r="I1058">
        <v>5.77339912845517E-2</v>
      </c>
      <c r="J1058">
        <v>6.7543169696357194E-2</v>
      </c>
      <c r="K1058">
        <v>6.8203068036566297E-2</v>
      </c>
      <c r="L1058">
        <v>823.44449544173494</v>
      </c>
      <c r="M1058">
        <v>17.0899284337873</v>
      </c>
      <c r="N1058">
        <v>48.466046911996798</v>
      </c>
      <c r="O1058">
        <v>47.537812574509204</v>
      </c>
      <c r="P1058">
        <v>-8.5612520635083803E-2</v>
      </c>
      <c r="Q1058">
        <v>4.7489145722200699E-2</v>
      </c>
      <c r="R1058">
        <v>0.99715637287456904</v>
      </c>
      <c r="S1058" t="s">
        <v>7460</v>
      </c>
      <c r="T1058" t="s">
        <v>12802</v>
      </c>
      <c r="U1058" t="s">
        <v>12802</v>
      </c>
      <c r="V1058" t="s">
        <v>12802</v>
      </c>
      <c r="W1058" t="s">
        <v>13837</v>
      </c>
      <c r="X1058">
        <v>23</v>
      </c>
      <c r="Y1058" t="s">
        <v>19128</v>
      </c>
      <c r="Z1058" t="s">
        <v>26376</v>
      </c>
      <c r="AA1058">
        <v>0.41924982112404452</v>
      </c>
      <c r="AB1058" t="str">
        <f>HYPERLINK("Melting_Curves/meltCurve_H7BXI1_ESYT2.pdf", "Melting_Curves/meltCurve_H7BXI1_ESYT2.pdf")</f>
        <v>Melting_Curves/meltCurve_H7BXI1_ESYT2.pdf</v>
      </c>
    </row>
    <row r="1059" spans="1:28" x14ac:dyDescent="0.25">
      <c r="A1059" t="s">
        <v>1063</v>
      </c>
      <c r="B1059">
        <v>0.99542014353169495</v>
      </c>
      <c r="C1059">
        <v>0.96285455776155304</v>
      </c>
      <c r="D1059">
        <v>1.0795173138454499</v>
      </c>
      <c r="E1059">
        <v>0.85453145799536701</v>
      </c>
      <c r="F1059">
        <v>0.75592793763458899</v>
      </c>
      <c r="G1059">
        <v>0.484651350983754</v>
      </c>
      <c r="H1059">
        <v>0.22780212447374201</v>
      </c>
      <c r="I1059">
        <v>0.119254030957374</v>
      </c>
      <c r="J1059">
        <v>0.119370573897539</v>
      </c>
      <c r="K1059">
        <v>0.13162843041625699</v>
      </c>
      <c r="L1059">
        <v>982.31801313129597</v>
      </c>
      <c r="M1059">
        <v>18.625015992575499</v>
      </c>
      <c r="N1059">
        <v>53.265389888745702</v>
      </c>
      <c r="O1059">
        <v>52.145130596551802</v>
      </c>
      <c r="P1059">
        <v>-8.1829342339061001E-2</v>
      </c>
      <c r="Q1059">
        <v>8.36372468803777E-2</v>
      </c>
      <c r="R1059">
        <v>0.98710089722593197</v>
      </c>
      <c r="S1059" t="s">
        <v>7461</v>
      </c>
      <c r="T1059" t="s">
        <v>12802</v>
      </c>
      <c r="U1059" t="s">
        <v>12802</v>
      </c>
      <c r="V1059" t="s">
        <v>12802</v>
      </c>
      <c r="W1059" t="s">
        <v>13838</v>
      </c>
      <c r="X1059">
        <v>6</v>
      </c>
      <c r="Y1059" t="s">
        <v>20156</v>
      </c>
      <c r="Z1059" t="s">
        <v>26377</v>
      </c>
      <c r="AA1059">
        <v>0.57735475165510786</v>
      </c>
      <c r="AB1059" t="str">
        <f>HYPERLINK("Melting_Curves/meltCurve_H7BXI5_ERGIC3.pdf", "Melting_Curves/meltCurve_H7BXI5_ERGIC3.pdf")</f>
        <v>Melting_Curves/meltCurve_H7BXI5_ERGIC3.pdf</v>
      </c>
    </row>
    <row r="1060" spans="1:28" x14ac:dyDescent="0.25">
      <c r="A1060" t="s">
        <v>1064</v>
      </c>
      <c r="B1060">
        <v>0.99542014353169495</v>
      </c>
      <c r="C1060">
        <v>1.1233774845926101</v>
      </c>
      <c r="D1060">
        <v>0.95536159250580199</v>
      </c>
      <c r="E1060">
        <v>0.83054199258619499</v>
      </c>
      <c r="F1060">
        <v>0.62512982132854</v>
      </c>
      <c r="G1060">
        <v>0.45100863116131401</v>
      </c>
      <c r="H1060">
        <v>0.30507397171466899</v>
      </c>
      <c r="I1060">
        <v>0.25087443068514798</v>
      </c>
      <c r="J1060">
        <v>0.29832405516334598</v>
      </c>
      <c r="K1060">
        <v>0.27494135942854903</v>
      </c>
      <c r="L1060">
        <v>910.19573391123299</v>
      </c>
      <c r="M1060">
        <v>18.157398391561099</v>
      </c>
      <c r="N1060">
        <v>52.215955975699998</v>
      </c>
      <c r="O1060">
        <v>49.531928828679597</v>
      </c>
      <c r="P1060">
        <v>-6.7995870859827501E-2</v>
      </c>
      <c r="Q1060">
        <v>0.25808622301300499</v>
      </c>
      <c r="R1060">
        <v>0.98010046397005302</v>
      </c>
      <c r="S1060" t="s">
        <v>7462</v>
      </c>
      <c r="T1060" t="s">
        <v>12802</v>
      </c>
      <c r="U1060" t="s">
        <v>12802</v>
      </c>
      <c r="V1060" t="s">
        <v>12802</v>
      </c>
      <c r="W1060" t="s">
        <v>13839</v>
      </c>
      <c r="X1060">
        <v>3</v>
      </c>
      <c r="Y1060" t="s">
        <v>20157</v>
      </c>
      <c r="Z1060" t="s">
        <v>26378</v>
      </c>
      <c r="AA1060">
        <v>0.59425431352003355</v>
      </c>
      <c r="AB1060" t="str">
        <f>HYPERLINK("Melting_Curves/meltCurve_H7BXL1_TMEM41A.pdf", "Melting_Curves/meltCurve_H7BXL1_TMEM41A.pdf")</f>
        <v>Melting_Curves/meltCurve_H7BXL1_TMEM41A.pdf</v>
      </c>
    </row>
    <row r="1061" spans="1:28" x14ac:dyDescent="0.25">
      <c r="A1061" t="s">
        <v>1065</v>
      </c>
      <c r="B1061">
        <v>0.99542014353169495</v>
      </c>
      <c r="C1061">
        <v>1.04208666631383</v>
      </c>
      <c r="D1061">
        <v>1.2219043978724899</v>
      </c>
      <c r="E1061">
        <v>1.0376501669415801</v>
      </c>
      <c r="F1061">
        <v>0.99981734799461097</v>
      </c>
      <c r="G1061">
        <v>0.73697900680652295</v>
      </c>
      <c r="H1061">
        <v>0.65814194006913196</v>
      </c>
      <c r="I1061">
        <v>0.60450105145036404</v>
      </c>
      <c r="J1061">
        <v>0.84067056304519505</v>
      </c>
      <c r="K1061">
        <v>1.2310301421752901</v>
      </c>
      <c r="L1061">
        <v>12844.9446501771</v>
      </c>
      <c r="M1061">
        <v>250</v>
      </c>
      <c r="O1061">
        <v>51.3764944328748</v>
      </c>
      <c r="P1061">
        <v>-0.22594910557947401</v>
      </c>
      <c r="Q1061">
        <v>0.81426444649085705</v>
      </c>
      <c r="R1061">
        <v>0.30563077303214897</v>
      </c>
      <c r="S1061" t="s">
        <v>7463</v>
      </c>
      <c r="T1061" t="s">
        <v>12802</v>
      </c>
      <c r="U1061" t="s">
        <v>12802</v>
      </c>
      <c r="V1061" t="s">
        <v>12802</v>
      </c>
      <c r="W1061" t="s">
        <v>13840</v>
      </c>
      <c r="X1061">
        <v>4</v>
      </c>
      <c r="Y1061" t="s">
        <v>20158</v>
      </c>
      <c r="Z1061" t="s">
        <v>26379</v>
      </c>
      <c r="AA1061">
        <v>0.90330906565597335</v>
      </c>
      <c r="AB1061" t="str">
        <f>HYPERLINK("Melting_Curves/meltCurve_H7BXT7_BET1L.pdf", "Melting_Curves/meltCurve_H7BXT7_BET1L.pdf")</f>
        <v>Melting_Curves/meltCurve_H7BXT7_BET1L.pdf</v>
      </c>
    </row>
    <row r="1062" spans="1:28" x14ac:dyDescent="0.25">
      <c r="A1062" t="s">
        <v>1066</v>
      </c>
      <c r="B1062">
        <v>0.99542014353169495</v>
      </c>
      <c r="C1062">
        <v>0.92747410305109002</v>
      </c>
      <c r="D1062">
        <v>0.53424814097648798</v>
      </c>
      <c r="E1062">
        <v>0.43528216282070298</v>
      </c>
      <c r="F1062">
        <v>0.27284615924882399</v>
      </c>
      <c r="G1062">
        <v>0.34060864218131298</v>
      </c>
      <c r="H1062">
        <v>0.27490144447039799</v>
      </c>
      <c r="I1062">
        <v>0.244599165327855</v>
      </c>
      <c r="J1062">
        <v>0.461034693786189</v>
      </c>
      <c r="K1062">
        <v>0.65145143901563796</v>
      </c>
      <c r="L1062">
        <v>1671.2968108468999</v>
      </c>
      <c r="M1062">
        <v>39.931156643061101</v>
      </c>
      <c r="N1062">
        <v>43.412869457294001</v>
      </c>
      <c r="O1062">
        <v>41.749894965367098</v>
      </c>
      <c r="P1062">
        <v>-0.14806752890651001</v>
      </c>
      <c r="Q1062">
        <v>0.38075513889429402</v>
      </c>
      <c r="R1062">
        <v>0.807550244296518</v>
      </c>
      <c r="S1062" t="s">
        <v>7464</v>
      </c>
      <c r="T1062" t="s">
        <v>12802</v>
      </c>
      <c r="U1062" t="s">
        <v>12802</v>
      </c>
      <c r="V1062" t="s">
        <v>12802</v>
      </c>
      <c r="W1062" t="s">
        <v>13841</v>
      </c>
      <c r="X1062">
        <v>1</v>
      </c>
      <c r="Y1062" t="s">
        <v>20159</v>
      </c>
      <c r="Z1062" t="s">
        <v>26380</v>
      </c>
      <c r="AA1062">
        <v>0.48284237300871019</v>
      </c>
      <c r="AB1062" t="str">
        <f>HYPERLINK("Melting_Curves/meltCurve_H7BXW7_MPC1.pdf", "Melting_Curves/meltCurve_H7BXW7_MPC1.pdf")</f>
        <v>Melting_Curves/meltCurve_H7BXW7_MPC1.pdf</v>
      </c>
    </row>
    <row r="1063" spans="1:28" x14ac:dyDescent="0.25">
      <c r="A1063" t="s">
        <v>1067</v>
      </c>
      <c r="B1063">
        <v>0.99542014353169495</v>
      </c>
      <c r="C1063">
        <v>0.878220625526559</v>
      </c>
      <c r="D1063">
        <v>0.87376480147800495</v>
      </c>
      <c r="E1063">
        <v>0.743087587009302</v>
      </c>
      <c r="F1063">
        <v>0.46792582058703702</v>
      </c>
      <c r="G1063">
        <v>0.184479462271634</v>
      </c>
      <c r="H1063">
        <v>0.157832469602009</v>
      </c>
      <c r="I1063">
        <v>0.101528143538431</v>
      </c>
      <c r="J1063">
        <v>0.119267475240696</v>
      </c>
      <c r="K1063">
        <v>0.121224813828209</v>
      </c>
      <c r="L1063">
        <v>794.75945430550905</v>
      </c>
      <c r="M1063">
        <v>16.294848891907499</v>
      </c>
      <c r="N1063">
        <v>49.329953505539301</v>
      </c>
      <c r="O1063">
        <v>48.056834048893798</v>
      </c>
      <c r="P1063">
        <v>-7.7659666697449004E-2</v>
      </c>
      <c r="Q1063">
        <v>8.3930067190127605E-2</v>
      </c>
      <c r="R1063">
        <v>0.98533987076443097</v>
      </c>
      <c r="S1063" t="s">
        <v>7465</v>
      </c>
      <c r="T1063" t="s">
        <v>12802</v>
      </c>
      <c r="U1063" t="s">
        <v>12802</v>
      </c>
      <c r="V1063" t="s">
        <v>12802</v>
      </c>
      <c r="W1063" t="s">
        <v>13842</v>
      </c>
      <c r="X1063">
        <v>5</v>
      </c>
      <c r="Y1063" t="s">
        <v>20160</v>
      </c>
      <c r="Z1063" t="s">
        <v>26381</v>
      </c>
      <c r="AA1063">
        <v>0.46075469760747212</v>
      </c>
      <c r="AB1063" t="str">
        <f>HYPERLINK("Melting_Curves/meltCurve_H7BXY3_DHX30.pdf", "Melting_Curves/meltCurve_H7BXY3_DHX30.pdf")</f>
        <v>Melting_Curves/meltCurve_H7BXY3_DHX30.pdf</v>
      </c>
    </row>
    <row r="1064" spans="1:28" x14ac:dyDescent="0.25">
      <c r="A1064" t="s">
        <v>1068</v>
      </c>
      <c r="B1064">
        <v>0.99542014353169495</v>
      </c>
      <c r="C1064">
        <v>1.05629415736215</v>
      </c>
      <c r="D1064">
        <v>0.99062623995948695</v>
      </c>
      <c r="E1064">
        <v>0.99455145177111404</v>
      </c>
      <c r="F1064">
        <v>0.82319919625037696</v>
      </c>
      <c r="G1064">
        <v>0.561026017063469</v>
      </c>
      <c r="H1064">
        <v>9.2768130201813806E-2</v>
      </c>
      <c r="I1064">
        <v>6.46356594184231E-2</v>
      </c>
      <c r="J1064">
        <v>5.9312610357286397E-2</v>
      </c>
      <c r="K1064">
        <v>7.4094832293592094E-2</v>
      </c>
      <c r="L1064">
        <v>1580.9605591991101</v>
      </c>
      <c r="M1064">
        <v>29.4578443333716</v>
      </c>
      <c r="N1064">
        <v>53.822362651284301</v>
      </c>
      <c r="O1064">
        <v>53.423073308877903</v>
      </c>
      <c r="P1064">
        <v>-0.13228846182783899</v>
      </c>
      <c r="Q1064">
        <v>4.0363379206149401E-2</v>
      </c>
      <c r="R1064">
        <v>0.99063193295266205</v>
      </c>
      <c r="S1064" t="s">
        <v>7466</v>
      </c>
      <c r="T1064" t="s">
        <v>12802</v>
      </c>
      <c r="U1064" t="s">
        <v>12802</v>
      </c>
      <c r="V1064" t="s">
        <v>12802</v>
      </c>
      <c r="W1064" t="s">
        <v>13843</v>
      </c>
      <c r="X1064">
        <v>14</v>
      </c>
      <c r="Y1064" t="s">
        <v>20161</v>
      </c>
      <c r="Z1064" t="s">
        <v>26382</v>
      </c>
      <c r="AA1064">
        <v>0.57988858144916766</v>
      </c>
      <c r="AB1064" t="str">
        <f>HYPERLINK("Melting_Curves/meltCurve_H7BY58_PCMT1.pdf", "Melting_Curves/meltCurve_H7BY58_PCMT1.pdf")</f>
        <v>Melting_Curves/meltCurve_H7BY58_PCMT1.pdf</v>
      </c>
    </row>
    <row r="1065" spans="1:28" x14ac:dyDescent="0.25">
      <c r="A1065" t="s">
        <v>1069</v>
      </c>
      <c r="B1065">
        <v>0.99542014353169495</v>
      </c>
      <c r="C1065">
        <v>0.96407538901934797</v>
      </c>
      <c r="D1065">
        <v>0.85980607770372797</v>
      </c>
      <c r="E1065">
        <v>0.58109627486536297</v>
      </c>
      <c r="F1065">
        <v>0.53111088199712997</v>
      </c>
      <c r="G1065">
        <v>0.41037662647640899</v>
      </c>
      <c r="H1065">
        <v>0.33289306732868601</v>
      </c>
      <c r="I1065">
        <v>0.25135507928489997</v>
      </c>
      <c r="J1065">
        <v>0.30004915104921298</v>
      </c>
      <c r="K1065">
        <v>0.178737889396269</v>
      </c>
      <c r="L1065">
        <v>543.09492575006504</v>
      </c>
      <c r="M1065">
        <v>11.3336643996616</v>
      </c>
      <c r="N1065">
        <v>50.297349209359702</v>
      </c>
      <c r="O1065">
        <v>46.499661297724998</v>
      </c>
      <c r="P1065">
        <v>-4.8307847320534801E-2</v>
      </c>
      <c r="Q1065">
        <v>0.207450551470269</v>
      </c>
      <c r="R1065">
        <v>0.97778305818449696</v>
      </c>
      <c r="S1065" t="s">
        <v>7467</v>
      </c>
      <c r="T1065" t="s">
        <v>12802</v>
      </c>
      <c r="U1065" t="s">
        <v>12802</v>
      </c>
      <c r="V1065" t="s">
        <v>12802</v>
      </c>
      <c r="W1065" t="s">
        <v>13844</v>
      </c>
      <c r="X1065">
        <v>2</v>
      </c>
      <c r="Y1065" t="s">
        <v>20162</v>
      </c>
      <c r="Z1065" t="s">
        <v>26383</v>
      </c>
      <c r="AA1065">
        <v>0.52296019709266306</v>
      </c>
      <c r="AB1065" t="str">
        <f>HYPERLINK("Melting_Curves/meltCurve_H7BYE5_WRB.pdf", "Melting_Curves/meltCurve_H7BYE5_WRB.pdf")</f>
        <v>Melting_Curves/meltCurve_H7BYE5_WRB.pdf</v>
      </c>
    </row>
    <row r="1066" spans="1:28" x14ac:dyDescent="0.25">
      <c r="A1066" t="s">
        <v>1070</v>
      </c>
      <c r="B1066">
        <v>0.99542014353169495</v>
      </c>
      <c r="C1066">
        <v>0.94398249112377397</v>
      </c>
      <c r="D1066">
        <v>0.87418027241400997</v>
      </c>
      <c r="E1066">
        <v>0.67839245687376404</v>
      </c>
      <c r="F1066">
        <v>0.48263089164717998</v>
      </c>
      <c r="G1066">
        <v>0.29510347352370703</v>
      </c>
      <c r="H1066">
        <v>7.0511862528655003E-2</v>
      </c>
      <c r="I1066">
        <v>5.0211334014215799E-2</v>
      </c>
      <c r="J1066">
        <v>4.6474870078325001E-2</v>
      </c>
      <c r="K1066">
        <v>4.7944169553679201E-2</v>
      </c>
      <c r="L1066">
        <v>663.43980131980402</v>
      </c>
      <c r="M1066">
        <v>13.4000243063459</v>
      </c>
      <c r="N1066">
        <v>49.510366746098001</v>
      </c>
      <c r="O1066">
        <v>48.446695086312602</v>
      </c>
      <c r="P1066">
        <v>-6.9159144962770994E-2</v>
      </c>
      <c r="Q1066">
        <v>0</v>
      </c>
      <c r="R1066">
        <v>0.99403466569983001</v>
      </c>
      <c r="S1066" t="s">
        <v>7468</v>
      </c>
      <c r="T1066" t="s">
        <v>12802</v>
      </c>
      <c r="U1066" t="s">
        <v>12802</v>
      </c>
      <c r="V1066" t="s">
        <v>12802</v>
      </c>
      <c r="W1066" t="s">
        <v>13845</v>
      </c>
      <c r="X1066">
        <v>7</v>
      </c>
      <c r="Y1066" t="s">
        <v>20163</v>
      </c>
      <c r="Z1066" t="s">
        <v>26384</v>
      </c>
      <c r="AA1066">
        <v>0.44198067042215877</v>
      </c>
      <c r="AB1066" t="str">
        <f>HYPERLINK("Melting_Curves/meltCurve_H7BYQ6_INTS9.pdf", "Melting_Curves/meltCurve_H7BYQ6_INTS9.pdf")</f>
        <v>Melting_Curves/meltCurve_H7BYQ6_INTS9.pdf</v>
      </c>
    </row>
    <row r="1067" spans="1:28" x14ac:dyDescent="0.25">
      <c r="A1067" t="s">
        <v>1071</v>
      </c>
      <c r="B1067">
        <v>0.99542014353169495</v>
      </c>
      <c r="C1067">
        <v>1.0621306372530199</v>
      </c>
      <c r="D1067">
        <v>1.09956254649615</v>
      </c>
      <c r="E1067">
        <v>0.77365580311377102</v>
      </c>
      <c r="F1067">
        <v>0.54009621367779703</v>
      </c>
      <c r="G1067">
        <v>0.36672544294925102</v>
      </c>
      <c r="H1067">
        <v>0.28664373753915101</v>
      </c>
      <c r="I1067">
        <v>0.21473277938354701</v>
      </c>
      <c r="J1067">
        <v>0.27045184867148703</v>
      </c>
      <c r="K1067">
        <v>0.35167148789854002</v>
      </c>
      <c r="L1067">
        <v>1204.0498942504601</v>
      </c>
      <c r="M1067">
        <v>24.6803701414096</v>
      </c>
      <c r="N1067">
        <v>50.4706978310982</v>
      </c>
      <c r="O1067">
        <v>48.468824807722299</v>
      </c>
      <c r="P1067">
        <v>-9.1574266267885701E-2</v>
      </c>
      <c r="Q1067">
        <v>0.28065352692147399</v>
      </c>
      <c r="R1067">
        <v>0.96993580991970596</v>
      </c>
      <c r="S1067" t="s">
        <v>7469</v>
      </c>
      <c r="T1067" t="s">
        <v>12802</v>
      </c>
      <c r="U1067" t="s">
        <v>12802</v>
      </c>
      <c r="V1067" t="s">
        <v>12802</v>
      </c>
      <c r="W1067" t="s">
        <v>13846</v>
      </c>
      <c r="X1067">
        <v>1</v>
      </c>
      <c r="Y1067" t="s">
        <v>20164</v>
      </c>
      <c r="Z1067" t="s">
        <v>26385</v>
      </c>
      <c r="AA1067">
        <v>0.56961005493307093</v>
      </c>
      <c r="AB1067" t="str">
        <f>HYPERLINK("Melting_Curves/meltCurve_H7BYV1_IFITM2.pdf", "Melting_Curves/meltCurve_H7BYV1_IFITM2.pdf")</f>
        <v>Melting_Curves/meltCurve_H7BYV1_IFITM2.pdf</v>
      </c>
    </row>
    <row r="1068" spans="1:28" x14ac:dyDescent="0.25">
      <c r="A1068" t="s">
        <v>1072</v>
      </c>
      <c r="B1068">
        <v>0.99542014353169495</v>
      </c>
      <c r="C1068">
        <v>1.03666634302228</v>
      </c>
      <c r="D1068">
        <v>1.03643456425602</v>
      </c>
      <c r="E1068">
        <v>1.0007612264605099</v>
      </c>
      <c r="F1068">
        <v>0.87225423791087398</v>
      </c>
      <c r="G1068">
        <v>0.57783046250977399</v>
      </c>
      <c r="H1068">
        <v>0.46552117254197101</v>
      </c>
      <c r="I1068">
        <v>0.40695591291407102</v>
      </c>
      <c r="J1068">
        <v>0.62481702809024098</v>
      </c>
      <c r="K1068">
        <v>0.83647912497044297</v>
      </c>
      <c r="L1068">
        <v>12591.144398418201</v>
      </c>
      <c r="M1068">
        <v>250</v>
      </c>
      <c r="O1068">
        <v>50.3613547176151</v>
      </c>
      <c r="P1068">
        <v>-0.51835290316840299</v>
      </c>
      <c r="Q1068">
        <v>0.58232073070248302</v>
      </c>
      <c r="R1068">
        <v>0.79026406644138303</v>
      </c>
      <c r="S1068" t="s">
        <v>7470</v>
      </c>
      <c r="T1068" t="s">
        <v>12802</v>
      </c>
      <c r="U1068" t="s">
        <v>12802</v>
      </c>
      <c r="V1068" t="s">
        <v>12802</v>
      </c>
      <c r="W1068" t="s">
        <v>13847</v>
      </c>
      <c r="X1068">
        <v>23</v>
      </c>
      <c r="Y1068" t="s">
        <v>20079</v>
      </c>
      <c r="Z1068" t="s">
        <v>26386</v>
      </c>
      <c r="AA1068">
        <v>0.76842788243606885</v>
      </c>
      <c r="AB1068" t="str">
        <f>HYPERLINK("Melting_Curves/meltCurve_H7BYY1_TPM1.pdf", "Melting_Curves/meltCurve_H7BYY1_TPM1.pdf")</f>
        <v>Melting_Curves/meltCurve_H7BYY1_TPM1.pdf</v>
      </c>
    </row>
    <row r="1069" spans="1:28" x14ac:dyDescent="0.25">
      <c r="A1069" t="s">
        <v>1073</v>
      </c>
      <c r="B1069">
        <v>0.99542014353169495</v>
      </c>
      <c r="C1069">
        <v>1.0372073073038801</v>
      </c>
      <c r="D1069">
        <v>1.02510362350629</v>
      </c>
      <c r="E1069">
        <v>0.81964169713257595</v>
      </c>
      <c r="F1069">
        <v>0.69816543764469396</v>
      </c>
      <c r="G1069">
        <v>0.40071247602624999</v>
      </c>
      <c r="H1069">
        <v>0.21214612828444901</v>
      </c>
      <c r="I1069">
        <v>9.5321294507546797E-2</v>
      </c>
      <c r="J1069">
        <v>9.7867805977481195E-2</v>
      </c>
      <c r="K1069">
        <v>0.12768582618886801</v>
      </c>
      <c r="L1069">
        <v>907.98198043505897</v>
      </c>
      <c r="M1069">
        <v>17.503129732459598</v>
      </c>
      <c r="N1069">
        <v>52.336968481417998</v>
      </c>
      <c r="O1069">
        <v>51.212472168874903</v>
      </c>
      <c r="P1069">
        <v>-7.9337267770726305E-2</v>
      </c>
      <c r="Q1069">
        <v>7.1518331003336905E-2</v>
      </c>
      <c r="R1069">
        <v>0.99130105527767898</v>
      </c>
      <c r="S1069" t="s">
        <v>7471</v>
      </c>
      <c r="T1069" t="s">
        <v>12802</v>
      </c>
      <c r="U1069" t="s">
        <v>12802</v>
      </c>
      <c r="V1069" t="s">
        <v>12802</v>
      </c>
      <c r="W1069" t="s">
        <v>13699</v>
      </c>
      <c r="X1069">
        <v>6</v>
      </c>
      <c r="Z1069" t="s">
        <v>26387</v>
      </c>
      <c r="AA1069">
        <v>0.54656849972338573</v>
      </c>
      <c r="AB1069" t="str">
        <f>HYPERLINK("Melting_Curves/meltCurve_H7BZ11_.pdf", "Melting_Curves/meltCurve_H7BZ11_.pdf")</f>
        <v>Melting_Curves/meltCurve_H7BZ11_.pdf</v>
      </c>
    </row>
    <row r="1070" spans="1:28" x14ac:dyDescent="0.25">
      <c r="A1070" t="s">
        <v>1074</v>
      </c>
      <c r="B1070">
        <v>0.99542014353169495</v>
      </c>
      <c r="C1070">
        <v>1.02966999870575</v>
      </c>
      <c r="D1070">
        <v>0.88151218635908002</v>
      </c>
      <c r="E1070">
        <v>0.61998896723545505</v>
      </c>
      <c r="F1070">
        <v>0.34630214911367802</v>
      </c>
      <c r="G1070">
        <v>0.15334036463376799</v>
      </c>
      <c r="H1070">
        <v>9.0294167924966598E-2</v>
      </c>
      <c r="I1070">
        <v>6.1251075348534099E-2</v>
      </c>
      <c r="J1070">
        <v>4.60484751257801E-2</v>
      </c>
      <c r="K1070">
        <v>4.5846909251467997E-2</v>
      </c>
      <c r="L1070">
        <v>858.72344959043198</v>
      </c>
      <c r="M1070">
        <v>17.939729330010099</v>
      </c>
      <c r="N1070">
        <v>48.095420233857801</v>
      </c>
      <c r="O1070">
        <v>47.284254237442497</v>
      </c>
      <c r="P1070">
        <v>-9.0983863595777398E-2</v>
      </c>
      <c r="Q1070">
        <v>4.0813179525085098E-2</v>
      </c>
      <c r="R1070">
        <v>0.99764383508748999</v>
      </c>
      <c r="S1070" t="s">
        <v>7472</v>
      </c>
      <c r="T1070" t="s">
        <v>12802</v>
      </c>
      <c r="U1070" t="s">
        <v>12802</v>
      </c>
      <c r="V1070" t="s">
        <v>12802</v>
      </c>
      <c r="W1070" t="s">
        <v>13848</v>
      </c>
      <c r="X1070">
        <v>4</v>
      </c>
      <c r="Y1070" t="s">
        <v>20165</v>
      </c>
      <c r="Z1070" t="s">
        <v>26388</v>
      </c>
      <c r="AA1070">
        <v>0.40370195369662792</v>
      </c>
      <c r="AB1070" t="str">
        <f>HYPERLINK("Melting_Curves/meltCurve_H7BZ14_PPIL3.pdf", "Melting_Curves/meltCurve_H7BZ14_PPIL3.pdf")</f>
        <v>Melting_Curves/meltCurve_H7BZ14_PPIL3.pdf</v>
      </c>
    </row>
    <row r="1071" spans="1:28" x14ac:dyDescent="0.25">
      <c r="A1071" t="s">
        <v>1075</v>
      </c>
      <c r="B1071">
        <v>0.99542014353169495</v>
      </c>
      <c r="C1071">
        <v>1.06374759128281</v>
      </c>
      <c r="D1071">
        <v>1.0993764241931301</v>
      </c>
      <c r="E1071">
        <v>0.989692190399315</v>
      </c>
      <c r="F1071">
        <v>0.61135133817228704</v>
      </c>
      <c r="G1071">
        <v>0.25878858063057097</v>
      </c>
      <c r="H1071">
        <v>0.14073542527723801</v>
      </c>
      <c r="I1071">
        <v>9.4367516196590298E-2</v>
      </c>
      <c r="J1071">
        <v>7.8839145578070202E-2</v>
      </c>
      <c r="K1071">
        <v>6.1702208042147301E-2</v>
      </c>
      <c r="L1071">
        <v>1514.5126133137701</v>
      </c>
      <c r="M1071">
        <v>29.747353841577201</v>
      </c>
      <c r="N1071">
        <v>51.236787258197403</v>
      </c>
      <c r="O1071">
        <v>50.684096639458602</v>
      </c>
      <c r="P1071">
        <v>-0.134140168639867</v>
      </c>
      <c r="Q1071">
        <v>8.5804068787087906E-2</v>
      </c>
      <c r="R1071">
        <v>0.98984047915559303</v>
      </c>
      <c r="S1071" t="s">
        <v>7473</v>
      </c>
      <c r="T1071" t="s">
        <v>12802</v>
      </c>
      <c r="U1071" t="s">
        <v>12802</v>
      </c>
      <c r="V1071" t="s">
        <v>12802</v>
      </c>
      <c r="W1071" t="s">
        <v>13849</v>
      </c>
      <c r="X1071">
        <v>39</v>
      </c>
      <c r="Y1071" t="s">
        <v>20166</v>
      </c>
      <c r="Z1071" t="s">
        <v>26389</v>
      </c>
      <c r="AA1071">
        <v>0.51554599537396106</v>
      </c>
      <c r="AB1071" t="str">
        <f>HYPERLINK("Melting_Curves/meltCurve_H7BZ94_P4HB.pdf", "Melting_Curves/meltCurve_H7BZ94_P4HB.pdf")</f>
        <v>Melting_Curves/meltCurve_H7BZ94_P4HB.pdf</v>
      </c>
    </row>
    <row r="1072" spans="1:28" x14ac:dyDescent="0.25">
      <c r="A1072" t="s">
        <v>1076</v>
      </c>
      <c r="B1072">
        <v>0.99542014353169495</v>
      </c>
      <c r="C1072">
        <v>1.0037280631477601</v>
      </c>
      <c r="D1072">
        <v>0.81620827439591104</v>
      </c>
      <c r="E1072">
        <v>0.69232513196492396</v>
      </c>
      <c r="F1072">
        <v>0.30287852754802103</v>
      </c>
      <c r="G1072">
        <v>0.13624341616577801</v>
      </c>
      <c r="H1072">
        <v>7.4501521381430402E-2</v>
      </c>
      <c r="I1072">
        <v>5.8735915595347701E-2</v>
      </c>
      <c r="J1072">
        <v>7.1273526582249599E-2</v>
      </c>
      <c r="K1072">
        <v>6.9153774340793506E-2</v>
      </c>
      <c r="L1072">
        <v>899.85090668244095</v>
      </c>
      <c r="M1072">
        <v>18.827588621528001</v>
      </c>
      <c r="N1072">
        <v>48.052045675321899</v>
      </c>
      <c r="O1072">
        <v>47.264900090780401</v>
      </c>
      <c r="P1072">
        <v>-9.4806000330176707E-2</v>
      </c>
      <c r="Q1072">
        <v>4.8033338714843499E-2</v>
      </c>
      <c r="R1072">
        <v>0.99229145834084698</v>
      </c>
      <c r="S1072" t="s">
        <v>7474</v>
      </c>
      <c r="T1072" t="s">
        <v>12802</v>
      </c>
      <c r="U1072" t="s">
        <v>12802</v>
      </c>
      <c r="V1072" t="s">
        <v>12802</v>
      </c>
      <c r="W1072" t="s">
        <v>13850</v>
      </c>
      <c r="X1072">
        <v>10</v>
      </c>
      <c r="Y1072" t="s">
        <v>20007</v>
      </c>
      <c r="Z1072" t="s">
        <v>26390</v>
      </c>
      <c r="AA1072">
        <v>0.4045683670785678</v>
      </c>
      <c r="AB1072" t="str">
        <f>HYPERLINK("Melting_Curves/meltCurve_H7BZJ3_PDIA3.pdf", "Melting_Curves/meltCurve_H7BZJ3_PDIA3.pdf")</f>
        <v>Melting_Curves/meltCurve_H7BZJ3_PDIA3.pdf</v>
      </c>
    </row>
    <row r="1073" spans="1:28" x14ac:dyDescent="0.25">
      <c r="A1073" t="s">
        <v>1077</v>
      </c>
      <c r="B1073">
        <v>0.99542014353169495</v>
      </c>
      <c r="C1073">
        <v>0.96832146290949195</v>
      </c>
      <c r="D1073">
        <v>0.991690860809187</v>
      </c>
      <c r="E1073">
        <v>0.955884464443015</v>
      </c>
      <c r="F1073">
        <v>0.79769537884554198</v>
      </c>
      <c r="G1073">
        <v>0.63071745830941495</v>
      </c>
      <c r="H1073">
        <v>0.36361638469746199</v>
      </c>
      <c r="I1073">
        <v>0.29149431255730801</v>
      </c>
      <c r="J1073">
        <v>0.19183072686463101</v>
      </c>
      <c r="K1073">
        <v>8.7272062320022603E-2</v>
      </c>
      <c r="L1073">
        <v>750.55310306701006</v>
      </c>
      <c r="M1073">
        <v>13.5384378627072</v>
      </c>
      <c r="N1073">
        <v>55.732473332441501</v>
      </c>
      <c r="O1073">
        <v>54.271057255905099</v>
      </c>
      <c r="P1073">
        <v>-6.0226113913138798E-2</v>
      </c>
      <c r="Q1073">
        <v>3.4440460335019497E-2</v>
      </c>
      <c r="R1073">
        <v>0.99413803958215197</v>
      </c>
      <c r="S1073" t="s">
        <v>7475</v>
      </c>
      <c r="T1073" t="s">
        <v>12802</v>
      </c>
      <c r="U1073" t="s">
        <v>12802</v>
      </c>
      <c r="V1073" t="s">
        <v>12802</v>
      </c>
      <c r="W1073" t="s">
        <v>13851</v>
      </c>
      <c r="X1073">
        <v>2</v>
      </c>
      <c r="Y1073" t="s">
        <v>20167</v>
      </c>
      <c r="Z1073" t="s">
        <v>26391</v>
      </c>
      <c r="AA1073">
        <v>0.64048153307363009</v>
      </c>
      <c r="AB1073" t="str">
        <f>HYPERLINK("Melting_Curves/meltCurve_H7BZK6_USP46.pdf", "Melting_Curves/meltCurve_H7BZK6_USP46.pdf")</f>
        <v>Melting_Curves/meltCurve_H7BZK6_USP46.pdf</v>
      </c>
    </row>
    <row r="1074" spans="1:28" x14ac:dyDescent="0.25">
      <c r="A1074" t="s">
        <v>1078</v>
      </c>
      <c r="B1074">
        <v>0.99542014353169495</v>
      </c>
      <c r="C1074">
        <v>0.97521499318805305</v>
      </c>
      <c r="D1074">
        <v>0.95207027774372499</v>
      </c>
      <c r="E1074">
        <v>0.57365567850838595</v>
      </c>
      <c r="F1074">
        <v>0.420068165654574</v>
      </c>
      <c r="G1074">
        <v>0.406632956586854</v>
      </c>
      <c r="H1074">
        <v>0.3926717042317</v>
      </c>
      <c r="I1074">
        <v>0.36062269822741899</v>
      </c>
      <c r="J1074">
        <v>0.52033607042241603</v>
      </c>
      <c r="K1074">
        <v>0.49990297175315701</v>
      </c>
      <c r="L1074">
        <v>1993.5319819792701</v>
      </c>
      <c r="M1074">
        <v>43.913694380622204</v>
      </c>
      <c r="N1074">
        <v>47.561878152675</v>
      </c>
      <c r="O1074">
        <v>45.302750672564898</v>
      </c>
      <c r="P1074">
        <v>-0.13757871736827401</v>
      </c>
      <c r="Q1074">
        <v>0.43227865275309202</v>
      </c>
      <c r="R1074">
        <v>0.96585376437535697</v>
      </c>
      <c r="S1074" t="s">
        <v>7476</v>
      </c>
      <c r="T1074" t="s">
        <v>12802</v>
      </c>
      <c r="U1074" t="s">
        <v>12802</v>
      </c>
      <c r="V1074" t="s">
        <v>12802</v>
      </c>
      <c r="W1074" t="s">
        <v>13086</v>
      </c>
      <c r="X1074">
        <v>3</v>
      </c>
      <c r="Z1074" t="s">
        <v>26392</v>
      </c>
      <c r="AA1074">
        <v>0.59265293441910716</v>
      </c>
      <c r="AB1074" t="str">
        <f>HYPERLINK("Melting_Curves/meltCurve_H7BZT4_.pdf", "Melting_Curves/meltCurve_H7BZT4_.pdf")</f>
        <v>Melting_Curves/meltCurve_H7BZT4_.pdf</v>
      </c>
    </row>
    <row r="1075" spans="1:28" x14ac:dyDescent="0.25">
      <c r="A1075" t="s">
        <v>1079</v>
      </c>
      <c r="B1075">
        <v>0.99542014353169495</v>
      </c>
      <c r="C1075">
        <v>1.0132792018505901</v>
      </c>
      <c r="D1075">
        <v>0.90184501629223202</v>
      </c>
      <c r="E1075">
        <v>0.91350983511136297</v>
      </c>
      <c r="F1075">
        <v>0.700030795072207</v>
      </c>
      <c r="G1075">
        <v>0.51208318349308102</v>
      </c>
      <c r="H1075">
        <v>0.21217476421314899</v>
      </c>
      <c r="I1075">
        <v>0.11825389841258099</v>
      </c>
      <c r="J1075">
        <v>0.10664688939643201</v>
      </c>
      <c r="K1075">
        <v>6.9299378515780594E-2</v>
      </c>
      <c r="L1075">
        <v>822.82538158129205</v>
      </c>
      <c r="M1075">
        <v>15.492261545734801</v>
      </c>
      <c r="N1075">
        <v>53.2650848364597</v>
      </c>
      <c r="O1075">
        <v>52.2506848187871</v>
      </c>
      <c r="P1075">
        <v>-7.25175749142071E-2</v>
      </c>
      <c r="Q1075">
        <v>2.1768147577881501E-2</v>
      </c>
      <c r="R1075">
        <v>0.99192115776341905</v>
      </c>
      <c r="S1075" t="s">
        <v>7477</v>
      </c>
      <c r="T1075" t="s">
        <v>12802</v>
      </c>
      <c r="U1075" t="s">
        <v>12802</v>
      </c>
      <c r="V1075" t="s">
        <v>12802</v>
      </c>
      <c r="W1075" t="s">
        <v>13852</v>
      </c>
      <c r="X1075">
        <v>3</v>
      </c>
      <c r="Y1075" t="s">
        <v>20168</v>
      </c>
      <c r="Z1075" t="s">
        <v>26393</v>
      </c>
      <c r="AA1075">
        <v>0.56391053200570285</v>
      </c>
      <c r="AB1075" t="str">
        <f>HYPERLINK("Melting_Curves/meltCurve_H7C0G7_NHEJ1.pdf", "Melting_Curves/meltCurve_H7C0G7_NHEJ1.pdf")</f>
        <v>Melting_Curves/meltCurve_H7C0G7_NHEJ1.pdf</v>
      </c>
    </row>
    <row r="1076" spans="1:28" x14ac:dyDescent="0.25">
      <c r="A1076" t="s">
        <v>1080</v>
      </c>
      <c r="B1076">
        <v>0.99542014353169495</v>
      </c>
      <c r="C1076">
        <v>0.93726075915641205</v>
      </c>
      <c r="D1076">
        <v>0.69367719478494505</v>
      </c>
      <c r="E1076">
        <v>0.86315069067839301</v>
      </c>
      <c r="F1076">
        <v>0.36819281199875997</v>
      </c>
      <c r="G1076">
        <v>0.61386198107426704</v>
      </c>
      <c r="H1076">
        <v>0.28245050300761698</v>
      </c>
      <c r="I1076">
        <v>0.12567964270033499</v>
      </c>
      <c r="J1076">
        <v>0.14464094653644699</v>
      </c>
      <c r="K1076">
        <v>0.43769617913432901</v>
      </c>
      <c r="L1076">
        <v>496.68853030218003</v>
      </c>
      <c r="M1076">
        <v>10.188227156492999</v>
      </c>
      <c r="N1076">
        <v>51.127674101054303</v>
      </c>
      <c r="O1076">
        <v>46.984946690121703</v>
      </c>
      <c r="P1076">
        <v>-4.40055704064908E-2</v>
      </c>
      <c r="Q1076">
        <v>0.18860725424798799</v>
      </c>
      <c r="R1076">
        <v>0.78713797239294103</v>
      </c>
      <c r="S1076" t="s">
        <v>7478</v>
      </c>
      <c r="T1076" t="s">
        <v>12802</v>
      </c>
      <c r="U1076" t="s">
        <v>12802</v>
      </c>
      <c r="V1076" t="s">
        <v>12802</v>
      </c>
      <c r="W1076" t="s">
        <v>13853</v>
      </c>
      <c r="X1076">
        <v>3</v>
      </c>
      <c r="Y1076" t="s">
        <v>20169</v>
      </c>
      <c r="Z1076" t="s">
        <v>26394</v>
      </c>
      <c r="AA1076">
        <v>0.53652028684663822</v>
      </c>
      <c r="AB1076" t="str">
        <f>HYPERLINK("Melting_Curves/meltCurve_H7C0N4_SF1.pdf", "Melting_Curves/meltCurve_H7C0N4_SF1.pdf")</f>
        <v>Melting_Curves/meltCurve_H7C0N4_SF1.pdf</v>
      </c>
    </row>
    <row r="1077" spans="1:28" x14ac:dyDescent="0.25">
      <c r="A1077" t="s">
        <v>1081</v>
      </c>
      <c r="B1077">
        <v>0.99542014353169495</v>
      </c>
      <c r="C1077">
        <v>1.10024055012741</v>
      </c>
      <c r="D1077">
        <v>0.90224170720001595</v>
      </c>
      <c r="E1077">
        <v>0.85420177851129997</v>
      </c>
      <c r="F1077">
        <v>0.72308205857423302</v>
      </c>
      <c r="G1077">
        <v>0.51116623436966602</v>
      </c>
      <c r="H1077">
        <v>0.38332169680910599</v>
      </c>
      <c r="I1077">
        <v>0.26449257357494199</v>
      </c>
      <c r="J1077">
        <v>0.24701588007762401</v>
      </c>
      <c r="K1077">
        <v>0.12587933904960999</v>
      </c>
      <c r="L1077">
        <v>607.33032108125406</v>
      </c>
      <c r="M1077">
        <v>11.3134351144713</v>
      </c>
      <c r="N1077">
        <v>54.476855119598802</v>
      </c>
      <c r="O1077">
        <v>52.087024263841002</v>
      </c>
      <c r="P1077">
        <v>-5.0185617717718997E-2</v>
      </c>
      <c r="Q1077">
        <v>7.6061933308492605E-2</v>
      </c>
      <c r="R1077">
        <v>0.98153053101151899</v>
      </c>
      <c r="S1077" t="s">
        <v>7479</v>
      </c>
      <c r="T1077" t="s">
        <v>12802</v>
      </c>
      <c r="U1077" t="s">
        <v>12802</v>
      </c>
      <c r="V1077" t="s">
        <v>12802</v>
      </c>
      <c r="W1077" t="s">
        <v>13854</v>
      </c>
      <c r="X1077">
        <v>2</v>
      </c>
      <c r="Y1077" t="s">
        <v>20170</v>
      </c>
      <c r="Z1077" t="s">
        <v>26395</v>
      </c>
      <c r="AA1077">
        <v>0.60760432670226217</v>
      </c>
      <c r="AB1077" t="str">
        <f>HYPERLINK("Melting_Curves/meltCurve_H7C0V4_RTN4R.pdf", "Melting_Curves/meltCurve_H7C0V4_RTN4R.pdf")</f>
        <v>Melting_Curves/meltCurve_H7C0V4_RTN4R.pdf</v>
      </c>
    </row>
    <row r="1078" spans="1:28" x14ac:dyDescent="0.25">
      <c r="A1078" t="s">
        <v>1082</v>
      </c>
      <c r="B1078">
        <v>0.99542014353169495</v>
      </c>
      <c r="C1078">
        <v>0.87335869561949497</v>
      </c>
      <c r="D1078">
        <v>0.73310233220107501</v>
      </c>
      <c r="E1078">
        <v>0.45811371846484</v>
      </c>
      <c r="F1078">
        <v>0.212863569471753</v>
      </c>
      <c r="G1078">
        <v>8.8854099770109704E-2</v>
      </c>
      <c r="H1078">
        <v>6.1451225110859403E-2</v>
      </c>
      <c r="I1078">
        <v>3.9788827392032398E-2</v>
      </c>
      <c r="J1078">
        <v>4.1290030772801099E-2</v>
      </c>
      <c r="K1078">
        <v>4.7462541547065702E-2</v>
      </c>
      <c r="L1078">
        <v>703.95220869563195</v>
      </c>
      <c r="M1078">
        <v>15.4060019627826</v>
      </c>
      <c r="N1078">
        <v>45.837288757762998</v>
      </c>
      <c r="O1078">
        <v>44.944252212073302</v>
      </c>
      <c r="P1078">
        <v>-8.36794643830506E-2</v>
      </c>
      <c r="Q1078">
        <v>2.3609423357492599E-2</v>
      </c>
      <c r="R1078">
        <v>0.99791412892961695</v>
      </c>
      <c r="S1078" t="s">
        <v>7480</v>
      </c>
      <c r="T1078" t="s">
        <v>12802</v>
      </c>
      <c r="U1078" t="s">
        <v>12802</v>
      </c>
      <c r="V1078" t="s">
        <v>12802</v>
      </c>
      <c r="W1078" t="s">
        <v>13855</v>
      </c>
      <c r="X1078">
        <v>7</v>
      </c>
      <c r="Y1078" t="s">
        <v>20171</v>
      </c>
      <c r="Z1078" t="s">
        <v>26396</v>
      </c>
      <c r="AA1078">
        <v>0.32811361972781727</v>
      </c>
      <c r="AB1078" t="str">
        <f>HYPERLINK("Melting_Curves/meltCurve_H7C107_IQSEC1.pdf", "Melting_Curves/meltCurve_H7C107_IQSEC1.pdf")</f>
        <v>Melting_Curves/meltCurve_H7C107_IQSEC1.pdf</v>
      </c>
    </row>
    <row r="1079" spans="1:28" x14ac:dyDescent="0.25">
      <c r="A1079" t="s">
        <v>1083</v>
      </c>
      <c r="B1079">
        <v>0.99542014353169495</v>
      </c>
      <c r="C1079">
        <v>0.91563992302457098</v>
      </c>
      <c r="D1079">
        <v>0.89015293822609998</v>
      </c>
      <c r="E1079">
        <v>0.53663155291285203</v>
      </c>
      <c r="F1079">
        <v>0.142089679243215</v>
      </c>
      <c r="G1079">
        <v>6.4559339454002398E-2</v>
      </c>
      <c r="H1079">
        <v>3.9716623677407699E-2</v>
      </c>
      <c r="I1079">
        <v>2.9600491360194402E-2</v>
      </c>
      <c r="J1079">
        <v>1.42883576835512E-2</v>
      </c>
      <c r="K1079">
        <v>4.1506760954106998E-2</v>
      </c>
      <c r="L1079">
        <v>1159.11251160146</v>
      </c>
      <c r="M1079">
        <v>24.849219147585998</v>
      </c>
      <c r="N1079">
        <v>46.7433117370649</v>
      </c>
      <c r="O1079">
        <v>46.346866170919498</v>
      </c>
      <c r="P1079">
        <v>-0.13065609817416299</v>
      </c>
      <c r="Q1079">
        <v>2.5253865400927999E-2</v>
      </c>
      <c r="R1079">
        <v>0.99598587055060095</v>
      </c>
      <c r="S1079" t="s">
        <v>7481</v>
      </c>
      <c r="T1079" t="s">
        <v>12802</v>
      </c>
      <c r="U1079" t="s">
        <v>12802</v>
      </c>
      <c r="V1079" t="s">
        <v>12802</v>
      </c>
      <c r="W1079" t="s">
        <v>13856</v>
      </c>
      <c r="X1079">
        <v>2</v>
      </c>
      <c r="Y1079" t="s">
        <v>20172</v>
      </c>
      <c r="Z1079" t="s">
        <v>26397</v>
      </c>
      <c r="AA1079">
        <v>0.34690729337419501</v>
      </c>
      <c r="AB1079" t="str">
        <f>HYPERLINK("Melting_Curves/meltCurve_H7C124_THEMIS2.pdf", "Melting_Curves/meltCurve_H7C124_THEMIS2.pdf")</f>
        <v>Melting_Curves/meltCurve_H7C124_THEMIS2.pdf</v>
      </c>
    </row>
    <row r="1080" spans="1:28" x14ac:dyDescent="0.25">
      <c r="A1080" t="s">
        <v>1084</v>
      </c>
      <c r="B1080">
        <v>0.99542014353169495</v>
      </c>
      <c r="C1080">
        <v>0.97700337581961605</v>
      </c>
      <c r="D1080">
        <v>1.07988833288249</v>
      </c>
      <c r="E1080">
        <v>0.89823252405141796</v>
      </c>
      <c r="F1080">
        <v>0.62056922375438295</v>
      </c>
      <c r="G1080">
        <v>0.25401503287501498</v>
      </c>
      <c r="H1080">
        <v>0.44914526809848099</v>
      </c>
      <c r="I1080">
        <v>0.32315337377025799</v>
      </c>
      <c r="J1080">
        <v>0.18373027020699201</v>
      </c>
      <c r="K1080">
        <v>0.27060907818012297</v>
      </c>
      <c r="L1080">
        <v>1698.52999585827</v>
      </c>
      <c r="M1080">
        <v>34.122883562500903</v>
      </c>
      <c r="N1080">
        <v>51.056526352245598</v>
      </c>
      <c r="O1080">
        <v>49.606833525131897</v>
      </c>
      <c r="P1080">
        <v>-0.12254203326247</v>
      </c>
      <c r="Q1080">
        <v>0.28741093586531002</v>
      </c>
      <c r="R1080">
        <v>0.95265602370768598</v>
      </c>
      <c r="S1080" t="s">
        <v>7482</v>
      </c>
      <c r="T1080" t="s">
        <v>12802</v>
      </c>
      <c r="U1080" t="s">
        <v>12802</v>
      </c>
      <c r="V1080" t="s">
        <v>12802</v>
      </c>
      <c r="W1080" t="s">
        <v>13857</v>
      </c>
      <c r="X1080">
        <v>7</v>
      </c>
      <c r="Y1080" t="s">
        <v>20173</v>
      </c>
      <c r="Z1080" t="s">
        <v>26398</v>
      </c>
      <c r="AA1080">
        <v>0.59427024487764768</v>
      </c>
      <c r="AB1080" t="str">
        <f>HYPERLINK("Melting_Curves/meltCurve_H7C137_RANBP1.pdf", "Melting_Curves/meltCurve_H7C137_RANBP1.pdf")</f>
        <v>Melting_Curves/meltCurve_H7C137_RANBP1.pdf</v>
      </c>
    </row>
    <row r="1081" spans="1:28" x14ac:dyDescent="0.25">
      <c r="A1081" t="s">
        <v>1085</v>
      </c>
      <c r="B1081">
        <v>0.99542014353169495</v>
      </c>
      <c r="C1081">
        <v>0.826025137549806</v>
      </c>
      <c r="D1081">
        <v>0.88040936404827697</v>
      </c>
      <c r="E1081">
        <v>0.376367113782969</v>
      </c>
      <c r="F1081">
        <v>0.12145974532836699</v>
      </c>
      <c r="G1081">
        <v>7.3613119660940293E-2</v>
      </c>
      <c r="H1081">
        <v>3.9464755351973899E-2</v>
      </c>
      <c r="I1081">
        <v>3.4379493099167803E-2</v>
      </c>
      <c r="J1081">
        <v>4.65634822678287E-2</v>
      </c>
      <c r="K1081">
        <v>6.3002382518074995E-2</v>
      </c>
      <c r="L1081">
        <v>1168.1920217320701</v>
      </c>
      <c r="M1081">
        <v>25.633743167732</v>
      </c>
      <c r="N1081">
        <v>45.738608614344997</v>
      </c>
      <c r="O1081">
        <v>45.297781522061001</v>
      </c>
      <c r="P1081">
        <v>-0.13518474026503499</v>
      </c>
      <c r="Q1081">
        <v>4.4463239357239198E-2</v>
      </c>
      <c r="R1081">
        <v>0.98188068086048896</v>
      </c>
      <c r="S1081" t="s">
        <v>7483</v>
      </c>
      <c r="T1081" t="s">
        <v>12802</v>
      </c>
      <c r="U1081" t="s">
        <v>12802</v>
      </c>
      <c r="V1081" t="s">
        <v>12802</v>
      </c>
      <c r="W1081" t="s">
        <v>13858</v>
      </c>
      <c r="X1081">
        <v>9</v>
      </c>
      <c r="Y1081" t="s">
        <v>20174</v>
      </c>
      <c r="Z1081" t="s">
        <v>26399</v>
      </c>
      <c r="AA1081">
        <v>0.32498807434664922</v>
      </c>
      <c r="AB1081" t="str">
        <f>HYPERLINK("Melting_Curves/meltCurve_H7C155_RAF1.pdf", "Melting_Curves/meltCurve_H7C155_RAF1.pdf")</f>
        <v>Melting_Curves/meltCurve_H7C155_RAF1.pdf</v>
      </c>
    </row>
    <row r="1082" spans="1:28" x14ac:dyDescent="0.25">
      <c r="A1082" t="s">
        <v>1086</v>
      </c>
      <c r="B1082">
        <v>0.99542014353169495</v>
      </c>
      <c r="C1082">
        <v>1.0309532721160699</v>
      </c>
      <c r="D1082">
        <v>1.0353135948856</v>
      </c>
      <c r="E1082">
        <v>1.1158615464472199</v>
      </c>
      <c r="F1082">
        <v>0.95893161161606899</v>
      </c>
      <c r="G1082">
        <v>0.758062863568425</v>
      </c>
      <c r="H1082">
        <v>0.58243889022693696</v>
      </c>
      <c r="I1082">
        <v>0.48727961089930599</v>
      </c>
      <c r="J1082">
        <v>0.70514585313482303</v>
      </c>
      <c r="K1082">
        <v>0.85397768938007501</v>
      </c>
      <c r="L1082">
        <v>2892.4037627575099</v>
      </c>
      <c r="M1082">
        <v>54.807752100272403</v>
      </c>
      <c r="O1082">
        <v>52.703507106059298</v>
      </c>
      <c r="P1082">
        <v>-8.88758565014858E-2</v>
      </c>
      <c r="Q1082">
        <v>0.65814569052846505</v>
      </c>
      <c r="R1082">
        <v>0.770699287067238</v>
      </c>
      <c r="S1082" t="s">
        <v>7484</v>
      </c>
      <c r="T1082" t="s">
        <v>12802</v>
      </c>
      <c r="U1082" t="s">
        <v>12802</v>
      </c>
      <c r="V1082" t="s">
        <v>12802</v>
      </c>
      <c r="W1082" t="s">
        <v>13859</v>
      </c>
      <c r="X1082">
        <v>4</v>
      </c>
      <c r="Y1082" t="s">
        <v>20175</v>
      </c>
      <c r="Z1082" t="s">
        <v>26400</v>
      </c>
      <c r="AA1082">
        <v>0.83854992672448392</v>
      </c>
      <c r="AB1082" t="str">
        <f>HYPERLINK("Melting_Curves/meltCurve_H7C173_MZT2B.pdf", "Melting_Curves/meltCurve_H7C173_MZT2B.pdf")</f>
        <v>Melting_Curves/meltCurve_H7C173_MZT2B.pdf</v>
      </c>
    </row>
    <row r="1083" spans="1:28" x14ac:dyDescent="0.25">
      <c r="A1083" t="s">
        <v>1087</v>
      </c>
      <c r="B1083">
        <v>0.99542014353169495</v>
      </c>
      <c r="C1083">
        <v>0.73838294194129395</v>
      </c>
      <c r="D1083">
        <v>0.55401954121544705</v>
      </c>
      <c r="E1083">
        <v>0.16384813472201601</v>
      </c>
      <c r="F1083">
        <v>3.84416402683527E-2</v>
      </c>
      <c r="G1083">
        <v>6.6026393978234205E-2</v>
      </c>
      <c r="H1083">
        <v>4.6933105799412997E-2</v>
      </c>
      <c r="I1083">
        <v>3.4130823168586101E-2</v>
      </c>
      <c r="J1083">
        <v>3.7860558131572901E-2</v>
      </c>
      <c r="K1083">
        <v>5.3900420722025201E-2</v>
      </c>
      <c r="L1083">
        <v>832.30435738831795</v>
      </c>
      <c r="M1083">
        <v>19.459182805355301</v>
      </c>
      <c r="N1083">
        <v>42.9187743497247</v>
      </c>
      <c r="O1083">
        <v>42.327778167754801</v>
      </c>
      <c r="P1083">
        <v>-0.111231295832558</v>
      </c>
      <c r="Q1083">
        <v>3.2230106418422798E-2</v>
      </c>
      <c r="R1083">
        <v>0.987469858140964</v>
      </c>
      <c r="S1083" t="s">
        <v>7485</v>
      </c>
      <c r="T1083" t="s">
        <v>12802</v>
      </c>
      <c r="U1083" t="s">
        <v>12802</v>
      </c>
      <c r="V1083" t="s">
        <v>12802</v>
      </c>
      <c r="W1083" t="s">
        <v>13860</v>
      </c>
      <c r="X1083">
        <v>3</v>
      </c>
      <c r="Y1083" t="s">
        <v>20176</v>
      </c>
      <c r="Z1083" t="s">
        <v>26401</v>
      </c>
      <c r="AA1083">
        <v>0.2329962490027114</v>
      </c>
      <c r="AB1083" t="str">
        <f>HYPERLINK("Melting_Curves/meltCurve_H7C1M5_DNTTIP1.pdf", "Melting_Curves/meltCurve_H7C1M5_DNTTIP1.pdf")</f>
        <v>Melting_Curves/meltCurve_H7C1M5_DNTTIP1.pdf</v>
      </c>
    </row>
    <row r="1084" spans="1:28" x14ac:dyDescent="0.25">
      <c r="A1084" t="s">
        <v>1088</v>
      </c>
      <c r="B1084">
        <v>0.99542014353169495</v>
      </c>
      <c r="C1084">
        <v>0.97028019090180195</v>
      </c>
      <c r="D1084">
        <v>0.90194717981811501</v>
      </c>
      <c r="E1084">
        <v>0.73008707666432704</v>
      </c>
      <c r="F1084">
        <v>0.61983419937289697</v>
      </c>
      <c r="G1084">
        <v>0.40515930915415399</v>
      </c>
      <c r="H1084">
        <v>0.327716110248856</v>
      </c>
      <c r="I1084">
        <v>0.30404311699268899</v>
      </c>
      <c r="J1084">
        <v>0.44611885489019198</v>
      </c>
      <c r="K1084">
        <v>0.53750170068718495</v>
      </c>
      <c r="L1084">
        <v>892.32071532427403</v>
      </c>
      <c r="M1084">
        <v>18.8496600293354</v>
      </c>
      <c r="N1084">
        <v>51.635145115346297</v>
      </c>
      <c r="O1084">
        <v>46.815680224628501</v>
      </c>
      <c r="P1084">
        <v>-6.0819588772051902E-2</v>
      </c>
      <c r="Q1084">
        <v>0.39581014758303901</v>
      </c>
      <c r="R1084">
        <v>0.923796328596174</v>
      </c>
      <c r="S1084" t="s">
        <v>7486</v>
      </c>
      <c r="T1084" t="s">
        <v>12802</v>
      </c>
      <c r="U1084" t="s">
        <v>12802</v>
      </c>
      <c r="V1084" t="s">
        <v>12802</v>
      </c>
      <c r="W1084" t="s">
        <v>13861</v>
      </c>
      <c r="X1084">
        <v>3</v>
      </c>
      <c r="Y1084" t="s">
        <v>20177</v>
      </c>
      <c r="Z1084" t="s">
        <v>26402</v>
      </c>
      <c r="AA1084">
        <v>0.61290418003930158</v>
      </c>
      <c r="AB1084" t="str">
        <f>HYPERLINK("Melting_Curves/meltCurve_H7C1N3_BET1.pdf", "Melting_Curves/meltCurve_H7C1N3_BET1.pdf")</f>
        <v>Melting_Curves/meltCurve_H7C1N3_BET1.pdf</v>
      </c>
    </row>
    <row r="1085" spans="1:28" x14ac:dyDescent="0.25">
      <c r="A1085" t="s">
        <v>1089</v>
      </c>
      <c r="B1085">
        <v>0.99542014353169495</v>
      </c>
      <c r="C1085">
        <v>1.0509789020734801</v>
      </c>
      <c r="D1085">
        <v>0.969103855716688</v>
      </c>
      <c r="E1085">
        <v>0.82668724780837999</v>
      </c>
      <c r="F1085">
        <v>0.372255732432549</v>
      </c>
      <c r="G1085">
        <v>0.116791965078705</v>
      </c>
      <c r="H1085">
        <v>6.6797262585085795E-2</v>
      </c>
      <c r="I1085">
        <v>4.9838628001064103E-2</v>
      </c>
      <c r="J1085">
        <v>5.3458756701664001E-2</v>
      </c>
      <c r="K1085">
        <v>5.72802713112055E-2</v>
      </c>
      <c r="L1085">
        <v>1410.0933610715999</v>
      </c>
      <c r="M1085">
        <v>28.766879328624299</v>
      </c>
      <c r="N1085">
        <v>49.204290853122799</v>
      </c>
      <c r="O1085">
        <v>48.782909804651702</v>
      </c>
      <c r="P1085">
        <v>-0.13981557363104</v>
      </c>
      <c r="Q1085">
        <v>5.1609741024616802E-2</v>
      </c>
      <c r="R1085">
        <v>0.99832368798885296</v>
      </c>
      <c r="S1085" t="s">
        <v>7487</v>
      </c>
      <c r="T1085" t="s">
        <v>12802</v>
      </c>
      <c r="U1085" t="s">
        <v>12802</v>
      </c>
      <c r="V1085" t="s">
        <v>12802</v>
      </c>
      <c r="W1085" t="s">
        <v>13862</v>
      </c>
      <c r="X1085">
        <v>19</v>
      </c>
      <c r="Y1085" t="s">
        <v>20178</v>
      </c>
      <c r="Z1085" t="s">
        <v>26403</v>
      </c>
      <c r="AA1085">
        <v>0.43775363836102688</v>
      </c>
      <c r="AB1085" t="str">
        <f>HYPERLINK("Melting_Curves/meltCurve_H7C1U3_CC2D1B.pdf", "Melting_Curves/meltCurve_H7C1U3_CC2D1B.pdf")</f>
        <v>Melting_Curves/meltCurve_H7C1U3_CC2D1B.pdf</v>
      </c>
    </row>
    <row r="1086" spans="1:28" x14ac:dyDescent="0.25">
      <c r="A1086" t="s">
        <v>1090</v>
      </c>
      <c r="B1086">
        <v>0.99542014353169495</v>
      </c>
      <c r="C1086">
        <v>0.96506568400681703</v>
      </c>
      <c r="D1086">
        <v>0.95247411246291702</v>
      </c>
      <c r="E1086">
        <v>0.96573333976435705</v>
      </c>
      <c r="F1086">
        <v>0.81335975654702897</v>
      </c>
      <c r="G1086">
        <v>0.646799325536215</v>
      </c>
      <c r="H1086">
        <v>0.55380486462898504</v>
      </c>
      <c r="I1086">
        <v>0.54378550040279605</v>
      </c>
      <c r="J1086">
        <v>0.81104006316186095</v>
      </c>
      <c r="K1086">
        <v>0.90227470273964905</v>
      </c>
      <c r="L1086">
        <v>12528.5822807739</v>
      </c>
      <c r="M1086">
        <v>250</v>
      </c>
      <c r="O1086">
        <v>50.111126299463798</v>
      </c>
      <c r="P1086">
        <v>-0.38471887190687099</v>
      </c>
      <c r="Q1086">
        <v>0.69154089026311005</v>
      </c>
      <c r="R1086">
        <v>0.61308802241041804</v>
      </c>
      <c r="S1086" t="s">
        <v>7488</v>
      </c>
      <c r="T1086" t="s">
        <v>12802</v>
      </c>
      <c r="U1086" t="s">
        <v>12802</v>
      </c>
      <c r="V1086" t="s">
        <v>12802</v>
      </c>
      <c r="W1086" t="s">
        <v>13863</v>
      </c>
      <c r="X1086">
        <v>5</v>
      </c>
      <c r="Y1086" t="s">
        <v>20179</v>
      </c>
      <c r="Z1086" t="s">
        <v>26404</v>
      </c>
      <c r="AA1086">
        <v>0.82640916207121118</v>
      </c>
      <c r="AB1086" t="str">
        <f>HYPERLINK("Melting_Curves/meltCurve_H7C1U8_APOO.pdf", "Melting_Curves/meltCurve_H7C1U8_APOO.pdf")</f>
        <v>Melting_Curves/meltCurve_H7C1U8_APOO.pdf</v>
      </c>
    </row>
    <row r="1087" spans="1:28" x14ac:dyDescent="0.25">
      <c r="A1087" t="s">
        <v>1091</v>
      </c>
      <c r="B1087">
        <v>0.99542014353169495</v>
      </c>
      <c r="C1087">
        <v>0.78134699914667305</v>
      </c>
      <c r="D1087">
        <v>0.78846623040802499</v>
      </c>
      <c r="E1087">
        <v>0.69819431182548197</v>
      </c>
      <c r="F1087">
        <v>0.48283401766387501</v>
      </c>
      <c r="G1087">
        <v>0.43009098943722601</v>
      </c>
      <c r="H1087">
        <v>0.35801354847952399</v>
      </c>
      <c r="I1087">
        <v>0.28400822026186001</v>
      </c>
      <c r="J1087">
        <v>0.45485285603221298</v>
      </c>
      <c r="K1087">
        <v>0.45587814861933901</v>
      </c>
      <c r="L1087">
        <v>518.69131074660697</v>
      </c>
      <c r="M1087">
        <v>11.512715891584699</v>
      </c>
      <c r="N1087">
        <v>50.710100598841699</v>
      </c>
      <c r="O1087">
        <v>43.758755766586802</v>
      </c>
      <c r="P1087">
        <v>-4.2004638498545598E-2</v>
      </c>
      <c r="Q1087">
        <v>0.36155788305937298</v>
      </c>
      <c r="R1087">
        <v>0.90247879089877903</v>
      </c>
      <c r="S1087" t="s">
        <v>7489</v>
      </c>
      <c r="T1087" t="s">
        <v>12802</v>
      </c>
      <c r="U1087" t="s">
        <v>12802</v>
      </c>
      <c r="V1087" t="s">
        <v>12802</v>
      </c>
      <c r="W1087" t="s">
        <v>13864</v>
      </c>
      <c r="X1087">
        <v>1</v>
      </c>
      <c r="Y1087" t="s">
        <v>20180</v>
      </c>
      <c r="Z1087" t="s">
        <v>26405</v>
      </c>
      <c r="AA1087">
        <v>0.55786762146555113</v>
      </c>
      <c r="AB1087" t="str">
        <f>HYPERLINK("Melting_Curves/meltCurve_H7C1W4_TATDN2.pdf", "Melting_Curves/meltCurve_H7C1W4_TATDN2.pdf")</f>
        <v>Melting_Curves/meltCurve_H7C1W4_TATDN2.pdf</v>
      </c>
    </row>
    <row r="1088" spans="1:28" x14ac:dyDescent="0.25">
      <c r="A1088" t="s">
        <v>1092</v>
      </c>
      <c r="B1088">
        <v>0.99542014353169495</v>
      </c>
      <c r="C1088">
        <v>1.26597204355179</v>
      </c>
      <c r="D1088">
        <v>1.3499499917649</v>
      </c>
      <c r="E1088">
        <v>1.16004496499354</v>
      </c>
      <c r="F1088">
        <v>1.18420488356349</v>
      </c>
      <c r="G1088">
        <v>0.83981454374723397</v>
      </c>
      <c r="H1088">
        <v>0.63001241734581304</v>
      </c>
      <c r="I1088">
        <v>0.66119566255556605</v>
      </c>
      <c r="J1088">
        <v>0.90406355722238596</v>
      </c>
      <c r="K1088">
        <v>0.96848056805443095</v>
      </c>
      <c r="L1088">
        <v>13386.137512949999</v>
      </c>
      <c r="M1088">
        <v>250</v>
      </c>
      <c r="O1088">
        <v>53.541123575679997</v>
      </c>
      <c r="P1088">
        <v>-0.24404366328032001</v>
      </c>
      <c r="Q1088">
        <v>0.79093804938601897</v>
      </c>
      <c r="R1088">
        <v>0.37086576224528001</v>
      </c>
      <c r="S1088" t="s">
        <v>7490</v>
      </c>
      <c r="T1088" t="s">
        <v>12802</v>
      </c>
      <c r="U1088" t="s">
        <v>12802</v>
      </c>
      <c r="V1088" t="s">
        <v>12802</v>
      </c>
      <c r="W1088" t="s">
        <v>13865</v>
      </c>
      <c r="X1088">
        <v>2</v>
      </c>
      <c r="Y1088" t="s">
        <v>20181</v>
      </c>
      <c r="Z1088" t="s">
        <v>26406</v>
      </c>
      <c r="AA1088">
        <v>0.90625222510190884</v>
      </c>
      <c r="AB1088" t="str">
        <f>HYPERLINK("Melting_Curves/meltCurve_H7C284_MFSD6.pdf", "Melting_Curves/meltCurve_H7C284_MFSD6.pdf")</f>
        <v>Melting_Curves/meltCurve_H7C284_MFSD6.pdf</v>
      </c>
    </row>
    <row r="1089" spans="1:28" x14ac:dyDescent="0.25">
      <c r="A1089" t="s">
        <v>1093</v>
      </c>
      <c r="B1089">
        <v>0.99542014353169495</v>
      </c>
      <c r="C1089">
        <v>1.01945936963424</v>
      </c>
      <c r="D1089">
        <v>0.95239768308887496</v>
      </c>
      <c r="E1089">
        <v>0.85479589789709998</v>
      </c>
      <c r="F1089">
        <v>0.74415382609241398</v>
      </c>
      <c r="G1089">
        <v>0.54441616043235097</v>
      </c>
      <c r="H1089">
        <v>0.37401154057762298</v>
      </c>
      <c r="I1089">
        <v>0.25874908786724199</v>
      </c>
      <c r="J1089">
        <v>0.24621011629241599</v>
      </c>
      <c r="K1089">
        <v>0.23587193672597701</v>
      </c>
      <c r="L1089">
        <v>720.877107593902</v>
      </c>
      <c r="M1089">
        <v>13.664204635241401</v>
      </c>
      <c r="N1089">
        <v>54.471991825770601</v>
      </c>
      <c r="O1089">
        <v>51.665141829725599</v>
      </c>
      <c r="P1089">
        <v>-5.4566599330292898E-2</v>
      </c>
      <c r="Q1089">
        <v>0.17484227576304701</v>
      </c>
      <c r="R1089">
        <v>0.99635926787212603</v>
      </c>
      <c r="S1089" t="s">
        <v>7491</v>
      </c>
      <c r="T1089" t="s">
        <v>12802</v>
      </c>
      <c r="U1089" t="s">
        <v>12802</v>
      </c>
      <c r="V1089" t="s">
        <v>12802</v>
      </c>
      <c r="W1089" t="s">
        <v>13866</v>
      </c>
      <c r="X1089">
        <v>2</v>
      </c>
      <c r="Y1089" t="s">
        <v>20182</v>
      </c>
      <c r="Z1089" t="s">
        <v>26407</v>
      </c>
      <c r="AA1089">
        <v>0.62459805884027231</v>
      </c>
      <c r="AB1089" t="str">
        <f>HYPERLINK("Melting_Curves/meltCurve_H7C2B1_NOL7.pdf", "Melting_Curves/meltCurve_H7C2B1_NOL7.pdf")</f>
        <v>Melting_Curves/meltCurve_H7C2B1_NOL7.pdf</v>
      </c>
    </row>
    <row r="1090" spans="1:28" x14ac:dyDescent="0.25">
      <c r="A1090" t="s">
        <v>1094</v>
      </c>
      <c r="B1090">
        <v>0.99542014353169495</v>
      </c>
      <c r="C1090">
        <v>0.87813293280790194</v>
      </c>
      <c r="D1090">
        <v>0.77649082115331303</v>
      </c>
      <c r="E1090">
        <v>0.68573395345711696</v>
      </c>
      <c r="F1090">
        <v>0.57546493440906998</v>
      </c>
      <c r="G1090">
        <v>0.19898675678118699</v>
      </c>
      <c r="H1090">
        <v>0.111139590584848</v>
      </c>
      <c r="I1090">
        <v>9.0497541755839198E-2</v>
      </c>
      <c r="J1090">
        <v>9.5621001231622205E-2</v>
      </c>
      <c r="K1090">
        <v>0.13435520017612401</v>
      </c>
      <c r="L1090">
        <v>563.97959939339898</v>
      </c>
      <c r="M1090">
        <v>11.4758625956262</v>
      </c>
      <c r="N1090">
        <v>49.327208248295797</v>
      </c>
      <c r="O1090">
        <v>47.723586251806402</v>
      </c>
      <c r="P1090">
        <v>-5.8884651888361297E-2</v>
      </c>
      <c r="Q1090">
        <v>2.0768414558775899E-2</v>
      </c>
      <c r="R1090">
        <v>0.96515051419095599</v>
      </c>
      <c r="S1090" t="s">
        <v>7492</v>
      </c>
      <c r="T1090" t="s">
        <v>12802</v>
      </c>
      <c r="U1090" t="s">
        <v>12802</v>
      </c>
      <c r="V1090" t="s">
        <v>12802</v>
      </c>
      <c r="W1090" t="s">
        <v>13867</v>
      </c>
      <c r="X1090">
        <v>2</v>
      </c>
      <c r="Y1090" t="s">
        <v>20183</v>
      </c>
      <c r="Z1090" t="s">
        <v>26408</v>
      </c>
      <c r="AA1090">
        <v>0.44775151255116691</v>
      </c>
      <c r="AB1090" t="str">
        <f>HYPERLINK("Melting_Curves/meltCurve_H7C2Q8_EBNA1BP2.pdf", "Melting_Curves/meltCurve_H7C2Q8_EBNA1BP2.pdf")</f>
        <v>Melting_Curves/meltCurve_H7C2Q8_EBNA1BP2.pdf</v>
      </c>
    </row>
    <row r="1091" spans="1:28" x14ac:dyDescent="0.25">
      <c r="A1091" t="s">
        <v>1095</v>
      </c>
      <c r="B1091">
        <v>0.99542014353169495</v>
      </c>
      <c r="C1091">
        <v>0.90563172844609796</v>
      </c>
      <c r="D1091">
        <v>0.58516155457925001</v>
      </c>
      <c r="E1091">
        <v>0.46188794779686299</v>
      </c>
      <c r="F1091">
        <v>0.35327539688751403</v>
      </c>
      <c r="G1091">
        <v>0.16521422531723401</v>
      </c>
      <c r="H1091">
        <v>9.2850305984382195E-2</v>
      </c>
      <c r="I1091">
        <v>6.1803098127065102E-2</v>
      </c>
      <c r="J1091">
        <v>3.87391549430375E-2</v>
      </c>
      <c r="K1091">
        <v>3.64098555400163E-2</v>
      </c>
      <c r="L1091">
        <v>507.01948056099201</v>
      </c>
      <c r="M1091">
        <v>11.024500329562001</v>
      </c>
      <c r="N1091">
        <v>46.0285345589622</v>
      </c>
      <c r="O1091">
        <v>44.554765055262898</v>
      </c>
      <c r="P1091">
        <v>-6.1597580367867902E-2</v>
      </c>
      <c r="Q1091">
        <v>4.5633209257650497E-3</v>
      </c>
      <c r="R1091">
        <v>0.98134447850411899</v>
      </c>
      <c r="S1091" t="s">
        <v>7493</v>
      </c>
      <c r="T1091" t="s">
        <v>12802</v>
      </c>
      <c r="U1091" t="s">
        <v>12802</v>
      </c>
      <c r="V1091" t="s">
        <v>12802</v>
      </c>
      <c r="W1091" t="s">
        <v>13868</v>
      </c>
      <c r="X1091">
        <v>1</v>
      </c>
      <c r="Y1091" t="s">
        <v>20184</v>
      </c>
      <c r="Z1091" t="s">
        <v>26409</v>
      </c>
      <c r="AA1091">
        <v>0.34242140431811219</v>
      </c>
      <c r="AB1091" t="str">
        <f>HYPERLINK("Melting_Curves/meltCurve_H7C331_SDCCAG3.pdf", "Melting_Curves/meltCurve_H7C331_SDCCAG3.pdf")</f>
        <v>Melting_Curves/meltCurve_H7C331_SDCCAG3.pdf</v>
      </c>
    </row>
    <row r="1092" spans="1:28" x14ac:dyDescent="0.25">
      <c r="A1092" t="s">
        <v>1096</v>
      </c>
      <c r="B1092">
        <v>0.99542014353169495</v>
      </c>
      <c r="C1092">
        <v>1.1193014335682001</v>
      </c>
      <c r="D1092">
        <v>0.95392726889631896</v>
      </c>
      <c r="E1092">
        <v>0.98692887991617495</v>
      </c>
      <c r="F1092">
        <v>0.227517677456642</v>
      </c>
      <c r="G1092">
        <v>7.0906355478899799E-2</v>
      </c>
      <c r="H1092">
        <v>5.8418091609950498E-2</v>
      </c>
      <c r="I1092">
        <v>2.7527617873876999E-2</v>
      </c>
      <c r="J1092">
        <v>9.0629231094928892E-3</v>
      </c>
      <c r="K1092">
        <v>1.26672449407209E-2</v>
      </c>
      <c r="L1092">
        <v>3503.7252413739502</v>
      </c>
      <c r="M1092">
        <v>71.179206022616697</v>
      </c>
      <c r="N1092">
        <v>49.274394106120802</v>
      </c>
      <c r="O1092">
        <v>49.185188637683801</v>
      </c>
      <c r="P1092">
        <v>-0.34909124466881197</v>
      </c>
      <c r="Q1092">
        <v>3.5104991128155301E-2</v>
      </c>
      <c r="R1092">
        <v>0.99122146367183706</v>
      </c>
      <c r="S1092" t="s">
        <v>7494</v>
      </c>
      <c r="T1092" t="s">
        <v>12802</v>
      </c>
      <c r="U1092" t="s">
        <v>12802</v>
      </c>
      <c r="V1092" t="s">
        <v>12802</v>
      </c>
      <c r="W1092" t="s">
        <v>13869</v>
      </c>
      <c r="X1092">
        <v>1</v>
      </c>
      <c r="Y1092" t="s">
        <v>20185</v>
      </c>
      <c r="Z1092" t="s">
        <v>26410</v>
      </c>
      <c r="AA1092">
        <v>0.4292984018726414</v>
      </c>
      <c r="AB1092" t="str">
        <f>HYPERLINK("Melting_Curves/meltCurve_H7C347_PPM1N.pdf", "Melting_Curves/meltCurve_H7C347_PPM1N.pdf")</f>
        <v>Melting_Curves/meltCurve_H7C347_PPM1N.pdf</v>
      </c>
    </row>
    <row r="1093" spans="1:28" x14ac:dyDescent="0.25">
      <c r="A1093" t="s">
        <v>1097</v>
      </c>
      <c r="B1093">
        <v>0.99542014353169495</v>
      </c>
      <c r="C1093">
        <v>1.15515228577977</v>
      </c>
      <c r="D1093">
        <v>0.97915471464308701</v>
      </c>
      <c r="E1093">
        <v>1.0283662185890701</v>
      </c>
      <c r="F1093">
        <v>0.96120008726420603</v>
      </c>
      <c r="G1093">
        <v>0.661752235461602</v>
      </c>
      <c r="H1093">
        <v>0.41714561725625499</v>
      </c>
      <c r="I1093">
        <v>0.34741062214871699</v>
      </c>
      <c r="J1093">
        <v>0.25816842190696598</v>
      </c>
      <c r="K1093">
        <v>0.31514282420559597</v>
      </c>
      <c r="L1093">
        <v>1652.94605519831</v>
      </c>
      <c r="M1093">
        <v>30.558071612253102</v>
      </c>
      <c r="N1093">
        <v>55.758408588233102</v>
      </c>
      <c r="O1093">
        <v>53.861903842151399</v>
      </c>
      <c r="P1093">
        <v>-9.9370666266693594E-2</v>
      </c>
      <c r="Q1093">
        <v>0.299398199661908</v>
      </c>
      <c r="R1093">
        <v>0.97288404914706905</v>
      </c>
      <c r="S1093" t="s">
        <v>7495</v>
      </c>
      <c r="T1093" t="s">
        <v>12802</v>
      </c>
      <c r="U1093" t="s">
        <v>12802</v>
      </c>
      <c r="V1093" t="s">
        <v>12802</v>
      </c>
      <c r="W1093" t="s">
        <v>13870</v>
      </c>
      <c r="X1093">
        <v>2</v>
      </c>
      <c r="Y1093" t="s">
        <v>20186</v>
      </c>
      <c r="Z1093" t="s">
        <v>26411</v>
      </c>
      <c r="AA1093">
        <v>0.70288016259619013</v>
      </c>
      <c r="AB1093" t="str">
        <f>HYPERLINK("Melting_Curves/meltCurve_H7C3D5_FAM134A.pdf", "Melting_Curves/meltCurve_H7C3D5_FAM134A.pdf")</f>
        <v>Melting_Curves/meltCurve_H7C3D5_FAM134A.pdf</v>
      </c>
    </row>
    <row r="1094" spans="1:28" x14ac:dyDescent="0.25">
      <c r="A1094" t="s">
        <v>1098</v>
      </c>
      <c r="B1094">
        <v>0.99542014353169495</v>
      </c>
      <c r="C1094">
        <v>1.0381889309993999</v>
      </c>
      <c r="D1094">
        <v>1.01086127351754</v>
      </c>
      <c r="E1094">
        <v>0.92694474218213097</v>
      </c>
      <c r="F1094">
        <v>0.81042882068463495</v>
      </c>
      <c r="G1094">
        <v>0.55510394298385002</v>
      </c>
      <c r="H1094">
        <v>0.36002338211116702</v>
      </c>
      <c r="I1094">
        <v>0.159004249767839</v>
      </c>
      <c r="J1094">
        <v>0.10688543759416699</v>
      </c>
      <c r="K1094">
        <v>0.108115252477825</v>
      </c>
      <c r="L1094">
        <v>891.002463930472</v>
      </c>
      <c r="M1094">
        <v>16.3782234389823</v>
      </c>
      <c r="N1094">
        <v>54.726614208246403</v>
      </c>
      <c r="O1094">
        <v>53.610036390137203</v>
      </c>
      <c r="P1094">
        <v>-7.2842881321730002E-2</v>
      </c>
      <c r="Q1094">
        <v>4.6336098746622201E-2</v>
      </c>
      <c r="R1094">
        <v>0.99667075973478803</v>
      </c>
      <c r="S1094" t="s">
        <v>7496</v>
      </c>
      <c r="T1094" t="s">
        <v>12802</v>
      </c>
      <c r="U1094" t="s">
        <v>12802</v>
      </c>
      <c r="V1094" t="s">
        <v>12802</v>
      </c>
      <c r="W1094" t="s">
        <v>13871</v>
      </c>
      <c r="X1094">
        <v>8</v>
      </c>
      <c r="Y1094" t="s">
        <v>20187</v>
      </c>
      <c r="Z1094" t="s">
        <v>26412</v>
      </c>
      <c r="AA1094">
        <v>0.61333080721967448</v>
      </c>
      <c r="AB1094" t="str">
        <f>HYPERLINK("Melting_Curves/meltCurve_H7C3G9_NAGK.pdf", "Melting_Curves/meltCurve_H7C3G9_NAGK.pdf")</f>
        <v>Melting_Curves/meltCurve_H7C3G9_NAGK.pdf</v>
      </c>
    </row>
    <row r="1095" spans="1:28" x14ac:dyDescent="0.25">
      <c r="A1095" t="s">
        <v>1099</v>
      </c>
      <c r="B1095">
        <v>0.99542014353169495</v>
      </c>
      <c r="C1095">
        <v>1.0239905964190901</v>
      </c>
      <c r="D1095">
        <v>0.915271539184358</v>
      </c>
      <c r="E1095">
        <v>0.85747920740167505</v>
      </c>
      <c r="F1095">
        <v>0.68096763313104902</v>
      </c>
      <c r="G1095">
        <v>0.54603278898801899</v>
      </c>
      <c r="H1095">
        <v>0.439667046589306</v>
      </c>
      <c r="I1095">
        <v>0.44240065894911801</v>
      </c>
      <c r="J1095">
        <v>0.36712733479688803</v>
      </c>
      <c r="K1095">
        <v>0.17801785095458</v>
      </c>
      <c r="L1095">
        <v>480.97980963952801</v>
      </c>
      <c r="M1095">
        <v>8.8840680115482904</v>
      </c>
      <c r="N1095">
        <v>56.071798482378597</v>
      </c>
      <c r="O1095">
        <v>51.607123811574802</v>
      </c>
      <c r="P1095">
        <v>-3.7390723221677302E-2</v>
      </c>
      <c r="Q1095">
        <v>0.13185850472459101</v>
      </c>
      <c r="R1095">
        <v>0.96933557266166803</v>
      </c>
      <c r="S1095" t="s">
        <v>7497</v>
      </c>
      <c r="T1095" t="s">
        <v>12802</v>
      </c>
      <c r="U1095" t="s">
        <v>12802</v>
      </c>
      <c r="V1095" t="s">
        <v>12802</v>
      </c>
      <c r="W1095" t="s">
        <v>13872</v>
      </c>
      <c r="X1095">
        <v>11</v>
      </c>
      <c r="Y1095" t="s">
        <v>20188</v>
      </c>
      <c r="Z1095" t="s">
        <v>26413</v>
      </c>
      <c r="AA1095">
        <v>0.64128156674787007</v>
      </c>
      <c r="AB1095" t="str">
        <f>HYPERLINK("Melting_Curves/meltCurve_H7C3P4_GNS.pdf", "Melting_Curves/meltCurve_H7C3P4_GNS.pdf")</f>
        <v>Melting_Curves/meltCurve_H7C3P4_GNS.pdf</v>
      </c>
    </row>
    <row r="1096" spans="1:28" x14ac:dyDescent="0.25">
      <c r="A1096" t="s">
        <v>1100</v>
      </c>
      <c r="B1096">
        <v>0.99542014353169495</v>
      </c>
      <c r="C1096">
        <v>1.0594428623504499</v>
      </c>
      <c r="D1096">
        <v>0.94916411299136605</v>
      </c>
      <c r="E1096">
        <v>0.77943247498662405</v>
      </c>
      <c r="F1096">
        <v>0.67273918777613995</v>
      </c>
      <c r="G1096">
        <v>0.38712016963169898</v>
      </c>
      <c r="H1096">
        <v>0.207497151593557</v>
      </c>
      <c r="I1096">
        <v>0.11190415842712501</v>
      </c>
      <c r="J1096">
        <v>0.12290254851507</v>
      </c>
      <c r="K1096">
        <v>0.12243389584186699</v>
      </c>
      <c r="L1096">
        <v>783.85566510660306</v>
      </c>
      <c r="M1096">
        <v>15.2320315974398</v>
      </c>
      <c r="N1096">
        <v>51.960863411463897</v>
      </c>
      <c r="O1096">
        <v>50.598501651717598</v>
      </c>
      <c r="P1096">
        <v>-7.0137108215979793E-2</v>
      </c>
      <c r="Q1096">
        <v>6.8149626792947907E-2</v>
      </c>
      <c r="R1096">
        <v>0.98986233302957805</v>
      </c>
      <c r="S1096" t="s">
        <v>7498</v>
      </c>
      <c r="T1096" t="s">
        <v>12802</v>
      </c>
      <c r="U1096" t="s">
        <v>12802</v>
      </c>
      <c r="V1096" t="s">
        <v>12802</v>
      </c>
      <c r="W1096" t="s">
        <v>13873</v>
      </c>
      <c r="X1096">
        <v>10</v>
      </c>
      <c r="Y1096" t="s">
        <v>20189</v>
      </c>
      <c r="Z1096" t="s">
        <v>26414</v>
      </c>
      <c r="AA1096">
        <v>0.53534493956682783</v>
      </c>
      <c r="AB1096" t="str">
        <f>HYPERLINK("Melting_Curves/meltCurve_H7C3T2_ATG2A.pdf", "Melting_Curves/meltCurve_H7C3T2_ATG2A.pdf")</f>
        <v>Melting_Curves/meltCurve_H7C3T2_ATG2A.pdf</v>
      </c>
    </row>
    <row r="1097" spans="1:28" x14ac:dyDescent="0.25">
      <c r="A1097" t="s">
        <v>1101</v>
      </c>
      <c r="B1097">
        <v>0.99542014353169495</v>
      </c>
      <c r="C1097">
        <v>0.93352384084574902</v>
      </c>
      <c r="D1097">
        <v>0.84268065302717099</v>
      </c>
      <c r="E1097">
        <v>0.66973789378405002</v>
      </c>
      <c r="F1097">
        <v>0.54256989771405095</v>
      </c>
      <c r="G1097">
        <v>0.28554982573585003</v>
      </c>
      <c r="H1097">
        <v>0.117219776515331</v>
      </c>
      <c r="I1097">
        <v>5.9071702267358597E-2</v>
      </c>
      <c r="J1097">
        <v>6.3038947731617001E-2</v>
      </c>
      <c r="K1097">
        <v>2.9273420268283501E-2</v>
      </c>
      <c r="L1097">
        <v>615.76146112131096</v>
      </c>
      <c r="M1097">
        <v>12.382437885956699</v>
      </c>
      <c r="N1097">
        <v>49.728628895179597</v>
      </c>
      <c r="O1097">
        <v>48.484998137649697</v>
      </c>
      <c r="P1097">
        <v>-6.3860375046293799E-2</v>
      </c>
      <c r="Q1097">
        <v>0</v>
      </c>
      <c r="R1097">
        <v>0.99229303822889803</v>
      </c>
      <c r="S1097" t="s">
        <v>7499</v>
      </c>
      <c r="T1097" t="s">
        <v>12802</v>
      </c>
      <c r="U1097" t="s">
        <v>12802</v>
      </c>
      <c r="V1097" t="s">
        <v>12802</v>
      </c>
      <c r="W1097" t="s">
        <v>13874</v>
      </c>
      <c r="X1097">
        <v>4</v>
      </c>
      <c r="Y1097" t="s">
        <v>20190</v>
      </c>
      <c r="Z1097" t="s">
        <v>26415</v>
      </c>
      <c r="AA1097">
        <v>0.45168748020468841</v>
      </c>
      <c r="AB1097" t="str">
        <f>HYPERLINK("Melting_Curves/meltCurve_H7C484_ARV1.pdf", "Melting_Curves/meltCurve_H7C484_ARV1.pdf")</f>
        <v>Melting_Curves/meltCurve_H7C484_ARV1.pdf</v>
      </c>
    </row>
    <row r="1098" spans="1:28" x14ac:dyDescent="0.25">
      <c r="A1098" t="s">
        <v>1102</v>
      </c>
      <c r="B1098">
        <v>0.99542014353169495</v>
      </c>
      <c r="C1098">
        <v>0.79210332365535796</v>
      </c>
      <c r="D1098">
        <v>0.77397456095611605</v>
      </c>
      <c r="E1098">
        <v>0.42293041210216598</v>
      </c>
      <c r="F1098">
        <v>9.7311524673555999E-2</v>
      </c>
      <c r="G1098">
        <v>4.61591009073061E-2</v>
      </c>
      <c r="H1098">
        <v>4.2469731422463998E-2</v>
      </c>
      <c r="I1098">
        <v>0</v>
      </c>
      <c r="J1098">
        <v>4.8428967775090398E-2</v>
      </c>
      <c r="K1098">
        <v>0</v>
      </c>
      <c r="L1098">
        <v>779.58266252797898</v>
      </c>
      <c r="M1098">
        <v>17.178053986647001</v>
      </c>
      <c r="N1098">
        <v>45.382477989070402</v>
      </c>
      <c r="O1098">
        <v>44.780847584872298</v>
      </c>
      <c r="P1098">
        <v>-9.59063635619119E-2</v>
      </c>
      <c r="Q1098">
        <v>0</v>
      </c>
      <c r="R1098">
        <v>0.98148997556794804</v>
      </c>
      <c r="S1098" t="s">
        <v>7500</v>
      </c>
      <c r="T1098" t="s">
        <v>12802</v>
      </c>
      <c r="U1098" t="s">
        <v>12802</v>
      </c>
      <c r="V1098" t="s">
        <v>12802</v>
      </c>
      <c r="W1098" t="s">
        <v>13875</v>
      </c>
      <c r="X1098">
        <v>2</v>
      </c>
      <c r="Y1098" t="s">
        <v>20191</v>
      </c>
      <c r="Z1098" t="s">
        <v>26416</v>
      </c>
      <c r="AA1098">
        <v>0.29732742480893659</v>
      </c>
      <c r="AB1098" t="str">
        <f>HYPERLINK("Melting_Curves/meltCurve_H7C4K1_STK19.pdf", "Melting_Curves/meltCurve_H7C4K1_STK19.pdf")</f>
        <v>Melting_Curves/meltCurve_H7C4K1_STK19.pdf</v>
      </c>
    </row>
    <row r="1099" spans="1:28" x14ac:dyDescent="0.25">
      <c r="A1099" t="s">
        <v>1103</v>
      </c>
      <c r="B1099">
        <v>0.99542014353169495</v>
      </c>
      <c r="C1099">
        <v>0.96674572448830798</v>
      </c>
      <c r="D1099">
        <v>0.83549032037495796</v>
      </c>
      <c r="E1099">
        <v>0.4160020337584</v>
      </c>
      <c r="F1099">
        <v>0.20628569999532601</v>
      </c>
      <c r="G1099">
        <v>0.14109495846522599</v>
      </c>
      <c r="H1099">
        <v>9.1834855418366695E-2</v>
      </c>
      <c r="I1099">
        <v>6.5249847267725203E-2</v>
      </c>
      <c r="J1099">
        <v>8.7295621231222295E-2</v>
      </c>
      <c r="K1099">
        <v>8.2965975847905105E-2</v>
      </c>
      <c r="L1099">
        <v>1043.84709420887</v>
      </c>
      <c r="M1099">
        <v>22.874154181401298</v>
      </c>
      <c r="N1099">
        <v>46.017433811607503</v>
      </c>
      <c r="O1099">
        <v>45.289846957017303</v>
      </c>
      <c r="P1099">
        <v>-0.11532092530142</v>
      </c>
      <c r="Q1099">
        <v>8.6695217591126306E-2</v>
      </c>
      <c r="R1099">
        <v>0.99827214513823104</v>
      </c>
      <c r="S1099" t="s">
        <v>7501</v>
      </c>
      <c r="T1099" t="s">
        <v>12802</v>
      </c>
      <c r="U1099" t="s">
        <v>12802</v>
      </c>
      <c r="V1099" t="s">
        <v>12802</v>
      </c>
      <c r="W1099" t="s">
        <v>13876</v>
      </c>
      <c r="X1099">
        <v>2</v>
      </c>
      <c r="Y1099" t="s">
        <v>20192</v>
      </c>
      <c r="Z1099" t="s">
        <v>26417</v>
      </c>
      <c r="AA1099">
        <v>0.35861212954437488</v>
      </c>
      <c r="AB1099" t="str">
        <f>HYPERLINK("Melting_Curves/meltCurve_H7C4P1_ARHGAP25.pdf", "Melting_Curves/meltCurve_H7C4P1_ARHGAP25.pdf")</f>
        <v>Melting_Curves/meltCurve_H7C4P1_ARHGAP25.pdf</v>
      </c>
    </row>
    <row r="1100" spans="1:28" x14ac:dyDescent="0.25">
      <c r="A1100" t="s">
        <v>1104</v>
      </c>
      <c r="B1100">
        <v>0.99542014353169495</v>
      </c>
      <c r="C1100">
        <v>0.98941584849990605</v>
      </c>
      <c r="D1100">
        <v>0.959864664587327</v>
      </c>
      <c r="E1100">
        <v>0.79778461659641697</v>
      </c>
      <c r="F1100">
        <v>0.70363340956329101</v>
      </c>
      <c r="G1100">
        <v>0.38546785447672899</v>
      </c>
      <c r="H1100">
        <v>0.35695494274843997</v>
      </c>
      <c r="I1100">
        <v>0.26695651321713498</v>
      </c>
      <c r="J1100">
        <v>0.37009219827255202</v>
      </c>
      <c r="K1100">
        <v>0.31994086878049999</v>
      </c>
      <c r="L1100">
        <v>920.83726922787002</v>
      </c>
      <c r="M1100">
        <v>18.474757584774</v>
      </c>
      <c r="N1100">
        <v>52.4484300480676</v>
      </c>
      <c r="O1100">
        <v>49.270045803737197</v>
      </c>
      <c r="P1100">
        <v>-6.5595167873379906E-2</v>
      </c>
      <c r="Q1100">
        <v>0.30029243900554697</v>
      </c>
      <c r="R1100">
        <v>0.97766594552795505</v>
      </c>
      <c r="S1100" t="s">
        <v>7502</v>
      </c>
      <c r="T1100" t="s">
        <v>12802</v>
      </c>
      <c r="U1100" t="s">
        <v>12802</v>
      </c>
      <c r="V1100" t="s">
        <v>12802</v>
      </c>
      <c r="W1100" t="s">
        <v>13877</v>
      </c>
      <c r="X1100">
        <v>1</v>
      </c>
      <c r="Y1100" t="s">
        <v>20193</v>
      </c>
      <c r="Z1100" t="s">
        <v>26418</v>
      </c>
      <c r="AA1100">
        <v>0.61040854122881061</v>
      </c>
      <c r="AB1100" t="str">
        <f>HYPERLINK("Melting_Curves/meltCurve_H7C5F7_NDFIP2.pdf", "Melting_Curves/meltCurve_H7C5F7_NDFIP2.pdf")</f>
        <v>Melting_Curves/meltCurve_H7C5F7_NDFIP2.pdf</v>
      </c>
    </row>
    <row r="1101" spans="1:28" x14ac:dyDescent="0.25">
      <c r="A1101" t="s">
        <v>1105</v>
      </c>
      <c r="B1101">
        <v>0.99542014353169495</v>
      </c>
      <c r="C1101">
        <v>0.97214864636574405</v>
      </c>
      <c r="D1101">
        <v>0.862496891208688</v>
      </c>
      <c r="E1101">
        <v>0.76391181963138399</v>
      </c>
      <c r="F1101">
        <v>0.36372182343135601</v>
      </c>
      <c r="G1101">
        <v>0.13541107205120601</v>
      </c>
      <c r="H1101">
        <v>7.1976079912651203E-2</v>
      </c>
      <c r="I1101">
        <v>5.6559824311545499E-2</v>
      </c>
      <c r="J1101">
        <v>4.5457143237647699E-2</v>
      </c>
      <c r="K1101">
        <v>2.4417581020105099E-2</v>
      </c>
      <c r="L1101">
        <v>970.01532385557095</v>
      </c>
      <c r="M1101">
        <v>19.9116468680356</v>
      </c>
      <c r="N1101">
        <v>48.850410192953099</v>
      </c>
      <c r="O1101">
        <v>48.232591695027899</v>
      </c>
      <c r="P1101">
        <v>-0.10045816426306201</v>
      </c>
      <c r="Q1101">
        <v>2.6660700561329201E-2</v>
      </c>
      <c r="R1101">
        <v>0.99469541206661505</v>
      </c>
      <c r="S1101" t="s">
        <v>7503</v>
      </c>
      <c r="T1101" t="s">
        <v>12802</v>
      </c>
      <c r="U1101" t="s">
        <v>12802</v>
      </c>
      <c r="V1101" t="s">
        <v>12802</v>
      </c>
      <c r="W1101" t="s">
        <v>13878</v>
      </c>
      <c r="X1101">
        <v>4</v>
      </c>
      <c r="Y1101" t="s">
        <v>20194</v>
      </c>
      <c r="Z1101" t="s">
        <v>26419</v>
      </c>
      <c r="AA1101">
        <v>0.41970262797878222</v>
      </c>
      <c r="AB1101" t="str">
        <f>HYPERLINK("Melting_Curves/meltCurve_H7C5H5_MFN1.pdf", "Melting_Curves/meltCurve_H7C5H5_MFN1.pdf")</f>
        <v>Melting_Curves/meltCurve_H7C5H5_MFN1.pdf</v>
      </c>
    </row>
    <row r="1102" spans="1:28" x14ac:dyDescent="0.25">
      <c r="A1102" t="s">
        <v>1106</v>
      </c>
      <c r="B1102">
        <v>0.99542014353169495</v>
      </c>
      <c r="C1102">
        <v>1.07875008830571</v>
      </c>
      <c r="D1102">
        <v>0.92157979699910997</v>
      </c>
      <c r="E1102">
        <v>0.691542226915142</v>
      </c>
      <c r="F1102">
        <v>0.53614251552704595</v>
      </c>
      <c r="G1102">
        <v>0.44532852895633002</v>
      </c>
      <c r="H1102">
        <v>0.12384390542262699</v>
      </c>
      <c r="I1102">
        <v>0.103157793488659</v>
      </c>
      <c r="J1102">
        <v>0</v>
      </c>
      <c r="K1102">
        <v>0</v>
      </c>
      <c r="L1102">
        <v>674.67566249828496</v>
      </c>
      <c r="M1102">
        <v>13.2645440501561</v>
      </c>
      <c r="N1102">
        <v>50.863088356938903</v>
      </c>
      <c r="O1102">
        <v>49.748747907322503</v>
      </c>
      <c r="P1102">
        <v>-6.6668558882946496E-2</v>
      </c>
      <c r="Q1102">
        <v>0</v>
      </c>
      <c r="R1102">
        <v>0.975045958309953</v>
      </c>
      <c r="S1102" t="s">
        <v>7504</v>
      </c>
      <c r="T1102" t="s">
        <v>12802</v>
      </c>
      <c r="U1102" t="s">
        <v>12802</v>
      </c>
      <c r="V1102" t="s">
        <v>12802</v>
      </c>
      <c r="W1102" t="s">
        <v>13879</v>
      </c>
      <c r="X1102">
        <v>2</v>
      </c>
      <c r="Y1102" t="s">
        <v>20195</v>
      </c>
      <c r="Z1102" t="s">
        <v>26420</v>
      </c>
      <c r="AA1102">
        <v>0.4857009245700849</v>
      </c>
      <c r="AB1102" t="str">
        <f>HYPERLINK("Melting_Curves/meltCurve_H7C5W6_HEATR5A.pdf", "Melting_Curves/meltCurve_H7C5W6_HEATR5A.pdf")</f>
        <v>Melting_Curves/meltCurve_H7C5W6_HEATR5A.pdf</v>
      </c>
    </row>
    <row r="1103" spans="1:28" x14ac:dyDescent="0.25">
      <c r="A1103" t="s">
        <v>1107</v>
      </c>
      <c r="B1103">
        <v>0.99542014353169495</v>
      </c>
      <c r="C1103">
        <v>0.889323575608715</v>
      </c>
      <c r="D1103">
        <v>0.86844773794432395</v>
      </c>
      <c r="E1103">
        <v>0.69360642954102902</v>
      </c>
      <c r="F1103">
        <v>0.46701688476000502</v>
      </c>
      <c r="G1103">
        <v>0.11277548334701799</v>
      </c>
      <c r="H1103">
        <v>7.1018139872428707E-2</v>
      </c>
      <c r="I1103">
        <v>5.4693108658957802E-2</v>
      </c>
      <c r="J1103">
        <v>6.1761847160869403E-2</v>
      </c>
      <c r="K1103">
        <v>4.9148295360010003E-2</v>
      </c>
      <c r="L1103">
        <v>779.09740833660601</v>
      </c>
      <c r="M1103">
        <v>15.9663748540928</v>
      </c>
      <c r="N1103">
        <v>48.8803019321089</v>
      </c>
      <c r="O1103">
        <v>48.0499207491047</v>
      </c>
      <c r="P1103">
        <v>-8.1951937867448102E-2</v>
      </c>
      <c r="Q1103">
        <v>1.35587401293713E-2</v>
      </c>
      <c r="R1103">
        <v>0.98522771323781599</v>
      </c>
      <c r="S1103" t="s">
        <v>7505</v>
      </c>
      <c r="T1103" t="s">
        <v>12802</v>
      </c>
      <c r="U1103" t="s">
        <v>12802</v>
      </c>
      <c r="V1103" t="s">
        <v>12802</v>
      </c>
      <c r="W1103" t="s">
        <v>13880</v>
      </c>
      <c r="X1103">
        <v>4</v>
      </c>
      <c r="Y1103" t="s">
        <v>20196</v>
      </c>
      <c r="Z1103" t="s">
        <v>26421</v>
      </c>
      <c r="AA1103">
        <v>0.42070502310650248</v>
      </c>
      <c r="AB1103" t="str">
        <f>HYPERLINK("Melting_Curves/meltCurve_H9KV44_EFR3A.pdf", "Melting_Curves/meltCurve_H9KV44_EFR3A.pdf")</f>
        <v>Melting_Curves/meltCurve_H9KV44_EFR3A.pdf</v>
      </c>
    </row>
    <row r="1104" spans="1:28" x14ac:dyDescent="0.25">
      <c r="A1104" t="s">
        <v>1108</v>
      </c>
      <c r="B1104">
        <v>0.99542014353169495</v>
      </c>
      <c r="C1104">
        <v>0.99629714384630996</v>
      </c>
      <c r="D1104">
        <v>1.0583545097178699</v>
      </c>
      <c r="E1104">
        <v>0.71136662277894602</v>
      </c>
      <c r="F1104">
        <v>0.20924005406454299</v>
      </c>
      <c r="G1104">
        <v>8.6389938551005796E-2</v>
      </c>
      <c r="H1104">
        <v>4.7923459438372201E-2</v>
      </c>
      <c r="I1104">
        <v>3.12632188048588E-2</v>
      </c>
      <c r="J1104">
        <v>3.15916095955069E-2</v>
      </c>
      <c r="K1104">
        <v>2.85810450257316E-2</v>
      </c>
      <c r="L1104">
        <v>1628.4168001713699</v>
      </c>
      <c r="M1104">
        <v>34.0266040204353</v>
      </c>
      <c r="N1104">
        <v>47.975743777807999</v>
      </c>
      <c r="O1104">
        <v>47.692779983740202</v>
      </c>
      <c r="P1104">
        <v>-0.17117197361011899</v>
      </c>
      <c r="Q1104">
        <v>4.0323389694057798E-2</v>
      </c>
      <c r="R1104">
        <v>0.99613767752420801</v>
      </c>
      <c r="S1104" t="s">
        <v>7506</v>
      </c>
      <c r="T1104" t="s">
        <v>12802</v>
      </c>
      <c r="U1104" t="s">
        <v>12802</v>
      </c>
      <c r="V1104" t="s">
        <v>12802</v>
      </c>
      <c r="W1104" t="s">
        <v>13881</v>
      </c>
      <c r="X1104">
        <v>3</v>
      </c>
      <c r="Y1104" t="s">
        <v>20197</v>
      </c>
      <c r="Z1104" t="s">
        <v>26422</v>
      </c>
      <c r="AA1104">
        <v>0.39203444489891209</v>
      </c>
      <c r="AB1104" t="str">
        <f>HYPERLINK("Melting_Curves/meltCurve_H9KV46_KIF18B.pdf", "Melting_Curves/meltCurve_H9KV46_KIF18B.pdf")</f>
        <v>Melting_Curves/meltCurve_H9KV46_KIF18B.pdf</v>
      </c>
    </row>
    <row r="1105" spans="1:28" x14ac:dyDescent="0.25">
      <c r="A1105" t="s">
        <v>1109</v>
      </c>
      <c r="B1105">
        <v>0.99542014353169495</v>
      </c>
      <c r="C1105">
        <v>1.1131386648306201</v>
      </c>
      <c r="D1105">
        <v>1.0175709662758301</v>
      </c>
      <c r="E1105">
        <v>0.80202142523618303</v>
      </c>
      <c r="F1105">
        <v>0.52912085745655302</v>
      </c>
      <c r="G1105">
        <v>0.31142487731058699</v>
      </c>
      <c r="H1105">
        <v>0.214969089502418</v>
      </c>
      <c r="I1105">
        <v>0.15765526489491699</v>
      </c>
      <c r="J1105">
        <v>0.19991396728153199</v>
      </c>
      <c r="K1105">
        <v>0.29691184407140198</v>
      </c>
      <c r="L1105">
        <v>1177.41657436232</v>
      </c>
      <c r="M1105">
        <v>23.9382898488915</v>
      </c>
      <c r="N1105">
        <v>50.345292880754997</v>
      </c>
      <c r="O1105">
        <v>48.846105084252898</v>
      </c>
      <c r="P1105">
        <v>-9.6553029123158801E-2</v>
      </c>
      <c r="Q1105">
        <v>0.211946373406147</v>
      </c>
      <c r="R1105">
        <v>0.97837450121174796</v>
      </c>
      <c r="S1105" t="s">
        <v>7507</v>
      </c>
      <c r="T1105" t="s">
        <v>12802</v>
      </c>
      <c r="U1105" t="s">
        <v>12802</v>
      </c>
      <c r="V1105" t="s">
        <v>12802</v>
      </c>
      <c r="W1105" t="s">
        <v>13882</v>
      </c>
      <c r="X1105">
        <v>5</v>
      </c>
      <c r="Y1105" t="s">
        <v>20198</v>
      </c>
      <c r="Z1105" t="s">
        <v>26423</v>
      </c>
      <c r="AA1105">
        <v>0.53946237560355192</v>
      </c>
      <c r="AB1105" t="str">
        <f>HYPERLINK("Melting_Curves/meltCurve_H9KVB8_MICU1.pdf", "Melting_Curves/meltCurve_H9KVB8_MICU1.pdf")</f>
        <v>Melting_Curves/meltCurve_H9KVB8_MICU1.pdf</v>
      </c>
    </row>
    <row r="1106" spans="1:28" x14ac:dyDescent="0.25">
      <c r="A1106" t="s">
        <v>1110</v>
      </c>
      <c r="B1106">
        <v>0.99542014353169495</v>
      </c>
      <c r="C1106">
        <v>0.94739984493991902</v>
      </c>
      <c r="D1106">
        <v>0.89941722121587697</v>
      </c>
      <c r="E1106">
        <v>0.701747899817462</v>
      </c>
      <c r="F1106">
        <v>0.431544878945605</v>
      </c>
      <c r="G1106">
        <v>0.21072514073213</v>
      </c>
      <c r="H1106">
        <v>8.2458415847874597E-2</v>
      </c>
      <c r="I1106">
        <v>4.0151914575945698E-2</v>
      </c>
      <c r="J1106">
        <v>2.9081971322103599E-2</v>
      </c>
      <c r="K1106">
        <v>3.5398196007269699E-2</v>
      </c>
      <c r="L1106">
        <v>757.427473336341</v>
      </c>
      <c r="M1106">
        <v>15.4036989804887</v>
      </c>
      <c r="N1106">
        <v>49.177496364127997</v>
      </c>
      <c r="O1106">
        <v>48.365384626429801</v>
      </c>
      <c r="P1106">
        <v>-7.9557762768062895E-2</v>
      </c>
      <c r="Q1106">
        <v>8.9104898923523395E-4</v>
      </c>
      <c r="R1106">
        <v>0.99904286173741197</v>
      </c>
      <c r="S1106" t="s">
        <v>7508</v>
      </c>
      <c r="T1106" t="s">
        <v>12802</v>
      </c>
      <c r="U1106" t="s">
        <v>12802</v>
      </c>
      <c r="V1106" t="s">
        <v>12802</v>
      </c>
      <c r="W1106" t="s">
        <v>13086</v>
      </c>
      <c r="X1106">
        <v>7</v>
      </c>
      <c r="Z1106" t="s">
        <v>26424</v>
      </c>
      <c r="AA1106">
        <v>0.42678339125561499</v>
      </c>
      <c r="AB1106" t="str">
        <f>HYPERLINK("Melting_Curves/meltCurve_I3L097_.pdf", "Melting_Curves/meltCurve_I3L097_.pdf")</f>
        <v>Melting_Curves/meltCurve_I3L097_.pdf</v>
      </c>
    </row>
    <row r="1107" spans="1:28" x14ac:dyDescent="0.25">
      <c r="A1107" t="s">
        <v>1111</v>
      </c>
      <c r="B1107">
        <v>0.99542014353169495</v>
      </c>
      <c r="C1107">
        <v>0.99856808159729005</v>
      </c>
      <c r="D1107">
        <v>1.23707657038945</v>
      </c>
      <c r="E1107">
        <v>0.66730704915178496</v>
      </c>
      <c r="F1107">
        <v>0.23862768778548299</v>
      </c>
      <c r="G1107">
        <v>9.9914557668897994E-2</v>
      </c>
      <c r="H1107">
        <v>0</v>
      </c>
      <c r="I1107">
        <v>0</v>
      </c>
      <c r="J1107">
        <v>0</v>
      </c>
      <c r="K1107">
        <v>0</v>
      </c>
      <c r="L1107">
        <v>1527.2234737471999</v>
      </c>
      <c r="M1107">
        <v>31.811354014538502</v>
      </c>
      <c r="N1107">
        <v>48.0528446169007</v>
      </c>
      <c r="O1107">
        <v>47.820231891742999</v>
      </c>
      <c r="P1107">
        <v>-0.16391626252688599</v>
      </c>
      <c r="Q1107">
        <v>1.4380474150686801E-2</v>
      </c>
      <c r="R1107">
        <v>0.96582641286828896</v>
      </c>
      <c r="S1107" t="s">
        <v>7509</v>
      </c>
      <c r="T1107" t="s">
        <v>12802</v>
      </c>
      <c r="U1107" t="s">
        <v>12802</v>
      </c>
      <c r="V1107" t="s">
        <v>12802</v>
      </c>
      <c r="W1107" t="s">
        <v>13883</v>
      </c>
      <c r="X1107">
        <v>2</v>
      </c>
      <c r="Y1107" t="s">
        <v>20199</v>
      </c>
      <c r="Z1107" t="s">
        <v>26425</v>
      </c>
      <c r="AA1107">
        <v>0.38125118599987418</v>
      </c>
      <c r="AB1107" t="str">
        <f>HYPERLINK("Melting_Curves/meltCurve_I3L0A4_WASH6P.pdf", "Melting_Curves/meltCurve_I3L0A4_WASH6P.pdf")</f>
        <v>Melting_Curves/meltCurve_I3L0A4_WASH6P.pdf</v>
      </c>
    </row>
    <row r="1108" spans="1:28" x14ac:dyDescent="0.25">
      <c r="A1108" t="s">
        <v>1112</v>
      </c>
      <c r="B1108">
        <v>0.99542014353169495</v>
      </c>
      <c r="C1108">
        <v>1.0184405086903201</v>
      </c>
      <c r="D1108">
        <v>0.96753789307607896</v>
      </c>
      <c r="E1108">
        <v>0.554450352574409</v>
      </c>
      <c r="F1108">
        <v>0.26094578640522298</v>
      </c>
      <c r="G1108">
        <v>0.179554182828456</v>
      </c>
      <c r="H1108">
        <v>0.11359795841496401</v>
      </c>
      <c r="I1108">
        <v>5.3722980450397001E-2</v>
      </c>
      <c r="J1108">
        <v>6.8759889406912203E-2</v>
      </c>
      <c r="K1108">
        <v>0.123066051407135</v>
      </c>
      <c r="L1108">
        <v>1197.5708636541401</v>
      </c>
      <c r="M1108">
        <v>25.528564491532499</v>
      </c>
      <c r="N1108">
        <v>47.322067573372102</v>
      </c>
      <c r="O1108">
        <v>46.625999152337101</v>
      </c>
      <c r="P1108">
        <v>-0.12327009690356899</v>
      </c>
      <c r="Q1108">
        <v>9.9436978868735496E-2</v>
      </c>
      <c r="R1108">
        <v>0.99297750397288198</v>
      </c>
      <c r="S1108" t="s">
        <v>7510</v>
      </c>
      <c r="T1108" t="s">
        <v>12802</v>
      </c>
      <c r="U1108" t="s">
        <v>12802</v>
      </c>
      <c r="V1108" t="s">
        <v>12802</v>
      </c>
      <c r="W1108" t="s">
        <v>13884</v>
      </c>
      <c r="X1108">
        <v>5</v>
      </c>
      <c r="Y1108" t="s">
        <v>20200</v>
      </c>
      <c r="Z1108" t="s">
        <v>26426</v>
      </c>
      <c r="AA1108">
        <v>0.4041949251736352</v>
      </c>
      <c r="AB1108" t="str">
        <f>HYPERLINK("Melting_Curves/meltCurve_I3L0C1_SMG1.pdf", "Melting_Curves/meltCurve_I3L0C1_SMG1.pdf")</f>
        <v>Melting_Curves/meltCurve_I3L0C1_SMG1.pdf</v>
      </c>
    </row>
    <row r="1109" spans="1:28" x14ac:dyDescent="0.25">
      <c r="A1109" t="s">
        <v>1113</v>
      </c>
      <c r="B1109">
        <v>0.99542014353169495</v>
      </c>
      <c r="C1109">
        <v>0.81899261388826305</v>
      </c>
      <c r="D1109">
        <v>0.82609054756038802</v>
      </c>
      <c r="E1109">
        <v>0.37429585233083001</v>
      </c>
      <c r="F1109">
        <v>0.228731338986956</v>
      </c>
      <c r="G1109">
        <v>0.12582733231564</v>
      </c>
      <c r="H1109">
        <v>8.7125552199520506E-2</v>
      </c>
      <c r="I1109">
        <v>5.3277142793172798E-2</v>
      </c>
      <c r="J1109">
        <v>6.2742783523121001E-2</v>
      </c>
      <c r="K1109">
        <v>7.0416983640243194E-2</v>
      </c>
      <c r="L1109">
        <v>778.98802751056098</v>
      </c>
      <c r="M1109">
        <v>17.156060018411399</v>
      </c>
      <c r="N1109">
        <v>45.734302265305701</v>
      </c>
      <c r="O1109">
        <v>44.802545179482998</v>
      </c>
      <c r="P1109">
        <v>-9.0190514949762102E-2</v>
      </c>
      <c r="Q1109">
        <v>5.7936679169291301E-2</v>
      </c>
      <c r="R1109">
        <v>0.98287038479100197</v>
      </c>
      <c r="S1109" t="s">
        <v>7511</v>
      </c>
      <c r="T1109" t="s">
        <v>12802</v>
      </c>
      <c r="U1109" t="s">
        <v>12802</v>
      </c>
      <c r="V1109" t="s">
        <v>12802</v>
      </c>
      <c r="W1109" t="s">
        <v>13885</v>
      </c>
      <c r="X1109">
        <v>5</v>
      </c>
      <c r="Y1109" t="s">
        <v>20201</v>
      </c>
      <c r="Z1109" t="s">
        <v>26427</v>
      </c>
      <c r="AA1109">
        <v>0.33881290634753197</v>
      </c>
      <c r="AB1109" t="str">
        <f>HYPERLINK("Melting_Curves/meltCurve_I3L0I1_SOGA1.pdf", "Melting_Curves/meltCurve_I3L0I1_SOGA1.pdf")</f>
        <v>Melting_Curves/meltCurve_I3L0I1_SOGA1.pdf</v>
      </c>
    </row>
    <row r="1110" spans="1:28" x14ac:dyDescent="0.25">
      <c r="A1110" t="s">
        <v>1114</v>
      </c>
      <c r="B1110">
        <v>0.99542014353169495</v>
      </c>
      <c r="C1110">
        <v>1.0854359410027701</v>
      </c>
      <c r="D1110">
        <v>1.0098311463018701</v>
      </c>
      <c r="E1110">
        <v>0.87148212374524903</v>
      </c>
      <c r="F1110">
        <v>0.63843697821205803</v>
      </c>
      <c r="G1110">
        <v>0.43399391837577</v>
      </c>
      <c r="H1110">
        <v>0.17012096285148201</v>
      </c>
      <c r="I1110">
        <v>0.102472973405139</v>
      </c>
      <c r="J1110">
        <v>0.11653445519722901</v>
      </c>
      <c r="K1110">
        <v>0.12619047727803601</v>
      </c>
      <c r="L1110">
        <v>952.13079339806598</v>
      </c>
      <c r="M1110">
        <v>18.433750182586898</v>
      </c>
      <c r="N1110">
        <v>52.1688749483245</v>
      </c>
      <c r="O1110">
        <v>51.055156179313499</v>
      </c>
      <c r="P1110">
        <v>-8.27272353477949E-2</v>
      </c>
      <c r="Q1110">
        <v>8.3537247035231896E-2</v>
      </c>
      <c r="R1110">
        <v>0.98941212227741004</v>
      </c>
      <c r="S1110" t="s">
        <v>7512</v>
      </c>
      <c r="T1110" t="s">
        <v>12802</v>
      </c>
      <c r="U1110" t="s">
        <v>12802</v>
      </c>
      <c r="V1110" t="s">
        <v>12802</v>
      </c>
      <c r="W1110" t="s">
        <v>13886</v>
      </c>
      <c r="X1110">
        <v>6</v>
      </c>
      <c r="Y1110" t="s">
        <v>20202</v>
      </c>
      <c r="Z1110" t="s">
        <v>26428</v>
      </c>
      <c r="AA1110">
        <v>0.54463459914926249</v>
      </c>
      <c r="AB1110" t="str">
        <f>HYPERLINK("Melting_Curves/meltCurve_I3L0K1_GOSR2.pdf", "Melting_Curves/meltCurve_I3L0K1_GOSR2.pdf")</f>
        <v>Melting_Curves/meltCurve_I3L0K1_GOSR2.pdf</v>
      </c>
    </row>
    <row r="1111" spans="1:28" x14ac:dyDescent="0.25">
      <c r="A1111" t="s">
        <v>1115</v>
      </c>
      <c r="B1111">
        <v>0.99542014353169495</v>
      </c>
      <c r="C1111">
        <v>0.91299068275745099</v>
      </c>
      <c r="D1111">
        <v>0.86122691337094803</v>
      </c>
      <c r="E1111">
        <v>0.75415173946813696</v>
      </c>
      <c r="F1111">
        <v>0.67003866396067202</v>
      </c>
      <c r="G1111">
        <v>0.45456235661359901</v>
      </c>
      <c r="H1111">
        <v>0.349423139231198</v>
      </c>
      <c r="I1111">
        <v>0.30160667358300203</v>
      </c>
      <c r="J1111">
        <v>0.32302941865054202</v>
      </c>
      <c r="K1111">
        <v>0.36292461177660501</v>
      </c>
      <c r="L1111">
        <v>558.43403604705304</v>
      </c>
      <c r="M1111">
        <v>11.304264260719201</v>
      </c>
      <c r="N1111">
        <v>53.008399526911298</v>
      </c>
      <c r="O1111">
        <v>47.930075947044799</v>
      </c>
      <c r="P1111">
        <v>-4.3151997485226197E-2</v>
      </c>
      <c r="Q1111">
        <v>0.26836438632506898</v>
      </c>
      <c r="R1111">
        <v>0.97739647905972005</v>
      </c>
      <c r="S1111" t="s">
        <v>7513</v>
      </c>
      <c r="T1111" t="s">
        <v>12802</v>
      </c>
      <c r="U1111" t="s">
        <v>12802</v>
      </c>
      <c r="V1111" t="s">
        <v>12802</v>
      </c>
      <c r="W1111" t="s">
        <v>13887</v>
      </c>
      <c r="X1111">
        <v>2</v>
      </c>
      <c r="Y1111" t="s">
        <v>20203</v>
      </c>
      <c r="Z1111" t="s">
        <v>26429</v>
      </c>
      <c r="AA1111">
        <v>0.59365407253447</v>
      </c>
      <c r="AB1111" t="str">
        <f>HYPERLINK("Melting_Curves/meltCurve_I3L0L6_RNF167.pdf", "Melting_Curves/meltCurve_I3L0L6_RNF167.pdf")</f>
        <v>Melting_Curves/meltCurve_I3L0L6_RNF167.pdf</v>
      </c>
    </row>
    <row r="1112" spans="1:28" x14ac:dyDescent="0.25">
      <c r="A1112" t="s">
        <v>1116</v>
      </c>
      <c r="B1112">
        <v>0.99542014353169495</v>
      </c>
      <c r="C1112">
        <v>0.89926071356133597</v>
      </c>
      <c r="D1112">
        <v>0.98205284870679299</v>
      </c>
      <c r="E1112">
        <v>0.71983451234147</v>
      </c>
      <c r="F1112">
        <v>0.42287264913815797</v>
      </c>
      <c r="G1112">
        <v>0.13585681758148299</v>
      </c>
      <c r="H1112">
        <v>8.1670584792343695E-2</v>
      </c>
      <c r="I1112">
        <v>5.6778876919317801E-2</v>
      </c>
      <c r="J1112">
        <v>5.2745298677601603E-2</v>
      </c>
      <c r="K1112">
        <v>5.4721526245668298E-2</v>
      </c>
      <c r="L1112">
        <v>1003.5542502319601</v>
      </c>
      <c r="M1112">
        <v>20.534686324401701</v>
      </c>
      <c r="N1112">
        <v>49.073570367496401</v>
      </c>
      <c r="O1112">
        <v>48.414770882035299</v>
      </c>
      <c r="P1112">
        <v>-0.101732936165722</v>
      </c>
      <c r="Q1112">
        <v>4.0602171916020599E-2</v>
      </c>
      <c r="R1112">
        <v>0.99214474215382797</v>
      </c>
      <c r="S1112" t="s">
        <v>7514</v>
      </c>
      <c r="T1112" t="s">
        <v>12802</v>
      </c>
      <c r="U1112" t="s">
        <v>12802</v>
      </c>
      <c r="V1112" t="s">
        <v>12802</v>
      </c>
      <c r="W1112" t="s">
        <v>13888</v>
      </c>
      <c r="X1112">
        <v>32</v>
      </c>
      <c r="Y1112" t="s">
        <v>20204</v>
      </c>
      <c r="Z1112" t="s">
        <v>26430</v>
      </c>
      <c r="AA1112">
        <v>0.43227911952954579</v>
      </c>
      <c r="AB1112" t="str">
        <f>HYPERLINK("Melting_Curves/meltCurve_I3L0N3_NSF.pdf", "Melting_Curves/meltCurve_I3L0N3_NSF.pdf")</f>
        <v>Melting_Curves/meltCurve_I3L0N3_NSF.pdf</v>
      </c>
    </row>
    <row r="1113" spans="1:28" x14ac:dyDescent="0.25">
      <c r="A1113" t="s">
        <v>1117</v>
      </c>
      <c r="B1113">
        <v>0.99542014353169495</v>
      </c>
      <c r="C1113">
        <v>1.1929331537569901</v>
      </c>
      <c r="D1113">
        <v>1.08643338726004</v>
      </c>
      <c r="E1113">
        <v>0.89840503281767603</v>
      </c>
      <c r="F1113">
        <v>0.61112409775021703</v>
      </c>
      <c r="G1113">
        <v>0.456434555046137</v>
      </c>
      <c r="H1113">
        <v>0.32870865318838199</v>
      </c>
      <c r="I1113">
        <v>0.20299923647036999</v>
      </c>
      <c r="J1113">
        <v>0.192698070395386</v>
      </c>
      <c r="K1113">
        <v>0.16114891711903401</v>
      </c>
      <c r="L1113">
        <v>934.07811194255999</v>
      </c>
      <c r="M1113">
        <v>18.172957961637</v>
      </c>
      <c r="N1113">
        <v>52.634542696660802</v>
      </c>
      <c r="O1113">
        <v>50.789087342327903</v>
      </c>
      <c r="P1113">
        <v>-7.3927874045111697E-2</v>
      </c>
      <c r="Q1113">
        <v>0.17359610676092899</v>
      </c>
      <c r="R1113">
        <v>0.95908461265686396</v>
      </c>
      <c r="S1113" t="s">
        <v>7515</v>
      </c>
      <c r="T1113" t="s">
        <v>12802</v>
      </c>
      <c r="U1113" t="s">
        <v>12802</v>
      </c>
      <c r="V1113" t="s">
        <v>12802</v>
      </c>
      <c r="W1113" t="s">
        <v>13889</v>
      </c>
      <c r="X1113">
        <v>1</v>
      </c>
      <c r="Y1113" t="s">
        <v>20205</v>
      </c>
      <c r="Z1113" t="s">
        <v>26431</v>
      </c>
      <c r="AA1113">
        <v>0.5827749481211203</v>
      </c>
      <c r="AB1113" t="str">
        <f>HYPERLINK("Melting_Curves/meltCurve_I3L0U5_CCDC137.pdf", "Melting_Curves/meltCurve_I3L0U5_CCDC137.pdf")</f>
        <v>Melting_Curves/meltCurve_I3L0U5_CCDC137.pdf</v>
      </c>
    </row>
    <row r="1114" spans="1:28" x14ac:dyDescent="0.25">
      <c r="A1114" t="s">
        <v>1118</v>
      </c>
      <c r="B1114">
        <v>0.99542014353169495</v>
      </c>
      <c r="C1114">
        <v>1.23998789037014</v>
      </c>
      <c r="D1114">
        <v>1.0547216005872999</v>
      </c>
      <c r="E1114">
        <v>1.1826114608709599</v>
      </c>
      <c r="F1114">
        <v>1.0394393725683899</v>
      </c>
      <c r="G1114">
        <v>0.85502875986628202</v>
      </c>
      <c r="H1114">
        <v>0.67860690315567895</v>
      </c>
      <c r="I1114">
        <v>0.68781337672324205</v>
      </c>
      <c r="J1114">
        <v>0.87250456684195499</v>
      </c>
      <c r="K1114">
        <v>1.18278189560231</v>
      </c>
      <c r="L1114">
        <v>13100.085464894401</v>
      </c>
      <c r="M1114">
        <v>250</v>
      </c>
      <c r="O1114">
        <v>52.396988557607301</v>
      </c>
      <c r="P1114">
        <v>-0.17259555688387099</v>
      </c>
      <c r="Q1114">
        <v>0.85530420138702301</v>
      </c>
      <c r="R1114">
        <v>0.276327377303211</v>
      </c>
      <c r="S1114" t="s">
        <v>7516</v>
      </c>
      <c r="T1114" t="s">
        <v>12802</v>
      </c>
      <c r="U1114" t="s">
        <v>12802</v>
      </c>
      <c r="V1114" t="s">
        <v>12802</v>
      </c>
      <c r="W1114" t="s">
        <v>13319</v>
      </c>
      <c r="X1114">
        <v>2</v>
      </c>
      <c r="Y1114" t="s">
        <v>20206</v>
      </c>
      <c r="Z1114" t="s">
        <v>26432</v>
      </c>
      <c r="AA1114">
        <v>0.92959633334700931</v>
      </c>
      <c r="AB1114" t="str">
        <f>HYPERLINK("Melting_Curves/meltCurve_I3L170_MAPT.pdf", "Melting_Curves/meltCurve_I3L170_MAPT.pdf")</f>
        <v>Melting_Curves/meltCurve_I3L170_MAPT.pdf</v>
      </c>
    </row>
    <row r="1115" spans="1:28" x14ac:dyDescent="0.25">
      <c r="A1115" t="s">
        <v>1119</v>
      </c>
      <c r="B1115">
        <v>0.99542014353169495</v>
      </c>
      <c r="C1115">
        <v>0.94943521063902303</v>
      </c>
      <c r="D1115">
        <v>0.92613619587670104</v>
      </c>
      <c r="E1115">
        <v>0.90547414332095899</v>
      </c>
      <c r="F1115">
        <v>0.74204965837000203</v>
      </c>
      <c r="G1115">
        <v>0.477421299278181</v>
      </c>
      <c r="H1115">
        <v>0.20105938722105801</v>
      </c>
      <c r="I1115">
        <v>0.14166311017053099</v>
      </c>
      <c r="J1115">
        <v>0.111340517709347</v>
      </c>
      <c r="K1115">
        <v>9.08676135506674E-2</v>
      </c>
      <c r="L1115">
        <v>934.79146179026202</v>
      </c>
      <c r="M1115">
        <v>17.708185918319</v>
      </c>
      <c r="N1115">
        <v>53.180805288914698</v>
      </c>
      <c r="O1115">
        <v>52.129270593207899</v>
      </c>
      <c r="P1115">
        <v>-7.9730783230960903E-2</v>
      </c>
      <c r="Q1115">
        <v>6.1205079174169202E-2</v>
      </c>
      <c r="R1115">
        <v>0.993792979206923</v>
      </c>
      <c r="S1115" t="s">
        <v>7517</v>
      </c>
      <c r="T1115" t="s">
        <v>12802</v>
      </c>
      <c r="U1115" t="s">
        <v>12802</v>
      </c>
      <c r="V1115" t="s">
        <v>12802</v>
      </c>
      <c r="W1115" t="s">
        <v>13890</v>
      </c>
      <c r="X1115">
        <v>6</v>
      </c>
      <c r="Y1115" t="s">
        <v>20207</v>
      </c>
      <c r="Z1115" t="s">
        <v>26433</v>
      </c>
      <c r="AA1115">
        <v>0.56936188032266599</v>
      </c>
      <c r="AB1115" t="str">
        <f>HYPERLINK("Melting_Curves/meltCurve_I3L1H5_DPH1.pdf", "Melting_Curves/meltCurve_I3L1H5_DPH1.pdf")</f>
        <v>Melting_Curves/meltCurve_I3L1H5_DPH1.pdf</v>
      </c>
    </row>
    <row r="1116" spans="1:28" x14ac:dyDescent="0.25">
      <c r="A1116" t="s">
        <v>1120</v>
      </c>
      <c r="B1116">
        <v>0.99542014353169495</v>
      </c>
      <c r="C1116">
        <v>0.98231355901241801</v>
      </c>
      <c r="D1116">
        <v>0.66993952704746196</v>
      </c>
      <c r="E1116">
        <v>0.43972711547170401</v>
      </c>
      <c r="F1116">
        <v>0.31881629565180503</v>
      </c>
      <c r="G1116">
        <v>0.24142400697550401</v>
      </c>
      <c r="H1116">
        <v>0.49365688541695502</v>
      </c>
      <c r="I1116">
        <v>0.47125352244142799</v>
      </c>
      <c r="J1116">
        <v>0.99779579817113295</v>
      </c>
      <c r="K1116">
        <v>0.80208699061868705</v>
      </c>
      <c r="L1116">
        <v>3764.01182070302</v>
      </c>
      <c r="M1116">
        <v>88.455599301351398</v>
      </c>
      <c r="O1116">
        <v>42.530822468608903</v>
      </c>
      <c r="P1116">
        <v>-0.240301134548117</v>
      </c>
      <c r="Q1116">
        <v>0.537838029255573</v>
      </c>
      <c r="R1116">
        <v>0.422450579569221</v>
      </c>
      <c r="S1116" t="s">
        <v>7518</v>
      </c>
      <c r="T1116" t="s">
        <v>12802</v>
      </c>
      <c r="U1116" t="s">
        <v>12802</v>
      </c>
      <c r="V1116" t="s">
        <v>12802</v>
      </c>
      <c r="W1116" t="s">
        <v>13891</v>
      </c>
      <c r="X1116">
        <v>4</v>
      </c>
      <c r="Y1116" t="s">
        <v>20208</v>
      </c>
      <c r="Z1116" t="s">
        <v>26434</v>
      </c>
      <c r="AA1116">
        <v>0.62365349430955175</v>
      </c>
      <c r="AB1116" t="str">
        <f>HYPERLINK("Melting_Curves/meltCurve_I3L1L3_MYBBP1A.pdf", "Melting_Curves/meltCurve_I3L1L3_MYBBP1A.pdf")</f>
        <v>Melting_Curves/meltCurve_I3L1L3_MYBBP1A.pdf</v>
      </c>
    </row>
    <row r="1117" spans="1:28" x14ac:dyDescent="0.25">
      <c r="A1117" t="s">
        <v>1121</v>
      </c>
      <c r="B1117">
        <v>0.99542014353169495</v>
      </c>
      <c r="C1117">
        <v>1.01184350761259</v>
      </c>
      <c r="D1117">
        <v>0.93622208766844295</v>
      </c>
      <c r="E1117">
        <v>0.75736500274464902</v>
      </c>
      <c r="F1117">
        <v>0.60218648916182704</v>
      </c>
      <c r="G1117">
        <v>0.33244063934852203</v>
      </c>
      <c r="H1117">
        <v>0.26626696039780101</v>
      </c>
      <c r="I1117">
        <v>0.24370543694583599</v>
      </c>
      <c r="J1117">
        <v>0.361870114414441</v>
      </c>
      <c r="K1117">
        <v>0.59291684930090405</v>
      </c>
      <c r="L1117">
        <v>1118.81837213065</v>
      </c>
      <c r="M1117">
        <v>23.321652884573201</v>
      </c>
      <c r="N1117">
        <v>50.688129653967302</v>
      </c>
      <c r="O1117">
        <v>47.624828051422902</v>
      </c>
      <c r="P1117">
        <v>-7.87672287292705E-2</v>
      </c>
      <c r="Q1117">
        <v>0.35661348726005099</v>
      </c>
      <c r="R1117">
        <v>0.88823831826002897</v>
      </c>
      <c r="S1117" t="s">
        <v>7519</v>
      </c>
      <c r="T1117" t="s">
        <v>12802</v>
      </c>
      <c r="U1117" t="s">
        <v>12802</v>
      </c>
      <c r="V1117" t="s">
        <v>12802</v>
      </c>
      <c r="W1117" t="s">
        <v>13892</v>
      </c>
      <c r="X1117">
        <v>8</v>
      </c>
      <c r="Y1117" t="s">
        <v>20209</v>
      </c>
      <c r="Z1117" t="s">
        <v>26435</v>
      </c>
      <c r="AA1117">
        <v>0.59823538153735967</v>
      </c>
      <c r="AB1117" t="str">
        <f>HYPERLINK("Melting_Curves/meltCurve_I3L1P8_SLC25A11.pdf", "Melting_Curves/meltCurve_I3L1P8_SLC25A11.pdf")</f>
        <v>Melting_Curves/meltCurve_I3L1P8_SLC25A11.pdf</v>
      </c>
    </row>
    <row r="1118" spans="1:28" x14ac:dyDescent="0.25">
      <c r="A1118" t="s">
        <v>1122</v>
      </c>
      <c r="B1118">
        <v>0.99542014353169495</v>
      </c>
      <c r="C1118">
        <v>0.89396900578371397</v>
      </c>
      <c r="D1118">
        <v>0.81732330047216695</v>
      </c>
      <c r="E1118">
        <v>0.61363265746227602</v>
      </c>
      <c r="F1118">
        <v>0.47363551696883799</v>
      </c>
      <c r="G1118">
        <v>0.38365858440769501</v>
      </c>
      <c r="H1118">
        <v>0.25290879960164703</v>
      </c>
      <c r="I1118">
        <v>0.20864086533260401</v>
      </c>
      <c r="J1118">
        <v>0.25826283883287598</v>
      </c>
      <c r="K1118">
        <v>0.31208715359912598</v>
      </c>
      <c r="L1118">
        <v>594.61665041675099</v>
      </c>
      <c r="M1118">
        <v>12.723720192853699</v>
      </c>
      <c r="N1118">
        <v>49.137375570213997</v>
      </c>
      <c r="O1118">
        <v>45.623662901799698</v>
      </c>
      <c r="P1118">
        <v>-5.3574820085922403E-2</v>
      </c>
      <c r="Q1118">
        <v>0.23173091366816301</v>
      </c>
      <c r="R1118">
        <v>0.98377189599943204</v>
      </c>
      <c r="S1118" t="s">
        <v>7520</v>
      </c>
      <c r="T1118" t="s">
        <v>12802</v>
      </c>
      <c r="U1118" t="s">
        <v>12802</v>
      </c>
      <c r="V1118" t="s">
        <v>12802</v>
      </c>
      <c r="W1118" t="s">
        <v>13893</v>
      </c>
      <c r="X1118">
        <v>2</v>
      </c>
      <c r="Y1118" t="s">
        <v>20210</v>
      </c>
      <c r="Z1118" t="s">
        <v>26436</v>
      </c>
      <c r="AA1118">
        <v>0.50419575744290068</v>
      </c>
      <c r="AB1118" t="str">
        <f>HYPERLINK("Melting_Curves/meltCurve_I3L1Q2_BCL7C.pdf", "Melting_Curves/meltCurve_I3L1Q2_BCL7C.pdf")</f>
        <v>Melting_Curves/meltCurve_I3L1Q2_BCL7C.pdf</v>
      </c>
    </row>
    <row r="1119" spans="1:28" x14ac:dyDescent="0.25">
      <c r="A1119" t="s">
        <v>1123</v>
      </c>
      <c r="B1119">
        <v>0.99542014353169495</v>
      </c>
      <c r="C1119">
        <v>0.96156755215535505</v>
      </c>
      <c r="D1119">
        <v>0.875163813357548</v>
      </c>
      <c r="E1119">
        <v>0.83258359447536101</v>
      </c>
      <c r="F1119">
        <v>0.65213854851591202</v>
      </c>
      <c r="G1119">
        <v>0.540597229175526</v>
      </c>
      <c r="H1119">
        <v>0.381399425257263</v>
      </c>
      <c r="I1119">
        <v>0.32202916246525098</v>
      </c>
      <c r="J1119">
        <v>0.29514052920092398</v>
      </c>
      <c r="K1119">
        <v>0.321221475817419</v>
      </c>
      <c r="L1119">
        <v>570.34463473559299</v>
      </c>
      <c r="M1119">
        <v>11.1621334186013</v>
      </c>
      <c r="N1119">
        <v>54.190148205433204</v>
      </c>
      <c r="O1119">
        <v>49.5386577397094</v>
      </c>
      <c r="P1119">
        <v>-4.3071100182873703E-2</v>
      </c>
      <c r="Q1119">
        <v>0.23562845115308401</v>
      </c>
      <c r="R1119">
        <v>0.99179514680571201</v>
      </c>
      <c r="S1119" t="s">
        <v>7521</v>
      </c>
      <c r="T1119" t="s">
        <v>12802</v>
      </c>
      <c r="U1119" t="s">
        <v>12802</v>
      </c>
      <c r="V1119" t="s">
        <v>12802</v>
      </c>
      <c r="W1119" t="s">
        <v>13894</v>
      </c>
      <c r="X1119">
        <v>3</v>
      </c>
      <c r="Y1119" t="s">
        <v>20211</v>
      </c>
      <c r="Z1119" t="s">
        <v>26437</v>
      </c>
      <c r="AA1119">
        <v>0.61589655837512791</v>
      </c>
      <c r="AB1119" t="str">
        <f>HYPERLINK("Melting_Curves/meltCurve_I3L1Q3_ELP5.pdf", "Melting_Curves/meltCurve_I3L1Q3_ELP5.pdf")</f>
        <v>Melting_Curves/meltCurve_I3L1Q3_ELP5.pdf</v>
      </c>
    </row>
    <row r="1120" spans="1:28" x14ac:dyDescent="0.25">
      <c r="A1120" t="s">
        <v>1124</v>
      </c>
      <c r="B1120">
        <v>0.99542014353169495</v>
      </c>
      <c r="C1120">
        <v>0.90963545770230803</v>
      </c>
      <c r="D1120">
        <v>1.10882662289852</v>
      </c>
      <c r="E1120">
        <v>0.80780047172398495</v>
      </c>
      <c r="F1120">
        <v>0.18245096311841</v>
      </c>
      <c r="G1120">
        <v>9.9990072776505901E-2</v>
      </c>
      <c r="H1120">
        <v>7.0650706641569999E-2</v>
      </c>
      <c r="I1120">
        <v>6.3169511534459794E-2</v>
      </c>
      <c r="J1120">
        <v>3.2100380782784099E-2</v>
      </c>
      <c r="K1120">
        <v>3.3088802360653501E-2</v>
      </c>
      <c r="L1120">
        <v>2140.0682949730499</v>
      </c>
      <c r="M1120">
        <v>44.521750826988502</v>
      </c>
      <c r="N1120">
        <v>48.2013980961583</v>
      </c>
      <c r="O1120">
        <v>47.971251965897601</v>
      </c>
      <c r="P1120">
        <v>-0.21856800147397301</v>
      </c>
      <c r="Q1120">
        <v>5.7991522453079897E-2</v>
      </c>
      <c r="R1120">
        <v>0.98751665719567605</v>
      </c>
      <c r="S1120" t="s">
        <v>7522</v>
      </c>
      <c r="T1120" t="s">
        <v>12802</v>
      </c>
      <c r="U1120" t="s">
        <v>12802</v>
      </c>
      <c r="V1120" t="s">
        <v>12802</v>
      </c>
      <c r="W1120" t="s">
        <v>13895</v>
      </c>
      <c r="X1120">
        <v>28</v>
      </c>
      <c r="Y1120" t="s">
        <v>20212</v>
      </c>
      <c r="Z1120" t="s">
        <v>26438</v>
      </c>
      <c r="AA1120">
        <v>0.40805019990184788</v>
      </c>
      <c r="AB1120" t="str">
        <f>HYPERLINK("Melting_Curves/meltCurve_I3L2B0_CLUH.pdf", "Melting_Curves/meltCurve_I3L2B0_CLUH.pdf")</f>
        <v>Melting_Curves/meltCurve_I3L2B0_CLUH.pdf</v>
      </c>
    </row>
    <row r="1121" spans="1:28" x14ac:dyDescent="0.25">
      <c r="A1121" t="s">
        <v>1125</v>
      </c>
      <c r="B1121">
        <v>0.99542014353169495</v>
      </c>
      <c r="C1121">
        <v>1.15401432361417</v>
      </c>
      <c r="D1121">
        <v>0.85586222580012905</v>
      </c>
      <c r="E1121">
        <v>0.75487264038751101</v>
      </c>
      <c r="F1121">
        <v>0.62876802942607901</v>
      </c>
      <c r="G1121">
        <v>0.396546923652839</v>
      </c>
      <c r="H1121">
        <v>0.31778718995595501</v>
      </c>
      <c r="I1121">
        <v>0.29356286128800801</v>
      </c>
      <c r="J1121">
        <v>0.38636851396153699</v>
      </c>
      <c r="K1121">
        <v>0.481166307913243</v>
      </c>
      <c r="L1121">
        <v>916.32898148564198</v>
      </c>
      <c r="M1121">
        <v>19.068617021775399</v>
      </c>
      <c r="N1121">
        <v>51.499814761988901</v>
      </c>
      <c r="O1121">
        <v>47.535156051519898</v>
      </c>
      <c r="P1121">
        <v>-6.4147098175207098E-2</v>
      </c>
      <c r="Q1121">
        <v>0.360389374997788</v>
      </c>
      <c r="R1121">
        <v>0.91858527649535504</v>
      </c>
      <c r="S1121" t="s">
        <v>7523</v>
      </c>
      <c r="T1121" t="s">
        <v>12802</v>
      </c>
      <c r="U1121" t="s">
        <v>12802</v>
      </c>
      <c r="V1121" t="s">
        <v>12802</v>
      </c>
      <c r="W1121" t="s">
        <v>13896</v>
      </c>
      <c r="X1121">
        <v>3</v>
      </c>
      <c r="Y1121" t="s">
        <v>20213</v>
      </c>
      <c r="Z1121" t="s">
        <v>26439</v>
      </c>
      <c r="AA1121">
        <v>0.60526191386664974</v>
      </c>
      <c r="AB1121" t="str">
        <f>HYPERLINK("Melting_Curves/meltCurve_I3L2L5_FAM195B.pdf", "Melting_Curves/meltCurve_I3L2L5_FAM195B.pdf")</f>
        <v>Melting_Curves/meltCurve_I3L2L5_FAM195B.pdf</v>
      </c>
    </row>
    <row r="1122" spans="1:28" x14ac:dyDescent="0.25">
      <c r="A1122" t="s">
        <v>1126</v>
      </c>
      <c r="B1122">
        <v>0.99542014353169495</v>
      </c>
      <c r="C1122">
        <v>1.0867648521657201</v>
      </c>
      <c r="D1122">
        <v>1.0391785933540201</v>
      </c>
      <c r="E1122">
        <v>0.86297268077848599</v>
      </c>
      <c r="F1122">
        <v>0.62179444834918596</v>
      </c>
      <c r="G1122">
        <v>0.29448868082336199</v>
      </c>
      <c r="H1122">
        <v>0.17258269995215</v>
      </c>
      <c r="I1122">
        <v>0.109539105688137</v>
      </c>
      <c r="J1122">
        <v>8.9154825750925495E-2</v>
      </c>
      <c r="K1122">
        <v>0.10403385338835</v>
      </c>
      <c r="L1122">
        <v>1115.14118976331</v>
      </c>
      <c r="M1122">
        <v>21.922824113229101</v>
      </c>
      <c r="N1122">
        <v>51.337253307684399</v>
      </c>
      <c r="O1122">
        <v>50.449126862133603</v>
      </c>
      <c r="P1122">
        <v>-9.8751790533125397E-2</v>
      </c>
      <c r="Q1122">
        <v>9.1024644919123002E-2</v>
      </c>
      <c r="R1122">
        <v>0.992435549583921</v>
      </c>
      <c r="S1122" t="s">
        <v>7524</v>
      </c>
      <c r="T1122" t="s">
        <v>12802</v>
      </c>
      <c r="U1122" t="s">
        <v>12802</v>
      </c>
      <c r="V1122" t="s">
        <v>12802</v>
      </c>
      <c r="W1122" t="s">
        <v>13897</v>
      </c>
      <c r="X1122">
        <v>6</v>
      </c>
      <c r="Y1122" t="s">
        <v>20214</v>
      </c>
      <c r="Z1122" t="s">
        <v>26440</v>
      </c>
      <c r="AA1122">
        <v>0.52134571524870077</v>
      </c>
      <c r="AB1122" t="str">
        <f>HYPERLINK("Melting_Curves/meltCurve_I3L2M9_PCTP.pdf", "Melting_Curves/meltCurve_I3L2M9_PCTP.pdf")</f>
        <v>Melting_Curves/meltCurve_I3L2M9_PCTP.pdf</v>
      </c>
    </row>
    <row r="1123" spans="1:28" x14ac:dyDescent="0.25">
      <c r="A1123" t="s">
        <v>1127</v>
      </c>
      <c r="B1123">
        <v>0.99542014353169495</v>
      </c>
      <c r="C1123">
        <v>0.80499238505804305</v>
      </c>
      <c r="D1123">
        <v>0.56782697019357398</v>
      </c>
      <c r="E1123">
        <v>0.51719138991857205</v>
      </c>
      <c r="F1123">
        <v>0.40123871878676398</v>
      </c>
      <c r="G1123">
        <v>0.144137196545392</v>
      </c>
      <c r="H1123">
        <v>0.21649376672213999</v>
      </c>
      <c r="I1123">
        <v>0.15572213106317701</v>
      </c>
      <c r="J1123">
        <v>6.0496522475224301E-2</v>
      </c>
      <c r="K1123">
        <v>5.7521134463572599E-2</v>
      </c>
      <c r="L1123">
        <v>417.69773350286403</v>
      </c>
      <c r="M1123">
        <v>9.06518222405162</v>
      </c>
      <c r="N1123">
        <v>46.305719019990299</v>
      </c>
      <c r="O1123">
        <v>44.000795700469702</v>
      </c>
      <c r="P1123">
        <v>-5.0414394751378301E-2</v>
      </c>
      <c r="Q1123">
        <v>2.1880313082463701E-2</v>
      </c>
      <c r="R1123">
        <v>0.96211175097047397</v>
      </c>
      <c r="S1123" t="s">
        <v>7525</v>
      </c>
      <c r="T1123" t="s">
        <v>12802</v>
      </c>
      <c r="U1123" t="s">
        <v>12802</v>
      </c>
      <c r="V1123" t="s">
        <v>12802</v>
      </c>
      <c r="W1123" t="s">
        <v>13898</v>
      </c>
      <c r="X1123">
        <v>2</v>
      </c>
      <c r="Y1123" t="s">
        <v>20215</v>
      </c>
      <c r="Z1123" t="s">
        <v>26441</v>
      </c>
      <c r="AA1123">
        <v>0.36967256542558841</v>
      </c>
      <c r="AB1123" t="str">
        <f>HYPERLINK("Melting_Curves/meltCurve_I3L2W9_DVL2.pdf", "Melting_Curves/meltCurve_I3L2W9_DVL2.pdf")</f>
        <v>Melting_Curves/meltCurve_I3L2W9_DVL2.pdf</v>
      </c>
    </row>
    <row r="1124" spans="1:28" x14ac:dyDescent="0.25">
      <c r="A1124" t="s">
        <v>1128</v>
      </c>
      <c r="B1124">
        <v>0.99542014353169495</v>
      </c>
      <c r="C1124">
        <v>1.0363059977117699</v>
      </c>
      <c r="D1124">
        <v>0.933613695019756</v>
      </c>
      <c r="E1124">
        <v>0.79312265077926603</v>
      </c>
      <c r="F1124">
        <v>0.53173446738156505</v>
      </c>
      <c r="G1124">
        <v>0.22041687111974501</v>
      </c>
      <c r="H1124">
        <v>6.4263314343148498E-2</v>
      </c>
      <c r="I1124">
        <v>3.72791804466358E-2</v>
      </c>
      <c r="J1124">
        <v>3.5940612412787398E-2</v>
      </c>
      <c r="K1124">
        <v>4.2143295964443099E-2</v>
      </c>
      <c r="L1124">
        <v>953.664077343759</v>
      </c>
      <c r="M1124">
        <v>19.007907274380202</v>
      </c>
      <c r="N1124">
        <v>50.235736379850799</v>
      </c>
      <c r="O1124">
        <v>49.626536701115398</v>
      </c>
      <c r="P1124">
        <v>-9.4617159075826796E-2</v>
      </c>
      <c r="Q1124">
        <v>1.19195038154668E-2</v>
      </c>
      <c r="R1124">
        <v>0.99683276905114804</v>
      </c>
      <c r="S1124" t="s">
        <v>7526</v>
      </c>
      <c r="T1124" t="s">
        <v>12802</v>
      </c>
      <c r="U1124" t="s">
        <v>12802</v>
      </c>
      <c r="V1124" t="s">
        <v>12802</v>
      </c>
      <c r="W1124" t="s">
        <v>13899</v>
      </c>
      <c r="X1124">
        <v>2</v>
      </c>
      <c r="Y1124" t="s">
        <v>20216</v>
      </c>
      <c r="Z1124" t="s">
        <v>26442</v>
      </c>
      <c r="AA1124">
        <v>0.45994065294735559</v>
      </c>
      <c r="AB1124" t="str">
        <f>HYPERLINK("Melting_Curves/meltCurve_I3L367_TOM1L1.pdf", "Melting_Curves/meltCurve_I3L367_TOM1L1.pdf")</f>
        <v>Melting_Curves/meltCurve_I3L367_TOM1L1.pdf</v>
      </c>
    </row>
    <row r="1125" spans="1:28" x14ac:dyDescent="0.25">
      <c r="A1125" t="s">
        <v>1129</v>
      </c>
      <c r="B1125">
        <v>0.99542014353169495</v>
      </c>
      <c r="C1125">
        <v>0.91486905615502601</v>
      </c>
      <c r="D1125">
        <v>1.1076773610057999</v>
      </c>
      <c r="E1125">
        <v>1.41908522979422</v>
      </c>
      <c r="F1125">
        <v>2.0585911706020301</v>
      </c>
      <c r="G1125">
        <v>1.83931863992236</v>
      </c>
      <c r="H1125">
        <v>0.29922519372526502</v>
      </c>
      <c r="I1125">
        <v>0.12877278862004199</v>
      </c>
      <c r="J1125">
        <v>7.7319404866098895E-2</v>
      </c>
      <c r="K1125">
        <v>0.123183035975445</v>
      </c>
      <c r="L1125">
        <v>14274.9228933713</v>
      </c>
      <c r="M1125">
        <v>250</v>
      </c>
      <c r="N1125">
        <v>57.156366401342503</v>
      </c>
      <c r="O1125">
        <v>57.096037592679103</v>
      </c>
      <c r="P1125">
        <v>-0.97450047916337201</v>
      </c>
      <c r="Q1125">
        <v>0.109758145488232</v>
      </c>
      <c r="R1125">
        <v>0.57737479850865303</v>
      </c>
      <c r="S1125" t="s">
        <v>7527</v>
      </c>
      <c r="T1125" t="s">
        <v>12802</v>
      </c>
      <c r="U1125" t="s">
        <v>12802</v>
      </c>
      <c r="V1125" t="s">
        <v>12802</v>
      </c>
      <c r="W1125" t="s">
        <v>13900</v>
      </c>
      <c r="X1125">
        <v>7</v>
      </c>
      <c r="Y1125" t="s">
        <v>20217</v>
      </c>
      <c r="Z1125" t="s">
        <v>26443</v>
      </c>
      <c r="AA1125">
        <v>0.70630024584638751</v>
      </c>
      <c r="AB1125" t="str">
        <f>HYPERLINK("Melting_Curves/meltCurve_I3L3A8_PELP1.pdf", "Melting_Curves/meltCurve_I3L3A8_PELP1.pdf")</f>
        <v>Melting_Curves/meltCurve_I3L3A8_PELP1.pdf</v>
      </c>
    </row>
    <row r="1126" spans="1:28" x14ac:dyDescent="0.25">
      <c r="A1126" t="s">
        <v>1130</v>
      </c>
      <c r="B1126">
        <v>0.99542014353169495</v>
      </c>
      <c r="C1126">
        <v>0.947235660280623</v>
      </c>
      <c r="D1126">
        <v>0.84851300095701998</v>
      </c>
      <c r="E1126">
        <v>0.75634954190875403</v>
      </c>
      <c r="F1126">
        <v>0.687842019961032</v>
      </c>
      <c r="G1126">
        <v>0.47200637020521502</v>
      </c>
      <c r="H1126">
        <v>0.24629352063825399</v>
      </c>
      <c r="I1126">
        <v>0.15200196957206</v>
      </c>
      <c r="J1126">
        <v>8.3301533249209594E-2</v>
      </c>
      <c r="K1126">
        <v>0.107999244730505</v>
      </c>
      <c r="L1126">
        <v>567.23082071147905</v>
      </c>
      <c r="M1126">
        <v>10.815622542948701</v>
      </c>
      <c r="N1126">
        <v>52.445508192891999</v>
      </c>
      <c r="O1126">
        <v>50.748091189519897</v>
      </c>
      <c r="P1126">
        <v>-5.3300117634044401E-2</v>
      </c>
      <c r="Q1126">
        <v>0</v>
      </c>
      <c r="R1126">
        <v>0.98566370412430604</v>
      </c>
      <c r="S1126" t="s">
        <v>7528</v>
      </c>
      <c r="T1126" t="s">
        <v>12802</v>
      </c>
      <c r="U1126" t="s">
        <v>12802</v>
      </c>
      <c r="V1126" t="s">
        <v>12802</v>
      </c>
      <c r="W1126" t="s">
        <v>13699</v>
      </c>
      <c r="X1126">
        <v>1</v>
      </c>
      <c r="Z1126" t="s">
        <v>26444</v>
      </c>
      <c r="AA1126">
        <v>0.53887618552082706</v>
      </c>
      <c r="AB1126" t="str">
        <f>HYPERLINK("Melting_Curves/meltCurve_I3L3B4_.pdf", "Melting_Curves/meltCurve_I3L3B4_.pdf")</f>
        <v>Melting_Curves/meltCurve_I3L3B4_.pdf</v>
      </c>
    </row>
    <row r="1127" spans="1:28" x14ac:dyDescent="0.25">
      <c r="A1127" t="s">
        <v>1131</v>
      </c>
      <c r="B1127">
        <v>0.99542014353169495</v>
      </c>
      <c r="C1127">
        <v>0.95959185233524102</v>
      </c>
      <c r="D1127">
        <v>1.0380993568830501</v>
      </c>
      <c r="E1127">
        <v>0.77192147119429799</v>
      </c>
      <c r="F1127">
        <v>0.44663174180665599</v>
      </c>
      <c r="G1127">
        <v>0.21428743765757399</v>
      </c>
      <c r="H1127">
        <v>0.128982717057854</v>
      </c>
      <c r="I1127">
        <v>4.4964169058437399E-2</v>
      </c>
      <c r="J1127">
        <v>3.59883077964935E-2</v>
      </c>
      <c r="K1127">
        <v>5.3304979431795699E-2</v>
      </c>
      <c r="L1127">
        <v>1012.10462859324</v>
      </c>
      <c r="M1127">
        <v>20.4385276978681</v>
      </c>
      <c r="N1127">
        <v>49.746115782622297</v>
      </c>
      <c r="O1127">
        <v>49.0527071068704</v>
      </c>
      <c r="P1127">
        <v>-9.9537790913433802E-2</v>
      </c>
      <c r="Q1127">
        <v>4.4461066457222198E-2</v>
      </c>
      <c r="R1127">
        <v>0.99413049767019201</v>
      </c>
      <c r="S1127" t="s">
        <v>7529</v>
      </c>
      <c r="T1127" t="s">
        <v>12802</v>
      </c>
      <c r="U1127" t="s">
        <v>12802</v>
      </c>
      <c r="V1127" t="s">
        <v>12802</v>
      </c>
      <c r="W1127" t="s">
        <v>13901</v>
      </c>
      <c r="X1127">
        <v>6</v>
      </c>
      <c r="Y1127" t="s">
        <v>20218</v>
      </c>
      <c r="Z1127" t="s">
        <v>26445</v>
      </c>
      <c r="AA1127">
        <v>0.45533372445729992</v>
      </c>
      <c r="AB1127" t="str">
        <f>HYPERLINK("Melting_Curves/meltCurve_I3L3P7_RPS15A.pdf", "Melting_Curves/meltCurve_I3L3P7_RPS15A.pdf")</f>
        <v>Melting_Curves/meltCurve_I3L3P7_RPS15A.pdf</v>
      </c>
    </row>
    <row r="1128" spans="1:28" x14ac:dyDescent="0.25">
      <c r="A1128" t="s">
        <v>1132</v>
      </c>
      <c r="B1128">
        <v>0.99542014353169495</v>
      </c>
      <c r="C1128">
        <v>0.90851872213067197</v>
      </c>
      <c r="D1128">
        <v>0.91348845088708397</v>
      </c>
      <c r="E1128">
        <v>0.80189077670630204</v>
      </c>
      <c r="F1128">
        <v>0.56513172500423103</v>
      </c>
      <c r="G1128">
        <v>0.38718755909486202</v>
      </c>
      <c r="H1128">
        <v>0.11088347876686699</v>
      </c>
      <c r="I1128">
        <v>4.5779204420752999E-2</v>
      </c>
      <c r="J1128">
        <v>0.17566794758239601</v>
      </c>
      <c r="K1128">
        <v>1.7969520316995901E-2</v>
      </c>
      <c r="L1128">
        <v>708.41265340693406</v>
      </c>
      <c r="M1128">
        <v>13.875780187236501</v>
      </c>
      <c r="N1128">
        <v>51.125040935964797</v>
      </c>
      <c r="O1128">
        <v>50.028557753882801</v>
      </c>
      <c r="P1128">
        <v>-6.8685691739820601E-2</v>
      </c>
      <c r="Q1128">
        <v>9.5618051192287792E-3</v>
      </c>
      <c r="R1128">
        <v>0.97846376983913497</v>
      </c>
      <c r="S1128" t="s">
        <v>7530</v>
      </c>
      <c r="T1128" t="s">
        <v>12802</v>
      </c>
      <c r="U1128" t="s">
        <v>12802</v>
      </c>
      <c r="V1128" t="s">
        <v>12802</v>
      </c>
      <c r="W1128" t="s">
        <v>13902</v>
      </c>
      <c r="X1128">
        <v>1</v>
      </c>
      <c r="Y1128" t="s">
        <v>20219</v>
      </c>
      <c r="Z1128" t="s">
        <v>26446</v>
      </c>
      <c r="AA1128">
        <v>0.49546718840630538</v>
      </c>
      <c r="AB1128" t="str">
        <f>HYPERLINK("Melting_Curves/meltCurve_I3L413_CCNE1.pdf", "Melting_Curves/meltCurve_I3L413_CCNE1.pdf")</f>
        <v>Melting_Curves/meltCurve_I3L413_CCNE1.pdf</v>
      </c>
    </row>
    <row r="1129" spans="1:28" x14ac:dyDescent="0.25">
      <c r="A1129" t="s">
        <v>1133</v>
      </c>
      <c r="B1129">
        <v>0.99542014353169495</v>
      </c>
      <c r="C1129">
        <v>1.0194014928122299</v>
      </c>
      <c r="D1129">
        <v>0.97469106953397699</v>
      </c>
      <c r="E1129">
        <v>0.76472276521748295</v>
      </c>
      <c r="F1129">
        <v>0.53876080625523504</v>
      </c>
      <c r="G1129">
        <v>0.31214360625242599</v>
      </c>
      <c r="H1129">
        <v>7.8154880855960798E-2</v>
      </c>
      <c r="I1129">
        <v>4.3136684834400099E-2</v>
      </c>
      <c r="J1129">
        <v>4.3292581613477502E-2</v>
      </c>
      <c r="K1129">
        <v>4.3671478758781801E-2</v>
      </c>
      <c r="L1129">
        <v>831.98265229227798</v>
      </c>
      <c r="M1129">
        <v>16.4574689310029</v>
      </c>
      <c r="N1129">
        <v>50.577012779163702</v>
      </c>
      <c r="O1129">
        <v>49.824789424948499</v>
      </c>
      <c r="P1129">
        <v>-8.2267845066164094E-2</v>
      </c>
      <c r="Q1129">
        <v>3.8105668859205501E-3</v>
      </c>
      <c r="R1129">
        <v>0.99516631981209902</v>
      </c>
      <c r="S1129" t="s">
        <v>7531</v>
      </c>
      <c r="T1129" t="s">
        <v>12802</v>
      </c>
      <c r="U1129" t="s">
        <v>12802</v>
      </c>
      <c r="V1129" t="s">
        <v>12802</v>
      </c>
      <c r="W1129" t="s">
        <v>13903</v>
      </c>
      <c r="X1129">
        <v>6</v>
      </c>
      <c r="Y1129" t="s">
        <v>20220</v>
      </c>
      <c r="Z1129" t="s">
        <v>26447</v>
      </c>
      <c r="AA1129">
        <v>0.4717553281938997</v>
      </c>
      <c r="AB1129" t="str">
        <f>HYPERLINK("Melting_Curves/meltCurve_I3L448_ATPAF1.pdf", "Melting_Curves/meltCurve_I3L448_ATPAF1.pdf")</f>
        <v>Melting_Curves/meltCurve_I3L448_ATPAF1.pdf</v>
      </c>
    </row>
    <row r="1130" spans="1:28" x14ac:dyDescent="0.25">
      <c r="A1130" t="s">
        <v>1134</v>
      </c>
      <c r="B1130">
        <v>0.99542014353169495</v>
      </c>
      <c r="C1130">
        <v>1.06659332289328</v>
      </c>
      <c r="D1130">
        <v>0.94391684194501602</v>
      </c>
      <c r="E1130">
        <v>0.920126940546656</v>
      </c>
      <c r="F1130">
        <v>0.81747739108633799</v>
      </c>
      <c r="G1130">
        <v>0.69952314144530203</v>
      </c>
      <c r="H1130">
        <v>0.48218901565469602</v>
      </c>
      <c r="I1130">
        <v>0.22410640460835701</v>
      </c>
      <c r="J1130">
        <v>0.122066020712837</v>
      </c>
      <c r="K1130">
        <v>0.104804245982396</v>
      </c>
      <c r="L1130">
        <v>807.84655558332099</v>
      </c>
      <c r="M1130">
        <v>14.305506322061101</v>
      </c>
      <c r="N1130">
        <v>56.471021921919402</v>
      </c>
      <c r="O1130">
        <v>55.401909441515897</v>
      </c>
      <c r="P1130">
        <v>-6.45611602968333E-2</v>
      </c>
      <c r="Q1130">
        <v>0</v>
      </c>
      <c r="R1130">
        <v>0.98885853351519704</v>
      </c>
      <c r="S1130" t="s">
        <v>7532</v>
      </c>
      <c r="T1130" t="s">
        <v>12802</v>
      </c>
      <c r="U1130" t="s">
        <v>12802</v>
      </c>
      <c r="V1130" t="s">
        <v>12802</v>
      </c>
      <c r="W1130" t="s">
        <v>13904</v>
      </c>
      <c r="X1130">
        <v>3</v>
      </c>
      <c r="Y1130" t="s">
        <v>20221</v>
      </c>
      <c r="Z1130" t="s">
        <v>26448</v>
      </c>
      <c r="AA1130">
        <v>0.65875420912706895</v>
      </c>
      <c r="AB1130" t="str">
        <f>HYPERLINK("Melting_Curves/meltCurve_I3L4N7_SERPINF1.pdf", "Melting_Curves/meltCurve_I3L4N7_SERPINF1.pdf")</f>
        <v>Melting_Curves/meltCurve_I3L4N7_SERPINF1.pdf</v>
      </c>
    </row>
    <row r="1131" spans="1:28" x14ac:dyDescent="0.25">
      <c r="A1131" t="s">
        <v>1135</v>
      </c>
      <c r="B1131">
        <v>0.99542014353169495</v>
      </c>
      <c r="C1131">
        <v>0.91518651871340695</v>
      </c>
      <c r="D1131">
        <v>0.78653888103359904</v>
      </c>
      <c r="E1131">
        <v>0.69897914654998305</v>
      </c>
      <c r="F1131">
        <v>0.622019979087857</v>
      </c>
      <c r="G1131">
        <v>0.51461121675761101</v>
      </c>
      <c r="H1131">
        <v>0.31168071650503198</v>
      </c>
      <c r="I1131">
        <v>0.12385565935168399</v>
      </c>
      <c r="J1131">
        <v>6.7376598883236993E-2</v>
      </c>
      <c r="K1131">
        <v>5.8234623522032E-2</v>
      </c>
      <c r="L1131">
        <v>489.78357419972298</v>
      </c>
      <c r="M1131">
        <v>9.4601945245577799</v>
      </c>
      <c r="N1131">
        <v>51.773097517591303</v>
      </c>
      <c r="O1131">
        <v>49.617915407809598</v>
      </c>
      <c r="P1131">
        <v>-4.76938630771227E-2</v>
      </c>
      <c r="Q1131">
        <v>0</v>
      </c>
      <c r="R1131">
        <v>0.96747542677996801</v>
      </c>
      <c r="S1131" t="s">
        <v>7533</v>
      </c>
      <c r="T1131" t="s">
        <v>12802</v>
      </c>
      <c r="U1131" t="s">
        <v>12802</v>
      </c>
      <c r="V1131" t="s">
        <v>12802</v>
      </c>
      <c r="W1131" t="s">
        <v>13905</v>
      </c>
      <c r="X1131">
        <v>8</v>
      </c>
      <c r="Y1131" t="s">
        <v>20222</v>
      </c>
      <c r="Z1131" t="s">
        <v>26449</v>
      </c>
      <c r="AA1131">
        <v>0.52078301013118045</v>
      </c>
      <c r="AB1131" t="str">
        <f>HYPERLINK("Melting_Curves/meltCurve_I3L4X2_ABCC1.pdf", "Melting_Curves/meltCurve_I3L4X2_ABCC1.pdf")</f>
        <v>Melting_Curves/meltCurve_I3L4X2_ABCC1.pdf</v>
      </c>
    </row>
    <row r="1132" spans="1:28" x14ac:dyDescent="0.25">
      <c r="A1132" t="s">
        <v>1136</v>
      </c>
      <c r="B1132">
        <v>0.99542014353169495</v>
      </c>
      <c r="C1132">
        <v>1.38492789663168</v>
      </c>
      <c r="D1132">
        <v>1.54084541005773</v>
      </c>
      <c r="E1132">
        <v>1.4087685620274999</v>
      </c>
      <c r="F1132">
        <v>0.54007207407966396</v>
      </c>
      <c r="G1132">
        <v>1.0530123518207499</v>
      </c>
      <c r="H1132">
        <v>0.52130797367804005</v>
      </c>
      <c r="I1132">
        <v>0.19182607107053501</v>
      </c>
      <c r="J1132">
        <v>0.222750074525216</v>
      </c>
      <c r="K1132">
        <v>0</v>
      </c>
      <c r="L1132">
        <v>4222.6221721277898</v>
      </c>
      <c r="M1132">
        <v>73.757490668941301</v>
      </c>
      <c r="N1132">
        <v>57.493751095300702</v>
      </c>
      <c r="O1132">
        <v>57.208036253208597</v>
      </c>
      <c r="P1132">
        <v>-0.27905690095160302</v>
      </c>
      <c r="Q1132">
        <v>0.13422789842681501</v>
      </c>
      <c r="R1132">
        <v>0.70136924667868705</v>
      </c>
      <c r="S1132" t="s">
        <v>7534</v>
      </c>
      <c r="T1132" t="s">
        <v>12802</v>
      </c>
      <c r="U1132" t="s">
        <v>12802</v>
      </c>
      <c r="V1132" t="s">
        <v>12802</v>
      </c>
      <c r="W1132" t="s">
        <v>13906</v>
      </c>
      <c r="X1132">
        <v>1</v>
      </c>
      <c r="Y1132" t="s">
        <v>20223</v>
      </c>
      <c r="Z1132" t="s">
        <v>26450</v>
      </c>
      <c r="AA1132">
        <v>0.71962734578738408</v>
      </c>
      <c r="AB1132" t="str">
        <f>HYPERLINK("Melting_Curves/meltCurve_I3NI29_PLSCR3.pdf", "Melting_Curves/meltCurve_I3NI29_PLSCR3.pdf")</f>
        <v>Melting_Curves/meltCurve_I3NI29_PLSCR3.pdf</v>
      </c>
    </row>
    <row r="1133" spans="1:28" x14ac:dyDescent="0.25">
      <c r="A1133" t="s">
        <v>1137</v>
      </c>
      <c r="B1133">
        <v>0.99542014353169495</v>
      </c>
      <c r="C1133">
        <v>0.64375568324115295</v>
      </c>
      <c r="D1133">
        <v>0.59248281846069395</v>
      </c>
      <c r="E1133">
        <v>0.29538518435685401</v>
      </c>
      <c r="F1133">
        <v>0.208276644806065</v>
      </c>
      <c r="G1133">
        <v>0.13150838107816601</v>
      </c>
      <c r="H1133">
        <v>0.15533426506626299</v>
      </c>
      <c r="I1133">
        <v>0.17079066999990999</v>
      </c>
      <c r="J1133">
        <v>0.17409480267257799</v>
      </c>
      <c r="K1133">
        <v>8.3619933304681204E-2</v>
      </c>
      <c r="L1133">
        <v>620.08941749172504</v>
      </c>
      <c r="M1133">
        <v>14.620076355794801</v>
      </c>
      <c r="N1133">
        <v>43.291870654526598</v>
      </c>
      <c r="O1133">
        <v>41.643737953107497</v>
      </c>
      <c r="P1133">
        <v>-7.6513443668945705E-2</v>
      </c>
      <c r="Q1133">
        <v>0.128335630421791</v>
      </c>
      <c r="R1133">
        <v>0.96145418078198397</v>
      </c>
      <c r="S1133" t="s">
        <v>7535</v>
      </c>
      <c r="T1133" t="s">
        <v>12802</v>
      </c>
      <c r="U1133" t="s">
        <v>12802</v>
      </c>
      <c r="V1133" t="s">
        <v>12802</v>
      </c>
      <c r="W1133" t="s">
        <v>13907</v>
      </c>
      <c r="X1133">
        <v>3</v>
      </c>
      <c r="Y1133" t="s">
        <v>20224</v>
      </c>
      <c r="Z1133" t="s">
        <v>26451</v>
      </c>
      <c r="AA1133">
        <v>0.3111470696024522</v>
      </c>
      <c r="AB1133" t="str">
        <f>HYPERLINK("Melting_Curves/meltCurve_J3KMW7_UBR5.pdf", "Melting_Curves/meltCurve_J3KMW7_UBR5.pdf")</f>
        <v>Melting_Curves/meltCurve_J3KMW7_UBR5.pdf</v>
      </c>
    </row>
    <row r="1134" spans="1:28" x14ac:dyDescent="0.25">
      <c r="A1134" t="s">
        <v>1138</v>
      </c>
      <c r="B1134">
        <v>0.99542014353169495</v>
      </c>
      <c r="C1134">
        <v>0.91639826604552499</v>
      </c>
      <c r="D1134">
        <v>0.87274937729550295</v>
      </c>
      <c r="E1134">
        <v>0.73530794861056203</v>
      </c>
      <c r="F1134">
        <v>0.36330848772413699</v>
      </c>
      <c r="G1134">
        <v>6.8392893927732207E-2</v>
      </c>
      <c r="H1134">
        <v>3.6773049258654898E-2</v>
      </c>
      <c r="I1134">
        <v>1.9307103898497598E-2</v>
      </c>
      <c r="J1134">
        <v>1.27726507343419E-2</v>
      </c>
      <c r="K1134">
        <v>1.18233588681728E-2</v>
      </c>
      <c r="L1134">
        <v>992.51254547988401</v>
      </c>
      <c r="M1134">
        <v>20.4196973115302</v>
      </c>
      <c r="N1134">
        <v>48.605628405564801</v>
      </c>
      <c r="O1134">
        <v>48.146685031545701</v>
      </c>
      <c r="P1134">
        <v>-0.106031756094686</v>
      </c>
      <c r="Q1134">
        <v>0</v>
      </c>
      <c r="R1134">
        <v>0.991909592295247</v>
      </c>
      <c r="S1134" t="s">
        <v>7536</v>
      </c>
      <c r="T1134" t="s">
        <v>12802</v>
      </c>
      <c r="U1134" t="s">
        <v>12802</v>
      </c>
      <c r="V1134" t="s">
        <v>12802</v>
      </c>
      <c r="W1134" t="s">
        <v>13908</v>
      </c>
      <c r="X1134">
        <v>8</v>
      </c>
      <c r="Y1134" t="s">
        <v>20225</v>
      </c>
      <c r="Z1134" t="s">
        <v>26452</v>
      </c>
      <c r="AA1134">
        <v>0.39952046752910259</v>
      </c>
      <c r="AB1134" t="str">
        <f>HYPERLINK("Melting_Curves/meltCurve_J3KMW8_CACTIN.pdf", "Melting_Curves/meltCurve_J3KMW8_CACTIN.pdf")</f>
        <v>Melting_Curves/meltCurve_J3KMW8_CACTIN.pdf</v>
      </c>
    </row>
    <row r="1135" spans="1:28" x14ac:dyDescent="0.25">
      <c r="A1135" t="s">
        <v>1139</v>
      </c>
      <c r="B1135">
        <v>0.99542014353169495</v>
      </c>
      <c r="C1135">
        <v>0.80711735407879204</v>
      </c>
      <c r="D1135">
        <v>0.75291585904057801</v>
      </c>
      <c r="E1135">
        <v>0.27552267671346797</v>
      </c>
      <c r="F1135">
        <v>0.14294802482034999</v>
      </c>
      <c r="G1135">
        <v>0.11121137251040999</v>
      </c>
      <c r="H1135">
        <v>6.9639488312030498E-2</v>
      </c>
      <c r="I1135">
        <v>4.2805066692233003E-2</v>
      </c>
      <c r="J1135">
        <v>5.40718984952979E-2</v>
      </c>
      <c r="K1135">
        <v>4.0713379792243799E-2</v>
      </c>
      <c r="L1135">
        <v>850.10806833702497</v>
      </c>
      <c r="M1135">
        <v>19.126034889787299</v>
      </c>
      <c r="N1135">
        <v>44.686687359601301</v>
      </c>
      <c r="O1135">
        <v>43.970337323021099</v>
      </c>
      <c r="P1135">
        <v>-0.103461186019443</v>
      </c>
      <c r="Q1135">
        <v>4.8616845530440399E-2</v>
      </c>
      <c r="R1135">
        <v>0.98410967887150502</v>
      </c>
      <c r="S1135" t="s">
        <v>7537</v>
      </c>
      <c r="T1135" t="s">
        <v>12802</v>
      </c>
      <c r="U1135" t="s">
        <v>12802</v>
      </c>
      <c r="V1135" t="s">
        <v>12802</v>
      </c>
      <c r="W1135" t="s">
        <v>13909</v>
      </c>
      <c r="X1135">
        <v>6</v>
      </c>
      <c r="Y1135" t="s">
        <v>20226</v>
      </c>
      <c r="Z1135" t="s">
        <v>26453</v>
      </c>
      <c r="AA1135">
        <v>0.29867547483208318</v>
      </c>
      <c r="AB1135" t="str">
        <f>HYPERLINK("Melting_Curves/meltCurve_J3KMX2_SMARCD2.pdf", "Melting_Curves/meltCurve_J3KMX2_SMARCD2.pdf")</f>
        <v>Melting_Curves/meltCurve_J3KMX2_SMARCD2.pdf</v>
      </c>
    </row>
    <row r="1136" spans="1:28" x14ac:dyDescent="0.25">
      <c r="A1136" t="s">
        <v>1140</v>
      </c>
      <c r="B1136">
        <v>0.99542014353169495</v>
      </c>
      <c r="C1136">
        <v>1.10819033066752</v>
      </c>
      <c r="D1136">
        <v>1.0878356660117601</v>
      </c>
      <c r="E1136">
        <v>1.0360019805549801</v>
      </c>
      <c r="F1136">
        <v>0.93399921794695195</v>
      </c>
      <c r="G1136">
        <v>0.82171146961532404</v>
      </c>
      <c r="H1136">
        <v>0.64391787441719195</v>
      </c>
      <c r="I1136">
        <v>0.60086194030271001</v>
      </c>
      <c r="J1136">
        <v>0.76197428167145698</v>
      </c>
      <c r="K1136">
        <v>0.68687489909926902</v>
      </c>
      <c r="L1136">
        <v>2047.96536387387</v>
      </c>
      <c r="M1136">
        <v>38.532741171903602</v>
      </c>
      <c r="O1136">
        <v>53.006176282669898</v>
      </c>
      <c r="P1136">
        <v>-5.9653745575706699E-2</v>
      </c>
      <c r="Q1136">
        <v>0.67175877324424804</v>
      </c>
      <c r="R1136">
        <v>0.88109353431117399</v>
      </c>
      <c r="S1136" t="s">
        <v>7538</v>
      </c>
      <c r="T1136" t="s">
        <v>12802</v>
      </c>
      <c r="U1136" t="s">
        <v>12802</v>
      </c>
      <c r="V1136" t="s">
        <v>12802</v>
      </c>
      <c r="W1136" t="s">
        <v>13910</v>
      </c>
      <c r="X1136">
        <v>5</v>
      </c>
      <c r="Y1136" t="s">
        <v>20227</v>
      </c>
      <c r="Z1136" t="s">
        <v>26454</v>
      </c>
      <c r="AA1136">
        <v>0.84973964034370009</v>
      </c>
      <c r="AB1136" t="str">
        <f>HYPERLINK("Melting_Curves/meltCurve_J3KMY5_NPC2.pdf", "Melting_Curves/meltCurve_J3KMY5_NPC2.pdf")</f>
        <v>Melting_Curves/meltCurve_J3KMY5_NPC2.pdf</v>
      </c>
    </row>
    <row r="1137" spans="1:28" x14ac:dyDescent="0.25">
      <c r="A1137" t="s">
        <v>1141</v>
      </c>
      <c r="B1137">
        <v>0.99542014353169495</v>
      </c>
      <c r="C1137">
        <v>0.92682714872418603</v>
      </c>
      <c r="D1137">
        <v>0.84208744136359603</v>
      </c>
      <c r="E1137">
        <v>0.59282033587910699</v>
      </c>
      <c r="F1137">
        <v>0.351504793376471</v>
      </c>
      <c r="G1137">
        <v>0.13819966748052501</v>
      </c>
      <c r="H1137">
        <v>0.114189202424613</v>
      </c>
      <c r="I1137">
        <v>7.5163474773401504E-2</v>
      </c>
      <c r="J1137">
        <v>8.4801274862547502E-2</v>
      </c>
      <c r="K1137">
        <v>9.7179825145775403E-2</v>
      </c>
      <c r="L1137">
        <v>767.01478344401903</v>
      </c>
      <c r="M1137">
        <v>16.220580774959199</v>
      </c>
      <c r="N1137">
        <v>47.692090796222999</v>
      </c>
      <c r="O1137">
        <v>46.585326451014602</v>
      </c>
      <c r="P1137">
        <v>-8.1445762934311605E-2</v>
      </c>
      <c r="Q1137">
        <v>6.4424301464669501E-2</v>
      </c>
      <c r="R1137">
        <v>0.99689983447992103</v>
      </c>
      <c r="S1137" t="s">
        <v>7539</v>
      </c>
      <c r="T1137" t="s">
        <v>12802</v>
      </c>
      <c r="U1137" t="s">
        <v>12802</v>
      </c>
      <c r="V1137" t="s">
        <v>12802</v>
      </c>
      <c r="W1137" t="s">
        <v>13911</v>
      </c>
      <c r="X1137">
        <v>4</v>
      </c>
      <c r="Y1137" t="s">
        <v>20228</v>
      </c>
      <c r="Z1137" t="s">
        <v>26455</v>
      </c>
      <c r="AA1137">
        <v>0.40341112201163121</v>
      </c>
      <c r="AB1137" t="str">
        <f>HYPERLINK("Melting_Curves/meltCurve_J3KMZ7_INTS2.pdf", "Melting_Curves/meltCurve_J3KMZ7_INTS2.pdf")</f>
        <v>Melting_Curves/meltCurve_J3KMZ7_INTS2.pdf</v>
      </c>
    </row>
    <row r="1138" spans="1:28" x14ac:dyDescent="0.25">
      <c r="A1138" t="s">
        <v>1142</v>
      </c>
      <c r="B1138">
        <v>0.99542014353169495</v>
      </c>
      <c r="C1138">
        <v>0.83315695950024204</v>
      </c>
      <c r="D1138">
        <v>0.81104724494731795</v>
      </c>
      <c r="E1138">
        <v>0.48561340196026498</v>
      </c>
      <c r="F1138">
        <v>0.39411104194041902</v>
      </c>
      <c r="G1138">
        <v>0.297142419103825</v>
      </c>
      <c r="H1138">
        <v>0.23839108814891599</v>
      </c>
      <c r="I1138">
        <v>0.19245670781388399</v>
      </c>
      <c r="J1138">
        <v>0.193225021249741</v>
      </c>
      <c r="K1138">
        <v>0.194936905069579</v>
      </c>
      <c r="L1138">
        <v>589.05316013407696</v>
      </c>
      <c r="M1138">
        <v>12.884197082746301</v>
      </c>
      <c r="N1138">
        <v>47.3307102152556</v>
      </c>
      <c r="O1138">
        <v>44.659687486614501</v>
      </c>
      <c r="P1138">
        <v>-5.9328048308693197E-2</v>
      </c>
      <c r="Q1138">
        <v>0.177570008009313</v>
      </c>
      <c r="R1138">
        <v>0.98546567867826096</v>
      </c>
      <c r="S1138" t="s">
        <v>7540</v>
      </c>
      <c r="T1138" t="s">
        <v>12802</v>
      </c>
      <c r="U1138" t="s">
        <v>12802</v>
      </c>
      <c r="V1138" t="s">
        <v>12802</v>
      </c>
      <c r="W1138" t="s">
        <v>13912</v>
      </c>
      <c r="X1138">
        <v>10</v>
      </c>
      <c r="Y1138" t="s">
        <v>20229</v>
      </c>
      <c r="Z1138" t="s">
        <v>26456</v>
      </c>
      <c r="AA1138">
        <v>0.44197829758345952</v>
      </c>
      <c r="AB1138" t="str">
        <f>HYPERLINK("Melting_Curves/meltCurve_J3KMZ8_DPF2.pdf", "Melting_Curves/meltCurve_J3KMZ8_DPF2.pdf")</f>
        <v>Melting_Curves/meltCurve_J3KMZ8_DPF2.pdf</v>
      </c>
    </row>
    <row r="1139" spans="1:28" x14ac:dyDescent="0.25">
      <c r="A1139" t="s">
        <v>1143</v>
      </c>
      <c r="B1139">
        <v>0.99542014353169495</v>
      </c>
      <c r="C1139">
        <v>1.0289081054720299</v>
      </c>
      <c r="D1139">
        <v>0.91285793203608701</v>
      </c>
      <c r="E1139">
        <v>0.73549689320718004</v>
      </c>
      <c r="F1139">
        <v>0.64613686490535205</v>
      </c>
      <c r="G1139">
        <v>0.432053395587294</v>
      </c>
      <c r="H1139">
        <v>0.32789353460660903</v>
      </c>
      <c r="I1139">
        <v>0.23694915887136</v>
      </c>
      <c r="J1139">
        <v>0.269281427496119</v>
      </c>
      <c r="K1139">
        <v>0.19760494496811201</v>
      </c>
      <c r="L1139">
        <v>622.91847124496405</v>
      </c>
      <c r="M1139">
        <v>12.3237489460495</v>
      </c>
      <c r="N1139">
        <v>52.370293694181797</v>
      </c>
      <c r="O1139">
        <v>49.270558030530701</v>
      </c>
      <c r="P1139">
        <v>-5.1630527612311301E-2</v>
      </c>
      <c r="Q1139">
        <v>0.17450059552083499</v>
      </c>
      <c r="R1139">
        <v>0.98950519626829203</v>
      </c>
      <c r="S1139" t="s">
        <v>7541</v>
      </c>
      <c r="T1139" t="s">
        <v>12802</v>
      </c>
      <c r="U1139" t="s">
        <v>12802</v>
      </c>
      <c r="V1139" t="s">
        <v>12802</v>
      </c>
      <c r="W1139" t="s">
        <v>13913</v>
      </c>
      <c r="X1139">
        <v>8</v>
      </c>
      <c r="Y1139" t="s">
        <v>20230</v>
      </c>
      <c r="Z1139" t="s">
        <v>26457</v>
      </c>
      <c r="AA1139">
        <v>0.56885995537851708</v>
      </c>
      <c r="AB1139" t="str">
        <f>HYPERLINK("Melting_Curves/meltCurve_J3KMZ9_LDLR.pdf", "Melting_Curves/meltCurve_J3KMZ9_LDLR.pdf")</f>
        <v>Melting_Curves/meltCurve_J3KMZ9_LDLR.pdf</v>
      </c>
    </row>
    <row r="1140" spans="1:28" x14ac:dyDescent="0.25">
      <c r="A1140" t="s">
        <v>1144</v>
      </c>
      <c r="B1140">
        <v>0.99542014353169495</v>
      </c>
      <c r="C1140">
        <v>0.98573828636319105</v>
      </c>
      <c r="D1140">
        <v>1.0222718323962801</v>
      </c>
      <c r="E1140">
        <v>0.88013272586941704</v>
      </c>
      <c r="F1140">
        <v>0.43969622420478499</v>
      </c>
      <c r="G1140">
        <v>0.13977712564820899</v>
      </c>
      <c r="H1140">
        <v>8.9884153651824006E-2</v>
      </c>
      <c r="I1140">
        <v>6.1064760526144797E-2</v>
      </c>
      <c r="J1140">
        <v>6.4309140781618895E-2</v>
      </c>
      <c r="K1140">
        <v>6.9585791618434298E-2</v>
      </c>
      <c r="L1140">
        <v>1535.78003579559</v>
      </c>
      <c r="M1140">
        <v>31.002555664118798</v>
      </c>
      <c r="N1140">
        <v>49.767331116609199</v>
      </c>
      <c r="O1140">
        <v>49.332469707356999</v>
      </c>
      <c r="P1140">
        <v>-0.146618920181422</v>
      </c>
      <c r="Q1140">
        <v>6.6782467334779202E-2</v>
      </c>
      <c r="R1140">
        <v>0.99923432173428794</v>
      </c>
      <c r="S1140" t="s">
        <v>7542</v>
      </c>
      <c r="T1140" t="s">
        <v>12802</v>
      </c>
      <c r="U1140" t="s">
        <v>12802</v>
      </c>
      <c r="V1140" t="s">
        <v>12802</v>
      </c>
      <c r="W1140" t="s">
        <v>13914</v>
      </c>
      <c r="X1140">
        <v>54</v>
      </c>
      <c r="Y1140" t="s">
        <v>19921</v>
      </c>
      <c r="Z1140" t="s">
        <v>26458</v>
      </c>
      <c r="AA1140">
        <v>0.46210316026563292</v>
      </c>
      <c r="AB1140" t="str">
        <f>HYPERLINK("Melting_Curves/meltCurve_J3KN01_MLLT4.pdf", "Melting_Curves/meltCurve_J3KN01_MLLT4.pdf")</f>
        <v>Melting_Curves/meltCurve_J3KN01_MLLT4.pdf</v>
      </c>
    </row>
    <row r="1141" spans="1:28" x14ac:dyDescent="0.25">
      <c r="A1141" t="s">
        <v>1145</v>
      </c>
      <c r="B1141">
        <v>0.99542014353169495</v>
      </c>
      <c r="C1141">
        <v>0.92171429605584498</v>
      </c>
      <c r="D1141">
        <v>0.840876556300444</v>
      </c>
      <c r="E1141">
        <v>0.55285131412801802</v>
      </c>
      <c r="F1141">
        <v>0.32438732212638</v>
      </c>
      <c r="G1141">
        <v>0.14904142048955399</v>
      </c>
      <c r="H1141">
        <v>0.101846230030001</v>
      </c>
      <c r="I1141">
        <v>8.1743641668254194E-2</v>
      </c>
      <c r="J1141">
        <v>0.100689240079018</v>
      </c>
      <c r="K1141">
        <v>0.100951229740405</v>
      </c>
      <c r="L1141">
        <v>782.31340554912504</v>
      </c>
      <c r="M1141">
        <v>16.700596667447101</v>
      </c>
      <c r="N1141">
        <v>47.309347279483198</v>
      </c>
      <c r="O1141">
        <v>46.1872613390955</v>
      </c>
      <c r="P1141">
        <v>-8.3547110005395095E-2</v>
      </c>
      <c r="Q1141">
        <v>7.5827872662391396E-2</v>
      </c>
      <c r="R1141">
        <v>0.99766173504300304</v>
      </c>
      <c r="S1141" t="s">
        <v>7543</v>
      </c>
      <c r="T1141" t="s">
        <v>12802</v>
      </c>
      <c r="U1141" t="s">
        <v>12802</v>
      </c>
      <c r="V1141" t="s">
        <v>12802</v>
      </c>
      <c r="W1141" t="s">
        <v>13915</v>
      </c>
      <c r="X1141">
        <v>18</v>
      </c>
      <c r="Y1141" t="s">
        <v>20231</v>
      </c>
      <c r="Z1141" t="s">
        <v>26459</v>
      </c>
      <c r="AA1141">
        <v>0.39618599532208898</v>
      </c>
      <c r="AB1141" t="str">
        <f>HYPERLINK("Melting_Curves/meltCurve_J3KN10_PI4KA.pdf", "Melting_Curves/meltCurve_J3KN10_PI4KA.pdf")</f>
        <v>Melting_Curves/meltCurve_J3KN10_PI4KA.pdf</v>
      </c>
    </row>
    <row r="1142" spans="1:28" x14ac:dyDescent="0.25">
      <c r="A1142" t="s">
        <v>1146</v>
      </c>
      <c r="B1142">
        <v>0.99542014353169495</v>
      </c>
      <c r="C1142">
        <v>0.96850947838166501</v>
      </c>
      <c r="D1142">
        <v>0.97005651615643895</v>
      </c>
      <c r="E1142">
        <v>0.79469088166716895</v>
      </c>
      <c r="F1142">
        <v>0.232028876654917</v>
      </c>
      <c r="G1142">
        <v>0.119908867434392</v>
      </c>
      <c r="H1142">
        <v>7.3618272387085806E-2</v>
      </c>
      <c r="I1142">
        <v>5.5918406069948801E-2</v>
      </c>
      <c r="J1142">
        <v>6.1337595833191101E-2</v>
      </c>
      <c r="K1142">
        <v>6.2475617523029901E-2</v>
      </c>
      <c r="L1142">
        <v>1752.6460574548801</v>
      </c>
      <c r="M1142">
        <v>36.386227548948099</v>
      </c>
      <c r="N1142">
        <v>48.363426869157003</v>
      </c>
      <c r="O1142">
        <v>48.023043384061999</v>
      </c>
      <c r="P1142">
        <v>-0.176461574445651</v>
      </c>
      <c r="Q1142">
        <v>6.8417160421414894E-2</v>
      </c>
      <c r="R1142">
        <v>0.99841824546157398</v>
      </c>
      <c r="S1142" t="s">
        <v>7544</v>
      </c>
      <c r="T1142" t="s">
        <v>12802</v>
      </c>
      <c r="U1142" t="s">
        <v>12802</v>
      </c>
      <c r="V1142" t="s">
        <v>12802</v>
      </c>
      <c r="W1142" t="s">
        <v>13916</v>
      </c>
      <c r="X1142">
        <v>51</v>
      </c>
      <c r="Y1142" t="s">
        <v>20232</v>
      </c>
      <c r="Z1142" t="s">
        <v>26460</v>
      </c>
      <c r="AA1142">
        <v>0.41896324349575909</v>
      </c>
      <c r="AB1142" t="str">
        <f>HYPERLINK("Melting_Curves/meltCurve_J3KN16_KIAA0368.pdf", "Melting_Curves/meltCurve_J3KN16_KIAA0368.pdf")</f>
        <v>Melting_Curves/meltCurve_J3KN16_KIAA0368.pdf</v>
      </c>
    </row>
    <row r="1143" spans="1:28" x14ac:dyDescent="0.25">
      <c r="A1143" t="s">
        <v>1147</v>
      </c>
      <c r="B1143">
        <v>0.99542014353169495</v>
      </c>
      <c r="C1143">
        <v>1.2249207369802</v>
      </c>
      <c r="D1143">
        <v>0.872377401408443</v>
      </c>
      <c r="E1143">
        <v>0.90399778598216196</v>
      </c>
      <c r="F1143">
        <v>0.56425716324080899</v>
      </c>
      <c r="G1143">
        <v>0.29615020153598398</v>
      </c>
      <c r="H1143">
        <v>0.19822152307551799</v>
      </c>
      <c r="I1143">
        <v>0.16540915565137801</v>
      </c>
      <c r="J1143">
        <v>0.13672286005178499</v>
      </c>
      <c r="K1143">
        <v>0.20457759216004401</v>
      </c>
      <c r="L1143">
        <v>1219.3258084822301</v>
      </c>
      <c r="M1143">
        <v>24.351977328333401</v>
      </c>
      <c r="N1143">
        <v>50.898640606163497</v>
      </c>
      <c r="O1143">
        <v>49.736946586743898</v>
      </c>
      <c r="P1143">
        <v>-0.10239209966844499</v>
      </c>
      <c r="Q1143">
        <v>0.16350241934416401</v>
      </c>
      <c r="R1143">
        <v>0.95553814087571698</v>
      </c>
      <c r="S1143" t="s">
        <v>7545</v>
      </c>
      <c r="T1143" t="s">
        <v>12802</v>
      </c>
      <c r="U1143" t="s">
        <v>12802</v>
      </c>
      <c r="V1143" t="s">
        <v>12802</v>
      </c>
      <c r="W1143" t="s">
        <v>13917</v>
      </c>
      <c r="X1143">
        <v>2</v>
      </c>
      <c r="Y1143" t="s">
        <v>20233</v>
      </c>
      <c r="Z1143" t="s">
        <v>26461</v>
      </c>
      <c r="AA1143">
        <v>0.53565658526162219</v>
      </c>
      <c r="AB1143" t="str">
        <f>HYPERLINK("Melting_Curves/meltCurve_J3KN27_FBRSL1.pdf", "Melting_Curves/meltCurve_J3KN27_FBRSL1.pdf")</f>
        <v>Melting_Curves/meltCurve_J3KN27_FBRSL1.pdf</v>
      </c>
    </row>
    <row r="1144" spans="1:28" x14ac:dyDescent="0.25">
      <c r="A1144" t="s">
        <v>1148</v>
      </c>
      <c r="B1144">
        <v>0.99542014353169495</v>
      </c>
      <c r="C1144">
        <v>0.92292913252234698</v>
      </c>
      <c r="D1144">
        <v>0.87151388019752096</v>
      </c>
      <c r="E1144">
        <v>0.79632523120825405</v>
      </c>
      <c r="F1144">
        <v>0.57244189849039095</v>
      </c>
      <c r="G1144">
        <v>0.45828891963384799</v>
      </c>
      <c r="H1144">
        <v>0.420069363614333</v>
      </c>
      <c r="I1144">
        <v>0.38585239677348798</v>
      </c>
      <c r="J1144">
        <v>0.45770782157996498</v>
      </c>
      <c r="K1144">
        <v>0.52076561524012499</v>
      </c>
      <c r="L1144">
        <v>819.005634973837</v>
      </c>
      <c r="M1144">
        <v>17.376126006813301</v>
      </c>
      <c r="N1144">
        <v>53.210578934723102</v>
      </c>
      <c r="O1144">
        <v>46.522979916253497</v>
      </c>
      <c r="P1144">
        <v>-5.3108055773503499E-2</v>
      </c>
      <c r="Q1144">
        <v>0.43126461367230601</v>
      </c>
      <c r="R1144">
        <v>0.95759242595219796</v>
      </c>
      <c r="S1144" t="s">
        <v>7546</v>
      </c>
      <c r="T1144" t="s">
        <v>12802</v>
      </c>
      <c r="U1144" t="s">
        <v>12802</v>
      </c>
      <c r="V1144" t="s">
        <v>12802</v>
      </c>
      <c r="W1144" t="s">
        <v>13918</v>
      </c>
      <c r="X1144">
        <v>11</v>
      </c>
      <c r="Y1144" t="s">
        <v>20234</v>
      </c>
      <c r="Z1144" t="s">
        <v>26462</v>
      </c>
      <c r="AA1144">
        <v>0.63313570514891826</v>
      </c>
      <c r="AB1144" t="str">
        <f>HYPERLINK("Melting_Curves/meltCurve_J3KN29_PSMD9.pdf", "Melting_Curves/meltCurve_J3KN29_PSMD9.pdf")</f>
        <v>Melting_Curves/meltCurve_J3KN29_PSMD9.pdf</v>
      </c>
    </row>
    <row r="1145" spans="1:28" x14ac:dyDescent="0.25">
      <c r="A1145" t="s">
        <v>1149</v>
      </c>
      <c r="B1145">
        <v>0.99542014353169495</v>
      </c>
      <c r="C1145">
        <v>1.06524603764485</v>
      </c>
      <c r="D1145">
        <v>0.87716804621977995</v>
      </c>
      <c r="E1145">
        <v>0.68270248274654699</v>
      </c>
      <c r="F1145">
        <v>0.54414854271076296</v>
      </c>
      <c r="G1145">
        <v>0.36140693749090302</v>
      </c>
      <c r="H1145">
        <v>0.25204854881996602</v>
      </c>
      <c r="I1145">
        <v>0.196138672965538</v>
      </c>
      <c r="J1145">
        <v>0.18731379918362201</v>
      </c>
      <c r="K1145">
        <v>0.23429037210314499</v>
      </c>
      <c r="L1145">
        <v>707.25462931523202</v>
      </c>
      <c r="M1145">
        <v>14.494224030255801</v>
      </c>
      <c r="N1145">
        <v>50.3538741319352</v>
      </c>
      <c r="O1145">
        <v>47.894990239506797</v>
      </c>
      <c r="P1145">
        <v>-6.1990829868734103E-2</v>
      </c>
      <c r="Q1145">
        <v>0.18071996653806699</v>
      </c>
      <c r="R1145">
        <v>0.98537060635872398</v>
      </c>
      <c r="S1145" t="s">
        <v>7547</v>
      </c>
      <c r="T1145" t="s">
        <v>12802</v>
      </c>
      <c r="U1145" t="s">
        <v>12802</v>
      </c>
      <c r="V1145" t="s">
        <v>12802</v>
      </c>
      <c r="W1145" t="s">
        <v>13919</v>
      </c>
      <c r="X1145">
        <v>1</v>
      </c>
      <c r="Y1145" t="s">
        <v>20235</v>
      </c>
      <c r="Z1145" t="s">
        <v>26463</v>
      </c>
      <c r="AA1145">
        <v>0.52154917784508004</v>
      </c>
      <c r="AB1145" t="str">
        <f>HYPERLINK("Melting_Curves/meltCurve_J3KN59_BNIP2.pdf", "Melting_Curves/meltCurve_J3KN59_BNIP2.pdf")</f>
        <v>Melting_Curves/meltCurve_J3KN59_BNIP2.pdf</v>
      </c>
    </row>
    <row r="1146" spans="1:28" x14ac:dyDescent="0.25">
      <c r="A1146" t="s">
        <v>1150</v>
      </c>
      <c r="B1146">
        <v>0.99542014353169495</v>
      </c>
      <c r="C1146">
        <v>0.96409486094233798</v>
      </c>
      <c r="D1146">
        <v>0.97286157991359901</v>
      </c>
      <c r="E1146">
        <v>0.83024078725623696</v>
      </c>
      <c r="F1146">
        <v>0.78072540398196</v>
      </c>
      <c r="G1146">
        <v>0.56714279908801701</v>
      </c>
      <c r="H1146">
        <v>0.29833406040851002</v>
      </c>
      <c r="I1146">
        <v>0.115829430929021</v>
      </c>
      <c r="J1146">
        <v>9.9580030859918206E-2</v>
      </c>
      <c r="K1146">
        <v>0.10539875634404</v>
      </c>
      <c r="L1146">
        <v>760.04967813768098</v>
      </c>
      <c r="M1146">
        <v>14.027533901425301</v>
      </c>
      <c r="N1146">
        <v>54.182701254264899</v>
      </c>
      <c r="O1146">
        <v>53.117186835835</v>
      </c>
      <c r="P1146">
        <v>-6.6030303854060099E-2</v>
      </c>
      <c r="Q1146">
        <v>0</v>
      </c>
      <c r="R1146">
        <v>0.98903697989226003</v>
      </c>
      <c r="S1146" t="s">
        <v>7548</v>
      </c>
      <c r="T1146" t="s">
        <v>12802</v>
      </c>
      <c r="U1146" t="s">
        <v>12802</v>
      </c>
      <c r="V1146" t="s">
        <v>12802</v>
      </c>
      <c r="W1146" t="s">
        <v>13920</v>
      </c>
      <c r="X1146">
        <v>14</v>
      </c>
      <c r="Y1146" t="s">
        <v>20236</v>
      </c>
      <c r="Z1146" t="s">
        <v>26464</v>
      </c>
      <c r="AA1146">
        <v>0.58924261584551585</v>
      </c>
      <c r="AB1146" t="str">
        <f>HYPERLINK("Melting_Curves/meltCurve_J3KN66_TOR1AIP1.pdf", "Melting_Curves/meltCurve_J3KN66_TOR1AIP1.pdf")</f>
        <v>Melting_Curves/meltCurve_J3KN66_TOR1AIP1.pdf</v>
      </c>
    </row>
    <row r="1147" spans="1:28" x14ac:dyDescent="0.25">
      <c r="A1147" t="s">
        <v>1151</v>
      </c>
      <c r="B1147">
        <v>0.99542014353169495</v>
      </c>
      <c r="C1147">
        <v>1.0866079427683</v>
      </c>
      <c r="D1147">
        <v>1.08599030341617</v>
      </c>
      <c r="E1147">
        <v>1.1315925003424701</v>
      </c>
      <c r="F1147">
        <v>0.97187724173111101</v>
      </c>
      <c r="G1147">
        <v>0.68930608605111199</v>
      </c>
      <c r="H1147">
        <v>0.57697839763155601</v>
      </c>
      <c r="I1147">
        <v>0.50305243651118403</v>
      </c>
      <c r="J1147">
        <v>0.92374215128915704</v>
      </c>
      <c r="K1147">
        <v>1.09541703737115</v>
      </c>
      <c r="L1147">
        <v>12651.917014381301</v>
      </c>
      <c r="M1147">
        <v>250</v>
      </c>
      <c r="O1147">
        <v>50.604429573831297</v>
      </c>
      <c r="P1147">
        <v>-0.29925837069702699</v>
      </c>
      <c r="Q1147">
        <v>0.75769921431674703</v>
      </c>
      <c r="R1147">
        <v>0.42732306212702198</v>
      </c>
      <c r="S1147" t="s">
        <v>7549</v>
      </c>
      <c r="T1147" t="s">
        <v>12802</v>
      </c>
      <c r="U1147" t="s">
        <v>12802</v>
      </c>
      <c r="V1147" t="s">
        <v>12802</v>
      </c>
      <c r="W1147" t="s">
        <v>13921</v>
      </c>
      <c r="X1147">
        <v>38</v>
      </c>
      <c r="Y1147" t="s">
        <v>20237</v>
      </c>
      <c r="Z1147" t="s">
        <v>26465</v>
      </c>
      <c r="AA1147">
        <v>0.86762568981183219</v>
      </c>
      <c r="AB1147" t="str">
        <f>HYPERLINK("Melting_Curves/meltCurve_J3KN67_TPM3.pdf", "Melting_Curves/meltCurve_J3KN67_TPM3.pdf")</f>
        <v>Melting_Curves/meltCurve_J3KN67_TPM3.pdf</v>
      </c>
    </row>
    <row r="1148" spans="1:28" x14ac:dyDescent="0.25">
      <c r="A1148" t="s">
        <v>1152</v>
      </c>
      <c r="B1148">
        <v>0.99542014353169495</v>
      </c>
      <c r="C1148">
        <v>0.91514648240631602</v>
      </c>
      <c r="D1148">
        <v>0.95895403935099899</v>
      </c>
      <c r="E1148">
        <v>0.83246116976541595</v>
      </c>
      <c r="F1148">
        <v>0.69808666901322103</v>
      </c>
      <c r="G1148">
        <v>0.47232179696450699</v>
      </c>
      <c r="H1148">
        <v>0.30630672581094498</v>
      </c>
      <c r="I1148">
        <v>0.16188422732482699</v>
      </c>
      <c r="J1148">
        <v>8.5763973065144994E-2</v>
      </c>
      <c r="K1148">
        <v>9.2980802683721595E-2</v>
      </c>
      <c r="L1148">
        <v>648.54270547502006</v>
      </c>
      <c r="M1148">
        <v>12.1702950697441</v>
      </c>
      <c r="N1148">
        <v>53.288987787157403</v>
      </c>
      <c r="O1148">
        <v>51.9114652122772</v>
      </c>
      <c r="P1148">
        <v>-5.8624202564198202E-2</v>
      </c>
      <c r="Q1148">
        <v>0</v>
      </c>
      <c r="R1148">
        <v>0.99442854184027996</v>
      </c>
      <c r="S1148" t="s">
        <v>7550</v>
      </c>
      <c r="T1148" t="s">
        <v>12802</v>
      </c>
      <c r="U1148" t="s">
        <v>12802</v>
      </c>
      <c r="V1148" t="s">
        <v>12802</v>
      </c>
      <c r="W1148" t="s">
        <v>13922</v>
      </c>
      <c r="X1148">
        <v>5</v>
      </c>
      <c r="Y1148" t="s">
        <v>20238</v>
      </c>
      <c r="Z1148" t="s">
        <v>26466</v>
      </c>
      <c r="AA1148">
        <v>0.56305698460294018</v>
      </c>
      <c r="AB1148" t="str">
        <f>HYPERLINK("Melting_Curves/meltCurve_J3KN69_NCEH1.pdf", "Melting_Curves/meltCurve_J3KN69_NCEH1.pdf")</f>
        <v>Melting_Curves/meltCurve_J3KN69_NCEH1.pdf</v>
      </c>
    </row>
    <row r="1149" spans="1:28" x14ac:dyDescent="0.25">
      <c r="A1149" t="s">
        <v>1153</v>
      </c>
      <c r="B1149">
        <v>0.99542014353169495</v>
      </c>
      <c r="C1149">
        <v>0.980185798990447</v>
      </c>
      <c r="D1149">
        <v>0.98228378361301305</v>
      </c>
      <c r="E1149">
        <v>0.97413871249329997</v>
      </c>
      <c r="F1149">
        <v>0.83599047822663497</v>
      </c>
      <c r="G1149">
        <v>0.65028754928478105</v>
      </c>
      <c r="H1149">
        <v>0.50525470673765505</v>
      </c>
      <c r="I1149">
        <v>0.52032352924727598</v>
      </c>
      <c r="J1149">
        <v>0.725762065310949</v>
      </c>
      <c r="K1149">
        <v>0.88823973432773196</v>
      </c>
      <c r="L1149">
        <v>4493.9689775572197</v>
      </c>
      <c r="M1149">
        <v>89.440668457396598</v>
      </c>
      <c r="O1149">
        <v>50.220148596209903</v>
      </c>
      <c r="P1149">
        <v>-0.15235935710189999</v>
      </c>
      <c r="Q1149">
        <v>0.65780626554795696</v>
      </c>
      <c r="R1149">
        <v>0.69835639135051897</v>
      </c>
      <c r="S1149" t="s">
        <v>7551</v>
      </c>
      <c r="T1149" t="s">
        <v>12802</v>
      </c>
      <c r="U1149" t="s">
        <v>12802</v>
      </c>
      <c r="V1149" t="s">
        <v>12802</v>
      </c>
      <c r="W1149" t="s">
        <v>13923</v>
      </c>
      <c r="X1149">
        <v>14</v>
      </c>
      <c r="Y1149" t="s">
        <v>20239</v>
      </c>
      <c r="Z1149" t="s">
        <v>26467</v>
      </c>
      <c r="AA1149">
        <v>0.80912378616477754</v>
      </c>
      <c r="AB1149" t="str">
        <f>HYPERLINK("Melting_Curves/meltCurve_J3KN82_APIP.pdf", "Melting_Curves/meltCurve_J3KN82_APIP.pdf")</f>
        <v>Melting_Curves/meltCurve_J3KN82_APIP.pdf</v>
      </c>
    </row>
    <row r="1150" spans="1:28" x14ac:dyDescent="0.25">
      <c r="A1150" t="s">
        <v>1154</v>
      </c>
      <c r="B1150">
        <v>0.99542014353169495</v>
      </c>
      <c r="C1150">
        <v>0.93809483012016603</v>
      </c>
      <c r="D1150">
        <v>0.966825353388717</v>
      </c>
      <c r="E1150">
        <v>0.80435788380416995</v>
      </c>
      <c r="F1150">
        <v>0.62818312194769099</v>
      </c>
      <c r="G1150">
        <v>0.35279011163720397</v>
      </c>
      <c r="H1150">
        <v>0.15836533680189899</v>
      </c>
      <c r="I1150">
        <v>6.7881175234770996E-2</v>
      </c>
      <c r="J1150">
        <v>6.8005399593044302E-2</v>
      </c>
      <c r="K1150">
        <v>6.9458055603621296E-2</v>
      </c>
      <c r="L1150">
        <v>798.21026894235899</v>
      </c>
      <c r="M1150">
        <v>15.525262695657901</v>
      </c>
      <c r="N1150">
        <v>51.529929679331303</v>
      </c>
      <c r="O1150">
        <v>50.583292953820497</v>
      </c>
      <c r="P1150">
        <v>-7.5416919445245506E-2</v>
      </c>
      <c r="Q1150">
        <v>1.7214851106574901E-2</v>
      </c>
      <c r="R1150">
        <v>0.99551578054266598</v>
      </c>
      <c r="S1150" t="s">
        <v>7552</v>
      </c>
      <c r="T1150" t="s">
        <v>12802</v>
      </c>
      <c r="U1150" t="s">
        <v>12802</v>
      </c>
      <c r="V1150" t="s">
        <v>12802</v>
      </c>
      <c r="W1150" t="s">
        <v>13924</v>
      </c>
      <c r="X1150">
        <v>9</v>
      </c>
      <c r="Y1150" t="s">
        <v>20240</v>
      </c>
      <c r="Z1150" t="s">
        <v>26468</v>
      </c>
      <c r="AA1150">
        <v>0.5079775365050021</v>
      </c>
      <c r="AB1150" t="str">
        <f>HYPERLINK("Melting_Curves/meltCurve_J3KNA0_OXA1L.pdf", "Melting_Curves/meltCurve_J3KNA0_OXA1L.pdf")</f>
        <v>Melting_Curves/meltCurve_J3KNA0_OXA1L.pdf</v>
      </c>
    </row>
    <row r="1151" spans="1:28" x14ac:dyDescent="0.25">
      <c r="A1151" t="s">
        <v>1155</v>
      </c>
      <c r="B1151">
        <v>0.99542014353169495</v>
      </c>
      <c r="C1151">
        <v>0.94651275680648095</v>
      </c>
      <c r="D1151">
        <v>1.0064484699443601</v>
      </c>
      <c r="E1151">
        <v>0.69400419879370701</v>
      </c>
      <c r="F1151">
        <v>0.33757628828307101</v>
      </c>
      <c r="G1151">
        <v>0.13868484792104499</v>
      </c>
      <c r="H1151">
        <v>9.7938691335532999E-2</v>
      </c>
      <c r="I1151">
        <v>6.1792733536516903E-2</v>
      </c>
      <c r="J1151">
        <v>7.3333508751759202E-2</v>
      </c>
      <c r="K1151">
        <v>6.4510965883100804E-2</v>
      </c>
      <c r="L1151">
        <v>1156.2773978411201</v>
      </c>
      <c r="M1151">
        <v>23.988121290303202</v>
      </c>
      <c r="N1151">
        <v>48.4972124206733</v>
      </c>
      <c r="O1151">
        <v>47.870845050743704</v>
      </c>
      <c r="P1151">
        <v>-0.11676931756059999</v>
      </c>
      <c r="Q1151">
        <v>6.7912443691664506E-2</v>
      </c>
      <c r="R1151">
        <v>0.99612874520961303</v>
      </c>
      <c r="S1151" t="s">
        <v>7553</v>
      </c>
      <c r="T1151" t="s">
        <v>12802</v>
      </c>
      <c r="U1151" t="s">
        <v>12802</v>
      </c>
      <c r="V1151" t="s">
        <v>12802</v>
      </c>
      <c r="W1151" t="s">
        <v>13925</v>
      </c>
      <c r="X1151">
        <v>14</v>
      </c>
      <c r="Y1151" t="s">
        <v>20241</v>
      </c>
      <c r="Z1151" t="s">
        <v>26469</v>
      </c>
      <c r="AA1151">
        <v>0.42459655035845889</v>
      </c>
      <c r="AB1151" t="str">
        <f>HYPERLINK("Melting_Curves/meltCurve_J3KNB8_MAP3K4.pdf", "Melting_Curves/meltCurve_J3KNB8_MAP3K4.pdf")</f>
        <v>Melting_Curves/meltCurve_J3KNB8_MAP3K4.pdf</v>
      </c>
    </row>
    <row r="1152" spans="1:28" x14ac:dyDescent="0.25">
      <c r="A1152" t="s">
        <v>1156</v>
      </c>
      <c r="B1152">
        <v>0.99542014353169495</v>
      </c>
      <c r="C1152">
        <v>0.97080831223918096</v>
      </c>
      <c r="D1152">
        <v>0.555756700110415</v>
      </c>
      <c r="E1152">
        <v>0.29496730901683799</v>
      </c>
      <c r="F1152">
        <v>9.7557827932590102E-2</v>
      </c>
      <c r="G1152">
        <v>2.3500892108197301E-2</v>
      </c>
      <c r="H1152">
        <v>2.9096406490049301E-2</v>
      </c>
      <c r="I1152">
        <v>3.8891324349050301E-2</v>
      </c>
      <c r="J1152">
        <v>0</v>
      </c>
      <c r="K1152">
        <v>0</v>
      </c>
      <c r="L1152">
        <v>902.80794656321598</v>
      </c>
      <c r="M1152">
        <v>20.519995539025601</v>
      </c>
      <c r="N1152">
        <v>44.065307187465599</v>
      </c>
      <c r="O1152">
        <v>43.585047581369103</v>
      </c>
      <c r="P1152">
        <v>-0.11584847478575699</v>
      </c>
      <c r="Q1152">
        <v>1.5767268089235301E-2</v>
      </c>
      <c r="R1152">
        <v>0.99039873940974199</v>
      </c>
      <c r="S1152" t="s">
        <v>7554</v>
      </c>
      <c r="T1152" t="s">
        <v>12802</v>
      </c>
      <c r="U1152" t="s">
        <v>12802</v>
      </c>
      <c r="V1152" t="s">
        <v>12802</v>
      </c>
      <c r="W1152" t="s">
        <v>13926</v>
      </c>
      <c r="X1152">
        <v>8</v>
      </c>
      <c r="Y1152" t="s">
        <v>20242</v>
      </c>
      <c r="Z1152" t="s">
        <v>26470</v>
      </c>
      <c r="AA1152">
        <v>0.257758250381525</v>
      </c>
      <c r="AB1152" t="str">
        <f>HYPERLINK("Melting_Curves/meltCurve_J3KND1_SAAL1.pdf", "Melting_Curves/meltCurve_J3KND1_SAAL1.pdf")</f>
        <v>Melting_Curves/meltCurve_J3KND1_SAAL1.pdf</v>
      </c>
    </row>
    <row r="1153" spans="1:28" x14ac:dyDescent="0.25">
      <c r="A1153" t="s">
        <v>1157</v>
      </c>
      <c r="B1153">
        <v>0.99542014353169495</v>
      </c>
      <c r="C1153">
        <v>0.70654928355017199</v>
      </c>
      <c r="D1153">
        <v>0.61087564461766197</v>
      </c>
      <c r="E1153">
        <v>0.21989327041019799</v>
      </c>
      <c r="F1153">
        <v>0.135535966177765</v>
      </c>
      <c r="G1153">
        <v>5.82339282203366E-2</v>
      </c>
      <c r="H1153">
        <v>3.1753232009185298E-2</v>
      </c>
      <c r="I1153">
        <v>2.6244036647194699E-2</v>
      </c>
      <c r="J1153">
        <v>3.49007475995309E-2</v>
      </c>
      <c r="K1153">
        <v>3.7187045637491603E-2</v>
      </c>
      <c r="L1153">
        <v>676.23428804779701</v>
      </c>
      <c r="M1153">
        <v>15.6177013224876</v>
      </c>
      <c r="N1153">
        <v>43.414939234716599</v>
      </c>
      <c r="O1153">
        <v>42.607959473689299</v>
      </c>
      <c r="P1153">
        <v>-8.9775649346150302E-2</v>
      </c>
      <c r="Q1153">
        <v>2.0386607326675198E-2</v>
      </c>
      <c r="R1153">
        <v>0.98272713129395195</v>
      </c>
      <c r="S1153" t="s">
        <v>7555</v>
      </c>
      <c r="T1153" t="s">
        <v>12802</v>
      </c>
      <c r="U1153" t="s">
        <v>12802</v>
      </c>
      <c r="V1153" t="s">
        <v>12802</v>
      </c>
      <c r="W1153" t="s">
        <v>13927</v>
      </c>
      <c r="X1153">
        <v>8</v>
      </c>
      <c r="Y1153" t="s">
        <v>20243</v>
      </c>
      <c r="Z1153" t="s">
        <v>26471</v>
      </c>
      <c r="AA1153">
        <v>0.249337620326329</v>
      </c>
      <c r="AB1153" t="str">
        <f>HYPERLINK("Melting_Curves/meltCurve_J3KNE0_RGPD3.pdf", "Melting_Curves/meltCurve_J3KNE0_RGPD3.pdf")</f>
        <v>Melting_Curves/meltCurve_J3KNE0_RGPD3.pdf</v>
      </c>
    </row>
    <row r="1154" spans="1:28" x14ac:dyDescent="0.25">
      <c r="A1154" t="s">
        <v>1158</v>
      </c>
      <c r="B1154">
        <v>0.99542014353169495</v>
      </c>
      <c r="C1154">
        <v>1.05076815726282</v>
      </c>
      <c r="D1154">
        <v>0.98663893236049105</v>
      </c>
      <c r="E1154">
        <v>0.90280805405415199</v>
      </c>
      <c r="F1154">
        <v>0.54602271005312597</v>
      </c>
      <c r="G1154">
        <v>0.24049612338559501</v>
      </c>
      <c r="H1154">
        <v>0.118359146530243</v>
      </c>
      <c r="I1154">
        <v>7.92601226865806E-2</v>
      </c>
      <c r="J1154">
        <v>9.3098114373930299E-2</v>
      </c>
      <c r="K1154">
        <v>7.8577753820336396E-2</v>
      </c>
      <c r="L1154">
        <v>1281.3016117908701</v>
      </c>
      <c r="M1154">
        <v>25.457393006013501</v>
      </c>
      <c r="N1154">
        <v>50.679209736073901</v>
      </c>
      <c r="O1154">
        <v>50.023727967137397</v>
      </c>
      <c r="P1154">
        <v>-0.117025830402298</v>
      </c>
      <c r="Q1154">
        <v>8.0189387397465103E-2</v>
      </c>
      <c r="R1154">
        <v>0.99807791521331901</v>
      </c>
      <c r="S1154" t="s">
        <v>7556</v>
      </c>
      <c r="T1154" t="s">
        <v>12802</v>
      </c>
      <c r="U1154" t="s">
        <v>12802</v>
      </c>
      <c r="V1154" t="s">
        <v>12802</v>
      </c>
      <c r="W1154" t="s">
        <v>13928</v>
      </c>
      <c r="X1154">
        <v>8</v>
      </c>
      <c r="Y1154" t="s">
        <v>20244</v>
      </c>
      <c r="Z1154" t="s">
        <v>26472</v>
      </c>
      <c r="AA1154">
        <v>0.49672747866112049</v>
      </c>
      <c r="AB1154" t="str">
        <f>HYPERLINK("Melting_Curves/meltCurve_J3KNF4_CCS.pdf", "Melting_Curves/meltCurve_J3KNF4_CCS.pdf")</f>
        <v>Melting_Curves/meltCurve_J3KNF4_CCS.pdf</v>
      </c>
    </row>
    <row r="1155" spans="1:28" x14ac:dyDescent="0.25">
      <c r="A1155" t="s">
        <v>1159</v>
      </c>
      <c r="B1155">
        <v>0.99542014353169495</v>
      </c>
      <c r="C1155">
        <v>0.97900942614210196</v>
      </c>
      <c r="D1155">
        <v>0.89384896852738505</v>
      </c>
      <c r="E1155">
        <v>0.69796176419042399</v>
      </c>
      <c r="F1155">
        <v>0.47927729015200898</v>
      </c>
      <c r="G1155">
        <v>0.13597415637282301</v>
      </c>
      <c r="H1155">
        <v>0.110071177381974</v>
      </c>
      <c r="I1155">
        <v>7.1125191334094603E-2</v>
      </c>
      <c r="J1155">
        <v>7.7217936807624704E-2</v>
      </c>
      <c r="K1155">
        <v>0.101310978273545</v>
      </c>
      <c r="L1155">
        <v>871.125066856324</v>
      </c>
      <c r="M1155">
        <v>17.855990174183699</v>
      </c>
      <c r="N1155">
        <v>49.118888203296599</v>
      </c>
      <c r="O1155">
        <v>48.186597461366098</v>
      </c>
      <c r="P1155">
        <v>-8.7367117115213999E-2</v>
      </c>
      <c r="Q1155">
        <v>5.6964151054229299E-2</v>
      </c>
      <c r="R1155">
        <v>0.99158465635979898</v>
      </c>
      <c r="S1155" t="s">
        <v>7557</v>
      </c>
      <c r="T1155" t="s">
        <v>12802</v>
      </c>
      <c r="U1155" t="s">
        <v>12802</v>
      </c>
      <c r="V1155" t="s">
        <v>12802</v>
      </c>
      <c r="W1155" t="s">
        <v>13343</v>
      </c>
      <c r="X1155">
        <v>2</v>
      </c>
      <c r="Y1155" t="s">
        <v>19666</v>
      </c>
      <c r="Z1155" t="s">
        <v>26473</v>
      </c>
      <c r="AA1155">
        <v>0.44268374123193782</v>
      </c>
      <c r="AB1155" t="str">
        <f>HYPERLINK("Melting_Curves/meltCurve_J3KNG8_FNIP1.pdf", "Melting_Curves/meltCurve_J3KNG8_FNIP1.pdf")</f>
        <v>Melting_Curves/meltCurve_J3KNG8_FNIP1.pdf</v>
      </c>
    </row>
    <row r="1156" spans="1:28" x14ac:dyDescent="0.25">
      <c r="A1156" t="s">
        <v>1160</v>
      </c>
      <c r="B1156">
        <v>0.99542014353169495</v>
      </c>
      <c r="C1156">
        <v>0.93978893803530195</v>
      </c>
      <c r="D1156">
        <v>0.60143405844708997</v>
      </c>
      <c r="E1156">
        <v>0.30600304491253399</v>
      </c>
      <c r="F1156">
        <v>0.18498602404519701</v>
      </c>
      <c r="G1156">
        <v>0.114361904870797</v>
      </c>
      <c r="H1156">
        <v>7.9222443852097105E-2</v>
      </c>
      <c r="I1156">
        <v>4.64848730466417E-2</v>
      </c>
      <c r="J1156">
        <v>7.4794016489237405E-2</v>
      </c>
      <c r="K1156">
        <v>6.5476060155439497E-2</v>
      </c>
      <c r="L1156">
        <v>865.40476356689703</v>
      </c>
      <c r="M1156">
        <v>19.6766990666396</v>
      </c>
      <c r="N1156">
        <v>44.338576853737301</v>
      </c>
      <c r="O1156">
        <v>43.534484604568</v>
      </c>
      <c r="P1156">
        <v>-0.104712515164811</v>
      </c>
      <c r="Q1156">
        <v>7.3330922666126799E-2</v>
      </c>
      <c r="R1156">
        <v>0.99448800448764796</v>
      </c>
      <c r="S1156" t="s">
        <v>7558</v>
      </c>
      <c r="T1156" t="s">
        <v>12802</v>
      </c>
      <c r="U1156" t="s">
        <v>12802</v>
      </c>
      <c r="V1156" t="s">
        <v>12802</v>
      </c>
      <c r="W1156" t="s">
        <v>13929</v>
      </c>
      <c r="X1156">
        <v>14</v>
      </c>
      <c r="Y1156" t="s">
        <v>20245</v>
      </c>
      <c r="Z1156" t="s">
        <v>26474</v>
      </c>
      <c r="AA1156">
        <v>0.30183209290860868</v>
      </c>
      <c r="AB1156" t="str">
        <f>HYPERLINK("Melting_Curves/meltCurve_J3KNI1_COG4.pdf", "Melting_Curves/meltCurve_J3KNI1_COG4.pdf")</f>
        <v>Melting_Curves/meltCurve_J3KNI1_COG4.pdf</v>
      </c>
    </row>
    <row r="1157" spans="1:28" x14ac:dyDescent="0.25">
      <c r="A1157" t="s">
        <v>1161</v>
      </c>
      <c r="B1157">
        <v>0.99542014353169495</v>
      </c>
      <c r="C1157">
        <v>0.99639550154087797</v>
      </c>
      <c r="D1157">
        <v>0.98903705987492896</v>
      </c>
      <c r="E1157">
        <v>0.91865623230198501</v>
      </c>
      <c r="F1157">
        <v>0.47411371213285403</v>
      </c>
      <c r="G1157">
        <v>0.119878331345879</v>
      </c>
      <c r="H1157">
        <v>8.0304993937077601E-2</v>
      </c>
      <c r="I1157">
        <v>5.0499275063346699E-2</v>
      </c>
      <c r="J1157">
        <v>4.6238430715951899E-2</v>
      </c>
      <c r="K1157">
        <v>5.3922244933325703E-2</v>
      </c>
      <c r="L1157">
        <v>1690.34888156633</v>
      </c>
      <c r="M1157">
        <v>33.900658486309503</v>
      </c>
      <c r="N1157">
        <v>50.027358285859897</v>
      </c>
      <c r="O1157">
        <v>49.689285369069701</v>
      </c>
      <c r="P1157">
        <v>-0.161514778293293</v>
      </c>
      <c r="Q1157">
        <v>5.30541718840657E-2</v>
      </c>
      <c r="R1157">
        <v>0.99974779677561798</v>
      </c>
      <c r="S1157" t="s">
        <v>7559</v>
      </c>
      <c r="T1157" t="s">
        <v>12802</v>
      </c>
      <c r="U1157" t="s">
        <v>12802</v>
      </c>
      <c r="V1157" t="s">
        <v>12802</v>
      </c>
      <c r="W1157" t="s">
        <v>13930</v>
      </c>
      <c r="X1157">
        <v>8</v>
      </c>
      <c r="Y1157" t="s">
        <v>20246</v>
      </c>
      <c r="Z1157" t="s">
        <v>26475</v>
      </c>
      <c r="AA1157">
        <v>0.4635817063135026</v>
      </c>
      <c r="AB1157" t="str">
        <f>HYPERLINK("Melting_Curves/meltCurve_J3KNL3_CHID1.pdf", "Melting_Curves/meltCurve_J3KNL3_CHID1.pdf")</f>
        <v>Melting_Curves/meltCurve_J3KNL3_CHID1.pdf</v>
      </c>
    </row>
    <row r="1158" spans="1:28" x14ac:dyDescent="0.25">
      <c r="A1158" t="s">
        <v>1162</v>
      </c>
      <c r="B1158">
        <v>0.99542014353169495</v>
      </c>
      <c r="C1158">
        <v>0.82488379458325001</v>
      </c>
      <c r="D1158">
        <v>0.75505974691480104</v>
      </c>
      <c r="E1158">
        <v>0.50709830278019496</v>
      </c>
      <c r="F1158">
        <v>0.38701725620154298</v>
      </c>
      <c r="G1158">
        <v>0.20182907369088801</v>
      </c>
      <c r="H1158">
        <v>0.14851981286784799</v>
      </c>
      <c r="I1158">
        <v>0.102407969265061</v>
      </c>
      <c r="J1158">
        <v>0.18095463091331401</v>
      </c>
      <c r="K1158">
        <v>0.18517777957134501</v>
      </c>
      <c r="L1158">
        <v>581.906749442364</v>
      </c>
      <c r="M1158">
        <v>12.7023454907784</v>
      </c>
      <c r="N1158">
        <v>46.836353141158298</v>
      </c>
      <c r="O1158">
        <v>44.720072549175299</v>
      </c>
      <c r="P1158">
        <v>-6.2402702911693503E-2</v>
      </c>
      <c r="Q1158">
        <v>0.12138619061783799</v>
      </c>
      <c r="R1158">
        <v>0.98233571508187301</v>
      </c>
      <c r="S1158" t="s">
        <v>7560</v>
      </c>
      <c r="T1158" t="s">
        <v>12802</v>
      </c>
      <c r="U1158" t="s">
        <v>12802</v>
      </c>
      <c r="V1158" t="s">
        <v>12802</v>
      </c>
      <c r="W1158" t="s">
        <v>13931</v>
      </c>
      <c r="X1158">
        <v>9</v>
      </c>
      <c r="Y1158" t="s">
        <v>20247</v>
      </c>
      <c r="Z1158" t="s">
        <v>26476</v>
      </c>
      <c r="AA1158">
        <v>0.40713424682676208</v>
      </c>
      <c r="AB1158" t="str">
        <f>HYPERLINK("Melting_Curves/meltCurve_J3KNL6_SEC16A.pdf", "Melting_Curves/meltCurve_J3KNL6_SEC16A.pdf")</f>
        <v>Melting_Curves/meltCurve_J3KNL6_SEC16A.pdf</v>
      </c>
    </row>
    <row r="1159" spans="1:28" x14ac:dyDescent="0.25">
      <c r="A1159" t="s">
        <v>1163</v>
      </c>
      <c r="B1159">
        <v>0.99542014353169495</v>
      </c>
      <c r="C1159">
        <v>0.94544272030459098</v>
      </c>
      <c r="D1159">
        <v>0.87085573483610201</v>
      </c>
      <c r="E1159">
        <v>0.69020998195600503</v>
      </c>
      <c r="F1159">
        <v>0.40719324587683398</v>
      </c>
      <c r="G1159">
        <v>0.27691292355667402</v>
      </c>
      <c r="H1159">
        <v>0.15236134926948</v>
      </c>
      <c r="I1159">
        <v>7.5403179460943506E-2</v>
      </c>
      <c r="J1159">
        <v>9.0810580533630003E-2</v>
      </c>
      <c r="K1159">
        <v>4.9514752311839397E-2</v>
      </c>
      <c r="L1159">
        <v>660.43877161636397</v>
      </c>
      <c r="M1159">
        <v>13.4949132382879</v>
      </c>
      <c r="N1159">
        <v>49.1903882000938</v>
      </c>
      <c r="O1159">
        <v>47.902657949865798</v>
      </c>
      <c r="P1159">
        <v>-6.8099983390742094E-2</v>
      </c>
      <c r="Q1159">
        <v>3.3214367397449901E-2</v>
      </c>
      <c r="R1159">
        <v>0.99800239293817405</v>
      </c>
      <c r="S1159" t="s">
        <v>7561</v>
      </c>
      <c r="T1159" t="s">
        <v>12802</v>
      </c>
      <c r="U1159" t="s">
        <v>12802</v>
      </c>
      <c r="V1159" t="s">
        <v>12802</v>
      </c>
      <c r="W1159" t="s">
        <v>13932</v>
      </c>
      <c r="X1159">
        <v>1</v>
      </c>
      <c r="Y1159" t="s">
        <v>20248</v>
      </c>
      <c r="Z1159" t="s">
        <v>26477</v>
      </c>
      <c r="AA1159">
        <v>0.44245212618213609</v>
      </c>
      <c r="AB1159" t="str">
        <f>HYPERLINK("Melting_Curves/meltCurve_J3KNN3_PHKG2.pdf", "Melting_Curves/meltCurve_J3KNN3_PHKG2.pdf")</f>
        <v>Melting_Curves/meltCurve_J3KNN3_PHKG2.pdf</v>
      </c>
    </row>
    <row r="1160" spans="1:28" x14ac:dyDescent="0.25">
      <c r="A1160" t="s">
        <v>1164</v>
      </c>
      <c r="B1160">
        <v>0.99542014353169495</v>
      </c>
      <c r="C1160">
        <v>0.88525914874232603</v>
      </c>
      <c r="D1160">
        <v>0.80220039272683996</v>
      </c>
      <c r="E1160">
        <v>0.48013980636939202</v>
      </c>
      <c r="F1160">
        <v>0.201164164013105</v>
      </c>
      <c r="G1160">
        <v>9.8657443960466301E-2</v>
      </c>
      <c r="H1160">
        <v>6.4718509489484405E-2</v>
      </c>
      <c r="I1160">
        <v>5.5975126067772697E-2</v>
      </c>
      <c r="J1160">
        <v>6.4025329197793801E-2</v>
      </c>
      <c r="K1160">
        <v>5.8406659151001197E-2</v>
      </c>
      <c r="L1160">
        <v>824.47076962135304</v>
      </c>
      <c r="M1160">
        <v>17.9324070206934</v>
      </c>
      <c r="N1160">
        <v>46.219539005183101</v>
      </c>
      <c r="O1160">
        <v>45.416264675669503</v>
      </c>
      <c r="P1160">
        <v>-9.42762061369017E-2</v>
      </c>
      <c r="Q1160">
        <v>4.49785131337056E-2</v>
      </c>
      <c r="R1160">
        <v>0.99668156985314305</v>
      </c>
      <c r="S1160" t="s">
        <v>7562</v>
      </c>
      <c r="T1160" t="s">
        <v>12802</v>
      </c>
      <c r="U1160" t="s">
        <v>12802</v>
      </c>
      <c r="V1160" t="s">
        <v>12802</v>
      </c>
      <c r="W1160" t="s">
        <v>13933</v>
      </c>
      <c r="X1160">
        <v>12</v>
      </c>
      <c r="Y1160" t="s">
        <v>20249</v>
      </c>
      <c r="Z1160" t="s">
        <v>26478</v>
      </c>
      <c r="AA1160">
        <v>0.34629483262188338</v>
      </c>
      <c r="AB1160" t="str">
        <f>HYPERLINK("Melting_Curves/meltCurve_J3KNN5_DDX41.pdf", "Melting_Curves/meltCurve_J3KNN5_DDX41.pdf")</f>
        <v>Melting_Curves/meltCurve_J3KNN5_DDX41.pdf</v>
      </c>
    </row>
    <row r="1161" spans="1:28" x14ac:dyDescent="0.25">
      <c r="A1161" t="s">
        <v>1165</v>
      </c>
      <c r="B1161">
        <v>0.99542014353169495</v>
      </c>
      <c r="C1161">
        <v>0.98100538625170797</v>
      </c>
      <c r="D1161">
        <v>0.91181358185226002</v>
      </c>
      <c r="E1161">
        <v>0.50582556691208203</v>
      </c>
      <c r="F1161">
        <v>0.223503016193704</v>
      </c>
      <c r="G1161">
        <v>0.11966739839721401</v>
      </c>
      <c r="H1161">
        <v>7.0080008879884401E-2</v>
      </c>
      <c r="I1161">
        <v>4.3041049050704598E-2</v>
      </c>
      <c r="J1161">
        <v>5.3267436856515797E-2</v>
      </c>
      <c r="K1161">
        <v>5.9877474025382099E-2</v>
      </c>
      <c r="L1161">
        <v>1089.8555226163101</v>
      </c>
      <c r="M1161">
        <v>23.385898297246399</v>
      </c>
      <c r="N1161">
        <v>46.853237057753901</v>
      </c>
      <c r="O1161">
        <v>46.266353095451699</v>
      </c>
      <c r="P1161">
        <v>-0.118952032036252</v>
      </c>
      <c r="Q1161">
        <v>5.8683988037951398E-2</v>
      </c>
      <c r="R1161">
        <v>0.99836994465038098</v>
      </c>
      <c r="S1161" t="s">
        <v>7563</v>
      </c>
      <c r="T1161" t="s">
        <v>12802</v>
      </c>
      <c r="U1161" t="s">
        <v>12802</v>
      </c>
      <c r="V1161" t="s">
        <v>12802</v>
      </c>
      <c r="W1161" t="s">
        <v>13934</v>
      </c>
      <c r="X1161">
        <v>13</v>
      </c>
      <c r="Y1161" t="s">
        <v>20250</v>
      </c>
      <c r="Z1161" t="s">
        <v>26479</v>
      </c>
      <c r="AA1161">
        <v>0.36900015705759381</v>
      </c>
      <c r="AB1161" t="str">
        <f>HYPERLINK("Melting_Curves/meltCurve_J3KNN7_BRAP.pdf", "Melting_Curves/meltCurve_J3KNN7_BRAP.pdf")</f>
        <v>Melting_Curves/meltCurve_J3KNN7_BRAP.pdf</v>
      </c>
    </row>
    <row r="1162" spans="1:28" x14ac:dyDescent="0.25">
      <c r="A1162" t="s">
        <v>1166</v>
      </c>
      <c r="B1162">
        <v>0.99542014353169495</v>
      </c>
      <c r="C1162">
        <v>0.98006773448739304</v>
      </c>
      <c r="D1162">
        <v>0.96371397079785903</v>
      </c>
      <c r="E1162">
        <v>0.81612369951786301</v>
      </c>
      <c r="F1162">
        <v>0.67480690599809401</v>
      </c>
      <c r="G1162">
        <v>0.33271774027842599</v>
      </c>
      <c r="H1162">
        <v>0.188383574525569</v>
      </c>
      <c r="I1162">
        <v>0.14976155150855899</v>
      </c>
      <c r="J1162">
        <v>0.19087188921204901</v>
      </c>
      <c r="K1162">
        <v>0.23071404902855899</v>
      </c>
      <c r="L1162">
        <v>1045.7422294150599</v>
      </c>
      <c r="M1162">
        <v>20.6819805035196</v>
      </c>
      <c r="N1162">
        <v>51.566136014541399</v>
      </c>
      <c r="O1162">
        <v>50.097366797248299</v>
      </c>
      <c r="P1162">
        <v>-8.6116918993914202E-2</v>
      </c>
      <c r="Q1162">
        <v>0.165629589026486</v>
      </c>
      <c r="R1162">
        <v>0.98715608261198196</v>
      </c>
      <c r="S1162" t="s">
        <v>7564</v>
      </c>
      <c r="T1162" t="s">
        <v>12802</v>
      </c>
      <c r="U1162" t="s">
        <v>12802</v>
      </c>
      <c r="V1162" t="s">
        <v>12802</v>
      </c>
      <c r="W1162" t="s">
        <v>13935</v>
      </c>
      <c r="X1162">
        <v>4</v>
      </c>
      <c r="Y1162" t="s">
        <v>20251</v>
      </c>
      <c r="Z1162" t="s">
        <v>26480</v>
      </c>
      <c r="AA1162">
        <v>0.55319392824860636</v>
      </c>
      <c r="AB1162" t="str">
        <f>HYPERLINK("Melting_Curves/meltCurve_J3KNP4_SEMA4B.pdf", "Melting_Curves/meltCurve_J3KNP4_SEMA4B.pdf")</f>
        <v>Melting_Curves/meltCurve_J3KNP4_SEMA4B.pdf</v>
      </c>
    </row>
    <row r="1163" spans="1:28" x14ac:dyDescent="0.25">
      <c r="A1163" t="s">
        <v>1167</v>
      </c>
      <c r="B1163">
        <v>0.99542014353169495</v>
      </c>
      <c r="C1163">
        <v>0.94375747577092195</v>
      </c>
      <c r="D1163">
        <v>0.880047666767097</v>
      </c>
      <c r="E1163">
        <v>0.61257156938619695</v>
      </c>
      <c r="F1163">
        <v>0.26914599128543398</v>
      </c>
      <c r="G1163">
        <v>0.135807839424535</v>
      </c>
      <c r="H1163">
        <v>8.0273780199493397E-2</v>
      </c>
      <c r="I1163">
        <v>5.6736824464822998E-2</v>
      </c>
      <c r="J1163">
        <v>4.7017393020531602E-2</v>
      </c>
      <c r="K1163">
        <v>4.80722405259007E-2</v>
      </c>
      <c r="L1163">
        <v>910.96424264283098</v>
      </c>
      <c r="M1163">
        <v>19.227819176592199</v>
      </c>
      <c r="N1163">
        <v>47.603015670620799</v>
      </c>
      <c r="O1163">
        <v>46.873872140864101</v>
      </c>
      <c r="P1163">
        <v>-9.8088148701491296E-2</v>
      </c>
      <c r="Q1163">
        <v>4.3553201518827002E-2</v>
      </c>
      <c r="R1163">
        <v>0.99898416332962103</v>
      </c>
      <c r="S1163" t="s">
        <v>7565</v>
      </c>
      <c r="T1163" t="s">
        <v>12802</v>
      </c>
      <c r="U1163" t="s">
        <v>12802</v>
      </c>
      <c r="V1163" t="s">
        <v>12802</v>
      </c>
      <c r="W1163" t="s">
        <v>13936</v>
      </c>
      <c r="X1163">
        <v>11</v>
      </c>
      <c r="Y1163" t="s">
        <v>20252</v>
      </c>
      <c r="Z1163" t="s">
        <v>26481</v>
      </c>
      <c r="AA1163">
        <v>0.38792521819239473</v>
      </c>
      <c r="AB1163" t="str">
        <f>HYPERLINK("Melting_Curves/meltCurve_J3KNR0_MARK3.pdf", "Melting_Curves/meltCurve_J3KNR0_MARK3.pdf")</f>
        <v>Melting_Curves/meltCurve_J3KNR0_MARK3.pdf</v>
      </c>
    </row>
    <row r="1164" spans="1:28" x14ac:dyDescent="0.25">
      <c r="A1164" t="s">
        <v>1168</v>
      </c>
      <c r="B1164">
        <v>0.99542014353169495</v>
      </c>
      <c r="C1164">
        <v>0.63970326853589499</v>
      </c>
      <c r="D1164">
        <v>1.09248027158966</v>
      </c>
      <c r="E1164">
        <v>0.53746652466704103</v>
      </c>
      <c r="F1164">
        <v>0.31159032050712598</v>
      </c>
      <c r="G1164">
        <v>8.5208002343102093E-2</v>
      </c>
      <c r="H1164">
        <v>3.7486669682848098E-2</v>
      </c>
      <c r="I1164">
        <v>1.9034675076819701E-2</v>
      </c>
      <c r="J1164">
        <v>1.7843885859438201E-2</v>
      </c>
      <c r="K1164">
        <v>1.58450595566293E-2</v>
      </c>
      <c r="L1164">
        <v>955.908904065878</v>
      </c>
      <c r="M1164">
        <v>20.069633367687899</v>
      </c>
      <c r="N1164">
        <v>47.676201756386597</v>
      </c>
      <c r="O1164">
        <v>47.164300261903399</v>
      </c>
      <c r="P1164">
        <v>-0.105351901618927</v>
      </c>
      <c r="Q1164">
        <v>9.7100224107855796E-3</v>
      </c>
      <c r="R1164">
        <v>0.89790821841003199</v>
      </c>
      <c r="S1164" t="s">
        <v>7566</v>
      </c>
      <c r="T1164" t="s">
        <v>12802</v>
      </c>
      <c r="U1164" t="s">
        <v>12802</v>
      </c>
      <c r="V1164" t="s">
        <v>12802</v>
      </c>
      <c r="W1164" t="s">
        <v>13937</v>
      </c>
      <c r="X1164">
        <v>1</v>
      </c>
      <c r="Y1164" t="s">
        <v>20253</v>
      </c>
      <c r="Z1164" t="s">
        <v>26482</v>
      </c>
      <c r="AA1164">
        <v>0.37349698775386619</v>
      </c>
      <c r="AB1164" t="str">
        <f>HYPERLINK("Melting_Curves/meltCurve_J3KNR6_PTDSS1.pdf", "Melting_Curves/meltCurve_J3KNR6_PTDSS1.pdf")</f>
        <v>Melting_Curves/meltCurve_J3KNR6_PTDSS1.pdf</v>
      </c>
    </row>
    <row r="1165" spans="1:28" x14ac:dyDescent="0.25">
      <c r="A1165" t="s">
        <v>1169</v>
      </c>
      <c r="B1165">
        <v>0.99542014353169495</v>
      </c>
      <c r="C1165">
        <v>1.0255045696076199</v>
      </c>
      <c r="D1165">
        <v>0.828936872023321</v>
      </c>
      <c r="E1165">
        <v>0.60793711857914901</v>
      </c>
      <c r="F1165">
        <v>0.36407281696129101</v>
      </c>
      <c r="G1165">
        <v>0.22484514129170999</v>
      </c>
      <c r="H1165">
        <v>0.12216058102583099</v>
      </c>
      <c r="I1165">
        <v>6.7603577449765695E-2</v>
      </c>
      <c r="J1165">
        <v>8.6321756899930394E-2</v>
      </c>
      <c r="K1165">
        <v>8.9697619726774799E-2</v>
      </c>
      <c r="L1165">
        <v>743.45950661745701</v>
      </c>
      <c r="M1165">
        <v>15.5904990503352</v>
      </c>
      <c r="N1165">
        <v>48.125724798783203</v>
      </c>
      <c r="O1165">
        <v>46.922809398445899</v>
      </c>
      <c r="P1165">
        <v>-7.7565334897090304E-2</v>
      </c>
      <c r="Q1165">
        <v>6.6285852362801698E-2</v>
      </c>
      <c r="R1165">
        <v>0.99485581023148695</v>
      </c>
      <c r="S1165" t="s">
        <v>7567</v>
      </c>
      <c r="T1165" t="s">
        <v>12802</v>
      </c>
      <c r="U1165" t="s">
        <v>12802</v>
      </c>
      <c r="V1165" t="s">
        <v>12802</v>
      </c>
      <c r="W1165" t="s">
        <v>13938</v>
      </c>
      <c r="X1165">
        <v>3</v>
      </c>
      <c r="Y1165" t="s">
        <v>20254</v>
      </c>
      <c r="Z1165" t="s">
        <v>26483</v>
      </c>
      <c r="AA1165">
        <v>0.41826253110433342</v>
      </c>
      <c r="AB1165" t="str">
        <f>HYPERLINK("Melting_Curves/meltCurve_J3KNS3_ZNF385A.pdf", "Melting_Curves/meltCurve_J3KNS3_ZNF385A.pdf")</f>
        <v>Melting_Curves/meltCurve_J3KNS3_ZNF385A.pdf</v>
      </c>
    </row>
    <row r="1166" spans="1:28" x14ac:dyDescent="0.25">
      <c r="A1166" t="s">
        <v>1170</v>
      </c>
      <c r="B1166">
        <v>0.99542014353169495</v>
      </c>
      <c r="C1166">
        <v>1.03911411547959</v>
      </c>
      <c r="D1166">
        <v>0.82732731878525201</v>
      </c>
      <c r="E1166">
        <v>0.65348083090979703</v>
      </c>
      <c r="F1166">
        <v>0.395361155911435</v>
      </c>
      <c r="G1166">
        <v>0.17753391171594701</v>
      </c>
      <c r="H1166">
        <v>0.13623769252805101</v>
      </c>
      <c r="I1166">
        <v>0.113688903181058</v>
      </c>
      <c r="J1166">
        <v>9.9199259120802893E-2</v>
      </c>
      <c r="K1166">
        <v>9.30424991239229E-2</v>
      </c>
      <c r="L1166">
        <v>796.53441979133004</v>
      </c>
      <c r="M1166">
        <v>16.635847302720101</v>
      </c>
      <c r="N1166">
        <v>48.402632009329999</v>
      </c>
      <c r="O1166">
        <v>47.204808028888102</v>
      </c>
      <c r="P1166">
        <v>-8.08747435006585E-2</v>
      </c>
      <c r="Q1166">
        <v>8.2122327088369196E-2</v>
      </c>
      <c r="R1166">
        <v>0.99313632627664405</v>
      </c>
      <c r="S1166" t="s">
        <v>7568</v>
      </c>
      <c r="T1166" t="s">
        <v>12802</v>
      </c>
      <c r="U1166" t="s">
        <v>12802</v>
      </c>
      <c r="V1166" t="s">
        <v>12802</v>
      </c>
      <c r="W1166" t="s">
        <v>13939</v>
      </c>
      <c r="X1166">
        <v>4</v>
      </c>
      <c r="Y1166" t="s">
        <v>20255</v>
      </c>
      <c r="Z1166" t="s">
        <v>26484</v>
      </c>
      <c r="AA1166">
        <v>0.4319535714928685</v>
      </c>
      <c r="AB1166" t="str">
        <f>HYPERLINK("Melting_Curves/meltCurve_J3KNU8_ALDH6A1.pdf", "Melting_Curves/meltCurve_J3KNU8_ALDH6A1.pdf")</f>
        <v>Melting_Curves/meltCurve_J3KNU8_ALDH6A1.pdf</v>
      </c>
    </row>
    <row r="1167" spans="1:28" x14ac:dyDescent="0.25">
      <c r="A1167" t="s">
        <v>1171</v>
      </c>
      <c r="B1167">
        <v>0.99542014353169495</v>
      </c>
      <c r="C1167">
        <v>0.93926085088577604</v>
      </c>
      <c r="D1167">
        <v>0.86469546917626305</v>
      </c>
      <c r="E1167">
        <v>0.56488980905437203</v>
      </c>
      <c r="F1167">
        <v>0.326748751681607</v>
      </c>
      <c r="G1167">
        <v>9.85252145208564E-2</v>
      </c>
      <c r="H1167">
        <v>4.4830408817193898E-2</v>
      </c>
      <c r="I1167">
        <v>2.9684337131020099E-2</v>
      </c>
      <c r="J1167">
        <v>2.2780135054845298E-2</v>
      </c>
      <c r="K1167">
        <v>3.04005806384561E-2</v>
      </c>
      <c r="L1167">
        <v>795.20610797048403</v>
      </c>
      <c r="M1167">
        <v>16.745311181006699</v>
      </c>
      <c r="N1167">
        <v>47.522780060566902</v>
      </c>
      <c r="O1167">
        <v>46.826539273599998</v>
      </c>
      <c r="P1167">
        <v>-8.8866541976157995E-2</v>
      </c>
      <c r="Q1167">
        <v>6.0406378070721797E-3</v>
      </c>
      <c r="R1167">
        <v>0.99774647468690603</v>
      </c>
      <c r="S1167" t="s">
        <v>7569</v>
      </c>
      <c r="T1167" t="s">
        <v>12802</v>
      </c>
      <c r="U1167" t="s">
        <v>12802</v>
      </c>
      <c r="V1167" t="s">
        <v>12802</v>
      </c>
      <c r="W1167" t="s">
        <v>13940</v>
      </c>
      <c r="X1167">
        <v>4</v>
      </c>
      <c r="Y1167" t="s">
        <v>20256</v>
      </c>
      <c r="Z1167" t="s">
        <v>26485</v>
      </c>
      <c r="AA1167">
        <v>0.37173273781333249</v>
      </c>
      <c r="AB1167" t="str">
        <f>HYPERLINK("Melting_Curves/meltCurve_J3KNW0_FCHO2.pdf", "Melting_Curves/meltCurve_J3KNW0_FCHO2.pdf")</f>
        <v>Melting_Curves/meltCurve_J3KNW0_FCHO2.pdf</v>
      </c>
    </row>
    <row r="1168" spans="1:28" x14ac:dyDescent="0.25">
      <c r="A1168" t="s">
        <v>1172</v>
      </c>
      <c r="B1168">
        <v>0.99542014353169495</v>
      </c>
      <c r="C1168">
        <v>0.92654512076088402</v>
      </c>
      <c r="D1168">
        <v>0.95822905569337102</v>
      </c>
      <c r="E1168">
        <v>0.81385378932310704</v>
      </c>
      <c r="F1168">
        <v>0.66131137697907205</v>
      </c>
      <c r="G1168">
        <v>0.46836565190124302</v>
      </c>
      <c r="H1168">
        <v>0.25157992112558702</v>
      </c>
      <c r="I1168">
        <v>0.14555025682428999</v>
      </c>
      <c r="J1168">
        <v>0.166671266650598</v>
      </c>
      <c r="K1168">
        <v>0.19208383729103201</v>
      </c>
      <c r="L1168">
        <v>728.89755537274198</v>
      </c>
      <c r="M1168">
        <v>14.114420132600999</v>
      </c>
      <c r="N1168">
        <v>52.561281313532803</v>
      </c>
      <c r="O1168">
        <v>50.638560829305</v>
      </c>
      <c r="P1168">
        <v>-6.2069208200560201E-2</v>
      </c>
      <c r="Q1168">
        <v>0.109366879095879</v>
      </c>
      <c r="R1168">
        <v>0.98886504384906904</v>
      </c>
      <c r="S1168" t="s">
        <v>7570</v>
      </c>
      <c r="T1168" t="s">
        <v>12802</v>
      </c>
      <c r="U1168" t="s">
        <v>12802</v>
      </c>
      <c r="V1168" t="s">
        <v>12802</v>
      </c>
      <c r="W1168" t="s">
        <v>13941</v>
      </c>
      <c r="X1168">
        <v>8</v>
      </c>
      <c r="Y1168" t="s">
        <v>20257</v>
      </c>
      <c r="Z1168" t="s">
        <v>26486</v>
      </c>
      <c r="AA1168">
        <v>0.56272056832350237</v>
      </c>
      <c r="AB1168" t="str">
        <f>HYPERLINK("Melting_Curves/meltCurve_J3KNW4_FHL2.pdf", "Melting_Curves/meltCurve_J3KNW4_FHL2.pdf")</f>
        <v>Melting_Curves/meltCurve_J3KNW4_FHL2.pdf</v>
      </c>
    </row>
    <row r="1169" spans="1:28" x14ac:dyDescent="0.25">
      <c r="A1169" t="s">
        <v>1173</v>
      </c>
      <c r="B1169">
        <v>0.99542014353169495</v>
      </c>
      <c r="C1169">
        <v>0.91300372611439995</v>
      </c>
      <c r="D1169">
        <v>0.86296571956637802</v>
      </c>
      <c r="E1169">
        <v>0.76620581342947702</v>
      </c>
      <c r="F1169">
        <v>0.55248969187362196</v>
      </c>
      <c r="G1169">
        <v>0.186842960778874</v>
      </c>
      <c r="H1169">
        <v>0.134751386199845</v>
      </c>
      <c r="I1169">
        <v>9.5968818073540504E-2</v>
      </c>
      <c r="J1169">
        <v>0.104683977340854</v>
      </c>
      <c r="K1169">
        <v>0.19710878277420901</v>
      </c>
      <c r="L1169">
        <v>879.86999257824402</v>
      </c>
      <c r="M1169">
        <v>17.8583409092574</v>
      </c>
      <c r="N1169">
        <v>49.885460341265897</v>
      </c>
      <c r="O1169">
        <v>48.664052113388898</v>
      </c>
      <c r="P1169">
        <v>-8.2668718682708905E-2</v>
      </c>
      <c r="Q1169">
        <v>9.89550388210962E-2</v>
      </c>
      <c r="R1169">
        <v>0.97391960452882897</v>
      </c>
      <c r="S1169" t="s">
        <v>7571</v>
      </c>
      <c r="T1169" t="s">
        <v>12802</v>
      </c>
      <c r="U1169" t="s">
        <v>12802</v>
      </c>
      <c r="V1169" t="s">
        <v>12802</v>
      </c>
      <c r="W1169" t="s">
        <v>13942</v>
      </c>
      <c r="X1169">
        <v>11</v>
      </c>
      <c r="Y1169" t="s">
        <v>20258</v>
      </c>
      <c r="Z1169" t="s">
        <v>26487</v>
      </c>
      <c r="AA1169">
        <v>0.48195746685937491</v>
      </c>
      <c r="AB1169" t="str">
        <f>HYPERLINK("Melting_Curves/meltCurve_J3KNX9_MYO18A.pdf", "Melting_Curves/meltCurve_J3KNX9_MYO18A.pdf")</f>
        <v>Melting_Curves/meltCurve_J3KNX9_MYO18A.pdf</v>
      </c>
    </row>
    <row r="1170" spans="1:28" x14ac:dyDescent="0.25">
      <c r="A1170" t="s">
        <v>1174</v>
      </c>
      <c r="B1170">
        <v>0.99542014353169495</v>
      </c>
      <c r="C1170">
        <v>0.87550961142325401</v>
      </c>
      <c r="D1170">
        <v>0.8128290911653</v>
      </c>
      <c r="E1170">
        <v>0.43372989483705998</v>
      </c>
      <c r="F1170">
        <v>0.35429925497597597</v>
      </c>
      <c r="G1170">
        <v>0.130206962874689</v>
      </c>
      <c r="H1170">
        <v>0.115612096099463</v>
      </c>
      <c r="I1170">
        <v>0.109434753023848</v>
      </c>
      <c r="J1170">
        <v>8.8870599329121003E-2</v>
      </c>
      <c r="K1170">
        <v>0.109805002456935</v>
      </c>
      <c r="L1170">
        <v>702.20094243686799</v>
      </c>
      <c r="M1170">
        <v>15.280772538381701</v>
      </c>
      <c r="N1170">
        <v>46.515165964723103</v>
      </c>
      <c r="O1170">
        <v>45.187795487224797</v>
      </c>
      <c r="P1170">
        <v>-7.7422428807123397E-2</v>
      </c>
      <c r="Q1170">
        <v>8.4281826094885298E-2</v>
      </c>
      <c r="R1170">
        <v>0.98644943862213996</v>
      </c>
      <c r="S1170" t="s">
        <v>7572</v>
      </c>
      <c r="T1170" t="s">
        <v>12802</v>
      </c>
      <c r="U1170" t="s">
        <v>12802</v>
      </c>
      <c r="V1170" t="s">
        <v>12802</v>
      </c>
      <c r="W1170" t="s">
        <v>13943</v>
      </c>
      <c r="X1170">
        <v>2</v>
      </c>
      <c r="Y1170" t="s">
        <v>20259</v>
      </c>
      <c r="Z1170" t="s">
        <v>26488</v>
      </c>
      <c r="AA1170">
        <v>0.37798019700807028</v>
      </c>
      <c r="AB1170" t="str">
        <f>HYPERLINK("Melting_Curves/meltCurve_J3KNZ9_FBRS.pdf", "Melting_Curves/meltCurve_J3KNZ9_FBRS.pdf")</f>
        <v>Melting_Curves/meltCurve_J3KNZ9_FBRS.pdf</v>
      </c>
    </row>
    <row r="1171" spans="1:28" x14ac:dyDescent="0.25">
      <c r="A1171" t="s">
        <v>1175</v>
      </c>
      <c r="B1171">
        <v>0.99542014353169495</v>
      </c>
      <c r="C1171">
        <v>1.00265310571846</v>
      </c>
      <c r="D1171">
        <v>0.84533075160550997</v>
      </c>
      <c r="E1171">
        <v>0.81541048254014203</v>
      </c>
      <c r="F1171">
        <v>0.65020092125351403</v>
      </c>
      <c r="G1171">
        <v>0.54409282115816804</v>
      </c>
      <c r="H1171">
        <v>0.33904059897121203</v>
      </c>
      <c r="I1171">
        <v>0.31168765635905499</v>
      </c>
      <c r="J1171">
        <v>0.530468895883072</v>
      </c>
      <c r="K1171">
        <v>0.69708214014662295</v>
      </c>
      <c r="L1171">
        <v>858.547299729526</v>
      </c>
      <c r="M1171">
        <v>18.086709128452899</v>
      </c>
      <c r="N1171">
        <v>56.533607657554001</v>
      </c>
      <c r="O1171">
        <v>46.899541918563401</v>
      </c>
      <c r="P1171">
        <v>-5.08603259156752E-2</v>
      </c>
      <c r="Q1171">
        <v>0.47249430487147198</v>
      </c>
      <c r="R1171">
        <v>0.78730394101496104</v>
      </c>
      <c r="S1171" t="s">
        <v>7573</v>
      </c>
      <c r="T1171" t="s">
        <v>12802</v>
      </c>
      <c r="U1171" t="s">
        <v>12802</v>
      </c>
      <c r="V1171" t="s">
        <v>12802</v>
      </c>
      <c r="W1171" t="s">
        <v>13944</v>
      </c>
      <c r="X1171">
        <v>9</v>
      </c>
      <c r="Y1171" t="s">
        <v>20260</v>
      </c>
      <c r="Z1171" t="s">
        <v>26489</v>
      </c>
      <c r="AA1171">
        <v>0.66494045882942077</v>
      </c>
      <c r="AB1171" t="str">
        <f>HYPERLINK("Melting_Curves/meltCurve_J3KP15_SRSF2.pdf", "Melting_Curves/meltCurve_J3KP15_SRSF2.pdf")</f>
        <v>Melting_Curves/meltCurve_J3KP15_SRSF2.pdf</v>
      </c>
    </row>
    <row r="1172" spans="1:28" x14ac:dyDescent="0.25">
      <c r="A1172" t="s">
        <v>1176</v>
      </c>
      <c r="B1172">
        <v>0.99542014353169495</v>
      </c>
      <c r="C1172">
        <v>1.01382316048289</v>
      </c>
      <c r="D1172">
        <v>1.05981933143384</v>
      </c>
      <c r="E1172">
        <v>0.68691534568267398</v>
      </c>
      <c r="F1172">
        <v>0.28231098496588902</v>
      </c>
      <c r="G1172">
        <v>0.21050264156621501</v>
      </c>
      <c r="H1172">
        <v>0.16285620839019599</v>
      </c>
      <c r="I1172">
        <v>0.104308064955017</v>
      </c>
      <c r="J1172">
        <v>2.76652640717906E-2</v>
      </c>
      <c r="K1172">
        <v>3.3028679593157598E-2</v>
      </c>
      <c r="L1172">
        <v>1285.66793982229</v>
      </c>
      <c r="M1172">
        <v>26.822333884471</v>
      </c>
      <c r="N1172">
        <v>48.295127154575702</v>
      </c>
      <c r="O1172">
        <v>47.668683767794398</v>
      </c>
      <c r="P1172">
        <v>-0.12784955310239801</v>
      </c>
      <c r="Q1172">
        <v>9.1151768160187593E-2</v>
      </c>
      <c r="R1172">
        <v>0.98336580728956302</v>
      </c>
      <c r="S1172" t="s">
        <v>7574</v>
      </c>
      <c r="T1172" t="s">
        <v>12802</v>
      </c>
      <c r="U1172" t="s">
        <v>12802</v>
      </c>
      <c r="V1172" t="s">
        <v>12802</v>
      </c>
      <c r="W1172" t="s">
        <v>13945</v>
      </c>
      <c r="X1172">
        <v>2</v>
      </c>
      <c r="Y1172" t="s">
        <v>20261</v>
      </c>
      <c r="Z1172" t="s">
        <v>26490</v>
      </c>
      <c r="AA1172">
        <v>0.42908576772030183</v>
      </c>
      <c r="AB1172" t="str">
        <f>HYPERLINK("Melting_Curves/meltCurve_J3KP20_NTRK1.pdf", "Melting_Curves/meltCurve_J3KP20_NTRK1.pdf")</f>
        <v>Melting_Curves/meltCurve_J3KP20_NTRK1.pdf</v>
      </c>
    </row>
    <row r="1173" spans="1:28" x14ac:dyDescent="0.25">
      <c r="A1173" t="s">
        <v>1177</v>
      </c>
      <c r="B1173">
        <v>0.99542014353169495</v>
      </c>
      <c r="C1173">
        <v>1.02221209032808</v>
      </c>
      <c r="D1173">
        <v>0.92741875441403898</v>
      </c>
      <c r="E1173">
        <v>0.90236649970114002</v>
      </c>
      <c r="F1173">
        <v>0.71202126514867803</v>
      </c>
      <c r="G1173">
        <v>0.20432057922820199</v>
      </c>
      <c r="H1173">
        <v>0.122336950508507</v>
      </c>
      <c r="I1173">
        <v>9.2905635112783796E-2</v>
      </c>
      <c r="J1173">
        <v>9.4422533955482099E-2</v>
      </c>
      <c r="K1173">
        <v>8.5113413615853006E-2</v>
      </c>
      <c r="L1173">
        <v>1763.89669256149</v>
      </c>
      <c r="M1173">
        <v>34.4814462376346</v>
      </c>
      <c r="N1173">
        <v>51.444853088129001</v>
      </c>
      <c r="O1173">
        <v>50.983814605666701</v>
      </c>
      <c r="P1173">
        <v>-0.15415090401975701</v>
      </c>
      <c r="Q1173">
        <v>8.8301441418591406E-2</v>
      </c>
      <c r="R1173">
        <v>0.99295380739959405</v>
      </c>
      <c r="S1173" t="s">
        <v>7575</v>
      </c>
      <c r="T1173" t="s">
        <v>12802</v>
      </c>
      <c r="U1173" t="s">
        <v>12802</v>
      </c>
      <c r="V1173" t="s">
        <v>12802</v>
      </c>
      <c r="W1173" t="s">
        <v>13946</v>
      </c>
      <c r="X1173">
        <v>9</v>
      </c>
      <c r="Y1173" t="s">
        <v>20262</v>
      </c>
      <c r="Z1173" t="s">
        <v>26491</v>
      </c>
      <c r="AA1173">
        <v>0.52279854528041136</v>
      </c>
      <c r="AB1173" t="str">
        <f>HYPERLINK("Melting_Curves/meltCurve_J3KP22_PTPRA.pdf", "Melting_Curves/meltCurve_J3KP22_PTPRA.pdf")</f>
        <v>Melting_Curves/meltCurve_J3KP22_PTPRA.pdf</v>
      </c>
    </row>
    <row r="1174" spans="1:28" x14ac:dyDescent="0.25">
      <c r="A1174" t="s">
        <v>1178</v>
      </c>
      <c r="B1174">
        <v>0.99542014353169495</v>
      </c>
      <c r="C1174">
        <v>0.85293131935569499</v>
      </c>
      <c r="D1174">
        <v>0.728169294812409</v>
      </c>
      <c r="E1174">
        <v>0.48630500151797801</v>
      </c>
      <c r="F1174">
        <v>0.34153178517160399</v>
      </c>
      <c r="G1174">
        <v>0.32117099956638401</v>
      </c>
      <c r="H1174">
        <v>0.122969516883571</v>
      </c>
      <c r="I1174">
        <v>3.5419260402766599E-2</v>
      </c>
      <c r="J1174">
        <v>2.9170345511796199E-2</v>
      </c>
      <c r="K1174">
        <v>2.5476641872843798E-2</v>
      </c>
      <c r="L1174">
        <v>488.30041982942203</v>
      </c>
      <c r="M1174">
        <v>10.3682308579695</v>
      </c>
      <c r="N1174">
        <v>47.095828254667303</v>
      </c>
      <c r="O1174">
        <v>45.444892332435302</v>
      </c>
      <c r="P1174">
        <v>-5.7061540694109597E-2</v>
      </c>
      <c r="Q1174">
        <v>0</v>
      </c>
      <c r="R1174">
        <v>0.98321014783747596</v>
      </c>
      <c r="S1174" t="s">
        <v>7576</v>
      </c>
      <c r="T1174" t="s">
        <v>12802</v>
      </c>
      <c r="U1174" t="s">
        <v>12802</v>
      </c>
      <c r="V1174" t="s">
        <v>12802</v>
      </c>
      <c r="W1174" t="s">
        <v>13947</v>
      </c>
      <c r="X1174">
        <v>3</v>
      </c>
      <c r="Y1174" t="s">
        <v>20263</v>
      </c>
      <c r="Z1174" t="s">
        <v>26492</v>
      </c>
      <c r="AA1174">
        <v>0.37726985858709672</v>
      </c>
      <c r="AB1174" t="str">
        <f>HYPERLINK("Melting_Curves/meltCurve_J3KP27_TRAPPC4.pdf", "Melting_Curves/meltCurve_J3KP27_TRAPPC4.pdf")</f>
        <v>Melting_Curves/meltCurve_J3KP27_TRAPPC4.pdf</v>
      </c>
    </row>
    <row r="1175" spans="1:28" x14ac:dyDescent="0.25">
      <c r="A1175" t="s">
        <v>1179</v>
      </c>
      <c r="B1175">
        <v>0.99542014353169495</v>
      </c>
      <c r="C1175">
        <v>0.92351430256449096</v>
      </c>
      <c r="D1175">
        <v>0.95326904546913704</v>
      </c>
      <c r="E1175">
        <v>0.64392061841724502</v>
      </c>
      <c r="F1175">
        <v>0.37496140816220003</v>
      </c>
      <c r="G1175">
        <v>0.210526086105982</v>
      </c>
      <c r="H1175">
        <v>0.15202777716994501</v>
      </c>
      <c r="I1175">
        <v>0.11601723610871099</v>
      </c>
      <c r="J1175">
        <v>0.16864827354555401</v>
      </c>
      <c r="K1175">
        <v>0.28708294507195198</v>
      </c>
      <c r="L1175">
        <v>1094.1777724329199</v>
      </c>
      <c r="M1175">
        <v>23.125719028894402</v>
      </c>
      <c r="N1175">
        <v>48.221999147317497</v>
      </c>
      <c r="O1175">
        <v>46.964790747140697</v>
      </c>
      <c r="P1175">
        <v>-0.10138051490899801</v>
      </c>
      <c r="Q1175">
        <v>0.17646197908095199</v>
      </c>
      <c r="R1175">
        <v>0.97951343509991295</v>
      </c>
      <c r="S1175" t="s">
        <v>7577</v>
      </c>
      <c r="T1175" t="s">
        <v>12802</v>
      </c>
      <c r="U1175" t="s">
        <v>12802</v>
      </c>
      <c r="V1175" t="s">
        <v>12802</v>
      </c>
      <c r="W1175" t="s">
        <v>13948</v>
      </c>
      <c r="X1175">
        <v>18</v>
      </c>
      <c r="Y1175" t="s">
        <v>20264</v>
      </c>
      <c r="Z1175" t="s">
        <v>26493</v>
      </c>
      <c r="AA1175">
        <v>0.46771895518051382</v>
      </c>
      <c r="AB1175" t="str">
        <f>HYPERLINK("Melting_Curves/meltCurve_J3KP36_FAM21C.pdf", "Melting_Curves/meltCurve_J3KP36_FAM21C.pdf")</f>
        <v>Melting_Curves/meltCurve_J3KP36_FAM21C.pdf</v>
      </c>
    </row>
    <row r="1176" spans="1:28" x14ac:dyDescent="0.25">
      <c r="A1176" t="s">
        <v>1180</v>
      </c>
      <c r="B1176">
        <v>0.99542014353169495</v>
      </c>
      <c r="C1176">
        <v>0.88437381037787899</v>
      </c>
      <c r="D1176">
        <v>0.70743864507593202</v>
      </c>
      <c r="E1176">
        <v>0.695337095090098</v>
      </c>
      <c r="F1176">
        <v>0.648237380903257</v>
      </c>
      <c r="G1176">
        <v>0.45001613802218199</v>
      </c>
      <c r="H1176">
        <v>0.41514354305254098</v>
      </c>
      <c r="I1176">
        <v>0.33731198193506701</v>
      </c>
      <c r="J1176">
        <v>0.43896760808370799</v>
      </c>
      <c r="K1176">
        <v>0.50830199881492499</v>
      </c>
      <c r="L1176">
        <v>475.29443665256503</v>
      </c>
      <c r="M1176">
        <v>10.4598499237381</v>
      </c>
      <c r="N1176">
        <v>53.444102848324903</v>
      </c>
      <c r="O1176">
        <v>43.873214035276902</v>
      </c>
      <c r="P1176">
        <v>-3.6037556243989598E-2</v>
      </c>
      <c r="Q1176">
        <v>0.39561796286425099</v>
      </c>
      <c r="R1176">
        <v>0.90576004622605299</v>
      </c>
      <c r="S1176" t="s">
        <v>7578</v>
      </c>
      <c r="T1176" t="s">
        <v>12802</v>
      </c>
      <c r="U1176" t="s">
        <v>12802</v>
      </c>
      <c r="V1176" t="s">
        <v>12802</v>
      </c>
      <c r="W1176" t="s">
        <v>13949</v>
      </c>
      <c r="X1176">
        <v>4</v>
      </c>
      <c r="Y1176" t="s">
        <v>20265</v>
      </c>
      <c r="Z1176" t="s">
        <v>26494</v>
      </c>
      <c r="AA1176">
        <v>0.59270224536247429</v>
      </c>
      <c r="AB1176" t="str">
        <f>HYPERLINK("Melting_Curves/meltCurve_J3KP75_PHACTR2.pdf", "Melting_Curves/meltCurve_J3KP75_PHACTR2.pdf")</f>
        <v>Melting_Curves/meltCurve_J3KP75_PHACTR2.pdf</v>
      </c>
    </row>
    <row r="1177" spans="1:28" x14ac:dyDescent="0.25">
      <c r="A1177" t="s">
        <v>1181</v>
      </c>
      <c r="B1177">
        <v>0.99542014353169495</v>
      </c>
      <c r="C1177">
        <v>0.97993606538013101</v>
      </c>
      <c r="D1177">
        <v>0.99299147321538905</v>
      </c>
      <c r="E1177">
        <v>0.66847710336106803</v>
      </c>
      <c r="F1177">
        <v>0.33391774444268502</v>
      </c>
      <c r="G1177">
        <v>0.16141821851726301</v>
      </c>
      <c r="H1177">
        <v>0.116011006727316</v>
      </c>
      <c r="I1177">
        <v>9.6668725716632806E-2</v>
      </c>
      <c r="J1177">
        <v>0.12300405828141101</v>
      </c>
      <c r="K1177">
        <v>0.142931749794144</v>
      </c>
      <c r="L1177">
        <v>1215.5588094397699</v>
      </c>
      <c r="M1177">
        <v>25.462299542050499</v>
      </c>
      <c r="N1177">
        <v>48.245013876700597</v>
      </c>
      <c r="O1177">
        <v>47.448024826798303</v>
      </c>
      <c r="P1177">
        <v>-0.118454407702391</v>
      </c>
      <c r="Q1177">
        <v>0.117070263883801</v>
      </c>
      <c r="R1177">
        <v>0.99694827926493801</v>
      </c>
      <c r="S1177" t="s">
        <v>7579</v>
      </c>
      <c r="T1177" t="s">
        <v>12802</v>
      </c>
      <c r="U1177" t="s">
        <v>12802</v>
      </c>
      <c r="V1177" t="s">
        <v>12802</v>
      </c>
      <c r="W1177" t="s">
        <v>13950</v>
      </c>
      <c r="X1177">
        <v>9</v>
      </c>
      <c r="Y1177" t="s">
        <v>20266</v>
      </c>
      <c r="Z1177" t="s">
        <v>26495</v>
      </c>
      <c r="AA1177">
        <v>0.44037327640519958</v>
      </c>
      <c r="AB1177" t="str">
        <f>HYPERLINK("Melting_Curves/meltCurve_J3KPC5_RAP1GAP.pdf", "Melting_Curves/meltCurve_J3KPC5_RAP1GAP.pdf")</f>
        <v>Melting_Curves/meltCurve_J3KPC5_RAP1GAP.pdf</v>
      </c>
    </row>
    <row r="1178" spans="1:28" x14ac:dyDescent="0.25">
      <c r="A1178" t="s">
        <v>1182</v>
      </c>
      <c r="B1178">
        <v>0.99542014353169495</v>
      </c>
      <c r="C1178">
        <v>0.839094474739288</v>
      </c>
      <c r="D1178">
        <v>0.87471244439087203</v>
      </c>
      <c r="E1178">
        <v>0.62976457842687406</v>
      </c>
      <c r="F1178">
        <v>0.35178372709216599</v>
      </c>
      <c r="G1178">
        <v>0.115799697837562</v>
      </c>
      <c r="H1178">
        <v>7.2784123074032397E-2</v>
      </c>
      <c r="I1178">
        <v>6.5136344996032505E-2</v>
      </c>
      <c r="J1178">
        <v>6.7560635644151795E-2</v>
      </c>
      <c r="K1178">
        <v>7.9418090149491999E-2</v>
      </c>
      <c r="L1178">
        <v>773.39270282911002</v>
      </c>
      <c r="M1178">
        <v>16.226691526876301</v>
      </c>
      <c r="N1178">
        <v>47.895657310551798</v>
      </c>
      <c r="O1178">
        <v>46.955523053324498</v>
      </c>
      <c r="P1178">
        <v>-8.3109302641645705E-2</v>
      </c>
      <c r="Q1178">
        <v>3.8090753511887503E-2</v>
      </c>
      <c r="R1178">
        <v>0.98465414896702996</v>
      </c>
      <c r="S1178" t="s">
        <v>7580</v>
      </c>
      <c r="T1178" t="s">
        <v>12802</v>
      </c>
      <c r="U1178" t="s">
        <v>12802</v>
      </c>
      <c r="V1178" t="s">
        <v>12802</v>
      </c>
      <c r="W1178" t="s">
        <v>13951</v>
      </c>
      <c r="X1178">
        <v>2</v>
      </c>
      <c r="Y1178" t="s">
        <v>20267</v>
      </c>
      <c r="Z1178" t="s">
        <v>26496</v>
      </c>
      <c r="AA1178">
        <v>0.39854243516949678</v>
      </c>
      <c r="AB1178" t="str">
        <f>HYPERLINK("Melting_Curves/meltCurve_J3KPD3_RBM7.pdf", "Melting_Curves/meltCurve_J3KPD3_RBM7.pdf")</f>
        <v>Melting_Curves/meltCurve_J3KPD3_RBM7.pdf</v>
      </c>
    </row>
    <row r="1179" spans="1:28" x14ac:dyDescent="0.25">
      <c r="A1179" t="s">
        <v>1183</v>
      </c>
      <c r="B1179">
        <v>0.99542014353169495</v>
      </c>
      <c r="C1179">
        <v>0.871793462702116</v>
      </c>
      <c r="D1179">
        <v>1.31336507921111</v>
      </c>
      <c r="E1179">
        <v>1.36622652062019</v>
      </c>
      <c r="F1179">
        <v>1.33962672887854</v>
      </c>
      <c r="G1179">
        <v>0.43623324050170698</v>
      </c>
      <c r="H1179">
        <v>0.14012510000915299</v>
      </c>
      <c r="I1179">
        <v>6.43164529442279E-2</v>
      </c>
      <c r="J1179">
        <v>7.4028449761264102E-3</v>
      </c>
      <c r="K1179">
        <v>1.3879357509106001E-2</v>
      </c>
      <c r="S1179" t="s">
        <v>7581</v>
      </c>
      <c r="T1179" t="s">
        <v>12802</v>
      </c>
      <c r="U1179" t="s">
        <v>12803</v>
      </c>
      <c r="V1179" t="s">
        <v>12802</v>
      </c>
      <c r="W1179" t="s">
        <v>13952</v>
      </c>
      <c r="X1179">
        <v>1</v>
      </c>
      <c r="Y1179" t="s">
        <v>20268</v>
      </c>
      <c r="Z1179" t="s">
        <v>26497</v>
      </c>
      <c r="AB1179" t="str">
        <f>HYPERLINK("Melting_Curves/meltCurve_J3KPF0_HECTD4.pdf", "Melting_Curves/meltCurve_J3KPF0_HECTD4.pdf")</f>
        <v>Melting_Curves/meltCurve_J3KPF0_HECTD4.pdf</v>
      </c>
    </row>
    <row r="1180" spans="1:28" x14ac:dyDescent="0.25">
      <c r="A1180" t="s">
        <v>1184</v>
      </c>
      <c r="B1180">
        <v>0.99542014353169495</v>
      </c>
      <c r="C1180">
        <v>0.98257270006450503</v>
      </c>
      <c r="D1180">
        <v>1.0218693368162799</v>
      </c>
      <c r="E1180">
        <v>0.78265077755235601</v>
      </c>
      <c r="F1180">
        <v>0.71058970189568704</v>
      </c>
      <c r="G1180">
        <v>0.55360667038302802</v>
      </c>
      <c r="H1180">
        <v>0.44536351225232301</v>
      </c>
      <c r="I1180">
        <v>0.38147476905252398</v>
      </c>
      <c r="J1180">
        <v>0.38622158048218602</v>
      </c>
      <c r="K1180">
        <v>0.17211206282698399</v>
      </c>
      <c r="L1180">
        <v>512.19077227673199</v>
      </c>
      <c r="M1180">
        <v>9.5202725639675005</v>
      </c>
      <c r="N1180">
        <v>55.8296824783231</v>
      </c>
      <c r="O1180">
        <v>51.586748054431098</v>
      </c>
      <c r="P1180">
        <v>-3.9411299769279297E-2</v>
      </c>
      <c r="Q1180">
        <v>0.146281469703817</v>
      </c>
      <c r="R1180">
        <v>0.96449852685030502</v>
      </c>
      <c r="S1180" t="s">
        <v>7582</v>
      </c>
      <c r="T1180" t="s">
        <v>12802</v>
      </c>
      <c r="U1180" t="s">
        <v>12802</v>
      </c>
      <c r="V1180" t="s">
        <v>12802</v>
      </c>
      <c r="W1180" t="s">
        <v>13953</v>
      </c>
      <c r="X1180">
        <v>4</v>
      </c>
      <c r="Y1180" t="s">
        <v>20269</v>
      </c>
      <c r="Z1180" t="s">
        <v>26498</v>
      </c>
      <c r="AA1180">
        <v>0.6399784053121732</v>
      </c>
      <c r="AB1180" t="str">
        <f>HYPERLINK("Melting_Curves/meltCurve_J3KPF9_KIF3A.pdf", "Melting_Curves/meltCurve_J3KPF9_KIF3A.pdf")</f>
        <v>Melting_Curves/meltCurve_J3KPF9_KIF3A.pdf</v>
      </c>
    </row>
    <row r="1181" spans="1:28" x14ac:dyDescent="0.25">
      <c r="A1181" t="s">
        <v>1185</v>
      </c>
      <c r="B1181">
        <v>0.99542014353169495</v>
      </c>
      <c r="C1181">
        <v>0.99332819595167399</v>
      </c>
      <c r="D1181">
        <v>0.87055341139366704</v>
      </c>
      <c r="E1181">
        <v>0.66872869825277204</v>
      </c>
      <c r="F1181">
        <v>0.57655451005862701</v>
      </c>
      <c r="G1181">
        <v>0.27376596766537697</v>
      </c>
      <c r="H1181">
        <v>0.23182891439522499</v>
      </c>
      <c r="I1181">
        <v>0.13842037599432</v>
      </c>
      <c r="J1181">
        <v>0.11593525940496401</v>
      </c>
      <c r="K1181">
        <v>0.13698577493640099</v>
      </c>
      <c r="L1181">
        <v>629.18565571128602</v>
      </c>
      <c r="M1181">
        <v>12.7018438292433</v>
      </c>
      <c r="N1181">
        <v>50.212862822812603</v>
      </c>
      <c r="O1181">
        <v>48.355335792522297</v>
      </c>
      <c r="P1181">
        <v>-6.05069559677298E-2</v>
      </c>
      <c r="Q1181">
        <v>7.8789595738125204E-2</v>
      </c>
      <c r="R1181">
        <v>0.98890259468844999</v>
      </c>
      <c r="S1181" t="s">
        <v>7583</v>
      </c>
      <c r="T1181" t="s">
        <v>12802</v>
      </c>
      <c r="U1181" t="s">
        <v>12802</v>
      </c>
      <c r="V1181" t="s">
        <v>12802</v>
      </c>
      <c r="W1181" t="s">
        <v>13954</v>
      </c>
      <c r="X1181">
        <v>3</v>
      </c>
      <c r="Y1181" t="s">
        <v>20270</v>
      </c>
      <c r="Z1181" t="s">
        <v>26499</v>
      </c>
      <c r="AA1181">
        <v>0.48839073478489847</v>
      </c>
      <c r="AB1181" t="str">
        <f>HYPERLINK("Melting_Curves/meltCurve_J3KPJ3_CAMKK1.pdf", "Melting_Curves/meltCurve_J3KPJ3_CAMKK1.pdf")</f>
        <v>Melting_Curves/meltCurve_J3KPJ3_CAMKK1.pdf</v>
      </c>
    </row>
    <row r="1182" spans="1:28" x14ac:dyDescent="0.25">
      <c r="A1182" t="s">
        <v>1186</v>
      </c>
      <c r="B1182">
        <v>0.99542014353169495</v>
      </c>
      <c r="C1182">
        <v>1.0170991987384801</v>
      </c>
      <c r="D1182">
        <v>0.81601965030567003</v>
      </c>
      <c r="E1182">
        <v>0.60137270892130701</v>
      </c>
      <c r="F1182">
        <v>0.37747537749311799</v>
      </c>
      <c r="G1182">
        <v>8.2229355188269099E-2</v>
      </c>
      <c r="H1182">
        <v>4.6212652977820803E-2</v>
      </c>
      <c r="I1182">
        <v>5.0367329999787901E-2</v>
      </c>
      <c r="J1182">
        <v>5.5046277164532101E-2</v>
      </c>
      <c r="K1182">
        <v>2.2799534665243801E-2</v>
      </c>
      <c r="L1182">
        <v>787.85969496333405</v>
      </c>
      <c r="M1182">
        <v>16.495944211498099</v>
      </c>
      <c r="N1182">
        <v>47.829529017453403</v>
      </c>
      <c r="O1182">
        <v>47.075476145885801</v>
      </c>
      <c r="P1182">
        <v>-8.6583838816713804E-2</v>
      </c>
      <c r="Q1182">
        <v>1.1710550473355201E-2</v>
      </c>
      <c r="R1182">
        <v>0.99082807178694399</v>
      </c>
      <c r="S1182" t="s">
        <v>7584</v>
      </c>
      <c r="T1182" t="s">
        <v>12802</v>
      </c>
      <c r="U1182" t="s">
        <v>12802</v>
      </c>
      <c r="V1182" t="s">
        <v>12802</v>
      </c>
      <c r="W1182" t="s">
        <v>13955</v>
      </c>
      <c r="X1182">
        <v>8</v>
      </c>
      <c r="Y1182" t="s">
        <v>20271</v>
      </c>
      <c r="Z1182" t="s">
        <v>26500</v>
      </c>
      <c r="AA1182">
        <v>0.38473403404863682</v>
      </c>
      <c r="AB1182" t="str">
        <f>HYPERLINK("Melting_Curves/meltCurve_J3KPK1_SYNJ1.pdf", "Melting_Curves/meltCurve_J3KPK1_SYNJ1.pdf")</f>
        <v>Melting_Curves/meltCurve_J3KPK1_SYNJ1.pdf</v>
      </c>
    </row>
    <row r="1183" spans="1:28" x14ac:dyDescent="0.25">
      <c r="A1183" t="s">
        <v>1187</v>
      </c>
      <c r="B1183">
        <v>0.99542014353169495</v>
      </c>
      <c r="C1183">
        <v>0.88090522108955804</v>
      </c>
      <c r="D1183">
        <v>0.86747041506918998</v>
      </c>
      <c r="E1183">
        <v>0.57799274706557102</v>
      </c>
      <c r="F1183">
        <v>0.27314694268138101</v>
      </c>
      <c r="G1183">
        <v>0.16761229162577901</v>
      </c>
      <c r="H1183">
        <v>0.111010527408324</v>
      </c>
      <c r="I1183">
        <v>7.5600167316444603E-2</v>
      </c>
      <c r="J1183">
        <v>8.1637436869050395E-2</v>
      </c>
      <c r="K1183">
        <v>5.2289800914648202E-2</v>
      </c>
      <c r="L1183">
        <v>789.485496850348</v>
      </c>
      <c r="M1183">
        <v>16.789036945699699</v>
      </c>
      <c r="N1183">
        <v>47.375637650527501</v>
      </c>
      <c r="O1183">
        <v>46.371920622657797</v>
      </c>
      <c r="P1183">
        <v>-8.5214288464884602E-2</v>
      </c>
      <c r="Q1183">
        <v>5.8601334598381703E-2</v>
      </c>
      <c r="R1183">
        <v>0.99407963346735895</v>
      </c>
      <c r="S1183" t="s">
        <v>7585</v>
      </c>
      <c r="T1183" t="s">
        <v>12802</v>
      </c>
      <c r="U1183" t="s">
        <v>12802</v>
      </c>
      <c r="V1183" t="s">
        <v>12802</v>
      </c>
      <c r="W1183" t="s">
        <v>13956</v>
      </c>
      <c r="X1183">
        <v>4</v>
      </c>
      <c r="Y1183" t="s">
        <v>20272</v>
      </c>
      <c r="Z1183" t="s">
        <v>26501</v>
      </c>
      <c r="AA1183">
        <v>0.39038518643872028</v>
      </c>
      <c r="AB1183" t="str">
        <f>HYPERLINK("Melting_Curves/meltCurve_J3KPL2_KDM1B.pdf", "Melting_Curves/meltCurve_J3KPL2_KDM1B.pdf")</f>
        <v>Melting_Curves/meltCurve_J3KPL2_KDM1B.pdf</v>
      </c>
    </row>
    <row r="1184" spans="1:28" x14ac:dyDescent="0.25">
      <c r="A1184" t="s">
        <v>1188</v>
      </c>
      <c r="B1184">
        <v>0.99542014353169495</v>
      </c>
      <c r="C1184">
        <v>1.04940803963281</v>
      </c>
      <c r="D1184">
        <v>1.04547903847465</v>
      </c>
      <c r="E1184">
        <v>0.82197362001015395</v>
      </c>
      <c r="F1184">
        <v>0.48611945912685001</v>
      </c>
      <c r="G1184">
        <v>0.213877250369471</v>
      </c>
      <c r="H1184">
        <v>0.12553080834645899</v>
      </c>
      <c r="I1184">
        <v>8.3793732955102201E-2</v>
      </c>
      <c r="J1184">
        <v>9.1148675545431004E-2</v>
      </c>
      <c r="K1184">
        <v>8.0644888197228495E-2</v>
      </c>
      <c r="L1184">
        <v>1193.4868532011801</v>
      </c>
      <c r="M1184">
        <v>24.029401511799499</v>
      </c>
      <c r="N1184">
        <v>50.048336727648199</v>
      </c>
      <c r="O1184">
        <v>49.3276217034688</v>
      </c>
      <c r="P1184">
        <v>-0.111617648660315</v>
      </c>
      <c r="Q1184">
        <v>8.3498353667777095E-2</v>
      </c>
      <c r="R1184">
        <v>0.99531046462788098</v>
      </c>
      <c r="S1184" t="s">
        <v>7586</v>
      </c>
      <c r="T1184" t="s">
        <v>12802</v>
      </c>
      <c r="U1184" t="s">
        <v>12802</v>
      </c>
      <c r="V1184" t="s">
        <v>12802</v>
      </c>
      <c r="W1184" t="s">
        <v>13957</v>
      </c>
      <c r="X1184">
        <v>7</v>
      </c>
      <c r="Y1184" t="s">
        <v>20273</v>
      </c>
      <c r="Z1184" t="s">
        <v>26502</v>
      </c>
      <c r="AA1184">
        <v>0.47911229421089629</v>
      </c>
      <c r="AB1184" t="str">
        <f>HYPERLINK("Melting_Curves/meltCurve_J3KPN1_TESC.pdf", "Melting_Curves/meltCurve_J3KPN1_TESC.pdf")</f>
        <v>Melting_Curves/meltCurve_J3KPN1_TESC.pdf</v>
      </c>
    </row>
    <row r="1185" spans="1:28" x14ac:dyDescent="0.25">
      <c r="A1185" t="s">
        <v>1189</v>
      </c>
      <c r="B1185">
        <v>0.99542014353169495</v>
      </c>
      <c r="C1185">
        <v>1.0208112082901899</v>
      </c>
      <c r="D1185">
        <v>0.97952656197814703</v>
      </c>
      <c r="E1185">
        <v>0.97304893647601398</v>
      </c>
      <c r="F1185">
        <v>0.75649415922622698</v>
      </c>
      <c r="G1185">
        <v>0.61114694798095004</v>
      </c>
      <c r="H1185">
        <v>0.18311892515271</v>
      </c>
      <c r="I1185">
        <v>7.0372497836635406E-2</v>
      </c>
      <c r="J1185">
        <v>6.3791704909075195E-2</v>
      </c>
      <c r="K1185">
        <v>8.1761420136221993E-2</v>
      </c>
      <c r="L1185">
        <v>1131.9496976082</v>
      </c>
      <c r="M1185">
        <v>20.990770073006001</v>
      </c>
      <c r="N1185">
        <v>54.059346614589103</v>
      </c>
      <c r="O1185">
        <v>53.443794284346801</v>
      </c>
      <c r="P1185">
        <v>-9.5717320400973402E-2</v>
      </c>
      <c r="Q1185">
        <v>2.5217442637304299E-2</v>
      </c>
      <c r="R1185">
        <v>0.98805345223030605</v>
      </c>
      <c r="S1185" t="s">
        <v>7587</v>
      </c>
      <c r="T1185" t="s">
        <v>12802</v>
      </c>
      <c r="U1185" t="s">
        <v>12802</v>
      </c>
      <c r="V1185" t="s">
        <v>12802</v>
      </c>
      <c r="W1185" t="s">
        <v>13958</v>
      </c>
      <c r="X1185">
        <v>16</v>
      </c>
      <c r="Y1185" t="s">
        <v>20274</v>
      </c>
      <c r="Z1185" t="s">
        <v>26503</v>
      </c>
      <c r="AA1185">
        <v>0.58628160804479745</v>
      </c>
      <c r="AB1185" t="str">
        <f>HYPERLINK("Melting_Curves/meltCurve_J3KPP7_ARRB1.pdf", "Melting_Curves/meltCurve_J3KPP7_ARRB1.pdf")</f>
        <v>Melting_Curves/meltCurve_J3KPP7_ARRB1.pdf</v>
      </c>
    </row>
    <row r="1186" spans="1:28" x14ac:dyDescent="0.25">
      <c r="A1186" t="s">
        <v>1190</v>
      </c>
      <c r="B1186">
        <v>0.99542014353169495</v>
      </c>
      <c r="C1186">
        <v>0.90323736899999696</v>
      </c>
      <c r="D1186">
        <v>0.87274182814018597</v>
      </c>
      <c r="E1186">
        <v>0.65904371835541797</v>
      </c>
      <c r="F1186">
        <v>0.48705365352878899</v>
      </c>
      <c r="G1186">
        <v>0.23262648975879299</v>
      </c>
      <c r="H1186">
        <v>0.37455172826137001</v>
      </c>
      <c r="I1186">
        <v>0.47164597126469798</v>
      </c>
      <c r="J1186">
        <v>0.59760364353523898</v>
      </c>
      <c r="K1186">
        <v>0.43958718874736202</v>
      </c>
      <c r="L1186">
        <v>1096.18051702004</v>
      </c>
      <c r="M1186">
        <v>24.1550137137266</v>
      </c>
      <c r="N1186">
        <v>49.273411801988097</v>
      </c>
      <c r="O1186">
        <v>45.073470389431897</v>
      </c>
      <c r="P1186">
        <v>-7.6927338087836805E-2</v>
      </c>
      <c r="Q1186">
        <v>0.42582046232394</v>
      </c>
      <c r="R1186">
        <v>0.85151856309675</v>
      </c>
      <c r="S1186" t="s">
        <v>7588</v>
      </c>
      <c r="T1186" t="s">
        <v>12802</v>
      </c>
      <c r="U1186" t="s">
        <v>12802</v>
      </c>
      <c r="V1186" t="s">
        <v>12802</v>
      </c>
      <c r="W1186" t="s">
        <v>13959</v>
      </c>
      <c r="X1186">
        <v>7</v>
      </c>
      <c r="Y1186" t="s">
        <v>20275</v>
      </c>
      <c r="Z1186" t="s">
        <v>26504</v>
      </c>
      <c r="AA1186">
        <v>0.59130574071990638</v>
      </c>
      <c r="AB1186" t="str">
        <f>HYPERLINK("Melting_Curves/meltCurve_J3KPS0_DNAJB12.pdf", "Melting_Curves/meltCurve_J3KPS0_DNAJB12.pdf")</f>
        <v>Melting_Curves/meltCurve_J3KPS0_DNAJB12.pdf</v>
      </c>
    </row>
    <row r="1187" spans="1:28" x14ac:dyDescent="0.25">
      <c r="A1187" t="s">
        <v>1191</v>
      </c>
      <c r="B1187">
        <v>0.99542014353169495</v>
      </c>
      <c r="C1187">
        <v>0.93549724731810702</v>
      </c>
      <c r="D1187">
        <v>0.84417367340471305</v>
      </c>
      <c r="E1187">
        <v>0.65816092268769799</v>
      </c>
      <c r="F1187">
        <v>0.38790966238635599</v>
      </c>
      <c r="G1187">
        <v>0.172690422117355</v>
      </c>
      <c r="H1187">
        <v>7.8720726638143196E-2</v>
      </c>
      <c r="I1187">
        <v>4.8512254935368697E-2</v>
      </c>
      <c r="J1187">
        <v>3.9126648270381502E-2</v>
      </c>
      <c r="K1187">
        <v>4.8090334454506001E-2</v>
      </c>
      <c r="L1187">
        <v>715.69829779695397</v>
      </c>
      <c r="M1187">
        <v>14.7978991840113</v>
      </c>
      <c r="N1187">
        <v>48.429244795871099</v>
      </c>
      <c r="O1187">
        <v>47.507380053490898</v>
      </c>
      <c r="P1187">
        <v>-7.7121272052215806E-2</v>
      </c>
      <c r="Q1187">
        <v>9.7407174111583394E-3</v>
      </c>
      <c r="R1187">
        <v>0.99806288649883501</v>
      </c>
      <c r="S1187" t="s">
        <v>7589</v>
      </c>
      <c r="T1187" t="s">
        <v>12802</v>
      </c>
      <c r="U1187" t="s">
        <v>12802</v>
      </c>
      <c r="V1187" t="s">
        <v>12802</v>
      </c>
      <c r="W1187" t="s">
        <v>13960</v>
      </c>
      <c r="X1187">
        <v>8</v>
      </c>
      <c r="Y1187" t="s">
        <v>20276</v>
      </c>
      <c r="Z1187" t="s">
        <v>26505</v>
      </c>
      <c r="AA1187">
        <v>0.40699651517363528</v>
      </c>
      <c r="AB1187" t="str">
        <f>HYPERLINK("Melting_Curves/meltCurve_J3KPT4_TRABD.pdf", "Melting_Curves/meltCurve_J3KPT4_TRABD.pdf")</f>
        <v>Melting_Curves/meltCurve_J3KPT4_TRABD.pdf</v>
      </c>
    </row>
    <row r="1188" spans="1:28" x14ac:dyDescent="0.25">
      <c r="A1188" t="s">
        <v>1192</v>
      </c>
      <c r="B1188">
        <v>0.99542014353169495</v>
      </c>
      <c r="C1188">
        <v>1.01505544066956</v>
      </c>
      <c r="D1188">
        <v>0.95937310556145805</v>
      </c>
      <c r="E1188">
        <v>0.84797033975474401</v>
      </c>
      <c r="F1188">
        <v>0.46474150284953702</v>
      </c>
      <c r="G1188">
        <v>0.20454695887646501</v>
      </c>
      <c r="H1188">
        <v>0.12687977716254001</v>
      </c>
      <c r="I1188">
        <v>8.5126502002352097E-2</v>
      </c>
      <c r="J1188">
        <v>9.9949614091390193E-2</v>
      </c>
      <c r="K1188">
        <v>9.2541377107417694E-2</v>
      </c>
      <c r="L1188">
        <v>1222.4832537541599</v>
      </c>
      <c r="M1188">
        <v>24.689086397250499</v>
      </c>
      <c r="N1188">
        <v>49.918621067380997</v>
      </c>
      <c r="O1188">
        <v>49.193719015646003</v>
      </c>
      <c r="P1188">
        <v>-0.11412107405783201</v>
      </c>
      <c r="Q1188">
        <v>9.0454883841467201E-2</v>
      </c>
      <c r="R1188">
        <v>0.99931452084764805</v>
      </c>
      <c r="S1188" t="s">
        <v>7590</v>
      </c>
      <c r="T1188" t="s">
        <v>12802</v>
      </c>
      <c r="U1188" t="s">
        <v>12802</v>
      </c>
      <c r="V1188" t="s">
        <v>12802</v>
      </c>
      <c r="W1188" t="s">
        <v>13961</v>
      </c>
      <c r="X1188">
        <v>16</v>
      </c>
      <c r="Y1188" t="s">
        <v>20277</v>
      </c>
      <c r="Z1188" t="s">
        <v>26506</v>
      </c>
      <c r="AA1188">
        <v>0.47799400249695723</v>
      </c>
      <c r="AB1188" t="str">
        <f>HYPERLINK("Melting_Curves/meltCurve_J3KPV7_MPST.pdf", "Melting_Curves/meltCurve_J3KPV7_MPST.pdf")</f>
        <v>Melting_Curves/meltCurve_J3KPV7_MPST.pdf</v>
      </c>
    </row>
    <row r="1189" spans="1:28" x14ac:dyDescent="0.25">
      <c r="A1189" t="s">
        <v>1193</v>
      </c>
      <c r="B1189">
        <v>0.99542014353169495</v>
      </c>
      <c r="C1189">
        <v>0.81349893207884605</v>
      </c>
      <c r="D1189">
        <v>0.77917125602917203</v>
      </c>
      <c r="E1189">
        <v>0.59044444584288902</v>
      </c>
      <c r="F1189">
        <v>0.47709206727992698</v>
      </c>
      <c r="G1189">
        <v>0.26592223247355801</v>
      </c>
      <c r="H1189">
        <v>8.9820354282308598E-2</v>
      </c>
      <c r="I1189">
        <v>5.6740710559660797E-2</v>
      </c>
      <c r="J1189">
        <v>5.02598608929175E-2</v>
      </c>
      <c r="K1189">
        <v>5.7763560362695102E-2</v>
      </c>
      <c r="L1189">
        <v>509.78477141683402</v>
      </c>
      <c r="M1189">
        <v>10.564321886786001</v>
      </c>
      <c r="N1189">
        <v>48.2553236537589</v>
      </c>
      <c r="O1189">
        <v>46.6225108469473</v>
      </c>
      <c r="P1189">
        <v>-5.6670513874628799E-2</v>
      </c>
      <c r="Q1189">
        <v>0</v>
      </c>
      <c r="R1189">
        <v>0.98147521969043405</v>
      </c>
      <c r="S1189" t="s">
        <v>7591</v>
      </c>
      <c r="T1189" t="s">
        <v>12802</v>
      </c>
      <c r="U1189" t="s">
        <v>12802</v>
      </c>
      <c r="V1189" t="s">
        <v>12802</v>
      </c>
      <c r="W1189" t="s">
        <v>13962</v>
      </c>
      <c r="X1189">
        <v>13</v>
      </c>
      <c r="Y1189" t="s">
        <v>20278</v>
      </c>
      <c r="Z1189" t="s">
        <v>26507</v>
      </c>
      <c r="AA1189">
        <v>0.41193790975736178</v>
      </c>
      <c r="AB1189" t="str">
        <f>HYPERLINK("Melting_Curves/meltCurve_J3KPW7_HDAC2.pdf", "Melting_Curves/meltCurve_J3KPW7_HDAC2.pdf")</f>
        <v>Melting_Curves/meltCurve_J3KPW7_HDAC2.pdf</v>
      </c>
    </row>
    <row r="1190" spans="1:28" x14ac:dyDescent="0.25">
      <c r="A1190" t="s">
        <v>1194</v>
      </c>
      <c r="B1190">
        <v>0.99542014353169495</v>
      </c>
      <c r="C1190">
        <v>0.74159623826691801</v>
      </c>
      <c r="D1190">
        <v>0.92345955843877103</v>
      </c>
      <c r="E1190">
        <v>0.51213012488765497</v>
      </c>
      <c r="F1190">
        <v>0.498842030298211</v>
      </c>
      <c r="G1190">
        <v>0.204297585141101</v>
      </c>
      <c r="H1190">
        <v>0.16548866418928099</v>
      </c>
      <c r="I1190">
        <v>8.5832567630251599E-2</v>
      </c>
      <c r="J1190">
        <v>9.9836026225673599E-2</v>
      </c>
      <c r="K1190">
        <v>6.0641425259346002E-2</v>
      </c>
      <c r="L1190">
        <v>494.32371669936902</v>
      </c>
      <c r="M1190">
        <v>10.2132788130994</v>
      </c>
      <c r="N1190">
        <v>48.400100102536697</v>
      </c>
      <c r="O1190">
        <v>46.654632938275803</v>
      </c>
      <c r="P1190">
        <v>-5.4752663244627797E-2</v>
      </c>
      <c r="Q1190">
        <v>0</v>
      </c>
      <c r="R1190">
        <v>0.94335414387111605</v>
      </c>
      <c r="S1190" t="s">
        <v>7592</v>
      </c>
      <c r="T1190" t="s">
        <v>12802</v>
      </c>
      <c r="U1190" t="s">
        <v>12802</v>
      </c>
      <c r="V1190" t="s">
        <v>12802</v>
      </c>
      <c r="W1190" t="s">
        <v>13963</v>
      </c>
      <c r="X1190">
        <v>19</v>
      </c>
      <c r="Y1190" t="s">
        <v>20279</v>
      </c>
      <c r="Z1190" t="s">
        <v>26508</v>
      </c>
      <c r="AA1190">
        <v>0.4179717310686783</v>
      </c>
      <c r="AB1190" t="str">
        <f>HYPERLINK("Melting_Curves/meltCurve_J3KPX7_PHB2.pdf", "Melting_Curves/meltCurve_J3KPX7_PHB2.pdf")</f>
        <v>Melting_Curves/meltCurve_J3KPX7_PHB2.pdf</v>
      </c>
    </row>
    <row r="1191" spans="1:28" x14ac:dyDescent="0.25">
      <c r="A1191" t="s">
        <v>1195</v>
      </c>
      <c r="B1191">
        <v>0.99542014353169495</v>
      </c>
      <c r="C1191">
        <v>1.00091925022159</v>
      </c>
      <c r="D1191">
        <v>0.98170732353498302</v>
      </c>
      <c r="E1191">
        <v>0.83998705132712603</v>
      </c>
      <c r="F1191">
        <v>0.60360501697389002</v>
      </c>
      <c r="G1191">
        <v>0.26921121688427102</v>
      </c>
      <c r="H1191">
        <v>0.12687384816317801</v>
      </c>
      <c r="I1191">
        <v>7.8174784566024003E-2</v>
      </c>
      <c r="J1191">
        <v>8.8431699132144798E-2</v>
      </c>
      <c r="K1191">
        <v>9.7073180361278696E-2</v>
      </c>
      <c r="L1191">
        <v>1066.45168218653</v>
      </c>
      <c r="M1191">
        <v>21.0610320717424</v>
      </c>
      <c r="N1191">
        <v>50.999829037855399</v>
      </c>
      <c r="O1191">
        <v>50.186392534775599</v>
      </c>
      <c r="P1191">
        <v>-9.7603315189655607E-2</v>
      </c>
      <c r="Q1191">
        <v>6.9708271740851396E-2</v>
      </c>
      <c r="R1191">
        <v>0.99819291448178005</v>
      </c>
      <c r="S1191" t="s">
        <v>7593</v>
      </c>
      <c r="T1191" t="s">
        <v>12802</v>
      </c>
      <c r="U1191" t="s">
        <v>12802</v>
      </c>
      <c r="V1191" t="s">
        <v>12802</v>
      </c>
      <c r="W1191" t="s">
        <v>13964</v>
      </c>
      <c r="X1191">
        <v>67</v>
      </c>
      <c r="Y1191" t="s">
        <v>20280</v>
      </c>
      <c r="Z1191" t="s">
        <v>26509</v>
      </c>
      <c r="AA1191">
        <v>0.50373905932338248</v>
      </c>
      <c r="AB1191" t="str">
        <f>HYPERLINK("Melting_Curves/meltCurve_J3KPX8_MAP1A.pdf", "Melting_Curves/meltCurve_J3KPX8_MAP1A.pdf")</f>
        <v>Melting_Curves/meltCurve_J3KPX8_MAP1A.pdf</v>
      </c>
    </row>
    <row r="1192" spans="1:28" x14ac:dyDescent="0.25">
      <c r="A1192" t="s">
        <v>1196</v>
      </c>
      <c r="B1192">
        <v>0.99542014353169495</v>
      </c>
      <c r="C1192">
        <v>0.88214803870286895</v>
      </c>
      <c r="D1192">
        <v>0.94859953485951898</v>
      </c>
      <c r="E1192">
        <v>0.86793696952574395</v>
      </c>
      <c r="F1192">
        <v>0.72631168566040205</v>
      </c>
      <c r="G1192">
        <v>0.53119168152443497</v>
      </c>
      <c r="H1192">
        <v>0.34829625941655501</v>
      </c>
      <c r="I1192">
        <v>0.24609069042055101</v>
      </c>
      <c r="J1192">
        <v>0.27998862788558299</v>
      </c>
      <c r="K1192">
        <v>0.303132286906454</v>
      </c>
      <c r="L1192">
        <v>780.19881513260202</v>
      </c>
      <c r="M1192">
        <v>15.0705567759916</v>
      </c>
      <c r="N1192">
        <v>53.997328397749399</v>
      </c>
      <c r="O1192">
        <v>50.883855265317003</v>
      </c>
      <c r="P1192">
        <v>-5.6909315796509902E-2</v>
      </c>
      <c r="Q1192">
        <v>0.231487082002681</v>
      </c>
      <c r="R1192">
        <v>0.97641840026877802</v>
      </c>
      <c r="S1192" t="s">
        <v>7594</v>
      </c>
      <c r="T1192" t="s">
        <v>12802</v>
      </c>
      <c r="U1192" t="s">
        <v>12802</v>
      </c>
      <c r="V1192" t="s">
        <v>12802</v>
      </c>
      <c r="W1192" t="s">
        <v>13965</v>
      </c>
      <c r="X1192">
        <v>7</v>
      </c>
      <c r="Y1192" t="s">
        <v>20281</v>
      </c>
      <c r="Z1192" t="s">
        <v>26510</v>
      </c>
      <c r="AA1192">
        <v>0.62466180259809234</v>
      </c>
      <c r="AB1192" t="str">
        <f>HYPERLINK("Melting_Curves/meltCurve_J3KPY9_ANTXR2.pdf", "Melting_Curves/meltCurve_J3KPY9_ANTXR2.pdf")</f>
        <v>Melting_Curves/meltCurve_J3KPY9_ANTXR2.pdf</v>
      </c>
    </row>
    <row r="1193" spans="1:28" x14ac:dyDescent="0.25">
      <c r="A1193" t="s">
        <v>1197</v>
      </c>
      <c r="B1193">
        <v>0.99542014353169495</v>
      </c>
      <c r="C1193">
        <v>0.84472447354382396</v>
      </c>
      <c r="D1193">
        <v>0.53557307180897096</v>
      </c>
      <c r="E1193">
        <v>0.36545983162260398</v>
      </c>
      <c r="F1193">
        <v>0.28510957578821799</v>
      </c>
      <c r="G1193">
        <v>0.113562521444061</v>
      </c>
      <c r="H1193">
        <v>5.5586264258913803E-2</v>
      </c>
      <c r="I1193">
        <v>4.1290968649641401E-2</v>
      </c>
      <c r="J1193">
        <v>3.90796957060335E-2</v>
      </c>
      <c r="K1193">
        <v>8.6991813231107301E-2</v>
      </c>
      <c r="L1193">
        <v>587.652472525245</v>
      </c>
      <c r="M1193">
        <v>13.2964489594192</v>
      </c>
      <c r="N1193">
        <v>44.495084825492199</v>
      </c>
      <c r="O1193">
        <v>43.232398940452903</v>
      </c>
      <c r="P1193">
        <v>-7.3616418664849595E-2</v>
      </c>
      <c r="Q1193">
        <v>4.2722032228739902E-2</v>
      </c>
      <c r="R1193">
        <v>0.98207055140438104</v>
      </c>
      <c r="S1193" t="s">
        <v>7595</v>
      </c>
      <c r="T1193" t="s">
        <v>12802</v>
      </c>
      <c r="U1193" t="s">
        <v>12802</v>
      </c>
      <c r="V1193" t="s">
        <v>12802</v>
      </c>
      <c r="W1193" t="s">
        <v>13966</v>
      </c>
      <c r="X1193">
        <v>1</v>
      </c>
      <c r="Y1193" t="s">
        <v>20282</v>
      </c>
      <c r="Z1193" t="s">
        <v>26511</v>
      </c>
      <c r="AA1193">
        <v>0.3023670336173036</v>
      </c>
      <c r="AB1193" t="str">
        <f>HYPERLINK("Melting_Curves/meltCurve_J3KPZ8_RFXANK.pdf", "Melting_Curves/meltCurve_J3KPZ8_RFXANK.pdf")</f>
        <v>Melting_Curves/meltCurve_J3KPZ8_RFXANK.pdf</v>
      </c>
    </row>
    <row r="1194" spans="1:28" x14ac:dyDescent="0.25">
      <c r="A1194" t="s">
        <v>1198</v>
      </c>
      <c r="B1194">
        <v>0.99542014353169495</v>
      </c>
      <c r="C1194">
        <v>0.99562242467167295</v>
      </c>
      <c r="D1194">
        <v>0.96991933237435402</v>
      </c>
      <c r="E1194">
        <v>0.93381253353652505</v>
      </c>
      <c r="F1194">
        <v>0.78613271808615504</v>
      </c>
      <c r="G1194">
        <v>0.361921513260684</v>
      </c>
      <c r="H1194">
        <v>5.5005924155137602E-2</v>
      </c>
      <c r="I1194">
        <v>3.64284836023148E-2</v>
      </c>
      <c r="J1194">
        <v>2.9420525811945101E-2</v>
      </c>
      <c r="K1194">
        <v>3.51948948160552E-2</v>
      </c>
      <c r="L1194">
        <v>1481.2644983338701</v>
      </c>
      <c r="M1194">
        <v>28.226667184616201</v>
      </c>
      <c r="N1194">
        <v>52.537298503120198</v>
      </c>
      <c r="O1194">
        <v>52.2161913526052</v>
      </c>
      <c r="P1194">
        <v>-0.13300664710215401</v>
      </c>
      <c r="Q1194">
        <v>1.58178923772818E-2</v>
      </c>
      <c r="R1194">
        <v>0.99743852448488801</v>
      </c>
      <c r="S1194" t="s">
        <v>7596</v>
      </c>
      <c r="T1194" t="s">
        <v>12802</v>
      </c>
      <c r="U1194" t="s">
        <v>12802</v>
      </c>
      <c r="V1194" t="s">
        <v>12802</v>
      </c>
      <c r="W1194" t="s">
        <v>13967</v>
      </c>
      <c r="X1194">
        <v>15</v>
      </c>
      <c r="Y1194" t="s">
        <v>20283</v>
      </c>
      <c r="Z1194" t="s">
        <v>26512</v>
      </c>
      <c r="AA1194">
        <v>0.53056886545210458</v>
      </c>
      <c r="AB1194" t="str">
        <f>HYPERLINK("Melting_Curves/meltCurve_J3KQ32_OLA1.pdf", "Melting_Curves/meltCurve_J3KQ32_OLA1.pdf")</f>
        <v>Melting_Curves/meltCurve_J3KQ32_OLA1.pdf</v>
      </c>
    </row>
    <row r="1195" spans="1:28" x14ac:dyDescent="0.25">
      <c r="A1195" t="s">
        <v>1199</v>
      </c>
      <c r="B1195">
        <v>0.99542014353169495</v>
      </c>
      <c r="C1195">
        <v>0.87897258967079595</v>
      </c>
      <c r="D1195">
        <v>1.10562458037004</v>
      </c>
      <c r="E1195">
        <v>0.91059530294310498</v>
      </c>
      <c r="F1195">
        <v>0.87949427836176997</v>
      </c>
      <c r="G1195">
        <v>0.42439603254680602</v>
      </c>
      <c r="H1195">
        <v>7.6332741440647695E-2</v>
      </c>
      <c r="I1195">
        <v>5.1444468140735097E-2</v>
      </c>
      <c r="J1195">
        <v>3.0393930136130599E-2</v>
      </c>
      <c r="K1195">
        <v>3.2861904560516603E-2</v>
      </c>
      <c r="L1195">
        <v>1766.8607965353899</v>
      </c>
      <c r="M1195">
        <v>33.249764922373899</v>
      </c>
      <c r="N1195">
        <v>53.224845802169099</v>
      </c>
      <c r="O1195">
        <v>52.947934737754601</v>
      </c>
      <c r="P1195">
        <v>-0.15289675951537099</v>
      </c>
      <c r="Q1195">
        <v>2.6094461655758999E-2</v>
      </c>
      <c r="R1195">
        <v>0.98227881739368395</v>
      </c>
      <c r="S1195" t="s">
        <v>7597</v>
      </c>
      <c r="T1195" t="s">
        <v>12802</v>
      </c>
      <c r="U1195" t="s">
        <v>12802</v>
      </c>
      <c r="V1195" t="s">
        <v>12802</v>
      </c>
      <c r="W1195" t="s">
        <v>13968</v>
      </c>
      <c r="X1195">
        <v>8</v>
      </c>
      <c r="Y1195" t="s">
        <v>20284</v>
      </c>
      <c r="Z1195" t="s">
        <v>26513</v>
      </c>
      <c r="AA1195">
        <v>0.55513205501733387</v>
      </c>
      <c r="AB1195" t="str">
        <f>HYPERLINK("Melting_Curves/meltCurve_J3KQ34_COPS7B.pdf", "Melting_Curves/meltCurve_J3KQ34_COPS7B.pdf")</f>
        <v>Melting_Curves/meltCurve_J3KQ34_COPS7B.pdf</v>
      </c>
    </row>
    <row r="1196" spans="1:28" x14ac:dyDescent="0.25">
      <c r="A1196" t="s">
        <v>1200</v>
      </c>
      <c r="B1196">
        <v>0.99542014353169495</v>
      </c>
      <c r="C1196">
        <v>1.09571634387906</v>
      </c>
      <c r="D1196">
        <v>1.08117644399055</v>
      </c>
      <c r="E1196">
        <v>0.95333983879401996</v>
      </c>
      <c r="F1196">
        <v>0.93075127272631397</v>
      </c>
      <c r="G1196">
        <v>0.63437438901585297</v>
      </c>
      <c r="H1196">
        <v>0.59693674559769005</v>
      </c>
      <c r="I1196">
        <v>0.56971499599398001</v>
      </c>
      <c r="J1196">
        <v>0.80763047357760098</v>
      </c>
      <c r="K1196">
        <v>1.1080328437634701</v>
      </c>
      <c r="L1196">
        <v>12599.979652457099</v>
      </c>
      <c r="M1196">
        <v>250</v>
      </c>
      <c r="O1196">
        <v>50.396693456797003</v>
      </c>
      <c r="P1196">
        <v>-0.31830227070290401</v>
      </c>
      <c r="Q1196">
        <v>0.74333788943665902</v>
      </c>
      <c r="R1196">
        <v>0.45661888178628501</v>
      </c>
      <c r="S1196" t="s">
        <v>7598</v>
      </c>
      <c r="T1196" t="s">
        <v>12802</v>
      </c>
      <c r="U1196" t="s">
        <v>12802</v>
      </c>
      <c r="V1196" t="s">
        <v>12802</v>
      </c>
      <c r="W1196" t="s">
        <v>13969</v>
      </c>
      <c r="X1196">
        <v>18</v>
      </c>
      <c r="Y1196" t="s">
        <v>20285</v>
      </c>
      <c r="Z1196" t="s">
        <v>26514</v>
      </c>
      <c r="AA1196">
        <v>0.8580023045348617</v>
      </c>
      <c r="AB1196" t="str">
        <f>HYPERLINK("Melting_Curves/meltCurve_J3KQ45_TGOLN2.pdf", "Melting_Curves/meltCurve_J3KQ45_TGOLN2.pdf")</f>
        <v>Melting_Curves/meltCurve_J3KQ45_TGOLN2.pdf</v>
      </c>
    </row>
    <row r="1197" spans="1:28" x14ac:dyDescent="0.25">
      <c r="A1197" t="s">
        <v>1201</v>
      </c>
      <c r="B1197">
        <v>0.99542014353169495</v>
      </c>
      <c r="C1197">
        <v>0.96458875127315502</v>
      </c>
      <c r="D1197">
        <v>1.0329787827057799</v>
      </c>
      <c r="E1197">
        <v>0.96784266895208404</v>
      </c>
      <c r="F1197">
        <v>0.79198608581165997</v>
      </c>
      <c r="G1197">
        <v>0.51748299385068497</v>
      </c>
      <c r="H1197">
        <v>0.22849796345908199</v>
      </c>
      <c r="I1197">
        <v>8.6419675682351205E-2</v>
      </c>
      <c r="J1197">
        <v>6.9876530757602001E-2</v>
      </c>
      <c r="K1197">
        <v>9.0586409378927493E-2</v>
      </c>
      <c r="L1197">
        <v>1148.7078617280199</v>
      </c>
      <c r="M1197">
        <v>21.467490267716698</v>
      </c>
      <c r="N1197">
        <v>53.775431846199602</v>
      </c>
      <c r="O1197">
        <v>53.051355420127301</v>
      </c>
      <c r="P1197">
        <v>-9.6065680076573803E-2</v>
      </c>
      <c r="Q1197">
        <v>5.04173305137827E-2</v>
      </c>
      <c r="R1197">
        <v>0.99674823430276105</v>
      </c>
      <c r="S1197" t="s">
        <v>7599</v>
      </c>
      <c r="T1197" t="s">
        <v>12802</v>
      </c>
      <c r="U1197" t="s">
        <v>12802</v>
      </c>
      <c r="V1197" t="s">
        <v>12802</v>
      </c>
      <c r="W1197" t="s">
        <v>13970</v>
      </c>
      <c r="X1197">
        <v>10</v>
      </c>
      <c r="Y1197" t="s">
        <v>20286</v>
      </c>
      <c r="Z1197" t="s">
        <v>26515</v>
      </c>
      <c r="AA1197">
        <v>0.58359684797697564</v>
      </c>
      <c r="AB1197" t="str">
        <f>HYPERLINK("Melting_Curves/meltCurve_J3KQ48_PTRH2.pdf", "Melting_Curves/meltCurve_J3KQ48_PTRH2.pdf")</f>
        <v>Melting_Curves/meltCurve_J3KQ48_PTRH2.pdf</v>
      </c>
    </row>
    <row r="1198" spans="1:28" x14ac:dyDescent="0.25">
      <c r="A1198" t="s">
        <v>1202</v>
      </c>
      <c r="B1198">
        <v>0.99542014353169495</v>
      </c>
      <c r="C1198">
        <v>0.92707898944356804</v>
      </c>
      <c r="D1198">
        <v>0.997227648384308</v>
      </c>
      <c r="E1198">
        <v>0.79346690188638502</v>
      </c>
      <c r="F1198">
        <v>0.51322645214368001</v>
      </c>
      <c r="G1198">
        <v>0.222585018223008</v>
      </c>
      <c r="H1198">
        <v>0.104847468768348</v>
      </c>
      <c r="I1198">
        <v>6.5710328395644405E-2</v>
      </c>
      <c r="J1198">
        <v>7.8797522317267402E-2</v>
      </c>
      <c r="K1198">
        <v>9.5149451202629104E-2</v>
      </c>
      <c r="L1198">
        <v>1030.1380092504601</v>
      </c>
      <c r="M1198">
        <v>20.689637442941901</v>
      </c>
      <c r="N1198">
        <v>50.122997880545398</v>
      </c>
      <c r="O1198">
        <v>49.331896795983099</v>
      </c>
      <c r="P1198">
        <v>-9.8120299853095005E-2</v>
      </c>
      <c r="Q1198">
        <v>6.4203340271778403E-2</v>
      </c>
      <c r="R1198">
        <v>0.99478505668411199</v>
      </c>
      <c r="S1198" t="s">
        <v>7600</v>
      </c>
      <c r="T1198" t="s">
        <v>12802</v>
      </c>
      <c r="U1198" t="s">
        <v>12802</v>
      </c>
      <c r="V1198" t="s">
        <v>12802</v>
      </c>
      <c r="W1198" t="s">
        <v>13971</v>
      </c>
      <c r="X1198">
        <v>7</v>
      </c>
      <c r="Y1198" t="s">
        <v>20287</v>
      </c>
      <c r="Z1198" t="s">
        <v>26516</v>
      </c>
      <c r="AA1198">
        <v>0.47477323870293442</v>
      </c>
      <c r="AB1198" t="str">
        <f>HYPERLINK("Melting_Curves/meltCurve_J3KQ72_FBXO6.pdf", "Melting_Curves/meltCurve_J3KQ72_FBXO6.pdf")</f>
        <v>Melting_Curves/meltCurve_J3KQ72_FBXO6.pdf</v>
      </c>
    </row>
    <row r="1199" spans="1:28" x14ac:dyDescent="0.25">
      <c r="A1199" t="s">
        <v>1203</v>
      </c>
      <c r="B1199">
        <v>0.99542014353169495</v>
      </c>
      <c r="C1199">
        <v>0.98943050585564396</v>
      </c>
      <c r="D1199">
        <v>1.0546624551622401</v>
      </c>
      <c r="E1199">
        <v>0.92059530765236097</v>
      </c>
      <c r="F1199">
        <v>0.59225351422712902</v>
      </c>
      <c r="G1199">
        <v>0.22235442419516499</v>
      </c>
      <c r="H1199">
        <v>0.118656348178589</v>
      </c>
      <c r="I1199">
        <v>8.0231302879290603E-2</v>
      </c>
      <c r="J1199">
        <v>0.109296649114867</v>
      </c>
      <c r="K1199">
        <v>0.1025316746625</v>
      </c>
      <c r="L1199">
        <v>1507.7317942837301</v>
      </c>
      <c r="M1199">
        <v>29.844269008879198</v>
      </c>
      <c r="N1199">
        <v>50.879157183904702</v>
      </c>
      <c r="O1199">
        <v>50.294780900687797</v>
      </c>
      <c r="P1199">
        <v>-0.13425686352911601</v>
      </c>
      <c r="Q1199">
        <v>9.4985467702497398E-2</v>
      </c>
      <c r="R1199">
        <v>0.99737577519063403</v>
      </c>
      <c r="S1199" t="s">
        <v>7601</v>
      </c>
      <c r="T1199" t="s">
        <v>12802</v>
      </c>
      <c r="U1199" t="s">
        <v>12802</v>
      </c>
      <c r="V1199" t="s">
        <v>12802</v>
      </c>
      <c r="W1199" t="s">
        <v>13972</v>
      </c>
      <c r="X1199">
        <v>4</v>
      </c>
      <c r="Y1199" t="s">
        <v>20288</v>
      </c>
      <c r="Z1199" t="s">
        <v>26517</v>
      </c>
      <c r="AA1199">
        <v>0.50850079378740787</v>
      </c>
      <c r="AB1199" t="str">
        <f>HYPERLINK("Melting_Curves/meltCurve_J3KQ88_C6orf203.pdf", "Melting_Curves/meltCurve_J3KQ88_C6orf203.pdf")</f>
        <v>Melting_Curves/meltCurve_J3KQ88_C6orf203.pdf</v>
      </c>
    </row>
    <row r="1200" spans="1:28" x14ac:dyDescent="0.25">
      <c r="A1200" t="s">
        <v>1204</v>
      </c>
      <c r="B1200">
        <v>0.99542014353169495</v>
      </c>
      <c r="C1200">
        <v>1.04501219122595</v>
      </c>
      <c r="D1200">
        <v>0.91719353761009303</v>
      </c>
      <c r="E1200">
        <v>0.87369138206960095</v>
      </c>
      <c r="F1200">
        <v>0.71105294290349796</v>
      </c>
      <c r="G1200">
        <v>0.59962842291186502</v>
      </c>
      <c r="H1200">
        <v>0.26237898739356702</v>
      </c>
      <c r="I1200">
        <v>0.104920888523044</v>
      </c>
      <c r="J1200">
        <v>8.1105570203670693E-2</v>
      </c>
      <c r="K1200">
        <v>6.3021269903190597E-2</v>
      </c>
      <c r="L1200">
        <v>786.92691443400702</v>
      </c>
      <c r="M1200">
        <v>14.599383438000499</v>
      </c>
      <c r="N1200">
        <v>53.901380032605701</v>
      </c>
      <c r="O1200">
        <v>52.920362379612897</v>
      </c>
      <c r="P1200">
        <v>-6.8976393613843598E-2</v>
      </c>
      <c r="Q1200">
        <v>0</v>
      </c>
      <c r="R1200">
        <v>0.98585660410967801</v>
      </c>
      <c r="S1200" t="s">
        <v>7602</v>
      </c>
      <c r="T1200" t="s">
        <v>12802</v>
      </c>
      <c r="U1200" t="s">
        <v>12802</v>
      </c>
      <c r="V1200" t="s">
        <v>12802</v>
      </c>
      <c r="W1200" t="s">
        <v>13973</v>
      </c>
      <c r="X1200">
        <v>20</v>
      </c>
      <c r="Y1200" t="s">
        <v>20289</v>
      </c>
      <c r="Z1200" t="s">
        <v>26518</v>
      </c>
      <c r="AA1200">
        <v>0.58007827152320657</v>
      </c>
      <c r="AB1200" t="str">
        <f>HYPERLINK("Melting_Curves/meltCurve_J3KQB0_THUMPD1.pdf", "Melting_Curves/meltCurve_J3KQB0_THUMPD1.pdf")</f>
        <v>Melting_Curves/meltCurve_J3KQB0_THUMPD1.pdf</v>
      </c>
    </row>
    <row r="1201" spans="1:28" x14ac:dyDescent="0.25">
      <c r="A1201" t="s">
        <v>1205</v>
      </c>
      <c r="B1201">
        <v>0.99542014353169495</v>
      </c>
      <c r="C1201">
        <v>1.0015262743728099</v>
      </c>
      <c r="D1201">
        <v>0.82788500194526304</v>
      </c>
      <c r="E1201">
        <v>0.78398696972109805</v>
      </c>
      <c r="F1201">
        <v>0.59891981589158805</v>
      </c>
      <c r="G1201">
        <v>0.46420085667959599</v>
      </c>
      <c r="H1201">
        <v>0.281199460474859</v>
      </c>
      <c r="I1201">
        <v>0.201132268112267</v>
      </c>
      <c r="J1201">
        <v>0.14080902301882101</v>
      </c>
      <c r="K1201">
        <v>8.1820062033118299E-2</v>
      </c>
      <c r="L1201">
        <v>515.58357276649599</v>
      </c>
      <c r="M1201">
        <v>9.8506085093558102</v>
      </c>
      <c r="N1201">
        <v>52.340276460787003</v>
      </c>
      <c r="O1201">
        <v>50.320097454112002</v>
      </c>
      <c r="P1201">
        <v>-4.8964945212963899E-2</v>
      </c>
      <c r="Q1201">
        <v>0</v>
      </c>
      <c r="R1201">
        <v>0.99239569030586405</v>
      </c>
      <c r="S1201" t="s">
        <v>7603</v>
      </c>
      <c r="T1201" t="s">
        <v>12802</v>
      </c>
      <c r="U1201" t="s">
        <v>12802</v>
      </c>
      <c r="V1201" t="s">
        <v>12802</v>
      </c>
      <c r="W1201" t="s">
        <v>13974</v>
      </c>
      <c r="X1201">
        <v>6</v>
      </c>
      <c r="Y1201" t="s">
        <v>20290</v>
      </c>
      <c r="Z1201" t="s">
        <v>26519</v>
      </c>
      <c r="AA1201">
        <v>0.53674513522087675</v>
      </c>
      <c r="AB1201" t="str">
        <f>HYPERLINK("Melting_Curves/meltCurve_J3KQG4_GBA.pdf", "Melting_Curves/meltCurve_J3KQG4_GBA.pdf")</f>
        <v>Melting_Curves/meltCurve_J3KQG4_GBA.pdf</v>
      </c>
    </row>
    <row r="1202" spans="1:28" x14ac:dyDescent="0.25">
      <c r="A1202" t="s">
        <v>1206</v>
      </c>
      <c r="B1202">
        <v>0.99542014353169495</v>
      </c>
      <c r="C1202">
        <v>0.94877789061220097</v>
      </c>
      <c r="D1202">
        <v>0.80634270491319604</v>
      </c>
      <c r="E1202">
        <v>0.66935342705400602</v>
      </c>
      <c r="F1202">
        <v>0.43678039221982501</v>
      </c>
      <c r="G1202">
        <v>0.223384137707585</v>
      </c>
      <c r="H1202">
        <v>0.12848219371677699</v>
      </c>
      <c r="I1202">
        <v>6.7657877368505898E-2</v>
      </c>
      <c r="J1202">
        <v>6.4415443307231507E-2</v>
      </c>
      <c r="K1202">
        <v>5.1409691310737901E-2</v>
      </c>
      <c r="L1202">
        <v>613.012597534007</v>
      </c>
      <c r="M1202">
        <v>12.5561162942456</v>
      </c>
      <c r="N1202">
        <v>48.870725159364397</v>
      </c>
      <c r="O1202">
        <v>47.633093365270099</v>
      </c>
      <c r="P1202">
        <v>-6.55020876053546E-2</v>
      </c>
      <c r="Q1202">
        <v>6.2416785473829901E-3</v>
      </c>
      <c r="R1202">
        <v>0.99730271916253999</v>
      </c>
      <c r="S1202" t="s">
        <v>7604</v>
      </c>
      <c r="T1202" t="s">
        <v>12802</v>
      </c>
      <c r="U1202" t="s">
        <v>12802</v>
      </c>
      <c r="V1202" t="s">
        <v>12802</v>
      </c>
      <c r="W1202" t="s">
        <v>13975</v>
      </c>
      <c r="X1202">
        <v>4</v>
      </c>
      <c r="Y1202" t="s">
        <v>20291</v>
      </c>
      <c r="Z1202" t="s">
        <v>26520</v>
      </c>
      <c r="AA1202">
        <v>0.42586470001142401</v>
      </c>
      <c r="AB1202" t="str">
        <f>HYPERLINK("Melting_Curves/meltCurve_J3KQJ9_VWDE.pdf", "Melting_Curves/meltCurve_J3KQJ9_VWDE.pdf")</f>
        <v>Melting_Curves/meltCurve_J3KQJ9_VWDE.pdf</v>
      </c>
    </row>
    <row r="1203" spans="1:28" x14ac:dyDescent="0.25">
      <c r="A1203" t="s">
        <v>1207</v>
      </c>
      <c r="B1203">
        <v>0.99542014353169495</v>
      </c>
      <c r="C1203">
        <v>1.1195877584176901</v>
      </c>
      <c r="D1203">
        <v>0.97273233181474905</v>
      </c>
      <c r="E1203">
        <v>0.67387316201006797</v>
      </c>
      <c r="F1203">
        <v>0.50083708660028003</v>
      </c>
      <c r="G1203">
        <v>0.27548458070984</v>
      </c>
      <c r="H1203">
        <v>0.16010075768040599</v>
      </c>
      <c r="I1203">
        <v>0.111513361445831</v>
      </c>
      <c r="J1203">
        <v>0.105275731290232</v>
      </c>
      <c r="K1203">
        <v>0.116369221615538</v>
      </c>
      <c r="L1203">
        <v>849.36959480783105</v>
      </c>
      <c r="M1203">
        <v>17.282685257511499</v>
      </c>
      <c r="N1203">
        <v>49.763021517385504</v>
      </c>
      <c r="O1203">
        <v>48.501870711752296</v>
      </c>
      <c r="P1203">
        <v>-8.0492074468813901E-2</v>
      </c>
      <c r="Q1203">
        <v>9.6485287110889398E-2</v>
      </c>
      <c r="R1203">
        <v>0.98176981148255404</v>
      </c>
      <c r="S1203" t="s">
        <v>7605</v>
      </c>
      <c r="T1203" t="s">
        <v>12802</v>
      </c>
      <c r="U1203" t="s">
        <v>12802</v>
      </c>
      <c r="V1203" t="s">
        <v>12802</v>
      </c>
      <c r="W1203" t="s">
        <v>13976</v>
      </c>
      <c r="X1203">
        <v>7</v>
      </c>
      <c r="Y1203" t="s">
        <v>20292</v>
      </c>
      <c r="Z1203" t="s">
        <v>26521</v>
      </c>
      <c r="AA1203">
        <v>0.47766358194890712</v>
      </c>
      <c r="AB1203" t="str">
        <f>HYPERLINK("Melting_Curves/meltCurve_J3KQL8_APOL2.pdf", "Melting_Curves/meltCurve_J3KQL8_APOL2.pdf")</f>
        <v>Melting_Curves/meltCurve_J3KQL8_APOL2.pdf</v>
      </c>
    </row>
    <row r="1204" spans="1:28" x14ac:dyDescent="0.25">
      <c r="A1204" t="s">
        <v>1208</v>
      </c>
      <c r="B1204">
        <v>0.99542014353169495</v>
      </c>
      <c r="C1204">
        <v>0.82731011383947195</v>
      </c>
      <c r="D1204">
        <v>0.477471830479964</v>
      </c>
      <c r="E1204">
        <v>0.31919835827391602</v>
      </c>
      <c r="F1204">
        <v>0.22381972675624501</v>
      </c>
      <c r="G1204">
        <v>9.4039365601046296E-2</v>
      </c>
      <c r="H1204">
        <v>0.10260894359419299</v>
      </c>
      <c r="I1204">
        <v>6.04452082586142E-2</v>
      </c>
      <c r="J1204">
        <v>4.7466454543029203E-2</v>
      </c>
      <c r="K1204">
        <v>8.0111682959997599E-2</v>
      </c>
      <c r="L1204">
        <v>682.13885156444996</v>
      </c>
      <c r="M1204">
        <v>15.8088103217386</v>
      </c>
      <c r="N1204">
        <v>43.580205267410797</v>
      </c>
      <c r="O1204">
        <v>42.476545352415002</v>
      </c>
      <c r="P1204">
        <v>-8.6319112158208297E-2</v>
      </c>
      <c r="Q1204">
        <v>7.2356208414590201E-2</v>
      </c>
      <c r="R1204">
        <v>0.98519782574005899</v>
      </c>
      <c r="S1204" t="s">
        <v>7606</v>
      </c>
      <c r="T1204" t="s">
        <v>12802</v>
      </c>
      <c r="U1204" t="s">
        <v>12802</v>
      </c>
      <c r="V1204" t="s">
        <v>12802</v>
      </c>
      <c r="W1204" t="s">
        <v>13977</v>
      </c>
      <c r="X1204">
        <v>2</v>
      </c>
      <c r="Y1204" t="s">
        <v>20293</v>
      </c>
      <c r="Z1204" t="s">
        <v>26522</v>
      </c>
      <c r="AA1204">
        <v>0.28416627477478629</v>
      </c>
      <c r="AB1204" t="str">
        <f>HYPERLINK("Melting_Curves/meltCurve_J3KQS2_CDC7.pdf", "Melting_Curves/meltCurve_J3KQS2_CDC7.pdf")</f>
        <v>Melting_Curves/meltCurve_J3KQS2_CDC7.pdf</v>
      </c>
    </row>
    <row r="1205" spans="1:28" x14ac:dyDescent="0.25">
      <c r="A1205" t="s">
        <v>1209</v>
      </c>
      <c r="B1205">
        <v>0.99542014353169495</v>
      </c>
      <c r="C1205">
        <v>0.94332930019078598</v>
      </c>
      <c r="D1205">
        <v>0.83098431447032695</v>
      </c>
      <c r="E1205">
        <v>0.640165008694358</v>
      </c>
      <c r="F1205">
        <v>0.47103848890635502</v>
      </c>
      <c r="G1205">
        <v>0.31621029718487298</v>
      </c>
      <c r="H1205">
        <v>0.25967383315637399</v>
      </c>
      <c r="I1205">
        <v>0.17644900638991701</v>
      </c>
      <c r="J1205">
        <v>0.118938630290777</v>
      </c>
      <c r="K1205">
        <v>5.36509589574077E-2</v>
      </c>
      <c r="L1205">
        <v>496.54645068366102</v>
      </c>
      <c r="M1205">
        <v>10.0230946549301</v>
      </c>
      <c r="N1205">
        <v>49.794448819661298</v>
      </c>
      <c r="O1205">
        <v>47.689366862647702</v>
      </c>
      <c r="P1205">
        <v>-5.1257735701235797E-2</v>
      </c>
      <c r="Q1205">
        <v>2.4943034760047202E-2</v>
      </c>
      <c r="R1205">
        <v>0.99516485270847199</v>
      </c>
      <c r="S1205" t="s">
        <v>7607</v>
      </c>
      <c r="T1205" t="s">
        <v>12802</v>
      </c>
      <c r="U1205" t="s">
        <v>12802</v>
      </c>
      <c r="V1205" t="s">
        <v>12802</v>
      </c>
      <c r="W1205" t="s">
        <v>13978</v>
      </c>
      <c r="X1205">
        <v>6</v>
      </c>
      <c r="Y1205" t="s">
        <v>20294</v>
      </c>
      <c r="Z1205" t="s">
        <v>26523</v>
      </c>
      <c r="AA1205">
        <v>0.46698954771977519</v>
      </c>
      <c r="AB1205" t="str">
        <f>HYPERLINK("Melting_Curves/meltCurve_J3KQS6_BABAM1.pdf", "Melting_Curves/meltCurve_J3KQS6_BABAM1.pdf")</f>
        <v>Melting_Curves/meltCurve_J3KQS6_BABAM1.pdf</v>
      </c>
    </row>
    <row r="1206" spans="1:28" x14ac:dyDescent="0.25">
      <c r="A1206" t="s">
        <v>1210</v>
      </c>
      <c r="B1206">
        <v>0.99542014353169495</v>
      </c>
      <c r="C1206">
        <v>1.26922297583725</v>
      </c>
      <c r="D1206">
        <v>1.2663351640360001</v>
      </c>
      <c r="E1206">
        <v>0.94104768873870803</v>
      </c>
      <c r="F1206">
        <v>0.56543806015996301</v>
      </c>
      <c r="G1206">
        <v>0.57938070188458501</v>
      </c>
      <c r="H1206">
        <v>0.30661054237120999</v>
      </c>
      <c r="I1206">
        <v>0.16083118286227299</v>
      </c>
      <c r="J1206">
        <v>0.43250817642448303</v>
      </c>
      <c r="K1206">
        <v>0.10288232754009501</v>
      </c>
      <c r="L1206">
        <v>1018.22087030212</v>
      </c>
      <c r="M1206">
        <v>19.800037969079401</v>
      </c>
      <c r="N1206">
        <v>53.0442210764311</v>
      </c>
      <c r="O1206">
        <v>50.909269040559401</v>
      </c>
      <c r="P1206">
        <v>-7.5184048224856304E-2</v>
      </c>
      <c r="Q1206">
        <v>0.22678240206155001</v>
      </c>
      <c r="R1206">
        <v>0.84966650070776595</v>
      </c>
      <c r="S1206" t="s">
        <v>7608</v>
      </c>
      <c r="T1206" t="s">
        <v>12802</v>
      </c>
      <c r="U1206" t="s">
        <v>12802</v>
      </c>
      <c r="V1206" t="s">
        <v>12802</v>
      </c>
      <c r="W1206" t="s">
        <v>13979</v>
      </c>
      <c r="X1206">
        <v>1</v>
      </c>
      <c r="Y1206" t="s">
        <v>20295</v>
      </c>
      <c r="Z1206" t="s">
        <v>26524</v>
      </c>
      <c r="AA1206">
        <v>0.60881762929097882</v>
      </c>
      <c r="AB1206" t="str">
        <f>HYPERLINK("Melting_Curves/meltCurve_J3KQU5_EPHB6.pdf", "Melting_Curves/meltCurve_J3KQU5_EPHB6.pdf")</f>
        <v>Melting_Curves/meltCurve_J3KQU5_EPHB6.pdf</v>
      </c>
    </row>
    <row r="1207" spans="1:28" x14ac:dyDescent="0.25">
      <c r="A1207" t="s">
        <v>1211</v>
      </c>
      <c r="B1207">
        <v>0.99542014353169495</v>
      </c>
      <c r="C1207">
        <v>0.88753353529993595</v>
      </c>
      <c r="D1207">
        <v>0.87651749356026099</v>
      </c>
      <c r="E1207">
        <v>0.48121870623755397</v>
      </c>
      <c r="F1207">
        <v>0.189810462647034</v>
      </c>
      <c r="G1207">
        <v>0.10196526328200201</v>
      </c>
      <c r="H1207">
        <v>5.78769254838086E-2</v>
      </c>
      <c r="I1207">
        <v>3.3470189477716898E-2</v>
      </c>
      <c r="J1207">
        <v>5.7805564336202202E-2</v>
      </c>
      <c r="K1207">
        <v>3.0109264479406098E-2</v>
      </c>
      <c r="L1207">
        <v>964.99218465263698</v>
      </c>
      <c r="M1207">
        <v>20.834982181885799</v>
      </c>
      <c r="N1207">
        <v>46.496747550014398</v>
      </c>
      <c r="O1207">
        <v>45.895599955147702</v>
      </c>
      <c r="P1207">
        <v>-0.10907844386233199</v>
      </c>
      <c r="Q1207">
        <v>3.8907913156927897E-2</v>
      </c>
      <c r="R1207">
        <v>0.99411549195751603</v>
      </c>
      <c r="S1207" t="s">
        <v>7609</v>
      </c>
      <c r="T1207" t="s">
        <v>12802</v>
      </c>
      <c r="U1207" t="s">
        <v>12802</v>
      </c>
      <c r="V1207" t="s">
        <v>12802</v>
      </c>
      <c r="W1207" t="s">
        <v>13980</v>
      </c>
      <c r="X1207">
        <v>16</v>
      </c>
      <c r="Y1207" t="s">
        <v>20296</v>
      </c>
      <c r="Z1207" t="s">
        <v>26525</v>
      </c>
      <c r="AA1207">
        <v>0.34893035452055521</v>
      </c>
      <c r="AB1207" t="str">
        <f>HYPERLINK("Melting_Curves/meltCurve_J3KQU9_AP1G1.pdf", "Melting_Curves/meltCurve_J3KQU9_AP1G1.pdf")</f>
        <v>Melting_Curves/meltCurve_J3KQU9_AP1G1.pdf</v>
      </c>
    </row>
    <row r="1208" spans="1:28" x14ac:dyDescent="0.25">
      <c r="A1208" t="s">
        <v>1212</v>
      </c>
      <c r="B1208">
        <v>0.99542014353169495</v>
      </c>
      <c r="C1208">
        <v>0.99823153755176997</v>
      </c>
      <c r="D1208">
        <v>0.99533558689018597</v>
      </c>
      <c r="E1208">
        <v>0.99159355948629502</v>
      </c>
      <c r="F1208">
        <v>0.82778069546080901</v>
      </c>
      <c r="G1208">
        <v>0.73657536510019295</v>
      </c>
      <c r="H1208">
        <v>0.61546316513944399</v>
      </c>
      <c r="I1208">
        <v>0.63006876741387996</v>
      </c>
      <c r="J1208">
        <v>0.98006695418524103</v>
      </c>
      <c r="K1208">
        <v>1.37315224316393</v>
      </c>
      <c r="L1208">
        <v>15000</v>
      </c>
      <c r="M1208">
        <v>224.959464984975</v>
      </c>
      <c r="O1208">
        <v>66.673409565505494</v>
      </c>
      <c r="P1208">
        <v>0.421756339841238</v>
      </c>
      <c r="Q1208">
        <v>1.5</v>
      </c>
      <c r="R1208">
        <v>0.14640905382427699</v>
      </c>
      <c r="S1208" t="s">
        <v>7610</v>
      </c>
      <c r="T1208" t="s">
        <v>12802</v>
      </c>
      <c r="U1208" t="s">
        <v>12802</v>
      </c>
      <c r="V1208" t="s">
        <v>12802</v>
      </c>
      <c r="W1208" t="s">
        <v>13981</v>
      </c>
      <c r="X1208">
        <v>11</v>
      </c>
      <c r="Y1208" t="s">
        <v>20297</v>
      </c>
      <c r="Z1208" t="s">
        <v>26526</v>
      </c>
      <c r="AA1208">
        <v>1.006757003166769</v>
      </c>
      <c r="AB1208" t="str">
        <f>HYPERLINK("Melting_Curves/meltCurve_J3KR35_CCDC12.pdf", "Melting_Curves/meltCurve_J3KR35_CCDC12.pdf")</f>
        <v>Melting_Curves/meltCurve_J3KR35_CCDC12.pdf</v>
      </c>
    </row>
    <row r="1209" spans="1:28" x14ac:dyDescent="0.25">
      <c r="A1209" t="s">
        <v>1213</v>
      </c>
      <c r="B1209">
        <v>0.99542014353169495</v>
      </c>
      <c r="C1209">
        <v>0.98510354060659899</v>
      </c>
      <c r="D1209">
        <v>0.89642744211088699</v>
      </c>
      <c r="E1209">
        <v>0.421636061269971</v>
      </c>
      <c r="F1209">
        <v>0.21599132939749899</v>
      </c>
      <c r="G1209">
        <v>0.117172956101082</v>
      </c>
      <c r="H1209">
        <v>8.41347570763811E-2</v>
      </c>
      <c r="I1209">
        <v>6.9850743524010606E-2</v>
      </c>
      <c r="J1209">
        <v>7.8679291721286099E-2</v>
      </c>
      <c r="K1209">
        <v>8.39939769071507E-2</v>
      </c>
      <c r="L1209">
        <v>1221.0066016016899</v>
      </c>
      <c r="M1209">
        <v>26.608501989108401</v>
      </c>
      <c r="N1209">
        <v>46.220450486412403</v>
      </c>
      <c r="O1209">
        <v>45.631013660275997</v>
      </c>
      <c r="P1209">
        <v>-0.13308014607483701</v>
      </c>
      <c r="Q1209">
        <v>8.7131350738012106E-2</v>
      </c>
      <c r="R1209">
        <v>0.99706734042624101</v>
      </c>
      <c r="S1209" t="s">
        <v>7611</v>
      </c>
      <c r="T1209" t="s">
        <v>12802</v>
      </c>
      <c r="U1209" t="s">
        <v>12802</v>
      </c>
      <c r="V1209" t="s">
        <v>12802</v>
      </c>
      <c r="W1209" t="s">
        <v>13982</v>
      </c>
      <c r="X1209">
        <v>11</v>
      </c>
      <c r="Y1209" t="s">
        <v>20298</v>
      </c>
      <c r="Z1209" t="s">
        <v>26527</v>
      </c>
      <c r="AA1209">
        <v>0.36422481279578728</v>
      </c>
      <c r="AB1209" t="str">
        <f>HYPERLINK("Melting_Curves/meltCurve_J3KR55_PTPN7.pdf", "Melting_Curves/meltCurve_J3KR55_PTPN7.pdf")</f>
        <v>Melting_Curves/meltCurve_J3KR55_PTPN7.pdf</v>
      </c>
    </row>
    <row r="1210" spans="1:28" x14ac:dyDescent="0.25">
      <c r="A1210" t="s">
        <v>1214</v>
      </c>
      <c r="B1210">
        <v>0.99542014353169495</v>
      </c>
      <c r="C1210">
        <v>0.98421550599982399</v>
      </c>
      <c r="D1210">
        <v>0.89453507247206698</v>
      </c>
      <c r="E1210">
        <v>0.90324037478221397</v>
      </c>
      <c r="F1210">
        <v>0.82942104757937996</v>
      </c>
      <c r="G1210">
        <v>0.66788999900606005</v>
      </c>
      <c r="H1210">
        <v>0.49748330943715602</v>
      </c>
      <c r="I1210">
        <v>0.382530926353495</v>
      </c>
      <c r="J1210">
        <v>0.47421240783317298</v>
      </c>
      <c r="K1210">
        <v>0.41697491517596202</v>
      </c>
      <c r="L1210">
        <v>756.29070642215299</v>
      </c>
      <c r="M1210">
        <v>14.3373295951295</v>
      </c>
      <c r="N1210">
        <v>58.391078002440999</v>
      </c>
      <c r="O1210">
        <v>51.755390379552701</v>
      </c>
      <c r="P1210">
        <v>-4.3299515609382201E-2</v>
      </c>
      <c r="Q1210">
        <v>0.37485899361464697</v>
      </c>
      <c r="R1210">
        <v>0.96740541838935601</v>
      </c>
      <c r="S1210" t="s">
        <v>7612</v>
      </c>
      <c r="T1210" t="s">
        <v>12802</v>
      </c>
      <c r="U1210" t="s">
        <v>12802</v>
      </c>
      <c r="V1210" t="s">
        <v>12802</v>
      </c>
      <c r="W1210" t="s">
        <v>13983</v>
      </c>
      <c r="X1210">
        <v>2</v>
      </c>
      <c r="Y1210" t="s">
        <v>20299</v>
      </c>
      <c r="Z1210" t="s">
        <v>26528</v>
      </c>
      <c r="AA1210">
        <v>0.71494227669146704</v>
      </c>
      <c r="AB1210" t="str">
        <f>HYPERLINK("Melting_Curves/meltCurve_J3KR58_SEPHS2.pdf", "Melting_Curves/meltCurve_J3KR58_SEPHS2.pdf")</f>
        <v>Melting_Curves/meltCurve_J3KR58_SEPHS2.pdf</v>
      </c>
    </row>
    <row r="1211" spans="1:28" x14ac:dyDescent="0.25">
      <c r="A1211" t="s">
        <v>1215</v>
      </c>
      <c r="B1211">
        <v>0.99542014353169495</v>
      </c>
      <c r="C1211">
        <v>0.962712854200929</v>
      </c>
      <c r="D1211">
        <v>0.95900712886324502</v>
      </c>
      <c r="E1211">
        <v>0.76911461372994805</v>
      </c>
      <c r="F1211">
        <v>0.29772057206668501</v>
      </c>
      <c r="G1211">
        <v>0.13142000389332001</v>
      </c>
      <c r="H1211">
        <v>8.1987741078015E-2</v>
      </c>
      <c r="I1211">
        <v>5.5424225996709403E-2</v>
      </c>
      <c r="J1211">
        <v>5.7927645992141397E-2</v>
      </c>
      <c r="K1211">
        <v>6.31990448599343E-2</v>
      </c>
      <c r="L1211">
        <v>1356.1534315541601</v>
      </c>
      <c r="M1211">
        <v>28.041832180793602</v>
      </c>
      <c r="N1211">
        <v>48.594960186639497</v>
      </c>
      <c r="O1211">
        <v>48.117855519016501</v>
      </c>
      <c r="P1211">
        <v>-0.13652412736120101</v>
      </c>
      <c r="Q1211">
        <v>6.2943930271531404E-2</v>
      </c>
      <c r="R1211">
        <v>0.99869085093229903</v>
      </c>
      <c r="S1211" t="s">
        <v>7613</v>
      </c>
      <c r="T1211" t="s">
        <v>12802</v>
      </c>
      <c r="U1211" t="s">
        <v>12802</v>
      </c>
      <c r="V1211" t="s">
        <v>12802</v>
      </c>
      <c r="W1211" t="s">
        <v>13984</v>
      </c>
      <c r="X1211">
        <v>25</v>
      </c>
      <c r="Y1211" t="s">
        <v>20300</v>
      </c>
      <c r="Z1211" t="s">
        <v>26529</v>
      </c>
      <c r="AA1211">
        <v>0.42422591349712557</v>
      </c>
      <c r="AB1211" t="str">
        <f>HYPERLINK("Melting_Curves/meltCurve_J3KR97_TBCD.pdf", "Melting_Curves/meltCurve_J3KR97_TBCD.pdf")</f>
        <v>Melting_Curves/meltCurve_J3KR97_TBCD.pdf</v>
      </c>
    </row>
    <row r="1212" spans="1:28" x14ac:dyDescent="0.25">
      <c r="A1212" t="s">
        <v>1216</v>
      </c>
      <c r="B1212">
        <v>0.99542014353169495</v>
      </c>
      <c r="C1212">
        <v>1.0063480348924601</v>
      </c>
      <c r="D1212">
        <v>1.25464084581804</v>
      </c>
      <c r="E1212">
        <v>0.94526067399576297</v>
      </c>
      <c r="F1212">
        <v>0.94711083271452001</v>
      </c>
      <c r="G1212">
        <v>0.67732287797621304</v>
      </c>
      <c r="H1212">
        <v>0.58590959955195898</v>
      </c>
      <c r="I1212">
        <v>0.44500389421186898</v>
      </c>
      <c r="J1212">
        <v>0.815836372671911</v>
      </c>
      <c r="K1212">
        <v>0.894516876820594</v>
      </c>
      <c r="L1212">
        <v>12630.593496495499</v>
      </c>
      <c r="M1212">
        <v>250</v>
      </c>
      <c r="O1212">
        <v>50.519140839350797</v>
      </c>
      <c r="P1212">
        <v>-0.39128992155783399</v>
      </c>
      <c r="Q1212">
        <v>0.68371790955973599</v>
      </c>
      <c r="R1212">
        <v>0.60255157972274498</v>
      </c>
      <c r="S1212" t="s">
        <v>7614</v>
      </c>
      <c r="T1212" t="s">
        <v>12802</v>
      </c>
      <c r="U1212" t="s">
        <v>12802</v>
      </c>
      <c r="V1212" t="s">
        <v>12802</v>
      </c>
      <c r="W1212" t="s">
        <v>13985</v>
      </c>
      <c r="X1212">
        <v>1</v>
      </c>
      <c r="Y1212" t="s">
        <v>20301</v>
      </c>
      <c r="Z1212" t="s">
        <v>26530</v>
      </c>
      <c r="AA1212">
        <v>0.82630877675463621</v>
      </c>
      <c r="AB1212" t="str">
        <f>HYPERLINK("Melting_Curves/meltCurve_J3KRC8_C16orf55.pdf", "Melting_Curves/meltCurve_J3KRC8_C16orf55.pdf")</f>
        <v>Melting_Curves/meltCurve_J3KRC8_C16orf55.pdf</v>
      </c>
    </row>
    <row r="1213" spans="1:28" x14ac:dyDescent="0.25">
      <c r="A1213" t="s">
        <v>1217</v>
      </c>
      <c r="B1213">
        <v>0.99542014353169495</v>
      </c>
      <c r="C1213">
        <v>0.95948606561604299</v>
      </c>
      <c r="D1213">
        <v>0.97317504324789705</v>
      </c>
      <c r="E1213">
        <v>0.68995850188594499</v>
      </c>
      <c r="F1213">
        <v>0.39224774655913902</v>
      </c>
      <c r="G1213">
        <v>9.6746956561382005E-2</v>
      </c>
      <c r="H1213">
        <v>3.0816131394093501E-2</v>
      </c>
      <c r="I1213">
        <v>1.77379628069054E-2</v>
      </c>
      <c r="J1213">
        <v>3.29964155230996E-2</v>
      </c>
      <c r="K1213">
        <v>4.0153108941998097E-2</v>
      </c>
      <c r="L1213">
        <v>1030.0832816888401</v>
      </c>
      <c r="M1213">
        <v>21.169042688666401</v>
      </c>
      <c r="N1213">
        <v>48.7218378701576</v>
      </c>
      <c r="O1213">
        <v>48.231903764757</v>
      </c>
      <c r="P1213">
        <v>-0.108271155309245</v>
      </c>
      <c r="Q1213">
        <v>1.3278355613317401E-2</v>
      </c>
      <c r="R1213">
        <v>0.99601321782404095</v>
      </c>
      <c r="S1213" t="s">
        <v>7615</v>
      </c>
      <c r="T1213" t="s">
        <v>12802</v>
      </c>
      <c r="U1213" t="s">
        <v>12802</v>
      </c>
      <c r="V1213" t="s">
        <v>12802</v>
      </c>
      <c r="W1213" t="s">
        <v>13986</v>
      </c>
      <c r="X1213">
        <v>1</v>
      </c>
      <c r="Y1213" t="s">
        <v>20302</v>
      </c>
      <c r="Z1213" t="s">
        <v>26531</v>
      </c>
      <c r="AA1213">
        <v>0.40846553985993572</v>
      </c>
      <c r="AB1213" t="str">
        <f>HYPERLINK("Melting_Curves/meltCurve_J3KRN4_MAP3K3.pdf", "Melting_Curves/meltCurve_J3KRN4_MAP3K3.pdf")</f>
        <v>Melting_Curves/meltCurve_J3KRN4_MAP3K3.pdf</v>
      </c>
    </row>
    <row r="1214" spans="1:28" x14ac:dyDescent="0.25">
      <c r="A1214" t="s">
        <v>1218</v>
      </c>
      <c r="B1214">
        <v>0.99542014353169495</v>
      </c>
      <c r="C1214">
        <v>1.10593238983608</v>
      </c>
      <c r="D1214">
        <v>0.97296204480511195</v>
      </c>
      <c r="E1214">
        <v>0.73660525478039396</v>
      </c>
      <c r="F1214">
        <v>0.62843352511489703</v>
      </c>
      <c r="G1214">
        <v>0.36243618993377402</v>
      </c>
      <c r="H1214">
        <v>0.17393946842914801</v>
      </c>
      <c r="I1214">
        <v>0.132011826544216</v>
      </c>
      <c r="J1214">
        <v>0.16604514510691501</v>
      </c>
      <c r="K1214">
        <v>0.160341352162679</v>
      </c>
      <c r="L1214">
        <v>833.44518243495895</v>
      </c>
      <c r="M1214">
        <v>16.532829816512599</v>
      </c>
      <c r="N1214">
        <v>51.242658058682302</v>
      </c>
      <c r="O1214">
        <v>49.691303652947397</v>
      </c>
      <c r="P1214">
        <v>-7.3400615611774703E-2</v>
      </c>
      <c r="Q1214">
        <v>0.11760522696454299</v>
      </c>
      <c r="R1214">
        <v>0.97911729811565595</v>
      </c>
      <c r="S1214" t="s">
        <v>7616</v>
      </c>
      <c r="T1214" t="s">
        <v>12802</v>
      </c>
      <c r="U1214" t="s">
        <v>12802</v>
      </c>
      <c r="V1214" t="s">
        <v>12802</v>
      </c>
      <c r="W1214" t="s">
        <v>13987</v>
      </c>
      <c r="X1214">
        <v>2</v>
      </c>
      <c r="Y1214" t="s">
        <v>20303</v>
      </c>
      <c r="Z1214" t="s">
        <v>26532</v>
      </c>
      <c r="AA1214">
        <v>0.52786874835035325</v>
      </c>
      <c r="AB1214" t="str">
        <f>HYPERLINK("Melting_Curves/meltCurve_J3KRP6_SS18.pdf", "Melting_Curves/meltCurve_J3KRP6_SS18.pdf")</f>
        <v>Melting_Curves/meltCurve_J3KRP6_SS18.pdf</v>
      </c>
    </row>
    <row r="1215" spans="1:28" x14ac:dyDescent="0.25">
      <c r="A1215" t="s">
        <v>1219</v>
      </c>
      <c r="B1215">
        <v>0.99542014353169495</v>
      </c>
      <c r="C1215">
        <v>1.0585167549641401</v>
      </c>
      <c r="D1215">
        <v>0.94305762320532505</v>
      </c>
      <c r="E1215">
        <v>0.93199273124356496</v>
      </c>
      <c r="F1215">
        <v>0.58400738747556102</v>
      </c>
      <c r="G1215">
        <v>0.44033481676193797</v>
      </c>
      <c r="H1215">
        <v>0.22918261523775599</v>
      </c>
      <c r="I1215">
        <v>0.12953648373532001</v>
      </c>
      <c r="J1215">
        <v>7.2418774099548805E-2</v>
      </c>
      <c r="K1215">
        <v>6.1259485367214497E-2</v>
      </c>
      <c r="L1215">
        <v>804.88675465024505</v>
      </c>
      <c r="M1215">
        <v>15.434405948063301</v>
      </c>
      <c r="N1215">
        <v>52.380405974313398</v>
      </c>
      <c r="O1215">
        <v>51.296967549166801</v>
      </c>
      <c r="P1215">
        <v>-7.2747095726809E-2</v>
      </c>
      <c r="Q1215">
        <v>3.2973900160193602E-2</v>
      </c>
      <c r="R1215">
        <v>0.98942597013432299</v>
      </c>
      <c r="S1215" t="s">
        <v>7617</v>
      </c>
      <c r="T1215" t="s">
        <v>12802</v>
      </c>
      <c r="U1215" t="s">
        <v>12802</v>
      </c>
      <c r="V1215" t="s">
        <v>12802</v>
      </c>
      <c r="W1215" t="s">
        <v>13988</v>
      </c>
      <c r="X1215">
        <v>1</v>
      </c>
      <c r="Y1215" t="s">
        <v>20304</v>
      </c>
      <c r="Z1215" t="s">
        <v>26533</v>
      </c>
      <c r="AA1215">
        <v>0.53903254207320994</v>
      </c>
      <c r="AB1215" t="str">
        <f>HYPERLINK("Melting_Curves/meltCurve_J3KRR5_PIGL.pdf", "Melting_Curves/meltCurve_J3KRR5_PIGL.pdf")</f>
        <v>Melting_Curves/meltCurve_J3KRR5_PIGL.pdf</v>
      </c>
    </row>
    <row r="1216" spans="1:28" x14ac:dyDescent="0.25">
      <c r="A1216" t="s">
        <v>1220</v>
      </c>
      <c r="B1216">
        <v>0.99542014353169495</v>
      </c>
      <c r="C1216">
        <v>0.97621288867150002</v>
      </c>
      <c r="D1216">
        <v>1.0782534131283901</v>
      </c>
      <c r="E1216">
        <v>0.76156279000025295</v>
      </c>
      <c r="F1216">
        <v>0.72520803943848</v>
      </c>
      <c r="G1216">
        <v>0.323666367358528</v>
      </c>
      <c r="H1216">
        <v>0.216805370332881</v>
      </c>
      <c r="I1216">
        <v>0.159844594491379</v>
      </c>
      <c r="J1216">
        <v>0.129871795080441</v>
      </c>
      <c r="K1216">
        <v>0.119977089454209</v>
      </c>
      <c r="L1216">
        <v>935.097663769836</v>
      </c>
      <c r="M1216">
        <v>18.2332589994381</v>
      </c>
      <c r="N1216">
        <v>51.956127755047497</v>
      </c>
      <c r="O1216">
        <v>50.680310902712201</v>
      </c>
      <c r="P1216">
        <v>-8.0512824188715901E-2</v>
      </c>
      <c r="Q1216">
        <v>0.104883282769565</v>
      </c>
      <c r="R1216">
        <v>0.97570755290947497</v>
      </c>
      <c r="S1216" t="s">
        <v>7618</v>
      </c>
      <c r="T1216" t="s">
        <v>12802</v>
      </c>
      <c r="U1216" t="s">
        <v>12802</v>
      </c>
      <c r="V1216" t="s">
        <v>12802</v>
      </c>
      <c r="W1216" t="s">
        <v>13989</v>
      </c>
      <c r="X1216">
        <v>1</v>
      </c>
      <c r="Y1216" t="s">
        <v>20305</v>
      </c>
      <c r="Z1216" t="s">
        <v>26534</v>
      </c>
      <c r="AA1216">
        <v>0.54464641047423379</v>
      </c>
      <c r="AB1216" t="str">
        <f>HYPERLINK("Melting_Curves/meltCurve_J3KRW7_TMEM199.pdf", "Melting_Curves/meltCurve_J3KRW7_TMEM199.pdf")</f>
        <v>Melting_Curves/meltCurve_J3KRW7_TMEM199.pdf</v>
      </c>
    </row>
    <row r="1217" spans="1:28" x14ac:dyDescent="0.25">
      <c r="A1217" t="s">
        <v>1221</v>
      </c>
      <c r="B1217">
        <v>0.99542014353169495</v>
      </c>
      <c r="C1217">
        <v>0.92529400603924905</v>
      </c>
      <c r="D1217">
        <v>0.91448671097366496</v>
      </c>
      <c r="E1217">
        <v>0.74820434891952403</v>
      </c>
      <c r="F1217">
        <v>0.51268286219066705</v>
      </c>
      <c r="G1217">
        <v>0.268078839869557</v>
      </c>
      <c r="H1217">
        <v>0.17843271869999</v>
      </c>
      <c r="I1217">
        <v>0.15220617722949101</v>
      </c>
      <c r="J1217">
        <v>0.141225310542131</v>
      </c>
      <c r="K1217">
        <v>0.113127538005516</v>
      </c>
      <c r="L1217">
        <v>771.65419280090202</v>
      </c>
      <c r="M1217">
        <v>15.6420394875715</v>
      </c>
      <c r="N1217">
        <v>50.059431245241903</v>
      </c>
      <c r="O1217">
        <v>48.546881075575897</v>
      </c>
      <c r="P1217">
        <v>-7.2369381696866297E-2</v>
      </c>
      <c r="Q1217">
        <v>0.101649975642462</v>
      </c>
      <c r="R1217">
        <v>0.99629731276328104</v>
      </c>
      <c r="S1217" t="s">
        <v>7619</v>
      </c>
      <c r="T1217" t="s">
        <v>12802</v>
      </c>
      <c r="U1217" t="s">
        <v>12802</v>
      </c>
      <c r="V1217" t="s">
        <v>12802</v>
      </c>
      <c r="W1217" t="s">
        <v>13990</v>
      </c>
      <c r="X1217">
        <v>18</v>
      </c>
      <c r="Y1217" t="s">
        <v>20306</v>
      </c>
      <c r="Z1217" t="s">
        <v>26535</v>
      </c>
      <c r="AA1217">
        <v>0.48888383773630961</v>
      </c>
      <c r="AB1217" t="str">
        <f>HYPERLINK("Melting_Curves/meltCurve_J3KRZ1_DDX5.pdf", "Melting_Curves/meltCurve_J3KRZ1_DDX5.pdf")</f>
        <v>Melting_Curves/meltCurve_J3KRZ1_DDX5.pdf</v>
      </c>
    </row>
    <row r="1218" spans="1:28" x14ac:dyDescent="0.25">
      <c r="A1218" t="s">
        <v>1222</v>
      </c>
      <c r="B1218">
        <v>0.99542014353169495</v>
      </c>
      <c r="C1218">
        <v>0.99306191312095704</v>
      </c>
      <c r="D1218">
        <v>0.94775095613184401</v>
      </c>
      <c r="E1218">
        <v>0.90653040592649503</v>
      </c>
      <c r="F1218">
        <v>0.72708014026655199</v>
      </c>
      <c r="G1218">
        <v>0.43705970119160298</v>
      </c>
      <c r="H1218">
        <v>0.25569202023608101</v>
      </c>
      <c r="I1218">
        <v>0.14441153608506299</v>
      </c>
      <c r="J1218">
        <v>0.134114239064069</v>
      </c>
      <c r="K1218">
        <v>0.18607208449278601</v>
      </c>
      <c r="L1218">
        <v>1009.74490495046</v>
      </c>
      <c r="M1218">
        <v>19.389345103268901</v>
      </c>
      <c r="N1218">
        <v>52.898449970335697</v>
      </c>
      <c r="O1218">
        <v>51.532842722751901</v>
      </c>
      <c r="P1218">
        <v>-8.1842134485469606E-2</v>
      </c>
      <c r="Q1218">
        <v>0.12995454923882499</v>
      </c>
      <c r="R1218">
        <v>0.99589215511705398</v>
      </c>
      <c r="S1218" t="s">
        <v>7620</v>
      </c>
      <c r="T1218" t="s">
        <v>12802</v>
      </c>
      <c r="U1218" t="s">
        <v>12802</v>
      </c>
      <c r="V1218" t="s">
        <v>12802</v>
      </c>
      <c r="W1218" t="s">
        <v>13991</v>
      </c>
      <c r="X1218">
        <v>5</v>
      </c>
      <c r="Y1218" t="s">
        <v>20307</v>
      </c>
      <c r="Z1218" t="s">
        <v>26536</v>
      </c>
      <c r="AA1218">
        <v>0.57898636648875879</v>
      </c>
      <c r="AB1218" t="str">
        <f>HYPERLINK("Melting_Curves/meltCurve_J3KS05_CBX1.pdf", "Melting_Curves/meltCurve_J3KS05_CBX1.pdf")</f>
        <v>Melting_Curves/meltCurve_J3KS05_CBX1.pdf</v>
      </c>
    </row>
    <row r="1219" spans="1:28" x14ac:dyDescent="0.25">
      <c r="A1219" t="s">
        <v>1223</v>
      </c>
      <c r="B1219">
        <v>0.99542014353169495</v>
      </c>
      <c r="C1219">
        <v>1.04984217920131</v>
      </c>
      <c r="D1219">
        <v>0.91189562347122899</v>
      </c>
      <c r="E1219">
        <v>0.62347952766043102</v>
      </c>
      <c r="F1219">
        <v>0.55335677531247796</v>
      </c>
      <c r="G1219">
        <v>0.26276331318911</v>
      </c>
      <c r="H1219">
        <v>0.11586056701602</v>
      </c>
      <c r="I1219">
        <v>7.0959815707278995E-2</v>
      </c>
      <c r="J1219">
        <v>8.4531357477765107E-2</v>
      </c>
      <c r="K1219">
        <v>7.7696149526230704E-2</v>
      </c>
      <c r="L1219">
        <v>698.71581807744701</v>
      </c>
      <c r="M1219">
        <v>14.1131340753274</v>
      </c>
      <c r="N1219">
        <v>49.738838410998298</v>
      </c>
      <c r="O1219">
        <v>48.546004349273701</v>
      </c>
      <c r="P1219">
        <v>-7.0386162460417206E-2</v>
      </c>
      <c r="Q1219">
        <v>3.1673953318606798E-2</v>
      </c>
      <c r="R1219">
        <v>0.98276786153171103</v>
      </c>
      <c r="S1219" t="s">
        <v>7621</v>
      </c>
      <c r="T1219" t="s">
        <v>12802</v>
      </c>
      <c r="U1219" t="s">
        <v>12802</v>
      </c>
      <c r="V1219" t="s">
        <v>12802</v>
      </c>
      <c r="W1219" t="s">
        <v>13992</v>
      </c>
      <c r="X1219">
        <v>4</v>
      </c>
      <c r="Y1219" t="s">
        <v>20308</v>
      </c>
      <c r="Z1219" t="s">
        <v>26537</v>
      </c>
      <c r="AA1219">
        <v>0.45788516168122739</v>
      </c>
      <c r="AB1219" t="str">
        <f>HYPERLINK("Melting_Curves/meltCurve_J3KS15_ICT1.pdf", "Melting_Curves/meltCurve_J3KS15_ICT1.pdf")</f>
        <v>Melting_Curves/meltCurve_J3KS15_ICT1.pdf</v>
      </c>
    </row>
    <row r="1220" spans="1:28" x14ac:dyDescent="0.25">
      <c r="A1220" t="s">
        <v>1224</v>
      </c>
      <c r="B1220">
        <v>0.99542014353169495</v>
      </c>
      <c r="C1220">
        <v>1.0885564346965999</v>
      </c>
      <c r="D1220">
        <v>1.0090019676027899</v>
      </c>
      <c r="E1220">
        <v>0.73770190052867302</v>
      </c>
      <c r="F1220">
        <v>0.39513313660841798</v>
      </c>
      <c r="G1220">
        <v>0.192626036282701</v>
      </c>
      <c r="H1220">
        <v>9.3496930130498299E-2</v>
      </c>
      <c r="I1220">
        <v>5.8412518605757101E-2</v>
      </c>
      <c r="J1220">
        <v>5.2659765406681699E-2</v>
      </c>
      <c r="K1220">
        <v>4.5573602134591898E-2</v>
      </c>
      <c r="L1220">
        <v>1074.9309542777901</v>
      </c>
      <c r="M1220">
        <v>21.965811678703702</v>
      </c>
      <c r="N1220">
        <v>49.1864289422032</v>
      </c>
      <c r="O1220">
        <v>48.536375661136098</v>
      </c>
      <c r="P1220">
        <v>-0.10717002107531801</v>
      </c>
      <c r="Q1220">
        <v>5.2795864405428397E-2</v>
      </c>
      <c r="R1220">
        <v>0.99245780031101105</v>
      </c>
      <c r="S1220" t="s">
        <v>7622</v>
      </c>
      <c r="T1220" t="s">
        <v>12802</v>
      </c>
      <c r="U1220" t="s">
        <v>12802</v>
      </c>
      <c r="V1220" t="s">
        <v>12802</v>
      </c>
      <c r="W1220" t="s">
        <v>13993</v>
      </c>
      <c r="X1220">
        <v>2</v>
      </c>
      <c r="Y1220" t="s">
        <v>20309</v>
      </c>
      <c r="Z1220" t="s">
        <v>26538</v>
      </c>
      <c r="AA1220">
        <v>0.4401565684149516</v>
      </c>
      <c r="AB1220" t="str">
        <f>HYPERLINK("Melting_Curves/meltCurve_J3KSH1_AMZ2.pdf", "Melting_Curves/meltCurve_J3KSH1_AMZ2.pdf")</f>
        <v>Melting_Curves/meltCurve_J3KSH1_AMZ2.pdf</v>
      </c>
    </row>
    <row r="1221" spans="1:28" x14ac:dyDescent="0.25">
      <c r="A1221" t="s">
        <v>1225</v>
      </c>
      <c r="B1221">
        <v>0.99542014353169495</v>
      </c>
      <c r="C1221">
        <v>0.84732296054954703</v>
      </c>
      <c r="D1221">
        <v>1.1102186879781799</v>
      </c>
      <c r="E1221">
        <v>0.93323275231692004</v>
      </c>
      <c r="F1221">
        <v>0.54304830303456197</v>
      </c>
      <c r="G1221">
        <v>3.5660228792206497E-2</v>
      </c>
      <c r="H1221">
        <v>2.1988744728374102E-2</v>
      </c>
      <c r="I1221">
        <v>1.1028001776812501E-2</v>
      </c>
      <c r="J1221">
        <v>4.0749758506606597E-3</v>
      </c>
      <c r="K1221">
        <v>2.07056451821164E-2</v>
      </c>
      <c r="L1221">
        <v>2282.5426950716701</v>
      </c>
      <c r="M1221">
        <v>45.346322791239203</v>
      </c>
      <c r="N1221">
        <v>50.354921692441899</v>
      </c>
      <c r="O1221">
        <v>50.238184281545699</v>
      </c>
      <c r="P1221">
        <v>-0.22373112621028801</v>
      </c>
      <c r="Q1221">
        <v>8.5342561417309903E-3</v>
      </c>
      <c r="R1221">
        <v>0.98150561064358899</v>
      </c>
      <c r="S1221" t="s">
        <v>7623</v>
      </c>
      <c r="T1221" t="s">
        <v>12802</v>
      </c>
      <c r="U1221" t="s">
        <v>12802</v>
      </c>
      <c r="V1221" t="s">
        <v>12802</v>
      </c>
      <c r="W1221" t="s">
        <v>13994</v>
      </c>
      <c r="X1221">
        <v>1</v>
      </c>
      <c r="Y1221" t="s">
        <v>20310</v>
      </c>
      <c r="Z1221" t="s">
        <v>26539</v>
      </c>
      <c r="AA1221">
        <v>0.45194547685826703</v>
      </c>
      <c r="AB1221" t="str">
        <f>HYPERLINK("Melting_Curves/meltCurve_J3KSJ4_RARA.pdf", "Melting_Curves/meltCurve_J3KSJ4_RARA.pdf")</f>
        <v>Melting_Curves/meltCurve_J3KSJ4_RARA.pdf</v>
      </c>
    </row>
    <row r="1222" spans="1:28" x14ac:dyDescent="0.25">
      <c r="A1222" t="s">
        <v>1226</v>
      </c>
      <c r="B1222">
        <v>0.99542014353169495</v>
      </c>
      <c r="C1222">
        <v>1.0642536106666101</v>
      </c>
      <c r="D1222">
        <v>0.93838501469205204</v>
      </c>
      <c r="E1222">
        <v>0.69256660817164295</v>
      </c>
      <c r="F1222">
        <v>0.32031262907303698</v>
      </c>
      <c r="G1222">
        <v>0.14988850379405899</v>
      </c>
      <c r="H1222">
        <v>9.6716482229178793E-2</v>
      </c>
      <c r="I1222">
        <v>6.8437503967812202E-2</v>
      </c>
      <c r="J1222">
        <v>6.0395243221782399E-2</v>
      </c>
      <c r="K1222">
        <v>5.9790429692807602E-2</v>
      </c>
      <c r="L1222">
        <v>1102.2040145695</v>
      </c>
      <c r="M1222">
        <v>22.919284656726699</v>
      </c>
      <c r="N1222">
        <v>48.381803621062502</v>
      </c>
      <c r="O1222">
        <v>47.729061602173502</v>
      </c>
      <c r="P1222">
        <v>-0.11231834142340801</v>
      </c>
      <c r="Q1222">
        <v>6.4412809882816294E-2</v>
      </c>
      <c r="R1222">
        <v>0.99659963925685602</v>
      </c>
      <c r="S1222" t="s">
        <v>7624</v>
      </c>
      <c r="T1222" t="s">
        <v>12802</v>
      </c>
      <c r="U1222" t="s">
        <v>12802</v>
      </c>
      <c r="V1222" t="s">
        <v>12802</v>
      </c>
      <c r="W1222" t="s">
        <v>13995</v>
      </c>
      <c r="X1222">
        <v>7</v>
      </c>
      <c r="Y1222" t="s">
        <v>20311</v>
      </c>
      <c r="Z1222" t="s">
        <v>26540</v>
      </c>
      <c r="AA1222">
        <v>0.41975698736526867</v>
      </c>
      <c r="AB1222" t="str">
        <f>HYPERLINK("Melting_Curves/meltCurve_J3KSS7_GGA3.pdf", "Melting_Curves/meltCurve_J3KSS7_GGA3.pdf")</f>
        <v>Melting_Curves/meltCurve_J3KSS7_GGA3.pdf</v>
      </c>
    </row>
    <row r="1223" spans="1:28" x14ac:dyDescent="0.25">
      <c r="A1223" t="s">
        <v>1227</v>
      </c>
      <c r="B1223">
        <v>0.99542014353169495</v>
      </c>
      <c r="C1223">
        <v>1.16286499857796</v>
      </c>
      <c r="D1223">
        <v>1.1804158244796601</v>
      </c>
      <c r="E1223">
        <v>1.02795371024761</v>
      </c>
      <c r="F1223">
        <v>0.42674314344702602</v>
      </c>
      <c r="G1223">
        <v>0.36911045766031902</v>
      </c>
      <c r="H1223">
        <v>0.21851964610323901</v>
      </c>
      <c r="I1223">
        <v>0.10823578103656099</v>
      </c>
      <c r="J1223">
        <v>0.36224268062337101</v>
      </c>
      <c r="K1223">
        <v>0.22838429373697799</v>
      </c>
      <c r="L1223">
        <v>5849.0248058399802</v>
      </c>
      <c r="M1223">
        <v>117.73192372011999</v>
      </c>
      <c r="N1223">
        <v>49.987690600155702</v>
      </c>
      <c r="O1223">
        <v>49.666543486650902</v>
      </c>
      <c r="P1223">
        <v>-0.44015751251926899</v>
      </c>
      <c r="Q1223">
        <v>0.25725832554925498</v>
      </c>
      <c r="R1223">
        <v>0.93488708073843296</v>
      </c>
      <c r="S1223" t="s">
        <v>7625</v>
      </c>
      <c r="T1223" t="s">
        <v>12802</v>
      </c>
      <c r="U1223" t="s">
        <v>12802</v>
      </c>
      <c r="V1223" t="s">
        <v>12802</v>
      </c>
      <c r="W1223" t="s">
        <v>13996</v>
      </c>
      <c r="X1223">
        <v>1</v>
      </c>
      <c r="Y1223" t="s">
        <v>20312</v>
      </c>
      <c r="Z1223" t="s">
        <v>26541</v>
      </c>
      <c r="AA1223">
        <v>0.57150433187116867</v>
      </c>
      <c r="AB1223" t="str">
        <f>HYPERLINK("Melting_Curves/meltCurve_J3KSW8_MPRIP.pdf", "Melting_Curves/meltCurve_J3KSW8_MPRIP.pdf")</f>
        <v>Melting_Curves/meltCurve_J3KSW8_MPRIP.pdf</v>
      </c>
    </row>
    <row r="1224" spans="1:28" x14ac:dyDescent="0.25">
      <c r="A1224" t="s">
        <v>1228</v>
      </c>
      <c r="B1224">
        <v>0.99542014353169495</v>
      </c>
      <c r="C1224">
        <v>0.95271322785975598</v>
      </c>
      <c r="D1224">
        <v>0.86816333274505697</v>
      </c>
      <c r="E1224">
        <v>1.06615962682641</v>
      </c>
      <c r="F1224">
        <v>1.1178073424200801</v>
      </c>
      <c r="G1224">
        <v>0.73942639134838695</v>
      </c>
      <c r="H1224">
        <v>1.50387492981812</v>
      </c>
      <c r="I1224">
        <v>1.18297062234612</v>
      </c>
      <c r="J1224">
        <v>0.51612619741661703</v>
      </c>
      <c r="K1224">
        <v>0</v>
      </c>
      <c r="L1224">
        <v>15000</v>
      </c>
      <c r="M1224">
        <v>233.94481441295201</v>
      </c>
      <c r="N1224">
        <v>64.1176982733855</v>
      </c>
      <c r="O1224">
        <v>64.112995894584699</v>
      </c>
      <c r="P1224">
        <v>-0.91223626817421</v>
      </c>
      <c r="Q1224">
        <v>0</v>
      </c>
      <c r="R1224">
        <v>0.74057189304417603</v>
      </c>
      <c r="S1224" t="s">
        <v>7626</v>
      </c>
      <c r="T1224" t="s">
        <v>12802</v>
      </c>
      <c r="U1224" t="s">
        <v>12802</v>
      </c>
      <c r="V1224" t="s">
        <v>12802</v>
      </c>
      <c r="W1224" t="s">
        <v>13997</v>
      </c>
      <c r="X1224">
        <v>4</v>
      </c>
      <c r="Y1224" t="s">
        <v>20313</v>
      </c>
      <c r="Z1224" t="s">
        <v>26542</v>
      </c>
      <c r="AA1224">
        <v>0.90405092084864169</v>
      </c>
      <c r="AB1224" t="str">
        <f>HYPERLINK("Melting_Curves/meltCurve_J3KSY6_NT5C.pdf", "Melting_Curves/meltCurve_J3KSY6_NT5C.pdf")</f>
        <v>Melting_Curves/meltCurve_J3KSY6_NT5C.pdf</v>
      </c>
    </row>
    <row r="1225" spans="1:28" x14ac:dyDescent="0.25">
      <c r="A1225" t="s">
        <v>1229</v>
      </c>
      <c r="B1225">
        <v>0.99542014353169495</v>
      </c>
      <c r="C1225">
        <v>1.05853203843788</v>
      </c>
      <c r="D1225">
        <v>1.0100992724298901</v>
      </c>
      <c r="E1225">
        <v>1.05709935180649</v>
      </c>
      <c r="F1225">
        <v>0.94784319308727405</v>
      </c>
      <c r="G1225">
        <v>0.83267045366343395</v>
      </c>
      <c r="H1225">
        <v>0.70262113795552805</v>
      </c>
      <c r="I1225">
        <v>0.72019802548108103</v>
      </c>
      <c r="J1225">
        <v>1.0631727997457201</v>
      </c>
      <c r="K1225">
        <v>1.30713216580633</v>
      </c>
      <c r="L1225">
        <v>15000</v>
      </c>
      <c r="M1225">
        <v>232.65797743861799</v>
      </c>
      <c r="O1225">
        <v>64.467559764363799</v>
      </c>
      <c r="P1225">
        <v>0.27714635636338503</v>
      </c>
      <c r="Q1225">
        <v>1.30717964641263</v>
      </c>
      <c r="R1225">
        <v>0.30350527625954299</v>
      </c>
      <c r="S1225" t="s">
        <v>7627</v>
      </c>
      <c r="T1225" t="s">
        <v>12802</v>
      </c>
      <c r="U1225" t="s">
        <v>12802</v>
      </c>
      <c r="V1225" t="s">
        <v>12802</v>
      </c>
      <c r="W1225" t="s">
        <v>13998</v>
      </c>
      <c r="X1225">
        <v>7</v>
      </c>
      <c r="Y1225" t="s">
        <v>20314</v>
      </c>
      <c r="Z1225" t="s">
        <v>26543</v>
      </c>
      <c r="AA1225">
        <v>1.025842053483943</v>
      </c>
      <c r="AB1225" t="str">
        <f>HYPERLINK("Melting_Curves/meltCurve_J3KT51_HN1.pdf", "Melting_Curves/meltCurve_J3KT51_HN1.pdf")</f>
        <v>Melting_Curves/meltCurve_J3KT51_HN1.pdf</v>
      </c>
    </row>
    <row r="1226" spans="1:28" x14ac:dyDescent="0.25">
      <c r="A1226" t="s">
        <v>1230</v>
      </c>
      <c r="B1226">
        <v>0.99542014353169495</v>
      </c>
      <c r="C1226">
        <v>1.0247201397487</v>
      </c>
      <c r="D1226">
        <v>0.95467503399605003</v>
      </c>
      <c r="E1226">
        <v>0.73590963314366897</v>
      </c>
      <c r="F1226">
        <v>0.54752472349852099</v>
      </c>
      <c r="G1226">
        <v>0.136764994662495</v>
      </c>
      <c r="H1226">
        <v>5.7109067917288703E-2</v>
      </c>
      <c r="I1226">
        <v>3.1786653105619102E-2</v>
      </c>
      <c r="J1226">
        <v>3.3089878938855899E-2</v>
      </c>
      <c r="K1226">
        <v>2.0794347371624899E-2</v>
      </c>
      <c r="L1226">
        <v>962.43352508192902</v>
      </c>
      <c r="M1226">
        <v>19.298963256453</v>
      </c>
      <c r="N1226">
        <v>49.872806356970699</v>
      </c>
      <c r="O1226">
        <v>49.343507592346903</v>
      </c>
      <c r="P1226">
        <v>-9.7723240815217396E-2</v>
      </c>
      <c r="Q1226">
        <v>6.0396009164506996E-4</v>
      </c>
      <c r="R1226">
        <v>0.99134990472068696</v>
      </c>
      <c r="S1226" t="s">
        <v>7628</v>
      </c>
      <c r="T1226" t="s">
        <v>12802</v>
      </c>
      <c r="U1226" t="s">
        <v>12802</v>
      </c>
      <c r="V1226" t="s">
        <v>12802</v>
      </c>
      <c r="W1226" t="s">
        <v>13999</v>
      </c>
      <c r="X1226">
        <v>6</v>
      </c>
      <c r="Y1226" t="s">
        <v>20315</v>
      </c>
      <c r="Z1226" t="s">
        <v>26544</v>
      </c>
      <c r="AA1226">
        <v>0.44334570106282761</v>
      </c>
      <c r="AB1226" t="str">
        <f>HYPERLINK("Melting_Curves/meltCurve_J3KTA1_FBXL20.pdf", "Melting_Curves/meltCurve_J3KTA1_FBXL20.pdf")</f>
        <v>Melting_Curves/meltCurve_J3KTA1_FBXL20.pdf</v>
      </c>
    </row>
    <row r="1227" spans="1:28" x14ac:dyDescent="0.25">
      <c r="A1227" t="s">
        <v>1231</v>
      </c>
      <c r="B1227">
        <v>0.99542014353169495</v>
      </c>
      <c r="C1227">
        <v>1.0794336867241401</v>
      </c>
      <c r="D1227">
        <v>0.93951006535124304</v>
      </c>
      <c r="E1227">
        <v>0.89295205065933203</v>
      </c>
      <c r="F1227">
        <v>0.65888567637613404</v>
      </c>
      <c r="G1227">
        <v>0.464045329041747</v>
      </c>
      <c r="H1227">
        <v>0.41531933527506698</v>
      </c>
      <c r="I1227">
        <v>0.34962766235277198</v>
      </c>
      <c r="J1227">
        <v>0.49338282480822898</v>
      </c>
      <c r="K1227">
        <v>0.51160085661528198</v>
      </c>
      <c r="L1227">
        <v>1377.9198061808199</v>
      </c>
      <c r="M1227">
        <v>28.019988619295901</v>
      </c>
      <c r="N1227">
        <v>53.108546110286198</v>
      </c>
      <c r="O1227">
        <v>48.927885460623799</v>
      </c>
      <c r="P1227">
        <v>-8.0576808343924E-2</v>
      </c>
      <c r="Q1227">
        <v>0.43719908976327998</v>
      </c>
      <c r="R1227">
        <v>0.95841434985697205</v>
      </c>
      <c r="S1227" t="s">
        <v>7629</v>
      </c>
      <c r="T1227" t="s">
        <v>12802</v>
      </c>
      <c r="U1227" t="s">
        <v>12802</v>
      </c>
      <c r="V1227" t="s">
        <v>12802</v>
      </c>
      <c r="W1227" t="s">
        <v>14000</v>
      </c>
      <c r="X1227">
        <v>2</v>
      </c>
      <c r="Y1227" t="s">
        <v>20316</v>
      </c>
      <c r="Z1227" t="s">
        <v>26545</v>
      </c>
      <c r="AA1227">
        <v>0.66952613179974729</v>
      </c>
      <c r="AB1227" t="str">
        <f>HYPERLINK("Melting_Curves/meltCurve_J3KTK5_MED9.pdf", "Melting_Curves/meltCurve_J3KTK5_MED9.pdf")</f>
        <v>Melting_Curves/meltCurve_J3KTK5_MED9.pdf</v>
      </c>
    </row>
    <row r="1228" spans="1:28" x14ac:dyDescent="0.25">
      <c r="A1228" t="s">
        <v>1232</v>
      </c>
      <c r="B1228">
        <v>0.99542014353169495</v>
      </c>
      <c r="C1228">
        <v>0.94568311170530495</v>
      </c>
      <c r="D1228">
        <v>0.89809316078303603</v>
      </c>
      <c r="E1228">
        <v>0.84038565172757096</v>
      </c>
      <c r="F1228">
        <v>0.67528348868905796</v>
      </c>
      <c r="G1228">
        <v>0.53002661026717202</v>
      </c>
      <c r="H1228">
        <v>0.38749913151668203</v>
      </c>
      <c r="I1228">
        <v>0.35040839867616802</v>
      </c>
      <c r="J1228">
        <v>0.73008772315043102</v>
      </c>
      <c r="K1228">
        <v>1.4024767287670501</v>
      </c>
      <c r="L1228">
        <v>1172.91677073249</v>
      </c>
      <c r="M1228">
        <v>25.946679039290299</v>
      </c>
      <c r="O1228">
        <v>44.938934473587999</v>
      </c>
      <c r="P1228">
        <v>-4.6094016941039997E-2</v>
      </c>
      <c r="Q1228">
        <v>0.68066942552269805</v>
      </c>
      <c r="R1228">
        <v>0.15918624788549199</v>
      </c>
      <c r="S1228" t="s">
        <v>7630</v>
      </c>
      <c r="T1228" t="s">
        <v>12802</v>
      </c>
      <c r="U1228" t="s">
        <v>12802</v>
      </c>
      <c r="V1228" t="s">
        <v>12802</v>
      </c>
      <c r="W1228" t="s">
        <v>14001</v>
      </c>
      <c r="X1228">
        <v>20</v>
      </c>
      <c r="Y1228" t="s">
        <v>20317</v>
      </c>
      <c r="Z1228" t="s">
        <v>26546</v>
      </c>
      <c r="AA1228">
        <v>0.7704342727148733</v>
      </c>
      <c r="AB1228" t="str">
        <f>HYPERLINK("Melting_Curves/meltCurve_J3KTL2_SRSF1.pdf", "Melting_Curves/meltCurve_J3KTL2_SRSF1.pdf")</f>
        <v>Melting_Curves/meltCurve_J3KTL2_SRSF1.pdf</v>
      </c>
    </row>
    <row r="1229" spans="1:28" x14ac:dyDescent="0.25">
      <c r="A1229" t="s">
        <v>1233</v>
      </c>
      <c r="B1229">
        <v>0.99542014353169495</v>
      </c>
      <c r="C1229">
        <v>0.87260565980111704</v>
      </c>
      <c r="D1229">
        <v>0.86758284202480995</v>
      </c>
      <c r="E1229">
        <v>0.46935027542205299</v>
      </c>
      <c r="F1229">
        <v>0.171165040052491</v>
      </c>
      <c r="G1229">
        <v>9.0717367850071701E-2</v>
      </c>
      <c r="H1229">
        <v>5.4828208095443698E-2</v>
      </c>
      <c r="I1229">
        <v>3.9213036499171502E-2</v>
      </c>
      <c r="J1229">
        <v>4.7674684190589497E-2</v>
      </c>
      <c r="K1229">
        <v>6.4049515230610393E-2</v>
      </c>
      <c r="L1229">
        <v>993.88436676821198</v>
      </c>
      <c r="M1229">
        <v>21.551486302109801</v>
      </c>
      <c r="N1229">
        <v>46.317250996199697</v>
      </c>
      <c r="O1229">
        <v>45.725187024330197</v>
      </c>
      <c r="P1229">
        <v>-0.112586299534929</v>
      </c>
      <c r="Q1229">
        <v>4.4538184989047901E-2</v>
      </c>
      <c r="R1229">
        <v>0.99238084040922203</v>
      </c>
      <c r="S1229" t="s">
        <v>7631</v>
      </c>
      <c r="T1229" t="s">
        <v>12802</v>
      </c>
      <c r="U1229" t="s">
        <v>12802</v>
      </c>
      <c r="V1229" t="s">
        <v>12802</v>
      </c>
      <c r="W1229" t="s">
        <v>14002</v>
      </c>
      <c r="X1229">
        <v>12</v>
      </c>
      <c r="Y1229" t="s">
        <v>20318</v>
      </c>
      <c r="Z1229" t="s">
        <v>26547</v>
      </c>
      <c r="AA1229">
        <v>0.34562929279434262</v>
      </c>
      <c r="AB1229" t="str">
        <f>HYPERLINK("Melting_Curves/meltCurve_J3QK89_CHERP.pdf", "Melting_Curves/meltCurve_J3QK89_CHERP.pdf")</f>
        <v>Melting_Curves/meltCurve_J3QK89_CHERP.pdf</v>
      </c>
    </row>
    <row r="1230" spans="1:28" x14ac:dyDescent="0.25">
      <c r="A1230" t="s">
        <v>1234</v>
      </c>
      <c r="B1230">
        <v>0.99542014353169495</v>
      </c>
      <c r="C1230">
        <v>0.82023707737819895</v>
      </c>
      <c r="D1230">
        <v>0.85412382094083095</v>
      </c>
      <c r="E1230">
        <v>0.74388142772089105</v>
      </c>
      <c r="F1230">
        <v>0.48562945600116098</v>
      </c>
      <c r="G1230">
        <v>0.21025993328402101</v>
      </c>
      <c r="H1230">
        <v>0.30065989464462101</v>
      </c>
      <c r="I1230">
        <v>0.349880906944188</v>
      </c>
      <c r="J1230">
        <v>0.37823267109977998</v>
      </c>
      <c r="K1230">
        <v>0.53331646705980795</v>
      </c>
      <c r="L1230">
        <v>931.04933687504899</v>
      </c>
      <c r="M1230">
        <v>20.0494226684221</v>
      </c>
      <c r="N1230">
        <v>49.451662111343097</v>
      </c>
      <c r="O1230">
        <v>45.983121081758497</v>
      </c>
      <c r="P1230">
        <v>-7.05635377816448E-2</v>
      </c>
      <c r="Q1230">
        <v>0.35267390288252198</v>
      </c>
      <c r="R1230">
        <v>0.842612210311244</v>
      </c>
      <c r="S1230" t="s">
        <v>7632</v>
      </c>
      <c r="T1230" t="s">
        <v>12802</v>
      </c>
      <c r="U1230" t="s">
        <v>12802</v>
      </c>
      <c r="V1230" t="s">
        <v>12802</v>
      </c>
      <c r="W1230" t="s">
        <v>14003</v>
      </c>
      <c r="X1230">
        <v>8</v>
      </c>
      <c r="Y1230" t="s">
        <v>20319</v>
      </c>
      <c r="Z1230" t="s">
        <v>26548</v>
      </c>
      <c r="AA1230">
        <v>0.56473858173712654</v>
      </c>
      <c r="AB1230" t="str">
        <f>HYPERLINK("Melting_Curves/meltCurve_J3QKR3_PSMB3.pdf", "Melting_Curves/meltCurve_J3QKR3_PSMB3.pdf")</f>
        <v>Melting_Curves/meltCurve_J3QKR3_PSMB3.pdf</v>
      </c>
    </row>
    <row r="1231" spans="1:28" x14ac:dyDescent="0.25">
      <c r="A1231" t="s">
        <v>1235</v>
      </c>
      <c r="B1231">
        <v>0.99542014353169495</v>
      </c>
      <c r="C1231">
        <v>1.0163562349012001</v>
      </c>
      <c r="D1231">
        <v>0.76813919002609798</v>
      </c>
      <c r="E1231">
        <v>0.68590318313261001</v>
      </c>
      <c r="F1231">
        <v>0.59088708531216105</v>
      </c>
      <c r="G1231">
        <v>0.60349871473094896</v>
      </c>
      <c r="H1231">
        <v>0.41617216997024498</v>
      </c>
      <c r="I1231">
        <v>0.30123014760849298</v>
      </c>
      <c r="J1231">
        <v>0.363617354027854</v>
      </c>
      <c r="K1231">
        <v>0.45462213405776503</v>
      </c>
      <c r="L1231">
        <v>508.76653001999301</v>
      </c>
      <c r="M1231">
        <v>10.6883287978873</v>
      </c>
      <c r="N1231">
        <v>53.6318526638401</v>
      </c>
      <c r="O1231">
        <v>46.024686550876297</v>
      </c>
      <c r="P1231">
        <v>-3.7768354230357001E-2</v>
      </c>
      <c r="Q1231">
        <v>0.34971242648726703</v>
      </c>
      <c r="R1231">
        <v>0.92077028280738005</v>
      </c>
      <c r="S1231" t="s">
        <v>7633</v>
      </c>
      <c r="T1231" t="s">
        <v>12802</v>
      </c>
      <c r="U1231" t="s">
        <v>12802</v>
      </c>
      <c r="V1231" t="s">
        <v>12802</v>
      </c>
      <c r="W1231" t="s">
        <v>14004</v>
      </c>
      <c r="X1231">
        <v>2</v>
      </c>
      <c r="Y1231" t="s">
        <v>20320</v>
      </c>
      <c r="Z1231" t="s">
        <v>26549</v>
      </c>
      <c r="AA1231">
        <v>0.6040542156284151</v>
      </c>
      <c r="AB1231" t="str">
        <f>HYPERLINK("Melting_Curves/meltCurve_J3QKR4_ICAM2.pdf", "Melting_Curves/meltCurve_J3QKR4_ICAM2.pdf")</f>
        <v>Melting_Curves/meltCurve_J3QKR4_ICAM2.pdf</v>
      </c>
    </row>
    <row r="1232" spans="1:28" x14ac:dyDescent="0.25">
      <c r="A1232" t="s">
        <v>1236</v>
      </c>
      <c r="B1232">
        <v>0.99542014353169495</v>
      </c>
      <c r="C1232">
        <v>0.99277769200657395</v>
      </c>
      <c r="D1232">
        <v>1.1186098000768001</v>
      </c>
      <c r="E1232">
        <v>0.812561457930152</v>
      </c>
      <c r="F1232">
        <v>0.40232398087127103</v>
      </c>
      <c r="G1232">
        <v>0.13789814949651599</v>
      </c>
      <c r="H1232">
        <v>7.5424916446583196E-2</v>
      </c>
      <c r="I1232">
        <v>5.0205216811644998E-2</v>
      </c>
      <c r="J1232">
        <v>4.5809594557144798E-2</v>
      </c>
      <c r="K1232">
        <v>4.3441457350094997E-2</v>
      </c>
      <c r="L1232">
        <v>1393.54293736672</v>
      </c>
      <c r="M1232">
        <v>28.306561426651601</v>
      </c>
      <c r="N1232">
        <v>49.41490992112</v>
      </c>
      <c r="O1232">
        <v>48.986646739436203</v>
      </c>
      <c r="P1232">
        <v>-0.13721673117753</v>
      </c>
      <c r="Q1232">
        <v>5.0152046980854299E-2</v>
      </c>
      <c r="R1232">
        <v>0.98994458914955896</v>
      </c>
      <c r="S1232" t="s">
        <v>7634</v>
      </c>
      <c r="T1232" t="s">
        <v>12802</v>
      </c>
      <c r="U1232" t="s">
        <v>12802</v>
      </c>
      <c r="V1232" t="s">
        <v>12802</v>
      </c>
      <c r="W1232" t="s">
        <v>14005</v>
      </c>
      <c r="X1232">
        <v>2</v>
      </c>
      <c r="Y1232" t="s">
        <v>20321</v>
      </c>
      <c r="Z1232" t="s">
        <v>26550</v>
      </c>
      <c r="AA1232">
        <v>0.44384068999149151</v>
      </c>
      <c r="AB1232" t="str">
        <f>HYPERLINK("Melting_Curves/meltCurve_J3QL56_SCO1.pdf", "Melting_Curves/meltCurve_J3QL56_SCO1.pdf")</f>
        <v>Melting_Curves/meltCurve_J3QL56_SCO1.pdf</v>
      </c>
    </row>
    <row r="1233" spans="1:28" x14ac:dyDescent="0.25">
      <c r="A1233" t="s">
        <v>1237</v>
      </c>
      <c r="B1233">
        <v>0.99542014353169495</v>
      </c>
      <c r="C1233">
        <v>0.91658090293536398</v>
      </c>
      <c r="D1233">
        <v>0.84611002468090901</v>
      </c>
      <c r="E1233">
        <v>0.72786735548148995</v>
      </c>
      <c r="F1233">
        <v>0.27312490269341799</v>
      </c>
      <c r="G1233">
        <v>0.14019721336393001</v>
      </c>
      <c r="H1233">
        <v>6.1932368714113499E-2</v>
      </c>
      <c r="I1233">
        <v>3.54844319335385E-2</v>
      </c>
      <c r="J1233">
        <v>3.3533337305338098E-2</v>
      </c>
      <c r="K1233">
        <v>2.8709344000562902E-2</v>
      </c>
      <c r="L1233">
        <v>922.21524433898901</v>
      </c>
      <c r="M1233">
        <v>19.174125290058701</v>
      </c>
      <c r="N1233">
        <v>48.197417402072602</v>
      </c>
      <c r="O1233">
        <v>47.582861408032798</v>
      </c>
      <c r="P1233">
        <v>-9.8769298551560095E-2</v>
      </c>
      <c r="Q1233">
        <v>1.9606853623277101E-2</v>
      </c>
      <c r="R1233">
        <v>0.989680700116504</v>
      </c>
      <c r="S1233" t="s">
        <v>7635</v>
      </c>
      <c r="T1233" t="s">
        <v>12802</v>
      </c>
      <c r="U1233" t="s">
        <v>12802</v>
      </c>
      <c r="V1233" t="s">
        <v>12802</v>
      </c>
      <c r="W1233" t="s">
        <v>14006</v>
      </c>
      <c r="X1233">
        <v>3</v>
      </c>
      <c r="Y1233" t="s">
        <v>20322</v>
      </c>
      <c r="Z1233" t="s">
        <v>26551</v>
      </c>
      <c r="AA1233">
        <v>0.39619404743309861</v>
      </c>
      <c r="AB1233" t="str">
        <f>HYPERLINK("Melting_Curves/meltCurve_J3QL71_SCRN2.pdf", "Melting_Curves/meltCurve_J3QL71_SCRN2.pdf")</f>
        <v>Melting_Curves/meltCurve_J3QL71_SCRN2.pdf</v>
      </c>
    </row>
    <row r="1234" spans="1:28" x14ac:dyDescent="0.25">
      <c r="A1234" t="s">
        <v>1238</v>
      </c>
      <c r="B1234">
        <v>0.99542014353169495</v>
      </c>
      <c r="C1234">
        <v>1.0165169739439699</v>
      </c>
      <c r="D1234">
        <v>1.0432552596628299</v>
      </c>
      <c r="E1234">
        <v>0.91169687210012895</v>
      </c>
      <c r="F1234">
        <v>0.77858898045770397</v>
      </c>
      <c r="G1234">
        <v>0.60797776001922299</v>
      </c>
      <c r="H1234">
        <v>0.40690014959170101</v>
      </c>
      <c r="I1234">
        <v>0.38996769077551602</v>
      </c>
      <c r="J1234">
        <v>0.56171161923754498</v>
      </c>
      <c r="K1234">
        <v>0.47606072139783601</v>
      </c>
      <c r="L1234">
        <v>1270.7979968940599</v>
      </c>
      <c r="M1234">
        <v>24.970813494354498</v>
      </c>
      <c r="N1234">
        <v>56.4130636468022</v>
      </c>
      <c r="O1234">
        <v>50.568316076113803</v>
      </c>
      <c r="P1234">
        <v>-6.7084102465748904E-2</v>
      </c>
      <c r="Q1234">
        <v>0.45660012902536301</v>
      </c>
      <c r="R1234">
        <v>0.95341301347431995</v>
      </c>
      <c r="S1234" t="s">
        <v>7636</v>
      </c>
      <c r="T1234" t="s">
        <v>12802</v>
      </c>
      <c r="U1234" t="s">
        <v>12802</v>
      </c>
      <c r="V1234" t="s">
        <v>12802</v>
      </c>
      <c r="W1234" t="s">
        <v>14007</v>
      </c>
      <c r="X1234">
        <v>3</v>
      </c>
      <c r="Y1234" t="s">
        <v>20323</v>
      </c>
      <c r="Z1234" t="s">
        <v>26552</v>
      </c>
      <c r="AA1234">
        <v>0.7130194232590088</v>
      </c>
      <c r="AB1234" t="str">
        <f>HYPERLINK("Melting_Curves/meltCurve_J3QLB2_SLC39A11.pdf", "Melting_Curves/meltCurve_J3QLB2_SLC39A11.pdf")</f>
        <v>Melting_Curves/meltCurve_J3QLB2_SLC39A11.pdf</v>
      </c>
    </row>
    <row r="1235" spans="1:28" x14ac:dyDescent="0.25">
      <c r="A1235" t="s">
        <v>1239</v>
      </c>
      <c r="B1235">
        <v>0.99542014353169495</v>
      </c>
      <c r="C1235">
        <v>0.79891175186586205</v>
      </c>
      <c r="D1235">
        <v>1.00364110246228</v>
      </c>
      <c r="E1235">
        <v>0.651782904126325</v>
      </c>
      <c r="F1235">
        <v>0.51187831139384798</v>
      </c>
      <c r="G1235">
        <v>0.284281232940097</v>
      </c>
      <c r="H1235">
        <v>0.105241935960805</v>
      </c>
      <c r="I1235">
        <v>5.9581608779544902E-2</v>
      </c>
      <c r="J1235">
        <v>5.4653416426950797E-2</v>
      </c>
      <c r="K1235">
        <v>5.7108235628870602E-2</v>
      </c>
      <c r="L1235">
        <v>657.62931322322595</v>
      </c>
      <c r="M1235">
        <v>13.2119126678671</v>
      </c>
      <c r="N1235">
        <v>49.775496434194601</v>
      </c>
      <c r="O1235">
        <v>48.6765860237523</v>
      </c>
      <c r="P1235">
        <v>-6.7866840423780897E-2</v>
      </c>
      <c r="Q1235">
        <v>0</v>
      </c>
      <c r="R1235">
        <v>0.96497153652351797</v>
      </c>
      <c r="S1235" t="s">
        <v>7637</v>
      </c>
      <c r="T1235" t="s">
        <v>12802</v>
      </c>
      <c r="U1235" t="s">
        <v>12802</v>
      </c>
      <c r="V1235" t="s">
        <v>12802</v>
      </c>
      <c r="W1235" t="s">
        <v>14008</v>
      </c>
      <c r="X1235">
        <v>26</v>
      </c>
      <c r="Y1235" t="s">
        <v>20324</v>
      </c>
      <c r="Z1235" t="s">
        <v>26553</v>
      </c>
      <c r="AA1235">
        <v>0.45099374351746851</v>
      </c>
      <c r="AB1235" t="str">
        <f>HYPERLINK("Melting_Curves/meltCurve_J3QLD9_FLOT2.pdf", "Melting_Curves/meltCurve_J3QLD9_FLOT2.pdf")</f>
        <v>Melting_Curves/meltCurve_J3QLD9_FLOT2.pdf</v>
      </c>
    </row>
    <row r="1236" spans="1:28" x14ac:dyDescent="0.25">
      <c r="A1236" t="s">
        <v>1240</v>
      </c>
      <c r="B1236">
        <v>0.99542014353169495</v>
      </c>
      <c r="C1236">
        <v>0.98169556095600796</v>
      </c>
      <c r="D1236">
        <v>1.0073185018848301</v>
      </c>
      <c r="E1236">
        <v>0.91790602280165601</v>
      </c>
      <c r="F1236">
        <v>0.71401716101899104</v>
      </c>
      <c r="G1236">
        <v>0.466129896345716</v>
      </c>
      <c r="H1236">
        <v>0.210936292773058</v>
      </c>
      <c r="I1236">
        <v>0.159007356652073</v>
      </c>
      <c r="J1236">
        <v>0.14710102149909701</v>
      </c>
      <c r="K1236">
        <v>0.101372796789652</v>
      </c>
      <c r="L1236">
        <v>994.82137977117895</v>
      </c>
      <c r="M1236">
        <v>18.985747021359799</v>
      </c>
      <c r="N1236">
        <v>53.0058561130379</v>
      </c>
      <c r="O1236">
        <v>51.827406054820699</v>
      </c>
      <c r="P1236">
        <v>-8.2630191222788099E-2</v>
      </c>
      <c r="Q1236">
        <v>9.7778713891244498E-2</v>
      </c>
      <c r="R1236">
        <v>0.99768919063110695</v>
      </c>
      <c r="S1236" t="s">
        <v>7638</v>
      </c>
      <c r="T1236" t="s">
        <v>12802</v>
      </c>
      <c r="U1236" t="s">
        <v>12802</v>
      </c>
      <c r="V1236" t="s">
        <v>12802</v>
      </c>
      <c r="W1236" t="s">
        <v>14009</v>
      </c>
      <c r="X1236">
        <v>1</v>
      </c>
      <c r="Y1236" t="s">
        <v>20325</v>
      </c>
      <c r="Z1236" t="s">
        <v>26554</v>
      </c>
      <c r="AA1236">
        <v>0.57335107978361488</v>
      </c>
      <c r="AB1236" t="str">
        <f>HYPERLINK("Melting_Curves/meltCurve_J3QLM1_STARD3.pdf", "Melting_Curves/meltCurve_J3QLM1_STARD3.pdf")</f>
        <v>Melting_Curves/meltCurve_J3QLM1_STARD3.pdf</v>
      </c>
    </row>
    <row r="1237" spans="1:28" x14ac:dyDescent="0.25">
      <c r="A1237" t="s">
        <v>1241</v>
      </c>
      <c r="B1237">
        <v>0.99542014353169495</v>
      </c>
      <c r="C1237">
        <v>1.0391085564678399</v>
      </c>
      <c r="D1237">
        <v>0.88910822035951498</v>
      </c>
      <c r="E1237">
        <v>0.72968968521531996</v>
      </c>
      <c r="F1237">
        <v>0.47458464449998999</v>
      </c>
      <c r="G1237">
        <v>0.20401197492690701</v>
      </c>
      <c r="H1237">
        <v>0.13509014251937199</v>
      </c>
      <c r="I1237">
        <v>8.8654058881244696E-2</v>
      </c>
      <c r="J1237">
        <v>5.9436161914101698E-2</v>
      </c>
      <c r="K1237">
        <v>4.5034221425725801E-2</v>
      </c>
      <c r="L1237">
        <v>809.96849461173701</v>
      </c>
      <c r="M1237">
        <v>16.420690644112899</v>
      </c>
      <c r="N1237">
        <v>49.567232860845799</v>
      </c>
      <c r="O1237">
        <v>48.611948304751202</v>
      </c>
      <c r="P1237">
        <v>-8.1211699571996407E-2</v>
      </c>
      <c r="Q1237">
        <v>3.8388961049313802E-2</v>
      </c>
      <c r="R1237">
        <v>0.99594050626547803</v>
      </c>
      <c r="S1237" t="s">
        <v>7639</v>
      </c>
      <c r="T1237" t="s">
        <v>12802</v>
      </c>
      <c r="U1237" t="s">
        <v>12802</v>
      </c>
      <c r="V1237" t="s">
        <v>12802</v>
      </c>
      <c r="W1237" t="s">
        <v>14010</v>
      </c>
      <c r="X1237">
        <v>5</v>
      </c>
      <c r="Y1237" t="s">
        <v>20326</v>
      </c>
      <c r="Z1237" t="s">
        <v>26555</v>
      </c>
      <c r="AA1237">
        <v>0.45126512768706017</v>
      </c>
      <c r="AB1237" t="str">
        <f>HYPERLINK("Melting_Curves/meltCurve_J3QLP7_UBBP4.pdf", "Melting_Curves/meltCurve_J3QLP7_UBBP4.pdf")</f>
        <v>Melting_Curves/meltCurve_J3QLP7_UBBP4.pdf</v>
      </c>
    </row>
    <row r="1238" spans="1:28" x14ac:dyDescent="0.25">
      <c r="A1238" t="s">
        <v>1242</v>
      </c>
      <c r="B1238">
        <v>0.99542014353169495</v>
      </c>
      <c r="C1238">
        <v>0.82959920513951502</v>
      </c>
      <c r="D1238">
        <v>1.05057549034362</v>
      </c>
      <c r="E1238">
        <v>0.70370655931933201</v>
      </c>
      <c r="F1238">
        <v>0.246255098254442</v>
      </c>
      <c r="G1238">
        <v>0.108963962759005</v>
      </c>
      <c r="H1238">
        <v>5.4517780446320503E-2</v>
      </c>
      <c r="I1238">
        <v>3.7647451799504697E-2</v>
      </c>
      <c r="J1238">
        <v>4.2302072345578798E-2</v>
      </c>
      <c r="K1238">
        <v>4.7598543418856103E-2</v>
      </c>
      <c r="L1238">
        <v>1442.4146557117101</v>
      </c>
      <c r="M1238">
        <v>30.086251268750502</v>
      </c>
      <c r="N1238">
        <v>48.108117346558899</v>
      </c>
      <c r="O1238">
        <v>47.732340147538999</v>
      </c>
      <c r="P1238">
        <v>-0.14983396073819299</v>
      </c>
      <c r="Q1238">
        <v>4.9149800161652699E-2</v>
      </c>
      <c r="R1238">
        <v>0.97852968906328996</v>
      </c>
      <c r="S1238" t="s">
        <v>7640</v>
      </c>
      <c r="T1238" t="s">
        <v>12802</v>
      </c>
      <c r="U1238" t="s">
        <v>12802</v>
      </c>
      <c r="V1238" t="s">
        <v>12802</v>
      </c>
      <c r="W1238" t="s">
        <v>14011</v>
      </c>
      <c r="X1238">
        <v>4</v>
      </c>
      <c r="Y1238" t="s">
        <v>20327</v>
      </c>
      <c r="Z1238" t="s">
        <v>26556</v>
      </c>
      <c r="AA1238">
        <v>0.40157027675568813</v>
      </c>
      <c r="AB1238" t="str">
        <f>HYPERLINK("Melting_Curves/meltCurve_J3QLS3_MRPS7.pdf", "Melting_Curves/meltCurve_J3QLS3_MRPS7.pdf")</f>
        <v>Melting_Curves/meltCurve_J3QLS3_MRPS7.pdf</v>
      </c>
    </row>
    <row r="1239" spans="1:28" x14ac:dyDescent="0.25">
      <c r="A1239" t="s">
        <v>1243</v>
      </c>
      <c r="B1239">
        <v>0.99542014353169495</v>
      </c>
      <c r="C1239">
        <v>0.93075641289081601</v>
      </c>
      <c r="D1239">
        <v>0.86756510747930204</v>
      </c>
      <c r="E1239">
        <v>0.75720047373486399</v>
      </c>
      <c r="F1239">
        <v>0.50345760114301497</v>
      </c>
      <c r="G1239">
        <v>0.313536335865156</v>
      </c>
      <c r="H1239">
        <v>0.19153956369989</v>
      </c>
      <c r="I1239">
        <v>0.157219538918726</v>
      </c>
      <c r="J1239">
        <v>0.233536923464846</v>
      </c>
      <c r="K1239">
        <v>0.31011983520963798</v>
      </c>
      <c r="L1239">
        <v>837.56378292966303</v>
      </c>
      <c r="M1239">
        <v>17.314062940322099</v>
      </c>
      <c r="N1239">
        <v>49.892157575572703</v>
      </c>
      <c r="O1239">
        <v>47.7432875245593</v>
      </c>
      <c r="P1239">
        <v>-7.2108853040514495E-2</v>
      </c>
      <c r="Q1239">
        <v>0.20468909504201599</v>
      </c>
      <c r="R1239">
        <v>0.97434566743852302</v>
      </c>
      <c r="S1239" t="s">
        <v>7641</v>
      </c>
      <c r="T1239" t="s">
        <v>12802</v>
      </c>
      <c r="U1239" t="s">
        <v>12802</v>
      </c>
      <c r="V1239" t="s">
        <v>12802</v>
      </c>
      <c r="W1239" t="s">
        <v>14012</v>
      </c>
      <c r="X1239">
        <v>13</v>
      </c>
      <c r="Y1239" t="s">
        <v>20328</v>
      </c>
      <c r="Z1239" t="s">
        <v>26557</v>
      </c>
      <c r="AA1239">
        <v>0.51983795053928239</v>
      </c>
      <c r="AB1239" t="str">
        <f>HYPERLINK("Melting_Curves/meltCurve_J3QQJ0_SAP30BP.pdf", "Melting_Curves/meltCurve_J3QQJ0_SAP30BP.pdf")</f>
        <v>Melting_Curves/meltCurve_J3QQJ0_SAP30BP.pdf</v>
      </c>
    </row>
    <row r="1240" spans="1:28" x14ac:dyDescent="0.25">
      <c r="A1240" t="s">
        <v>1244</v>
      </c>
      <c r="B1240">
        <v>0.99542014353169495</v>
      </c>
      <c r="C1240">
        <v>0.94604839878276403</v>
      </c>
      <c r="D1240">
        <v>0.94203652063563004</v>
      </c>
      <c r="E1240">
        <v>0.75440968471187397</v>
      </c>
      <c r="F1240">
        <v>0.44484519187171301</v>
      </c>
      <c r="G1240">
        <v>0.20438428315846599</v>
      </c>
      <c r="H1240">
        <v>7.9594083382896905E-2</v>
      </c>
      <c r="I1240">
        <v>4.8756786952415698E-2</v>
      </c>
      <c r="J1240">
        <v>4.8619181492844298E-2</v>
      </c>
      <c r="K1240">
        <v>5.6956320844572299E-2</v>
      </c>
      <c r="L1240">
        <v>913.579974381959</v>
      </c>
      <c r="M1240">
        <v>18.520459550462601</v>
      </c>
      <c r="N1240">
        <v>49.501238980019998</v>
      </c>
      <c r="O1240">
        <v>48.763841190649103</v>
      </c>
      <c r="P1240">
        <v>-9.1977017089756197E-2</v>
      </c>
      <c r="Q1240">
        <v>3.1351272245945597E-2</v>
      </c>
      <c r="R1240">
        <v>0.99832506093473705</v>
      </c>
      <c r="S1240" t="s">
        <v>7642</v>
      </c>
      <c r="T1240" t="s">
        <v>12802</v>
      </c>
      <c r="U1240" t="s">
        <v>12802</v>
      </c>
      <c r="V1240" t="s">
        <v>12802</v>
      </c>
      <c r="W1240" t="s">
        <v>14013</v>
      </c>
      <c r="X1240">
        <v>12</v>
      </c>
      <c r="Y1240" t="s">
        <v>20329</v>
      </c>
      <c r="Z1240" t="s">
        <v>26558</v>
      </c>
      <c r="AA1240">
        <v>0.44403188413577671</v>
      </c>
      <c r="AB1240" t="str">
        <f>HYPERLINK("Melting_Curves/meltCurve_J3QQJ5_TRAPPC8.pdf", "Melting_Curves/meltCurve_J3QQJ5_TRAPPC8.pdf")</f>
        <v>Melting_Curves/meltCurve_J3QQJ5_TRAPPC8.pdf</v>
      </c>
    </row>
    <row r="1241" spans="1:28" x14ac:dyDescent="0.25">
      <c r="A1241" t="s">
        <v>1245</v>
      </c>
      <c r="B1241">
        <v>0.99542014353169495</v>
      </c>
      <c r="C1241">
        <v>0.99493133182587401</v>
      </c>
      <c r="D1241">
        <v>0.93789948496889297</v>
      </c>
      <c r="E1241">
        <v>0.86813788270160697</v>
      </c>
      <c r="F1241">
        <v>0.66174436178296003</v>
      </c>
      <c r="G1241">
        <v>0.35170406720018099</v>
      </c>
      <c r="H1241">
        <v>0.17380604561254201</v>
      </c>
      <c r="I1241">
        <v>9.0906926176851102E-2</v>
      </c>
      <c r="J1241">
        <v>7.9002010022835106E-2</v>
      </c>
      <c r="K1241">
        <v>8.8879661783137998E-2</v>
      </c>
      <c r="L1241">
        <v>936.87886704054995</v>
      </c>
      <c r="M1241">
        <v>18.169256863630501</v>
      </c>
      <c r="N1241">
        <v>51.886351614789298</v>
      </c>
      <c r="O1241">
        <v>50.951505820774003</v>
      </c>
      <c r="P1241">
        <v>-8.4395272156455994E-2</v>
      </c>
      <c r="Q1241">
        <v>5.3376424788784203E-2</v>
      </c>
      <c r="R1241">
        <v>0.998110206242797</v>
      </c>
      <c r="S1241" t="s">
        <v>7643</v>
      </c>
      <c r="T1241" t="s">
        <v>12802</v>
      </c>
      <c r="U1241" t="s">
        <v>12802</v>
      </c>
      <c r="V1241" t="s">
        <v>12802</v>
      </c>
      <c r="W1241" t="s">
        <v>14014</v>
      </c>
      <c r="X1241">
        <v>6</v>
      </c>
      <c r="Y1241" t="s">
        <v>20330</v>
      </c>
      <c r="Z1241" t="s">
        <v>26559</v>
      </c>
      <c r="AA1241">
        <v>0.52722233795813234</v>
      </c>
      <c r="AB1241" t="str">
        <f>HYPERLINK("Melting_Curves/meltCurve_J3QQT2_RPL17.pdf", "Melting_Curves/meltCurve_J3QQT2_RPL17.pdf")</f>
        <v>Melting_Curves/meltCurve_J3QQT2_RPL17.pdf</v>
      </c>
    </row>
    <row r="1242" spans="1:28" x14ac:dyDescent="0.25">
      <c r="A1242" t="s">
        <v>1246</v>
      </c>
      <c r="B1242">
        <v>0.99542014353169495</v>
      </c>
      <c r="C1242">
        <v>0.81952933284455198</v>
      </c>
      <c r="D1242">
        <v>0.76054989113821003</v>
      </c>
      <c r="E1242">
        <v>0.402389387927579</v>
      </c>
      <c r="F1242">
        <v>0.17655464748313299</v>
      </c>
      <c r="G1242">
        <v>0.124521838045259</v>
      </c>
      <c r="H1242">
        <v>9.7913848310456103E-2</v>
      </c>
      <c r="I1242">
        <v>8.9295227994415402E-2</v>
      </c>
      <c r="J1242">
        <v>0.12078124594848701</v>
      </c>
      <c r="K1242">
        <v>0.17201399050517199</v>
      </c>
      <c r="L1242">
        <v>824.75558045666196</v>
      </c>
      <c r="M1242">
        <v>18.437238062566301</v>
      </c>
      <c r="N1242">
        <v>45.3100116406086</v>
      </c>
      <c r="O1242">
        <v>44.216859355695398</v>
      </c>
      <c r="P1242">
        <v>-9.3342546312483204E-2</v>
      </c>
      <c r="Q1242">
        <v>0.104610145919067</v>
      </c>
      <c r="R1242">
        <v>0.98326890415620805</v>
      </c>
      <c r="S1242" t="s">
        <v>7644</v>
      </c>
      <c r="T1242" t="s">
        <v>12802</v>
      </c>
      <c r="U1242" t="s">
        <v>12802</v>
      </c>
      <c r="V1242" t="s">
        <v>12802</v>
      </c>
      <c r="W1242" t="s">
        <v>14015</v>
      </c>
      <c r="X1242">
        <v>1</v>
      </c>
      <c r="Y1242" t="s">
        <v>20331</v>
      </c>
      <c r="Z1242" t="s">
        <v>26560</v>
      </c>
      <c r="AA1242">
        <v>0.34944480896332158</v>
      </c>
      <c r="AB1242" t="str">
        <f>HYPERLINK("Melting_Curves/meltCurve_J3QQW9_SUZ12.pdf", "Melting_Curves/meltCurve_J3QQW9_SUZ12.pdf")</f>
        <v>Melting_Curves/meltCurve_J3QQW9_SUZ12.pdf</v>
      </c>
    </row>
    <row r="1243" spans="1:28" x14ac:dyDescent="0.25">
      <c r="A1243" t="s">
        <v>1247</v>
      </c>
      <c r="B1243">
        <v>0.99542014353169495</v>
      </c>
      <c r="C1243">
        <v>0.94756896236951005</v>
      </c>
      <c r="D1243">
        <v>0.951362706700706</v>
      </c>
      <c r="E1243">
        <v>0.78478093998839804</v>
      </c>
      <c r="F1243">
        <v>0.30447911852917398</v>
      </c>
      <c r="G1243">
        <v>0.16459247526318799</v>
      </c>
      <c r="H1243">
        <v>0.10599129423505101</v>
      </c>
      <c r="I1243">
        <v>9.3480006748257405E-2</v>
      </c>
      <c r="J1243">
        <v>0.10072046021214701</v>
      </c>
      <c r="K1243">
        <v>9.3692405675939394E-2</v>
      </c>
      <c r="L1243">
        <v>1431.78605939985</v>
      </c>
      <c r="M1243">
        <v>29.647446286387702</v>
      </c>
      <c r="N1243">
        <v>48.656943661628503</v>
      </c>
      <c r="O1243">
        <v>48.075618350327701</v>
      </c>
      <c r="P1243">
        <v>-0.138868170853749</v>
      </c>
      <c r="Q1243">
        <v>9.9264397114005795E-2</v>
      </c>
      <c r="R1243">
        <v>0.99711366178586602</v>
      </c>
      <c r="S1243" t="s">
        <v>7645</v>
      </c>
      <c r="T1243" t="s">
        <v>12802</v>
      </c>
      <c r="U1243" t="s">
        <v>12802</v>
      </c>
      <c r="V1243" t="s">
        <v>12802</v>
      </c>
      <c r="W1243" t="s">
        <v>14016</v>
      </c>
      <c r="X1243">
        <v>23</v>
      </c>
      <c r="Y1243" t="s">
        <v>20332</v>
      </c>
      <c r="Z1243" t="s">
        <v>26561</v>
      </c>
      <c r="AA1243">
        <v>0.44384587350725879</v>
      </c>
      <c r="AB1243" t="str">
        <f>HYPERLINK("Melting_Curves/meltCurve_J3QQX3_FDXR.pdf", "Melting_Curves/meltCurve_J3QQX3_FDXR.pdf")</f>
        <v>Melting_Curves/meltCurve_J3QQX3_FDXR.pdf</v>
      </c>
    </row>
    <row r="1244" spans="1:28" x14ac:dyDescent="0.25">
      <c r="A1244" t="s">
        <v>1248</v>
      </c>
      <c r="B1244">
        <v>0.99542014353169495</v>
      </c>
      <c r="C1244">
        <v>1.08288914402708</v>
      </c>
      <c r="D1244">
        <v>0.95368200659654501</v>
      </c>
      <c r="E1244">
        <v>0.865426538222138</v>
      </c>
      <c r="F1244">
        <v>0.65268538766843898</v>
      </c>
      <c r="G1244">
        <v>0.29757814799101001</v>
      </c>
      <c r="H1244">
        <v>0.230242277568352</v>
      </c>
      <c r="I1244">
        <v>0.12780384776423001</v>
      </c>
      <c r="J1244">
        <v>0.14429884238649901</v>
      </c>
      <c r="K1244">
        <v>0.15575917843978401</v>
      </c>
      <c r="L1244">
        <v>1098.60216668098</v>
      </c>
      <c r="M1244">
        <v>21.635412425082698</v>
      </c>
      <c r="N1244">
        <v>51.523387602607698</v>
      </c>
      <c r="O1244">
        <v>50.350124969573599</v>
      </c>
      <c r="P1244">
        <v>-9.2991246982631601E-2</v>
      </c>
      <c r="Q1244">
        <v>0.13438035628331299</v>
      </c>
      <c r="R1244">
        <v>0.99079591437101999</v>
      </c>
      <c r="S1244" t="s">
        <v>7646</v>
      </c>
      <c r="T1244" t="s">
        <v>12802</v>
      </c>
      <c r="U1244" t="s">
        <v>12802</v>
      </c>
      <c r="V1244" t="s">
        <v>12802</v>
      </c>
      <c r="W1244" t="s">
        <v>14017</v>
      </c>
      <c r="X1244">
        <v>2</v>
      </c>
      <c r="Y1244" t="s">
        <v>20333</v>
      </c>
      <c r="Z1244" t="s">
        <v>26562</v>
      </c>
      <c r="AA1244">
        <v>0.54184540713432772</v>
      </c>
      <c r="AB1244" t="str">
        <f>HYPERLINK("Melting_Curves/meltCurve_J3QQY0_MSL1.pdf", "Melting_Curves/meltCurve_J3QQY0_MSL1.pdf")</f>
        <v>Melting_Curves/meltCurve_J3QQY0_MSL1.pdf</v>
      </c>
    </row>
    <row r="1245" spans="1:28" x14ac:dyDescent="0.25">
      <c r="A1245" t="s">
        <v>1249</v>
      </c>
      <c r="B1245">
        <v>0.99542014353169495</v>
      </c>
      <c r="C1245">
        <v>1.0072620995964301</v>
      </c>
      <c r="D1245">
        <v>0.920261029049529</v>
      </c>
      <c r="E1245">
        <v>0.676992883315223</v>
      </c>
      <c r="F1245">
        <v>0.233380403634215</v>
      </c>
      <c r="G1245">
        <v>0.13095990927074699</v>
      </c>
      <c r="H1245">
        <v>9.1659019082497004E-2</v>
      </c>
      <c r="I1245">
        <v>8.4957672405777299E-2</v>
      </c>
      <c r="J1245">
        <v>7.9082192807453905E-2</v>
      </c>
      <c r="K1245">
        <v>0.156923853989548</v>
      </c>
      <c r="L1245">
        <v>1397.2379219766001</v>
      </c>
      <c r="M1245">
        <v>29.474394197710001</v>
      </c>
      <c r="N1245">
        <v>47.769103173358701</v>
      </c>
      <c r="O1245">
        <v>47.188534887073402</v>
      </c>
      <c r="P1245">
        <v>-0.14044816678139399</v>
      </c>
      <c r="Q1245">
        <v>0.100575671829154</v>
      </c>
      <c r="R1245">
        <v>0.99597048698554702</v>
      </c>
      <c r="S1245" t="s">
        <v>7647</v>
      </c>
      <c r="T1245" t="s">
        <v>12802</v>
      </c>
      <c r="U1245" t="s">
        <v>12802</v>
      </c>
      <c r="V1245" t="s">
        <v>12802</v>
      </c>
      <c r="W1245" t="s">
        <v>14018</v>
      </c>
      <c r="X1245">
        <v>2</v>
      </c>
      <c r="Y1245" t="s">
        <v>20334</v>
      </c>
      <c r="Z1245" t="s">
        <v>26563</v>
      </c>
      <c r="AA1245">
        <v>0.41798909717601029</v>
      </c>
      <c r="AB1245" t="str">
        <f>HYPERLINK("Melting_Curves/meltCurve_J3QR07_YTHDC1.pdf", "Melting_Curves/meltCurve_J3QR07_YTHDC1.pdf")</f>
        <v>Melting_Curves/meltCurve_J3QR07_YTHDC1.pdf</v>
      </c>
    </row>
    <row r="1246" spans="1:28" x14ac:dyDescent="0.25">
      <c r="A1246" t="s">
        <v>1250</v>
      </c>
      <c r="B1246">
        <v>0.99542014353169495</v>
      </c>
      <c r="C1246">
        <v>1.0160635629471799</v>
      </c>
      <c r="D1246">
        <v>1.08460905210837</v>
      </c>
      <c r="E1246">
        <v>0.890802144866089</v>
      </c>
      <c r="F1246">
        <v>0.65602359863050397</v>
      </c>
      <c r="G1246">
        <v>0.318499084918067</v>
      </c>
      <c r="H1246">
        <v>0.18260997937669901</v>
      </c>
      <c r="I1246">
        <v>0.106597595386281</v>
      </c>
      <c r="J1246">
        <v>0.123650346116826</v>
      </c>
      <c r="K1246">
        <v>0.13181262718362899</v>
      </c>
      <c r="L1246">
        <v>1223.27933490397</v>
      </c>
      <c r="M1246">
        <v>23.940588910461202</v>
      </c>
      <c r="N1246">
        <v>51.657055753360403</v>
      </c>
      <c r="O1246">
        <v>50.743931344949203</v>
      </c>
      <c r="P1246">
        <v>-0.104456310682481</v>
      </c>
      <c r="Q1246">
        <v>0.114400821739654</v>
      </c>
      <c r="R1246">
        <v>0.99297829937971205</v>
      </c>
      <c r="S1246" t="s">
        <v>7648</v>
      </c>
      <c r="T1246" t="s">
        <v>12802</v>
      </c>
      <c r="U1246" t="s">
        <v>12802</v>
      </c>
      <c r="V1246" t="s">
        <v>12802</v>
      </c>
      <c r="W1246" t="s">
        <v>14019</v>
      </c>
      <c r="X1246">
        <v>9</v>
      </c>
      <c r="Y1246" t="s">
        <v>20335</v>
      </c>
      <c r="Z1246" t="s">
        <v>26564</v>
      </c>
      <c r="AA1246">
        <v>0.53899350870174412</v>
      </c>
      <c r="AB1246" t="str">
        <f>HYPERLINK("Melting_Curves/meltCurve_J3QR09_RPL19.pdf", "Melting_Curves/meltCurve_J3QR09_RPL19.pdf")</f>
        <v>Melting_Curves/meltCurve_J3QR09_RPL19.pdf</v>
      </c>
    </row>
    <row r="1247" spans="1:28" x14ac:dyDescent="0.25">
      <c r="A1247" t="s">
        <v>1251</v>
      </c>
      <c r="B1247">
        <v>0.99542014353169495</v>
      </c>
      <c r="C1247">
        <v>0.94366943000820802</v>
      </c>
      <c r="D1247">
        <v>0.817919015388059</v>
      </c>
      <c r="E1247">
        <v>0.69900221575313504</v>
      </c>
      <c r="F1247">
        <v>0.65019914102590404</v>
      </c>
      <c r="G1247">
        <v>0.33036535800514799</v>
      </c>
      <c r="H1247">
        <v>0.22874688459544301</v>
      </c>
      <c r="I1247">
        <v>0.16068920561903799</v>
      </c>
      <c r="J1247">
        <v>0.108219865603633</v>
      </c>
      <c r="K1247">
        <v>0.23160373082702601</v>
      </c>
      <c r="L1247">
        <v>556.08559868835596</v>
      </c>
      <c r="M1247">
        <v>11.103099411973901</v>
      </c>
      <c r="N1247">
        <v>50.926186362720699</v>
      </c>
      <c r="O1247">
        <v>48.541499840788603</v>
      </c>
      <c r="P1247">
        <v>-5.24035119411152E-2</v>
      </c>
      <c r="Q1247">
        <v>8.3889071632805498E-2</v>
      </c>
      <c r="R1247">
        <v>0.96878387379227004</v>
      </c>
      <c r="S1247" t="s">
        <v>7649</v>
      </c>
      <c r="T1247" t="s">
        <v>12802</v>
      </c>
      <c r="U1247" t="s">
        <v>12802</v>
      </c>
      <c r="V1247" t="s">
        <v>12802</v>
      </c>
      <c r="W1247" t="s">
        <v>14020</v>
      </c>
      <c r="X1247">
        <v>1</v>
      </c>
      <c r="Y1247" t="s">
        <v>20336</v>
      </c>
      <c r="Z1247" t="s">
        <v>26565</v>
      </c>
      <c r="AA1247">
        <v>0.51122135308713423</v>
      </c>
      <c r="AB1247" t="str">
        <f>HYPERLINK("Melting_Curves/meltCurve_J3QRM9_ORMDL3.pdf", "Melting_Curves/meltCurve_J3QRM9_ORMDL3.pdf")</f>
        <v>Melting_Curves/meltCurve_J3QRM9_ORMDL3.pdf</v>
      </c>
    </row>
    <row r="1248" spans="1:28" x14ac:dyDescent="0.25">
      <c r="A1248" t="s">
        <v>1252</v>
      </c>
      <c r="B1248">
        <v>0.99542014353169495</v>
      </c>
      <c r="C1248">
        <v>0.83404695385997096</v>
      </c>
      <c r="D1248">
        <v>0.77965900535736299</v>
      </c>
      <c r="E1248">
        <v>0.67710098555582499</v>
      </c>
      <c r="F1248">
        <v>0.46625522810672299</v>
      </c>
      <c r="G1248">
        <v>0.257455964154026</v>
      </c>
      <c r="H1248">
        <v>0.102940006455166</v>
      </c>
      <c r="I1248">
        <v>5.8687461109004503E-2</v>
      </c>
      <c r="J1248">
        <v>6.5470030859942505E-2</v>
      </c>
      <c r="K1248">
        <v>7.7227397150531202E-2</v>
      </c>
      <c r="L1248">
        <v>538.01302151580796</v>
      </c>
      <c r="M1248">
        <v>11.0273455165119</v>
      </c>
      <c r="N1248">
        <v>48.788987420169903</v>
      </c>
      <c r="O1248">
        <v>47.266895916217898</v>
      </c>
      <c r="P1248">
        <v>-5.8344377922458501E-2</v>
      </c>
      <c r="Q1248">
        <v>0</v>
      </c>
      <c r="R1248">
        <v>0.98357478474728999</v>
      </c>
      <c r="S1248" t="s">
        <v>7650</v>
      </c>
      <c r="T1248" t="s">
        <v>12802</v>
      </c>
      <c r="U1248" t="s">
        <v>12802</v>
      </c>
      <c r="V1248" t="s">
        <v>12802</v>
      </c>
      <c r="W1248" t="s">
        <v>14021</v>
      </c>
      <c r="X1248">
        <v>11</v>
      </c>
      <c r="Y1248" t="s">
        <v>20337</v>
      </c>
      <c r="Z1248" t="s">
        <v>26566</v>
      </c>
      <c r="AA1248">
        <v>0.42654217309701298</v>
      </c>
      <c r="AB1248" t="str">
        <f>HYPERLINK("Melting_Curves/meltCurve_J3QRS3_MYL12A.pdf", "Melting_Curves/meltCurve_J3QRS3_MYL12A.pdf")</f>
        <v>Melting_Curves/meltCurve_J3QRS3_MYL12A.pdf</v>
      </c>
    </row>
    <row r="1249" spans="1:28" x14ac:dyDescent="0.25">
      <c r="A1249" t="s">
        <v>1253</v>
      </c>
      <c r="B1249">
        <v>0.99542014353169495</v>
      </c>
      <c r="C1249">
        <v>1.0199769804112799</v>
      </c>
      <c r="D1249">
        <v>0.99853405071537404</v>
      </c>
      <c r="E1249">
        <v>0.99966506635805197</v>
      </c>
      <c r="F1249">
        <v>0.75378048943676401</v>
      </c>
      <c r="G1249">
        <v>0.61831193940804896</v>
      </c>
      <c r="H1249">
        <v>0.36664224211905699</v>
      </c>
      <c r="I1249">
        <v>0.28107637250501999</v>
      </c>
      <c r="J1249">
        <v>0.30113433112315802</v>
      </c>
      <c r="K1249">
        <v>0.27886268307041501</v>
      </c>
      <c r="L1249">
        <v>1044.9646758931699</v>
      </c>
      <c r="M1249">
        <v>19.752752472653501</v>
      </c>
      <c r="N1249">
        <v>54.931570576368799</v>
      </c>
      <c r="O1249">
        <v>52.368971035939197</v>
      </c>
      <c r="P1249">
        <v>-6.9877529266203706E-2</v>
      </c>
      <c r="Q1249">
        <v>0.25898142001032598</v>
      </c>
      <c r="R1249">
        <v>0.98978212721549297</v>
      </c>
      <c r="S1249" t="s">
        <v>7651</v>
      </c>
      <c r="T1249" t="s">
        <v>12802</v>
      </c>
      <c r="U1249" t="s">
        <v>12802</v>
      </c>
      <c r="V1249" t="s">
        <v>12802</v>
      </c>
      <c r="W1249" t="s">
        <v>14022</v>
      </c>
      <c r="X1249">
        <v>8</v>
      </c>
      <c r="Y1249" t="s">
        <v>20338</v>
      </c>
      <c r="Z1249" t="s">
        <v>26567</v>
      </c>
      <c r="AA1249">
        <v>0.66130908533877297</v>
      </c>
      <c r="AB1249" t="str">
        <f>HYPERLINK("Melting_Curves/meltCurve_J3QRS9_ZNF207.pdf", "Melting_Curves/meltCurve_J3QRS9_ZNF207.pdf")</f>
        <v>Melting_Curves/meltCurve_J3QRS9_ZNF207.pdf</v>
      </c>
    </row>
    <row r="1250" spans="1:28" x14ac:dyDescent="0.25">
      <c r="A1250" t="s">
        <v>1254</v>
      </c>
      <c r="B1250">
        <v>0.99542014353169495</v>
      </c>
      <c r="C1250">
        <v>0.97521582409450602</v>
      </c>
      <c r="D1250">
        <v>0.96250376922515102</v>
      </c>
      <c r="E1250">
        <v>0.71575481135649299</v>
      </c>
      <c r="F1250">
        <v>0.33405969561203902</v>
      </c>
      <c r="G1250">
        <v>0.14031281924383199</v>
      </c>
      <c r="H1250">
        <v>7.6138857705903604E-2</v>
      </c>
      <c r="I1250">
        <v>5.1377683717086203E-2</v>
      </c>
      <c r="J1250">
        <v>5.0919100524637197E-2</v>
      </c>
      <c r="K1250">
        <v>5.11594307247508E-2</v>
      </c>
      <c r="L1250">
        <v>1109.3613523756201</v>
      </c>
      <c r="M1250">
        <v>22.936908153636601</v>
      </c>
      <c r="N1250">
        <v>48.583373758299402</v>
      </c>
      <c r="O1250">
        <v>48.002657416505897</v>
      </c>
      <c r="P1250">
        <v>-0.1136275597581</v>
      </c>
      <c r="Q1250">
        <v>4.8813470791695297E-2</v>
      </c>
      <c r="R1250">
        <v>0.99962886727613998</v>
      </c>
      <c r="S1250" t="s">
        <v>7652</v>
      </c>
      <c r="T1250" t="s">
        <v>12802</v>
      </c>
      <c r="U1250" t="s">
        <v>12802</v>
      </c>
      <c r="V1250" t="s">
        <v>12802</v>
      </c>
      <c r="W1250" t="s">
        <v>14023</v>
      </c>
      <c r="X1250">
        <v>16</v>
      </c>
      <c r="Y1250" t="s">
        <v>20339</v>
      </c>
      <c r="Z1250" t="s">
        <v>26568</v>
      </c>
      <c r="AA1250">
        <v>0.41881918054245509</v>
      </c>
      <c r="AB1250" t="str">
        <f>HYPERLINK("Melting_Curves/meltCurve_J3QRU1_YES1.pdf", "Melting_Curves/meltCurve_J3QRU1_YES1.pdf")</f>
        <v>Melting_Curves/meltCurve_J3QRU1_YES1.pdf</v>
      </c>
    </row>
    <row r="1251" spans="1:28" x14ac:dyDescent="0.25">
      <c r="A1251" t="s">
        <v>1255</v>
      </c>
      <c r="B1251">
        <v>0.99542014353169495</v>
      </c>
      <c r="C1251">
        <v>1.0615745211922101</v>
      </c>
      <c r="D1251">
        <v>0.94186575557214902</v>
      </c>
      <c r="E1251">
        <v>0.86770117607773001</v>
      </c>
      <c r="F1251">
        <v>0.76704913640489902</v>
      </c>
      <c r="G1251">
        <v>0.58285272535886001</v>
      </c>
      <c r="H1251">
        <v>0.47125573552300798</v>
      </c>
      <c r="I1251">
        <v>0.40412925326776</v>
      </c>
      <c r="J1251">
        <v>0.57149825366608298</v>
      </c>
      <c r="K1251">
        <v>0.62676509438664596</v>
      </c>
      <c r="L1251">
        <v>1080.3628251507</v>
      </c>
      <c r="M1251">
        <v>21.8170400513172</v>
      </c>
      <c r="O1251">
        <v>49.1088155218469</v>
      </c>
      <c r="P1251">
        <v>-5.39600735655065E-2</v>
      </c>
      <c r="Q1251">
        <v>0.51416799215952003</v>
      </c>
      <c r="R1251">
        <v>0.91069592864161897</v>
      </c>
      <c r="S1251" t="s">
        <v>7653</v>
      </c>
      <c r="T1251" t="s">
        <v>12802</v>
      </c>
      <c r="U1251" t="s">
        <v>12802</v>
      </c>
      <c r="V1251" t="s">
        <v>12802</v>
      </c>
      <c r="W1251" t="s">
        <v>14024</v>
      </c>
      <c r="X1251">
        <v>6</v>
      </c>
      <c r="Y1251" t="s">
        <v>20340</v>
      </c>
      <c r="Z1251" t="s">
        <v>26569</v>
      </c>
      <c r="AA1251">
        <v>0.72237517921618699</v>
      </c>
      <c r="AB1251" t="str">
        <f>HYPERLINK("Melting_Curves/meltCurve_J3QRU4_VAMP2.pdf", "Melting_Curves/meltCurve_J3QRU4_VAMP2.pdf")</f>
        <v>Melting_Curves/meltCurve_J3QRU4_VAMP2.pdf</v>
      </c>
    </row>
    <row r="1252" spans="1:28" x14ac:dyDescent="0.25">
      <c r="A1252" t="s">
        <v>1256</v>
      </c>
      <c r="B1252">
        <v>0.99542014353169495</v>
      </c>
      <c r="C1252">
        <v>0.76955669233538204</v>
      </c>
      <c r="D1252">
        <v>0.78073355884224005</v>
      </c>
      <c r="E1252">
        <v>0.41173849129365397</v>
      </c>
      <c r="F1252">
        <v>0.122400163693304</v>
      </c>
      <c r="G1252">
        <v>5.9209788964431201E-2</v>
      </c>
      <c r="H1252">
        <v>6.4018023176728403E-2</v>
      </c>
      <c r="I1252">
        <v>2.81901811945902E-2</v>
      </c>
      <c r="J1252">
        <v>2.1388524665110101E-2</v>
      </c>
      <c r="K1252">
        <v>1.2262124325807601E-2</v>
      </c>
      <c r="L1252">
        <v>726.82902565404697</v>
      </c>
      <c r="M1252">
        <v>16.033274698499099</v>
      </c>
      <c r="N1252">
        <v>45.356982400132097</v>
      </c>
      <c r="O1252">
        <v>44.644917146981598</v>
      </c>
      <c r="P1252">
        <v>-8.9402914003642003E-2</v>
      </c>
      <c r="Q1252">
        <v>4.3019225164593203E-3</v>
      </c>
      <c r="R1252">
        <v>0.979232793878691</v>
      </c>
      <c r="S1252" t="s">
        <v>7654</v>
      </c>
      <c r="T1252" t="s">
        <v>12802</v>
      </c>
      <c r="U1252" t="s">
        <v>12802</v>
      </c>
      <c r="V1252" t="s">
        <v>12802</v>
      </c>
      <c r="W1252" t="s">
        <v>14025</v>
      </c>
      <c r="X1252">
        <v>5</v>
      </c>
      <c r="Y1252" t="s">
        <v>20341</v>
      </c>
      <c r="Z1252" t="s">
        <v>26570</v>
      </c>
      <c r="AA1252">
        <v>0.30137815267476742</v>
      </c>
      <c r="AB1252" t="str">
        <f>HYPERLINK("Melting_Curves/meltCurve_J3QRU8_GIT1.pdf", "Melting_Curves/meltCurve_J3QRU8_GIT1.pdf")</f>
        <v>Melting_Curves/meltCurve_J3QRU8_GIT1.pdf</v>
      </c>
    </row>
    <row r="1253" spans="1:28" x14ac:dyDescent="0.25">
      <c r="A1253" t="s">
        <v>1257</v>
      </c>
      <c r="B1253">
        <v>0.99542014353169495</v>
      </c>
      <c r="C1253">
        <v>1.11505995299564</v>
      </c>
      <c r="D1253">
        <v>0.84526098904293001</v>
      </c>
      <c r="E1253">
        <v>0.83726318484205398</v>
      </c>
      <c r="F1253">
        <v>0.99737846881033698</v>
      </c>
      <c r="G1253">
        <v>0.68226775429508302</v>
      </c>
      <c r="H1253">
        <v>0.77405204981226405</v>
      </c>
      <c r="I1253">
        <v>0.59064803456956505</v>
      </c>
      <c r="J1253">
        <v>0.99428846404566895</v>
      </c>
      <c r="K1253">
        <v>1.3005436468806599</v>
      </c>
      <c r="L1253">
        <v>15000</v>
      </c>
      <c r="M1253">
        <v>224.29058255845999</v>
      </c>
      <c r="O1253">
        <v>66.872207630595497</v>
      </c>
      <c r="P1253">
        <v>0.41925221096051701</v>
      </c>
      <c r="Q1253">
        <v>1.5</v>
      </c>
      <c r="R1253">
        <v>3.76971639522337E-2</v>
      </c>
      <c r="S1253" t="s">
        <v>7655</v>
      </c>
      <c r="T1253" t="s">
        <v>12802</v>
      </c>
      <c r="U1253" t="s">
        <v>12802</v>
      </c>
      <c r="V1253" t="s">
        <v>12802</v>
      </c>
      <c r="W1253" t="s">
        <v>14026</v>
      </c>
      <c r="X1253">
        <v>1</v>
      </c>
      <c r="Y1253" t="s">
        <v>20342</v>
      </c>
      <c r="Z1253" t="s">
        <v>26571</v>
      </c>
      <c r="AA1253">
        <v>1.0045332491729471</v>
      </c>
      <c r="AB1253" t="str">
        <f>HYPERLINK("Melting_Curves/meltCurve_J3QRX6_COPRS.pdf", "Melting_Curves/meltCurve_J3QRX6_COPRS.pdf")</f>
        <v>Melting_Curves/meltCurve_J3QRX6_COPRS.pdf</v>
      </c>
    </row>
    <row r="1254" spans="1:28" x14ac:dyDescent="0.25">
      <c r="A1254" t="s">
        <v>1258</v>
      </c>
      <c r="B1254">
        <v>0.99542014353169495</v>
      </c>
      <c r="C1254">
        <v>1.0423573567501301</v>
      </c>
      <c r="D1254">
        <v>1.04960271399633</v>
      </c>
      <c r="E1254">
        <v>0.80750043684094497</v>
      </c>
      <c r="F1254">
        <v>0.80130369014380898</v>
      </c>
      <c r="G1254">
        <v>0.453874978242986</v>
      </c>
      <c r="H1254">
        <v>0.53365291201406595</v>
      </c>
      <c r="I1254">
        <v>0.42824964272208099</v>
      </c>
      <c r="J1254">
        <v>0.315208960513367</v>
      </c>
      <c r="K1254">
        <v>0.38005133583107298</v>
      </c>
      <c r="L1254">
        <v>835.49454043435003</v>
      </c>
      <c r="M1254">
        <v>16.357213346306199</v>
      </c>
      <c r="N1254">
        <v>55.329292254983301</v>
      </c>
      <c r="O1254">
        <v>50.3329284746737</v>
      </c>
      <c r="P1254">
        <v>-5.2185860089185097E-2</v>
      </c>
      <c r="Q1254">
        <v>0.357719869283326</v>
      </c>
      <c r="R1254">
        <v>0.94284345837983297</v>
      </c>
      <c r="S1254" t="s">
        <v>7656</v>
      </c>
      <c r="T1254" t="s">
        <v>12802</v>
      </c>
      <c r="U1254" t="s">
        <v>12802</v>
      </c>
      <c r="V1254" t="s">
        <v>12802</v>
      </c>
      <c r="W1254" t="s">
        <v>14027</v>
      </c>
      <c r="X1254">
        <v>4</v>
      </c>
      <c r="Y1254" t="s">
        <v>20338</v>
      </c>
      <c r="Z1254" t="s">
        <v>26572</v>
      </c>
      <c r="AA1254">
        <v>0.67057801085227875</v>
      </c>
      <c r="AB1254" t="str">
        <f>HYPERLINK("Melting_Curves/meltCurve_J3QS27_ZNF207.pdf", "Melting_Curves/meltCurve_J3QS27_ZNF207.pdf")</f>
        <v>Melting_Curves/meltCurve_J3QS27_ZNF207.pdf</v>
      </c>
    </row>
    <row r="1255" spans="1:28" x14ac:dyDescent="0.25">
      <c r="A1255" t="s">
        <v>1259</v>
      </c>
      <c r="B1255">
        <v>0.99542014353169495</v>
      </c>
      <c r="C1255">
        <v>0.87943914604794204</v>
      </c>
      <c r="D1255">
        <v>0.86940832555173497</v>
      </c>
      <c r="E1255">
        <v>0.64046000669808101</v>
      </c>
      <c r="F1255">
        <v>0.33114177454155702</v>
      </c>
      <c r="G1255">
        <v>0.13847867923985599</v>
      </c>
      <c r="H1255">
        <v>7.8995220933055194E-2</v>
      </c>
      <c r="I1255">
        <v>6.0243666781741201E-2</v>
      </c>
      <c r="J1255">
        <v>6.0124398758547602E-2</v>
      </c>
      <c r="K1255">
        <v>7.4237923061187705E-2</v>
      </c>
      <c r="L1255">
        <v>799.42632363367204</v>
      </c>
      <c r="M1255">
        <v>16.7578733400521</v>
      </c>
      <c r="N1255">
        <v>47.943809102997498</v>
      </c>
      <c r="O1255">
        <v>47.040735326517598</v>
      </c>
      <c r="P1255">
        <v>-8.5492866417380797E-2</v>
      </c>
      <c r="Q1255">
        <v>4.0120599713251499E-2</v>
      </c>
      <c r="R1255">
        <v>0.99291451478980497</v>
      </c>
      <c r="S1255" t="s">
        <v>7657</v>
      </c>
      <c r="T1255" t="s">
        <v>12802</v>
      </c>
      <c r="U1255" t="s">
        <v>12802</v>
      </c>
      <c r="V1255" t="s">
        <v>12802</v>
      </c>
      <c r="W1255" t="s">
        <v>14028</v>
      </c>
      <c r="X1255">
        <v>5</v>
      </c>
      <c r="Y1255" t="s">
        <v>20343</v>
      </c>
      <c r="Z1255" t="s">
        <v>26573</v>
      </c>
      <c r="AA1255">
        <v>0.40012912478830759</v>
      </c>
      <c r="AB1255" t="str">
        <f>HYPERLINK("Melting_Curves/meltCurve_J3QS41_HELZ.pdf", "Melting_Curves/meltCurve_J3QS41_HELZ.pdf")</f>
        <v>Melting_Curves/meltCurve_J3QS41_HELZ.pdf</v>
      </c>
    </row>
    <row r="1256" spans="1:28" x14ac:dyDescent="0.25">
      <c r="A1256" t="s">
        <v>1260</v>
      </c>
      <c r="B1256">
        <v>0.99542014353169495</v>
      </c>
      <c r="C1256">
        <v>0.93052986379916203</v>
      </c>
      <c r="D1256">
        <v>0.99653005862733601</v>
      </c>
      <c r="E1256">
        <v>0.78731436034665303</v>
      </c>
      <c r="F1256">
        <v>0.66214942294318002</v>
      </c>
      <c r="G1256">
        <v>0.22833861156239299</v>
      </c>
      <c r="H1256">
        <v>8.7201555677536804E-2</v>
      </c>
      <c r="I1256">
        <v>5.5149004493805699E-2</v>
      </c>
      <c r="J1256">
        <v>4.8236597636962003E-2</v>
      </c>
      <c r="K1256">
        <v>5.0645045287679699E-2</v>
      </c>
      <c r="L1256">
        <v>1030.96364578317</v>
      </c>
      <c r="M1256">
        <v>20.238245124645001</v>
      </c>
      <c r="N1256">
        <v>51.0537415465122</v>
      </c>
      <c r="O1256">
        <v>50.451813067278799</v>
      </c>
      <c r="P1256">
        <v>-9.8103209274310404E-2</v>
      </c>
      <c r="Q1256">
        <v>2.1786505714176299E-2</v>
      </c>
      <c r="R1256">
        <v>0.98715119222887704</v>
      </c>
      <c r="S1256" t="s">
        <v>7658</v>
      </c>
      <c r="T1256" t="s">
        <v>12802</v>
      </c>
      <c r="U1256" t="s">
        <v>12802</v>
      </c>
      <c r="V1256" t="s">
        <v>12802</v>
      </c>
      <c r="W1256" t="s">
        <v>14029</v>
      </c>
      <c r="X1256">
        <v>5</v>
      </c>
      <c r="Y1256" t="s">
        <v>20344</v>
      </c>
      <c r="Z1256" t="s">
        <v>26574</v>
      </c>
      <c r="AA1256">
        <v>0.48893616986738381</v>
      </c>
      <c r="AB1256" t="str">
        <f>HYPERLINK("Melting_Curves/meltCurve_J3QSV6_RSL1D1.pdf", "Melting_Curves/meltCurve_J3QSV6_RSL1D1.pdf")</f>
        <v>Melting_Curves/meltCurve_J3QSV6_RSL1D1.pdf</v>
      </c>
    </row>
    <row r="1257" spans="1:28" x14ac:dyDescent="0.25">
      <c r="A1257" t="s">
        <v>1261</v>
      </c>
      <c r="B1257">
        <v>0.99542014353169495</v>
      </c>
      <c r="C1257">
        <v>1.03065591591655</v>
      </c>
      <c r="D1257">
        <v>0.94997605584935096</v>
      </c>
      <c r="E1257">
        <v>1.04234058305458</v>
      </c>
      <c r="F1257">
        <v>0.93724899345246204</v>
      </c>
      <c r="G1257">
        <v>0.66968864238858405</v>
      </c>
      <c r="H1257">
        <v>0.54870635535375301</v>
      </c>
      <c r="I1257">
        <v>0.46331084549840001</v>
      </c>
      <c r="J1257">
        <v>0.74066830021219598</v>
      </c>
      <c r="K1257">
        <v>0.97647250472982705</v>
      </c>
      <c r="L1257">
        <v>12620.8706499286</v>
      </c>
      <c r="M1257">
        <v>250</v>
      </c>
      <c r="O1257">
        <v>50.4802520037139</v>
      </c>
      <c r="P1257">
        <v>-0.39648014595401598</v>
      </c>
      <c r="Q1257">
        <v>0.67976931753606196</v>
      </c>
      <c r="R1257">
        <v>0.60413636920111502</v>
      </c>
      <c r="S1257" t="s">
        <v>7659</v>
      </c>
      <c r="T1257" t="s">
        <v>12802</v>
      </c>
      <c r="U1257" t="s">
        <v>12802</v>
      </c>
      <c r="V1257" t="s">
        <v>12802</v>
      </c>
      <c r="W1257" t="s">
        <v>14030</v>
      </c>
      <c r="X1257">
        <v>3</v>
      </c>
      <c r="Y1257" t="s">
        <v>20345</v>
      </c>
      <c r="Z1257" t="s">
        <v>26575</v>
      </c>
      <c r="AA1257">
        <v>0.82372518374298132</v>
      </c>
      <c r="AB1257" t="str">
        <f>HYPERLINK("Melting_Curves/meltCurve_J3QT56_HYPK.pdf", "Melting_Curves/meltCurve_J3QT56_HYPK.pdf")</f>
        <v>Melting_Curves/meltCurve_J3QT56_HYPK.pdf</v>
      </c>
    </row>
    <row r="1258" spans="1:28" x14ac:dyDescent="0.25">
      <c r="A1258" t="s">
        <v>1262</v>
      </c>
      <c r="B1258">
        <v>0.99542014353169495</v>
      </c>
      <c r="C1258">
        <v>0.93879011022571901</v>
      </c>
      <c r="D1258">
        <v>0.92554733402261602</v>
      </c>
      <c r="E1258">
        <v>0.79019934627572797</v>
      </c>
      <c r="F1258">
        <v>0.76085276754951903</v>
      </c>
      <c r="G1258">
        <v>0.420561321135144</v>
      </c>
      <c r="H1258">
        <v>0.19602366881192801</v>
      </c>
      <c r="I1258">
        <v>0.10378953635917899</v>
      </c>
      <c r="J1258">
        <v>9.44402461173071E-2</v>
      </c>
      <c r="K1258">
        <v>0.10219963494168501</v>
      </c>
      <c r="L1258">
        <v>775.05087192690496</v>
      </c>
      <c r="M1258">
        <v>14.770642307958299</v>
      </c>
      <c r="N1258">
        <v>52.652986955727499</v>
      </c>
      <c r="O1258">
        <v>51.538747068327297</v>
      </c>
      <c r="P1258">
        <v>-6.9885961246956799E-2</v>
      </c>
      <c r="Q1258">
        <v>2.4700885990011402E-2</v>
      </c>
      <c r="R1258">
        <v>0.98276771255043005</v>
      </c>
      <c r="S1258" t="s">
        <v>7660</v>
      </c>
      <c r="T1258" t="s">
        <v>12802</v>
      </c>
      <c r="U1258" t="s">
        <v>12802</v>
      </c>
      <c r="V1258" t="s">
        <v>12802</v>
      </c>
      <c r="W1258" t="s">
        <v>14031</v>
      </c>
      <c r="X1258">
        <v>8</v>
      </c>
      <c r="Y1258" t="s">
        <v>20346</v>
      </c>
      <c r="Z1258" t="s">
        <v>26576</v>
      </c>
      <c r="AA1258">
        <v>0.54611328407813242</v>
      </c>
      <c r="AB1258" t="str">
        <f>HYPERLINK("Melting_Curves/meltCurve_J3QT87_CRBN.pdf", "Melting_Curves/meltCurve_J3QT87_CRBN.pdf")</f>
        <v>Melting_Curves/meltCurve_J3QT87_CRBN.pdf</v>
      </c>
    </row>
    <row r="1259" spans="1:28" x14ac:dyDescent="0.25">
      <c r="A1259" t="s">
        <v>1263</v>
      </c>
      <c r="B1259">
        <v>0.99542014353169495</v>
      </c>
      <c r="C1259">
        <v>0.98653059176573299</v>
      </c>
      <c r="D1259">
        <v>0.99269146454089496</v>
      </c>
      <c r="E1259">
        <v>0.83686340036720097</v>
      </c>
      <c r="F1259">
        <v>0.716762194285674</v>
      </c>
      <c r="G1259">
        <v>0.37825950211083698</v>
      </c>
      <c r="H1259">
        <v>0.16659390727360601</v>
      </c>
      <c r="I1259">
        <v>0.104813054467987</v>
      </c>
      <c r="J1259">
        <v>9.7760393378492197E-2</v>
      </c>
      <c r="K1259">
        <v>9.6366894597355604E-2</v>
      </c>
      <c r="L1259">
        <v>977.16749200771403</v>
      </c>
      <c r="M1259">
        <v>18.8381469774097</v>
      </c>
      <c r="N1259">
        <v>52.250014547169798</v>
      </c>
      <c r="O1259">
        <v>51.297812647684701</v>
      </c>
      <c r="P1259">
        <v>-8.5958979786559794E-2</v>
      </c>
      <c r="Q1259">
        <v>6.3745218724072905E-2</v>
      </c>
      <c r="R1259">
        <v>0.994896111797545</v>
      </c>
      <c r="S1259" t="s">
        <v>7661</v>
      </c>
      <c r="T1259" t="s">
        <v>12802</v>
      </c>
      <c r="U1259" t="s">
        <v>12802</v>
      </c>
      <c r="V1259" t="s">
        <v>12802</v>
      </c>
      <c r="W1259" t="s">
        <v>14032</v>
      </c>
      <c r="X1259">
        <v>4</v>
      </c>
      <c r="Y1259" t="s">
        <v>20347</v>
      </c>
      <c r="Z1259" t="s">
        <v>26577</v>
      </c>
      <c r="AA1259">
        <v>0.5411604016622148</v>
      </c>
      <c r="AB1259" t="str">
        <f>HYPERLINK("Melting_Curves/meltCurve_J9JIC5_C17orf75.pdf", "Melting_Curves/meltCurve_J9JIC5_C17orf75.pdf")</f>
        <v>Melting_Curves/meltCurve_J9JIC5_C17orf75.pdf</v>
      </c>
    </row>
    <row r="1260" spans="1:28" x14ac:dyDescent="0.25">
      <c r="A1260" t="s">
        <v>1264</v>
      </c>
      <c r="B1260">
        <v>0.99542014353169495</v>
      </c>
      <c r="C1260">
        <v>0.90851088375528799</v>
      </c>
      <c r="D1260">
        <v>0.92386613943058105</v>
      </c>
      <c r="E1260">
        <v>0.78182107613944496</v>
      </c>
      <c r="F1260">
        <v>0.62220730028555304</v>
      </c>
      <c r="G1260">
        <v>0.166411566876462</v>
      </c>
      <c r="H1260">
        <v>9.6062061584432798E-2</v>
      </c>
      <c r="I1260">
        <v>6.3580206856167304E-2</v>
      </c>
      <c r="J1260">
        <v>6.8393116600055898E-2</v>
      </c>
      <c r="K1260">
        <v>7.6299315451300295E-2</v>
      </c>
      <c r="L1260">
        <v>1005.6985487057</v>
      </c>
      <c r="M1260">
        <v>19.9998450878475</v>
      </c>
      <c r="N1260">
        <v>50.493139395642899</v>
      </c>
      <c r="O1260">
        <v>49.790679455473096</v>
      </c>
      <c r="P1260">
        <v>-9.6455205967658594E-2</v>
      </c>
      <c r="Q1260">
        <v>3.9509778220827303E-2</v>
      </c>
      <c r="R1260">
        <v>0.98086831433410004</v>
      </c>
      <c r="S1260" t="s">
        <v>7662</v>
      </c>
      <c r="T1260" t="s">
        <v>12802</v>
      </c>
      <c r="U1260" t="s">
        <v>12802</v>
      </c>
      <c r="V1260" t="s">
        <v>12802</v>
      </c>
      <c r="W1260" t="s">
        <v>14033</v>
      </c>
      <c r="X1260">
        <v>44</v>
      </c>
      <c r="Y1260" t="s">
        <v>20348</v>
      </c>
      <c r="Z1260" t="s">
        <v>26578</v>
      </c>
      <c r="AA1260">
        <v>0.47749314448467922</v>
      </c>
      <c r="AB1260" t="str">
        <f>HYPERLINK("Melting_Curves/meltCurve_J9JID7_LMNB2.pdf", "Melting_Curves/meltCurve_J9JID7_LMNB2.pdf")</f>
        <v>Melting_Curves/meltCurve_J9JID7_LMNB2.pdf</v>
      </c>
    </row>
    <row r="1261" spans="1:28" x14ac:dyDescent="0.25">
      <c r="A1261" t="s">
        <v>1265</v>
      </c>
      <c r="B1261">
        <v>0.99542014353169495</v>
      </c>
      <c r="C1261">
        <v>0.87822929402637995</v>
      </c>
      <c r="D1261">
        <v>0.97958503704461697</v>
      </c>
      <c r="E1261">
        <v>0.73145858212805104</v>
      </c>
      <c r="F1261">
        <v>0.69239886201877199</v>
      </c>
      <c r="G1261">
        <v>0.33339279742196298</v>
      </c>
      <c r="H1261">
        <v>0.17919870319922299</v>
      </c>
      <c r="I1261">
        <v>7.9859072454271193E-2</v>
      </c>
      <c r="J1261">
        <v>5.5124371310127797E-2</v>
      </c>
      <c r="K1261">
        <v>5.1318963158640402E-2</v>
      </c>
      <c r="L1261">
        <v>721.12401211925499</v>
      </c>
      <c r="M1261">
        <v>13.978014770502099</v>
      </c>
      <c r="N1261">
        <v>51.589873426213003</v>
      </c>
      <c r="O1261">
        <v>50.568381995214096</v>
      </c>
      <c r="P1261">
        <v>-6.9113719557028302E-2</v>
      </c>
      <c r="Q1261">
        <v>0</v>
      </c>
      <c r="R1261">
        <v>0.97812117773127105</v>
      </c>
      <c r="S1261" t="s">
        <v>7663</v>
      </c>
      <c r="T1261" t="s">
        <v>12802</v>
      </c>
      <c r="U1261" t="s">
        <v>12802</v>
      </c>
      <c r="V1261" t="s">
        <v>12802</v>
      </c>
      <c r="W1261" t="s">
        <v>14034</v>
      </c>
      <c r="X1261">
        <v>5</v>
      </c>
      <c r="Y1261" t="s">
        <v>20349</v>
      </c>
      <c r="Z1261" t="s">
        <v>26579</v>
      </c>
      <c r="AA1261">
        <v>0.50758325486510558</v>
      </c>
      <c r="AB1261" t="str">
        <f>HYPERLINK("Melting_Curves/meltCurve_J9JIE6_TMCO1.pdf", "Melting_Curves/meltCurve_J9JIE6_TMCO1.pdf")</f>
        <v>Melting_Curves/meltCurve_J9JIE6_TMCO1.pdf</v>
      </c>
    </row>
    <row r="1262" spans="1:28" x14ac:dyDescent="0.25">
      <c r="A1262" t="s">
        <v>1266</v>
      </c>
      <c r="B1262">
        <v>0.99542014353169495</v>
      </c>
      <c r="C1262">
        <v>0.929607228113983</v>
      </c>
      <c r="D1262">
        <v>0.82512104941571196</v>
      </c>
      <c r="E1262">
        <v>0.57233147200298995</v>
      </c>
      <c r="F1262">
        <v>0.333805312377143</v>
      </c>
      <c r="G1262">
        <v>0.18256291230291299</v>
      </c>
      <c r="H1262">
        <v>0.116866062639865</v>
      </c>
      <c r="I1262">
        <v>8.3283330743901401E-2</v>
      </c>
      <c r="J1262">
        <v>0.102617501997442</v>
      </c>
      <c r="K1262">
        <v>0.143900573027303</v>
      </c>
      <c r="L1262">
        <v>757.97781667431104</v>
      </c>
      <c r="M1262">
        <v>16.1723735203141</v>
      </c>
      <c r="N1262">
        <v>47.459927138609601</v>
      </c>
      <c r="O1262">
        <v>46.169636236824999</v>
      </c>
      <c r="P1262">
        <v>-7.9586752279535794E-2</v>
      </c>
      <c r="Q1262">
        <v>9.1236645306956202E-2</v>
      </c>
      <c r="R1262">
        <v>0.99676486462483105</v>
      </c>
      <c r="S1262" t="s">
        <v>7664</v>
      </c>
      <c r="T1262" t="s">
        <v>12802</v>
      </c>
      <c r="U1262" t="s">
        <v>12802</v>
      </c>
      <c r="V1262" t="s">
        <v>12802</v>
      </c>
      <c r="W1262" t="s">
        <v>14035</v>
      </c>
      <c r="X1262">
        <v>5</v>
      </c>
      <c r="Y1262" t="s">
        <v>19638</v>
      </c>
      <c r="Z1262" t="s">
        <v>26580</v>
      </c>
      <c r="AA1262">
        <v>0.40805521792102628</v>
      </c>
      <c r="AB1262" t="str">
        <f>HYPERLINK("Melting_Curves/meltCurve_K4DI92_RWDD4.pdf", "Melting_Curves/meltCurve_K4DI92_RWDD4.pdf")</f>
        <v>Melting_Curves/meltCurve_K4DI92_RWDD4.pdf</v>
      </c>
    </row>
    <row r="1263" spans="1:28" x14ac:dyDescent="0.25">
      <c r="A1263" t="s">
        <v>1267</v>
      </c>
      <c r="B1263">
        <v>0.99542014353169495</v>
      </c>
      <c r="C1263">
        <v>0.96562545811063205</v>
      </c>
      <c r="D1263">
        <v>1.1151438736259001</v>
      </c>
      <c r="E1263">
        <v>0.80944270245562799</v>
      </c>
      <c r="F1263">
        <v>0.37309044296543697</v>
      </c>
      <c r="G1263">
        <v>0.180759502220735</v>
      </c>
      <c r="H1263">
        <v>0.138319698209248</v>
      </c>
      <c r="I1263">
        <v>9.7902482898320001E-2</v>
      </c>
      <c r="J1263">
        <v>7.5143824622592295E-2</v>
      </c>
      <c r="K1263">
        <v>0.105123019106017</v>
      </c>
      <c r="L1263">
        <v>1480.62588662898</v>
      </c>
      <c r="M1263">
        <v>30.333216878797</v>
      </c>
      <c r="N1263">
        <v>49.197761944221</v>
      </c>
      <c r="O1263">
        <v>48.601352415023399</v>
      </c>
      <c r="P1263">
        <v>-0.139518856840147</v>
      </c>
      <c r="Q1263">
        <v>0.105830037245163</v>
      </c>
      <c r="R1263">
        <v>0.987782777459423</v>
      </c>
      <c r="S1263" t="s">
        <v>7665</v>
      </c>
      <c r="T1263" t="s">
        <v>12802</v>
      </c>
      <c r="U1263" t="s">
        <v>12802</v>
      </c>
      <c r="V1263" t="s">
        <v>12802</v>
      </c>
      <c r="W1263" t="s">
        <v>13895</v>
      </c>
      <c r="X1263">
        <v>45</v>
      </c>
      <c r="Y1263" t="s">
        <v>20212</v>
      </c>
      <c r="Z1263" t="s">
        <v>26581</v>
      </c>
      <c r="AA1263">
        <v>0.46315348330920558</v>
      </c>
      <c r="AB1263" t="str">
        <f>HYPERLINK("Melting_Curves/meltCurve_K7EIG1_CLUH.pdf", "Melting_Curves/meltCurve_K7EIG1_CLUH.pdf")</f>
        <v>Melting_Curves/meltCurve_K7EIG1_CLUH.pdf</v>
      </c>
    </row>
    <row r="1264" spans="1:28" x14ac:dyDescent="0.25">
      <c r="A1264" t="s">
        <v>1268</v>
      </c>
      <c r="B1264">
        <v>0.99542014353169495</v>
      </c>
      <c r="C1264">
        <v>1.15221546978058</v>
      </c>
      <c r="D1264">
        <v>0.87527720919147201</v>
      </c>
      <c r="E1264">
        <v>0.96709317391458804</v>
      </c>
      <c r="F1264">
        <v>0.72692563899838603</v>
      </c>
      <c r="G1264">
        <v>0.308581954719435</v>
      </c>
      <c r="H1264">
        <v>0.16311761679116199</v>
      </c>
      <c r="I1264">
        <v>0.141689259847983</v>
      </c>
      <c r="J1264">
        <v>0.174128069289719</v>
      </c>
      <c r="K1264">
        <v>0.214214065819608</v>
      </c>
      <c r="L1264">
        <v>1764.87672804509</v>
      </c>
      <c r="M1264">
        <v>34.449363710370001</v>
      </c>
      <c r="N1264">
        <v>51.849795466150901</v>
      </c>
      <c r="O1264">
        <v>51.059328295441397</v>
      </c>
      <c r="P1264">
        <v>-0.14024503673529301</v>
      </c>
      <c r="Q1264">
        <v>0.16854308013233599</v>
      </c>
      <c r="R1264">
        <v>0.97179331226129295</v>
      </c>
      <c r="S1264" t="s">
        <v>7666</v>
      </c>
      <c r="T1264" t="s">
        <v>12802</v>
      </c>
      <c r="U1264" t="s">
        <v>12802</v>
      </c>
      <c r="V1264" t="s">
        <v>12802</v>
      </c>
      <c r="W1264" t="s">
        <v>13699</v>
      </c>
      <c r="X1264">
        <v>3</v>
      </c>
      <c r="Z1264" t="s">
        <v>26582</v>
      </c>
      <c r="AA1264">
        <v>0.5669198260577365</v>
      </c>
      <c r="AB1264" t="str">
        <f>HYPERLINK("Melting_Curves/meltCurve_K7EIL6_.pdf", "Melting_Curves/meltCurve_K7EIL6_.pdf")</f>
        <v>Melting_Curves/meltCurve_K7EIL6_.pdf</v>
      </c>
    </row>
    <row r="1265" spans="1:28" x14ac:dyDescent="0.25">
      <c r="A1265" t="s">
        <v>1269</v>
      </c>
      <c r="B1265">
        <v>0.99542014353169495</v>
      </c>
      <c r="C1265">
        <v>1.0570015503632499</v>
      </c>
      <c r="D1265">
        <v>1.06987922611958</v>
      </c>
      <c r="E1265">
        <v>0.97397435661093201</v>
      </c>
      <c r="F1265">
        <v>0.87654704897205304</v>
      </c>
      <c r="G1265">
        <v>0.45985293616036299</v>
      </c>
      <c r="H1265">
        <v>0.19543265998294701</v>
      </c>
      <c r="I1265">
        <v>0.16265946414049601</v>
      </c>
      <c r="J1265">
        <v>0.13257782471205401</v>
      </c>
      <c r="K1265">
        <v>0.15764870621979701</v>
      </c>
      <c r="L1265">
        <v>1756.1962421224</v>
      </c>
      <c r="M1265">
        <v>33.196235895980898</v>
      </c>
      <c r="N1265">
        <v>53.452301745993097</v>
      </c>
      <c r="O1265">
        <v>52.7126007960252</v>
      </c>
      <c r="P1265">
        <v>-0.134703585734747</v>
      </c>
      <c r="Q1265">
        <v>0.144415608926387</v>
      </c>
      <c r="R1265">
        <v>0.99434905393313899</v>
      </c>
      <c r="S1265" t="s">
        <v>7667</v>
      </c>
      <c r="T1265" t="s">
        <v>12802</v>
      </c>
      <c r="U1265" t="s">
        <v>12802</v>
      </c>
      <c r="V1265" t="s">
        <v>12802</v>
      </c>
      <c r="W1265" t="s">
        <v>14036</v>
      </c>
      <c r="X1265">
        <v>2</v>
      </c>
      <c r="Y1265" t="s">
        <v>20350</v>
      </c>
      <c r="Z1265" t="s">
        <v>26583</v>
      </c>
      <c r="AA1265">
        <v>0.60246357566764097</v>
      </c>
      <c r="AB1265" t="str">
        <f>HYPERLINK("Melting_Curves/meltCurve_K7EIN1_WBP2.pdf", "Melting_Curves/meltCurve_K7EIN1_WBP2.pdf")</f>
        <v>Melting_Curves/meltCurve_K7EIN1_WBP2.pdf</v>
      </c>
    </row>
    <row r="1266" spans="1:28" x14ac:dyDescent="0.25">
      <c r="A1266" t="s">
        <v>1270</v>
      </c>
      <c r="B1266">
        <v>0.99542014353169495</v>
      </c>
      <c r="C1266">
        <v>0.85894282850154902</v>
      </c>
      <c r="D1266">
        <v>0.79659961728826101</v>
      </c>
      <c r="E1266">
        <v>0.69467487608688905</v>
      </c>
      <c r="F1266">
        <v>0.43455223478128102</v>
      </c>
      <c r="G1266">
        <v>0.304566424076053</v>
      </c>
      <c r="H1266">
        <v>0.206631988577584</v>
      </c>
      <c r="I1266">
        <v>0.13231668335531499</v>
      </c>
      <c r="J1266">
        <v>0.14695933426659599</v>
      </c>
      <c r="K1266">
        <v>0.12505371643553001</v>
      </c>
      <c r="L1266">
        <v>514.76883575832096</v>
      </c>
      <c r="M1266">
        <v>10.584755709811899</v>
      </c>
      <c r="N1266">
        <v>49.234249546954501</v>
      </c>
      <c r="O1266">
        <v>46.993437456840503</v>
      </c>
      <c r="P1266">
        <v>-5.2916719040412702E-2</v>
      </c>
      <c r="Q1266">
        <v>6.0624110755767902E-2</v>
      </c>
      <c r="R1266">
        <v>0.99082034048965595</v>
      </c>
      <c r="S1266" t="s">
        <v>7668</v>
      </c>
      <c r="T1266" t="s">
        <v>12802</v>
      </c>
      <c r="U1266" t="s">
        <v>12802</v>
      </c>
      <c r="V1266" t="s">
        <v>12802</v>
      </c>
      <c r="W1266" t="s">
        <v>14037</v>
      </c>
      <c r="X1266">
        <v>1</v>
      </c>
      <c r="Y1266" t="s">
        <v>20351</v>
      </c>
      <c r="Z1266" t="s">
        <v>26584</v>
      </c>
      <c r="AA1266">
        <v>0.45843707956736779</v>
      </c>
      <c r="AB1266" t="str">
        <f>HYPERLINK("Melting_Curves/meltCurve_K7EIP7_YIPF2.pdf", "Melting_Curves/meltCurve_K7EIP7_YIPF2.pdf")</f>
        <v>Melting_Curves/meltCurve_K7EIP7_YIPF2.pdf</v>
      </c>
    </row>
    <row r="1267" spans="1:28" x14ac:dyDescent="0.25">
      <c r="A1267" t="s">
        <v>1271</v>
      </c>
      <c r="B1267">
        <v>0.99542014353169495</v>
      </c>
      <c r="C1267">
        <v>0.95709950920458897</v>
      </c>
      <c r="D1267">
        <v>0.79862100007092296</v>
      </c>
      <c r="E1267">
        <v>0.76289010071364904</v>
      </c>
      <c r="F1267">
        <v>0.48450454895119199</v>
      </c>
      <c r="G1267">
        <v>0.23991962707158199</v>
      </c>
      <c r="H1267">
        <v>7.5482014860122806E-2</v>
      </c>
      <c r="I1267">
        <v>4.7889147512832499E-2</v>
      </c>
      <c r="J1267">
        <v>4.2392293895170699E-2</v>
      </c>
      <c r="K1267">
        <v>4.66743984841674E-2</v>
      </c>
      <c r="L1267">
        <v>704.69551922093899</v>
      </c>
      <c r="M1267">
        <v>14.2098817540189</v>
      </c>
      <c r="N1267">
        <v>49.591951888409</v>
      </c>
      <c r="O1267">
        <v>48.640779988094501</v>
      </c>
      <c r="P1267">
        <v>-7.3043935493079096E-2</v>
      </c>
      <c r="Q1267">
        <v>0</v>
      </c>
      <c r="R1267">
        <v>0.98843584763644399</v>
      </c>
      <c r="S1267" t="s">
        <v>7669</v>
      </c>
      <c r="T1267" t="s">
        <v>12802</v>
      </c>
      <c r="U1267" t="s">
        <v>12802</v>
      </c>
      <c r="V1267" t="s">
        <v>12802</v>
      </c>
      <c r="W1267" t="s">
        <v>14038</v>
      </c>
      <c r="X1267">
        <v>10</v>
      </c>
      <c r="Y1267" t="s">
        <v>20352</v>
      </c>
      <c r="Z1267" t="s">
        <v>26585</v>
      </c>
      <c r="AA1267">
        <v>0.44264728349694321</v>
      </c>
      <c r="AB1267" t="str">
        <f>HYPERLINK("Melting_Curves/meltCurve_K7EIU8_SMAD4.pdf", "Melting_Curves/meltCurve_K7EIU8_SMAD4.pdf")</f>
        <v>Melting_Curves/meltCurve_K7EIU8_SMAD4.pdf</v>
      </c>
    </row>
    <row r="1268" spans="1:28" x14ac:dyDescent="0.25">
      <c r="A1268" t="s">
        <v>1272</v>
      </c>
      <c r="B1268">
        <v>0.99542014353169495</v>
      </c>
      <c r="C1268">
        <v>1.08803928748886</v>
      </c>
      <c r="D1268">
        <v>1.0344321115296999</v>
      </c>
      <c r="E1268">
        <v>0.88093178996746802</v>
      </c>
      <c r="F1268">
        <v>0.82175441606145705</v>
      </c>
      <c r="G1268">
        <v>0.587600807228155</v>
      </c>
      <c r="H1268">
        <v>0.44490216726430798</v>
      </c>
      <c r="I1268">
        <v>0.391846968653627</v>
      </c>
      <c r="J1268">
        <v>0.61776426780408999</v>
      </c>
      <c r="K1268">
        <v>0.80116304414296002</v>
      </c>
      <c r="L1268">
        <v>1654.3791791784599</v>
      </c>
      <c r="M1268">
        <v>32.9345322953709</v>
      </c>
      <c r="O1268">
        <v>50.048264118763697</v>
      </c>
      <c r="P1268">
        <v>-7.2144849884284198E-2</v>
      </c>
      <c r="Q1268">
        <v>0.56146856908071996</v>
      </c>
      <c r="R1268">
        <v>0.77219681338597701</v>
      </c>
      <c r="S1268" t="s">
        <v>7670</v>
      </c>
      <c r="T1268" t="s">
        <v>12802</v>
      </c>
      <c r="U1268" t="s">
        <v>12802</v>
      </c>
      <c r="V1268" t="s">
        <v>12802</v>
      </c>
      <c r="W1268" t="s">
        <v>14039</v>
      </c>
      <c r="X1268">
        <v>3</v>
      </c>
      <c r="Y1268" t="s">
        <v>20353</v>
      </c>
      <c r="Z1268" t="s">
        <v>26586</v>
      </c>
      <c r="AA1268">
        <v>0.75714038732438071</v>
      </c>
      <c r="AB1268" t="str">
        <f>HYPERLINK("Melting_Curves/meltCurve_K7EIY1_FAM32A.pdf", "Melting_Curves/meltCurve_K7EIY1_FAM32A.pdf")</f>
        <v>Melting_Curves/meltCurve_K7EIY1_FAM32A.pdf</v>
      </c>
    </row>
    <row r="1269" spans="1:28" x14ac:dyDescent="0.25">
      <c r="A1269" t="s">
        <v>1273</v>
      </c>
      <c r="B1269">
        <v>0.99542014353169495</v>
      </c>
      <c r="C1269">
        <v>1.12397985054645</v>
      </c>
      <c r="D1269">
        <v>0.84807436266801495</v>
      </c>
      <c r="E1269">
        <v>0.59371357613613196</v>
      </c>
      <c r="F1269">
        <v>0.38298075446933399</v>
      </c>
      <c r="G1269">
        <v>0.235316439132186</v>
      </c>
      <c r="H1269">
        <v>0.14555945322710601</v>
      </c>
      <c r="I1269">
        <v>0.118975267128812</v>
      </c>
      <c r="J1269">
        <v>0.116468463214871</v>
      </c>
      <c r="K1269">
        <v>0.10453979715190399</v>
      </c>
      <c r="L1269">
        <v>832.58513782497596</v>
      </c>
      <c r="M1269">
        <v>17.530255099350001</v>
      </c>
      <c r="N1269">
        <v>48.173435429644798</v>
      </c>
      <c r="O1269">
        <v>46.889076616966697</v>
      </c>
      <c r="P1269">
        <v>-8.3236672425641103E-2</v>
      </c>
      <c r="Q1269">
        <v>0.10949914107903901</v>
      </c>
      <c r="R1269">
        <v>0.980600716326406</v>
      </c>
      <c r="S1269" t="s">
        <v>7671</v>
      </c>
      <c r="T1269" t="s">
        <v>12802</v>
      </c>
      <c r="U1269" t="s">
        <v>12802</v>
      </c>
      <c r="V1269" t="s">
        <v>12802</v>
      </c>
      <c r="W1269" t="s">
        <v>14040</v>
      </c>
      <c r="X1269">
        <v>2</v>
      </c>
      <c r="Y1269" t="s">
        <v>20354</v>
      </c>
      <c r="Z1269" t="s">
        <v>26587</v>
      </c>
      <c r="AA1269">
        <v>0.4359851830045981</v>
      </c>
      <c r="AB1269" t="str">
        <f>HYPERLINK("Melting_Curves/meltCurve_K7EJ08_SEC14L1.pdf", "Melting_Curves/meltCurve_K7EJ08_SEC14L1.pdf")</f>
        <v>Melting_Curves/meltCurve_K7EJ08_SEC14L1.pdf</v>
      </c>
    </row>
    <row r="1270" spans="1:28" x14ac:dyDescent="0.25">
      <c r="A1270" t="s">
        <v>1274</v>
      </c>
      <c r="B1270">
        <v>0.99542014353169495</v>
      </c>
      <c r="C1270">
        <v>0.97683707165564504</v>
      </c>
      <c r="D1270">
        <v>1.14154306893928</v>
      </c>
      <c r="E1270">
        <v>0.90923623052124503</v>
      </c>
      <c r="F1270">
        <v>0.64256507945704699</v>
      </c>
      <c r="G1270">
        <v>0.257687359318234</v>
      </c>
      <c r="H1270">
        <v>0.185138603300638</v>
      </c>
      <c r="I1270">
        <v>6.5523887171523298E-2</v>
      </c>
      <c r="J1270">
        <v>8.6062374443274497E-2</v>
      </c>
      <c r="K1270">
        <v>9.7311509113558597E-2</v>
      </c>
      <c r="L1270">
        <v>1351.9234682148499</v>
      </c>
      <c r="M1270">
        <v>26.512403089274098</v>
      </c>
      <c r="N1270">
        <v>51.375796922817003</v>
      </c>
      <c r="O1270">
        <v>50.704657615005203</v>
      </c>
      <c r="P1270">
        <v>-0.118980447887146</v>
      </c>
      <c r="Q1270">
        <v>8.9814887607325894E-2</v>
      </c>
      <c r="R1270">
        <v>0.98442926489413995</v>
      </c>
      <c r="S1270" t="s">
        <v>7672</v>
      </c>
      <c r="T1270" t="s">
        <v>12802</v>
      </c>
      <c r="U1270" t="s">
        <v>12802</v>
      </c>
      <c r="V1270" t="s">
        <v>12802</v>
      </c>
      <c r="W1270" t="s">
        <v>14041</v>
      </c>
      <c r="X1270">
        <v>1</v>
      </c>
      <c r="Y1270" t="s">
        <v>20355</v>
      </c>
      <c r="Z1270" t="s">
        <v>26588</v>
      </c>
      <c r="AA1270">
        <v>0.52152047361747877</v>
      </c>
      <c r="AB1270" t="str">
        <f>HYPERLINK("Melting_Curves/meltCurve_K7EJ78_RPS15.pdf", "Melting_Curves/meltCurve_K7EJ78_RPS15.pdf")</f>
        <v>Melting_Curves/meltCurve_K7EJ78_RPS15.pdf</v>
      </c>
    </row>
    <row r="1271" spans="1:28" x14ac:dyDescent="0.25">
      <c r="A1271" t="s">
        <v>1275</v>
      </c>
      <c r="B1271">
        <v>0.99542014353169495</v>
      </c>
      <c r="C1271">
        <v>0.91111729265490204</v>
      </c>
      <c r="D1271">
        <v>1.0787754158826299</v>
      </c>
      <c r="E1271">
        <v>0.57673490505846203</v>
      </c>
      <c r="F1271">
        <v>0.44070755350983598</v>
      </c>
      <c r="G1271">
        <v>0.120609817040998</v>
      </c>
      <c r="H1271">
        <v>0.128227848332818</v>
      </c>
      <c r="I1271">
        <v>0.109649057290991</v>
      </c>
      <c r="J1271">
        <v>0.131722254381514</v>
      </c>
      <c r="K1271">
        <v>0.15331962673611599</v>
      </c>
      <c r="L1271">
        <v>1076.25606860634</v>
      </c>
      <c r="M1271">
        <v>22.542639765646399</v>
      </c>
      <c r="N1271">
        <v>48.334962098463599</v>
      </c>
      <c r="O1271">
        <v>47.372178246308103</v>
      </c>
      <c r="P1271">
        <v>-0.104620517266307</v>
      </c>
      <c r="Q1271">
        <v>0.12059965362974701</v>
      </c>
      <c r="R1271">
        <v>0.96250364843983205</v>
      </c>
      <c r="S1271" t="s">
        <v>7673</v>
      </c>
      <c r="T1271" t="s">
        <v>12802</v>
      </c>
      <c r="U1271" t="s">
        <v>12802</v>
      </c>
      <c r="V1271" t="s">
        <v>12802</v>
      </c>
      <c r="W1271" t="s">
        <v>14042</v>
      </c>
      <c r="X1271">
        <v>18</v>
      </c>
      <c r="Y1271" t="s">
        <v>20356</v>
      </c>
      <c r="Z1271" t="s">
        <v>26589</v>
      </c>
      <c r="AA1271">
        <v>0.4446737787428629</v>
      </c>
      <c r="AB1271" t="str">
        <f>HYPERLINK("Melting_Curves/meltCurve_K7EJB9_CALR.pdf", "Melting_Curves/meltCurve_K7EJB9_CALR.pdf")</f>
        <v>Melting_Curves/meltCurve_K7EJB9_CALR.pdf</v>
      </c>
    </row>
    <row r="1272" spans="1:28" x14ac:dyDescent="0.25">
      <c r="A1272" t="s">
        <v>1276</v>
      </c>
      <c r="B1272">
        <v>0.99542014353169495</v>
      </c>
      <c r="C1272">
        <v>1.0686285435248399</v>
      </c>
      <c r="D1272">
        <v>1.0313261935659801</v>
      </c>
      <c r="E1272">
        <v>0.61023398615065205</v>
      </c>
      <c r="F1272">
        <v>0.19996829262475499</v>
      </c>
      <c r="G1272">
        <v>9.0176085768955194E-2</v>
      </c>
      <c r="H1272">
        <v>5.5696480021874897E-2</v>
      </c>
      <c r="I1272">
        <v>4.1285673324269898E-2</v>
      </c>
      <c r="J1272">
        <v>5.7826384973994699E-2</v>
      </c>
      <c r="K1272">
        <v>7.2848091767521606E-2</v>
      </c>
      <c r="L1272">
        <v>1590.1883782807299</v>
      </c>
      <c r="M1272">
        <v>33.687905498651403</v>
      </c>
      <c r="N1272">
        <v>47.394083469164201</v>
      </c>
      <c r="O1272">
        <v>47.0381362819545</v>
      </c>
      <c r="P1272">
        <v>-0.16770673513317499</v>
      </c>
      <c r="Q1272">
        <v>6.3333895593377196E-2</v>
      </c>
      <c r="R1272">
        <v>0.99391046646179004</v>
      </c>
      <c r="S1272" t="s">
        <v>7674</v>
      </c>
      <c r="T1272" t="s">
        <v>12802</v>
      </c>
      <c r="U1272" t="s">
        <v>12802</v>
      </c>
      <c r="V1272" t="s">
        <v>12802</v>
      </c>
      <c r="W1272" t="s">
        <v>14043</v>
      </c>
      <c r="X1272">
        <v>10</v>
      </c>
      <c r="Y1272" t="s">
        <v>20357</v>
      </c>
      <c r="Z1272" t="s">
        <v>26590</v>
      </c>
      <c r="AA1272">
        <v>0.38623455123383732</v>
      </c>
      <c r="AB1272" t="str">
        <f>HYPERLINK("Melting_Curves/meltCurve_K7EJH0_SPC24.pdf", "Melting_Curves/meltCurve_K7EJH0_SPC24.pdf")</f>
        <v>Melting_Curves/meltCurve_K7EJH0_SPC24.pdf</v>
      </c>
    </row>
    <row r="1273" spans="1:28" x14ac:dyDescent="0.25">
      <c r="A1273" t="s">
        <v>1277</v>
      </c>
      <c r="B1273">
        <v>0.99542014353169495</v>
      </c>
      <c r="C1273">
        <v>0.93290524614797599</v>
      </c>
      <c r="D1273">
        <v>0.92413309174177505</v>
      </c>
      <c r="E1273">
        <v>0.58809305603065898</v>
      </c>
      <c r="F1273">
        <v>0.28204517996721401</v>
      </c>
      <c r="G1273">
        <v>0.20029300185285401</v>
      </c>
      <c r="H1273">
        <v>0.137397022506141</v>
      </c>
      <c r="I1273">
        <v>5.7453321304695E-2</v>
      </c>
      <c r="J1273">
        <v>4.5389532143317299E-2</v>
      </c>
      <c r="K1273">
        <v>5.3599680088612697E-2</v>
      </c>
      <c r="L1273">
        <v>869.350817409142</v>
      </c>
      <c r="M1273">
        <v>18.339447172960199</v>
      </c>
      <c r="N1273">
        <v>47.744204285760503</v>
      </c>
      <c r="O1273">
        <v>46.850489888691001</v>
      </c>
      <c r="P1273">
        <v>-9.1860631239353605E-2</v>
      </c>
      <c r="Q1273">
        <v>6.1363562190172402E-2</v>
      </c>
      <c r="R1273">
        <v>0.99344290735765195</v>
      </c>
      <c r="S1273" t="s">
        <v>7675</v>
      </c>
      <c r="T1273" t="s">
        <v>12802</v>
      </c>
      <c r="U1273" t="s">
        <v>12802</v>
      </c>
      <c r="V1273" t="s">
        <v>12802</v>
      </c>
      <c r="W1273" t="s">
        <v>14044</v>
      </c>
      <c r="X1273">
        <v>13</v>
      </c>
      <c r="Y1273" t="s">
        <v>20358</v>
      </c>
      <c r="Z1273" t="s">
        <v>26591</v>
      </c>
      <c r="AA1273">
        <v>0.40138251025294952</v>
      </c>
      <c r="AB1273" t="str">
        <f>HYPERLINK("Melting_Curves/meltCurve_K7EJL1_AP1M1.pdf", "Melting_Curves/meltCurve_K7EJL1_AP1M1.pdf")</f>
        <v>Melting_Curves/meltCurve_K7EJL1_AP1M1.pdf</v>
      </c>
    </row>
    <row r="1274" spans="1:28" x14ac:dyDescent="0.25">
      <c r="A1274" t="s">
        <v>1278</v>
      </c>
      <c r="B1274">
        <v>0.99542014353169495</v>
      </c>
      <c r="C1274">
        <v>0.95160206520833501</v>
      </c>
      <c r="D1274">
        <v>0.98280299082101397</v>
      </c>
      <c r="E1274">
        <v>0.77103614856541802</v>
      </c>
      <c r="F1274">
        <v>0.62791925268426896</v>
      </c>
      <c r="G1274">
        <v>0.29333160305281503</v>
      </c>
      <c r="H1274">
        <v>0.106479371527593</v>
      </c>
      <c r="I1274">
        <v>7.0796968361784895E-2</v>
      </c>
      <c r="J1274">
        <v>9.4237815500913105E-2</v>
      </c>
      <c r="K1274">
        <v>9.3682382421801103E-2</v>
      </c>
      <c r="L1274">
        <v>901.766873149302</v>
      </c>
      <c r="M1274">
        <v>17.784952551671299</v>
      </c>
      <c r="N1274">
        <v>51.000549962714899</v>
      </c>
      <c r="O1274">
        <v>50.075916107151102</v>
      </c>
      <c r="P1274">
        <v>-8.4431801206410501E-2</v>
      </c>
      <c r="Q1274">
        <v>4.91330461682907E-2</v>
      </c>
      <c r="R1274">
        <v>0.99021585659164002</v>
      </c>
      <c r="S1274" t="s">
        <v>7676</v>
      </c>
      <c r="T1274" t="s">
        <v>12802</v>
      </c>
      <c r="U1274" t="s">
        <v>12802</v>
      </c>
      <c r="V1274" t="s">
        <v>12802</v>
      </c>
      <c r="W1274" t="s">
        <v>14045</v>
      </c>
      <c r="X1274">
        <v>2</v>
      </c>
      <c r="Y1274" t="s">
        <v>20359</v>
      </c>
      <c r="Z1274" t="s">
        <v>26592</v>
      </c>
      <c r="AA1274">
        <v>0.49859799216972961</v>
      </c>
      <c r="AB1274" t="str">
        <f>HYPERLINK("Melting_Curves/meltCurve_K7EJQ7_SEC11C.pdf", "Melting_Curves/meltCurve_K7EJQ7_SEC11C.pdf")</f>
        <v>Melting_Curves/meltCurve_K7EJQ7_SEC11C.pdf</v>
      </c>
    </row>
    <row r="1275" spans="1:28" x14ac:dyDescent="0.25">
      <c r="A1275" t="s">
        <v>1279</v>
      </c>
      <c r="B1275">
        <v>0.99542014353169495</v>
      </c>
      <c r="C1275">
        <v>1.02015331788912</v>
      </c>
      <c r="D1275">
        <v>1.07830162600082</v>
      </c>
      <c r="E1275">
        <v>0.94581086337331899</v>
      </c>
      <c r="F1275">
        <v>0.72837849484860195</v>
      </c>
      <c r="G1275">
        <v>0.49865574895374998</v>
      </c>
      <c r="H1275">
        <v>0.40325207560106602</v>
      </c>
      <c r="I1275">
        <v>0.31184843501023002</v>
      </c>
      <c r="J1275">
        <v>0.36300313897411901</v>
      </c>
      <c r="K1275">
        <v>0.435633569149386</v>
      </c>
      <c r="L1275">
        <v>1392.9935883349699</v>
      </c>
      <c r="M1275">
        <v>27.4241227901869</v>
      </c>
      <c r="N1275">
        <v>53.451355519735699</v>
      </c>
      <c r="O1275">
        <v>50.526691148329697</v>
      </c>
      <c r="P1275">
        <v>-8.5204747032822103E-2</v>
      </c>
      <c r="Q1275">
        <v>0.37207502732571701</v>
      </c>
      <c r="R1275">
        <v>0.98109538474009195</v>
      </c>
      <c r="S1275" t="s">
        <v>7677</v>
      </c>
      <c r="T1275" t="s">
        <v>12802</v>
      </c>
      <c r="U1275" t="s">
        <v>12802</v>
      </c>
      <c r="V1275" t="s">
        <v>12802</v>
      </c>
      <c r="W1275" t="s">
        <v>14046</v>
      </c>
      <c r="X1275">
        <v>4</v>
      </c>
      <c r="Y1275" t="s">
        <v>20360</v>
      </c>
      <c r="Z1275" t="s">
        <v>26593</v>
      </c>
      <c r="AA1275">
        <v>0.66544650591691334</v>
      </c>
      <c r="AB1275" t="str">
        <f>HYPERLINK("Melting_Curves/meltCurve_K7EK00_FAM210A.pdf", "Melting_Curves/meltCurve_K7EK00_FAM210A.pdf")</f>
        <v>Melting_Curves/meltCurve_K7EK00_FAM210A.pdf</v>
      </c>
    </row>
    <row r="1276" spans="1:28" x14ac:dyDescent="0.25">
      <c r="A1276" t="s">
        <v>1280</v>
      </c>
      <c r="B1276">
        <v>0.99542014353169495</v>
      </c>
      <c r="C1276">
        <v>0.88791206833229197</v>
      </c>
      <c r="D1276">
        <v>0.75584061951325998</v>
      </c>
      <c r="E1276">
        <v>0.45997059021609599</v>
      </c>
      <c r="F1276">
        <v>0.16468543193480201</v>
      </c>
      <c r="G1276">
        <v>7.9081029649885407E-2</v>
      </c>
      <c r="H1276">
        <v>2.6492419678447E-2</v>
      </c>
      <c r="I1276">
        <v>2.08176203818175E-2</v>
      </c>
      <c r="J1276">
        <v>2.58781522670802E-2</v>
      </c>
      <c r="K1276">
        <v>2.6331917045255799E-2</v>
      </c>
      <c r="L1276">
        <v>776.08777416198996</v>
      </c>
      <c r="M1276">
        <v>16.939717817855001</v>
      </c>
      <c r="N1276">
        <v>45.855648016466802</v>
      </c>
      <c r="O1276">
        <v>45.190494209102802</v>
      </c>
      <c r="P1276">
        <v>-9.3014856979536098E-2</v>
      </c>
      <c r="Q1276">
        <v>7.51019738846667E-3</v>
      </c>
      <c r="R1276">
        <v>0.99753657261208595</v>
      </c>
      <c r="S1276" t="s">
        <v>7678</v>
      </c>
      <c r="T1276" t="s">
        <v>12802</v>
      </c>
      <c r="U1276" t="s">
        <v>12802</v>
      </c>
      <c r="V1276" t="s">
        <v>12802</v>
      </c>
      <c r="W1276" t="s">
        <v>14047</v>
      </c>
      <c r="X1276">
        <v>5</v>
      </c>
      <c r="Y1276" t="s">
        <v>20361</v>
      </c>
      <c r="Z1276" t="s">
        <v>26594</v>
      </c>
      <c r="AA1276">
        <v>0.31727090585445539</v>
      </c>
      <c r="AB1276" t="str">
        <f>HYPERLINK("Melting_Curves/meltCurve_K7EK07_H3F3B.pdf", "Melting_Curves/meltCurve_K7EK07_H3F3B.pdf")</f>
        <v>Melting_Curves/meltCurve_K7EK07_H3F3B.pdf</v>
      </c>
    </row>
    <row r="1277" spans="1:28" x14ac:dyDescent="0.25">
      <c r="A1277" t="s">
        <v>1281</v>
      </c>
      <c r="B1277">
        <v>0.99542014353169495</v>
      </c>
      <c r="C1277">
        <v>0.960243398136709</v>
      </c>
      <c r="D1277">
        <v>0.91276424168162196</v>
      </c>
      <c r="E1277">
        <v>0.54288192669353996</v>
      </c>
      <c r="F1277">
        <v>0.14488281312444901</v>
      </c>
      <c r="G1277">
        <v>7.2213043283703607E-2</v>
      </c>
      <c r="H1277">
        <v>4.9143095950553502E-2</v>
      </c>
      <c r="I1277">
        <v>2.8344327176415801E-2</v>
      </c>
      <c r="J1277">
        <v>2.36161770703519E-2</v>
      </c>
      <c r="K1277">
        <v>2.9863155395827699E-2</v>
      </c>
      <c r="L1277">
        <v>1266.2753378525699</v>
      </c>
      <c r="M1277">
        <v>27.0930975674103</v>
      </c>
      <c r="N1277">
        <v>46.849602699519998</v>
      </c>
      <c r="O1277">
        <v>46.485530613343997</v>
      </c>
      <c r="P1277">
        <v>-0.14115239466357701</v>
      </c>
      <c r="Q1277">
        <v>3.1269152073417697E-2</v>
      </c>
      <c r="R1277">
        <v>0.99897684759056604</v>
      </c>
      <c r="S1277" t="s">
        <v>7679</v>
      </c>
      <c r="T1277" t="s">
        <v>12802</v>
      </c>
      <c r="U1277" t="s">
        <v>12802</v>
      </c>
      <c r="V1277" t="s">
        <v>12802</v>
      </c>
      <c r="W1277" t="s">
        <v>14048</v>
      </c>
      <c r="X1277">
        <v>39</v>
      </c>
      <c r="Y1277" t="s">
        <v>20362</v>
      </c>
      <c r="Z1277" t="s">
        <v>26595</v>
      </c>
      <c r="AA1277">
        <v>0.35260507925537249</v>
      </c>
      <c r="AB1277" t="str">
        <f>HYPERLINK("Melting_Curves/meltCurve_K7EK35_STAT5A.pdf", "Melting_Curves/meltCurve_K7EK35_STAT5A.pdf")</f>
        <v>Melting_Curves/meltCurve_K7EK35_STAT5A.pdf</v>
      </c>
    </row>
    <row r="1278" spans="1:28" x14ac:dyDescent="0.25">
      <c r="A1278" t="s">
        <v>1282</v>
      </c>
      <c r="B1278">
        <v>0.99542014353169495</v>
      </c>
      <c r="C1278">
        <v>0.79240085552320105</v>
      </c>
      <c r="D1278">
        <v>0.70457101189417404</v>
      </c>
      <c r="E1278">
        <v>0.33499653278471198</v>
      </c>
      <c r="F1278">
        <v>0.20090273396348801</v>
      </c>
      <c r="G1278">
        <v>9.2895242907305095E-2</v>
      </c>
      <c r="H1278">
        <v>4.8168070307107999E-2</v>
      </c>
      <c r="I1278">
        <v>2.0362198718335899E-2</v>
      </c>
      <c r="J1278">
        <v>3.7467904327756402E-2</v>
      </c>
      <c r="K1278">
        <v>1.53991079978964E-2</v>
      </c>
      <c r="L1278">
        <v>646.41504086587395</v>
      </c>
      <c r="M1278">
        <v>14.4270712303036</v>
      </c>
      <c r="N1278">
        <v>44.872965711981003</v>
      </c>
      <c r="O1278">
        <v>43.971247841512003</v>
      </c>
      <c r="P1278">
        <v>-8.1157766205970094E-2</v>
      </c>
      <c r="Q1278">
        <v>1.0696689379259499E-2</v>
      </c>
      <c r="R1278">
        <v>0.99138006422195202</v>
      </c>
      <c r="S1278" t="s">
        <v>7680</v>
      </c>
      <c r="T1278" t="s">
        <v>12802</v>
      </c>
      <c r="U1278" t="s">
        <v>12802</v>
      </c>
      <c r="V1278" t="s">
        <v>12802</v>
      </c>
      <c r="W1278" t="s">
        <v>14049</v>
      </c>
      <c r="X1278">
        <v>2</v>
      </c>
      <c r="Y1278" t="s">
        <v>20363</v>
      </c>
      <c r="Z1278" t="s">
        <v>26596</v>
      </c>
      <c r="AA1278">
        <v>0.29372369924653041</v>
      </c>
      <c r="AB1278" t="str">
        <f>HYPERLINK("Melting_Curves/meltCurve_K7EK99_LIN37.pdf", "Melting_Curves/meltCurve_K7EK99_LIN37.pdf")</f>
        <v>Melting_Curves/meltCurve_K7EK99_LIN37.pdf</v>
      </c>
    </row>
    <row r="1279" spans="1:28" x14ac:dyDescent="0.25">
      <c r="A1279" t="s">
        <v>1283</v>
      </c>
      <c r="B1279">
        <v>0.99542014353169495</v>
      </c>
      <c r="C1279">
        <v>0.90863815536447201</v>
      </c>
      <c r="D1279">
        <v>0.91296131812505199</v>
      </c>
      <c r="E1279">
        <v>0.72706128308955897</v>
      </c>
      <c r="F1279">
        <v>0.51265727308271003</v>
      </c>
      <c r="G1279">
        <v>0.36342767949812999</v>
      </c>
      <c r="H1279">
        <v>0.21446252011710201</v>
      </c>
      <c r="I1279">
        <v>0.103953043832528</v>
      </c>
      <c r="J1279">
        <v>7.4997535807068902E-2</v>
      </c>
      <c r="K1279">
        <v>9.4159423367561598E-2</v>
      </c>
      <c r="L1279">
        <v>579.46769242240896</v>
      </c>
      <c r="M1279">
        <v>11.454791978551601</v>
      </c>
      <c r="N1279">
        <v>50.667135470281799</v>
      </c>
      <c r="O1279">
        <v>49.1192446200006</v>
      </c>
      <c r="P1279">
        <v>-5.77965715995735E-2</v>
      </c>
      <c r="Q1279">
        <v>8.9370686476821296E-3</v>
      </c>
      <c r="R1279">
        <v>0.995388182167247</v>
      </c>
      <c r="S1279" t="s">
        <v>7681</v>
      </c>
      <c r="T1279" t="s">
        <v>12802</v>
      </c>
      <c r="U1279" t="s">
        <v>12802</v>
      </c>
      <c r="V1279" t="s">
        <v>12802</v>
      </c>
      <c r="W1279" t="s">
        <v>14050</v>
      </c>
      <c r="X1279">
        <v>38</v>
      </c>
      <c r="Y1279" t="s">
        <v>20364</v>
      </c>
      <c r="Z1279" t="s">
        <v>26597</v>
      </c>
      <c r="AA1279">
        <v>0.48575275199131268</v>
      </c>
      <c r="AB1279" t="str">
        <f>HYPERLINK("Melting_Curves/meltCurve_K7EKE6_LONP1.pdf", "Melting_Curves/meltCurve_K7EKE6_LONP1.pdf")</f>
        <v>Melting_Curves/meltCurve_K7EKE6_LONP1.pdf</v>
      </c>
    </row>
    <row r="1280" spans="1:28" x14ac:dyDescent="0.25">
      <c r="A1280" t="s">
        <v>1284</v>
      </c>
      <c r="B1280">
        <v>0.99542014353169495</v>
      </c>
      <c r="C1280">
        <v>0.83311026175501102</v>
      </c>
      <c r="D1280">
        <v>0.83754863907132204</v>
      </c>
      <c r="E1280">
        <v>0.85841635490328905</v>
      </c>
      <c r="F1280">
        <v>0.92765646608437802</v>
      </c>
      <c r="G1280">
        <v>1.1073321623968</v>
      </c>
      <c r="H1280">
        <v>0.385122614003162</v>
      </c>
      <c r="I1280">
        <v>0.20356119246211199</v>
      </c>
      <c r="J1280">
        <v>0.17716437778166599</v>
      </c>
      <c r="K1280">
        <v>7.9732877293769502E-2</v>
      </c>
      <c r="L1280">
        <v>14293.963098313799</v>
      </c>
      <c r="M1280">
        <v>250</v>
      </c>
      <c r="N1280">
        <v>57.259827554468202</v>
      </c>
      <c r="O1280">
        <v>57.172170229660303</v>
      </c>
      <c r="P1280">
        <v>-0.92539951269964404</v>
      </c>
      <c r="Q1280">
        <v>0.15348607845169099</v>
      </c>
      <c r="R1280">
        <v>0.92541755505484602</v>
      </c>
      <c r="S1280" t="s">
        <v>7682</v>
      </c>
      <c r="T1280" t="s">
        <v>12802</v>
      </c>
      <c r="U1280" t="s">
        <v>12802</v>
      </c>
      <c r="V1280" t="s">
        <v>12802</v>
      </c>
      <c r="W1280" t="s">
        <v>14051</v>
      </c>
      <c r="X1280">
        <v>2</v>
      </c>
      <c r="Y1280" t="s">
        <v>20365</v>
      </c>
      <c r="Z1280" t="s">
        <v>26598</v>
      </c>
      <c r="AA1280">
        <v>0.72287568430363414</v>
      </c>
      <c r="AB1280" t="str">
        <f>HYPERLINK("Melting_Curves/meltCurve_K7EKG9_ATXN7L3.pdf", "Melting_Curves/meltCurve_K7EKG9_ATXN7L3.pdf")</f>
        <v>Melting_Curves/meltCurve_K7EKG9_ATXN7L3.pdf</v>
      </c>
    </row>
    <row r="1281" spans="1:28" x14ac:dyDescent="0.25">
      <c r="A1281" t="s">
        <v>1285</v>
      </c>
      <c r="B1281">
        <v>0.99542014353169495</v>
      </c>
      <c r="C1281">
        <v>1.0618770934034101</v>
      </c>
      <c r="D1281">
        <v>0.78860193109396703</v>
      </c>
      <c r="E1281">
        <v>0.59423491633036296</v>
      </c>
      <c r="F1281">
        <v>0.46828841406643201</v>
      </c>
      <c r="G1281">
        <v>0.41833609527243298</v>
      </c>
      <c r="H1281">
        <v>0.279605478960887</v>
      </c>
      <c r="I1281">
        <v>0.223641707332183</v>
      </c>
      <c r="J1281">
        <v>0.16408460607606401</v>
      </c>
      <c r="K1281">
        <v>0.286751962512314</v>
      </c>
      <c r="L1281">
        <v>639.03301665289302</v>
      </c>
      <c r="M1281">
        <v>13.5505076148985</v>
      </c>
      <c r="N1281">
        <v>49.2468220326721</v>
      </c>
      <c r="O1281">
        <v>46.167804657522602</v>
      </c>
      <c r="P1281">
        <v>-5.73542006678101E-2</v>
      </c>
      <c r="Q1281">
        <v>0.218473709135384</v>
      </c>
      <c r="R1281">
        <v>0.96254450498482502</v>
      </c>
      <c r="S1281" t="s">
        <v>7683</v>
      </c>
      <c r="T1281" t="s">
        <v>12802</v>
      </c>
      <c r="U1281" t="s">
        <v>12802</v>
      </c>
      <c r="V1281" t="s">
        <v>12802</v>
      </c>
      <c r="W1281" t="s">
        <v>13093</v>
      </c>
      <c r="X1281">
        <v>5</v>
      </c>
      <c r="Y1281" t="s">
        <v>20366</v>
      </c>
      <c r="Z1281" t="s">
        <v>26599</v>
      </c>
      <c r="AA1281">
        <v>0.50403914247207848</v>
      </c>
      <c r="AB1281" t="str">
        <f>HYPERLINK("Melting_Curves/meltCurve_K7EKS3_POLRMT.pdf", "Melting_Curves/meltCurve_K7EKS3_POLRMT.pdf")</f>
        <v>Melting_Curves/meltCurve_K7EKS3_POLRMT.pdf</v>
      </c>
    </row>
    <row r="1282" spans="1:28" x14ac:dyDescent="0.25">
      <c r="A1282" t="s">
        <v>1286</v>
      </c>
      <c r="B1282">
        <v>0.99542014353169495</v>
      </c>
      <c r="C1282">
        <v>1.0064771557316201</v>
      </c>
      <c r="D1282">
        <v>1.0252457439454601</v>
      </c>
      <c r="E1282">
        <v>0.91398269582535996</v>
      </c>
      <c r="F1282">
        <v>0.80533687074059002</v>
      </c>
      <c r="G1282">
        <v>0.608143247316553</v>
      </c>
      <c r="H1282">
        <v>0.43072473639429398</v>
      </c>
      <c r="I1282">
        <v>0.38175201169792899</v>
      </c>
      <c r="J1282">
        <v>0.43697730243453498</v>
      </c>
      <c r="K1282">
        <v>0.43845741799995402</v>
      </c>
      <c r="L1282">
        <v>1145.8456327423301</v>
      </c>
      <c r="M1282">
        <v>22.141840497443301</v>
      </c>
      <c r="N1282">
        <v>55.917680461432901</v>
      </c>
      <c r="O1282">
        <v>51.333670337613803</v>
      </c>
      <c r="P1282">
        <v>-6.4270561825014699E-2</v>
      </c>
      <c r="Q1282">
        <v>0.40399317093133602</v>
      </c>
      <c r="R1282">
        <v>0.98839754375196898</v>
      </c>
      <c r="S1282" t="s">
        <v>7684</v>
      </c>
      <c r="T1282" t="s">
        <v>12802</v>
      </c>
      <c r="U1282" t="s">
        <v>12802</v>
      </c>
      <c r="V1282" t="s">
        <v>12802</v>
      </c>
      <c r="W1282" t="s">
        <v>14052</v>
      </c>
      <c r="X1282">
        <v>4</v>
      </c>
      <c r="Y1282" t="s">
        <v>20367</v>
      </c>
      <c r="Z1282" t="s">
        <v>26600</v>
      </c>
      <c r="AA1282">
        <v>0.70357055872021446</v>
      </c>
      <c r="AB1282" t="str">
        <f>HYPERLINK("Melting_Curves/meltCurve_K7EKW3_TMUB2.pdf", "Melting_Curves/meltCurve_K7EKW3_TMUB2.pdf")</f>
        <v>Melting_Curves/meltCurve_K7EKW3_TMUB2.pdf</v>
      </c>
    </row>
    <row r="1283" spans="1:28" x14ac:dyDescent="0.25">
      <c r="A1283" t="s">
        <v>1287</v>
      </c>
      <c r="B1283">
        <v>0.99542014353169495</v>
      </c>
      <c r="C1283">
        <v>1.0464665716344901</v>
      </c>
      <c r="D1283">
        <v>0.96226647330416504</v>
      </c>
      <c r="E1283">
        <v>0.91465524475551097</v>
      </c>
      <c r="F1283">
        <v>0.681338715373635</v>
      </c>
      <c r="G1283">
        <v>0.43992544472163803</v>
      </c>
      <c r="H1283">
        <v>0.12258474374521899</v>
      </c>
      <c r="I1283">
        <v>7.5914371480062207E-2</v>
      </c>
      <c r="J1283">
        <v>5.7307728454648502E-2</v>
      </c>
      <c r="K1283">
        <v>5.8897333946006901E-2</v>
      </c>
      <c r="L1283">
        <v>1006.40849196342</v>
      </c>
      <c r="M1283">
        <v>19.219645398849998</v>
      </c>
      <c r="N1283">
        <v>52.492667876775798</v>
      </c>
      <c r="O1283">
        <v>51.806547342088002</v>
      </c>
      <c r="P1283">
        <v>-9.0609035914834296E-2</v>
      </c>
      <c r="Q1283">
        <v>2.3090929195308901E-2</v>
      </c>
      <c r="R1283">
        <v>0.99436304739526304</v>
      </c>
      <c r="S1283" t="s">
        <v>7685</v>
      </c>
      <c r="T1283" t="s">
        <v>12802</v>
      </c>
      <c r="U1283" t="s">
        <v>12802</v>
      </c>
      <c r="V1283" t="s">
        <v>12802</v>
      </c>
      <c r="W1283" t="s">
        <v>14053</v>
      </c>
      <c r="X1283">
        <v>16</v>
      </c>
      <c r="Y1283" t="s">
        <v>20368</v>
      </c>
      <c r="Z1283" t="s">
        <v>26601</v>
      </c>
      <c r="AA1283">
        <v>0.53667310336806684</v>
      </c>
      <c r="AB1283" t="str">
        <f>HYPERLINK("Melting_Curves/meltCurve_K7EL68_CDC37.pdf", "Melting_Curves/meltCurve_K7EL68_CDC37.pdf")</f>
        <v>Melting_Curves/meltCurve_K7EL68_CDC37.pdf</v>
      </c>
    </row>
    <row r="1284" spans="1:28" x14ac:dyDescent="0.25">
      <c r="A1284" t="s">
        <v>1288</v>
      </c>
      <c r="B1284">
        <v>0.99542014353169495</v>
      </c>
      <c r="C1284">
        <v>1.0404536849798101</v>
      </c>
      <c r="D1284">
        <v>1.03537343010101</v>
      </c>
      <c r="E1284">
        <v>0.70104654084595197</v>
      </c>
      <c r="F1284">
        <v>0.281400730956333</v>
      </c>
      <c r="G1284">
        <v>0.15227234279838101</v>
      </c>
      <c r="H1284">
        <v>0.10416748104214101</v>
      </c>
      <c r="I1284">
        <v>6.6620747550348997E-2</v>
      </c>
      <c r="J1284">
        <v>7.5269119961354797E-2</v>
      </c>
      <c r="K1284">
        <v>6.6178591997305899E-2</v>
      </c>
      <c r="L1284">
        <v>1384.95569532184</v>
      </c>
      <c r="M1284">
        <v>28.892799798684599</v>
      </c>
      <c r="N1284">
        <v>48.236232738570102</v>
      </c>
      <c r="O1284">
        <v>47.706421089600603</v>
      </c>
      <c r="P1284">
        <v>-0.13888531018127201</v>
      </c>
      <c r="Q1284">
        <v>8.2723598338857396E-2</v>
      </c>
      <c r="R1284">
        <v>0.99493990892492901</v>
      </c>
      <c r="S1284" t="s">
        <v>7686</v>
      </c>
      <c r="T1284" t="s">
        <v>12802</v>
      </c>
      <c r="U1284" t="s">
        <v>12802</v>
      </c>
      <c r="V1284" t="s">
        <v>12802</v>
      </c>
      <c r="W1284" t="s">
        <v>14054</v>
      </c>
      <c r="X1284">
        <v>12</v>
      </c>
      <c r="Y1284" t="s">
        <v>20369</v>
      </c>
      <c r="Z1284" t="s">
        <v>26602</v>
      </c>
      <c r="AA1284">
        <v>0.42290034369135249</v>
      </c>
      <c r="AB1284" t="str">
        <f>HYPERLINK("Melting_Curves/meltCurve_K7EL81_PPP1R12C.pdf", "Melting_Curves/meltCurve_K7EL81_PPP1R12C.pdf")</f>
        <v>Melting_Curves/meltCurve_K7EL81_PPP1R12C.pdf</v>
      </c>
    </row>
    <row r="1285" spans="1:28" x14ac:dyDescent="0.25">
      <c r="A1285" t="s">
        <v>1289</v>
      </c>
      <c r="B1285">
        <v>0.99542014353169495</v>
      </c>
      <c r="C1285">
        <v>0.97968626115234203</v>
      </c>
      <c r="D1285">
        <v>0.73521659110561099</v>
      </c>
      <c r="E1285">
        <v>0.73355169140534604</v>
      </c>
      <c r="F1285">
        <v>0.34631060608849301</v>
      </c>
      <c r="G1285">
        <v>0.26537300314015499</v>
      </c>
      <c r="H1285">
        <v>0.12951232886573899</v>
      </c>
      <c r="I1285">
        <v>3.7705998478391803E-2</v>
      </c>
      <c r="J1285">
        <v>2.7163081179744399E-2</v>
      </c>
      <c r="K1285">
        <v>6.0902869951361599E-2</v>
      </c>
      <c r="L1285">
        <v>611.95676274920697</v>
      </c>
      <c r="M1285">
        <v>12.5712520258358</v>
      </c>
      <c r="N1285">
        <v>48.679062503546703</v>
      </c>
      <c r="O1285">
        <v>47.496538302981399</v>
      </c>
      <c r="P1285">
        <v>-6.6182624060225306E-2</v>
      </c>
      <c r="Q1285">
        <v>0</v>
      </c>
      <c r="R1285">
        <v>0.97882478225937697</v>
      </c>
      <c r="S1285" t="s">
        <v>7687</v>
      </c>
      <c r="T1285" t="s">
        <v>12802</v>
      </c>
      <c r="U1285" t="s">
        <v>12802</v>
      </c>
      <c r="V1285" t="s">
        <v>12802</v>
      </c>
      <c r="W1285" t="s">
        <v>14055</v>
      </c>
      <c r="X1285">
        <v>2</v>
      </c>
      <c r="Y1285" t="s">
        <v>20370</v>
      </c>
      <c r="Z1285" t="s">
        <v>26603</v>
      </c>
      <c r="AA1285">
        <v>0.41764118776590409</v>
      </c>
      <c r="AB1285" t="str">
        <f>HYPERLINK("Melting_Curves/meltCurve_K7ELE3_AES.pdf", "Melting_Curves/meltCurve_K7ELE3_AES.pdf")</f>
        <v>Melting_Curves/meltCurve_K7ELE3_AES.pdf</v>
      </c>
    </row>
    <row r="1286" spans="1:28" x14ac:dyDescent="0.25">
      <c r="A1286" t="s">
        <v>1290</v>
      </c>
      <c r="B1286">
        <v>0.99542014353169495</v>
      </c>
      <c r="C1286">
        <v>0.90976676753866403</v>
      </c>
      <c r="D1286">
        <v>0.85443546824753203</v>
      </c>
      <c r="E1286">
        <v>0.59969280533027902</v>
      </c>
      <c r="F1286">
        <v>0.30061959896798202</v>
      </c>
      <c r="G1286">
        <v>0.100420481486885</v>
      </c>
      <c r="H1286">
        <v>8.66669873973447E-2</v>
      </c>
      <c r="I1286">
        <v>6.3027268160754796E-2</v>
      </c>
      <c r="J1286">
        <v>0.10137803343201</v>
      </c>
      <c r="K1286">
        <v>4.44342533620544E-2</v>
      </c>
      <c r="L1286">
        <v>843.61572665938399</v>
      </c>
      <c r="M1286">
        <v>17.8711552032849</v>
      </c>
      <c r="N1286">
        <v>47.483540417679201</v>
      </c>
      <c r="O1286">
        <v>46.626290081920203</v>
      </c>
      <c r="P1286">
        <v>-9.1064714215242898E-2</v>
      </c>
      <c r="Q1286">
        <v>4.9688115588044798E-2</v>
      </c>
      <c r="R1286">
        <v>0.99455550323194997</v>
      </c>
      <c r="S1286" t="s">
        <v>7688</v>
      </c>
      <c r="T1286" t="s">
        <v>12802</v>
      </c>
      <c r="U1286" t="s">
        <v>12802</v>
      </c>
      <c r="V1286" t="s">
        <v>12802</v>
      </c>
      <c r="W1286" t="s">
        <v>14056</v>
      </c>
      <c r="X1286">
        <v>1</v>
      </c>
      <c r="Y1286" t="s">
        <v>20371</v>
      </c>
      <c r="Z1286" t="s">
        <v>26604</v>
      </c>
      <c r="AA1286">
        <v>0.3884157899195349</v>
      </c>
      <c r="AB1286" t="str">
        <f>HYPERLINK("Melting_Curves/meltCurve_K7ELK7_R3HDM4.pdf", "Melting_Curves/meltCurve_K7ELK7_R3HDM4.pdf")</f>
        <v>Melting_Curves/meltCurve_K7ELK7_R3HDM4.pdf</v>
      </c>
    </row>
    <row r="1287" spans="1:28" x14ac:dyDescent="0.25">
      <c r="A1287" t="s">
        <v>1291</v>
      </c>
      <c r="B1287">
        <v>0.99542014353169495</v>
      </c>
      <c r="C1287">
        <v>0.99997707878778996</v>
      </c>
      <c r="D1287">
        <v>0.87331751869928598</v>
      </c>
      <c r="E1287">
        <v>0.79516475104570905</v>
      </c>
      <c r="F1287">
        <v>0.69158494703748596</v>
      </c>
      <c r="G1287">
        <v>0.44529289206363498</v>
      </c>
      <c r="H1287">
        <v>0.19922778450005199</v>
      </c>
      <c r="I1287">
        <v>0.13315331662753699</v>
      </c>
      <c r="J1287">
        <v>0.18264500858611801</v>
      </c>
      <c r="K1287">
        <v>0.236486184868166</v>
      </c>
      <c r="L1287">
        <v>757.90595862644</v>
      </c>
      <c r="M1287">
        <v>14.815461205863</v>
      </c>
      <c r="N1287">
        <v>52.2186322876696</v>
      </c>
      <c r="O1287">
        <v>50.251534665102703</v>
      </c>
      <c r="P1287">
        <v>-6.4124223842327799E-2</v>
      </c>
      <c r="Q1287">
        <v>0.13009822332715201</v>
      </c>
      <c r="R1287">
        <v>0.97310218096006296</v>
      </c>
      <c r="S1287" t="s">
        <v>7689</v>
      </c>
      <c r="T1287" t="s">
        <v>12802</v>
      </c>
      <c r="U1287" t="s">
        <v>12802</v>
      </c>
      <c r="V1287" t="s">
        <v>12802</v>
      </c>
      <c r="W1287" t="s">
        <v>14057</v>
      </c>
      <c r="X1287">
        <v>20</v>
      </c>
      <c r="Y1287" t="s">
        <v>20372</v>
      </c>
      <c r="Z1287" t="s">
        <v>26605</v>
      </c>
      <c r="AA1287">
        <v>0.55825669383501186</v>
      </c>
      <c r="AB1287" t="str">
        <f>HYPERLINK("Melting_Curves/meltCurve_K7ELL7_PRKCSH.pdf", "Melting_Curves/meltCurve_K7ELL7_PRKCSH.pdf")</f>
        <v>Melting_Curves/meltCurve_K7ELL7_PRKCSH.pdf</v>
      </c>
    </row>
    <row r="1288" spans="1:28" x14ac:dyDescent="0.25">
      <c r="A1288" t="s">
        <v>1292</v>
      </c>
      <c r="B1288">
        <v>0.99542014353169495</v>
      </c>
      <c r="C1288">
        <v>0.80436036408353595</v>
      </c>
      <c r="D1288">
        <v>0.990221305411912</v>
      </c>
      <c r="E1288">
        <v>0.75726660668400203</v>
      </c>
      <c r="F1288">
        <v>0.89661836449357102</v>
      </c>
      <c r="G1288">
        <v>0.45746969074343802</v>
      </c>
      <c r="H1288">
        <v>0.65588381686214503</v>
      </c>
      <c r="I1288">
        <v>0.26126992392258702</v>
      </c>
      <c r="J1288">
        <v>3.2032205229289498E-2</v>
      </c>
      <c r="K1288">
        <v>0</v>
      </c>
      <c r="L1288">
        <v>692.62005377445905</v>
      </c>
      <c r="M1288">
        <v>12.435637970170401</v>
      </c>
      <c r="N1288">
        <v>55.696382970524098</v>
      </c>
      <c r="O1288">
        <v>54.314933433902901</v>
      </c>
      <c r="P1288">
        <v>-5.7250592782048998E-2</v>
      </c>
      <c r="Q1288">
        <v>0</v>
      </c>
      <c r="R1288">
        <v>0.85562726773800102</v>
      </c>
      <c r="S1288" t="s">
        <v>7690</v>
      </c>
      <c r="T1288" t="s">
        <v>12802</v>
      </c>
      <c r="U1288" t="s">
        <v>12802</v>
      </c>
      <c r="V1288" t="s">
        <v>12802</v>
      </c>
      <c r="W1288" t="s">
        <v>14058</v>
      </c>
      <c r="X1288">
        <v>1</v>
      </c>
      <c r="Y1288" t="s">
        <v>20373</v>
      </c>
      <c r="Z1288" t="s">
        <v>26606</v>
      </c>
      <c r="AA1288">
        <v>0.63478595824008588</v>
      </c>
      <c r="AB1288" t="str">
        <f>HYPERLINK("Melting_Curves/meltCurve_K7ELN3_DNAH17.pdf", "Melting_Curves/meltCurve_K7ELN3_DNAH17.pdf")</f>
        <v>Melting_Curves/meltCurve_K7ELN3_DNAH17.pdf</v>
      </c>
    </row>
    <row r="1289" spans="1:28" x14ac:dyDescent="0.25">
      <c r="A1289" t="s">
        <v>1293</v>
      </c>
      <c r="B1289">
        <v>0.99542014353169495</v>
      </c>
      <c r="C1289">
        <v>1.0863761180675999</v>
      </c>
      <c r="D1289">
        <v>1.1616376848304899</v>
      </c>
      <c r="E1289">
        <v>0.80716383003858705</v>
      </c>
      <c r="F1289">
        <v>4.3572511445181102E-2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3047.4298594164902</v>
      </c>
      <c r="M1289">
        <v>63.950207008726402</v>
      </c>
      <c r="N1289">
        <v>47.6543892432042</v>
      </c>
      <c r="O1289">
        <v>47.606633507188299</v>
      </c>
      <c r="P1289">
        <v>-0.33555094506343902</v>
      </c>
      <c r="Q1289">
        <v>8.1976104714915905E-4</v>
      </c>
      <c r="R1289">
        <v>0.98640066426782502</v>
      </c>
      <c r="S1289" t="s">
        <v>7691</v>
      </c>
      <c r="T1289" t="s">
        <v>12802</v>
      </c>
      <c r="U1289" t="s">
        <v>12802</v>
      </c>
      <c r="V1289" t="s">
        <v>12802</v>
      </c>
      <c r="W1289" t="s">
        <v>14059</v>
      </c>
      <c r="X1289">
        <v>6</v>
      </c>
      <c r="Y1289" t="s">
        <v>20374</v>
      </c>
      <c r="Z1289" t="s">
        <v>26607</v>
      </c>
      <c r="AA1289">
        <v>0.3569153136286537</v>
      </c>
      <c r="AB1289" t="str">
        <f>HYPERLINK("Melting_Curves/meltCurve_K7ELW5_PTBP1.pdf", "Melting_Curves/meltCurve_K7ELW5_PTBP1.pdf")</f>
        <v>Melting_Curves/meltCurve_K7ELW5_PTBP1.pdf</v>
      </c>
    </row>
    <row r="1290" spans="1:28" x14ac:dyDescent="0.25">
      <c r="A1290" t="s">
        <v>1294</v>
      </c>
      <c r="B1290">
        <v>0.99542014353169495</v>
      </c>
      <c r="C1290">
        <v>0.98683821510278302</v>
      </c>
      <c r="D1290">
        <v>0.96463167413768502</v>
      </c>
      <c r="E1290">
        <v>0.72716125817618404</v>
      </c>
      <c r="F1290">
        <v>0.40807128897640899</v>
      </c>
      <c r="G1290">
        <v>0.215258007104635</v>
      </c>
      <c r="H1290">
        <v>0.116960054131345</v>
      </c>
      <c r="I1290">
        <v>9.8090348849485198E-2</v>
      </c>
      <c r="J1290">
        <v>0.13625435612850501</v>
      </c>
      <c r="K1290">
        <v>0.16688604403714799</v>
      </c>
      <c r="L1290">
        <v>1078.52686315286</v>
      </c>
      <c r="M1290">
        <v>22.276078399412899</v>
      </c>
      <c r="N1290">
        <v>49.035791161204799</v>
      </c>
      <c r="O1290">
        <v>48.031268098302299</v>
      </c>
      <c r="P1290">
        <v>-0.101729050601437</v>
      </c>
      <c r="Q1290">
        <v>0.12263368899235</v>
      </c>
      <c r="R1290">
        <v>0.99664796055362204</v>
      </c>
      <c r="S1290" t="s">
        <v>7692</v>
      </c>
      <c r="T1290" t="s">
        <v>12802</v>
      </c>
      <c r="U1290" t="s">
        <v>12802</v>
      </c>
      <c r="V1290" t="s">
        <v>12802</v>
      </c>
      <c r="W1290" t="s">
        <v>14060</v>
      </c>
      <c r="X1290">
        <v>4</v>
      </c>
      <c r="Y1290" t="s">
        <v>20375</v>
      </c>
      <c r="Z1290" t="s">
        <v>26608</v>
      </c>
      <c r="AA1290">
        <v>0.46592392347512412</v>
      </c>
      <c r="AB1290" t="str">
        <f>HYPERLINK("Melting_Curves/meltCurve_K7ELY2_STX10.pdf", "Melting_Curves/meltCurve_K7ELY2_STX10.pdf")</f>
        <v>Melting_Curves/meltCurve_K7ELY2_STX10.pdf</v>
      </c>
    </row>
    <row r="1291" spans="1:28" x14ac:dyDescent="0.25">
      <c r="A1291" t="s">
        <v>1295</v>
      </c>
      <c r="B1291">
        <v>0.99542014353169495</v>
      </c>
      <c r="C1291">
        <v>0.82083419718160999</v>
      </c>
      <c r="D1291">
        <v>0.89238435353897605</v>
      </c>
      <c r="E1291">
        <v>0.70478282698323302</v>
      </c>
      <c r="F1291">
        <v>0.57202910109447302</v>
      </c>
      <c r="G1291">
        <v>0.30638869776637701</v>
      </c>
      <c r="H1291">
        <v>0.29343940333686702</v>
      </c>
      <c r="I1291">
        <v>0.29666994801073099</v>
      </c>
      <c r="J1291">
        <v>0.24325902791878501</v>
      </c>
      <c r="K1291">
        <v>0.18187315662945699</v>
      </c>
      <c r="L1291">
        <v>527.06453936599405</v>
      </c>
      <c r="M1291">
        <v>10.7653476310738</v>
      </c>
      <c r="N1291">
        <v>50.792344031300203</v>
      </c>
      <c r="O1291">
        <v>47.360742501447398</v>
      </c>
      <c r="P1291">
        <v>-4.7696933502596899E-2</v>
      </c>
      <c r="Q1291">
        <v>0.16096198789491001</v>
      </c>
      <c r="R1291">
        <v>0.96615478890451001</v>
      </c>
      <c r="S1291" t="s">
        <v>7693</v>
      </c>
      <c r="T1291" t="s">
        <v>12802</v>
      </c>
      <c r="U1291" t="s">
        <v>12802</v>
      </c>
      <c r="V1291" t="s">
        <v>12802</v>
      </c>
      <c r="W1291" t="s">
        <v>14061</v>
      </c>
      <c r="X1291">
        <v>1</v>
      </c>
      <c r="Y1291" t="s">
        <v>20376</v>
      </c>
      <c r="Z1291" t="s">
        <v>26609</v>
      </c>
      <c r="AA1291">
        <v>0.52412287362356258</v>
      </c>
      <c r="AB1291" t="str">
        <f>HYPERLINK("Melting_Curves/meltCurve_K7EM02_KATNAL2.pdf", "Melting_Curves/meltCurve_K7EM02_KATNAL2.pdf")</f>
        <v>Melting_Curves/meltCurve_K7EM02_KATNAL2.pdf</v>
      </c>
    </row>
    <row r="1292" spans="1:28" x14ac:dyDescent="0.25">
      <c r="A1292" t="s">
        <v>1296</v>
      </c>
      <c r="B1292">
        <v>0.99542014353169495</v>
      </c>
      <c r="C1292">
        <v>0.92798150842131899</v>
      </c>
      <c r="D1292">
        <v>0.81517145513010403</v>
      </c>
      <c r="E1292">
        <v>0.68849197686143204</v>
      </c>
      <c r="F1292">
        <v>0.51811655722043204</v>
      </c>
      <c r="G1292">
        <v>0.278645270129942</v>
      </c>
      <c r="H1292">
        <v>0.209277252966488</v>
      </c>
      <c r="I1292">
        <v>0.189755554970789</v>
      </c>
      <c r="J1292">
        <v>0.16459799022628399</v>
      </c>
      <c r="K1292">
        <v>0.171938748867211</v>
      </c>
      <c r="L1292">
        <v>596.80791003185095</v>
      </c>
      <c r="M1292">
        <v>12.2931335111513</v>
      </c>
      <c r="N1292">
        <v>49.652796221089702</v>
      </c>
      <c r="O1292">
        <v>47.3170145420588</v>
      </c>
      <c r="P1292">
        <v>-5.7192273572451303E-2</v>
      </c>
      <c r="Q1292">
        <v>0.11964718294017999</v>
      </c>
      <c r="R1292">
        <v>0.99277435498468503</v>
      </c>
      <c r="S1292" t="s">
        <v>7694</v>
      </c>
      <c r="T1292" t="s">
        <v>12802</v>
      </c>
      <c r="U1292" t="s">
        <v>12802</v>
      </c>
      <c r="V1292" t="s">
        <v>12802</v>
      </c>
      <c r="W1292" t="s">
        <v>14062</v>
      </c>
      <c r="X1292">
        <v>1</v>
      </c>
      <c r="Y1292" t="s">
        <v>20377</v>
      </c>
      <c r="Z1292" t="s">
        <v>26610</v>
      </c>
      <c r="AA1292">
        <v>0.48444016694917352</v>
      </c>
      <c r="AB1292" t="str">
        <f>HYPERLINK("Melting_Curves/meltCurve_K7EM09_TMEM205.pdf", "Melting_Curves/meltCurve_K7EM09_TMEM205.pdf")</f>
        <v>Melting_Curves/meltCurve_K7EM09_TMEM205.pdf</v>
      </c>
    </row>
    <row r="1293" spans="1:28" x14ac:dyDescent="0.25">
      <c r="A1293" t="s">
        <v>1297</v>
      </c>
      <c r="B1293">
        <v>0.99542014353169495</v>
      </c>
      <c r="C1293">
        <v>0.91827749479971399</v>
      </c>
      <c r="D1293">
        <v>0.89234689284716595</v>
      </c>
      <c r="E1293">
        <v>0.70891404711184902</v>
      </c>
      <c r="F1293">
        <v>0.34553875355631403</v>
      </c>
      <c r="G1293">
        <v>0</v>
      </c>
      <c r="H1293">
        <v>5.3778821068873502E-2</v>
      </c>
      <c r="I1293">
        <v>0.12505602721787201</v>
      </c>
      <c r="J1293">
        <v>0</v>
      </c>
      <c r="K1293">
        <v>0</v>
      </c>
      <c r="L1293">
        <v>1088.7026880369799</v>
      </c>
      <c r="M1293">
        <v>22.561117219215799</v>
      </c>
      <c r="N1293">
        <v>48.331595879926503</v>
      </c>
      <c r="O1293">
        <v>47.881384475032597</v>
      </c>
      <c r="P1293">
        <v>-0.115749366518254</v>
      </c>
      <c r="Q1293">
        <v>1.7401861283237299E-2</v>
      </c>
      <c r="R1293">
        <v>0.98099983576654703</v>
      </c>
      <c r="S1293" t="s">
        <v>7695</v>
      </c>
      <c r="T1293" t="s">
        <v>12802</v>
      </c>
      <c r="U1293" t="s">
        <v>12802</v>
      </c>
      <c r="V1293" t="s">
        <v>12802</v>
      </c>
      <c r="W1293" t="s">
        <v>14063</v>
      </c>
      <c r="X1293">
        <v>1</v>
      </c>
      <c r="Y1293" t="s">
        <v>20378</v>
      </c>
      <c r="Z1293" t="s">
        <v>26611</v>
      </c>
      <c r="AA1293">
        <v>0.39633304173732797</v>
      </c>
      <c r="AB1293" t="str">
        <f>HYPERLINK("Melting_Curves/meltCurve_K7EM87_EPG5.pdf", "Melting_Curves/meltCurve_K7EM87_EPG5.pdf")</f>
        <v>Melting_Curves/meltCurve_K7EM87_EPG5.pdf</v>
      </c>
    </row>
    <row r="1294" spans="1:28" x14ac:dyDescent="0.25">
      <c r="A1294" t="s">
        <v>1298</v>
      </c>
      <c r="B1294">
        <v>0.99542014353169495</v>
      </c>
      <c r="C1294">
        <v>0.985606623330742</v>
      </c>
      <c r="D1294">
        <v>0.95718136580509805</v>
      </c>
      <c r="E1294">
        <v>0.97308345458482404</v>
      </c>
      <c r="F1294">
        <v>0.87043658297516202</v>
      </c>
      <c r="G1294">
        <v>0.69984264207503599</v>
      </c>
      <c r="H1294">
        <v>0.481324205990869</v>
      </c>
      <c r="I1294">
        <v>0.29067278576949301</v>
      </c>
      <c r="J1294">
        <v>0.24175542583929299</v>
      </c>
      <c r="K1294">
        <v>0.28707241545464701</v>
      </c>
      <c r="L1294">
        <v>1033.39572899011</v>
      </c>
      <c r="M1294">
        <v>18.7967672930377</v>
      </c>
      <c r="N1294">
        <v>56.717580506574002</v>
      </c>
      <c r="O1294">
        <v>54.366395254257199</v>
      </c>
      <c r="P1294">
        <v>-6.7497129939115705E-2</v>
      </c>
      <c r="Q1294">
        <v>0.219137426259499</v>
      </c>
      <c r="R1294">
        <v>0.99333263665374405</v>
      </c>
      <c r="S1294" t="s">
        <v>7696</v>
      </c>
      <c r="T1294" t="s">
        <v>12802</v>
      </c>
      <c r="U1294" t="s">
        <v>12802</v>
      </c>
      <c r="V1294" t="s">
        <v>12802</v>
      </c>
      <c r="W1294" t="s">
        <v>14064</v>
      </c>
      <c r="X1294">
        <v>1</v>
      </c>
      <c r="Y1294" t="s">
        <v>20379</v>
      </c>
      <c r="Z1294" t="s">
        <v>26612</v>
      </c>
      <c r="AA1294">
        <v>0.69652215517427285</v>
      </c>
      <c r="AB1294" t="str">
        <f>HYPERLINK("Melting_Curves/meltCurve_K7EN05_ELOF1.pdf", "Melting_Curves/meltCurve_K7EN05_ELOF1.pdf")</f>
        <v>Melting_Curves/meltCurve_K7EN05_ELOF1.pdf</v>
      </c>
    </row>
    <row r="1295" spans="1:28" x14ac:dyDescent="0.25">
      <c r="A1295" t="s">
        <v>1299</v>
      </c>
      <c r="B1295">
        <v>0.99542014353169495</v>
      </c>
      <c r="C1295">
        <v>1.08958223982356</v>
      </c>
      <c r="D1295">
        <v>0.81779376605119003</v>
      </c>
      <c r="E1295">
        <v>0.70380180095368705</v>
      </c>
      <c r="F1295">
        <v>0.63654808818407105</v>
      </c>
      <c r="G1295">
        <v>0.36614382505125198</v>
      </c>
      <c r="H1295">
        <v>0.176944847937933</v>
      </c>
      <c r="I1295">
        <v>6.0545053003329297E-2</v>
      </c>
      <c r="J1295">
        <v>0</v>
      </c>
      <c r="K1295">
        <v>0</v>
      </c>
      <c r="L1295">
        <v>676.62186904281805</v>
      </c>
      <c r="M1295">
        <v>13.2668722456163</v>
      </c>
      <c r="N1295">
        <v>51.000858764695401</v>
      </c>
      <c r="O1295">
        <v>49.883884228860801</v>
      </c>
      <c r="P1295">
        <v>-6.6499623043619102E-2</v>
      </c>
      <c r="Q1295">
        <v>0</v>
      </c>
      <c r="R1295">
        <v>0.97149761555684699</v>
      </c>
      <c r="S1295" t="s">
        <v>7697</v>
      </c>
      <c r="T1295" t="s">
        <v>12802</v>
      </c>
      <c r="U1295" t="s">
        <v>12802</v>
      </c>
      <c r="V1295" t="s">
        <v>12802</v>
      </c>
      <c r="W1295" t="s">
        <v>14065</v>
      </c>
      <c r="X1295">
        <v>4</v>
      </c>
      <c r="Y1295" t="s">
        <v>20380</v>
      </c>
      <c r="Z1295" t="s">
        <v>26613</v>
      </c>
      <c r="AA1295">
        <v>0.49008879057466231</v>
      </c>
      <c r="AB1295" t="str">
        <f>HYPERLINK("Melting_Curves/meltCurve_K7EN88_hCG_2039718.pdf", "Melting_Curves/meltCurve_K7EN88_hCG_2039718.pdf")</f>
        <v>Melting_Curves/meltCurve_K7EN88_hCG_2039718.pdf</v>
      </c>
    </row>
    <row r="1296" spans="1:28" x14ac:dyDescent="0.25">
      <c r="A1296" t="s">
        <v>1300</v>
      </c>
      <c r="B1296">
        <v>0.99542014353169495</v>
      </c>
      <c r="C1296">
        <v>0.93451872569031902</v>
      </c>
      <c r="D1296">
        <v>1.00261616529345</v>
      </c>
      <c r="E1296">
        <v>0.92448458864007899</v>
      </c>
      <c r="F1296">
        <v>0.73282790319548796</v>
      </c>
      <c r="G1296">
        <v>0.45119947470843103</v>
      </c>
      <c r="H1296">
        <v>0.17820035228033501</v>
      </c>
      <c r="I1296">
        <v>6.6670994886580695E-2</v>
      </c>
      <c r="J1296">
        <v>6.8575722800532202E-2</v>
      </c>
      <c r="K1296">
        <v>7.3585847908129803E-2</v>
      </c>
      <c r="L1296">
        <v>1054.3159878081201</v>
      </c>
      <c r="M1296">
        <v>19.987008362706199</v>
      </c>
      <c r="N1296">
        <v>52.945893823937503</v>
      </c>
      <c r="O1296">
        <v>52.230526469860898</v>
      </c>
      <c r="P1296">
        <v>-9.2261815685515905E-2</v>
      </c>
      <c r="Q1296">
        <v>3.5628366680014997E-2</v>
      </c>
      <c r="R1296">
        <v>0.99553557963439498</v>
      </c>
      <c r="S1296" t="s">
        <v>7698</v>
      </c>
      <c r="T1296" t="s">
        <v>12802</v>
      </c>
      <c r="U1296" t="s">
        <v>12802</v>
      </c>
      <c r="V1296" t="s">
        <v>12802</v>
      </c>
      <c r="W1296" t="s">
        <v>14066</v>
      </c>
      <c r="X1296">
        <v>2</v>
      </c>
      <c r="Y1296" t="s">
        <v>20381</v>
      </c>
      <c r="Z1296" t="s">
        <v>26614</v>
      </c>
      <c r="AA1296">
        <v>0.55417645058877674</v>
      </c>
      <c r="AB1296" t="str">
        <f>HYPERLINK("Melting_Curves/meltCurve_K7ENF0_NARS.pdf", "Melting_Curves/meltCurve_K7ENF0_NARS.pdf")</f>
        <v>Melting_Curves/meltCurve_K7ENF0_NARS.pdf</v>
      </c>
    </row>
    <row r="1297" spans="1:28" x14ac:dyDescent="0.25">
      <c r="A1297" t="s">
        <v>1301</v>
      </c>
      <c r="B1297">
        <v>0.99542014353169495</v>
      </c>
      <c r="C1297">
        <v>0.91205012967110399</v>
      </c>
      <c r="D1297">
        <v>0.96218200777752205</v>
      </c>
      <c r="E1297">
        <v>0.84120640274637504</v>
      </c>
      <c r="F1297">
        <v>0.71356915582826796</v>
      </c>
      <c r="G1297">
        <v>0.44230053159670202</v>
      </c>
      <c r="H1297">
        <v>0.70281495026539798</v>
      </c>
      <c r="I1297">
        <v>0.75161165467816204</v>
      </c>
      <c r="J1297">
        <v>0.69311577801092905</v>
      </c>
      <c r="K1297">
        <v>0.86426675851873103</v>
      </c>
      <c r="L1297">
        <v>1901.8422825264499</v>
      </c>
      <c r="M1297">
        <v>40.9660541924207</v>
      </c>
      <c r="O1297">
        <v>46.314616478827404</v>
      </c>
      <c r="P1297">
        <v>-6.7960651819448506E-2</v>
      </c>
      <c r="Q1297">
        <v>0.69266595485032101</v>
      </c>
      <c r="R1297">
        <v>0.56358458333787098</v>
      </c>
      <c r="S1297" t="s">
        <v>7699</v>
      </c>
      <c r="T1297" t="s">
        <v>12802</v>
      </c>
      <c r="U1297" t="s">
        <v>12802</v>
      </c>
      <c r="V1297" t="s">
        <v>12802</v>
      </c>
      <c r="W1297" t="s">
        <v>14067</v>
      </c>
      <c r="X1297">
        <v>13</v>
      </c>
      <c r="Y1297" t="s">
        <v>19248</v>
      </c>
      <c r="Z1297" t="s">
        <v>26615</v>
      </c>
      <c r="AA1297">
        <v>0.79015864489533505</v>
      </c>
      <c r="AB1297" t="str">
        <f>HYPERLINK("Melting_Curves/meltCurve_K7ENH2_PSME3.pdf", "Melting_Curves/meltCurve_K7ENH2_PSME3.pdf")</f>
        <v>Melting_Curves/meltCurve_K7ENH2_PSME3.pdf</v>
      </c>
    </row>
    <row r="1298" spans="1:28" x14ac:dyDescent="0.25">
      <c r="A1298" t="s">
        <v>1302</v>
      </c>
      <c r="B1298">
        <v>0.99542014353169495</v>
      </c>
      <c r="C1298">
        <v>1.01196743549816</v>
      </c>
      <c r="D1298">
        <v>1.1019487392410801</v>
      </c>
      <c r="E1298">
        <v>0.93882696793232301</v>
      </c>
      <c r="F1298">
        <v>0.57092417684563201</v>
      </c>
      <c r="G1298">
        <v>0.10334874172346201</v>
      </c>
      <c r="H1298">
        <v>5.2396658212635901E-2</v>
      </c>
      <c r="I1298">
        <v>6.5229722198868301E-2</v>
      </c>
      <c r="J1298">
        <v>0.107579540032472</v>
      </c>
      <c r="K1298">
        <v>0.14554018449089301</v>
      </c>
      <c r="L1298">
        <v>2476.8903970411302</v>
      </c>
      <c r="M1298">
        <v>49.2510304082993</v>
      </c>
      <c r="N1298">
        <v>50.489456644416201</v>
      </c>
      <c r="O1298">
        <v>50.208433943040298</v>
      </c>
      <c r="P1298">
        <v>-0.223665822472181</v>
      </c>
      <c r="Q1298">
        <v>8.7945939813590002E-2</v>
      </c>
      <c r="R1298">
        <v>0.99020788199483101</v>
      </c>
      <c r="S1298" t="s">
        <v>7700</v>
      </c>
      <c r="T1298" t="s">
        <v>12802</v>
      </c>
      <c r="U1298" t="s">
        <v>12802</v>
      </c>
      <c r="V1298" t="s">
        <v>12802</v>
      </c>
      <c r="W1298" t="s">
        <v>14068</v>
      </c>
      <c r="X1298">
        <v>7</v>
      </c>
      <c r="Y1298" t="s">
        <v>20382</v>
      </c>
      <c r="Z1298" t="s">
        <v>26616</v>
      </c>
      <c r="AA1298">
        <v>0.49410586765542708</v>
      </c>
      <c r="AB1298" t="str">
        <f>HYPERLINK("Melting_Curves/meltCurve_K7ENL9_C18orf8.pdf", "Melting_Curves/meltCurve_K7ENL9_C18orf8.pdf")</f>
        <v>Melting_Curves/meltCurve_K7ENL9_C18orf8.pdf</v>
      </c>
    </row>
    <row r="1299" spans="1:28" x14ac:dyDescent="0.25">
      <c r="A1299" t="s">
        <v>1303</v>
      </c>
      <c r="B1299">
        <v>0.99542014353169495</v>
      </c>
      <c r="C1299">
        <v>0.93961222450494697</v>
      </c>
      <c r="D1299">
        <v>0.87011400189677701</v>
      </c>
      <c r="E1299">
        <v>0.53268490289569403</v>
      </c>
      <c r="F1299">
        <v>0.43056454654853199</v>
      </c>
      <c r="G1299">
        <v>0.23769684260919499</v>
      </c>
      <c r="H1299">
        <v>0.19867459233408999</v>
      </c>
      <c r="I1299">
        <v>0.11834064855835601</v>
      </c>
      <c r="J1299">
        <v>1.8210243324856601E-2</v>
      </c>
      <c r="K1299">
        <v>4.8102854959239598E-2</v>
      </c>
      <c r="L1299">
        <v>570.88235000612701</v>
      </c>
      <c r="M1299">
        <v>11.8112993909139</v>
      </c>
      <c r="N1299">
        <v>48.485279615690501</v>
      </c>
      <c r="O1299">
        <v>47.010537784186099</v>
      </c>
      <c r="P1299">
        <v>-6.1688369351726703E-2</v>
      </c>
      <c r="Q1299">
        <v>1.8140535586347501E-2</v>
      </c>
      <c r="R1299">
        <v>0.98697049918032298</v>
      </c>
      <c r="S1299" t="s">
        <v>7701</v>
      </c>
      <c r="T1299" t="s">
        <v>12802</v>
      </c>
      <c r="U1299" t="s">
        <v>12802</v>
      </c>
      <c r="V1299" t="s">
        <v>12802</v>
      </c>
      <c r="W1299" t="s">
        <v>14069</v>
      </c>
      <c r="X1299">
        <v>1</v>
      </c>
      <c r="Y1299" t="s">
        <v>20383</v>
      </c>
      <c r="Z1299" t="s">
        <v>26617</v>
      </c>
      <c r="AA1299">
        <v>0.41998498403706042</v>
      </c>
      <c r="AB1299" t="str">
        <f>HYPERLINK("Melting_Curves/meltCurve_K7EP31_ATP5SL.pdf", "Melting_Curves/meltCurve_K7EP31_ATP5SL.pdf")</f>
        <v>Melting_Curves/meltCurve_K7EP31_ATP5SL.pdf</v>
      </c>
    </row>
    <row r="1300" spans="1:28" x14ac:dyDescent="0.25">
      <c r="A1300" t="s">
        <v>1304</v>
      </c>
      <c r="B1300">
        <v>0.99542014353169495</v>
      </c>
      <c r="C1300">
        <v>0.981104626945839</v>
      </c>
      <c r="D1300">
        <v>0.73306569002715705</v>
      </c>
      <c r="E1300">
        <v>0.39875922860052299</v>
      </c>
      <c r="F1300">
        <v>0.27270979683794699</v>
      </c>
      <c r="G1300">
        <v>0.143206990430852</v>
      </c>
      <c r="H1300">
        <v>8.4138238153002698E-2</v>
      </c>
      <c r="I1300">
        <v>5.6492653372616497E-2</v>
      </c>
      <c r="J1300">
        <v>6.49552908947921E-2</v>
      </c>
      <c r="K1300">
        <v>7.7358671635742005E-2</v>
      </c>
      <c r="L1300">
        <v>790.94866681114104</v>
      </c>
      <c r="M1300">
        <v>17.400452120352298</v>
      </c>
      <c r="N1300">
        <v>45.846737169532197</v>
      </c>
      <c r="O1300">
        <v>44.868016794956702</v>
      </c>
      <c r="P1300">
        <v>-9.0271528932757403E-2</v>
      </c>
      <c r="Q1300">
        <v>6.8972232373251896E-2</v>
      </c>
      <c r="R1300">
        <v>0.99325878778784604</v>
      </c>
      <c r="S1300" t="s">
        <v>7702</v>
      </c>
      <c r="T1300" t="s">
        <v>12802</v>
      </c>
      <c r="U1300" t="s">
        <v>12802</v>
      </c>
      <c r="V1300" t="s">
        <v>12802</v>
      </c>
      <c r="W1300" t="s">
        <v>14070</v>
      </c>
      <c r="X1300">
        <v>6</v>
      </c>
      <c r="Y1300" t="s">
        <v>20384</v>
      </c>
      <c r="Z1300" t="s">
        <v>26618</v>
      </c>
      <c r="AA1300">
        <v>0.347611382306864</v>
      </c>
      <c r="AB1300" t="str">
        <f>HYPERLINK("Melting_Curves/meltCurve_K7EP32_UBXN6.pdf", "Melting_Curves/meltCurve_K7EP32_UBXN6.pdf")</f>
        <v>Melting_Curves/meltCurve_K7EP32_UBXN6.pdf</v>
      </c>
    </row>
    <row r="1301" spans="1:28" x14ac:dyDescent="0.25">
      <c r="A1301" t="s">
        <v>1305</v>
      </c>
      <c r="B1301">
        <v>0.99542014353169495</v>
      </c>
      <c r="C1301">
        <v>0.97568544356352105</v>
      </c>
      <c r="D1301">
        <v>0.91171817928066101</v>
      </c>
      <c r="E1301">
        <v>0.897970897960368</v>
      </c>
      <c r="F1301">
        <v>0.58875476593154696</v>
      </c>
      <c r="G1301">
        <v>0.336596650816189</v>
      </c>
      <c r="H1301">
        <v>0.25565515927669902</v>
      </c>
      <c r="I1301">
        <v>8.4371391926400696E-2</v>
      </c>
      <c r="J1301">
        <v>5.6557332591132201E-2</v>
      </c>
      <c r="K1301">
        <v>0.12111831464313701</v>
      </c>
      <c r="L1301">
        <v>853.08828700862398</v>
      </c>
      <c r="M1301">
        <v>16.6568361875619</v>
      </c>
      <c r="N1301">
        <v>51.635737715482797</v>
      </c>
      <c r="O1301">
        <v>50.494396281666198</v>
      </c>
      <c r="P1301">
        <v>-7.7246610912840505E-2</v>
      </c>
      <c r="Q1301">
        <v>6.3385199265719297E-2</v>
      </c>
      <c r="R1301">
        <v>0.98995715711537702</v>
      </c>
      <c r="S1301" t="s">
        <v>7703</v>
      </c>
      <c r="T1301" t="s">
        <v>12802</v>
      </c>
      <c r="U1301" t="s">
        <v>12802</v>
      </c>
      <c r="V1301" t="s">
        <v>12802</v>
      </c>
      <c r="W1301" t="s">
        <v>14071</v>
      </c>
      <c r="X1301">
        <v>1</v>
      </c>
      <c r="Y1301" t="s">
        <v>20385</v>
      </c>
      <c r="Z1301" t="s">
        <v>26619</v>
      </c>
      <c r="AA1301">
        <v>0.52341056032120126</v>
      </c>
      <c r="AB1301" t="str">
        <f>HYPERLINK("Melting_Curves/meltCurve_K7EPJ5_MGRN1.pdf", "Melting_Curves/meltCurve_K7EPJ5_MGRN1.pdf")</f>
        <v>Melting_Curves/meltCurve_K7EPJ5_MGRN1.pdf</v>
      </c>
    </row>
    <row r="1302" spans="1:28" x14ac:dyDescent="0.25">
      <c r="A1302" t="s">
        <v>1306</v>
      </c>
      <c r="B1302">
        <v>0.99542014353169495</v>
      </c>
      <c r="C1302">
        <v>0.81971348568176094</v>
      </c>
      <c r="D1302">
        <v>0.74341730342363699</v>
      </c>
      <c r="E1302">
        <v>0.53660293569780504</v>
      </c>
      <c r="F1302">
        <v>0.32933422929217498</v>
      </c>
      <c r="G1302">
        <v>0.17890718063445099</v>
      </c>
      <c r="H1302">
        <v>0.13124783917864499</v>
      </c>
      <c r="I1302">
        <v>5.7442813072323601E-2</v>
      </c>
      <c r="J1302">
        <v>9.5532222157460794E-2</v>
      </c>
      <c r="K1302">
        <v>7.1726343226515193E-2</v>
      </c>
      <c r="L1302">
        <v>537.65064365201999</v>
      </c>
      <c r="M1302">
        <v>11.5361555894319</v>
      </c>
      <c r="N1302">
        <v>46.860225377922198</v>
      </c>
      <c r="O1302">
        <v>45.271239977984699</v>
      </c>
      <c r="P1302">
        <v>-6.1788462457018002E-2</v>
      </c>
      <c r="Q1302">
        <v>3.03680662061292E-2</v>
      </c>
      <c r="R1302">
        <v>0.992722961159618</v>
      </c>
      <c r="S1302" t="s">
        <v>7704</v>
      </c>
      <c r="T1302" t="s">
        <v>12802</v>
      </c>
      <c r="U1302" t="s">
        <v>12802</v>
      </c>
      <c r="V1302" t="s">
        <v>12802</v>
      </c>
      <c r="W1302" t="s">
        <v>14072</v>
      </c>
      <c r="X1302">
        <v>2</v>
      </c>
      <c r="Y1302" t="s">
        <v>20386</v>
      </c>
      <c r="Z1302" t="s">
        <v>26620</v>
      </c>
      <c r="AA1302">
        <v>0.37544138008802508</v>
      </c>
      <c r="AB1302" t="str">
        <f>HYPERLINK("Melting_Curves/meltCurve_K7EQ34_TMEM161A.pdf", "Melting_Curves/meltCurve_K7EQ34_TMEM161A.pdf")</f>
        <v>Melting_Curves/meltCurve_K7EQ34_TMEM161A.pdf</v>
      </c>
    </row>
    <row r="1303" spans="1:28" x14ac:dyDescent="0.25">
      <c r="A1303" t="s">
        <v>1307</v>
      </c>
      <c r="B1303">
        <v>0.99542014353169495</v>
      </c>
      <c r="C1303">
        <v>1.0799679981449399</v>
      </c>
      <c r="D1303">
        <v>1.0236492022516399</v>
      </c>
      <c r="E1303">
        <v>0.81130076354017999</v>
      </c>
      <c r="F1303">
        <v>0.58136984605324504</v>
      </c>
      <c r="G1303">
        <v>0.33389641732297998</v>
      </c>
      <c r="H1303">
        <v>0.20542913808411101</v>
      </c>
      <c r="I1303">
        <v>0.17651001573105499</v>
      </c>
      <c r="J1303">
        <v>0.19308728257555199</v>
      </c>
      <c r="K1303">
        <v>0.29931734694891998</v>
      </c>
      <c r="L1303">
        <v>1132.4296727962901</v>
      </c>
      <c r="M1303">
        <v>22.8044675318591</v>
      </c>
      <c r="N1303">
        <v>50.869590705507797</v>
      </c>
      <c r="O1303">
        <v>49.281122521664301</v>
      </c>
      <c r="P1303">
        <v>-9.1450059222519101E-2</v>
      </c>
      <c r="Q1303">
        <v>0.209510496256651</v>
      </c>
      <c r="R1303">
        <v>0.98160026312676796</v>
      </c>
      <c r="S1303" t="s">
        <v>7705</v>
      </c>
      <c r="T1303" t="s">
        <v>12802</v>
      </c>
      <c r="U1303" t="s">
        <v>12802</v>
      </c>
      <c r="V1303" t="s">
        <v>12802</v>
      </c>
      <c r="W1303" t="s">
        <v>14073</v>
      </c>
      <c r="X1303">
        <v>15</v>
      </c>
      <c r="Y1303" t="s">
        <v>20387</v>
      </c>
      <c r="Z1303" t="s">
        <v>26621</v>
      </c>
      <c r="AA1303">
        <v>0.55124853252659611</v>
      </c>
      <c r="AB1303" t="str">
        <f>HYPERLINK("Melting_Curves/meltCurve_K7EQ37_UNC13D.pdf", "Melting_Curves/meltCurve_K7EQ37_UNC13D.pdf")</f>
        <v>Melting_Curves/meltCurve_K7EQ37_UNC13D.pdf</v>
      </c>
    </row>
    <row r="1304" spans="1:28" x14ac:dyDescent="0.25">
      <c r="A1304" t="s">
        <v>1308</v>
      </c>
      <c r="B1304">
        <v>0.99542014353169495</v>
      </c>
      <c r="C1304">
        <v>0.97262648784287498</v>
      </c>
      <c r="D1304">
        <v>1.0408874450588801</v>
      </c>
      <c r="E1304">
        <v>0.89088527293481001</v>
      </c>
      <c r="F1304">
        <v>0.77654752674997096</v>
      </c>
      <c r="G1304">
        <v>0.42327247424876902</v>
      </c>
      <c r="H1304">
        <v>0.34573003837416599</v>
      </c>
      <c r="I1304">
        <v>0.28816987249084203</v>
      </c>
      <c r="J1304">
        <v>0.29995220090993202</v>
      </c>
      <c r="K1304">
        <v>0.38366673200360901</v>
      </c>
      <c r="L1304">
        <v>1500.7743793997799</v>
      </c>
      <c r="M1304">
        <v>29.373764006624</v>
      </c>
      <c r="N1304">
        <v>52.916696205265303</v>
      </c>
      <c r="O1304">
        <v>50.857270604649599</v>
      </c>
      <c r="P1304">
        <v>-9.8422153915281696E-2</v>
      </c>
      <c r="Q1304">
        <v>0.31837828728068301</v>
      </c>
      <c r="R1304">
        <v>0.98365950316614204</v>
      </c>
      <c r="S1304" t="s">
        <v>7706</v>
      </c>
      <c r="T1304" t="s">
        <v>12802</v>
      </c>
      <c r="U1304" t="s">
        <v>12802</v>
      </c>
      <c r="V1304" t="s">
        <v>12802</v>
      </c>
      <c r="W1304" t="s">
        <v>14074</v>
      </c>
      <c r="X1304">
        <v>3</v>
      </c>
      <c r="Y1304" t="s">
        <v>20388</v>
      </c>
      <c r="Z1304" t="s">
        <v>26622</v>
      </c>
      <c r="AA1304">
        <v>0.64299647778608571</v>
      </c>
      <c r="AB1304" t="str">
        <f>HYPERLINK("Melting_Curves/meltCurve_K7EQ77_NDUFA11.pdf", "Melting_Curves/meltCurve_K7EQ77_NDUFA11.pdf")</f>
        <v>Melting_Curves/meltCurve_K7EQ77_NDUFA11.pdf</v>
      </c>
    </row>
    <row r="1305" spans="1:28" x14ac:dyDescent="0.25">
      <c r="A1305" t="s">
        <v>1309</v>
      </c>
      <c r="B1305">
        <v>0.99542014353169495</v>
      </c>
      <c r="C1305">
        <v>0.86101801729982796</v>
      </c>
      <c r="D1305">
        <v>0.971875624404407</v>
      </c>
      <c r="E1305">
        <v>0.65090344586563298</v>
      </c>
      <c r="F1305">
        <v>0.60649994138014895</v>
      </c>
      <c r="G1305">
        <v>0.18693347892161599</v>
      </c>
      <c r="H1305">
        <v>8.2607058923741497E-2</v>
      </c>
      <c r="I1305">
        <v>6.5554855208570795E-2</v>
      </c>
      <c r="J1305">
        <v>9.3277440990601701E-2</v>
      </c>
      <c r="K1305">
        <v>0</v>
      </c>
      <c r="L1305">
        <v>730.92081638289903</v>
      </c>
      <c r="M1305">
        <v>14.6472933413096</v>
      </c>
      <c r="N1305">
        <v>49.901435324267098</v>
      </c>
      <c r="O1305">
        <v>48.998968575449297</v>
      </c>
      <c r="P1305">
        <v>-7.4740956655433899E-2</v>
      </c>
      <c r="Q1305">
        <v>0</v>
      </c>
      <c r="R1305">
        <v>0.96546823273751203</v>
      </c>
      <c r="S1305" t="s">
        <v>7707</v>
      </c>
      <c r="T1305" t="s">
        <v>12802</v>
      </c>
      <c r="U1305" t="s">
        <v>12802</v>
      </c>
      <c r="V1305" t="s">
        <v>12802</v>
      </c>
      <c r="W1305" t="s">
        <v>14075</v>
      </c>
      <c r="X1305">
        <v>1</v>
      </c>
      <c r="Y1305" t="s">
        <v>20389</v>
      </c>
      <c r="Z1305" t="s">
        <v>26623</v>
      </c>
      <c r="AA1305">
        <v>0.45175005901453552</v>
      </c>
      <c r="AB1305" t="str">
        <f>HYPERLINK("Melting_Curves/meltCurve_K7EQL1_FAM98C.pdf", "Melting_Curves/meltCurve_K7EQL1_FAM98C.pdf")</f>
        <v>Melting_Curves/meltCurve_K7EQL1_FAM98C.pdf</v>
      </c>
    </row>
    <row r="1306" spans="1:28" x14ac:dyDescent="0.25">
      <c r="A1306" t="s">
        <v>1310</v>
      </c>
      <c r="B1306">
        <v>0.99542014353169495</v>
      </c>
      <c r="C1306">
        <v>0.94305367723215205</v>
      </c>
      <c r="D1306">
        <v>1.01373845546214</v>
      </c>
      <c r="E1306">
        <v>0.69881838499766002</v>
      </c>
      <c r="F1306">
        <v>0.48111808088971703</v>
      </c>
      <c r="G1306">
        <v>0.17309643987634701</v>
      </c>
      <c r="H1306">
        <v>7.7219382988432894E-2</v>
      </c>
      <c r="I1306">
        <v>4.3405761784861198E-2</v>
      </c>
      <c r="J1306">
        <v>2.71339015988852E-2</v>
      </c>
      <c r="K1306">
        <v>3.1517690144813502E-2</v>
      </c>
      <c r="L1306">
        <v>905.80729206866204</v>
      </c>
      <c r="M1306">
        <v>18.325382902765899</v>
      </c>
      <c r="N1306">
        <v>49.501000011526003</v>
      </c>
      <c r="O1306">
        <v>48.851775613305598</v>
      </c>
      <c r="P1306">
        <v>-9.2553324073116394E-2</v>
      </c>
      <c r="Q1306">
        <v>1.3131383370591301E-2</v>
      </c>
      <c r="R1306">
        <v>0.99202450184261504</v>
      </c>
      <c r="S1306" t="s">
        <v>7708</v>
      </c>
      <c r="T1306" t="s">
        <v>12802</v>
      </c>
      <c r="U1306" t="s">
        <v>12802</v>
      </c>
      <c r="V1306" t="s">
        <v>12802</v>
      </c>
      <c r="W1306" t="s">
        <v>14076</v>
      </c>
      <c r="X1306">
        <v>1</v>
      </c>
      <c r="Y1306" t="s">
        <v>20390</v>
      </c>
      <c r="Z1306" t="s">
        <v>26624</v>
      </c>
      <c r="AA1306">
        <v>0.43716098609244752</v>
      </c>
      <c r="AB1306" t="str">
        <f>HYPERLINK("Melting_Curves/meltCurve_K7EQV2_POP4.pdf", "Melting_Curves/meltCurve_K7EQV2_POP4.pdf")</f>
        <v>Melting_Curves/meltCurve_K7EQV2_POP4.pdf</v>
      </c>
    </row>
    <row r="1307" spans="1:28" x14ac:dyDescent="0.25">
      <c r="A1307" t="s">
        <v>1311</v>
      </c>
      <c r="B1307">
        <v>0.99542014353169495</v>
      </c>
      <c r="C1307">
        <v>1.1418032189918099</v>
      </c>
      <c r="D1307">
        <v>0.95364268633038496</v>
      </c>
      <c r="E1307">
        <v>0.85635123757221898</v>
      </c>
      <c r="F1307">
        <v>0.78123774653331002</v>
      </c>
      <c r="G1307">
        <v>0.52952138991821796</v>
      </c>
      <c r="H1307">
        <v>0.376191753349924</v>
      </c>
      <c r="I1307">
        <v>0.28305487602332602</v>
      </c>
      <c r="J1307">
        <v>0.36863762503531</v>
      </c>
      <c r="K1307">
        <v>0.47652455256350601</v>
      </c>
      <c r="L1307">
        <v>1098.8021010852799</v>
      </c>
      <c r="M1307">
        <v>21.527488649734501</v>
      </c>
      <c r="N1307">
        <v>54.2622623839234</v>
      </c>
      <c r="O1307">
        <v>50.607500095117302</v>
      </c>
      <c r="P1307">
        <v>-6.7993159514831994E-2</v>
      </c>
      <c r="Q1307">
        <v>0.36065374649216703</v>
      </c>
      <c r="R1307">
        <v>0.93793580116846098</v>
      </c>
      <c r="S1307" t="s">
        <v>7709</v>
      </c>
      <c r="T1307" t="s">
        <v>12802</v>
      </c>
      <c r="U1307" t="s">
        <v>12802</v>
      </c>
      <c r="V1307" t="s">
        <v>12802</v>
      </c>
      <c r="W1307" t="s">
        <v>14077</v>
      </c>
      <c r="X1307">
        <v>5</v>
      </c>
      <c r="Y1307" t="s">
        <v>20391</v>
      </c>
      <c r="Z1307" t="s">
        <v>26625</v>
      </c>
      <c r="AA1307">
        <v>0.6672901937966017</v>
      </c>
      <c r="AB1307" t="str">
        <f>HYPERLINK("Melting_Curves/meltCurve_K7EQW8_TPM4.pdf", "Melting_Curves/meltCurve_K7EQW8_TPM4.pdf")</f>
        <v>Melting_Curves/meltCurve_K7EQW8_TPM4.pdf</v>
      </c>
    </row>
    <row r="1308" spans="1:28" x14ac:dyDescent="0.25">
      <c r="A1308" t="s">
        <v>1312</v>
      </c>
      <c r="B1308">
        <v>0.99542014353169495</v>
      </c>
      <c r="C1308">
        <v>1.08979794653008</v>
      </c>
      <c r="D1308">
        <v>1.11516579038976</v>
      </c>
      <c r="E1308">
        <v>0.986612424132566</v>
      </c>
      <c r="F1308">
        <v>0.78763672463115897</v>
      </c>
      <c r="G1308">
        <v>0.57263001401404001</v>
      </c>
      <c r="H1308">
        <v>0.41952483270596802</v>
      </c>
      <c r="I1308">
        <v>0.41963597750682902</v>
      </c>
      <c r="J1308">
        <v>0.47296148718664799</v>
      </c>
      <c r="K1308">
        <v>0.702891404837095</v>
      </c>
      <c r="L1308">
        <v>2059.0640972134502</v>
      </c>
      <c r="M1308">
        <v>40.702746568284901</v>
      </c>
      <c r="O1308">
        <v>50.466179037291703</v>
      </c>
      <c r="P1308">
        <v>-9.9192103693687195E-2</v>
      </c>
      <c r="Q1308">
        <v>0.50805895272411405</v>
      </c>
      <c r="R1308">
        <v>0.88816358840777099</v>
      </c>
      <c r="S1308" t="s">
        <v>7710</v>
      </c>
      <c r="T1308" t="s">
        <v>12802</v>
      </c>
      <c r="U1308" t="s">
        <v>12802</v>
      </c>
      <c r="V1308" t="s">
        <v>12802</v>
      </c>
      <c r="W1308" t="s">
        <v>14078</v>
      </c>
      <c r="X1308">
        <v>1</v>
      </c>
      <c r="Y1308" t="s">
        <v>20392</v>
      </c>
      <c r="Z1308" t="s">
        <v>26626</v>
      </c>
      <c r="AA1308">
        <v>0.73253235784787474</v>
      </c>
      <c r="AB1308" t="str">
        <f>HYPERLINK("Melting_Curves/meltCurve_K7EQX8_MXRA7.pdf", "Melting_Curves/meltCurve_K7EQX8_MXRA7.pdf")</f>
        <v>Melting_Curves/meltCurve_K7EQX8_MXRA7.pdf</v>
      </c>
    </row>
    <row r="1309" spans="1:28" x14ac:dyDescent="0.25">
      <c r="A1309" t="s">
        <v>1313</v>
      </c>
      <c r="B1309">
        <v>0.99542014353169495</v>
      </c>
      <c r="C1309">
        <v>0.89732743312896601</v>
      </c>
      <c r="D1309">
        <v>0.87439230833693105</v>
      </c>
      <c r="E1309">
        <v>0.65573960493795802</v>
      </c>
      <c r="F1309">
        <v>0.15652148135090799</v>
      </c>
      <c r="G1309">
        <v>6.24892178324137E-2</v>
      </c>
      <c r="H1309">
        <v>3.5433096047169398E-2</v>
      </c>
      <c r="I1309">
        <v>2.3693754900197699E-2</v>
      </c>
      <c r="J1309">
        <v>2.1313867129650998E-2</v>
      </c>
      <c r="K1309">
        <v>2.5361805844760599E-2</v>
      </c>
      <c r="L1309">
        <v>1235.5346539044101</v>
      </c>
      <c r="M1309">
        <v>26.0936242866768</v>
      </c>
      <c r="N1309">
        <v>47.416829388366097</v>
      </c>
      <c r="O1309">
        <v>47.074591059627402</v>
      </c>
      <c r="P1309">
        <v>-0.136077880331544</v>
      </c>
      <c r="Q1309">
        <v>1.8038040671179E-2</v>
      </c>
      <c r="R1309">
        <v>0.98964757730772401</v>
      </c>
      <c r="S1309" t="s">
        <v>7711</v>
      </c>
      <c r="T1309" t="s">
        <v>12802</v>
      </c>
      <c r="U1309" t="s">
        <v>12802</v>
      </c>
      <c r="V1309" t="s">
        <v>12802</v>
      </c>
      <c r="W1309" t="s">
        <v>14079</v>
      </c>
      <c r="X1309">
        <v>20</v>
      </c>
      <c r="Y1309" t="s">
        <v>20393</v>
      </c>
      <c r="Z1309" t="s">
        <v>26627</v>
      </c>
      <c r="AA1309">
        <v>0.36442441725559871</v>
      </c>
      <c r="AB1309" t="str">
        <f>HYPERLINK("Melting_Curves/meltCurve_K7ER00_FARSA.pdf", "Melting_Curves/meltCurve_K7ER00_FARSA.pdf")</f>
        <v>Melting_Curves/meltCurve_K7ER00_FARSA.pdf</v>
      </c>
    </row>
    <row r="1310" spans="1:28" x14ac:dyDescent="0.25">
      <c r="A1310" t="s">
        <v>1314</v>
      </c>
      <c r="B1310">
        <v>0.99542014353169495</v>
      </c>
      <c r="C1310">
        <v>0.90059867326335097</v>
      </c>
      <c r="D1310">
        <v>0.92770679512399901</v>
      </c>
      <c r="E1310">
        <v>0.84249553875371797</v>
      </c>
      <c r="F1310">
        <v>0.39318599790382402</v>
      </c>
      <c r="G1310">
        <v>0.17700171985334001</v>
      </c>
      <c r="H1310">
        <v>0.13990260972905</v>
      </c>
      <c r="I1310">
        <v>0.130833105445369</v>
      </c>
      <c r="J1310">
        <v>0.11228206134982099</v>
      </c>
      <c r="K1310">
        <v>0.10506391412625</v>
      </c>
      <c r="L1310">
        <v>1378.3120658186499</v>
      </c>
      <c r="M1310">
        <v>28.194058911188002</v>
      </c>
      <c r="N1310">
        <v>49.349552346202003</v>
      </c>
      <c r="O1310">
        <v>48.642665667712798</v>
      </c>
      <c r="P1310">
        <v>-0.12806739429676001</v>
      </c>
      <c r="Q1310">
        <v>0.116198708671426</v>
      </c>
      <c r="R1310">
        <v>0.990347035746448</v>
      </c>
      <c r="S1310" t="s">
        <v>7712</v>
      </c>
      <c r="T1310" t="s">
        <v>12802</v>
      </c>
      <c r="U1310" t="s">
        <v>12802</v>
      </c>
      <c r="V1310" t="s">
        <v>12802</v>
      </c>
      <c r="W1310" t="s">
        <v>14080</v>
      </c>
      <c r="X1310">
        <v>1</v>
      </c>
      <c r="Y1310" t="s">
        <v>20394</v>
      </c>
      <c r="Z1310" t="s">
        <v>26628</v>
      </c>
      <c r="AA1310">
        <v>0.47239830457309467</v>
      </c>
      <c r="AB1310" t="str">
        <f>HYPERLINK("Melting_Curves/meltCurve_K7ER89_ERCC1.pdf", "Melting_Curves/meltCurve_K7ER89_ERCC1.pdf")</f>
        <v>Melting_Curves/meltCurve_K7ER89_ERCC1.pdf</v>
      </c>
    </row>
    <row r="1311" spans="1:28" x14ac:dyDescent="0.25">
      <c r="A1311" t="s">
        <v>1315</v>
      </c>
      <c r="B1311">
        <v>0.99542014353169495</v>
      </c>
      <c r="C1311">
        <v>0.84339018692082701</v>
      </c>
      <c r="D1311">
        <v>0.44085748979936501</v>
      </c>
      <c r="E1311">
        <v>0.35140869142907899</v>
      </c>
      <c r="F1311">
        <v>0.380874921186247</v>
      </c>
      <c r="G1311">
        <v>7.2146221385135198E-2</v>
      </c>
      <c r="H1311">
        <v>0.24341006945888499</v>
      </c>
      <c r="I1311">
        <v>0.21585565641328699</v>
      </c>
      <c r="J1311">
        <v>0.32874184297171499</v>
      </c>
      <c r="K1311">
        <v>0.25333171917882302</v>
      </c>
      <c r="L1311">
        <v>1147.99686056461</v>
      </c>
      <c r="M1311">
        <v>27.5680885223038</v>
      </c>
      <c r="N1311">
        <v>42.740372365006799</v>
      </c>
      <c r="O1311">
        <v>41.424970410946898</v>
      </c>
      <c r="P1311">
        <v>-0.124155736997986</v>
      </c>
      <c r="Q1311">
        <v>0.25376026348686898</v>
      </c>
      <c r="R1311">
        <v>0.91901207906960403</v>
      </c>
      <c r="S1311" t="s">
        <v>7713</v>
      </c>
      <c r="T1311" t="s">
        <v>12802</v>
      </c>
      <c r="U1311" t="s">
        <v>12802</v>
      </c>
      <c r="V1311" t="s">
        <v>12802</v>
      </c>
      <c r="W1311" t="s">
        <v>14081</v>
      </c>
      <c r="X1311">
        <v>1</v>
      </c>
      <c r="Y1311" t="s">
        <v>20395</v>
      </c>
      <c r="Z1311" t="s">
        <v>26629</v>
      </c>
      <c r="AA1311">
        <v>0.37466453873098682</v>
      </c>
      <c r="AB1311" t="str">
        <f>HYPERLINK("Melting_Curves/meltCurve_K7ER93_C19orf55.pdf", "Melting_Curves/meltCurve_K7ER93_C19orf55.pdf")</f>
        <v>Melting_Curves/meltCurve_K7ER93_C19orf55.pdf</v>
      </c>
    </row>
    <row r="1312" spans="1:28" x14ac:dyDescent="0.25">
      <c r="A1312" t="s">
        <v>1316</v>
      </c>
      <c r="B1312">
        <v>0.99542014353169495</v>
      </c>
      <c r="C1312">
        <v>0.92595057402135095</v>
      </c>
      <c r="D1312">
        <v>0.80933381595347298</v>
      </c>
      <c r="E1312">
        <v>0.53439810257547604</v>
      </c>
      <c r="F1312">
        <v>0.676046254093006</v>
      </c>
      <c r="G1312">
        <v>0.28700651060481802</v>
      </c>
      <c r="H1312">
        <v>8.5833038068045403E-2</v>
      </c>
      <c r="I1312">
        <v>5.2721109798861299E-2</v>
      </c>
      <c r="J1312">
        <v>4.65397976967983E-2</v>
      </c>
      <c r="K1312">
        <v>4.5412996096278101E-2</v>
      </c>
      <c r="L1312">
        <v>553.27178973662399</v>
      </c>
      <c r="M1312">
        <v>11.1880063684864</v>
      </c>
      <c r="N1312">
        <v>49.452245261359799</v>
      </c>
      <c r="O1312">
        <v>47.951240550666</v>
      </c>
      <c r="P1312">
        <v>-5.8348554857297903E-2</v>
      </c>
      <c r="Q1312">
        <v>0</v>
      </c>
      <c r="R1312">
        <v>0.94275300645176097</v>
      </c>
      <c r="S1312" t="s">
        <v>7714</v>
      </c>
      <c r="T1312" t="s">
        <v>12802</v>
      </c>
      <c r="U1312" t="s">
        <v>12802</v>
      </c>
      <c r="V1312" t="s">
        <v>12802</v>
      </c>
      <c r="W1312" t="s">
        <v>14082</v>
      </c>
      <c r="X1312">
        <v>8</v>
      </c>
      <c r="Y1312" t="s">
        <v>20396</v>
      </c>
      <c r="Z1312" t="s">
        <v>26630</v>
      </c>
      <c r="AA1312">
        <v>0.44660842111692639</v>
      </c>
      <c r="AB1312" t="str">
        <f>HYPERLINK("Melting_Curves/meltCurve_K7ERF1_EIF3K.pdf", "Melting_Curves/meltCurve_K7ERF1_EIF3K.pdf")</f>
        <v>Melting_Curves/meltCurve_K7ERF1_EIF3K.pdf</v>
      </c>
    </row>
    <row r="1313" spans="1:28" x14ac:dyDescent="0.25">
      <c r="A1313" t="s">
        <v>1317</v>
      </c>
      <c r="B1313">
        <v>0.99542014353169495</v>
      </c>
      <c r="C1313">
        <v>1.0180989998363701</v>
      </c>
      <c r="D1313">
        <v>0.98407992271003997</v>
      </c>
      <c r="E1313">
        <v>0.69608399712551094</v>
      </c>
      <c r="F1313">
        <v>0.62732185327615997</v>
      </c>
      <c r="G1313">
        <v>0.39028067418587398</v>
      </c>
      <c r="H1313">
        <v>0.285155988117688</v>
      </c>
      <c r="I1313">
        <v>0.119916680808641</v>
      </c>
      <c r="J1313">
        <v>8.8390758650321199E-2</v>
      </c>
      <c r="K1313">
        <v>7.3719965791630399E-2</v>
      </c>
      <c r="L1313">
        <v>603.14359886790999</v>
      </c>
      <c r="M1313">
        <v>11.6268308903731</v>
      </c>
      <c r="N1313">
        <v>51.875150186473903</v>
      </c>
      <c r="O1313">
        <v>50.4118384479859</v>
      </c>
      <c r="P1313">
        <v>-5.7674940722356502E-2</v>
      </c>
      <c r="Q1313">
        <v>0</v>
      </c>
      <c r="R1313">
        <v>0.98595831358865205</v>
      </c>
      <c r="S1313" t="s">
        <v>7715</v>
      </c>
      <c r="T1313" t="s">
        <v>12802</v>
      </c>
      <c r="U1313" t="s">
        <v>12802</v>
      </c>
      <c r="V1313" t="s">
        <v>12802</v>
      </c>
      <c r="W1313" t="s">
        <v>14083</v>
      </c>
      <c r="X1313">
        <v>2</v>
      </c>
      <c r="Y1313" t="s">
        <v>20397</v>
      </c>
      <c r="Z1313" t="s">
        <v>26631</v>
      </c>
      <c r="AA1313">
        <v>0.52050443425706294</v>
      </c>
      <c r="AB1313" t="str">
        <f>HYPERLINK("Melting_Curves/meltCurve_K7ERQ0_YIF1B.pdf", "Melting_Curves/meltCurve_K7ERQ0_YIF1B.pdf")</f>
        <v>Melting_Curves/meltCurve_K7ERQ0_YIF1B.pdf</v>
      </c>
    </row>
    <row r="1314" spans="1:28" x14ac:dyDescent="0.25">
      <c r="A1314" t="s">
        <v>1318</v>
      </c>
      <c r="B1314">
        <v>0.99542014353169495</v>
      </c>
      <c r="C1314">
        <v>0.95760627278654398</v>
      </c>
      <c r="D1314">
        <v>0.78920021062946499</v>
      </c>
      <c r="E1314">
        <v>0.74545152713275697</v>
      </c>
      <c r="F1314">
        <v>0.48572438278269497</v>
      </c>
      <c r="G1314">
        <v>0.38898499760793398</v>
      </c>
      <c r="H1314">
        <v>0.21918529308677601</v>
      </c>
      <c r="I1314">
        <v>0.20520603424563599</v>
      </c>
      <c r="J1314">
        <v>0.31140133543654502</v>
      </c>
      <c r="K1314">
        <v>0.45881326023339902</v>
      </c>
      <c r="L1314">
        <v>741.204785024741</v>
      </c>
      <c r="M1314">
        <v>15.7321203148243</v>
      </c>
      <c r="N1314">
        <v>49.839579743262199</v>
      </c>
      <c r="O1314">
        <v>46.372559291008301</v>
      </c>
      <c r="P1314">
        <v>-6.0351351373568798E-2</v>
      </c>
      <c r="Q1314">
        <v>0.28848444730206602</v>
      </c>
      <c r="R1314">
        <v>0.92183768085628004</v>
      </c>
      <c r="S1314" t="s">
        <v>7716</v>
      </c>
      <c r="T1314" t="s">
        <v>12802</v>
      </c>
      <c r="U1314" t="s">
        <v>12802</v>
      </c>
      <c r="V1314" t="s">
        <v>12802</v>
      </c>
      <c r="W1314" t="s">
        <v>13086</v>
      </c>
      <c r="X1314">
        <v>1</v>
      </c>
      <c r="Z1314" t="s">
        <v>26632</v>
      </c>
      <c r="AA1314">
        <v>0.54302828034300399</v>
      </c>
      <c r="AB1314" t="str">
        <f>HYPERLINK("Melting_Curves/meltCurve_K7ERU9_.pdf", "Melting_Curves/meltCurve_K7ERU9_.pdf")</f>
        <v>Melting_Curves/meltCurve_K7ERU9_.pdf</v>
      </c>
    </row>
    <row r="1315" spans="1:28" x14ac:dyDescent="0.25">
      <c r="A1315" t="s">
        <v>1319</v>
      </c>
      <c r="B1315">
        <v>0.99542014353169495</v>
      </c>
      <c r="C1315">
        <v>1.1127791534462701</v>
      </c>
      <c r="D1315">
        <v>1.10229869344791</v>
      </c>
      <c r="E1315">
        <v>1.01719062077102</v>
      </c>
      <c r="F1315">
        <v>0.94930203559735604</v>
      </c>
      <c r="G1315">
        <v>0.72781953962058399</v>
      </c>
      <c r="H1315">
        <v>0.61083856638734901</v>
      </c>
      <c r="I1315">
        <v>0.51040868746972001</v>
      </c>
      <c r="J1315">
        <v>0.55370046575098997</v>
      </c>
      <c r="K1315">
        <v>0.61159991064444597</v>
      </c>
      <c r="L1315">
        <v>1904.1999083564001</v>
      </c>
      <c r="M1315">
        <v>35.865686073412803</v>
      </c>
      <c r="O1315">
        <v>52.928284632659903</v>
      </c>
      <c r="P1315">
        <v>-7.4078101966140605E-2</v>
      </c>
      <c r="Q1315">
        <v>0.56272252746734797</v>
      </c>
      <c r="R1315">
        <v>0.94222970556929597</v>
      </c>
      <c r="S1315" t="s">
        <v>7717</v>
      </c>
      <c r="T1315" t="s">
        <v>12802</v>
      </c>
      <c r="U1315" t="s">
        <v>12802</v>
      </c>
      <c r="V1315" t="s">
        <v>12802</v>
      </c>
      <c r="W1315" t="s">
        <v>14084</v>
      </c>
      <c r="X1315">
        <v>16</v>
      </c>
      <c r="Y1315" t="s">
        <v>20398</v>
      </c>
      <c r="Z1315" t="s">
        <v>26633</v>
      </c>
      <c r="AA1315">
        <v>0.7992651813119056</v>
      </c>
      <c r="AB1315" t="str">
        <f>HYPERLINK("Melting_Curves/meltCurve_K7ERV3_TK1.pdf", "Melting_Curves/meltCurve_K7ERV3_TK1.pdf")</f>
        <v>Melting_Curves/meltCurve_K7ERV3_TK1.pdf</v>
      </c>
    </row>
    <row r="1316" spans="1:28" x14ac:dyDescent="0.25">
      <c r="A1316" t="s">
        <v>1320</v>
      </c>
      <c r="B1316">
        <v>0.99542014353169495</v>
      </c>
      <c r="C1316">
        <v>0.68812417590461095</v>
      </c>
      <c r="D1316">
        <v>0.67791288491719404</v>
      </c>
      <c r="E1316">
        <v>0.68073095944885498</v>
      </c>
      <c r="F1316">
        <v>0.35885678583386799</v>
      </c>
      <c r="G1316">
        <v>0.23683172258458399</v>
      </c>
      <c r="H1316">
        <v>0.248186118314878</v>
      </c>
      <c r="I1316">
        <v>0.37917955189618102</v>
      </c>
      <c r="J1316">
        <v>1.00798553929537</v>
      </c>
      <c r="K1316">
        <v>0.56490713859191699</v>
      </c>
      <c r="L1316">
        <v>736.29762894866701</v>
      </c>
      <c r="M1316">
        <v>18.133492009341701</v>
      </c>
      <c r="N1316">
        <v>50.849524832684303</v>
      </c>
      <c r="O1316">
        <v>40.1201452097622</v>
      </c>
      <c r="P1316">
        <v>-5.7963457412869603E-2</v>
      </c>
      <c r="Q1316">
        <v>0.48705061729396099</v>
      </c>
      <c r="R1316">
        <v>0.32958284704442697</v>
      </c>
      <c r="S1316" t="s">
        <v>7718</v>
      </c>
      <c r="T1316" t="s">
        <v>12802</v>
      </c>
      <c r="U1316" t="s">
        <v>12802</v>
      </c>
      <c r="V1316" t="s">
        <v>12802</v>
      </c>
      <c r="W1316" t="s">
        <v>14085</v>
      </c>
      <c r="X1316">
        <v>5</v>
      </c>
      <c r="Y1316" t="s">
        <v>20399</v>
      </c>
      <c r="Z1316" t="s">
        <v>26634</v>
      </c>
      <c r="AA1316">
        <v>0.56040613077519452</v>
      </c>
      <c r="AB1316" t="str">
        <f>HYPERLINK("Melting_Curves/meltCurve_K7ES02_BLMH.pdf", "Melting_Curves/meltCurve_K7ES02_BLMH.pdf")</f>
        <v>Melting_Curves/meltCurve_K7ES02_BLMH.pdf</v>
      </c>
    </row>
    <row r="1317" spans="1:28" x14ac:dyDescent="0.25">
      <c r="A1317" t="s">
        <v>1321</v>
      </c>
      <c r="B1317">
        <v>0.99542014353169495</v>
      </c>
      <c r="C1317">
        <v>1.18271337986117</v>
      </c>
      <c r="D1317">
        <v>1.08099251314338</v>
      </c>
      <c r="E1317">
        <v>0.83534041607630505</v>
      </c>
      <c r="F1317">
        <v>0.46119721604513603</v>
      </c>
      <c r="G1317">
        <v>0.157144260162907</v>
      </c>
      <c r="H1317">
        <v>4.6255469377515901E-2</v>
      </c>
      <c r="I1317">
        <v>3.7014849940025601E-2</v>
      </c>
      <c r="J1317">
        <v>0</v>
      </c>
      <c r="K1317">
        <v>0</v>
      </c>
      <c r="L1317">
        <v>1273.8335750038</v>
      </c>
      <c r="M1317">
        <v>25.542797849451301</v>
      </c>
      <c r="N1317">
        <v>49.914214555332698</v>
      </c>
      <c r="O1317">
        <v>49.567872638948103</v>
      </c>
      <c r="P1317">
        <v>-0.12740580615536101</v>
      </c>
      <c r="Q1317">
        <v>1.10465283425881E-2</v>
      </c>
      <c r="R1317">
        <v>0.979561787281652</v>
      </c>
      <c r="S1317" t="s">
        <v>7719</v>
      </c>
      <c r="T1317" t="s">
        <v>12802</v>
      </c>
      <c r="U1317" t="s">
        <v>12802</v>
      </c>
      <c r="V1317" t="s">
        <v>12802</v>
      </c>
      <c r="W1317" t="s">
        <v>14086</v>
      </c>
      <c r="X1317">
        <v>20</v>
      </c>
      <c r="Y1317" t="s">
        <v>20400</v>
      </c>
      <c r="Z1317" t="s">
        <v>26635</v>
      </c>
      <c r="AA1317">
        <v>0.44361438111766383</v>
      </c>
      <c r="AB1317" t="str">
        <f>HYPERLINK("Melting_Curves/meltCurve_K7ES11_UBE2O.pdf", "Melting_Curves/meltCurve_K7ES11_UBE2O.pdf")</f>
        <v>Melting_Curves/meltCurve_K7ES11_UBE2O.pdf</v>
      </c>
    </row>
    <row r="1318" spans="1:28" x14ac:dyDescent="0.25">
      <c r="A1318" t="s">
        <v>1322</v>
      </c>
      <c r="B1318">
        <v>0.99542014353169495</v>
      </c>
      <c r="C1318">
        <v>1.0495860608231999</v>
      </c>
      <c r="D1318">
        <v>1.0092241014668299</v>
      </c>
      <c r="E1318">
        <v>0.95944911320369097</v>
      </c>
      <c r="F1318">
        <v>0.57626819425085596</v>
      </c>
      <c r="G1318">
        <v>0.16183334424648599</v>
      </c>
      <c r="H1318">
        <v>8.94025501807965E-2</v>
      </c>
      <c r="I1318">
        <v>3.9076244439215098E-2</v>
      </c>
      <c r="J1318">
        <v>5.8321394548203301E-2</v>
      </c>
      <c r="K1318">
        <v>0</v>
      </c>
      <c r="L1318">
        <v>1640.9139059101699</v>
      </c>
      <c r="M1318">
        <v>32.4263266152551</v>
      </c>
      <c r="N1318">
        <v>50.734030394905297</v>
      </c>
      <c r="O1318">
        <v>50.4130605368969</v>
      </c>
      <c r="P1318">
        <v>-0.15440953621237299</v>
      </c>
      <c r="Q1318">
        <v>3.9765148670365499E-2</v>
      </c>
      <c r="R1318">
        <v>0.99708989488653699</v>
      </c>
      <c r="S1318" t="s">
        <v>7720</v>
      </c>
      <c r="T1318" t="s">
        <v>12802</v>
      </c>
      <c r="U1318" t="s">
        <v>12802</v>
      </c>
      <c r="V1318" t="s">
        <v>12802</v>
      </c>
      <c r="W1318" t="s">
        <v>14087</v>
      </c>
      <c r="X1318">
        <v>1</v>
      </c>
      <c r="Y1318" t="s">
        <v>20401</v>
      </c>
      <c r="Z1318" t="s">
        <v>26636</v>
      </c>
      <c r="AA1318">
        <v>0.48031403940991169</v>
      </c>
      <c r="AB1318" t="str">
        <f>HYPERLINK("Melting_Curves/meltCurve_K7ES84_FAM86A.pdf", "Melting_Curves/meltCurve_K7ES84_FAM86A.pdf")</f>
        <v>Melting_Curves/meltCurve_K7ES84_FAM86A.pdf</v>
      </c>
    </row>
    <row r="1319" spans="1:28" x14ac:dyDescent="0.25">
      <c r="A1319" t="s">
        <v>1323</v>
      </c>
      <c r="B1319">
        <v>0.99542014353169495</v>
      </c>
      <c r="C1319">
        <v>0.98617414502190304</v>
      </c>
      <c r="D1319">
        <v>0.89680900859181101</v>
      </c>
      <c r="E1319">
        <v>0.61839145604621204</v>
      </c>
      <c r="F1319">
        <v>0.48567043189078901</v>
      </c>
      <c r="G1319">
        <v>0.28403334854232198</v>
      </c>
      <c r="H1319">
        <v>0.109379925598382</v>
      </c>
      <c r="I1319">
        <v>0.14816116548893399</v>
      </c>
      <c r="J1319">
        <v>0</v>
      </c>
      <c r="K1319">
        <v>0</v>
      </c>
      <c r="L1319">
        <v>630.42163194491002</v>
      </c>
      <c r="M1319">
        <v>12.7547032538344</v>
      </c>
      <c r="N1319">
        <v>49.426579161198703</v>
      </c>
      <c r="O1319">
        <v>48.258877502364001</v>
      </c>
      <c r="P1319">
        <v>-6.6086962996663501E-2</v>
      </c>
      <c r="Q1319">
        <v>0</v>
      </c>
      <c r="R1319">
        <v>0.98810008688124196</v>
      </c>
      <c r="S1319" t="s">
        <v>7721</v>
      </c>
      <c r="T1319" t="s">
        <v>12802</v>
      </c>
      <c r="U1319" t="s">
        <v>12802</v>
      </c>
      <c r="V1319" t="s">
        <v>12802</v>
      </c>
      <c r="W1319" t="s">
        <v>14088</v>
      </c>
      <c r="X1319">
        <v>2</v>
      </c>
      <c r="Y1319" t="s">
        <v>20402</v>
      </c>
      <c r="Z1319" t="s">
        <v>26637</v>
      </c>
      <c r="AA1319">
        <v>0.44102076165773829</v>
      </c>
      <c r="AB1319" t="str">
        <f>HYPERLINK("Melting_Curves/meltCurve_K7ESB7_DOCK6.pdf", "Melting_Curves/meltCurve_K7ESB7_DOCK6.pdf")</f>
        <v>Melting_Curves/meltCurve_K7ESB7_DOCK6.pdf</v>
      </c>
    </row>
    <row r="1320" spans="1:28" x14ac:dyDescent="0.25">
      <c r="A1320" t="s">
        <v>1324</v>
      </c>
      <c r="B1320">
        <v>0.99542014353169495</v>
      </c>
      <c r="C1320">
        <v>1.04290419853755</v>
      </c>
      <c r="D1320">
        <v>1.0337701441112299</v>
      </c>
      <c r="E1320">
        <v>0.95241005364585796</v>
      </c>
      <c r="F1320">
        <v>0.78001495587319603</v>
      </c>
      <c r="G1320">
        <v>0.549032174055894</v>
      </c>
      <c r="H1320">
        <v>0.33539655874743501</v>
      </c>
      <c r="I1320">
        <v>0.20680081903077899</v>
      </c>
      <c r="J1320">
        <v>0.168996188195258</v>
      </c>
      <c r="K1320">
        <v>0.14373011891850199</v>
      </c>
      <c r="L1320">
        <v>956.18105588563105</v>
      </c>
      <c r="M1320">
        <v>17.844865219720099</v>
      </c>
      <c r="N1320">
        <v>54.438264005574297</v>
      </c>
      <c r="O1320">
        <v>52.923669555167798</v>
      </c>
      <c r="P1320">
        <v>-7.3994395223331094E-2</v>
      </c>
      <c r="Q1320">
        <v>0.122244980220343</v>
      </c>
      <c r="R1320">
        <v>0.99657383261599897</v>
      </c>
      <c r="S1320" t="s">
        <v>7722</v>
      </c>
      <c r="T1320" t="s">
        <v>12802</v>
      </c>
      <c r="U1320" t="s">
        <v>12802</v>
      </c>
      <c r="V1320" t="s">
        <v>12802</v>
      </c>
      <c r="W1320" t="s">
        <v>14089</v>
      </c>
      <c r="X1320">
        <v>9</v>
      </c>
      <c r="Y1320" t="s">
        <v>20403</v>
      </c>
      <c r="Z1320" t="s">
        <v>26638</v>
      </c>
      <c r="AA1320">
        <v>0.61993431789120035</v>
      </c>
      <c r="AB1320" t="str">
        <f>HYPERLINK("Melting_Curves/meltCurve_K7ESE3_RAD23A.pdf", "Melting_Curves/meltCurve_K7ESE3_RAD23A.pdf")</f>
        <v>Melting_Curves/meltCurve_K7ESE3_RAD23A.pdf</v>
      </c>
    </row>
    <row r="1321" spans="1:28" x14ac:dyDescent="0.25">
      <c r="A1321" t="s">
        <v>1325</v>
      </c>
      <c r="B1321">
        <v>0.99542014353169495</v>
      </c>
      <c r="C1321">
        <v>0.97790475960776602</v>
      </c>
      <c r="D1321">
        <v>1.00608562065414</v>
      </c>
      <c r="E1321">
        <v>0.77999764870826305</v>
      </c>
      <c r="F1321">
        <v>0.82493229936670398</v>
      </c>
      <c r="G1321">
        <v>0.560929751703233</v>
      </c>
      <c r="H1321">
        <v>0.37049597439366799</v>
      </c>
      <c r="I1321">
        <v>0.33965333640465201</v>
      </c>
      <c r="J1321">
        <v>0.17471710018064701</v>
      </c>
      <c r="K1321">
        <v>0.364245446587105</v>
      </c>
      <c r="L1321">
        <v>758.10627334320304</v>
      </c>
      <c r="M1321">
        <v>14.409550820412701</v>
      </c>
      <c r="N1321">
        <v>54.949834306139202</v>
      </c>
      <c r="O1321">
        <v>51.629213552024702</v>
      </c>
      <c r="P1321">
        <v>-5.37885291296403E-2</v>
      </c>
      <c r="Q1321">
        <v>0.229196871027636</v>
      </c>
      <c r="R1321">
        <v>0.948847875039179</v>
      </c>
      <c r="S1321" t="s">
        <v>7723</v>
      </c>
      <c r="T1321" t="s">
        <v>12802</v>
      </c>
      <c r="U1321" t="s">
        <v>12802</v>
      </c>
      <c r="V1321" t="s">
        <v>12802</v>
      </c>
      <c r="W1321" t="s">
        <v>14090</v>
      </c>
      <c r="X1321">
        <v>1</v>
      </c>
      <c r="Y1321" t="s">
        <v>20404</v>
      </c>
      <c r="Z1321" t="s">
        <v>26639</v>
      </c>
      <c r="AA1321">
        <v>0.64506328995760753</v>
      </c>
      <c r="AB1321" t="str">
        <f>HYPERLINK("Melting_Curves/meltCurve_K7ESE6_G6PC3.pdf", "Melting_Curves/meltCurve_K7ESE6_G6PC3.pdf")</f>
        <v>Melting_Curves/meltCurve_K7ESE6_G6PC3.pdf</v>
      </c>
    </row>
    <row r="1322" spans="1:28" x14ac:dyDescent="0.25">
      <c r="A1322" t="s">
        <v>1326</v>
      </c>
      <c r="B1322">
        <v>0.99542014353169495</v>
      </c>
      <c r="C1322">
        <v>0.97145671074437101</v>
      </c>
      <c r="D1322">
        <v>0.85869629863998398</v>
      </c>
      <c r="E1322">
        <v>0.605833912909571</v>
      </c>
      <c r="F1322">
        <v>0.28068723380709398</v>
      </c>
      <c r="G1322">
        <v>0.132600336733183</v>
      </c>
      <c r="H1322">
        <v>8.0657645627798299E-2</v>
      </c>
      <c r="I1322">
        <v>6.8341484449113005E-2</v>
      </c>
      <c r="J1322">
        <v>3.7808960533375902E-2</v>
      </c>
      <c r="K1322">
        <v>0.116598773926779</v>
      </c>
      <c r="L1322">
        <v>922.31597804943499</v>
      </c>
      <c r="M1322">
        <v>19.542745626255201</v>
      </c>
      <c r="N1322">
        <v>47.520016047353302</v>
      </c>
      <c r="O1322">
        <v>46.708967054378903</v>
      </c>
      <c r="P1322">
        <v>-9.8054751144735594E-2</v>
      </c>
      <c r="Q1322">
        <v>6.2593780391288503E-2</v>
      </c>
      <c r="R1322">
        <v>0.99693872998295596</v>
      </c>
      <c r="S1322" t="s">
        <v>7724</v>
      </c>
      <c r="T1322" t="s">
        <v>12802</v>
      </c>
      <c r="U1322" t="s">
        <v>12802</v>
      </c>
      <c r="V1322" t="s">
        <v>12802</v>
      </c>
      <c r="W1322" t="s">
        <v>14091</v>
      </c>
      <c r="X1322">
        <v>4</v>
      </c>
      <c r="Y1322" t="s">
        <v>20405</v>
      </c>
      <c r="Z1322" t="s">
        <v>26640</v>
      </c>
      <c r="AA1322">
        <v>0.39399299414038758</v>
      </c>
      <c r="AB1322" t="str">
        <f>HYPERLINK("Melting_Curves/meltCurve_K7ESP4_DCAKD.pdf", "Melting_Curves/meltCurve_K7ESP4_DCAKD.pdf")</f>
        <v>Melting_Curves/meltCurve_K7ESP4_DCAKD.pdf</v>
      </c>
    </row>
    <row r="1323" spans="1:28" x14ac:dyDescent="0.25">
      <c r="A1323" t="s">
        <v>1327</v>
      </c>
      <c r="B1323">
        <v>0.99542014353169495</v>
      </c>
      <c r="C1323">
        <v>0.94154714599781997</v>
      </c>
      <c r="D1323">
        <v>0.931881735980293</v>
      </c>
      <c r="E1323">
        <v>0.84625363276034904</v>
      </c>
      <c r="F1323">
        <v>0.68622817274561698</v>
      </c>
      <c r="G1323">
        <v>0.43534600416172498</v>
      </c>
      <c r="H1323">
        <v>0.14268223805918001</v>
      </c>
      <c r="I1323">
        <v>7.2024724119591002E-2</v>
      </c>
      <c r="J1323">
        <v>7.4908267675933005E-2</v>
      </c>
      <c r="K1323">
        <v>6.9611650674836004E-2</v>
      </c>
      <c r="L1323">
        <v>837.15425386964603</v>
      </c>
      <c r="M1323">
        <v>16.011495209970001</v>
      </c>
      <c r="N1323">
        <v>52.346882594937902</v>
      </c>
      <c r="O1323">
        <v>51.489400955924403</v>
      </c>
      <c r="P1323">
        <v>-7.7013947473584102E-2</v>
      </c>
      <c r="Q1323">
        <v>9.4386945788781599E-3</v>
      </c>
      <c r="R1323">
        <v>0.99128496913619502</v>
      </c>
      <c r="S1323" t="s">
        <v>7725</v>
      </c>
      <c r="T1323" t="s">
        <v>12802</v>
      </c>
      <c r="U1323" t="s">
        <v>12802</v>
      </c>
      <c r="V1323" t="s">
        <v>12802</v>
      </c>
      <c r="W1323" t="s">
        <v>14092</v>
      </c>
      <c r="X1323">
        <v>20</v>
      </c>
      <c r="Y1323" t="s">
        <v>20406</v>
      </c>
      <c r="Z1323" t="s">
        <v>26641</v>
      </c>
      <c r="AA1323">
        <v>0.53138815782926374</v>
      </c>
      <c r="AB1323" t="str">
        <f>HYPERLINK("Melting_Curves/meltCurve_M0QWZ7_SARS2.pdf", "Melting_Curves/meltCurve_M0QWZ7_SARS2.pdf")</f>
        <v>Melting_Curves/meltCurve_M0QWZ7_SARS2.pdf</v>
      </c>
    </row>
    <row r="1324" spans="1:28" x14ac:dyDescent="0.25">
      <c r="A1324" t="s">
        <v>1328</v>
      </c>
      <c r="B1324">
        <v>0.99542014353169495</v>
      </c>
      <c r="C1324">
        <v>0.86265155364303603</v>
      </c>
      <c r="D1324">
        <v>0.97364794005658695</v>
      </c>
      <c r="E1324">
        <v>0.55622948710490605</v>
      </c>
      <c r="F1324">
        <v>0.179481404978478</v>
      </c>
      <c r="G1324">
        <v>0.112033908239858</v>
      </c>
      <c r="H1324">
        <v>6.9694052553234007E-2</v>
      </c>
      <c r="I1324">
        <v>5.0423246284556099E-2</v>
      </c>
      <c r="J1324">
        <v>5.0831532410167801E-2</v>
      </c>
      <c r="K1324">
        <v>5.09084426694199E-2</v>
      </c>
      <c r="L1324">
        <v>1341.2386958281299</v>
      </c>
      <c r="M1324">
        <v>28.629726280913101</v>
      </c>
      <c r="N1324">
        <v>47.057966397657097</v>
      </c>
      <c r="O1324">
        <v>46.621005867407597</v>
      </c>
      <c r="P1324">
        <v>-0.14431012840100599</v>
      </c>
      <c r="Q1324">
        <v>6.00220466672889E-2</v>
      </c>
      <c r="R1324">
        <v>0.98683025732142304</v>
      </c>
      <c r="S1324" t="s">
        <v>7726</v>
      </c>
      <c r="T1324" t="s">
        <v>12802</v>
      </c>
      <c r="U1324" t="s">
        <v>12802</v>
      </c>
      <c r="V1324" t="s">
        <v>12802</v>
      </c>
      <c r="W1324" t="s">
        <v>14093</v>
      </c>
      <c r="X1324">
        <v>19</v>
      </c>
      <c r="Y1324" t="s">
        <v>20407</v>
      </c>
      <c r="Z1324" t="s">
        <v>26642</v>
      </c>
      <c r="AA1324">
        <v>0.374566587482074</v>
      </c>
      <c r="AB1324" t="str">
        <f>HYPERLINK("Melting_Curves/meltCurve_M0QX35_PAF1.pdf", "Melting_Curves/meltCurve_M0QX35_PAF1.pdf")</f>
        <v>Melting_Curves/meltCurve_M0QX35_PAF1.pdf</v>
      </c>
    </row>
    <row r="1325" spans="1:28" x14ac:dyDescent="0.25">
      <c r="A1325" t="s">
        <v>1329</v>
      </c>
      <c r="B1325">
        <v>0.99542014353169495</v>
      </c>
      <c r="C1325">
        <v>0.87500501347679205</v>
      </c>
      <c r="D1325">
        <v>0.83056039260907999</v>
      </c>
      <c r="E1325">
        <v>0.63333428320127305</v>
      </c>
      <c r="F1325">
        <v>0.511721212306539</v>
      </c>
      <c r="G1325">
        <v>0.28139671070518801</v>
      </c>
      <c r="H1325">
        <v>0.19324237319047199</v>
      </c>
      <c r="I1325">
        <v>0.122006266015368</v>
      </c>
      <c r="J1325">
        <v>0.108683057860883</v>
      </c>
      <c r="K1325">
        <v>0.112968082601765</v>
      </c>
      <c r="L1325">
        <v>511.99546772551599</v>
      </c>
      <c r="M1325">
        <v>10.4230181639709</v>
      </c>
      <c r="N1325">
        <v>49.410927991323298</v>
      </c>
      <c r="O1325">
        <v>47.416703803096503</v>
      </c>
      <c r="P1325">
        <v>-5.3349728832024698E-2</v>
      </c>
      <c r="Q1325">
        <v>2.9602331320517501E-2</v>
      </c>
      <c r="R1325">
        <v>0.99295276144153199</v>
      </c>
      <c r="S1325" t="s">
        <v>7727</v>
      </c>
      <c r="T1325" t="s">
        <v>12802</v>
      </c>
      <c r="U1325" t="s">
        <v>12802</v>
      </c>
      <c r="V1325" t="s">
        <v>12802</v>
      </c>
      <c r="W1325" t="s">
        <v>14094</v>
      </c>
      <c r="X1325">
        <v>12</v>
      </c>
      <c r="Y1325" t="s">
        <v>20408</v>
      </c>
      <c r="Z1325" t="s">
        <v>26643</v>
      </c>
      <c r="AA1325">
        <v>0.45573856334810131</v>
      </c>
      <c r="AB1325" t="str">
        <f>HYPERLINK("Melting_Curves/meltCurve_M0QXA7_WIZ.pdf", "Melting_Curves/meltCurve_M0QXA7_WIZ.pdf")</f>
        <v>Melting_Curves/meltCurve_M0QXA7_WIZ.pdf</v>
      </c>
    </row>
    <row r="1326" spans="1:28" x14ac:dyDescent="0.25">
      <c r="A1326" t="s">
        <v>1330</v>
      </c>
      <c r="B1326">
        <v>0.99542014353169495</v>
      </c>
      <c r="C1326">
        <v>0.83229629830700302</v>
      </c>
      <c r="D1326">
        <v>0.87437715447681996</v>
      </c>
      <c r="E1326">
        <v>0.60840956134256996</v>
      </c>
      <c r="F1326">
        <v>0.39316308827768798</v>
      </c>
      <c r="G1326">
        <v>0.130986168662894</v>
      </c>
      <c r="H1326">
        <v>4.9726256513525101E-2</v>
      </c>
      <c r="I1326">
        <v>2.6416469877081499E-2</v>
      </c>
      <c r="J1326">
        <v>3.1979580837075999E-2</v>
      </c>
      <c r="K1326">
        <v>3.0888218562885199E-2</v>
      </c>
      <c r="L1326">
        <v>699.56428192495002</v>
      </c>
      <c r="M1326">
        <v>14.570570775179901</v>
      </c>
      <c r="N1326">
        <v>48.012140005344499</v>
      </c>
      <c r="O1326">
        <v>47.1349539264681</v>
      </c>
      <c r="P1326">
        <v>-7.7289882124794804E-2</v>
      </c>
      <c r="Q1326">
        <v>0</v>
      </c>
      <c r="R1326">
        <v>0.98542389919435103</v>
      </c>
      <c r="S1326" t="s">
        <v>7728</v>
      </c>
      <c r="T1326" t="s">
        <v>12802</v>
      </c>
      <c r="U1326" t="s">
        <v>12802</v>
      </c>
      <c r="V1326" t="s">
        <v>12802</v>
      </c>
      <c r="W1326" t="s">
        <v>14095</v>
      </c>
      <c r="X1326">
        <v>17</v>
      </c>
      <c r="Y1326" t="s">
        <v>20409</v>
      </c>
      <c r="Z1326" t="s">
        <v>26644</v>
      </c>
      <c r="AA1326">
        <v>0.39018346970634099</v>
      </c>
      <c r="AB1326" t="str">
        <f>HYPERLINK("Melting_Curves/meltCurve_M0QXB4_COPE.pdf", "Melting_Curves/meltCurve_M0QXB4_COPE.pdf")</f>
        <v>Melting_Curves/meltCurve_M0QXB4_COPE.pdf</v>
      </c>
    </row>
    <row r="1327" spans="1:28" x14ac:dyDescent="0.25">
      <c r="A1327" t="s">
        <v>1331</v>
      </c>
      <c r="B1327">
        <v>0.99542014353169495</v>
      </c>
      <c r="C1327">
        <v>0.83726378531423495</v>
      </c>
      <c r="D1327">
        <v>0.79221923260271498</v>
      </c>
      <c r="E1327">
        <v>0.58709181974096003</v>
      </c>
      <c r="F1327">
        <v>0.40016571182828298</v>
      </c>
      <c r="G1327">
        <v>0.180888657971018</v>
      </c>
      <c r="H1327">
        <v>0.100268330093177</v>
      </c>
      <c r="I1327">
        <v>6.4556547750084903E-2</v>
      </c>
      <c r="J1327">
        <v>6.1202807810655901E-2</v>
      </c>
      <c r="K1327">
        <v>7.3239037616526198E-2</v>
      </c>
      <c r="L1327">
        <v>551.015719685053</v>
      </c>
      <c r="M1327">
        <v>11.541263439051299</v>
      </c>
      <c r="N1327">
        <v>47.774087415826401</v>
      </c>
      <c r="O1327">
        <v>46.377245080749098</v>
      </c>
      <c r="P1327">
        <v>-6.1999537805389901E-2</v>
      </c>
      <c r="Q1327">
        <v>3.7271436957870799E-3</v>
      </c>
      <c r="R1327">
        <v>0.99101674592919098</v>
      </c>
      <c r="S1327" t="s">
        <v>7729</v>
      </c>
      <c r="T1327" t="s">
        <v>12802</v>
      </c>
      <c r="U1327" t="s">
        <v>12802</v>
      </c>
      <c r="V1327" t="s">
        <v>12802</v>
      </c>
      <c r="W1327" t="s">
        <v>14096</v>
      </c>
      <c r="X1327">
        <v>7</v>
      </c>
      <c r="Y1327" t="s">
        <v>20410</v>
      </c>
      <c r="Z1327" t="s">
        <v>26645</v>
      </c>
      <c r="AA1327">
        <v>0.39395430558856398</v>
      </c>
      <c r="AB1327" t="str">
        <f>HYPERLINK("Melting_Curves/meltCurve_M0QXL5_FBL.pdf", "Melting_Curves/meltCurve_M0QXL5_FBL.pdf")</f>
        <v>Melting_Curves/meltCurve_M0QXL5_FBL.pdf</v>
      </c>
    </row>
    <row r="1328" spans="1:28" x14ac:dyDescent="0.25">
      <c r="A1328" t="s">
        <v>1332</v>
      </c>
      <c r="B1328">
        <v>0.99542014353169495</v>
      </c>
      <c r="C1328">
        <v>1.06530643130894</v>
      </c>
      <c r="D1328">
        <v>1.1129166650637199</v>
      </c>
      <c r="E1328">
        <v>0.79475791739701496</v>
      </c>
      <c r="F1328">
        <v>0.56086407992025</v>
      </c>
      <c r="G1328">
        <v>0.33999289924784598</v>
      </c>
      <c r="H1328">
        <v>0.33527485455094203</v>
      </c>
      <c r="I1328">
        <v>0.30700714168265902</v>
      </c>
      <c r="J1328">
        <v>0.59592829996930696</v>
      </c>
      <c r="K1328">
        <v>0.815250385581888</v>
      </c>
      <c r="L1328">
        <v>2237.7827407957202</v>
      </c>
      <c r="M1328">
        <v>47.5054574432842</v>
      </c>
      <c r="N1328">
        <v>51.0114033968581</v>
      </c>
      <c r="O1328">
        <v>47.022557909827299</v>
      </c>
      <c r="P1328">
        <v>-0.12960852116478899</v>
      </c>
      <c r="Q1328">
        <v>0.48683641700485503</v>
      </c>
      <c r="R1328">
        <v>0.74671877679197696</v>
      </c>
      <c r="S1328" t="s">
        <v>7730</v>
      </c>
      <c r="T1328" t="s">
        <v>12802</v>
      </c>
      <c r="U1328" t="s">
        <v>12802</v>
      </c>
      <c r="V1328" t="s">
        <v>12802</v>
      </c>
      <c r="W1328" t="s">
        <v>14097</v>
      </c>
      <c r="X1328">
        <v>4</v>
      </c>
      <c r="Y1328" t="s">
        <v>20411</v>
      </c>
      <c r="Z1328" t="s">
        <v>26646</v>
      </c>
      <c r="AA1328">
        <v>0.66088267887187158</v>
      </c>
      <c r="AB1328" t="str">
        <f>HYPERLINK("Melting_Curves/meltCurve_M0QXT0_USF2.pdf", "Melting_Curves/meltCurve_M0QXT0_USF2.pdf")</f>
        <v>Melting_Curves/meltCurve_M0QXT0_USF2.pdf</v>
      </c>
    </row>
    <row r="1329" spans="1:28" x14ac:dyDescent="0.25">
      <c r="A1329" t="s">
        <v>1333</v>
      </c>
      <c r="B1329">
        <v>0.99542014353169495</v>
      </c>
      <c r="C1329">
        <v>1.05226819625527</v>
      </c>
      <c r="D1329">
        <v>0.99924721450703902</v>
      </c>
      <c r="E1329">
        <v>0.99343278645418098</v>
      </c>
      <c r="F1329">
        <v>0.93453837164206199</v>
      </c>
      <c r="G1329">
        <v>0.78990015850266004</v>
      </c>
      <c r="H1329">
        <v>0.68888457034565798</v>
      </c>
      <c r="I1329">
        <v>0.68982089925962098</v>
      </c>
      <c r="J1329">
        <v>1.054188755854</v>
      </c>
      <c r="K1329">
        <v>1.3866519558930399</v>
      </c>
      <c r="L1329">
        <v>15000</v>
      </c>
      <c r="M1329">
        <v>232.19495799168601</v>
      </c>
      <c r="O1329">
        <v>64.596105704586407</v>
      </c>
      <c r="P1329">
        <v>0.347546716488629</v>
      </c>
      <c r="Q1329">
        <v>1.38674673091628</v>
      </c>
      <c r="R1329">
        <v>0.35625742193332399</v>
      </c>
      <c r="S1329" t="s">
        <v>7731</v>
      </c>
      <c r="T1329" t="s">
        <v>12802</v>
      </c>
      <c r="U1329" t="s">
        <v>12802</v>
      </c>
      <c r="V1329" t="s">
        <v>12802</v>
      </c>
      <c r="W1329" t="s">
        <v>14098</v>
      </c>
      <c r="X1329">
        <v>5</v>
      </c>
      <c r="Y1329" t="s">
        <v>20412</v>
      </c>
      <c r="Z1329" t="s">
        <v>26647</v>
      </c>
      <c r="AA1329">
        <v>1.0308784397758191</v>
      </c>
      <c r="AB1329" t="str">
        <f>HYPERLINK("Melting_Curves/meltCurve_M0QXZ5_ZNF428.pdf", "Melting_Curves/meltCurve_M0QXZ5_ZNF428.pdf")</f>
        <v>Melting_Curves/meltCurve_M0QXZ5_ZNF428.pdf</v>
      </c>
    </row>
    <row r="1330" spans="1:28" x14ac:dyDescent="0.25">
      <c r="A1330" t="s">
        <v>1334</v>
      </c>
      <c r="B1330">
        <v>0.99542014353169495</v>
      </c>
      <c r="C1330">
        <v>1.00723133489852</v>
      </c>
      <c r="D1330">
        <v>0.91036563637664603</v>
      </c>
      <c r="E1330">
        <v>0.66352693392551299</v>
      </c>
      <c r="F1330">
        <v>0.32553444203804299</v>
      </c>
      <c r="G1330">
        <v>0.12318996464329</v>
      </c>
      <c r="H1330">
        <v>6.08078245691192E-2</v>
      </c>
      <c r="I1330">
        <v>5.2463577449454901E-2</v>
      </c>
      <c r="J1330">
        <v>5.6773718764361499E-2</v>
      </c>
      <c r="K1330">
        <v>8.2527809547389697E-2</v>
      </c>
      <c r="L1330">
        <v>1022.7587740254</v>
      </c>
      <c r="M1330">
        <v>21.3429062815053</v>
      </c>
      <c r="N1330">
        <v>48.166452151740899</v>
      </c>
      <c r="O1330">
        <v>47.505568034381703</v>
      </c>
      <c r="P1330">
        <v>-0.10651778396193801</v>
      </c>
      <c r="Q1330">
        <v>5.1664097929716497E-2</v>
      </c>
      <c r="R1330">
        <v>0.998640477756776</v>
      </c>
      <c r="S1330" t="s">
        <v>7732</v>
      </c>
      <c r="T1330" t="s">
        <v>12802</v>
      </c>
      <c r="U1330" t="s">
        <v>12802</v>
      </c>
      <c r="V1330" t="s">
        <v>12802</v>
      </c>
      <c r="W1330" t="s">
        <v>14099</v>
      </c>
      <c r="X1330">
        <v>2</v>
      </c>
      <c r="Y1330" t="s">
        <v>20413</v>
      </c>
      <c r="Z1330" t="s">
        <v>26648</v>
      </c>
      <c r="AA1330">
        <v>0.40786847255666631</v>
      </c>
      <c r="AB1330" t="str">
        <f>HYPERLINK("Melting_Curves/meltCurve_M0QY01_EPS15L1.pdf", "Melting_Curves/meltCurve_M0QY01_EPS15L1.pdf")</f>
        <v>Melting_Curves/meltCurve_M0QY01_EPS15L1.pdf</v>
      </c>
    </row>
    <row r="1331" spans="1:28" x14ac:dyDescent="0.25">
      <c r="A1331" t="s">
        <v>1335</v>
      </c>
      <c r="B1331">
        <v>0.99542014353169495</v>
      </c>
      <c r="C1331">
        <v>0.97411443664187802</v>
      </c>
      <c r="D1331">
        <v>1.07059706741063</v>
      </c>
      <c r="E1331">
        <v>1.0376094811955601</v>
      </c>
      <c r="F1331">
        <v>1.00269335989678</v>
      </c>
      <c r="G1331">
        <v>0.80817172598347697</v>
      </c>
      <c r="H1331">
        <v>0.58925210472934897</v>
      </c>
      <c r="I1331">
        <v>0.53675678178419095</v>
      </c>
      <c r="J1331">
        <v>0.95139562683801304</v>
      </c>
      <c r="K1331">
        <v>1.5859728371828099</v>
      </c>
      <c r="L1331">
        <v>15000</v>
      </c>
      <c r="M1331">
        <v>229.20705992765099</v>
      </c>
      <c r="O1331">
        <v>65.4380282822476</v>
      </c>
      <c r="P1331">
        <v>0.43783230182640898</v>
      </c>
      <c r="Q1331">
        <v>1.5</v>
      </c>
      <c r="R1331">
        <v>0.41849450247421699</v>
      </c>
      <c r="S1331" t="s">
        <v>7733</v>
      </c>
      <c r="T1331" t="s">
        <v>12802</v>
      </c>
      <c r="U1331" t="s">
        <v>12802</v>
      </c>
      <c r="V1331" t="s">
        <v>12802</v>
      </c>
      <c r="W1331" t="s">
        <v>14100</v>
      </c>
      <c r="X1331">
        <v>15</v>
      </c>
      <c r="Y1331" t="s">
        <v>20414</v>
      </c>
      <c r="Z1331" t="s">
        <v>26649</v>
      </c>
      <c r="AA1331">
        <v>1.0259059143048499</v>
      </c>
      <c r="AB1331" t="str">
        <f>HYPERLINK("Melting_Curves/meltCurve_M0QY97_ZC3H4.pdf", "Melting_Curves/meltCurve_M0QY97_ZC3H4.pdf")</f>
        <v>Melting_Curves/meltCurve_M0QY97_ZC3H4.pdf</v>
      </c>
    </row>
    <row r="1332" spans="1:28" x14ac:dyDescent="0.25">
      <c r="A1332" t="s">
        <v>1336</v>
      </c>
      <c r="B1332">
        <v>0.99542014353169495</v>
      </c>
      <c r="C1332">
        <v>1.03347561893396</v>
      </c>
      <c r="D1332">
        <v>0.99595286762391799</v>
      </c>
      <c r="E1332">
        <v>0.925495663357225</v>
      </c>
      <c r="F1332">
        <v>0.81395765852595303</v>
      </c>
      <c r="G1332">
        <v>0.51471419755272796</v>
      </c>
      <c r="H1332">
        <v>0.37338247764927601</v>
      </c>
      <c r="I1332">
        <v>0.21370697888094101</v>
      </c>
      <c r="J1332">
        <v>0.165586211798702</v>
      </c>
      <c r="K1332">
        <v>0.145474837809864</v>
      </c>
      <c r="L1332">
        <v>901.49668674295901</v>
      </c>
      <c r="M1332">
        <v>16.788403447573501</v>
      </c>
      <c r="N1332">
        <v>54.556350638301801</v>
      </c>
      <c r="O1332">
        <v>52.953059222256698</v>
      </c>
      <c r="P1332">
        <v>-7.0062042544411104E-2</v>
      </c>
      <c r="Q1332">
        <v>0.116114010855785</v>
      </c>
      <c r="R1332">
        <v>0.996330645657869</v>
      </c>
      <c r="S1332" t="s">
        <v>7734</v>
      </c>
      <c r="T1332" t="s">
        <v>12802</v>
      </c>
      <c r="U1332" t="s">
        <v>12802</v>
      </c>
      <c r="V1332" t="s">
        <v>12802</v>
      </c>
      <c r="W1332" t="s">
        <v>14101</v>
      </c>
      <c r="X1332">
        <v>8</v>
      </c>
      <c r="Y1332" t="s">
        <v>20415</v>
      </c>
      <c r="Z1332" t="s">
        <v>26650</v>
      </c>
      <c r="AA1332">
        <v>0.6214201270120786</v>
      </c>
      <c r="AB1332" t="str">
        <f>HYPERLINK("Melting_Curves/meltCurve_M0QYM7_TUBB4A.pdf", "Melting_Curves/meltCurve_M0QYM7_TUBB4A.pdf")</f>
        <v>Melting_Curves/meltCurve_M0QYM7_TUBB4A.pdf</v>
      </c>
    </row>
    <row r="1333" spans="1:28" x14ac:dyDescent="0.25">
      <c r="A1333" t="s">
        <v>1337</v>
      </c>
      <c r="B1333">
        <v>0.99542014353169495</v>
      </c>
      <c r="C1333">
        <v>0.83319181726438996</v>
      </c>
      <c r="D1333">
        <v>0.85731665991059902</v>
      </c>
      <c r="E1333">
        <v>0.72425063372631804</v>
      </c>
      <c r="F1333">
        <v>0.59805131418370805</v>
      </c>
      <c r="G1333">
        <v>0.33620653095320502</v>
      </c>
      <c r="H1333">
        <v>0.114815899735251</v>
      </c>
      <c r="I1333">
        <v>3.52927721145554E-2</v>
      </c>
      <c r="J1333">
        <v>3.3205771901126599E-2</v>
      </c>
      <c r="K1333">
        <v>4.0612781188804299E-2</v>
      </c>
      <c r="L1333">
        <v>646.18562248199805</v>
      </c>
      <c r="M1333">
        <v>12.816436505430399</v>
      </c>
      <c r="N1333">
        <v>50.4185128474926</v>
      </c>
      <c r="O1333">
        <v>49.238354565185801</v>
      </c>
      <c r="P1333">
        <v>-6.5085590552231704E-2</v>
      </c>
      <c r="Q1333">
        <v>0</v>
      </c>
      <c r="R1333">
        <v>0.97316561490542797</v>
      </c>
      <c r="S1333" t="s">
        <v>7735</v>
      </c>
      <c r="T1333" t="s">
        <v>12802</v>
      </c>
      <c r="U1333" t="s">
        <v>12802</v>
      </c>
      <c r="V1333" t="s">
        <v>12802</v>
      </c>
      <c r="W1333" t="s">
        <v>14102</v>
      </c>
      <c r="X1333">
        <v>3</v>
      </c>
      <c r="Y1333" t="s">
        <v>20416</v>
      </c>
      <c r="Z1333" t="s">
        <v>26651</v>
      </c>
      <c r="AA1333">
        <v>0.47251912545579228</v>
      </c>
      <c r="AB1333" t="str">
        <f>HYPERLINK("Melting_Curves/meltCurve_M0QYS1_RPL13A.pdf", "Melting_Curves/meltCurve_M0QYS1_RPL13A.pdf")</f>
        <v>Melting_Curves/meltCurve_M0QYS1_RPL13A.pdf</v>
      </c>
    </row>
    <row r="1334" spans="1:28" x14ac:dyDescent="0.25">
      <c r="A1334" t="s">
        <v>1338</v>
      </c>
      <c r="B1334">
        <v>0.99542014353169495</v>
      </c>
      <c r="C1334">
        <v>0.95527917914510097</v>
      </c>
      <c r="D1334">
        <v>0.68583547805413303</v>
      </c>
      <c r="E1334">
        <v>0.57256530471654099</v>
      </c>
      <c r="F1334">
        <v>0.34015511345251798</v>
      </c>
      <c r="G1334">
        <v>0.17594334613500201</v>
      </c>
      <c r="H1334">
        <v>0.13071593938239201</v>
      </c>
      <c r="I1334">
        <v>8.7273225826033196E-2</v>
      </c>
      <c r="J1334">
        <v>9.9162049587041903E-2</v>
      </c>
      <c r="K1334">
        <v>0.109982302892929</v>
      </c>
      <c r="L1334">
        <v>616.97515073138004</v>
      </c>
      <c r="M1334">
        <v>13.261618922886001</v>
      </c>
      <c r="N1334">
        <v>47.051007872746503</v>
      </c>
      <c r="O1334">
        <v>45.503673912109598</v>
      </c>
      <c r="P1334">
        <v>-6.7837011770186501E-2</v>
      </c>
      <c r="Q1334">
        <v>6.9094413440679306E-2</v>
      </c>
      <c r="R1334">
        <v>0.98878178484113399</v>
      </c>
      <c r="S1334" t="s">
        <v>7736</v>
      </c>
      <c r="T1334" t="s">
        <v>12802</v>
      </c>
      <c r="U1334" t="s">
        <v>12802</v>
      </c>
      <c r="V1334" t="s">
        <v>12802</v>
      </c>
      <c r="W1334" t="s">
        <v>14103</v>
      </c>
      <c r="X1334">
        <v>4</v>
      </c>
      <c r="Y1334" t="s">
        <v>20417</v>
      </c>
      <c r="Z1334" t="s">
        <v>26652</v>
      </c>
      <c r="AA1334">
        <v>0.39102879857785738</v>
      </c>
      <c r="AB1334" t="str">
        <f>HYPERLINK("Melting_Curves/meltCurve_M0QZ09_SIRT6.pdf", "Melting_Curves/meltCurve_M0QZ09_SIRT6.pdf")</f>
        <v>Melting_Curves/meltCurve_M0QZ09_SIRT6.pdf</v>
      </c>
    </row>
    <row r="1335" spans="1:28" x14ac:dyDescent="0.25">
      <c r="A1335" t="s">
        <v>1339</v>
      </c>
      <c r="B1335">
        <v>0.99542014353169495</v>
      </c>
      <c r="C1335">
        <v>0.93283080063673596</v>
      </c>
      <c r="D1335">
        <v>0.85218889670944697</v>
      </c>
      <c r="E1335">
        <v>0.79803475453821604</v>
      </c>
      <c r="F1335">
        <v>0.51113485456263996</v>
      </c>
      <c r="G1335">
        <v>0.31815175092918502</v>
      </c>
      <c r="H1335">
        <v>0.17518605884097099</v>
      </c>
      <c r="I1335">
        <v>0.24862209009457101</v>
      </c>
      <c r="J1335">
        <v>0.248002907165217</v>
      </c>
      <c r="K1335">
        <v>0.16770946975113701</v>
      </c>
      <c r="L1335">
        <v>790.18112959905295</v>
      </c>
      <c r="M1335">
        <v>16.1556751694905</v>
      </c>
      <c r="N1335">
        <v>50.286841592611502</v>
      </c>
      <c r="O1335">
        <v>48.179467898763903</v>
      </c>
      <c r="P1335">
        <v>-6.8856291358485505E-2</v>
      </c>
      <c r="Q1335">
        <v>0.17868885835920201</v>
      </c>
      <c r="R1335">
        <v>0.98078859004303098</v>
      </c>
      <c r="S1335" t="s">
        <v>7737</v>
      </c>
      <c r="T1335" t="s">
        <v>12802</v>
      </c>
      <c r="U1335" t="s">
        <v>12802</v>
      </c>
      <c r="V1335" t="s">
        <v>12802</v>
      </c>
      <c r="W1335" t="s">
        <v>14104</v>
      </c>
      <c r="X1335">
        <v>2</v>
      </c>
      <c r="Y1335" t="s">
        <v>20418</v>
      </c>
      <c r="Z1335" t="s">
        <v>26653</v>
      </c>
      <c r="AA1335">
        <v>0.52046745108751546</v>
      </c>
      <c r="AB1335" t="str">
        <f>HYPERLINK("Melting_Curves/meltCurve_M0QZ12_GRAMD1A.pdf", "Melting_Curves/meltCurve_M0QZ12_GRAMD1A.pdf")</f>
        <v>Melting_Curves/meltCurve_M0QZ12_GRAMD1A.pdf</v>
      </c>
    </row>
    <row r="1336" spans="1:28" x14ac:dyDescent="0.25">
      <c r="A1336" t="s">
        <v>1340</v>
      </c>
      <c r="B1336">
        <v>0.99542014353169495</v>
      </c>
      <c r="C1336">
        <v>0.99609015966856895</v>
      </c>
      <c r="D1336">
        <v>1.0255130543270099</v>
      </c>
      <c r="E1336">
        <v>0.89049694415222502</v>
      </c>
      <c r="F1336">
        <v>0.70588301358003402</v>
      </c>
      <c r="G1336">
        <v>0.43356834119191601</v>
      </c>
      <c r="H1336">
        <v>0.33619987076866398</v>
      </c>
      <c r="I1336">
        <v>0.30179561032797603</v>
      </c>
      <c r="J1336">
        <v>0.41347021694375202</v>
      </c>
      <c r="K1336">
        <v>0.53794929688245796</v>
      </c>
      <c r="L1336">
        <v>1545.61430980962</v>
      </c>
      <c r="M1336">
        <v>30.9245773414514</v>
      </c>
      <c r="N1336">
        <v>52.595567985945401</v>
      </c>
      <c r="O1336">
        <v>49.772523638736203</v>
      </c>
      <c r="P1336">
        <v>-9.4351909313237295E-2</v>
      </c>
      <c r="Q1336">
        <v>0.39257304363559398</v>
      </c>
      <c r="R1336">
        <v>0.94899056094315803</v>
      </c>
      <c r="S1336" t="s">
        <v>7738</v>
      </c>
      <c r="T1336" t="s">
        <v>12802</v>
      </c>
      <c r="U1336" t="s">
        <v>12802</v>
      </c>
      <c r="V1336" t="s">
        <v>12802</v>
      </c>
      <c r="W1336" t="s">
        <v>14105</v>
      </c>
      <c r="X1336">
        <v>7</v>
      </c>
      <c r="Y1336" t="s">
        <v>20419</v>
      </c>
      <c r="Z1336" t="s">
        <v>26654</v>
      </c>
      <c r="AA1336">
        <v>0.65889762005945018</v>
      </c>
      <c r="AB1336" t="str">
        <f>HYPERLINK("Melting_Curves/meltCurve_M0QZ43_HRC.pdf", "Melting_Curves/meltCurve_M0QZ43_HRC.pdf")</f>
        <v>Melting_Curves/meltCurve_M0QZ43_HRC.pdf</v>
      </c>
    </row>
    <row r="1337" spans="1:28" x14ac:dyDescent="0.25">
      <c r="A1337" t="s">
        <v>1341</v>
      </c>
      <c r="B1337">
        <v>0.99542014353169495</v>
      </c>
      <c r="C1337">
        <v>0.954006129341332</v>
      </c>
      <c r="D1337">
        <v>0.86979875147864805</v>
      </c>
      <c r="E1337">
        <v>0.63429035135828005</v>
      </c>
      <c r="F1337">
        <v>0.29867208977531901</v>
      </c>
      <c r="G1337">
        <v>0.17621982300870401</v>
      </c>
      <c r="H1337">
        <v>0.124669992323683</v>
      </c>
      <c r="I1337">
        <v>8.5310204354633601E-2</v>
      </c>
      <c r="J1337">
        <v>7.2741655054673296E-2</v>
      </c>
      <c r="K1337">
        <v>8.8735771637337396E-2</v>
      </c>
      <c r="L1337">
        <v>874.74926070350796</v>
      </c>
      <c r="M1337">
        <v>18.443519090907099</v>
      </c>
      <c r="N1337">
        <v>47.8572855396664</v>
      </c>
      <c r="O1337">
        <v>46.881518490066298</v>
      </c>
      <c r="P1337">
        <v>-9.0866256098943901E-2</v>
      </c>
      <c r="Q1337">
        <v>7.6150896331439399E-2</v>
      </c>
      <c r="R1337">
        <v>0.998668048471964</v>
      </c>
      <c r="S1337" t="s">
        <v>7739</v>
      </c>
      <c r="T1337" t="s">
        <v>12802</v>
      </c>
      <c r="U1337" t="s">
        <v>12802</v>
      </c>
      <c r="V1337" t="s">
        <v>12802</v>
      </c>
      <c r="W1337" t="s">
        <v>14106</v>
      </c>
      <c r="X1337">
        <v>12</v>
      </c>
      <c r="Y1337" t="s">
        <v>20420</v>
      </c>
      <c r="Z1337" t="s">
        <v>26655</v>
      </c>
      <c r="AA1337">
        <v>0.41143693684472049</v>
      </c>
      <c r="AB1337" t="str">
        <f>HYPERLINK("Melting_Curves/meltCurve_M0QZI3_FCHO1.pdf", "Melting_Curves/meltCurve_M0QZI3_FCHO1.pdf")</f>
        <v>Melting_Curves/meltCurve_M0QZI3_FCHO1.pdf</v>
      </c>
    </row>
    <row r="1338" spans="1:28" x14ac:dyDescent="0.25">
      <c r="A1338" t="s">
        <v>1342</v>
      </c>
      <c r="B1338">
        <v>0.99542014353169495</v>
      </c>
      <c r="C1338">
        <v>0.94614730783479695</v>
      </c>
      <c r="D1338">
        <v>0.80744575749033898</v>
      </c>
      <c r="E1338">
        <v>0.396292152488052</v>
      </c>
      <c r="F1338">
        <v>0.137681397513471</v>
      </c>
      <c r="G1338">
        <v>8.1990730342947196E-2</v>
      </c>
      <c r="H1338">
        <v>5.1509334239063898E-2</v>
      </c>
      <c r="I1338">
        <v>3.6383125976242103E-2</v>
      </c>
      <c r="J1338">
        <v>3.6653075075875001E-2</v>
      </c>
      <c r="K1338">
        <v>3.9160771638253301E-2</v>
      </c>
      <c r="L1338">
        <v>1029.1412069251701</v>
      </c>
      <c r="M1338">
        <v>22.600476391474398</v>
      </c>
      <c r="N1338">
        <v>45.7015641336233</v>
      </c>
      <c r="O1338">
        <v>45.184250020945498</v>
      </c>
      <c r="P1338">
        <v>-0.120140949648867</v>
      </c>
      <c r="Q1338">
        <v>3.9246914632544302E-2</v>
      </c>
      <c r="R1338">
        <v>0.99958410084070504</v>
      </c>
      <c r="S1338" t="s">
        <v>7740</v>
      </c>
      <c r="T1338" t="s">
        <v>12802</v>
      </c>
      <c r="U1338" t="s">
        <v>12802</v>
      </c>
      <c r="V1338" t="s">
        <v>12802</v>
      </c>
      <c r="W1338" t="s">
        <v>14107</v>
      </c>
      <c r="X1338">
        <v>37</v>
      </c>
      <c r="Y1338" t="s">
        <v>20421</v>
      </c>
      <c r="Z1338" t="s">
        <v>26656</v>
      </c>
      <c r="AA1338">
        <v>0.32238528897811669</v>
      </c>
      <c r="AB1338" t="str">
        <f>HYPERLINK("Melting_Curves/meltCurve_M0QZR4_ARHGEF1.pdf", "Melting_Curves/meltCurve_M0QZR4_ARHGEF1.pdf")</f>
        <v>Melting_Curves/meltCurve_M0QZR4_ARHGEF1.pdf</v>
      </c>
    </row>
    <row r="1339" spans="1:28" x14ac:dyDescent="0.25">
      <c r="A1339" t="s">
        <v>1343</v>
      </c>
      <c r="B1339">
        <v>0.99542014353169495</v>
      </c>
      <c r="C1339">
        <v>0.89896169994958797</v>
      </c>
      <c r="D1339">
        <v>0.67045316088581097</v>
      </c>
      <c r="E1339">
        <v>0.29401236638647399</v>
      </c>
      <c r="F1339">
        <v>0.100671932854188</v>
      </c>
      <c r="G1339">
        <v>7.2433047934684205E-2</v>
      </c>
      <c r="H1339">
        <v>5.63040993511294E-2</v>
      </c>
      <c r="I1339">
        <v>5.1121708252426297E-2</v>
      </c>
      <c r="J1339">
        <v>6.7310958486372502E-2</v>
      </c>
      <c r="K1339">
        <v>8.7959214803434604E-2</v>
      </c>
      <c r="L1339">
        <v>969.26242571449598</v>
      </c>
      <c r="M1339">
        <v>21.948328421449901</v>
      </c>
      <c r="N1339">
        <v>44.4150753307133</v>
      </c>
      <c r="O1339">
        <v>43.799412031032197</v>
      </c>
      <c r="P1339">
        <v>-0.117892379183136</v>
      </c>
      <c r="Q1339">
        <v>5.8971533293176899E-2</v>
      </c>
      <c r="R1339">
        <v>0.99842177280589595</v>
      </c>
      <c r="S1339" t="s">
        <v>7741</v>
      </c>
      <c r="T1339" t="s">
        <v>12802</v>
      </c>
      <c r="U1339" t="s">
        <v>12802</v>
      </c>
      <c r="V1339" t="s">
        <v>12802</v>
      </c>
      <c r="W1339" t="s">
        <v>14108</v>
      </c>
      <c r="X1339">
        <v>6</v>
      </c>
      <c r="Y1339" t="s">
        <v>20422</v>
      </c>
      <c r="Z1339" t="s">
        <v>26657</v>
      </c>
      <c r="AA1339">
        <v>0.29383887400874809</v>
      </c>
      <c r="AB1339" t="str">
        <f>HYPERLINK("Melting_Curves/meltCurve_M0QZW1_PRKD2.pdf", "Melting_Curves/meltCurve_M0QZW1_PRKD2.pdf")</f>
        <v>Melting_Curves/meltCurve_M0QZW1_PRKD2.pdf</v>
      </c>
    </row>
    <row r="1340" spans="1:28" x14ac:dyDescent="0.25">
      <c r="A1340" t="s">
        <v>1344</v>
      </c>
      <c r="B1340">
        <v>0.99542014353169495</v>
      </c>
      <c r="C1340">
        <v>1.01399915111074</v>
      </c>
      <c r="D1340">
        <v>1.07647195022778</v>
      </c>
      <c r="E1340">
        <v>0.93016442850952297</v>
      </c>
      <c r="F1340">
        <v>0.82654781813366096</v>
      </c>
      <c r="G1340">
        <v>0.51646381855968604</v>
      </c>
      <c r="H1340">
        <v>0.42712204276590099</v>
      </c>
      <c r="I1340">
        <v>0.21304463416557401</v>
      </c>
      <c r="J1340">
        <v>0.12595658996398301</v>
      </c>
      <c r="K1340">
        <v>0.115074820826602</v>
      </c>
      <c r="L1340">
        <v>836.00174116967298</v>
      </c>
      <c r="M1340">
        <v>15.3101381495838</v>
      </c>
      <c r="N1340">
        <v>55.060490568225298</v>
      </c>
      <c r="O1340">
        <v>53.698302252897498</v>
      </c>
      <c r="P1340">
        <v>-6.7040295498516797E-2</v>
      </c>
      <c r="Q1340">
        <v>5.9547501929644302E-2</v>
      </c>
      <c r="R1340">
        <v>0.98646816060046405</v>
      </c>
      <c r="S1340" t="s">
        <v>7742</v>
      </c>
      <c r="T1340" t="s">
        <v>12802</v>
      </c>
      <c r="U1340" t="s">
        <v>12802</v>
      </c>
      <c r="V1340" t="s">
        <v>12802</v>
      </c>
      <c r="W1340" t="s">
        <v>14101</v>
      </c>
      <c r="X1340">
        <v>7</v>
      </c>
      <c r="Y1340" t="s">
        <v>20415</v>
      </c>
      <c r="Z1340" t="s">
        <v>26658</v>
      </c>
      <c r="AA1340">
        <v>0.62535552310101372</v>
      </c>
      <c r="AB1340" t="str">
        <f>HYPERLINK("Melting_Curves/meltCurve_M0R042_TUBB4A.pdf", "Melting_Curves/meltCurve_M0R042_TUBB4A.pdf")</f>
        <v>Melting_Curves/meltCurve_M0R042_TUBB4A.pdf</v>
      </c>
    </row>
    <row r="1341" spans="1:28" x14ac:dyDescent="0.25">
      <c r="A1341" t="s">
        <v>1345</v>
      </c>
      <c r="B1341">
        <v>0.99542014353169495</v>
      </c>
      <c r="C1341">
        <v>0.95874060460404098</v>
      </c>
      <c r="D1341">
        <v>0.83436504186892302</v>
      </c>
      <c r="E1341">
        <v>0.68574778418859605</v>
      </c>
      <c r="F1341">
        <v>0.44875039078273199</v>
      </c>
      <c r="G1341">
        <v>0.396655664919281</v>
      </c>
      <c r="H1341">
        <v>0.15700292173202299</v>
      </c>
      <c r="I1341">
        <v>7.9319033837891101E-2</v>
      </c>
      <c r="J1341">
        <v>9.3355122544249602E-2</v>
      </c>
      <c r="K1341">
        <v>0.11451458657779599</v>
      </c>
      <c r="L1341">
        <v>558.44753181719</v>
      </c>
      <c r="M1341">
        <v>11.2515874681902</v>
      </c>
      <c r="N1341">
        <v>49.846858221429599</v>
      </c>
      <c r="O1341">
        <v>48.142471427513797</v>
      </c>
      <c r="P1341">
        <v>-5.7067997540770798E-2</v>
      </c>
      <c r="Q1341">
        <v>2.3588727634835001E-2</v>
      </c>
      <c r="R1341">
        <v>0.98751631222273895</v>
      </c>
      <c r="S1341" t="s">
        <v>7743</v>
      </c>
      <c r="T1341" t="s">
        <v>12802</v>
      </c>
      <c r="U1341" t="s">
        <v>12802</v>
      </c>
      <c r="V1341" t="s">
        <v>12802</v>
      </c>
      <c r="W1341" t="s">
        <v>14109</v>
      </c>
      <c r="X1341">
        <v>4</v>
      </c>
      <c r="Y1341" t="s">
        <v>20423</v>
      </c>
      <c r="Z1341" t="s">
        <v>26659</v>
      </c>
      <c r="AA1341">
        <v>0.46494790559474219</v>
      </c>
      <c r="AB1341" t="str">
        <f>HYPERLINK("Melting_Curves/meltCurve_M0R0B4_KXD1.pdf", "Melting_Curves/meltCurve_M0R0B4_KXD1.pdf")</f>
        <v>Melting_Curves/meltCurve_M0R0B4_KXD1.pdf</v>
      </c>
    </row>
    <row r="1342" spans="1:28" x14ac:dyDescent="0.25">
      <c r="A1342" t="s">
        <v>1346</v>
      </c>
      <c r="B1342">
        <v>0.99542014353169495</v>
      </c>
      <c r="C1342">
        <v>0.89078743142222305</v>
      </c>
      <c r="D1342">
        <v>0.79529513381221795</v>
      </c>
      <c r="E1342">
        <v>0.64266995807803695</v>
      </c>
      <c r="F1342">
        <v>0.39128885770127497</v>
      </c>
      <c r="G1342">
        <v>0.25224861003532001</v>
      </c>
      <c r="H1342">
        <v>0.117757741664895</v>
      </c>
      <c r="I1342">
        <v>7.3466925087287499E-2</v>
      </c>
      <c r="J1342">
        <v>6.5247558715793505E-2</v>
      </c>
      <c r="K1342">
        <v>8.57254851294003E-2</v>
      </c>
      <c r="L1342">
        <v>571.00061665394105</v>
      </c>
      <c r="M1342">
        <v>11.832539078763199</v>
      </c>
      <c r="N1342">
        <v>48.397550919854702</v>
      </c>
      <c r="O1342">
        <v>46.940379878515401</v>
      </c>
      <c r="P1342">
        <v>-6.1968990113920597E-2</v>
      </c>
      <c r="Q1342">
        <v>1.6911704275916501E-2</v>
      </c>
      <c r="R1342">
        <v>0.99551321577773699</v>
      </c>
      <c r="S1342" t="s">
        <v>7744</v>
      </c>
      <c r="T1342" t="s">
        <v>12802</v>
      </c>
      <c r="U1342" t="s">
        <v>12802</v>
      </c>
      <c r="V1342" t="s">
        <v>12802</v>
      </c>
      <c r="W1342" t="s">
        <v>14110</v>
      </c>
      <c r="X1342">
        <v>10</v>
      </c>
      <c r="Y1342" t="s">
        <v>20424</v>
      </c>
      <c r="Z1342" t="s">
        <v>26660</v>
      </c>
      <c r="AA1342">
        <v>0.41679086013477817</v>
      </c>
      <c r="AB1342" t="str">
        <f>HYPERLINK("Melting_Curves/meltCurve_M0R0F0_RPS5.pdf", "Melting_Curves/meltCurve_M0R0F0_RPS5.pdf")</f>
        <v>Melting_Curves/meltCurve_M0R0F0_RPS5.pdf</v>
      </c>
    </row>
    <row r="1343" spans="1:28" x14ac:dyDescent="0.25">
      <c r="A1343" t="s">
        <v>1347</v>
      </c>
      <c r="B1343">
        <v>0.99542014353169495</v>
      </c>
      <c r="C1343">
        <v>1.1630372772175199</v>
      </c>
      <c r="D1343">
        <v>0.66419791762931102</v>
      </c>
      <c r="E1343">
        <v>0.75013036811474298</v>
      </c>
      <c r="F1343">
        <v>0.75677041925166499</v>
      </c>
      <c r="G1343">
        <v>0.33625511609618802</v>
      </c>
      <c r="H1343">
        <v>0.14861798735368401</v>
      </c>
      <c r="I1343">
        <v>7.5916238359085203E-2</v>
      </c>
      <c r="J1343">
        <v>7.7877994125025204E-2</v>
      </c>
      <c r="K1343">
        <v>8.3963252350813602E-2</v>
      </c>
      <c r="L1343">
        <v>650.44542127565001</v>
      </c>
      <c r="M1343">
        <v>12.627580727599801</v>
      </c>
      <c r="N1343">
        <v>51.509900163001802</v>
      </c>
      <c r="O1343">
        <v>50.269311684397799</v>
      </c>
      <c r="P1343">
        <v>-6.2812079572887397E-2</v>
      </c>
      <c r="Q1343">
        <v>0</v>
      </c>
      <c r="R1343">
        <v>0.90544900051530797</v>
      </c>
      <c r="S1343" t="s">
        <v>7745</v>
      </c>
      <c r="T1343" t="s">
        <v>12802</v>
      </c>
      <c r="U1343" t="s">
        <v>12802</v>
      </c>
      <c r="V1343" t="s">
        <v>12802</v>
      </c>
      <c r="W1343" t="s">
        <v>14111</v>
      </c>
      <c r="X1343">
        <v>3</v>
      </c>
      <c r="Y1343" t="s">
        <v>20425</v>
      </c>
      <c r="Z1343" t="s">
        <v>26661</v>
      </c>
      <c r="AA1343">
        <v>0.50742560024732186</v>
      </c>
      <c r="AB1343" t="str">
        <f>HYPERLINK("Melting_Curves/meltCurve_M0R0N4_AP2S1.pdf", "Melting_Curves/meltCurve_M0R0N4_AP2S1.pdf")</f>
        <v>Melting_Curves/meltCurve_M0R0N4_AP2S1.pdf</v>
      </c>
    </row>
    <row r="1344" spans="1:28" x14ac:dyDescent="0.25">
      <c r="A1344" t="s">
        <v>1348</v>
      </c>
      <c r="B1344">
        <v>0.99542014353169495</v>
      </c>
      <c r="C1344">
        <v>0.92468209197058504</v>
      </c>
      <c r="D1344">
        <v>0.94077837093280003</v>
      </c>
      <c r="E1344">
        <v>0.76644134022119204</v>
      </c>
      <c r="F1344">
        <v>0.70935818886462398</v>
      </c>
      <c r="G1344">
        <v>0.319343213184684</v>
      </c>
      <c r="H1344">
        <v>0.33298397240148497</v>
      </c>
      <c r="I1344">
        <v>0.29785679078344002</v>
      </c>
      <c r="J1344">
        <v>0.32640629709068403</v>
      </c>
      <c r="K1344">
        <v>0.35051611736746302</v>
      </c>
      <c r="L1344">
        <v>885.33384041321199</v>
      </c>
      <c r="M1344">
        <v>17.947277251734199</v>
      </c>
      <c r="N1344">
        <v>51.918749060243897</v>
      </c>
      <c r="O1344">
        <v>48.729476775466701</v>
      </c>
      <c r="P1344">
        <v>-6.4853088236829101E-2</v>
      </c>
      <c r="Q1344">
        <v>0.29569250900330302</v>
      </c>
      <c r="R1344">
        <v>0.95598849245718198</v>
      </c>
      <c r="S1344" t="s">
        <v>7746</v>
      </c>
      <c r="T1344" t="s">
        <v>12802</v>
      </c>
      <c r="U1344" t="s">
        <v>12802</v>
      </c>
      <c r="V1344" t="s">
        <v>12802</v>
      </c>
      <c r="W1344" t="s">
        <v>14112</v>
      </c>
      <c r="X1344">
        <v>1</v>
      </c>
      <c r="Y1344" t="s">
        <v>20426</v>
      </c>
      <c r="Z1344" t="s">
        <v>26662</v>
      </c>
      <c r="AA1344">
        <v>0.59638252749387066</v>
      </c>
      <c r="AB1344" t="str">
        <f>HYPERLINK("Melting_Curves/meltCurve_M0R0R3_SMIM7.pdf", "Melting_Curves/meltCurve_M0R0R3_SMIM7.pdf")</f>
        <v>Melting_Curves/meltCurve_M0R0R3_SMIM7.pdf</v>
      </c>
    </row>
    <row r="1345" spans="1:28" x14ac:dyDescent="0.25">
      <c r="A1345" t="s">
        <v>1349</v>
      </c>
      <c r="B1345">
        <v>0.99542014353169495</v>
      </c>
      <c r="C1345">
        <v>0.87802105488228699</v>
      </c>
      <c r="D1345">
        <v>1.10477090796758</v>
      </c>
      <c r="E1345">
        <v>0.78155193637420495</v>
      </c>
      <c r="F1345">
        <v>0.70691653718710501</v>
      </c>
      <c r="G1345">
        <v>0.380050978068458</v>
      </c>
      <c r="H1345">
        <v>0.46718819379946802</v>
      </c>
      <c r="I1345">
        <v>0.16124294100890399</v>
      </c>
      <c r="J1345">
        <v>5.19001839886351E-2</v>
      </c>
      <c r="K1345">
        <v>5.9271931549992003E-2</v>
      </c>
      <c r="L1345">
        <v>640.60036373014498</v>
      </c>
      <c r="M1345">
        <v>11.991776825026699</v>
      </c>
      <c r="N1345">
        <v>53.419970408901101</v>
      </c>
      <c r="O1345">
        <v>51.999452599188402</v>
      </c>
      <c r="P1345">
        <v>-5.7667315029851202E-2</v>
      </c>
      <c r="Q1345">
        <v>0</v>
      </c>
      <c r="R1345">
        <v>0.93904945213904201</v>
      </c>
      <c r="S1345" t="s">
        <v>7747</v>
      </c>
      <c r="T1345" t="s">
        <v>12802</v>
      </c>
      <c r="U1345" t="s">
        <v>12802</v>
      </c>
      <c r="V1345" t="s">
        <v>12802</v>
      </c>
      <c r="W1345" t="s">
        <v>14113</v>
      </c>
      <c r="X1345">
        <v>1</v>
      </c>
      <c r="Y1345" t="s">
        <v>20427</v>
      </c>
      <c r="Z1345" t="s">
        <v>26663</v>
      </c>
      <c r="AA1345">
        <v>0.56715175494583925</v>
      </c>
      <c r="AB1345" t="str">
        <f>HYPERLINK("Melting_Curves/meltCurve_M0R0V1_PLEKHA4.pdf", "Melting_Curves/meltCurve_M0R0V1_PLEKHA4.pdf")</f>
        <v>Melting_Curves/meltCurve_M0R0V1_PLEKHA4.pdf</v>
      </c>
    </row>
    <row r="1346" spans="1:28" x14ac:dyDescent="0.25">
      <c r="A1346" t="s">
        <v>1350</v>
      </c>
      <c r="B1346">
        <v>0.99542014353169495</v>
      </c>
      <c r="C1346">
        <v>0.93211913616570896</v>
      </c>
      <c r="D1346">
        <v>0.90470214914291103</v>
      </c>
      <c r="E1346">
        <v>0.58293404931792903</v>
      </c>
      <c r="F1346">
        <v>0.21847834303614799</v>
      </c>
      <c r="G1346">
        <v>0.11438660389248501</v>
      </c>
      <c r="H1346">
        <v>7.8521471125315503E-2</v>
      </c>
      <c r="I1346">
        <v>5.4435978091576499E-2</v>
      </c>
      <c r="J1346">
        <v>3.9680293588278098E-2</v>
      </c>
      <c r="K1346">
        <v>3.2783994379132597E-2</v>
      </c>
      <c r="L1346">
        <v>1037.4999989737801</v>
      </c>
      <c r="M1346">
        <v>22.0420198883286</v>
      </c>
      <c r="N1346">
        <v>47.268958107802</v>
      </c>
      <c r="O1346">
        <v>46.686903428616397</v>
      </c>
      <c r="P1346">
        <v>-0.11278429385248701</v>
      </c>
      <c r="Q1346">
        <v>4.4473627611092401E-2</v>
      </c>
      <c r="R1346">
        <v>0.99757537843660204</v>
      </c>
      <c r="S1346" t="s">
        <v>7748</v>
      </c>
      <c r="T1346" t="s">
        <v>12802</v>
      </c>
      <c r="U1346" t="s">
        <v>12802</v>
      </c>
      <c r="V1346" t="s">
        <v>12802</v>
      </c>
      <c r="W1346" t="s">
        <v>13699</v>
      </c>
      <c r="X1346">
        <v>5</v>
      </c>
      <c r="Z1346" t="s">
        <v>26664</v>
      </c>
      <c r="AA1346">
        <v>0.3755174583605656</v>
      </c>
      <c r="AB1346" t="str">
        <f>HYPERLINK("Melting_Curves/meltCurve_M0R150_.pdf", "Melting_Curves/meltCurve_M0R150_.pdf")</f>
        <v>Melting_Curves/meltCurve_M0R150_.pdf</v>
      </c>
    </row>
    <row r="1347" spans="1:28" x14ac:dyDescent="0.25">
      <c r="A1347" t="s">
        <v>1351</v>
      </c>
      <c r="B1347">
        <v>0.99542014353169495</v>
      </c>
      <c r="C1347">
        <v>1.3395132238651299</v>
      </c>
      <c r="D1347">
        <v>1.2776954761013399</v>
      </c>
      <c r="E1347">
        <v>3.3359863852574598</v>
      </c>
      <c r="F1347">
        <v>7.6129208473690202</v>
      </c>
      <c r="G1347">
        <v>3.2439351224174202</v>
      </c>
      <c r="H1347">
        <v>1.1467800494579901</v>
      </c>
      <c r="I1347">
        <v>0.63917992194942597</v>
      </c>
      <c r="J1347">
        <v>0.70666484288578202</v>
      </c>
      <c r="K1347">
        <v>1.46769941411208</v>
      </c>
      <c r="L1347">
        <v>1926.2907946813</v>
      </c>
      <c r="M1347">
        <v>48.897912455744802</v>
      </c>
      <c r="O1347">
        <v>39.328400619367002</v>
      </c>
      <c r="P1347">
        <v>0.15541550261589299</v>
      </c>
      <c r="Q1347">
        <v>1.5</v>
      </c>
      <c r="R1347">
        <v>-0.104699190600585</v>
      </c>
      <c r="S1347" t="s">
        <v>7749</v>
      </c>
      <c r="T1347" t="s">
        <v>12802</v>
      </c>
      <c r="U1347" t="s">
        <v>12802</v>
      </c>
      <c r="V1347" t="s">
        <v>12802</v>
      </c>
      <c r="W1347" t="s">
        <v>14114</v>
      </c>
      <c r="X1347">
        <v>2</v>
      </c>
      <c r="Y1347" t="s">
        <v>20428</v>
      </c>
      <c r="Z1347" t="s">
        <v>26665</v>
      </c>
      <c r="AA1347">
        <v>1.458716890814276</v>
      </c>
      <c r="AB1347" t="str">
        <f>HYPERLINK("Melting_Curves/meltCurve_M0R226_MRPL34.pdf", "Melting_Curves/meltCurve_M0R226_MRPL34.pdf")</f>
        <v>Melting_Curves/meltCurve_M0R226_MRPL34.pdf</v>
      </c>
    </row>
    <row r="1348" spans="1:28" x14ac:dyDescent="0.25">
      <c r="A1348" t="s">
        <v>1352</v>
      </c>
      <c r="B1348">
        <v>0.99542014353169495</v>
      </c>
      <c r="C1348">
        <v>0.92737613784885498</v>
      </c>
      <c r="D1348">
        <v>0.93968529238493304</v>
      </c>
      <c r="E1348">
        <v>0.80136729592062195</v>
      </c>
      <c r="F1348">
        <v>0.71110888897130797</v>
      </c>
      <c r="G1348">
        <v>0.45926964394842701</v>
      </c>
      <c r="H1348">
        <v>0.21787028699546199</v>
      </c>
      <c r="I1348">
        <v>0.126652137601445</v>
      </c>
      <c r="J1348">
        <v>0.11312378999096601</v>
      </c>
      <c r="K1348">
        <v>0.121373786381134</v>
      </c>
      <c r="L1348">
        <v>706.49881349673603</v>
      </c>
      <c r="M1348">
        <v>13.4681049103683</v>
      </c>
      <c r="N1348">
        <v>52.721523092907503</v>
      </c>
      <c r="O1348">
        <v>51.341190926733901</v>
      </c>
      <c r="P1348">
        <v>-6.3449843866205197E-2</v>
      </c>
      <c r="Q1348">
        <v>3.2651076651655599E-2</v>
      </c>
      <c r="R1348">
        <v>0.98879058632788797</v>
      </c>
      <c r="S1348" t="s">
        <v>7750</v>
      </c>
      <c r="T1348" t="s">
        <v>12802</v>
      </c>
      <c r="U1348" t="s">
        <v>12802</v>
      </c>
      <c r="V1348" t="s">
        <v>12802</v>
      </c>
      <c r="W1348" t="s">
        <v>14115</v>
      </c>
      <c r="X1348">
        <v>2</v>
      </c>
      <c r="Y1348" t="s">
        <v>20429</v>
      </c>
      <c r="Z1348" t="s">
        <v>26666</v>
      </c>
      <c r="AA1348">
        <v>0.55104095581536205</v>
      </c>
      <c r="AB1348" t="str">
        <f>HYPERLINK("Melting_Curves/meltCurve_M0R2A0_EMC10.pdf", "Melting_Curves/meltCurve_M0R2A0_EMC10.pdf")</f>
        <v>Melting_Curves/meltCurve_M0R2A0_EMC10.pdf</v>
      </c>
    </row>
    <row r="1349" spans="1:28" x14ac:dyDescent="0.25">
      <c r="A1349" t="s">
        <v>1353</v>
      </c>
      <c r="B1349">
        <v>0.99542014353169495</v>
      </c>
      <c r="C1349">
        <v>0.89412010311988899</v>
      </c>
      <c r="D1349">
        <v>0.80983071589459699</v>
      </c>
      <c r="E1349">
        <v>0.39676099186885999</v>
      </c>
      <c r="F1349">
        <v>0.18868976491516601</v>
      </c>
      <c r="G1349">
        <v>0.125158946227692</v>
      </c>
      <c r="H1349">
        <v>8.2713770805365294E-2</v>
      </c>
      <c r="I1349">
        <v>5.3593426981093303E-2</v>
      </c>
      <c r="J1349">
        <v>4.67999745522805E-2</v>
      </c>
      <c r="K1349">
        <v>4.0674440278647299E-2</v>
      </c>
      <c r="L1349">
        <v>877.25639091493895</v>
      </c>
      <c r="M1349">
        <v>19.268173332347299</v>
      </c>
      <c r="N1349">
        <v>45.792802671801397</v>
      </c>
      <c r="O1349">
        <v>45.046874109194</v>
      </c>
      <c r="P1349">
        <v>-0.101316061919642</v>
      </c>
      <c r="Q1349">
        <v>5.2572306248088299E-2</v>
      </c>
      <c r="R1349">
        <v>0.995718686043357</v>
      </c>
      <c r="S1349" t="s">
        <v>7751</v>
      </c>
      <c r="T1349" t="s">
        <v>12802</v>
      </c>
      <c r="U1349" t="s">
        <v>12802</v>
      </c>
      <c r="V1349" t="s">
        <v>12802</v>
      </c>
      <c r="W1349" t="s">
        <v>12861</v>
      </c>
      <c r="X1349">
        <v>39</v>
      </c>
      <c r="Y1349" t="s">
        <v>20430</v>
      </c>
      <c r="Z1349" t="s">
        <v>26667</v>
      </c>
      <c r="AA1349">
        <v>0.33531076993957132</v>
      </c>
      <c r="AB1349" t="str">
        <f>HYPERLINK("Melting_Curves/meltCurve_M0R2B7_POLD1.pdf", "Melting_Curves/meltCurve_M0R2B7_POLD1.pdf")</f>
        <v>Melting_Curves/meltCurve_M0R2B7_POLD1.pdf</v>
      </c>
    </row>
    <row r="1350" spans="1:28" x14ac:dyDescent="0.25">
      <c r="A1350" t="s">
        <v>1354</v>
      </c>
      <c r="B1350">
        <v>0.99542014353169495</v>
      </c>
      <c r="C1350">
        <v>1.01588230102029</v>
      </c>
      <c r="D1350">
        <v>0.92318396738917197</v>
      </c>
      <c r="E1350">
        <v>0.86584141002695503</v>
      </c>
      <c r="F1350">
        <v>0.80352386452314095</v>
      </c>
      <c r="G1350">
        <v>0.60151064270621002</v>
      </c>
      <c r="H1350">
        <v>0.57218886599584895</v>
      </c>
      <c r="I1350">
        <v>0.44015408019967101</v>
      </c>
      <c r="J1350">
        <v>0.53635080803848501</v>
      </c>
      <c r="K1350">
        <v>0.56274296564385595</v>
      </c>
      <c r="L1350">
        <v>796.76002609064403</v>
      </c>
      <c r="M1350">
        <v>15.861895630308799</v>
      </c>
      <c r="O1350">
        <v>49.453020521333201</v>
      </c>
      <c r="P1350">
        <v>-4.0146062930562602E-2</v>
      </c>
      <c r="Q1350">
        <v>0.499383175051064</v>
      </c>
      <c r="R1350">
        <v>0.95600835507378701</v>
      </c>
      <c r="S1350" t="s">
        <v>7752</v>
      </c>
      <c r="T1350" t="s">
        <v>12802</v>
      </c>
      <c r="U1350" t="s">
        <v>12802</v>
      </c>
      <c r="V1350" t="s">
        <v>12802</v>
      </c>
      <c r="W1350" t="s">
        <v>14116</v>
      </c>
      <c r="X1350">
        <v>2</v>
      </c>
      <c r="Y1350" t="s">
        <v>19286</v>
      </c>
      <c r="Z1350" t="s">
        <v>26668</v>
      </c>
      <c r="AA1350">
        <v>0.72974840780315187</v>
      </c>
      <c r="AB1350" t="str">
        <f>HYPERLINK("Melting_Curves/meltCurve_M0R2C4_LSR.pdf", "Melting_Curves/meltCurve_M0R2C4_LSR.pdf")</f>
        <v>Melting_Curves/meltCurve_M0R2C4_LSR.pdf</v>
      </c>
    </row>
    <row r="1351" spans="1:28" x14ac:dyDescent="0.25">
      <c r="A1351" t="s">
        <v>1355</v>
      </c>
      <c r="B1351">
        <v>0.99542014353169495</v>
      </c>
      <c r="C1351">
        <v>0.90511101661070303</v>
      </c>
      <c r="D1351">
        <v>0.88451171581621901</v>
      </c>
      <c r="E1351">
        <v>0.52908282510915805</v>
      </c>
      <c r="F1351">
        <v>0.25001631323779999</v>
      </c>
      <c r="G1351">
        <v>0.14016631663510001</v>
      </c>
      <c r="H1351">
        <v>0.115547079576983</v>
      </c>
      <c r="I1351">
        <v>7.1379688769989E-2</v>
      </c>
      <c r="J1351">
        <v>8.4259527672307905E-2</v>
      </c>
      <c r="K1351">
        <v>8.7080617336004196E-2</v>
      </c>
      <c r="L1351">
        <v>935.48435069108302</v>
      </c>
      <c r="M1351">
        <v>20.092833790912501</v>
      </c>
      <c r="N1351">
        <v>46.968562816562802</v>
      </c>
      <c r="O1351">
        <v>46.104277981604703</v>
      </c>
      <c r="P1351">
        <v>-0.100183623756245</v>
      </c>
      <c r="Q1351">
        <v>8.0518389652432396E-2</v>
      </c>
      <c r="R1351">
        <v>0.99578449199054297</v>
      </c>
      <c r="S1351" t="s">
        <v>7753</v>
      </c>
      <c r="T1351" t="s">
        <v>12802</v>
      </c>
      <c r="U1351" t="s">
        <v>12802</v>
      </c>
      <c r="V1351" t="s">
        <v>12802</v>
      </c>
      <c r="W1351" t="s">
        <v>14117</v>
      </c>
      <c r="X1351">
        <v>10</v>
      </c>
      <c r="Y1351" t="s">
        <v>20431</v>
      </c>
      <c r="Z1351" t="s">
        <v>26669</v>
      </c>
      <c r="AA1351">
        <v>0.38538268280587978</v>
      </c>
      <c r="AB1351" t="str">
        <f>HYPERLINK("Melting_Curves/meltCurve_M0R300_MYO9B.pdf", "Melting_Curves/meltCurve_M0R300_MYO9B.pdf")</f>
        <v>Melting_Curves/meltCurve_M0R300_MYO9B.pdf</v>
      </c>
    </row>
    <row r="1352" spans="1:28" x14ac:dyDescent="0.25">
      <c r="A1352" t="s">
        <v>1356</v>
      </c>
      <c r="B1352">
        <v>0.99542014353169495</v>
      </c>
      <c r="C1352">
        <v>0.99539263427283897</v>
      </c>
      <c r="D1352">
        <v>0.91684537814209399</v>
      </c>
      <c r="E1352">
        <v>0.91306766083156199</v>
      </c>
      <c r="F1352">
        <v>0.73829478684580996</v>
      </c>
      <c r="G1352">
        <v>0.61262649734681596</v>
      </c>
      <c r="H1352">
        <v>0.485957162340174</v>
      </c>
      <c r="I1352">
        <v>0.39442812907303099</v>
      </c>
      <c r="J1352">
        <v>0.44760724724945899</v>
      </c>
      <c r="K1352">
        <v>0.46808961951167799</v>
      </c>
      <c r="L1352">
        <v>825.06683431189003</v>
      </c>
      <c r="M1352">
        <v>16.192323270893201</v>
      </c>
      <c r="N1352">
        <v>57.251122468191298</v>
      </c>
      <c r="O1352">
        <v>50.196040545305898</v>
      </c>
      <c r="P1352">
        <v>-4.7119650994157901E-2</v>
      </c>
      <c r="Q1352">
        <v>0.415761907272859</v>
      </c>
      <c r="R1352">
        <v>0.98239961462730097</v>
      </c>
      <c r="S1352" t="s">
        <v>7754</v>
      </c>
      <c r="T1352" t="s">
        <v>12802</v>
      </c>
      <c r="U1352" t="s">
        <v>12802</v>
      </c>
      <c r="V1352" t="s">
        <v>12802</v>
      </c>
      <c r="W1352" t="s">
        <v>14118</v>
      </c>
      <c r="X1352">
        <v>3</v>
      </c>
      <c r="Y1352" t="s">
        <v>20432</v>
      </c>
      <c r="Z1352" t="s">
        <v>26670</v>
      </c>
      <c r="AA1352">
        <v>0.69812861302638529</v>
      </c>
      <c r="AB1352" t="str">
        <f>HYPERLINK("Melting_Curves/meltCurve_M0R3D4_RABAC1.pdf", "Melting_Curves/meltCurve_M0R3D4_RABAC1.pdf")</f>
        <v>Melting_Curves/meltCurve_M0R3D4_RABAC1.pdf</v>
      </c>
    </row>
    <row r="1353" spans="1:28" x14ac:dyDescent="0.25">
      <c r="A1353" t="s">
        <v>1357</v>
      </c>
      <c r="B1353">
        <v>0.99542014353169495</v>
      </c>
      <c r="C1353">
        <v>0.95813754949950702</v>
      </c>
      <c r="D1353">
        <v>0.90416741512804299</v>
      </c>
      <c r="E1353">
        <v>0.79281336992483398</v>
      </c>
      <c r="F1353">
        <v>0.56754931668637199</v>
      </c>
      <c r="G1353">
        <v>0.17906036963962699</v>
      </c>
      <c r="H1353">
        <v>8.8769523503356207E-2</v>
      </c>
      <c r="I1353">
        <v>6.0260894794652298E-2</v>
      </c>
      <c r="J1353">
        <v>6.7243874792110706E-2</v>
      </c>
      <c r="K1353">
        <v>6.5253848151008098E-2</v>
      </c>
      <c r="L1353">
        <v>973.70389928469206</v>
      </c>
      <c r="M1353">
        <v>19.454987215356098</v>
      </c>
      <c r="N1353">
        <v>50.240841626917998</v>
      </c>
      <c r="O1353">
        <v>49.529294196182001</v>
      </c>
      <c r="P1353">
        <v>-9.4688694230472603E-2</v>
      </c>
      <c r="Q1353">
        <v>3.5786226586922598E-2</v>
      </c>
      <c r="R1353">
        <v>0.99132782490677895</v>
      </c>
      <c r="S1353" t="s">
        <v>7755</v>
      </c>
      <c r="T1353" t="s">
        <v>12802</v>
      </c>
      <c r="U1353" t="s">
        <v>12802</v>
      </c>
      <c r="V1353" t="s">
        <v>12802</v>
      </c>
      <c r="W1353" t="s">
        <v>14119</v>
      </c>
      <c r="X1353">
        <v>30</v>
      </c>
      <c r="Y1353" t="s">
        <v>20433</v>
      </c>
      <c r="Z1353" t="s">
        <v>26671</v>
      </c>
      <c r="AA1353">
        <v>0.46850810921576902</v>
      </c>
      <c r="AB1353" t="str">
        <f>HYPERLINK("Melting_Curves/meltCurve_O00116_AGPS.pdf", "Melting_Curves/meltCurve_O00116_AGPS.pdf")</f>
        <v>Melting_Curves/meltCurve_O00116_AGPS.pdf</v>
      </c>
    </row>
    <row r="1354" spans="1:28" x14ac:dyDescent="0.25">
      <c r="A1354" t="s">
        <v>1358</v>
      </c>
      <c r="B1354">
        <v>0.99542014353169495</v>
      </c>
      <c r="C1354">
        <v>0.89651129464712898</v>
      </c>
      <c r="D1354">
        <v>1.0034334434016501</v>
      </c>
      <c r="E1354">
        <v>0.52362882882909501</v>
      </c>
      <c r="F1354">
        <v>0.14503138861906301</v>
      </c>
      <c r="G1354">
        <v>6.4407093620715103E-2</v>
      </c>
      <c r="H1354">
        <v>3.6626000349617598E-2</v>
      </c>
      <c r="I1354">
        <v>1.4256744437736E-2</v>
      </c>
      <c r="J1354">
        <v>1.6757239552016402E-2</v>
      </c>
      <c r="K1354">
        <v>1.9815756291361598E-2</v>
      </c>
      <c r="L1354">
        <v>1534.4330112789601</v>
      </c>
      <c r="M1354">
        <v>32.8143715411044</v>
      </c>
      <c r="N1354">
        <v>46.849157907278197</v>
      </c>
      <c r="O1354">
        <v>46.588367143181898</v>
      </c>
      <c r="P1354">
        <v>-0.17081582197529399</v>
      </c>
      <c r="Q1354">
        <v>2.9937973167516799E-2</v>
      </c>
      <c r="R1354">
        <v>0.99129888356462004</v>
      </c>
      <c r="S1354" t="s">
        <v>7756</v>
      </c>
      <c r="T1354" t="s">
        <v>12802</v>
      </c>
      <c r="U1354" t="s">
        <v>12802</v>
      </c>
      <c r="V1354" t="s">
        <v>12802</v>
      </c>
      <c r="W1354" t="s">
        <v>14120</v>
      </c>
      <c r="X1354">
        <v>3</v>
      </c>
      <c r="Y1354" t="s">
        <v>20434</v>
      </c>
      <c r="Z1354" t="s">
        <v>26672</v>
      </c>
      <c r="AA1354">
        <v>0.35024441457214278</v>
      </c>
      <c r="AB1354" t="str">
        <f>HYPERLINK("Melting_Curves/meltCurve_O00124_3_UBXN8.pdf", "Melting_Curves/meltCurve_O00124_3_UBXN8.pdf")</f>
        <v>Melting_Curves/meltCurve_O00124_3_UBXN8.pdf</v>
      </c>
    </row>
    <row r="1355" spans="1:28" x14ac:dyDescent="0.25">
      <c r="A1355" t="s">
        <v>1359</v>
      </c>
      <c r="B1355">
        <v>0.99542014353169495</v>
      </c>
      <c r="C1355">
        <v>0.98493631207481902</v>
      </c>
      <c r="D1355">
        <v>0.97528259322534305</v>
      </c>
      <c r="E1355">
        <v>0.80605566353409897</v>
      </c>
      <c r="F1355">
        <v>0.479633100436134</v>
      </c>
      <c r="G1355">
        <v>0.105027942339236</v>
      </c>
      <c r="H1355">
        <v>5.7853995134314502E-2</v>
      </c>
      <c r="I1355">
        <v>3.7113319338493003E-2</v>
      </c>
      <c r="J1355">
        <v>4.3007977567874098E-2</v>
      </c>
      <c r="K1355">
        <v>3.7664032227340299E-2</v>
      </c>
      <c r="L1355">
        <v>1220.4747379262501</v>
      </c>
      <c r="M1355">
        <v>24.6048686727137</v>
      </c>
      <c r="N1355">
        <v>49.710884015203099</v>
      </c>
      <c r="O1355">
        <v>49.278807126677101</v>
      </c>
      <c r="P1355">
        <v>-0.12158058410389599</v>
      </c>
      <c r="Q1355">
        <v>2.6004159066684199E-2</v>
      </c>
      <c r="R1355">
        <v>0.99731271912458397</v>
      </c>
      <c r="S1355" t="s">
        <v>7757</v>
      </c>
      <c r="T1355" t="s">
        <v>12802</v>
      </c>
      <c r="U1355" t="s">
        <v>12802</v>
      </c>
      <c r="V1355" t="s">
        <v>12802</v>
      </c>
      <c r="W1355" t="s">
        <v>14121</v>
      </c>
      <c r="X1355">
        <v>31</v>
      </c>
      <c r="Y1355" t="s">
        <v>20435</v>
      </c>
      <c r="Z1355" t="s">
        <v>26673</v>
      </c>
      <c r="AA1355">
        <v>0.44392233082967408</v>
      </c>
      <c r="AB1355" t="str">
        <f>HYPERLINK("Melting_Curves/meltCurve_O00139_1_KIF2A.pdf", "Melting_Curves/meltCurve_O00139_1_KIF2A.pdf")</f>
        <v>Melting_Curves/meltCurve_O00139_1_KIF2A.pdf</v>
      </c>
    </row>
    <row r="1356" spans="1:28" x14ac:dyDescent="0.25">
      <c r="A1356" t="s">
        <v>1360</v>
      </c>
      <c r="B1356">
        <v>0.99542014353169495</v>
      </c>
      <c r="C1356">
        <v>0.87868989914417195</v>
      </c>
      <c r="D1356">
        <v>1.1829291947080001</v>
      </c>
      <c r="E1356">
        <v>0.97775633611400803</v>
      </c>
      <c r="F1356">
        <v>0.65559201150504398</v>
      </c>
      <c r="G1356">
        <v>2.8943406781933499E-2</v>
      </c>
      <c r="H1356">
        <v>0</v>
      </c>
      <c r="I1356">
        <v>0</v>
      </c>
      <c r="J1356">
        <v>4.68106198968051E-2</v>
      </c>
      <c r="K1356">
        <v>0</v>
      </c>
      <c r="L1356">
        <v>3355.06935057177</v>
      </c>
      <c r="M1356">
        <v>66.209506445756702</v>
      </c>
      <c r="N1356">
        <v>50.690513174718198</v>
      </c>
      <c r="O1356">
        <v>50.627361651137598</v>
      </c>
      <c r="P1356">
        <v>-0.32335910705943599</v>
      </c>
      <c r="Q1356">
        <v>1.09689902017879E-2</v>
      </c>
      <c r="R1356">
        <v>0.97796230560256603</v>
      </c>
      <c r="S1356" t="s">
        <v>7758</v>
      </c>
      <c r="T1356" t="s">
        <v>12802</v>
      </c>
      <c r="U1356" t="s">
        <v>12802</v>
      </c>
      <c r="V1356" t="s">
        <v>12802</v>
      </c>
      <c r="W1356" t="s">
        <v>14122</v>
      </c>
      <c r="X1356">
        <v>30</v>
      </c>
      <c r="Y1356" t="s">
        <v>20435</v>
      </c>
      <c r="Z1356" t="s">
        <v>26674</v>
      </c>
      <c r="AA1356">
        <v>0.46301151558939629</v>
      </c>
      <c r="AB1356" t="str">
        <f>HYPERLINK("Melting_Curves/meltCurve_O00139_2_KIF2A.pdf", "Melting_Curves/meltCurve_O00139_2_KIF2A.pdf")</f>
        <v>Melting_Curves/meltCurve_O00139_2_KIF2A.pdf</v>
      </c>
    </row>
    <row r="1357" spans="1:28" x14ac:dyDescent="0.25">
      <c r="A1357" t="s">
        <v>1361</v>
      </c>
      <c r="B1357">
        <v>0.99542014353169495</v>
      </c>
      <c r="C1357">
        <v>1.0690322844417399</v>
      </c>
      <c r="D1357">
        <v>1.0073927998716801</v>
      </c>
      <c r="E1357">
        <v>0.839148162377094</v>
      </c>
      <c r="F1357">
        <v>0.32420542508876499</v>
      </c>
      <c r="G1357">
        <v>0.183749640103195</v>
      </c>
      <c r="H1357">
        <v>0.115388623170875</v>
      </c>
      <c r="I1357">
        <v>8.1402602583923095E-2</v>
      </c>
      <c r="J1357">
        <v>8.0074524867920605E-2</v>
      </c>
      <c r="K1357">
        <v>8.5404047334138894E-2</v>
      </c>
      <c r="L1357">
        <v>1605.9747518889101</v>
      </c>
      <c r="M1357">
        <v>32.986958253011203</v>
      </c>
      <c r="N1357">
        <v>49.007803061340503</v>
      </c>
      <c r="O1357">
        <v>48.507264398463199</v>
      </c>
      <c r="P1357">
        <v>-0.153416665947782</v>
      </c>
      <c r="Q1357">
        <v>9.7608273906272094E-2</v>
      </c>
      <c r="R1357">
        <v>0.99492274974622197</v>
      </c>
      <c r="S1357" t="s">
        <v>7759</v>
      </c>
      <c r="T1357" t="s">
        <v>12802</v>
      </c>
      <c r="U1357" t="s">
        <v>12802</v>
      </c>
      <c r="V1357" t="s">
        <v>12802</v>
      </c>
      <c r="W1357" t="s">
        <v>14123</v>
      </c>
      <c r="X1357">
        <v>26</v>
      </c>
      <c r="Y1357" t="s">
        <v>20436</v>
      </c>
      <c r="Z1357" t="s">
        <v>26675</v>
      </c>
      <c r="AA1357">
        <v>0.45356916671740583</v>
      </c>
      <c r="AB1357" t="str">
        <f>HYPERLINK("Melting_Curves/meltCurve_O00148_DDX39A.pdf", "Melting_Curves/meltCurve_O00148_DDX39A.pdf")</f>
        <v>Melting_Curves/meltCurve_O00148_DDX39A.pdf</v>
      </c>
    </row>
    <row r="1358" spans="1:28" x14ac:dyDescent="0.25">
      <c r="A1358" t="s">
        <v>1362</v>
      </c>
      <c r="B1358">
        <v>0.99542014353169495</v>
      </c>
      <c r="C1358">
        <v>1.01557216629934</v>
      </c>
      <c r="D1358">
        <v>1.01822699365103</v>
      </c>
      <c r="E1358">
        <v>1.0523009136872199</v>
      </c>
      <c r="F1358">
        <v>0.79242451068017805</v>
      </c>
      <c r="G1358">
        <v>0.56367343806215697</v>
      </c>
      <c r="H1358">
        <v>0.35279205057353602</v>
      </c>
      <c r="I1358">
        <v>0.35865771693073401</v>
      </c>
      <c r="J1358">
        <v>0.54733988631485198</v>
      </c>
      <c r="K1358">
        <v>0.678573716592625</v>
      </c>
      <c r="L1358">
        <v>2377.0576538518399</v>
      </c>
      <c r="M1358">
        <v>46.891509855251101</v>
      </c>
      <c r="N1358">
        <v>55.655813785851201</v>
      </c>
      <c r="O1358">
        <v>50.6007715957466</v>
      </c>
      <c r="P1358">
        <v>-0.117606469515158</v>
      </c>
      <c r="Q1358">
        <v>0.49236257954581197</v>
      </c>
      <c r="R1358">
        <v>0.88102354580114195</v>
      </c>
      <c r="S1358" t="s">
        <v>7760</v>
      </c>
      <c r="T1358" t="s">
        <v>12802</v>
      </c>
      <c r="U1358" t="s">
        <v>12802</v>
      </c>
      <c r="V1358" t="s">
        <v>12802</v>
      </c>
      <c r="W1358" t="s">
        <v>14124</v>
      </c>
      <c r="X1358">
        <v>23</v>
      </c>
      <c r="Y1358" t="s">
        <v>20437</v>
      </c>
      <c r="Z1358" t="s">
        <v>26676</v>
      </c>
      <c r="AA1358">
        <v>0.72535151727312175</v>
      </c>
      <c r="AB1358" t="str">
        <f>HYPERLINK("Melting_Curves/meltCurve_O00151_PDLIM1.pdf", "Melting_Curves/meltCurve_O00151_PDLIM1.pdf")</f>
        <v>Melting_Curves/meltCurve_O00151_PDLIM1.pdf</v>
      </c>
    </row>
    <row r="1359" spans="1:28" x14ac:dyDescent="0.25">
      <c r="A1359" t="s">
        <v>1363</v>
      </c>
      <c r="B1359">
        <v>0.99542014353169495</v>
      </c>
      <c r="C1359">
        <v>0.99624030835435196</v>
      </c>
      <c r="D1359">
        <v>0.94162802815350399</v>
      </c>
      <c r="E1359">
        <v>0.90246277106135897</v>
      </c>
      <c r="F1359">
        <v>0.80986541967957704</v>
      </c>
      <c r="G1359">
        <v>0.68776185279538804</v>
      </c>
      <c r="H1359">
        <v>0.51254059021405196</v>
      </c>
      <c r="I1359">
        <v>0.466922757289713</v>
      </c>
      <c r="J1359">
        <v>0.35749266375745298</v>
      </c>
      <c r="K1359">
        <v>9.9551892895604593E-2</v>
      </c>
      <c r="L1359">
        <v>555.08936500561299</v>
      </c>
      <c r="M1359">
        <v>9.5304543730869504</v>
      </c>
      <c r="N1359">
        <v>58.243762549575898</v>
      </c>
      <c r="O1359">
        <v>55.852436880538399</v>
      </c>
      <c r="P1359">
        <v>-4.2684007162737299E-2</v>
      </c>
      <c r="Q1359">
        <v>0</v>
      </c>
      <c r="R1359">
        <v>0.96924905950235196</v>
      </c>
      <c r="S1359" t="s">
        <v>7761</v>
      </c>
      <c r="T1359" t="s">
        <v>12802</v>
      </c>
      <c r="U1359" t="s">
        <v>12802</v>
      </c>
      <c r="V1359" t="s">
        <v>12802</v>
      </c>
      <c r="W1359" t="s">
        <v>14125</v>
      </c>
      <c r="X1359">
        <v>22</v>
      </c>
      <c r="Y1359" t="s">
        <v>20438</v>
      </c>
      <c r="Z1359" t="s">
        <v>26677</v>
      </c>
      <c r="AA1359">
        <v>0.69507267326887756</v>
      </c>
      <c r="AB1359" t="str">
        <f>HYPERLINK("Melting_Curves/meltCurve_O00154_4_ACOT7.pdf", "Melting_Curves/meltCurve_O00154_4_ACOT7.pdf")</f>
        <v>Melting_Curves/meltCurve_O00154_4_ACOT7.pdf</v>
      </c>
    </row>
    <row r="1360" spans="1:28" x14ac:dyDescent="0.25">
      <c r="A1360" t="s">
        <v>1364</v>
      </c>
      <c r="B1360">
        <v>0.99542014353169495</v>
      </c>
      <c r="C1360">
        <v>0.73003207905551204</v>
      </c>
      <c r="D1360">
        <v>0.707774982511853</v>
      </c>
      <c r="E1360">
        <v>0.38088692498938997</v>
      </c>
      <c r="F1360">
        <v>9.2337605889721203E-2</v>
      </c>
      <c r="G1360">
        <v>5.8468819884600197E-2</v>
      </c>
      <c r="H1360">
        <v>3.7308526148486398E-2</v>
      </c>
      <c r="I1360">
        <v>2.9640517925381499E-2</v>
      </c>
      <c r="J1360">
        <v>1.46704252295822E-2</v>
      </c>
      <c r="K1360">
        <v>1.0239069799932801E-2</v>
      </c>
      <c r="L1360">
        <v>660.43199746726998</v>
      </c>
      <c r="M1360">
        <v>14.798761340704599</v>
      </c>
      <c r="N1360">
        <v>44.627520408955</v>
      </c>
      <c r="O1360">
        <v>43.836404508053398</v>
      </c>
      <c r="P1360">
        <v>-8.4406685629438497E-2</v>
      </c>
      <c r="Q1360">
        <v>0</v>
      </c>
      <c r="R1360">
        <v>0.97757849201073999</v>
      </c>
      <c r="S1360" t="s">
        <v>7762</v>
      </c>
      <c r="T1360" t="s">
        <v>12802</v>
      </c>
      <c r="U1360" t="s">
        <v>12802</v>
      </c>
      <c r="V1360" t="s">
        <v>12802</v>
      </c>
      <c r="W1360" t="s">
        <v>14126</v>
      </c>
      <c r="X1360">
        <v>7</v>
      </c>
      <c r="Y1360" t="s">
        <v>20439</v>
      </c>
      <c r="Z1360" t="s">
        <v>26678</v>
      </c>
      <c r="AA1360">
        <v>0.279048994432536</v>
      </c>
      <c r="AB1360" t="str">
        <f>HYPERLINK("Melting_Curves/meltCurve_O00159_MYO1C.pdf", "Melting_Curves/meltCurve_O00159_MYO1C.pdf")</f>
        <v>Melting_Curves/meltCurve_O00159_MYO1C.pdf</v>
      </c>
    </row>
    <row r="1361" spans="1:28" x14ac:dyDescent="0.25">
      <c r="A1361" t="s">
        <v>1365</v>
      </c>
      <c r="B1361">
        <v>0.99542014353169495</v>
      </c>
      <c r="C1361">
        <v>1.05004801046066</v>
      </c>
      <c r="D1361">
        <v>0.98024737214548097</v>
      </c>
      <c r="E1361">
        <v>0.90605072603866299</v>
      </c>
      <c r="F1361">
        <v>0.70945307354371101</v>
      </c>
      <c r="G1361">
        <v>0.58305692390681996</v>
      </c>
      <c r="H1361">
        <v>0.497649524296009</v>
      </c>
      <c r="I1361">
        <v>0.45274762881125702</v>
      </c>
      <c r="J1361">
        <v>0.66905078032294196</v>
      </c>
      <c r="K1361">
        <v>0.83431163437415501</v>
      </c>
      <c r="L1361">
        <v>1680.97257856546</v>
      </c>
      <c r="M1361">
        <v>34.795062597669499</v>
      </c>
      <c r="O1361">
        <v>48.151924840809698</v>
      </c>
      <c r="P1361">
        <v>-7.08896954240157E-2</v>
      </c>
      <c r="Q1361">
        <v>0.60759226286020196</v>
      </c>
      <c r="R1361">
        <v>0.77102898086225302</v>
      </c>
      <c r="S1361" t="s">
        <v>7763</v>
      </c>
      <c r="T1361" t="s">
        <v>12802</v>
      </c>
      <c r="U1361" t="s">
        <v>12802</v>
      </c>
      <c r="V1361" t="s">
        <v>12802</v>
      </c>
      <c r="W1361" t="s">
        <v>14127</v>
      </c>
      <c r="X1361">
        <v>23</v>
      </c>
      <c r="Y1361" t="s">
        <v>20440</v>
      </c>
      <c r="Z1361" t="s">
        <v>26679</v>
      </c>
      <c r="AA1361">
        <v>0.75727384435711131</v>
      </c>
      <c r="AB1361" t="str">
        <f>HYPERLINK("Melting_Curves/meltCurve_O00161_SNAP23.pdf", "Melting_Curves/meltCurve_O00161_SNAP23.pdf")</f>
        <v>Melting_Curves/meltCurve_O00161_SNAP23.pdf</v>
      </c>
    </row>
    <row r="1362" spans="1:28" x14ac:dyDescent="0.25">
      <c r="A1362" t="s">
        <v>1366</v>
      </c>
      <c r="B1362">
        <v>0.99542014353169495</v>
      </c>
      <c r="C1362">
        <v>0.89964557719253202</v>
      </c>
      <c r="D1362">
        <v>0.82691596349252905</v>
      </c>
      <c r="E1362">
        <v>0.52091017111987004</v>
      </c>
      <c r="F1362">
        <v>0.29296598904326399</v>
      </c>
      <c r="G1362">
        <v>0.12450990194611999</v>
      </c>
      <c r="H1362">
        <v>7.6182997708587705E-2</v>
      </c>
      <c r="I1362">
        <v>3.6073774442513598E-2</v>
      </c>
      <c r="J1362">
        <v>4.0540989314232799E-2</v>
      </c>
      <c r="K1362">
        <v>3.4409053414682901E-2</v>
      </c>
      <c r="L1362">
        <v>718.19341683082098</v>
      </c>
      <c r="M1362">
        <v>15.318119512130099</v>
      </c>
      <c r="N1362">
        <v>46.998638599509299</v>
      </c>
      <c r="O1362">
        <v>46.107958920545599</v>
      </c>
      <c r="P1362">
        <v>-8.1556228960343397E-2</v>
      </c>
      <c r="Q1362">
        <v>1.8145490086598399E-2</v>
      </c>
      <c r="R1362">
        <v>0.998005680909686</v>
      </c>
      <c r="S1362" t="s">
        <v>7764</v>
      </c>
      <c r="T1362" t="s">
        <v>12802</v>
      </c>
      <c r="U1362" t="s">
        <v>12802</v>
      </c>
      <c r="V1362" t="s">
        <v>12802</v>
      </c>
      <c r="W1362" t="s">
        <v>14128</v>
      </c>
      <c r="X1362">
        <v>5</v>
      </c>
      <c r="Y1362" t="s">
        <v>20441</v>
      </c>
      <c r="Z1362" t="s">
        <v>26680</v>
      </c>
      <c r="AA1362">
        <v>0.3630079256607634</v>
      </c>
      <c r="AB1362" t="str">
        <f>HYPERLINK("Melting_Curves/meltCurve_O00165_5_HAX1.pdf", "Melting_Curves/meltCurve_O00165_5_HAX1.pdf")</f>
        <v>Melting_Curves/meltCurve_O00165_5_HAX1.pdf</v>
      </c>
    </row>
    <row r="1363" spans="1:28" x14ac:dyDescent="0.25">
      <c r="A1363" t="s">
        <v>1367</v>
      </c>
      <c r="B1363">
        <v>0.99542014353169495</v>
      </c>
      <c r="C1363">
        <v>0.97816215484854196</v>
      </c>
      <c r="D1363">
        <v>0.92437488671067203</v>
      </c>
      <c r="E1363">
        <v>0.718256882076032</v>
      </c>
      <c r="F1363">
        <v>0.28897254975122499</v>
      </c>
      <c r="G1363">
        <v>0.12077927166093</v>
      </c>
      <c r="H1363">
        <v>8.2344632185790204E-2</v>
      </c>
      <c r="I1363">
        <v>5.8149832729749801E-2</v>
      </c>
      <c r="J1363">
        <v>5.6290382024494497E-2</v>
      </c>
      <c r="K1363">
        <v>5.7778380030193102E-2</v>
      </c>
      <c r="L1363">
        <v>1186.56962896407</v>
      </c>
      <c r="M1363">
        <v>24.6886818630284</v>
      </c>
      <c r="N1363">
        <v>48.295618762459704</v>
      </c>
      <c r="O1363">
        <v>47.749287403521301</v>
      </c>
      <c r="P1363">
        <v>-0.121966993606701</v>
      </c>
      <c r="Q1363">
        <v>5.6449467849074397E-2</v>
      </c>
      <c r="R1363">
        <v>0.99907863659725504</v>
      </c>
      <c r="S1363" t="s">
        <v>7765</v>
      </c>
      <c r="T1363" t="s">
        <v>12802</v>
      </c>
      <c r="U1363" t="s">
        <v>12802</v>
      </c>
      <c r="V1363" t="s">
        <v>12802</v>
      </c>
      <c r="W1363" t="s">
        <v>14129</v>
      </c>
      <c r="X1363">
        <v>15</v>
      </c>
      <c r="Y1363" t="s">
        <v>20442</v>
      </c>
      <c r="Z1363" t="s">
        <v>26681</v>
      </c>
      <c r="AA1363">
        <v>0.41259471322442742</v>
      </c>
      <c r="AB1363" t="str">
        <f>HYPERLINK("Melting_Curves/meltCurve_O00170_AIP.pdf", "Melting_Curves/meltCurve_O00170_AIP.pdf")</f>
        <v>Melting_Curves/meltCurve_O00170_AIP.pdf</v>
      </c>
    </row>
    <row r="1364" spans="1:28" x14ac:dyDescent="0.25">
      <c r="A1364" t="s">
        <v>1368</v>
      </c>
      <c r="B1364">
        <v>0.99542014353169495</v>
      </c>
      <c r="C1364">
        <v>0.99014561439924897</v>
      </c>
      <c r="D1364">
        <v>0.96808485245001996</v>
      </c>
      <c r="E1364">
        <v>0.88788119247512998</v>
      </c>
      <c r="F1364">
        <v>0.57938460421014004</v>
      </c>
      <c r="G1364">
        <v>0.25080942421025598</v>
      </c>
      <c r="H1364">
        <v>9.4949900328323206E-2</v>
      </c>
      <c r="I1364">
        <v>5.9953730057021898E-2</v>
      </c>
      <c r="J1364">
        <v>5.96132827304846E-2</v>
      </c>
      <c r="K1364">
        <v>6.6382916289371402E-2</v>
      </c>
      <c r="L1364">
        <v>1173.38655411025</v>
      </c>
      <c r="M1364">
        <v>23.152713544133</v>
      </c>
      <c r="N1364">
        <v>50.9088260811033</v>
      </c>
      <c r="O1364">
        <v>50.306774573685601</v>
      </c>
      <c r="P1364">
        <v>-0.109380928878041</v>
      </c>
      <c r="Q1364">
        <v>4.9355460791558801E-2</v>
      </c>
      <c r="R1364">
        <v>0.99949200502349</v>
      </c>
      <c r="S1364" t="s">
        <v>7766</v>
      </c>
      <c r="T1364" t="s">
        <v>12802</v>
      </c>
      <c r="U1364" t="s">
        <v>12802</v>
      </c>
      <c r="V1364" t="s">
        <v>12802</v>
      </c>
      <c r="W1364" t="s">
        <v>14130</v>
      </c>
      <c r="X1364">
        <v>17</v>
      </c>
      <c r="Y1364" t="s">
        <v>20443</v>
      </c>
      <c r="Z1364" t="s">
        <v>26682</v>
      </c>
      <c r="AA1364">
        <v>0.49250210066005001</v>
      </c>
      <c r="AB1364" t="str">
        <f>HYPERLINK("Melting_Curves/meltCurve_O00178_GTPBP1.pdf", "Melting_Curves/meltCurve_O00178_GTPBP1.pdf")</f>
        <v>Melting_Curves/meltCurve_O00178_GTPBP1.pdf</v>
      </c>
    </row>
    <row r="1365" spans="1:28" x14ac:dyDescent="0.25">
      <c r="A1365" t="s">
        <v>1369</v>
      </c>
      <c r="B1365">
        <v>0.99542014353169495</v>
      </c>
      <c r="C1365">
        <v>0.95156593906431797</v>
      </c>
      <c r="D1365">
        <v>0.87925560797841196</v>
      </c>
      <c r="E1365">
        <v>0.88911768056955898</v>
      </c>
      <c r="F1365">
        <v>0.72199253562652399</v>
      </c>
      <c r="G1365">
        <v>0.474622766728585</v>
      </c>
      <c r="H1365">
        <v>0.21248823824985699</v>
      </c>
      <c r="I1365">
        <v>0.19249574334744199</v>
      </c>
      <c r="J1365">
        <v>0.19847173097208501</v>
      </c>
      <c r="K1365">
        <v>0.24667538580071799</v>
      </c>
      <c r="L1365">
        <v>982.75649646608304</v>
      </c>
      <c r="M1365">
        <v>19.0228122790868</v>
      </c>
      <c r="N1365">
        <v>52.875519421084803</v>
      </c>
      <c r="O1365">
        <v>51.101241377436502</v>
      </c>
      <c r="P1365">
        <v>-7.6606186084027195E-2</v>
      </c>
      <c r="Q1365">
        <v>0.17687967817699199</v>
      </c>
      <c r="R1365">
        <v>0.97742476308887705</v>
      </c>
      <c r="S1365" t="s">
        <v>7767</v>
      </c>
      <c r="T1365" t="s">
        <v>12802</v>
      </c>
      <c r="U1365" t="s">
        <v>12802</v>
      </c>
      <c r="V1365" t="s">
        <v>12802</v>
      </c>
      <c r="W1365" t="s">
        <v>14131</v>
      </c>
      <c r="X1365">
        <v>1</v>
      </c>
      <c r="Y1365" t="s">
        <v>20444</v>
      </c>
      <c r="Z1365" t="s">
        <v>26683</v>
      </c>
      <c r="AA1365">
        <v>0.59073226692399772</v>
      </c>
      <c r="AB1365" t="str">
        <f>HYPERLINK("Melting_Curves/meltCurve_O00180_KCNK1.pdf", "Melting_Curves/meltCurve_O00180_KCNK1.pdf")</f>
        <v>Melting_Curves/meltCurve_O00180_KCNK1.pdf</v>
      </c>
    </row>
    <row r="1366" spans="1:28" x14ac:dyDescent="0.25">
      <c r="A1366" t="s">
        <v>1370</v>
      </c>
      <c r="B1366">
        <v>0.99542014353169495</v>
      </c>
      <c r="C1366">
        <v>0.97562360351686395</v>
      </c>
      <c r="D1366">
        <v>0.97947170316048604</v>
      </c>
      <c r="E1366">
        <v>0.52817585814119805</v>
      </c>
      <c r="F1366">
        <v>0.199371300918879</v>
      </c>
      <c r="G1366">
        <v>0.116876379567735</v>
      </c>
      <c r="H1366">
        <v>7.0229379439693998E-2</v>
      </c>
      <c r="I1366">
        <v>5.4921374854317598E-2</v>
      </c>
      <c r="J1366">
        <v>6.2059583902899701E-2</v>
      </c>
      <c r="K1366">
        <v>7.4144021364618395E-2</v>
      </c>
      <c r="L1366">
        <v>1405.62244523303</v>
      </c>
      <c r="M1366">
        <v>30.105043448517701</v>
      </c>
      <c r="N1366">
        <v>46.940659086486001</v>
      </c>
      <c r="O1366">
        <v>46.486032424173402</v>
      </c>
      <c r="P1366">
        <v>-0.14991033562377301</v>
      </c>
      <c r="Q1366">
        <v>7.4083137801598503E-2</v>
      </c>
      <c r="R1366">
        <v>0.99705635147355598</v>
      </c>
      <c r="S1366" t="s">
        <v>7768</v>
      </c>
      <c r="T1366" t="s">
        <v>12802</v>
      </c>
      <c r="U1366" t="s">
        <v>12802</v>
      </c>
      <c r="V1366" t="s">
        <v>12802</v>
      </c>
      <c r="W1366" t="s">
        <v>14132</v>
      </c>
      <c r="X1366">
        <v>16</v>
      </c>
      <c r="Y1366" t="s">
        <v>20445</v>
      </c>
      <c r="Z1366" t="s">
        <v>26684</v>
      </c>
      <c r="AA1366">
        <v>0.37848516371941221</v>
      </c>
      <c r="AB1366" t="str">
        <f>HYPERLINK("Melting_Curves/meltCurve_O00186_STXBP3.pdf", "Melting_Curves/meltCurve_O00186_STXBP3.pdf")</f>
        <v>Melting_Curves/meltCurve_O00186_STXBP3.pdf</v>
      </c>
    </row>
    <row r="1367" spans="1:28" x14ac:dyDescent="0.25">
      <c r="A1367" t="s">
        <v>1371</v>
      </c>
      <c r="B1367">
        <v>0.99542014353169495</v>
      </c>
      <c r="C1367">
        <v>0.89794184343456795</v>
      </c>
      <c r="D1367">
        <v>0.99885770432998899</v>
      </c>
      <c r="E1367">
        <v>0.68567995148482697</v>
      </c>
      <c r="F1367">
        <v>0.298682662853964</v>
      </c>
      <c r="G1367">
        <v>8.51802654027944E-2</v>
      </c>
      <c r="H1367">
        <v>6.4210721842539606E-2</v>
      </c>
      <c r="I1367">
        <v>4.4987895824753002E-2</v>
      </c>
      <c r="J1367">
        <v>4.77851152921853E-2</v>
      </c>
      <c r="K1367">
        <v>4.9632143223839201E-2</v>
      </c>
      <c r="L1367">
        <v>1225.15892826614</v>
      </c>
      <c r="M1367">
        <v>25.501601354612198</v>
      </c>
      <c r="N1367">
        <v>48.217357182303303</v>
      </c>
      <c r="O1367">
        <v>47.749930096712703</v>
      </c>
      <c r="P1367">
        <v>-0.12761816161665601</v>
      </c>
      <c r="Q1367">
        <v>4.41882476639954E-2</v>
      </c>
      <c r="R1367">
        <v>0.99251553275872395</v>
      </c>
      <c r="S1367" t="s">
        <v>7769</v>
      </c>
      <c r="T1367" t="s">
        <v>12802</v>
      </c>
      <c r="U1367" t="s">
        <v>12802</v>
      </c>
      <c r="V1367" t="s">
        <v>12802</v>
      </c>
      <c r="W1367" t="s">
        <v>14133</v>
      </c>
      <c r="X1367">
        <v>27</v>
      </c>
      <c r="Y1367" t="s">
        <v>20446</v>
      </c>
      <c r="Z1367" t="s">
        <v>26685</v>
      </c>
      <c r="AA1367">
        <v>0.40384031304537638</v>
      </c>
      <c r="AB1367" t="str">
        <f>HYPERLINK("Melting_Curves/meltCurve_O00203_AP3B1.pdf", "Melting_Curves/meltCurve_O00203_AP3B1.pdf")</f>
        <v>Melting_Curves/meltCurve_O00203_AP3B1.pdf</v>
      </c>
    </row>
    <row r="1368" spans="1:28" x14ac:dyDescent="0.25">
      <c r="A1368" t="s">
        <v>1372</v>
      </c>
      <c r="B1368">
        <v>0.99542014353169495</v>
      </c>
      <c r="C1368">
        <v>0.90755572222249703</v>
      </c>
      <c r="D1368">
        <v>0.97239112607630795</v>
      </c>
      <c r="E1368">
        <v>0.61862250936375196</v>
      </c>
      <c r="F1368">
        <v>0.27697280624939102</v>
      </c>
      <c r="G1368">
        <v>0.116908327592289</v>
      </c>
      <c r="H1368">
        <v>5.9915128723370299E-2</v>
      </c>
      <c r="I1368">
        <v>4.5493630238516602E-2</v>
      </c>
      <c r="J1368">
        <v>4.51306640424824E-2</v>
      </c>
      <c r="K1368">
        <v>5.61432384052198E-2</v>
      </c>
      <c r="L1368">
        <v>1091.4826745293699</v>
      </c>
      <c r="M1368">
        <v>22.935835123150799</v>
      </c>
      <c r="N1368">
        <v>47.793351992945098</v>
      </c>
      <c r="O1368">
        <v>47.231195917755002</v>
      </c>
      <c r="P1368">
        <v>-0.115721500401727</v>
      </c>
      <c r="Q1368">
        <v>4.68083889108672E-2</v>
      </c>
      <c r="R1368">
        <v>0.99390695555841302</v>
      </c>
      <c r="S1368" t="s">
        <v>7770</v>
      </c>
      <c r="T1368" t="s">
        <v>12802</v>
      </c>
      <c r="U1368" t="s">
        <v>12802</v>
      </c>
      <c r="V1368" t="s">
        <v>12802</v>
      </c>
      <c r="W1368" t="s">
        <v>14134</v>
      </c>
      <c r="X1368">
        <v>7</v>
      </c>
      <c r="Y1368" t="s">
        <v>20447</v>
      </c>
      <c r="Z1368" t="s">
        <v>26686</v>
      </c>
      <c r="AA1368">
        <v>0.39281621889147461</v>
      </c>
      <c r="AB1368" t="str">
        <f>HYPERLINK("Melting_Curves/meltCurve_O00214_2_LGALS8.pdf", "Melting_Curves/meltCurve_O00214_2_LGALS8.pdf")</f>
        <v>Melting_Curves/meltCurve_O00214_2_LGALS8.pdf</v>
      </c>
    </row>
    <row r="1369" spans="1:28" x14ac:dyDescent="0.25">
      <c r="A1369" t="s">
        <v>1373</v>
      </c>
      <c r="B1369">
        <v>0.99542014353169495</v>
      </c>
      <c r="C1369">
        <v>0.87143606367167903</v>
      </c>
      <c r="D1369">
        <v>0.91223020646591002</v>
      </c>
      <c r="E1369">
        <v>0.66868457707988604</v>
      </c>
      <c r="F1369">
        <v>0.40448766619689702</v>
      </c>
      <c r="G1369">
        <v>0.16324154891426401</v>
      </c>
      <c r="H1369">
        <v>9.2077029388718895E-2</v>
      </c>
      <c r="I1369">
        <v>6.5249982928569997E-2</v>
      </c>
      <c r="J1369">
        <v>7.8057468841446306E-2</v>
      </c>
      <c r="K1369">
        <v>8.7546354294445503E-2</v>
      </c>
      <c r="L1369">
        <v>812.15818391970004</v>
      </c>
      <c r="M1369">
        <v>16.8129475366954</v>
      </c>
      <c r="N1369">
        <v>48.611016528477201</v>
      </c>
      <c r="O1369">
        <v>47.6376678605791</v>
      </c>
      <c r="P1369">
        <v>-8.3815311200194101E-2</v>
      </c>
      <c r="Q1369">
        <v>5.0134847535353903E-2</v>
      </c>
      <c r="R1369">
        <v>0.98981350230690401</v>
      </c>
      <c r="S1369" t="s">
        <v>7771</v>
      </c>
      <c r="T1369" t="s">
        <v>12802</v>
      </c>
      <c r="U1369" t="s">
        <v>12802</v>
      </c>
      <c r="V1369" t="s">
        <v>12802</v>
      </c>
      <c r="W1369" t="s">
        <v>14135</v>
      </c>
      <c r="X1369">
        <v>8</v>
      </c>
      <c r="Y1369" t="s">
        <v>20448</v>
      </c>
      <c r="Z1369" t="s">
        <v>26687</v>
      </c>
      <c r="AA1369">
        <v>0.42520641524049019</v>
      </c>
      <c r="AB1369" t="str">
        <f>HYPERLINK("Melting_Curves/meltCurve_O00217_NDUFS8.pdf", "Melting_Curves/meltCurve_O00217_NDUFS8.pdf")</f>
        <v>Melting_Curves/meltCurve_O00217_NDUFS8.pdf</v>
      </c>
    </row>
    <row r="1370" spans="1:28" x14ac:dyDescent="0.25">
      <c r="A1370" t="s">
        <v>1374</v>
      </c>
      <c r="B1370">
        <v>0.99542014353169495</v>
      </c>
      <c r="C1370">
        <v>1.03916621109213</v>
      </c>
      <c r="D1370">
        <v>0.94438478959510597</v>
      </c>
      <c r="E1370">
        <v>0.87953258237028897</v>
      </c>
      <c r="F1370">
        <v>0.73403637747452399</v>
      </c>
      <c r="G1370">
        <v>0.50546634574494897</v>
      </c>
      <c r="H1370">
        <v>0.34559809449039203</v>
      </c>
      <c r="I1370">
        <v>0.30780369726102702</v>
      </c>
      <c r="J1370">
        <v>0.38308811737100101</v>
      </c>
      <c r="K1370">
        <v>0.487106956871104</v>
      </c>
      <c r="L1370">
        <v>1161.36525113782</v>
      </c>
      <c r="M1370">
        <v>23.026535004772601</v>
      </c>
      <c r="N1370">
        <v>53.630357998772098</v>
      </c>
      <c r="O1370">
        <v>50.0601801177678</v>
      </c>
      <c r="P1370">
        <v>-7.2086563878683799E-2</v>
      </c>
      <c r="Q1370">
        <v>0.37314075381426198</v>
      </c>
      <c r="R1370">
        <v>0.96146544320143101</v>
      </c>
      <c r="S1370" t="s">
        <v>7772</v>
      </c>
      <c r="T1370" t="s">
        <v>12802</v>
      </c>
      <c r="U1370" t="s">
        <v>12802</v>
      </c>
      <c r="V1370" t="s">
        <v>12802</v>
      </c>
      <c r="W1370" t="s">
        <v>14136</v>
      </c>
      <c r="X1370">
        <v>4</v>
      </c>
      <c r="Y1370" t="s">
        <v>20449</v>
      </c>
      <c r="Z1370" t="s">
        <v>26688</v>
      </c>
      <c r="AA1370">
        <v>0.66030489625243116</v>
      </c>
      <c r="AB1370" t="str">
        <f>HYPERLINK("Melting_Curves/meltCurve_O00220_TNFRSF10A.pdf", "Melting_Curves/meltCurve_O00220_TNFRSF10A.pdf")</f>
        <v>Melting_Curves/meltCurve_O00220_TNFRSF10A.pdf</v>
      </c>
    </row>
    <row r="1371" spans="1:28" x14ac:dyDescent="0.25">
      <c r="A1371" t="s">
        <v>1375</v>
      </c>
      <c r="B1371">
        <v>0.99542014353169495</v>
      </c>
      <c r="C1371">
        <v>1.12808203204304</v>
      </c>
      <c r="D1371">
        <v>0.98733595917757999</v>
      </c>
      <c r="E1371">
        <v>0.92785521346869404</v>
      </c>
      <c r="F1371">
        <v>0.46896484917239001</v>
      </c>
      <c r="G1371">
        <v>0.271178231508657</v>
      </c>
      <c r="H1371">
        <v>0.150307826562322</v>
      </c>
      <c r="I1371">
        <v>0.19859024883356</v>
      </c>
      <c r="J1371">
        <v>0.35875091405470599</v>
      </c>
      <c r="K1371">
        <v>0.44746207631815899</v>
      </c>
      <c r="L1371">
        <v>2218.5484993334899</v>
      </c>
      <c r="M1371">
        <v>45.295198331019797</v>
      </c>
      <c r="N1371">
        <v>49.902355928020803</v>
      </c>
      <c r="O1371">
        <v>48.884571880676503</v>
      </c>
      <c r="P1371">
        <v>-0.16595327778552099</v>
      </c>
      <c r="Q1371">
        <v>0.28358433419710999</v>
      </c>
      <c r="R1371">
        <v>0.94057405689288798</v>
      </c>
      <c r="S1371" t="s">
        <v>7773</v>
      </c>
      <c r="T1371" t="s">
        <v>12802</v>
      </c>
      <c r="U1371" t="s">
        <v>12802</v>
      </c>
      <c r="V1371" t="s">
        <v>12802</v>
      </c>
      <c r="W1371" t="s">
        <v>14137</v>
      </c>
      <c r="X1371">
        <v>7</v>
      </c>
      <c r="Y1371" t="s">
        <v>20450</v>
      </c>
      <c r="Z1371" t="s">
        <v>26689</v>
      </c>
      <c r="AA1371">
        <v>0.57155569978414644</v>
      </c>
      <c r="AB1371" t="str">
        <f>HYPERLINK("Melting_Curves/meltCurve_O00221_NFKBIE.pdf", "Melting_Curves/meltCurve_O00221_NFKBIE.pdf")</f>
        <v>Melting_Curves/meltCurve_O00221_NFKBIE.pdf</v>
      </c>
    </row>
    <row r="1372" spans="1:28" x14ac:dyDescent="0.25">
      <c r="A1372" t="s">
        <v>1376</v>
      </c>
      <c r="B1372">
        <v>0.99542014353169495</v>
      </c>
      <c r="C1372">
        <v>0.90416333735225396</v>
      </c>
      <c r="D1372">
        <v>1.00001526335847</v>
      </c>
      <c r="E1372">
        <v>0.66046227575791605</v>
      </c>
      <c r="F1372">
        <v>0.326322921726379</v>
      </c>
      <c r="G1372">
        <v>0.13674105641848</v>
      </c>
      <c r="H1372">
        <v>6.8970450520509402E-2</v>
      </c>
      <c r="I1372">
        <v>3.9999549315472401E-2</v>
      </c>
      <c r="J1372">
        <v>3.9455039896322597E-2</v>
      </c>
      <c r="K1372">
        <v>3.4259714439457398E-2</v>
      </c>
      <c r="L1372">
        <v>1039.9104599027601</v>
      </c>
      <c r="M1372">
        <v>21.590097998094201</v>
      </c>
      <c r="N1372">
        <v>48.3349954697632</v>
      </c>
      <c r="O1372">
        <v>47.7585834856934</v>
      </c>
      <c r="P1372">
        <v>-0.10891296197849699</v>
      </c>
      <c r="Q1372">
        <v>3.6335523116999099E-2</v>
      </c>
      <c r="R1372">
        <v>0.99219742354715701</v>
      </c>
      <c r="S1372" t="s">
        <v>7774</v>
      </c>
      <c r="T1372" t="s">
        <v>12802</v>
      </c>
      <c r="U1372" t="s">
        <v>12802</v>
      </c>
      <c r="V1372" t="s">
        <v>12802</v>
      </c>
      <c r="W1372" t="s">
        <v>14138</v>
      </c>
      <c r="X1372">
        <v>23</v>
      </c>
      <c r="Y1372" t="s">
        <v>20451</v>
      </c>
      <c r="Z1372" t="s">
        <v>26690</v>
      </c>
      <c r="AA1372">
        <v>0.40596825751973709</v>
      </c>
      <c r="AB1372" t="str">
        <f>HYPERLINK("Melting_Curves/meltCurve_O00231_PSMD11.pdf", "Melting_Curves/meltCurve_O00231_PSMD11.pdf")</f>
        <v>Melting_Curves/meltCurve_O00231_PSMD11.pdf</v>
      </c>
    </row>
    <row r="1373" spans="1:28" x14ac:dyDescent="0.25">
      <c r="A1373" t="s">
        <v>1377</v>
      </c>
      <c r="B1373">
        <v>0.99542014353169495</v>
      </c>
      <c r="C1373">
        <v>0.90444589107043105</v>
      </c>
      <c r="D1373">
        <v>0.963916085810955</v>
      </c>
      <c r="E1373">
        <v>0.71315342003708304</v>
      </c>
      <c r="F1373">
        <v>0.36201251087025199</v>
      </c>
      <c r="G1373">
        <v>0.16421799576366899</v>
      </c>
      <c r="H1373">
        <v>7.7689916271804299E-2</v>
      </c>
      <c r="I1373">
        <v>5.0203962129600002E-2</v>
      </c>
      <c r="J1373">
        <v>5.0212050502038003E-2</v>
      </c>
      <c r="K1373">
        <v>5.77621025878697E-2</v>
      </c>
      <c r="L1373">
        <v>996.65013824319794</v>
      </c>
      <c r="M1373">
        <v>20.533627455057101</v>
      </c>
      <c r="N1373">
        <v>48.758238518987902</v>
      </c>
      <c r="O1373">
        <v>48.084142452075902</v>
      </c>
      <c r="P1373">
        <v>-0.10202258684705499</v>
      </c>
      <c r="Q1373">
        <v>4.4392100118529502E-2</v>
      </c>
      <c r="R1373">
        <v>0.99469489794428101</v>
      </c>
      <c r="S1373" t="s">
        <v>7775</v>
      </c>
      <c r="T1373" t="s">
        <v>12802</v>
      </c>
      <c r="U1373" t="s">
        <v>12802</v>
      </c>
      <c r="V1373" t="s">
        <v>12802</v>
      </c>
      <c r="W1373" t="s">
        <v>14139</v>
      </c>
      <c r="X1373">
        <v>21</v>
      </c>
      <c r="Y1373" t="s">
        <v>20452</v>
      </c>
      <c r="Z1373" t="s">
        <v>26691</v>
      </c>
      <c r="AA1373">
        <v>0.42387654717730261</v>
      </c>
      <c r="AB1373" t="str">
        <f>HYPERLINK("Melting_Curves/meltCurve_O00232_PSMD12.pdf", "Melting_Curves/meltCurve_O00232_PSMD12.pdf")</f>
        <v>Melting_Curves/meltCurve_O00232_PSMD12.pdf</v>
      </c>
    </row>
    <row r="1374" spans="1:28" x14ac:dyDescent="0.25">
      <c r="A1374" t="s">
        <v>1378</v>
      </c>
      <c r="B1374">
        <v>0.99542014353169495</v>
      </c>
      <c r="C1374">
        <v>1.0616653366167501</v>
      </c>
      <c r="D1374">
        <v>0.98837119966409803</v>
      </c>
      <c r="E1374">
        <v>1.0220518298452801</v>
      </c>
      <c r="F1374">
        <v>0.84833340387507605</v>
      </c>
      <c r="G1374">
        <v>0.71496737914042696</v>
      </c>
      <c r="H1374">
        <v>0.54935041853904198</v>
      </c>
      <c r="I1374">
        <v>0.48676492489216699</v>
      </c>
      <c r="J1374">
        <v>0.65827067808897399</v>
      </c>
      <c r="K1374">
        <v>0.76969579509695996</v>
      </c>
      <c r="L1374">
        <v>1819.46302251517</v>
      </c>
      <c r="M1374">
        <v>35.641539418111698</v>
      </c>
      <c r="O1374">
        <v>50.889044211390903</v>
      </c>
      <c r="P1374">
        <v>-6.6229818638025198E-2</v>
      </c>
      <c r="Q1374">
        <v>0.62174912210449496</v>
      </c>
      <c r="R1374">
        <v>0.85570601906357402</v>
      </c>
      <c r="S1374" t="s">
        <v>7776</v>
      </c>
      <c r="T1374" t="s">
        <v>12802</v>
      </c>
      <c r="U1374" t="s">
        <v>12802</v>
      </c>
      <c r="V1374" t="s">
        <v>12802</v>
      </c>
      <c r="W1374" t="s">
        <v>14140</v>
      </c>
      <c r="X1374">
        <v>8</v>
      </c>
      <c r="Y1374" t="s">
        <v>20453</v>
      </c>
      <c r="Z1374" t="s">
        <v>26692</v>
      </c>
      <c r="AA1374">
        <v>0.80056188720185673</v>
      </c>
      <c r="AB1374" t="str">
        <f>HYPERLINK("Melting_Curves/meltCurve_O00244_ATOX1.pdf", "Melting_Curves/meltCurve_O00244_ATOX1.pdf")</f>
        <v>Melting_Curves/meltCurve_O00244_ATOX1.pdf</v>
      </c>
    </row>
    <row r="1375" spans="1:28" x14ac:dyDescent="0.25">
      <c r="A1375" t="s">
        <v>1379</v>
      </c>
      <c r="B1375">
        <v>0.99542014353169495</v>
      </c>
      <c r="C1375">
        <v>0.91913104489530795</v>
      </c>
      <c r="D1375">
        <v>0.93865934920601202</v>
      </c>
      <c r="E1375">
        <v>0.826537270611025</v>
      </c>
      <c r="F1375">
        <v>0.63300280253487695</v>
      </c>
      <c r="G1375">
        <v>0.36184442238069198</v>
      </c>
      <c r="H1375">
        <v>0.227148694382073</v>
      </c>
      <c r="I1375">
        <v>0.17645179945703399</v>
      </c>
      <c r="J1375">
        <v>0.24124726511684999</v>
      </c>
      <c r="K1375">
        <v>0.31193055421898502</v>
      </c>
      <c r="L1375">
        <v>997.89975670792705</v>
      </c>
      <c r="M1375">
        <v>19.9811875456564</v>
      </c>
      <c r="N1375">
        <v>51.438718299990299</v>
      </c>
      <c r="O1375">
        <v>49.449812794210601</v>
      </c>
      <c r="P1375">
        <v>-7.8751294320820203E-2</v>
      </c>
      <c r="Q1375">
        <v>0.220445005193072</v>
      </c>
      <c r="R1375">
        <v>0.976733357718093</v>
      </c>
      <c r="S1375" t="s">
        <v>7777</v>
      </c>
      <c r="T1375" t="s">
        <v>12802</v>
      </c>
      <c r="U1375" t="s">
        <v>12802</v>
      </c>
      <c r="V1375" t="s">
        <v>12802</v>
      </c>
      <c r="W1375" t="s">
        <v>14141</v>
      </c>
      <c r="X1375">
        <v>14</v>
      </c>
      <c r="Y1375" t="s">
        <v>20454</v>
      </c>
      <c r="Z1375" t="s">
        <v>26693</v>
      </c>
      <c r="AA1375">
        <v>0.56702858620040653</v>
      </c>
      <c r="AB1375" t="str">
        <f>HYPERLINK("Melting_Curves/meltCurve_O00264_PGRMC1.pdf", "Melting_Curves/meltCurve_O00264_PGRMC1.pdf")</f>
        <v>Melting_Curves/meltCurve_O00264_PGRMC1.pdf</v>
      </c>
    </row>
    <row r="1376" spans="1:28" x14ac:dyDescent="0.25">
      <c r="A1376" t="s">
        <v>1380</v>
      </c>
      <c r="B1376">
        <v>0.99542014353169495</v>
      </c>
      <c r="C1376">
        <v>0.92287140557321601</v>
      </c>
      <c r="D1376">
        <v>0.94388370364710705</v>
      </c>
      <c r="E1376">
        <v>0.78008831601168505</v>
      </c>
      <c r="F1376">
        <v>0.346635624382097</v>
      </c>
      <c r="G1376">
        <v>0.110551401150089</v>
      </c>
      <c r="H1376">
        <v>7.3969284638020397E-2</v>
      </c>
      <c r="I1376">
        <v>5.0959485765020102E-2</v>
      </c>
      <c r="J1376">
        <v>5.2590956049234999E-2</v>
      </c>
      <c r="K1376">
        <v>5.3183961231619399E-2</v>
      </c>
      <c r="L1376">
        <v>1249.55292714302</v>
      </c>
      <c r="M1376">
        <v>25.673842693936699</v>
      </c>
      <c r="N1376">
        <v>48.863100657279098</v>
      </c>
      <c r="O1376">
        <v>48.377872228747101</v>
      </c>
      <c r="P1376">
        <v>-0.12628339863330701</v>
      </c>
      <c r="Q1376">
        <v>4.8175487080844001E-2</v>
      </c>
      <c r="R1376">
        <v>0.99599940140390197</v>
      </c>
      <c r="S1376" t="s">
        <v>7778</v>
      </c>
      <c r="T1376" t="s">
        <v>12802</v>
      </c>
      <c r="U1376" t="s">
        <v>12802</v>
      </c>
      <c r="V1376" t="s">
        <v>12802</v>
      </c>
      <c r="W1376" t="s">
        <v>14142</v>
      </c>
      <c r="X1376">
        <v>31</v>
      </c>
      <c r="Y1376" t="s">
        <v>20455</v>
      </c>
      <c r="Z1376" t="s">
        <v>26694</v>
      </c>
      <c r="AA1376">
        <v>0.42621644233674089</v>
      </c>
      <c r="AB1376" t="str">
        <f>HYPERLINK("Melting_Curves/meltCurve_O00267_2_SUPT5H.pdf", "Melting_Curves/meltCurve_O00267_2_SUPT5H.pdf")</f>
        <v>Melting_Curves/meltCurve_O00267_2_SUPT5H.pdf</v>
      </c>
    </row>
    <row r="1377" spans="1:28" x14ac:dyDescent="0.25">
      <c r="A1377" t="s">
        <v>1381</v>
      </c>
      <c r="B1377">
        <v>0.99542014353169495</v>
      </c>
      <c r="C1377">
        <v>1.0484468381245999</v>
      </c>
      <c r="D1377">
        <v>1.0064129083048901</v>
      </c>
      <c r="E1377">
        <v>0.91155992236904704</v>
      </c>
      <c r="F1377">
        <v>0.64266075268838296</v>
      </c>
      <c r="G1377">
        <v>0.41932358732560898</v>
      </c>
      <c r="H1377">
        <v>0.21954554835208201</v>
      </c>
      <c r="I1377">
        <v>0.132746319002638</v>
      </c>
      <c r="J1377">
        <v>0.14462230198051601</v>
      </c>
      <c r="K1377">
        <v>0.20030715658343201</v>
      </c>
      <c r="L1377">
        <v>1059.9473025186801</v>
      </c>
      <c r="M1377">
        <v>20.658191829007801</v>
      </c>
      <c r="N1377">
        <v>52.174671187728102</v>
      </c>
      <c r="O1377">
        <v>50.835259221927402</v>
      </c>
      <c r="P1377">
        <v>-8.6853079799679295E-2</v>
      </c>
      <c r="Q1377">
        <v>0.145118963637245</v>
      </c>
      <c r="R1377">
        <v>0.99295862227557397</v>
      </c>
      <c r="S1377" t="s">
        <v>7779</v>
      </c>
      <c r="T1377" t="s">
        <v>12802</v>
      </c>
      <c r="U1377" t="s">
        <v>12802</v>
      </c>
      <c r="V1377" t="s">
        <v>12802</v>
      </c>
      <c r="W1377" t="s">
        <v>14143</v>
      </c>
      <c r="X1377">
        <v>18</v>
      </c>
      <c r="Y1377" t="s">
        <v>20456</v>
      </c>
      <c r="Z1377" t="s">
        <v>26695</v>
      </c>
      <c r="AA1377">
        <v>0.56343775102940963</v>
      </c>
      <c r="AB1377" t="str">
        <f>HYPERLINK("Melting_Curves/meltCurve_O00273_DFFA.pdf", "Melting_Curves/meltCurve_O00273_DFFA.pdf")</f>
        <v>Melting_Curves/meltCurve_O00273_DFFA.pdf</v>
      </c>
    </row>
    <row r="1378" spans="1:28" x14ac:dyDescent="0.25">
      <c r="A1378" t="s">
        <v>1382</v>
      </c>
      <c r="B1378">
        <v>0.99542014353169495</v>
      </c>
      <c r="C1378">
        <v>0.93283039344961804</v>
      </c>
      <c r="D1378">
        <v>0.92969404957322899</v>
      </c>
      <c r="E1378">
        <v>0.85697704898416704</v>
      </c>
      <c r="F1378">
        <v>0.60096412325653303</v>
      </c>
      <c r="G1378">
        <v>0.38644244667363198</v>
      </c>
      <c r="H1378">
        <v>0.203994880198276</v>
      </c>
      <c r="I1378">
        <v>0.116522012113302</v>
      </c>
      <c r="J1378">
        <v>0.12566245667619899</v>
      </c>
      <c r="K1378">
        <v>0.18484487348238099</v>
      </c>
      <c r="L1378">
        <v>864.17350377947105</v>
      </c>
      <c r="M1378">
        <v>16.998387503819199</v>
      </c>
      <c r="N1378">
        <v>51.614106851547803</v>
      </c>
      <c r="O1378">
        <v>50.150593510794202</v>
      </c>
      <c r="P1378">
        <v>-7.5191283712885498E-2</v>
      </c>
      <c r="Q1378">
        <v>0.11270301982497601</v>
      </c>
      <c r="R1378">
        <v>0.99090820266450097</v>
      </c>
      <c r="S1378" t="s">
        <v>7780</v>
      </c>
      <c r="T1378" t="s">
        <v>12802</v>
      </c>
      <c r="U1378" t="s">
        <v>12802</v>
      </c>
      <c r="V1378" t="s">
        <v>12802</v>
      </c>
      <c r="W1378" t="s">
        <v>14144</v>
      </c>
      <c r="X1378">
        <v>15</v>
      </c>
      <c r="Y1378" t="s">
        <v>20456</v>
      </c>
      <c r="Z1378" t="s">
        <v>26696</v>
      </c>
      <c r="AA1378">
        <v>0.5370678873672986</v>
      </c>
      <c r="AB1378" t="str">
        <f>HYPERLINK("Melting_Curves/meltCurve_O00273_2_DFFA.pdf", "Melting_Curves/meltCurve_O00273_2_DFFA.pdf")</f>
        <v>Melting_Curves/meltCurve_O00273_2_DFFA.pdf</v>
      </c>
    </row>
    <row r="1379" spans="1:28" x14ac:dyDescent="0.25">
      <c r="A1379" t="s">
        <v>1383</v>
      </c>
      <c r="B1379">
        <v>0.99542014353169495</v>
      </c>
      <c r="C1379">
        <v>0.88778782281750701</v>
      </c>
      <c r="D1379">
        <v>0.91340299832142502</v>
      </c>
      <c r="E1379">
        <v>0.75055660578327399</v>
      </c>
      <c r="F1379">
        <v>0.49547900283730001</v>
      </c>
      <c r="G1379">
        <v>0.34533494689059802</v>
      </c>
      <c r="H1379">
        <v>0.262160335128373</v>
      </c>
      <c r="I1379">
        <v>0.22031091590958601</v>
      </c>
      <c r="J1379">
        <v>0.31478462993918299</v>
      </c>
      <c r="K1379">
        <v>0.33852965563285498</v>
      </c>
      <c r="L1379">
        <v>894.51614783600098</v>
      </c>
      <c r="M1379">
        <v>18.667630440594401</v>
      </c>
      <c r="N1379">
        <v>50.008658292270397</v>
      </c>
      <c r="O1379">
        <v>47.378307978754599</v>
      </c>
      <c r="P1379">
        <v>-7.1822703450698799E-2</v>
      </c>
      <c r="Q1379">
        <v>0.27088921671789001</v>
      </c>
      <c r="R1379">
        <v>0.974444059116646</v>
      </c>
      <c r="S1379" t="s">
        <v>7781</v>
      </c>
      <c r="T1379" t="s">
        <v>12802</v>
      </c>
      <c r="U1379" t="s">
        <v>12802</v>
      </c>
      <c r="V1379" t="s">
        <v>12802</v>
      </c>
      <c r="W1379" t="s">
        <v>14145</v>
      </c>
      <c r="X1379">
        <v>3</v>
      </c>
      <c r="Y1379" t="s">
        <v>20457</v>
      </c>
      <c r="Z1379" t="s">
        <v>26697</v>
      </c>
      <c r="AA1379">
        <v>0.54713787482573761</v>
      </c>
      <c r="AB1379" t="str">
        <f>HYPERLINK("Melting_Curves/meltCurve_O00287_RFXAP.pdf", "Melting_Curves/meltCurve_O00287_RFXAP.pdf")</f>
        <v>Melting_Curves/meltCurve_O00287_RFXAP.pdf</v>
      </c>
    </row>
    <row r="1380" spans="1:28" x14ac:dyDescent="0.25">
      <c r="A1380" t="s">
        <v>1384</v>
      </c>
      <c r="B1380">
        <v>0.99542014353169495</v>
      </c>
      <c r="C1380">
        <v>1.0091809906659499</v>
      </c>
      <c r="D1380">
        <v>1.09762611770556</v>
      </c>
      <c r="E1380">
        <v>0.72256537946902</v>
      </c>
      <c r="F1380">
        <v>0.51470790541143896</v>
      </c>
      <c r="G1380">
        <v>0.18702563224822699</v>
      </c>
      <c r="H1380">
        <v>0.19128772372768399</v>
      </c>
      <c r="I1380">
        <v>0.114368254357666</v>
      </c>
      <c r="J1380">
        <v>6.94822733666179E-2</v>
      </c>
      <c r="K1380">
        <v>7.6753377759246094E-2</v>
      </c>
      <c r="L1380">
        <v>1028.3393866459201</v>
      </c>
      <c r="M1380">
        <v>20.802005277135901</v>
      </c>
      <c r="N1380">
        <v>49.895410464713201</v>
      </c>
      <c r="O1380">
        <v>48.984577792927297</v>
      </c>
      <c r="P1380">
        <v>-9.68909445810099E-2</v>
      </c>
      <c r="Q1380">
        <v>8.7389863935807902E-2</v>
      </c>
      <c r="R1380">
        <v>0.97992899118114196</v>
      </c>
      <c r="S1380" t="s">
        <v>7782</v>
      </c>
      <c r="T1380" t="s">
        <v>12802</v>
      </c>
      <c r="U1380" t="s">
        <v>12802</v>
      </c>
      <c r="V1380" t="s">
        <v>12802</v>
      </c>
      <c r="W1380" t="s">
        <v>14146</v>
      </c>
      <c r="X1380">
        <v>10</v>
      </c>
      <c r="Y1380" t="s">
        <v>20458</v>
      </c>
      <c r="Z1380" t="s">
        <v>26698</v>
      </c>
      <c r="AA1380">
        <v>0.4768576261292532</v>
      </c>
      <c r="AB1380" t="str">
        <f>HYPERLINK("Melting_Curves/meltCurve_O00291_HIP1.pdf", "Melting_Curves/meltCurve_O00291_HIP1.pdf")</f>
        <v>Melting_Curves/meltCurve_O00291_HIP1.pdf</v>
      </c>
    </row>
    <row r="1381" spans="1:28" x14ac:dyDescent="0.25">
      <c r="A1381" t="s">
        <v>1385</v>
      </c>
      <c r="B1381">
        <v>0.99542014353169495</v>
      </c>
      <c r="C1381">
        <v>1.0447487295125799</v>
      </c>
      <c r="D1381">
        <v>0.93526756779936004</v>
      </c>
      <c r="E1381">
        <v>0.97094803967623</v>
      </c>
      <c r="F1381">
        <v>0.75958650056848398</v>
      </c>
      <c r="G1381">
        <v>0.40298955731817798</v>
      </c>
      <c r="H1381">
        <v>6.48308755330263E-2</v>
      </c>
      <c r="I1381">
        <v>3.2469242158295802E-2</v>
      </c>
      <c r="J1381">
        <v>3.0939602039423999E-2</v>
      </c>
      <c r="K1381">
        <v>3.2541587549971801E-2</v>
      </c>
      <c r="L1381">
        <v>1360.6584651887299</v>
      </c>
      <c r="M1381">
        <v>25.854950777953899</v>
      </c>
      <c r="N1381">
        <v>52.666393522007702</v>
      </c>
      <c r="O1381">
        <v>52.314822209293297</v>
      </c>
      <c r="P1381">
        <v>-0.122361301429406</v>
      </c>
      <c r="Q1381">
        <v>9.6700081533254607E-3</v>
      </c>
      <c r="R1381">
        <v>0.99450150563531103</v>
      </c>
      <c r="S1381" t="s">
        <v>7783</v>
      </c>
      <c r="T1381" t="s">
        <v>12802</v>
      </c>
      <c r="U1381" t="s">
        <v>12802</v>
      </c>
      <c r="V1381" t="s">
        <v>12802</v>
      </c>
      <c r="W1381" t="s">
        <v>14147</v>
      </c>
      <c r="X1381">
        <v>18</v>
      </c>
      <c r="Y1381" t="s">
        <v>20459</v>
      </c>
      <c r="Z1381" t="s">
        <v>26699</v>
      </c>
      <c r="AA1381">
        <v>0.53378263316270858</v>
      </c>
      <c r="AB1381" t="str">
        <f>HYPERLINK("Melting_Curves/meltCurve_O00299_CLIC1.pdf", "Melting_Curves/meltCurve_O00299_CLIC1.pdf")</f>
        <v>Melting_Curves/meltCurve_O00299_CLIC1.pdf</v>
      </c>
    </row>
    <row r="1382" spans="1:28" x14ac:dyDescent="0.25">
      <c r="A1382" t="s">
        <v>1386</v>
      </c>
      <c r="B1382">
        <v>0.99542014353169495</v>
      </c>
      <c r="C1382">
        <v>0.83345458910975001</v>
      </c>
      <c r="D1382">
        <v>0.80295964281994803</v>
      </c>
      <c r="E1382">
        <v>0.45809357361242398</v>
      </c>
      <c r="F1382">
        <v>0.19458764226911901</v>
      </c>
      <c r="G1382">
        <v>0.120498039942567</v>
      </c>
      <c r="H1382">
        <v>7.6059174542099595E-2</v>
      </c>
      <c r="I1382">
        <v>4.7020079246407803E-2</v>
      </c>
      <c r="J1382">
        <v>5.18281230223449E-2</v>
      </c>
      <c r="K1382">
        <v>5.0125285664758303E-2</v>
      </c>
      <c r="L1382">
        <v>747.05957008682606</v>
      </c>
      <c r="M1382">
        <v>16.303242238668101</v>
      </c>
      <c r="N1382">
        <v>46.039700088044903</v>
      </c>
      <c r="O1382">
        <v>45.149976900196101</v>
      </c>
      <c r="P1382">
        <v>-8.6941458504165098E-2</v>
      </c>
      <c r="Q1382">
        <v>3.6972162038909101E-2</v>
      </c>
      <c r="R1382">
        <v>0.99114403869501699</v>
      </c>
      <c r="S1382" t="s">
        <v>7784</v>
      </c>
      <c r="T1382" t="s">
        <v>12802</v>
      </c>
      <c r="U1382" t="s">
        <v>12802</v>
      </c>
      <c r="V1382" t="s">
        <v>12802</v>
      </c>
      <c r="W1382" t="s">
        <v>14148</v>
      </c>
      <c r="X1382">
        <v>3</v>
      </c>
      <c r="Y1382" t="s">
        <v>20460</v>
      </c>
      <c r="Z1382" t="s">
        <v>26700</v>
      </c>
      <c r="AA1382">
        <v>0.33917769151699179</v>
      </c>
      <c r="AB1382" t="str">
        <f>HYPERLINK("Melting_Curves/meltCurve_O00308_WWP2.pdf", "Melting_Curves/meltCurve_O00308_WWP2.pdf")</f>
        <v>Melting_Curves/meltCurve_O00308_WWP2.pdf</v>
      </c>
    </row>
    <row r="1383" spans="1:28" x14ac:dyDescent="0.25">
      <c r="A1383" t="s">
        <v>1387</v>
      </c>
      <c r="B1383">
        <v>0.99542014353169495</v>
      </c>
      <c r="C1383">
        <v>0.92050853125558096</v>
      </c>
      <c r="D1383">
        <v>0.85381514299062</v>
      </c>
      <c r="E1383">
        <v>0.68080135439352596</v>
      </c>
      <c r="F1383">
        <v>0.44087011503154999</v>
      </c>
      <c r="G1383">
        <v>0.30336939328262602</v>
      </c>
      <c r="H1383">
        <v>0.239151058079693</v>
      </c>
      <c r="I1383">
        <v>0.19391834495777099</v>
      </c>
      <c r="J1383">
        <v>0.30079435853568598</v>
      </c>
      <c r="K1383">
        <v>0.305188420722596</v>
      </c>
      <c r="L1383">
        <v>799.12829955199197</v>
      </c>
      <c r="M1383">
        <v>16.994140641111201</v>
      </c>
      <c r="N1383">
        <v>48.9471158883699</v>
      </c>
      <c r="O1383">
        <v>46.387099667762101</v>
      </c>
      <c r="P1383">
        <v>-6.9284106374462501E-2</v>
      </c>
      <c r="Q1383">
        <v>0.24357689661009799</v>
      </c>
      <c r="R1383">
        <v>0.98256728394079895</v>
      </c>
      <c r="S1383" t="s">
        <v>7785</v>
      </c>
      <c r="T1383" t="s">
        <v>12802</v>
      </c>
      <c r="U1383" t="s">
        <v>12802</v>
      </c>
      <c r="V1383" t="s">
        <v>12802</v>
      </c>
      <c r="W1383" t="s">
        <v>14149</v>
      </c>
      <c r="X1383">
        <v>1</v>
      </c>
      <c r="Y1383" t="s">
        <v>20461</v>
      </c>
      <c r="Z1383" t="s">
        <v>26701</v>
      </c>
      <c r="AA1383">
        <v>0.50985435552191671</v>
      </c>
      <c r="AB1383" t="str">
        <f>HYPERLINK("Melting_Curves/meltCurve_O00325_PTGER3.pdf", "Melting_Curves/meltCurve_O00325_PTGER3.pdf")</f>
        <v>Melting_Curves/meltCurve_O00325_PTGER3.pdf</v>
      </c>
    </row>
    <row r="1384" spans="1:28" x14ac:dyDescent="0.25">
      <c r="A1384" t="s">
        <v>1388</v>
      </c>
      <c r="B1384">
        <v>0.99542014353169495</v>
      </c>
      <c r="C1384">
        <v>1.01682357274094</v>
      </c>
      <c r="D1384">
        <v>1.1128524691083099</v>
      </c>
      <c r="E1384">
        <v>0.87955882806333097</v>
      </c>
      <c r="F1384">
        <v>0.72704220289017396</v>
      </c>
      <c r="G1384">
        <v>0.48658777186901397</v>
      </c>
      <c r="H1384">
        <v>0.25500448844990298</v>
      </c>
      <c r="I1384">
        <v>0.14815434676928299</v>
      </c>
      <c r="J1384">
        <v>0.20782474213469401</v>
      </c>
      <c r="K1384">
        <v>0.11425811709004</v>
      </c>
      <c r="L1384">
        <v>982.88360646711703</v>
      </c>
      <c r="M1384">
        <v>18.7355059729007</v>
      </c>
      <c r="N1384">
        <v>53.262366350593098</v>
      </c>
      <c r="O1384">
        <v>51.874318822183703</v>
      </c>
      <c r="P1384">
        <v>-7.9206513913227E-2</v>
      </c>
      <c r="Q1384">
        <v>0.12281843130091701</v>
      </c>
      <c r="R1384">
        <v>0.98279504467124501</v>
      </c>
      <c r="S1384" t="s">
        <v>7786</v>
      </c>
      <c r="T1384" t="s">
        <v>12802</v>
      </c>
      <c r="U1384" t="s">
        <v>12802</v>
      </c>
      <c r="V1384" t="s">
        <v>12802</v>
      </c>
      <c r="W1384" t="s">
        <v>14150</v>
      </c>
      <c r="X1384">
        <v>3</v>
      </c>
      <c r="Y1384" t="s">
        <v>20462</v>
      </c>
      <c r="Z1384" t="s">
        <v>26702</v>
      </c>
      <c r="AA1384">
        <v>0.58723395252092403</v>
      </c>
      <c r="AB1384" t="str">
        <f>HYPERLINK("Melting_Curves/meltCurve_O00399_DCTN6.pdf", "Melting_Curves/meltCurve_O00399_DCTN6.pdf")</f>
        <v>Melting_Curves/meltCurve_O00399_DCTN6.pdf</v>
      </c>
    </row>
    <row r="1385" spans="1:28" x14ac:dyDescent="0.25">
      <c r="A1385" t="s">
        <v>1389</v>
      </c>
      <c r="B1385">
        <v>0.99542014353169495</v>
      </c>
      <c r="C1385">
        <v>0.92225137359887299</v>
      </c>
      <c r="D1385">
        <v>0.93685316452439504</v>
      </c>
      <c r="E1385">
        <v>0.79138608710347502</v>
      </c>
      <c r="F1385">
        <v>0.67550278659108198</v>
      </c>
      <c r="G1385">
        <v>0.420156096196106</v>
      </c>
      <c r="H1385">
        <v>0.305220664835746</v>
      </c>
      <c r="I1385">
        <v>0.23157618083161599</v>
      </c>
      <c r="J1385">
        <v>0.201376300670768</v>
      </c>
      <c r="K1385">
        <v>0.212339710128154</v>
      </c>
      <c r="L1385">
        <v>661.909921867923</v>
      </c>
      <c r="M1385">
        <v>12.9412255780208</v>
      </c>
      <c r="N1385">
        <v>52.5889306603001</v>
      </c>
      <c r="O1385">
        <v>49.972283113453599</v>
      </c>
      <c r="P1385">
        <v>-5.5084550863676099E-2</v>
      </c>
      <c r="Q1385">
        <v>0.149321405476698</v>
      </c>
      <c r="R1385">
        <v>0.99228883762461195</v>
      </c>
      <c r="S1385" t="s">
        <v>7787</v>
      </c>
      <c r="T1385" t="s">
        <v>12802</v>
      </c>
      <c r="U1385" t="s">
        <v>12802</v>
      </c>
      <c r="V1385" t="s">
        <v>12802</v>
      </c>
      <c r="W1385" t="s">
        <v>14151</v>
      </c>
      <c r="X1385">
        <v>3</v>
      </c>
      <c r="Y1385" t="s">
        <v>20463</v>
      </c>
      <c r="Z1385" t="s">
        <v>26703</v>
      </c>
      <c r="AA1385">
        <v>0.57074173264937944</v>
      </c>
      <c r="AB1385" t="str">
        <f>HYPERLINK("Melting_Curves/meltCurve_O00400_SLC33A1.pdf", "Melting_Curves/meltCurve_O00400_SLC33A1.pdf")</f>
        <v>Melting_Curves/meltCurve_O00400_SLC33A1.pdf</v>
      </c>
    </row>
    <row r="1386" spans="1:28" x14ac:dyDescent="0.25">
      <c r="A1386" t="s">
        <v>1390</v>
      </c>
      <c r="B1386">
        <v>0.99542014353169495</v>
      </c>
      <c r="C1386">
        <v>0.96435038465494705</v>
      </c>
      <c r="D1386">
        <v>0.93075269039837205</v>
      </c>
      <c r="E1386">
        <v>0.76923932108627602</v>
      </c>
      <c r="F1386">
        <v>0.39944029033561101</v>
      </c>
      <c r="G1386">
        <v>0.162524159118731</v>
      </c>
      <c r="H1386">
        <v>9.0526677075041903E-2</v>
      </c>
      <c r="I1386">
        <v>5.6956962225037301E-2</v>
      </c>
      <c r="J1386">
        <v>6.9542052156154499E-2</v>
      </c>
      <c r="K1386">
        <v>6.2047072109347401E-2</v>
      </c>
      <c r="L1386">
        <v>1053.9212770106701</v>
      </c>
      <c r="M1386">
        <v>21.548411894639401</v>
      </c>
      <c r="N1386">
        <v>49.1686926301239</v>
      </c>
      <c r="O1386">
        <v>48.494063352561597</v>
      </c>
      <c r="P1386">
        <v>-0.10512541989207599</v>
      </c>
      <c r="Q1386">
        <v>5.3695923805745997E-2</v>
      </c>
      <c r="R1386">
        <v>0.99887174457995198</v>
      </c>
      <c r="S1386" t="s">
        <v>7788</v>
      </c>
      <c r="T1386" t="s">
        <v>12802</v>
      </c>
      <c r="U1386" t="s">
        <v>12802</v>
      </c>
      <c r="V1386" t="s">
        <v>12802</v>
      </c>
      <c r="W1386" t="s">
        <v>14152</v>
      </c>
      <c r="X1386">
        <v>5</v>
      </c>
      <c r="Y1386" t="s">
        <v>20464</v>
      </c>
      <c r="Z1386" t="s">
        <v>26704</v>
      </c>
      <c r="AA1386">
        <v>0.44021726283247459</v>
      </c>
      <c r="AB1386" t="str">
        <f>HYPERLINK("Melting_Curves/meltCurve_O00401_WASL.pdf", "Melting_Curves/meltCurve_O00401_WASL.pdf")</f>
        <v>Melting_Curves/meltCurve_O00401_WASL.pdf</v>
      </c>
    </row>
    <row r="1387" spans="1:28" x14ac:dyDescent="0.25">
      <c r="A1387" t="s">
        <v>1391</v>
      </c>
      <c r="B1387">
        <v>0.99542014353169495</v>
      </c>
      <c r="C1387">
        <v>0.94110268325750202</v>
      </c>
      <c r="D1387">
        <v>0.96526013047833004</v>
      </c>
      <c r="E1387">
        <v>0.80794531558673699</v>
      </c>
      <c r="F1387">
        <v>0.49191990419171</v>
      </c>
      <c r="G1387">
        <v>0.14242758642182499</v>
      </c>
      <c r="H1387">
        <v>6.8609201109406895E-2</v>
      </c>
      <c r="I1387">
        <v>4.5739148904848002E-2</v>
      </c>
      <c r="J1387">
        <v>4.4122205128868899E-2</v>
      </c>
      <c r="K1387">
        <v>4.9970430985282602E-2</v>
      </c>
      <c r="L1387">
        <v>1137.77228901941</v>
      </c>
      <c r="M1387">
        <v>22.893246967816999</v>
      </c>
      <c r="N1387">
        <v>49.843750200290302</v>
      </c>
      <c r="O1387">
        <v>49.3244873600811</v>
      </c>
      <c r="P1387">
        <v>-0.112305154452888</v>
      </c>
      <c r="Q1387">
        <v>3.21533838475331E-2</v>
      </c>
      <c r="R1387">
        <v>0.99644941535049503</v>
      </c>
      <c r="S1387" t="s">
        <v>7789</v>
      </c>
      <c r="T1387" t="s">
        <v>12802</v>
      </c>
      <c r="U1387" t="s">
        <v>12802</v>
      </c>
      <c r="V1387" t="s">
        <v>12802</v>
      </c>
      <c r="W1387" t="s">
        <v>14153</v>
      </c>
      <c r="X1387">
        <v>41</v>
      </c>
      <c r="Y1387" t="s">
        <v>20465</v>
      </c>
      <c r="Z1387" t="s">
        <v>26705</v>
      </c>
      <c r="AA1387">
        <v>0.4518115351481653</v>
      </c>
      <c r="AB1387" t="str">
        <f>HYPERLINK("Melting_Curves/meltCurve_O00410_IPO5.pdf", "Melting_Curves/meltCurve_O00410_IPO5.pdf")</f>
        <v>Melting_Curves/meltCurve_O00410_IPO5.pdf</v>
      </c>
    </row>
    <row r="1388" spans="1:28" x14ac:dyDescent="0.25">
      <c r="A1388" t="s">
        <v>1392</v>
      </c>
      <c r="B1388">
        <v>0.99542014353169495</v>
      </c>
      <c r="C1388">
        <v>0.94711486120575195</v>
      </c>
      <c r="D1388">
        <v>0.78482995511310605</v>
      </c>
      <c r="E1388">
        <v>0.28250996013022001</v>
      </c>
      <c r="F1388">
        <v>0.16845942666014499</v>
      </c>
      <c r="G1388">
        <v>8.4769899943996599E-2</v>
      </c>
      <c r="H1388">
        <v>5.98014207764241E-2</v>
      </c>
      <c r="I1388">
        <v>3.9224362260376497E-2</v>
      </c>
      <c r="J1388">
        <v>5.3613253648917301E-2</v>
      </c>
      <c r="K1388">
        <v>4.9065442202184499E-2</v>
      </c>
      <c r="L1388">
        <v>1160.5828806569</v>
      </c>
      <c r="M1388">
        <v>25.896223437682501</v>
      </c>
      <c r="N1388">
        <v>45.039523636143599</v>
      </c>
      <c r="O1388">
        <v>44.551992146590301</v>
      </c>
      <c r="P1388">
        <v>-0.13657874874820899</v>
      </c>
      <c r="Q1388">
        <v>6.0127884478152899E-2</v>
      </c>
      <c r="R1388">
        <v>0.996251898097259</v>
      </c>
      <c r="S1388" t="s">
        <v>7790</v>
      </c>
      <c r="T1388" t="s">
        <v>12802</v>
      </c>
      <c r="U1388" t="s">
        <v>12802</v>
      </c>
      <c r="V1388" t="s">
        <v>12802</v>
      </c>
      <c r="W1388" t="s">
        <v>14154</v>
      </c>
      <c r="X1388">
        <v>11</v>
      </c>
      <c r="Y1388" t="s">
        <v>20466</v>
      </c>
      <c r="Z1388" t="s">
        <v>26706</v>
      </c>
      <c r="AA1388">
        <v>0.31217448188980929</v>
      </c>
      <c r="AB1388" t="str">
        <f>HYPERLINK("Melting_Curves/meltCurve_O00418_EEF2K.pdf", "Melting_Curves/meltCurve_O00418_EEF2K.pdf")</f>
        <v>Melting_Curves/meltCurve_O00418_EEF2K.pdf</v>
      </c>
    </row>
    <row r="1389" spans="1:28" x14ac:dyDescent="0.25">
      <c r="A1389" t="s">
        <v>1393</v>
      </c>
      <c r="B1389">
        <v>0.99542014353169495</v>
      </c>
      <c r="C1389">
        <v>0.97803842745212299</v>
      </c>
      <c r="D1389">
        <v>0.96629287723273205</v>
      </c>
      <c r="E1389">
        <v>0.50052495328882696</v>
      </c>
      <c r="F1389">
        <v>0.26839820692666699</v>
      </c>
      <c r="G1389">
        <v>0.129370999007483</v>
      </c>
      <c r="H1389">
        <v>7.9860214301063895E-2</v>
      </c>
      <c r="I1389">
        <v>5.8262360574188397E-2</v>
      </c>
      <c r="J1389">
        <v>6.2764455479055098E-2</v>
      </c>
      <c r="K1389">
        <v>0.11216555832349701</v>
      </c>
      <c r="L1389">
        <v>1175.34436347016</v>
      </c>
      <c r="M1389">
        <v>25.190725585163101</v>
      </c>
      <c r="N1389">
        <v>47.005477564334697</v>
      </c>
      <c r="O1389">
        <v>46.366768560177398</v>
      </c>
      <c r="P1389">
        <v>-0.12428106461016999</v>
      </c>
      <c r="Q1389">
        <v>8.4990842104007494E-2</v>
      </c>
      <c r="R1389">
        <v>0.99247600434747196</v>
      </c>
      <c r="S1389" t="s">
        <v>7791</v>
      </c>
      <c r="T1389" t="s">
        <v>12802</v>
      </c>
      <c r="U1389" t="s">
        <v>12802</v>
      </c>
      <c r="V1389" t="s">
        <v>12802</v>
      </c>
      <c r="W1389" t="s">
        <v>14155</v>
      </c>
      <c r="X1389">
        <v>5</v>
      </c>
      <c r="Y1389" t="s">
        <v>20467</v>
      </c>
      <c r="Z1389" t="s">
        <v>26707</v>
      </c>
      <c r="AA1389">
        <v>0.38708782810451869</v>
      </c>
      <c r="AB1389" t="str">
        <f>HYPERLINK("Melting_Curves/meltCurve_O00422_SAP18.pdf", "Melting_Curves/meltCurve_O00422_SAP18.pdf")</f>
        <v>Melting_Curves/meltCurve_O00422_SAP18.pdf</v>
      </c>
    </row>
    <row r="1390" spans="1:28" x14ac:dyDescent="0.25">
      <c r="A1390" t="s">
        <v>1394</v>
      </c>
      <c r="B1390">
        <v>0.99542014353169495</v>
      </c>
      <c r="C1390">
        <v>0.99409693589141201</v>
      </c>
      <c r="D1390">
        <v>1.22171618735386</v>
      </c>
      <c r="E1390">
        <v>0.75931645958259097</v>
      </c>
      <c r="F1390">
        <v>0.37105135943284201</v>
      </c>
      <c r="G1390">
        <v>0.22222021965845801</v>
      </c>
      <c r="H1390">
        <v>0.12606773993261799</v>
      </c>
      <c r="I1390">
        <v>8.3187804447312899E-2</v>
      </c>
      <c r="J1390">
        <v>7.2384594398510804E-2</v>
      </c>
      <c r="K1390">
        <v>6.5524840448401497E-2</v>
      </c>
      <c r="L1390">
        <v>1355.8754036697601</v>
      </c>
      <c r="M1390">
        <v>27.787848434978098</v>
      </c>
      <c r="N1390">
        <v>49.1640109716054</v>
      </c>
      <c r="O1390">
        <v>48.543222148254998</v>
      </c>
      <c r="P1390">
        <v>-0.12960097731903999</v>
      </c>
      <c r="Q1390">
        <v>9.4396474625043997E-2</v>
      </c>
      <c r="R1390">
        <v>0.96370393185193903</v>
      </c>
      <c r="S1390" t="s">
        <v>7792</v>
      </c>
      <c r="T1390" t="s">
        <v>12802</v>
      </c>
      <c r="U1390" t="s">
        <v>12802</v>
      </c>
      <c r="V1390" t="s">
        <v>12802</v>
      </c>
      <c r="W1390" t="s">
        <v>14156</v>
      </c>
      <c r="X1390">
        <v>7</v>
      </c>
      <c r="Y1390" t="s">
        <v>20468</v>
      </c>
      <c r="Z1390" t="s">
        <v>26708</v>
      </c>
      <c r="AA1390">
        <v>0.45675229191560862</v>
      </c>
      <c r="AB1390" t="str">
        <f>HYPERLINK("Melting_Curves/meltCurve_O00425_IGF2BP3.pdf", "Melting_Curves/meltCurve_O00425_IGF2BP3.pdf")</f>
        <v>Melting_Curves/meltCurve_O00425_IGF2BP3.pdf</v>
      </c>
    </row>
    <row r="1391" spans="1:28" x14ac:dyDescent="0.25">
      <c r="A1391" t="s">
        <v>1395</v>
      </c>
      <c r="B1391">
        <v>0.99542014353169495</v>
      </c>
      <c r="C1391">
        <v>0.98846933636892598</v>
      </c>
      <c r="D1391">
        <v>0.97312264696124395</v>
      </c>
      <c r="E1391">
        <v>0.96442002092029999</v>
      </c>
      <c r="F1391">
        <v>0.77675876486200801</v>
      </c>
      <c r="G1391">
        <v>5.17934427865799E-2</v>
      </c>
      <c r="H1391">
        <v>6.6698166463638403E-3</v>
      </c>
      <c r="I1391">
        <v>0</v>
      </c>
      <c r="J1391">
        <v>0</v>
      </c>
      <c r="K1391">
        <v>0</v>
      </c>
      <c r="L1391">
        <v>3090.3760513021598</v>
      </c>
      <c r="M1391">
        <v>60.321490907528101</v>
      </c>
      <c r="N1391">
        <v>51.233120781653199</v>
      </c>
      <c r="O1391">
        <v>51.175560574585802</v>
      </c>
      <c r="P1391">
        <v>-0.29444387511436698</v>
      </c>
      <c r="Q1391">
        <v>7.9930161899740605E-4</v>
      </c>
      <c r="R1391">
        <v>0.99908710358892605</v>
      </c>
      <c r="S1391" t="s">
        <v>7793</v>
      </c>
      <c r="T1391" t="s">
        <v>12802</v>
      </c>
      <c r="U1391" t="s">
        <v>12802</v>
      </c>
      <c r="V1391" t="s">
        <v>12802</v>
      </c>
      <c r="W1391" t="s">
        <v>14157</v>
      </c>
      <c r="X1391">
        <v>34</v>
      </c>
      <c r="Y1391" t="s">
        <v>20469</v>
      </c>
      <c r="Z1391" t="s">
        <v>26709</v>
      </c>
      <c r="AA1391">
        <v>0.47636072647599292</v>
      </c>
      <c r="AB1391" t="str">
        <f>HYPERLINK("Melting_Curves/meltCurve_O00429_3_DNM1L.pdf", "Melting_Curves/meltCurve_O00429_3_DNM1L.pdf")</f>
        <v>Melting_Curves/meltCurve_O00429_3_DNM1L.pdf</v>
      </c>
    </row>
    <row r="1392" spans="1:28" x14ac:dyDescent="0.25">
      <c r="A1392" t="s">
        <v>1396</v>
      </c>
      <c r="B1392">
        <v>0.99542014353169495</v>
      </c>
      <c r="C1392">
        <v>1.0121730826319799</v>
      </c>
      <c r="D1392">
        <v>0.97200384030702902</v>
      </c>
      <c r="E1392">
        <v>0.89271132738374803</v>
      </c>
      <c r="F1392">
        <v>0.66499857050706501</v>
      </c>
      <c r="G1392">
        <v>0.1294568530486</v>
      </c>
      <c r="H1392">
        <v>7.6179015944653206E-2</v>
      </c>
      <c r="I1392">
        <v>4.8485222886526499E-2</v>
      </c>
      <c r="J1392">
        <v>5.3009447308413601E-2</v>
      </c>
      <c r="K1392">
        <v>6.0877737546723099E-2</v>
      </c>
      <c r="L1392">
        <v>1909.8406935560499</v>
      </c>
      <c r="M1392">
        <v>37.540160672077903</v>
      </c>
      <c r="N1392">
        <v>51.019417787298998</v>
      </c>
      <c r="O1392">
        <v>50.7308799230142</v>
      </c>
      <c r="P1392">
        <v>-0.175647662719431</v>
      </c>
      <c r="Q1392">
        <v>5.0538245727207401E-2</v>
      </c>
      <c r="R1392">
        <v>0.99525084806787401</v>
      </c>
      <c r="S1392" t="s">
        <v>7794</v>
      </c>
      <c r="T1392" t="s">
        <v>12802</v>
      </c>
      <c r="U1392" t="s">
        <v>12802</v>
      </c>
      <c r="V1392" t="s">
        <v>12802</v>
      </c>
      <c r="W1392" t="s">
        <v>14158</v>
      </c>
      <c r="X1392">
        <v>35</v>
      </c>
      <c r="Y1392" t="s">
        <v>20469</v>
      </c>
      <c r="Z1392" t="s">
        <v>26710</v>
      </c>
      <c r="AA1392">
        <v>0.49343858765248988</v>
      </c>
      <c r="AB1392" t="str">
        <f>HYPERLINK("Melting_Curves/meltCurve_O00429_4_DNM1L.pdf", "Melting_Curves/meltCurve_O00429_4_DNM1L.pdf")</f>
        <v>Melting_Curves/meltCurve_O00429_4_DNM1L.pdf</v>
      </c>
    </row>
    <row r="1393" spans="1:28" x14ac:dyDescent="0.25">
      <c r="A1393" t="s">
        <v>1397</v>
      </c>
      <c r="B1393">
        <v>0.99542014353169495</v>
      </c>
      <c r="C1393">
        <v>1.0579933788614899</v>
      </c>
      <c r="D1393">
        <v>0.96601614827569104</v>
      </c>
      <c r="E1393">
        <v>0.97529382784695795</v>
      </c>
      <c r="F1393">
        <v>0.76385987166909497</v>
      </c>
      <c r="G1393">
        <v>0.62722614167048796</v>
      </c>
      <c r="H1393">
        <v>0.31520418511221598</v>
      </c>
      <c r="I1393">
        <v>0.16429627148463999</v>
      </c>
      <c r="J1393">
        <v>6.4260973033318403E-2</v>
      </c>
      <c r="K1393">
        <v>6.3530167706321097E-2</v>
      </c>
      <c r="L1393">
        <v>889.88800391853704</v>
      </c>
      <c r="M1393">
        <v>16.215002992569001</v>
      </c>
      <c r="N1393">
        <v>54.880533702838399</v>
      </c>
      <c r="O1393">
        <v>54.066184276842797</v>
      </c>
      <c r="P1393">
        <v>-7.4983143494016899E-2</v>
      </c>
      <c r="Q1393">
        <v>0</v>
      </c>
      <c r="R1393">
        <v>0.99262568942882301</v>
      </c>
      <c r="S1393" t="s">
        <v>7795</v>
      </c>
      <c r="T1393" t="s">
        <v>12802</v>
      </c>
      <c r="U1393" t="s">
        <v>12802</v>
      </c>
      <c r="V1393" t="s">
        <v>12802</v>
      </c>
      <c r="W1393" t="s">
        <v>14159</v>
      </c>
      <c r="X1393">
        <v>12</v>
      </c>
      <c r="Y1393" t="s">
        <v>20470</v>
      </c>
      <c r="Z1393" t="s">
        <v>26711</v>
      </c>
      <c r="AA1393">
        <v>0.60980506194293305</v>
      </c>
      <c r="AB1393" t="str">
        <f>HYPERLINK("Melting_Curves/meltCurve_O00442_RTCA.pdf", "Melting_Curves/meltCurve_O00442_RTCA.pdf")</f>
        <v>Melting_Curves/meltCurve_O00442_RTCA.pdf</v>
      </c>
    </row>
    <row r="1394" spans="1:28" x14ac:dyDescent="0.25">
      <c r="A1394" t="s">
        <v>1398</v>
      </c>
      <c r="B1394">
        <v>0.99542014353169495</v>
      </c>
      <c r="C1394">
        <v>0.90278150230967202</v>
      </c>
      <c r="D1394">
        <v>0.84484331691570902</v>
      </c>
      <c r="E1394">
        <v>0.62643267121391499</v>
      </c>
      <c r="F1394">
        <v>0.27835107435626699</v>
      </c>
      <c r="G1394">
        <v>0.13273405631103299</v>
      </c>
      <c r="H1394">
        <v>0.124496772068851</v>
      </c>
      <c r="I1394">
        <v>6.5730729092719403E-2</v>
      </c>
      <c r="J1394">
        <v>4.94034596586886E-2</v>
      </c>
      <c r="K1394">
        <v>5.49562115164315E-2</v>
      </c>
      <c r="L1394">
        <v>801.032762079294</v>
      </c>
      <c r="M1394">
        <v>16.9246284213189</v>
      </c>
      <c r="N1394">
        <v>47.595004734773099</v>
      </c>
      <c r="O1394">
        <v>46.683481402684698</v>
      </c>
      <c r="P1394">
        <v>-8.6556434416544106E-2</v>
      </c>
      <c r="Q1394">
        <v>4.5060124537844401E-2</v>
      </c>
      <c r="R1394">
        <v>0.99441797312636604</v>
      </c>
      <c r="S1394" t="s">
        <v>7796</v>
      </c>
      <c r="T1394" t="s">
        <v>12802</v>
      </c>
      <c r="U1394" t="s">
        <v>12802</v>
      </c>
      <c r="V1394" t="s">
        <v>12802</v>
      </c>
      <c r="W1394" t="s">
        <v>14160</v>
      </c>
      <c r="X1394">
        <v>10</v>
      </c>
      <c r="Y1394" t="s">
        <v>20471</v>
      </c>
      <c r="Z1394" t="s">
        <v>26712</v>
      </c>
      <c r="AA1394">
        <v>0.39102883219576118</v>
      </c>
      <c r="AB1394" t="str">
        <f>HYPERLINK("Melting_Curves/meltCurve_O00459_PIK3R2.pdf", "Melting_Curves/meltCurve_O00459_PIK3R2.pdf")</f>
        <v>Melting_Curves/meltCurve_O00459_PIK3R2.pdf</v>
      </c>
    </row>
    <row r="1395" spans="1:28" x14ac:dyDescent="0.25">
      <c r="A1395" t="s">
        <v>1399</v>
      </c>
      <c r="B1395">
        <v>0.99542014353169495</v>
      </c>
      <c r="C1395">
        <v>0.92157780010172297</v>
      </c>
      <c r="D1395">
        <v>0.73577874562739598</v>
      </c>
      <c r="E1395">
        <v>0.57709332854268003</v>
      </c>
      <c r="F1395">
        <v>0.46562165872308298</v>
      </c>
      <c r="G1395">
        <v>0.217697511687724</v>
      </c>
      <c r="H1395">
        <v>0.17123423686862399</v>
      </c>
      <c r="I1395">
        <v>0.158614894090986</v>
      </c>
      <c r="J1395">
        <v>0.225042752110796</v>
      </c>
      <c r="K1395">
        <v>0.304772158021277</v>
      </c>
      <c r="L1395">
        <v>646.7558587812</v>
      </c>
      <c r="M1395">
        <v>14.049226561618401</v>
      </c>
      <c r="N1395">
        <v>47.674896284530597</v>
      </c>
      <c r="O1395">
        <v>45.132417879835103</v>
      </c>
      <c r="P1395">
        <v>-6.2918495664102098E-2</v>
      </c>
      <c r="Q1395">
        <v>0.19161619703207899</v>
      </c>
      <c r="R1395">
        <v>0.96325856453652403</v>
      </c>
      <c r="S1395" t="s">
        <v>7797</v>
      </c>
      <c r="T1395" t="s">
        <v>12802</v>
      </c>
      <c r="U1395" t="s">
        <v>12802</v>
      </c>
      <c r="V1395" t="s">
        <v>12802</v>
      </c>
      <c r="W1395" t="s">
        <v>14161</v>
      </c>
      <c r="X1395">
        <v>18</v>
      </c>
      <c r="Y1395" t="s">
        <v>20472</v>
      </c>
      <c r="Z1395" t="s">
        <v>26713</v>
      </c>
      <c r="AA1395">
        <v>0.45612221139099318</v>
      </c>
      <c r="AB1395" t="str">
        <f>HYPERLINK("Melting_Curves/meltCurve_O00461_GOLIM4.pdf", "Melting_Curves/meltCurve_O00461_GOLIM4.pdf")</f>
        <v>Melting_Curves/meltCurve_O00461_GOLIM4.pdf</v>
      </c>
    </row>
    <row r="1396" spans="1:28" x14ac:dyDescent="0.25">
      <c r="A1396" t="s">
        <v>1400</v>
      </c>
      <c r="B1396">
        <v>0.99542014353169495</v>
      </c>
      <c r="C1396">
        <v>0.88875999369834502</v>
      </c>
      <c r="D1396">
        <v>0.89942874238119197</v>
      </c>
      <c r="E1396">
        <v>0.835514744041016</v>
      </c>
      <c r="F1396">
        <v>0.65107224504419203</v>
      </c>
      <c r="G1396">
        <v>0.55469719250010696</v>
      </c>
      <c r="H1396">
        <v>0.36437165252861298</v>
      </c>
      <c r="I1396">
        <v>0.23924443902290099</v>
      </c>
      <c r="J1396">
        <v>0.111565062537562</v>
      </c>
      <c r="K1396">
        <v>4.3725576106786401E-2</v>
      </c>
      <c r="L1396">
        <v>563.05183155145005</v>
      </c>
      <c r="M1396">
        <v>10.473228285565099</v>
      </c>
      <c r="N1396">
        <v>53.761058046051197</v>
      </c>
      <c r="O1396">
        <v>51.911958983476197</v>
      </c>
      <c r="P1396">
        <v>-5.0458012625894097E-2</v>
      </c>
      <c r="Q1396">
        <v>0</v>
      </c>
      <c r="R1396">
        <v>0.98208854987611305</v>
      </c>
      <c r="S1396" t="s">
        <v>7798</v>
      </c>
      <c r="T1396" t="s">
        <v>12802</v>
      </c>
      <c r="U1396" t="s">
        <v>12802</v>
      </c>
      <c r="V1396" t="s">
        <v>12802</v>
      </c>
      <c r="W1396" t="s">
        <v>14162</v>
      </c>
      <c r="X1396">
        <v>4</v>
      </c>
      <c r="Y1396" t="s">
        <v>20473</v>
      </c>
      <c r="Z1396" t="s">
        <v>26714</v>
      </c>
      <c r="AA1396">
        <v>0.57764016939130769</v>
      </c>
      <c r="AB1396" t="str">
        <f>HYPERLINK("Melting_Curves/meltCurve_O00462_MANBA.pdf", "Melting_Curves/meltCurve_O00462_MANBA.pdf")</f>
        <v>Melting_Curves/meltCurve_O00462_MANBA.pdf</v>
      </c>
    </row>
    <row r="1397" spans="1:28" x14ac:dyDescent="0.25">
      <c r="A1397" t="s">
        <v>1401</v>
      </c>
      <c r="B1397">
        <v>0.99542014353169495</v>
      </c>
      <c r="C1397">
        <v>0.89014538902702001</v>
      </c>
      <c r="D1397">
        <v>1.0027966458083499</v>
      </c>
      <c r="E1397">
        <v>0.655898589973826</v>
      </c>
      <c r="F1397">
        <v>0.48669675244729999</v>
      </c>
      <c r="G1397">
        <v>0.185311530878249</v>
      </c>
      <c r="H1397">
        <v>0.13628272592955901</v>
      </c>
      <c r="I1397">
        <v>9.2631972227089299E-2</v>
      </c>
      <c r="J1397">
        <v>0.10134333627508001</v>
      </c>
      <c r="K1397">
        <v>3.9270431698393699E-2</v>
      </c>
      <c r="L1397">
        <v>815.42884171071501</v>
      </c>
      <c r="M1397">
        <v>16.647161549091901</v>
      </c>
      <c r="N1397">
        <v>49.319869584854501</v>
      </c>
      <c r="O1397">
        <v>48.292597009384899</v>
      </c>
      <c r="P1397">
        <v>-8.1553652679863295E-2</v>
      </c>
      <c r="Q1397">
        <v>5.37309833748634E-2</v>
      </c>
      <c r="R1397">
        <v>0.98204704548830002</v>
      </c>
      <c r="S1397" t="s">
        <v>7799</v>
      </c>
      <c r="T1397" t="s">
        <v>12802</v>
      </c>
      <c r="U1397" t="s">
        <v>12802</v>
      </c>
      <c r="V1397" t="s">
        <v>12802</v>
      </c>
      <c r="W1397" t="s">
        <v>14163</v>
      </c>
      <c r="X1397">
        <v>7</v>
      </c>
      <c r="Y1397" t="s">
        <v>20474</v>
      </c>
      <c r="Z1397" t="s">
        <v>26715</v>
      </c>
      <c r="AA1397">
        <v>0.44890055101285398</v>
      </c>
      <c r="AB1397" t="str">
        <f>HYPERLINK("Melting_Curves/meltCurve_O00468_2_AGRN.pdf", "Melting_Curves/meltCurve_O00468_2_AGRN.pdf")</f>
        <v>Melting_Curves/meltCurve_O00468_2_AGRN.pdf</v>
      </c>
    </row>
    <row r="1398" spans="1:28" x14ac:dyDescent="0.25">
      <c r="A1398" t="s">
        <v>1402</v>
      </c>
      <c r="B1398">
        <v>0.99542014353169495</v>
      </c>
      <c r="C1398">
        <v>0.935943035678513</v>
      </c>
      <c r="D1398">
        <v>0.92019432372858601</v>
      </c>
      <c r="E1398">
        <v>0.55367708590285902</v>
      </c>
      <c r="F1398">
        <v>0.21634677068788899</v>
      </c>
      <c r="G1398">
        <v>0.13798928818574999</v>
      </c>
      <c r="H1398">
        <v>7.8534927095790893E-2</v>
      </c>
      <c r="I1398">
        <v>5.18940301843192E-2</v>
      </c>
      <c r="J1398">
        <v>4.4390655447345398E-2</v>
      </c>
      <c r="K1398">
        <v>3.7593509201918701E-2</v>
      </c>
      <c r="L1398">
        <v>1051.5825769120499</v>
      </c>
      <c r="M1398">
        <v>22.416257768920499</v>
      </c>
      <c r="N1398">
        <v>47.143783775347899</v>
      </c>
      <c r="O1398">
        <v>46.543036520976599</v>
      </c>
      <c r="P1398">
        <v>-0.114115797939685</v>
      </c>
      <c r="Q1398">
        <v>5.22616068080064E-2</v>
      </c>
      <c r="R1398">
        <v>0.99675376559907702</v>
      </c>
      <c r="S1398" t="s">
        <v>7800</v>
      </c>
      <c r="T1398" t="s">
        <v>12802</v>
      </c>
      <c r="U1398" t="s">
        <v>12802</v>
      </c>
      <c r="V1398" t="s">
        <v>12802</v>
      </c>
      <c r="W1398" t="s">
        <v>14164</v>
      </c>
      <c r="X1398">
        <v>10</v>
      </c>
      <c r="Y1398" t="s">
        <v>20475</v>
      </c>
      <c r="Z1398" t="s">
        <v>26716</v>
      </c>
      <c r="AA1398">
        <v>0.37527657063372022</v>
      </c>
      <c r="AB1398" t="str">
        <f>HYPERLINK("Melting_Curves/meltCurve_O00471_EXOC5.pdf", "Melting_Curves/meltCurve_O00471_EXOC5.pdf")</f>
        <v>Melting_Curves/meltCurve_O00471_EXOC5.pdf</v>
      </c>
    </row>
    <row r="1399" spans="1:28" x14ac:dyDescent="0.25">
      <c r="A1399" t="s">
        <v>1403</v>
      </c>
      <c r="B1399">
        <v>0.99542014353169495</v>
      </c>
      <c r="C1399">
        <v>1.1319449906874199</v>
      </c>
      <c r="D1399">
        <v>0.98514014359367497</v>
      </c>
      <c r="E1399">
        <v>0.90708246720066898</v>
      </c>
      <c r="F1399">
        <v>0.67280303782442197</v>
      </c>
      <c r="G1399">
        <v>0.63086853869842996</v>
      </c>
      <c r="H1399">
        <v>0.38819619666534</v>
      </c>
      <c r="I1399">
        <v>0.32867900806795403</v>
      </c>
      <c r="J1399">
        <v>0.57592207658107497</v>
      </c>
      <c r="K1399">
        <v>1.01625002687424</v>
      </c>
      <c r="L1399">
        <v>1735.6056715897801</v>
      </c>
      <c r="M1399">
        <v>35.955939838956702</v>
      </c>
      <c r="O1399">
        <v>48.121764749923898</v>
      </c>
      <c r="P1399">
        <v>-7.7322853171212E-2</v>
      </c>
      <c r="Q1399">
        <v>0.58606001333020896</v>
      </c>
      <c r="R1399">
        <v>0.56584550984646198</v>
      </c>
      <c r="S1399" t="s">
        <v>7801</v>
      </c>
      <c r="T1399" t="s">
        <v>12802</v>
      </c>
      <c r="U1399" t="s">
        <v>12802</v>
      </c>
      <c r="V1399" t="s">
        <v>12802</v>
      </c>
      <c r="W1399" t="s">
        <v>14165</v>
      </c>
      <c r="X1399">
        <v>5</v>
      </c>
      <c r="Y1399" t="s">
        <v>20476</v>
      </c>
      <c r="Z1399" t="s">
        <v>26717</v>
      </c>
      <c r="AA1399">
        <v>0.74328018881678526</v>
      </c>
      <c r="AB1399" t="str">
        <f>HYPERLINK("Melting_Curves/meltCurve_O00479_HMGN4.pdf", "Melting_Curves/meltCurve_O00479_HMGN4.pdf")</f>
        <v>Melting_Curves/meltCurve_O00479_HMGN4.pdf</v>
      </c>
    </row>
    <row r="1400" spans="1:28" x14ac:dyDescent="0.25">
      <c r="A1400" t="s">
        <v>1404</v>
      </c>
      <c r="B1400">
        <v>0.99542014353169495</v>
      </c>
      <c r="C1400">
        <v>0.840393022540598</v>
      </c>
      <c r="D1400">
        <v>0.80417579825442198</v>
      </c>
      <c r="E1400">
        <v>0.61038283841288798</v>
      </c>
      <c r="F1400">
        <v>0.38827160472750599</v>
      </c>
      <c r="G1400">
        <v>0.26855321352505901</v>
      </c>
      <c r="H1400">
        <v>0.18230277732682201</v>
      </c>
      <c r="I1400">
        <v>0.15830804992891101</v>
      </c>
      <c r="J1400">
        <v>0.231500705378097</v>
      </c>
      <c r="K1400">
        <v>0.279131825202802</v>
      </c>
      <c r="L1400">
        <v>649.86560934009503</v>
      </c>
      <c r="M1400">
        <v>14.054492512195599</v>
      </c>
      <c r="N1400">
        <v>47.845135179691802</v>
      </c>
      <c r="O1400">
        <v>45.3330671021683</v>
      </c>
      <c r="P1400">
        <v>-6.2939005377006502E-2</v>
      </c>
      <c r="Q1400">
        <v>0.188061366100022</v>
      </c>
      <c r="R1400">
        <v>0.974106451416071</v>
      </c>
      <c r="S1400" t="s">
        <v>7802</v>
      </c>
      <c r="T1400" t="s">
        <v>12802</v>
      </c>
      <c r="U1400" t="s">
        <v>12802</v>
      </c>
      <c r="V1400" t="s">
        <v>12802</v>
      </c>
      <c r="W1400" t="s">
        <v>14166</v>
      </c>
      <c r="X1400">
        <v>7</v>
      </c>
      <c r="Y1400" t="s">
        <v>20477</v>
      </c>
      <c r="Z1400" t="s">
        <v>26718</v>
      </c>
      <c r="AA1400">
        <v>0.45909752330412468</v>
      </c>
      <c r="AB1400" t="str">
        <f>HYPERLINK("Melting_Curves/meltCurve_O00483_NDUFA4.pdf", "Melting_Curves/meltCurve_O00483_NDUFA4.pdf")</f>
        <v>Melting_Curves/meltCurve_O00483_NDUFA4.pdf</v>
      </c>
    </row>
    <row r="1401" spans="1:28" x14ac:dyDescent="0.25">
      <c r="A1401" t="s">
        <v>1405</v>
      </c>
      <c r="B1401">
        <v>0.99542014353169495</v>
      </c>
      <c r="C1401">
        <v>0.87559068163869103</v>
      </c>
      <c r="D1401">
        <v>1.0100145038502299</v>
      </c>
      <c r="E1401">
        <v>0.68222960576392899</v>
      </c>
      <c r="F1401">
        <v>0.35673854301876001</v>
      </c>
      <c r="G1401">
        <v>0.12959648645906499</v>
      </c>
      <c r="H1401">
        <v>5.3047186139636097E-2</v>
      </c>
      <c r="I1401">
        <v>1.8935300894225002E-2</v>
      </c>
      <c r="J1401">
        <v>1.54208587778216E-2</v>
      </c>
      <c r="K1401">
        <v>1.7137794814297301E-2</v>
      </c>
      <c r="L1401">
        <v>999.42725824236402</v>
      </c>
      <c r="M1401">
        <v>20.5726643718391</v>
      </c>
      <c r="N1401">
        <v>48.630737093397798</v>
      </c>
      <c r="O1401">
        <v>48.128322732986398</v>
      </c>
      <c r="P1401">
        <v>-0.105739832977872</v>
      </c>
      <c r="Q1401">
        <v>1.05448053670819E-2</v>
      </c>
      <c r="R1401">
        <v>0.98847435078299595</v>
      </c>
      <c r="S1401" t="s">
        <v>7803</v>
      </c>
      <c r="T1401" t="s">
        <v>12802</v>
      </c>
      <c r="U1401" t="s">
        <v>12802</v>
      </c>
      <c r="V1401" t="s">
        <v>12802</v>
      </c>
      <c r="W1401" t="s">
        <v>14167</v>
      </c>
      <c r="X1401">
        <v>7</v>
      </c>
      <c r="Y1401" t="s">
        <v>20478</v>
      </c>
      <c r="Z1401" t="s">
        <v>26719</v>
      </c>
      <c r="AA1401">
        <v>0.40484346681641442</v>
      </c>
      <c r="AB1401" t="str">
        <f>HYPERLINK("Melting_Curves/meltCurve_O00487_PSMD14.pdf", "Melting_Curves/meltCurve_O00487_PSMD14.pdf")</f>
        <v>Melting_Curves/meltCurve_O00487_PSMD14.pdf</v>
      </c>
    </row>
    <row r="1402" spans="1:28" x14ac:dyDescent="0.25">
      <c r="A1402" t="s">
        <v>1406</v>
      </c>
      <c r="B1402">
        <v>0.99542014353169495</v>
      </c>
      <c r="C1402">
        <v>1.0752111489867999</v>
      </c>
      <c r="D1402">
        <v>1.03466132348377</v>
      </c>
      <c r="E1402">
        <v>0.93512707826034502</v>
      </c>
      <c r="F1402">
        <v>0.67058770021841296</v>
      </c>
      <c r="G1402">
        <v>0.445203888732915</v>
      </c>
      <c r="H1402">
        <v>0.28932136106598499</v>
      </c>
      <c r="I1402">
        <v>0.25881535749835499</v>
      </c>
      <c r="J1402">
        <v>0.36710250276524597</v>
      </c>
      <c r="K1402">
        <v>0.40568712034788201</v>
      </c>
      <c r="L1402">
        <v>1502.6984645273501</v>
      </c>
      <c r="M1402">
        <v>29.873617163539301</v>
      </c>
      <c r="N1402">
        <v>52.199477247263601</v>
      </c>
      <c r="O1402">
        <v>50.0780740197239</v>
      </c>
      <c r="P1402">
        <v>-9.9739552359300807E-2</v>
      </c>
      <c r="Q1402">
        <v>0.33121843739927298</v>
      </c>
      <c r="R1402">
        <v>0.97580131314065699</v>
      </c>
      <c r="S1402" t="s">
        <v>7804</v>
      </c>
      <c r="T1402" t="s">
        <v>12802</v>
      </c>
      <c r="U1402" t="s">
        <v>12802</v>
      </c>
      <c r="V1402" t="s">
        <v>12802</v>
      </c>
      <c r="W1402" t="s">
        <v>14168</v>
      </c>
      <c r="X1402">
        <v>4</v>
      </c>
      <c r="Y1402" t="s">
        <v>20479</v>
      </c>
      <c r="Z1402" t="s">
        <v>26720</v>
      </c>
      <c r="AA1402">
        <v>0.63191072022757355</v>
      </c>
      <c r="AB1402" t="str">
        <f>HYPERLINK("Melting_Curves/meltCurve_O00488_ZNF593.pdf", "Melting_Curves/meltCurve_O00488_ZNF593.pdf")</f>
        <v>Melting_Curves/meltCurve_O00488_ZNF593.pdf</v>
      </c>
    </row>
    <row r="1403" spans="1:28" x14ac:dyDescent="0.25">
      <c r="A1403" t="s">
        <v>1407</v>
      </c>
      <c r="B1403">
        <v>0.99542014353169495</v>
      </c>
      <c r="C1403">
        <v>0.94562576740312698</v>
      </c>
      <c r="D1403">
        <v>0.89540732078447105</v>
      </c>
      <c r="E1403">
        <v>0.68660481780459204</v>
      </c>
      <c r="F1403">
        <v>0.44719561685338199</v>
      </c>
      <c r="G1403">
        <v>0.24794568317743201</v>
      </c>
      <c r="H1403">
        <v>7.5556362143303801E-2</v>
      </c>
      <c r="I1403">
        <v>5.00467357345519E-2</v>
      </c>
      <c r="J1403">
        <v>4.7960928009513903E-2</v>
      </c>
      <c r="K1403">
        <v>4.4122699938587397E-2</v>
      </c>
      <c r="L1403">
        <v>711.25205911673095</v>
      </c>
      <c r="M1403">
        <v>14.440268725654301</v>
      </c>
      <c r="N1403">
        <v>49.276787079013197</v>
      </c>
      <c r="O1403">
        <v>48.339044372752397</v>
      </c>
      <c r="P1403">
        <v>-7.4450458297678199E-2</v>
      </c>
      <c r="Q1403">
        <v>3.2197688599710098E-3</v>
      </c>
      <c r="R1403">
        <v>0.99767285480503998</v>
      </c>
      <c r="S1403" t="s">
        <v>7805</v>
      </c>
      <c r="T1403" t="s">
        <v>12802</v>
      </c>
      <c r="U1403" t="s">
        <v>12802</v>
      </c>
      <c r="V1403" t="s">
        <v>12802</v>
      </c>
      <c r="W1403" t="s">
        <v>14169</v>
      </c>
      <c r="X1403">
        <v>10</v>
      </c>
      <c r="Y1403" t="s">
        <v>20480</v>
      </c>
      <c r="Z1403" t="s">
        <v>26721</v>
      </c>
      <c r="AA1403">
        <v>0.43296276204315942</v>
      </c>
      <c r="AB1403" t="str">
        <f>HYPERLINK("Melting_Curves/meltCurve_O00505_KPNA3.pdf", "Melting_Curves/meltCurve_O00505_KPNA3.pdf")</f>
        <v>Melting_Curves/meltCurve_O00505_KPNA3.pdf</v>
      </c>
    </row>
    <row r="1404" spans="1:28" x14ac:dyDescent="0.25">
      <c r="A1404" t="s">
        <v>1408</v>
      </c>
      <c r="B1404">
        <v>0.99542014353169495</v>
      </c>
      <c r="C1404">
        <v>0.98773189228206604</v>
      </c>
      <c r="D1404">
        <v>0.91732642725233404</v>
      </c>
      <c r="E1404">
        <v>0.88191424807073004</v>
      </c>
      <c r="F1404">
        <v>0.61287238267165201</v>
      </c>
      <c r="G1404">
        <v>0.27909533228139999</v>
      </c>
      <c r="H1404">
        <v>6.8859688802473507E-2</v>
      </c>
      <c r="I1404">
        <v>4.1321133997774102E-2</v>
      </c>
      <c r="J1404">
        <v>2.5994021014507498E-2</v>
      </c>
      <c r="K1404">
        <v>3.9291582755685499E-2</v>
      </c>
      <c r="L1404">
        <v>1062.90345815265</v>
      </c>
      <c r="M1404">
        <v>20.779832180644402</v>
      </c>
      <c r="N1404">
        <v>51.198828655332598</v>
      </c>
      <c r="O1404">
        <v>50.684079479765302</v>
      </c>
      <c r="P1404">
        <v>-0.101508816708345</v>
      </c>
      <c r="Q1404">
        <v>9.6673349639768598E-3</v>
      </c>
      <c r="R1404">
        <v>0.99642853350053495</v>
      </c>
      <c r="S1404" t="s">
        <v>7806</v>
      </c>
      <c r="T1404" t="s">
        <v>12802</v>
      </c>
      <c r="U1404" t="s">
        <v>12802</v>
      </c>
      <c r="V1404" t="s">
        <v>12802</v>
      </c>
      <c r="W1404" t="s">
        <v>14170</v>
      </c>
      <c r="X1404">
        <v>9</v>
      </c>
      <c r="Y1404" t="s">
        <v>20481</v>
      </c>
      <c r="Z1404" t="s">
        <v>26722</v>
      </c>
      <c r="AA1404">
        <v>0.48894281161053232</v>
      </c>
      <c r="AB1404" t="str">
        <f>HYPERLINK("Melting_Curves/meltCurve_O00506_STK25.pdf", "Melting_Curves/meltCurve_O00506_STK25.pdf")</f>
        <v>Melting_Curves/meltCurve_O00506_STK25.pdf</v>
      </c>
    </row>
    <row r="1405" spans="1:28" x14ac:dyDescent="0.25">
      <c r="A1405" t="s">
        <v>1409</v>
      </c>
      <c r="B1405">
        <v>0.99542014353169495</v>
      </c>
      <c r="C1405">
        <v>1.0185954627901399</v>
      </c>
      <c r="D1405">
        <v>0.93223324991928502</v>
      </c>
      <c r="E1405">
        <v>0.86058813774974097</v>
      </c>
      <c r="F1405">
        <v>0.726354733817413</v>
      </c>
      <c r="G1405">
        <v>0.49528127997166599</v>
      </c>
      <c r="H1405">
        <v>0.35161438175279602</v>
      </c>
      <c r="I1405">
        <v>0.27324853485146799</v>
      </c>
      <c r="J1405">
        <v>0.22474489955028401</v>
      </c>
      <c r="K1405">
        <v>0.257873664815924</v>
      </c>
      <c r="L1405">
        <v>769.61815970371401</v>
      </c>
      <c r="M1405">
        <v>14.8181038945346</v>
      </c>
      <c r="N1405">
        <v>53.802344818624199</v>
      </c>
      <c r="O1405">
        <v>51.019330455084898</v>
      </c>
      <c r="P1405">
        <v>-5.8034964489895403E-2</v>
      </c>
      <c r="Q1405">
        <v>0.20081812677590799</v>
      </c>
      <c r="R1405">
        <v>0.99565395569866</v>
      </c>
      <c r="S1405" t="s">
        <v>7807</v>
      </c>
      <c r="T1405" t="s">
        <v>12802</v>
      </c>
      <c r="U1405" t="s">
        <v>12802</v>
      </c>
      <c r="V1405" t="s">
        <v>12802</v>
      </c>
      <c r="W1405" t="s">
        <v>14171</v>
      </c>
      <c r="X1405">
        <v>4</v>
      </c>
      <c r="Y1405" t="s">
        <v>20482</v>
      </c>
      <c r="Z1405" t="s">
        <v>26723</v>
      </c>
      <c r="AA1405">
        <v>0.61431519865185569</v>
      </c>
      <c r="AB1405" t="str">
        <f>HYPERLINK("Melting_Curves/meltCurve_O00512_BCL9.pdf", "Melting_Curves/meltCurve_O00512_BCL9.pdf")</f>
        <v>Melting_Curves/meltCurve_O00512_BCL9.pdf</v>
      </c>
    </row>
    <row r="1406" spans="1:28" x14ac:dyDescent="0.25">
      <c r="A1406" t="s">
        <v>1410</v>
      </c>
      <c r="B1406">
        <v>0.99542014353169495</v>
      </c>
      <c r="C1406">
        <v>0.91294044502594995</v>
      </c>
      <c r="D1406">
        <v>0.77744414310410903</v>
      </c>
      <c r="E1406">
        <v>0.57487348438289998</v>
      </c>
      <c r="F1406">
        <v>0.21748787285103399</v>
      </c>
      <c r="G1406">
        <v>0.114173376609833</v>
      </c>
      <c r="H1406">
        <v>8.3172770739600901E-2</v>
      </c>
      <c r="I1406">
        <v>3.7737805029910601E-2</v>
      </c>
      <c r="J1406">
        <v>1.8151446663852801E-2</v>
      </c>
      <c r="K1406">
        <v>4.2558136273193603E-2</v>
      </c>
      <c r="L1406">
        <v>746.92595112921902</v>
      </c>
      <c r="M1406">
        <v>15.985305605767699</v>
      </c>
      <c r="N1406">
        <v>46.827706541767803</v>
      </c>
      <c r="O1406">
        <v>46.012901564460698</v>
      </c>
      <c r="P1406">
        <v>-8.5374145351454905E-2</v>
      </c>
      <c r="Q1406">
        <v>1.7097053139698299E-2</v>
      </c>
      <c r="R1406">
        <v>0.994720922412481</v>
      </c>
      <c r="S1406" t="s">
        <v>7808</v>
      </c>
      <c r="T1406" t="s">
        <v>12802</v>
      </c>
      <c r="U1406" t="s">
        <v>12802</v>
      </c>
      <c r="V1406" t="s">
        <v>12802</v>
      </c>
      <c r="W1406" t="s">
        <v>14172</v>
      </c>
      <c r="X1406">
        <v>3</v>
      </c>
      <c r="Y1406" t="s">
        <v>20483</v>
      </c>
      <c r="Z1406" t="s">
        <v>26724</v>
      </c>
      <c r="AA1406">
        <v>0.35554883792194419</v>
      </c>
      <c r="AB1406" t="str">
        <f>HYPERLINK("Melting_Curves/meltCurve_O00522_KRIT1.pdf", "Melting_Curves/meltCurve_O00522_KRIT1.pdf")</f>
        <v>Melting_Curves/meltCurve_O00522_KRIT1.pdf</v>
      </c>
    </row>
    <row r="1407" spans="1:28" x14ac:dyDescent="0.25">
      <c r="A1407" t="s">
        <v>1411</v>
      </c>
      <c r="B1407">
        <v>0.99542014353169495</v>
      </c>
      <c r="C1407">
        <v>0.95439342625224899</v>
      </c>
      <c r="D1407">
        <v>1.0085683131471599</v>
      </c>
      <c r="E1407">
        <v>0.80039983218335398</v>
      </c>
      <c r="F1407">
        <v>0.54947734793661596</v>
      </c>
      <c r="G1407">
        <v>0.24380670042758501</v>
      </c>
      <c r="H1407">
        <v>0.17813934748284499</v>
      </c>
      <c r="I1407">
        <v>0.114321565722367</v>
      </c>
      <c r="J1407">
        <v>0.112658918752557</v>
      </c>
      <c r="K1407">
        <v>0.112092880485039</v>
      </c>
      <c r="L1407">
        <v>1017.6681613276201</v>
      </c>
      <c r="M1407">
        <v>20.391764226073001</v>
      </c>
      <c r="N1407">
        <v>50.4734688737827</v>
      </c>
      <c r="O1407">
        <v>49.433341686219002</v>
      </c>
      <c r="P1407">
        <v>-9.2563376461252206E-2</v>
      </c>
      <c r="Q1407">
        <v>0.10246545707898801</v>
      </c>
      <c r="R1407">
        <v>0.995885983002606</v>
      </c>
      <c r="S1407" t="s">
        <v>7809</v>
      </c>
      <c r="T1407" t="s">
        <v>12802</v>
      </c>
      <c r="U1407" t="s">
        <v>12802</v>
      </c>
      <c r="V1407" t="s">
        <v>12802</v>
      </c>
      <c r="W1407" t="s">
        <v>14173</v>
      </c>
      <c r="X1407">
        <v>8</v>
      </c>
      <c r="Y1407" t="s">
        <v>20005</v>
      </c>
      <c r="Z1407" t="s">
        <v>26725</v>
      </c>
      <c r="AA1407">
        <v>0.50000443079003332</v>
      </c>
      <c r="AB1407" t="str">
        <f>HYPERLINK("Melting_Curves/meltCurve_O00560_SDCBP.pdf", "Melting_Curves/meltCurve_O00560_SDCBP.pdf")</f>
        <v>Melting_Curves/meltCurve_O00560_SDCBP.pdf</v>
      </c>
    </row>
    <row r="1408" spans="1:28" x14ac:dyDescent="0.25">
      <c r="A1408" t="s">
        <v>1412</v>
      </c>
      <c r="B1408">
        <v>0.99542014353169495</v>
      </c>
      <c r="C1408">
        <v>1.5713948900018</v>
      </c>
      <c r="D1408">
        <v>1.4264770655930801</v>
      </c>
      <c r="E1408">
        <v>0.48728358638034303</v>
      </c>
      <c r="F1408">
        <v>0.45157177640771001</v>
      </c>
      <c r="G1408">
        <v>0.311351854545386</v>
      </c>
      <c r="H1408">
        <v>0</v>
      </c>
      <c r="I1408">
        <v>0</v>
      </c>
      <c r="J1408">
        <v>0</v>
      </c>
      <c r="K1408">
        <v>0</v>
      </c>
      <c r="L1408">
        <v>1011.08042814747</v>
      </c>
      <c r="M1408">
        <v>20.4999990503518</v>
      </c>
      <c r="N1408">
        <v>49.356890871721099</v>
      </c>
      <c r="O1408">
        <v>48.858867891208398</v>
      </c>
      <c r="P1408">
        <v>-0.10412058825194501</v>
      </c>
      <c r="Q1408">
        <v>7.4021225315820099E-3</v>
      </c>
      <c r="R1408">
        <v>0.79662675235737301</v>
      </c>
      <c r="S1408" t="s">
        <v>7810</v>
      </c>
      <c r="T1408" t="s">
        <v>12802</v>
      </c>
      <c r="U1408" t="s">
        <v>12802</v>
      </c>
      <c r="V1408" t="s">
        <v>12802</v>
      </c>
      <c r="W1408" t="s">
        <v>14174</v>
      </c>
      <c r="X1408">
        <v>3</v>
      </c>
      <c r="Y1408" t="s">
        <v>20484</v>
      </c>
      <c r="Z1408" t="s">
        <v>26726</v>
      </c>
      <c r="AA1408">
        <v>0.42757142060408099</v>
      </c>
      <c r="AB1408" t="str">
        <f>HYPERLINK("Melting_Curves/meltCurve_O00562_2_PITPNM1.pdf", "Melting_Curves/meltCurve_O00562_2_PITPNM1.pdf")</f>
        <v>Melting_Curves/meltCurve_O00562_2_PITPNM1.pdf</v>
      </c>
    </row>
    <row r="1409" spans="1:28" x14ac:dyDescent="0.25">
      <c r="A1409" t="s">
        <v>1413</v>
      </c>
      <c r="B1409">
        <v>0.99542014353169495</v>
      </c>
      <c r="C1409">
        <v>1.0037295088649301</v>
      </c>
      <c r="D1409">
        <v>0.93916182037399598</v>
      </c>
      <c r="E1409">
        <v>0.91248757954943605</v>
      </c>
      <c r="F1409">
        <v>0.69321741868411302</v>
      </c>
      <c r="G1409">
        <v>0.38378015764401002</v>
      </c>
      <c r="H1409">
        <v>0.17985853511484001</v>
      </c>
      <c r="I1409">
        <v>0.124111959512237</v>
      </c>
      <c r="J1409">
        <v>0.123859965131093</v>
      </c>
      <c r="K1409">
        <v>0.14826881991990001</v>
      </c>
      <c r="L1409">
        <v>1116.2526151812201</v>
      </c>
      <c r="M1409">
        <v>21.627503117931699</v>
      </c>
      <c r="N1409">
        <v>52.224487991936599</v>
      </c>
      <c r="O1409">
        <v>51.177462644014099</v>
      </c>
      <c r="P1409">
        <v>-9.3828503459660706E-2</v>
      </c>
      <c r="Q1409">
        <v>0.111910423382155</v>
      </c>
      <c r="R1409">
        <v>0.99679958730647</v>
      </c>
      <c r="S1409" t="s">
        <v>7811</v>
      </c>
      <c r="T1409" t="s">
        <v>12802</v>
      </c>
      <c r="U1409" t="s">
        <v>12802</v>
      </c>
      <c r="V1409" t="s">
        <v>12802</v>
      </c>
      <c r="W1409" t="s">
        <v>14175</v>
      </c>
      <c r="X1409">
        <v>6</v>
      </c>
      <c r="Y1409" t="s">
        <v>20485</v>
      </c>
      <c r="Z1409" t="s">
        <v>26727</v>
      </c>
      <c r="AA1409">
        <v>0.55463326611832031</v>
      </c>
      <c r="AB1409" t="str">
        <f>HYPERLINK("Melting_Curves/meltCurve_O00566_MPHOSPH10.pdf", "Melting_Curves/meltCurve_O00566_MPHOSPH10.pdf")</f>
        <v>Melting_Curves/meltCurve_O00566_MPHOSPH10.pdf</v>
      </c>
    </row>
    <row r="1410" spans="1:28" x14ac:dyDescent="0.25">
      <c r="A1410" t="s">
        <v>1414</v>
      </c>
      <c r="B1410">
        <v>0.99542014353169495</v>
      </c>
      <c r="C1410">
        <v>0.90416946145051103</v>
      </c>
      <c r="D1410">
        <v>0.89566586819930705</v>
      </c>
      <c r="E1410">
        <v>0.85392176132715403</v>
      </c>
      <c r="F1410">
        <v>0.64221437230286105</v>
      </c>
      <c r="G1410">
        <v>0.51726830946955704</v>
      </c>
      <c r="H1410">
        <v>0.14165192660457601</v>
      </c>
      <c r="I1410">
        <v>0.103632497518235</v>
      </c>
      <c r="J1410">
        <v>0.16878548889454201</v>
      </c>
      <c r="K1410">
        <v>0.19695823158596601</v>
      </c>
      <c r="L1410">
        <v>793.66548796959898</v>
      </c>
      <c r="M1410">
        <v>15.373321884179299</v>
      </c>
      <c r="N1410">
        <v>52.367574748386097</v>
      </c>
      <c r="O1410">
        <v>50.776262114029599</v>
      </c>
      <c r="P1410">
        <v>-6.8295342118048899E-2</v>
      </c>
      <c r="Q1410">
        <v>9.7797040187590306E-2</v>
      </c>
      <c r="R1410">
        <v>0.96024157243977803</v>
      </c>
      <c r="S1410" t="s">
        <v>7812</v>
      </c>
      <c r="T1410" t="s">
        <v>12802</v>
      </c>
      <c r="U1410" t="s">
        <v>12802</v>
      </c>
      <c r="V1410" t="s">
        <v>12802</v>
      </c>
      <c r="W1410" t="s">
        <v>14176</v>
      </c>
      <c r="X1410">
        <v>3</v>
      </c>
      <c r="Y1410" t="s">
        <v>20486</v>
      </c>
      <c r="Z1410" t="s">
        <v>26728</v>
      </c>
      <c r="AA1410">
        <v>0.55475734570314994</v>
      </c>
      <c r="AB1410" t="str">
        <f>HYPERLINK("Melting_Curves/meltCurve_O00567_NOP56.pdf", "Melting_Curves/meltCurve_O00567_NOP56.pdf")</f>
        <v>Melting_Curves/meltCurve_O00567_NOP56.pdf</v>
      </c>
    </row>
    <row r="1411" spans="1:28" x14ac:dyDescent="0.25">
      <c r="A1411" t="s">
        <v>1415</v>
      </c>
      <c r="B1411">
        <v>0.99542014353169495</v>
      </c>
      <c r="C1411">
        <v>0.93400489004029896</v>
      </c>
      <c r="D1411">
        <v>0.91636137178049604</v>
      </c>
      <c r="E1411">
        <v>0.56496795585006898</v>
      </c>
      <c r="F1411">
        <v>0.15331673788814101</v>
      </c>
      <c r="G1411">
        <v>9.8398407250239101E-2</v>
      </c>
      <c r="H1411">
        <v>5.9619301033055697E-2</v>
      </c>
      <c r="I1411">
        <v>4.2965506440053099E-2</v>
      </c>
      <c r="J1411">
        <v>4.5372940661752903E-2</v>
      </c>
      <c r="K1411">
        <v>4.73354090286471E-2</v>
      </c>
      <c r="L1411">
        <v>1277.23747307141</v>
      </c>
      <c r="M1411">
        <v>27.290093165365299</v>
      </c>
      <c r="N1411">
        <v>46.977135381044199</v>
      </c>
      <c r="O1411">
        <v>46.553094792384897</v>
      </c>
      <c r="P1411">
        <v>-0.139475648150719</v>
      </c>
      <c r="Q1411">
        <v>4.8304981632571603E-2</v>
      </c>
      <c r="R1411">
        <v>0.99697438510769398</v>
      </c>
      <c r="S1411" t="s">
        <v>7813</v>
      </c>
      <c r="T1411" t="s">
        <v>12802</v>
      </c>
      <c r="U1411" t="s">
        <v>12802</v>
      </c>
      <c r="V1411" t="s">
        <v>12802</v>
      </c>
      <c r="W1411" t="s">
        <v>14177</v>
      </c>
      <c r="X1411">
        <v>46</v>
      </c>
      <c r="Y1411" t="s">
        <v>20487</v>
      </c>
      <c r="Z1411" t="s">
        <v>26729</v>
      </c>
      <c r="AA1411">
        <v>0.3659386416162414</v>
      </c>
      <c r="AB1411" t="str">
        <f>HYPERLINK("Melting_Curves/meltCurve_O00571_DDX3X.pdf", "Melting_Curves/meltCurve_O00571_DDX3X.pdf")</f>
        <v>Melting_Curves/meltCurve_O00571_DDX3X.pdf</v>
      </c>
    </row>
    <row r="1412" spans="1:28" x14ac:dyDescent="0.25">
      <c r="A1412" t="s">
        <v>1416</v>
      </c>
      <c r="B1412">
        <v>0.99542014353169495</v>
      </c>
      <c r="C1412">
        <v>0.93219005576156999</v>
      </c>
      <c r="D1412">
        <v>0.81986275384645202</v>
      </c>
      <c r="E1412">
        <v>0.73587819255767195</v>
      </c>
      <c r="F1412">
        <v>0.47637027242018998</v>
      </c>
      <c r="G1412">
        <v>0.341498501177042</v>
      </c>
      <c r="H1412">
        <v>0.17099709116842099</v>
      </c>
      <c r="I1412">
        <v>9.9249615806206795E-2</v>
      </c>
      <c r="J1412">
        <v>7.6851117874094904E-2</v>
      </c>
      <c r="K1412">
        <v>5.70793059700117E-2</v>
      </c>
      <c r="L1412">
        <v>562.96752506115604</v>
      </c>
      <c r="M1412">
        <v>11.2488328136006</v>
      </c>
      <c r="N1412">
        <v>50.046746889910601</v>
      </c>
      <c r="O1412">
        <v>48.543291385694097</v>
      </c>
      <c r="P1412">
        <v>-5.79498868503475E-2</v>
      </c>
      <c r="Q1412">
        <v>0</v>
      </c>
      <c r="R1412">
        <v>0.99555052074124595</v>
      </c>
      <c r="S1412" t="s">
        <v>7814</v>
      </c>
      <c r="T1412" t="s">
        <v>12802</v>
      </c>
      <c r="U1412" t="s">
        <v>12802</v>
      </c>
      <c r="V1412" t="s">
        <v>12802</v>
      </c>
      <c r="W1412" t="s">
        <v>14178</v>
      </c>
      <c r="X1412">
        <v>5</v>
      </c>
      <c r="Y1412" t="s">
        <v>20488</v>
      </c>
      <c r="Z1412" t="s">
        <v>26730</v>
      </c>
      <c r="AA1412">
        <v>0.46489497706910948</v>
      </c>
      <c r="AB1412" t="str">
        <f>HYPERLINK("Melting_Curves/meltCurve_O00625_PIR.pdf", "Melting_Curves/meltCurve_O00625_PIR.pdf")</f>
        <v>Melting_Curves/meltCurve_O00625_PIR.pdf</v>
      </c>
    </row>
    <row r="1413" spans="1:28" x14ac:dyDescent="0.25">
      <c r="A1413" t="s">
        <v>1417</v>
      </c>
      <c r="B1413">
        <v>0.99542014353169495</v>
      </c>
      <c r="C1413">
        <v>0.98824713355617599</v>
      </c>
      <c r="D1413">
        <v>0.98953249455597003</v>
      </c>
      <c r="E1413">
        <v>0.80613489509012404</v>
      </c>
      <c r="F1413">
        <v>0.58254125338016105</v>
      </c>
      <c r="G1413">
        <v>0.41412387820233298</v>
      </c>
      <c r="H1413">
        <v>0.188234602911065</v>
      </c>
      <c r="I1413">
        <v>9.4703601156928802E-2</v>
      </c>
      <c r="J1413">
        <v>0.11665474108355101</v>
      </c>
      <c r="K1413">
        <v>0.12671671214260599</v>
      </c>
      <c r="L1413">
        <v>794.25126758264696</v>
      </c>
      <c r="M1413">
        <v>15.550088029046499</v>
      </c>
      <c r="N1413">
        <v>51.593187227375701</v>
      </c>
      <c r="O1413">
        <v>50.254613611163201</v>
      </c>
      <c r="P1413">
        <v>-7.1789903845884795E-2</v>
      </c>
      <c r="Q1413">
        <v>7.2041907860203896E-2</v>
      </c>
      <c r="R1413">
        <v>0.99363677461189204</v>
      </c>
      <c r="S1413" t="s">
        <v>7815</v>
      </c>
      <c r="T1413" t="s">
        <v>12802</v>
      </c>
      <c r="U1413" t="s">
        <v>12802</v>
      </c>
      <c r="V1413" t="s">
        <v>12802</v>
      </c>
      <c r="W1413" t="s">
        <v>14179</v>
      </c>
      <c r="X1413">
        <v>16</v>
      </c>
      <c r="Y1413" t="s">
        <v>20489</v>
      </c>
      <c r="Z1413" t="s">
        <v>26731</v>
      </c>
      <c r="AA1413">
        <v>0.52522159511183031</v>
      </c>
      <c r="AB1413" t="str">
        <f>HYPERLINK("Melting_Curves/meltCurve_O00629_KPNA4.pdf", "Melting_Curves/meltCurve_O00629_KPNA4.pdf")</f>
        <v>Melting_Curves/meltCurve_O00629_KPNA4.pdf</v>
      </c>
    </row>
    <row r="1414" spans="1:28" x14ac:dyDescent="0.25">
      <c r="A1414" t="s">
        <v>1418</v>
      </c>
      <c r="B1414">
        <v>0.99542014353169495</v>
      </c>
      <c r="C1414">
        <v>0.92463139690392004</v>
      </c>
      <c r="D1414">
        <v>0.85561730424178095</v>
      </c>
      <c r="E1414">
        <v>0.47697987606741299</v>
      </c>
      <c r="F1414">
        <v>0.27069683315528498</v>
      </c>
      <c r="G1414">
        <v>0.16111381262117</v>
      </c>
      <c r="H1414">
        <v>0.106693907107295</v>
      </c>
      <c r="I1414">
        <v>8.0009922454549395E-2</v>
      </c>
      <c r="J1414">
        <v>7.3783545225275401E-2</v>
      </c>
      <c r="K1414">
        <v>0.106020328713097</v>
      </c>
      <c r="L1414">
        <v>867.85308346107502</v>
      </c>
      <c r="M1414">
        <v>18.7801058276929</v>
      </c>
      <c r="N1414">
        <v>46.680131611539501</v>
      </c>
      <c r="O1414">
        <v>45.696889483998</v>
      </c>
      <c r="P1414">
        <v>-9.3916110424444393E-2</v>
      </c>
      <c r="Q1414">
        <v>8.5948553603715006E-2</v>
      </c>
      <c r="R1414">
        <v>0.99651784263005005</v>
      </c>
      <c r="S1414" t="s">
        <v>7816</v>
      </c>
      <c r="T1414" t="s">
        <v>12802</v>
      </c>
      <c r="U1414" t="s">
        <v>12802</v>
      </c>
      <c r="V1414" t="s">
        <v>12802</v>
      </c>
      <c r="W1414" t="s">
        <v>14180</v>
      </c>
      <c r="X1414">
        <v>2</v>
      </c>
      <c r="Y1414" t="s">
        <v>20490</v>
      </c>
      <c r="Z1414" t="s">
        <v>26732</v>
      </c>
      <c r="AA1414">
        <v>0.38015672686954122</v>
      </c>
      <c r="AB1414" t="str">
        <f>HYPERLINK("Melting_Curves/meltCurve_O00635_TRIM38.pdf", "Melting_Curves/meltCurve_O00635_TRIM38.pdf")</f>
        <v>Melting_Curves/meltCurve_O00635_TRIM38.pdf</v>
      </c>
    </row>
    <row r="1415" spans="1:28" x14ac:dyDescent="0.25">
      <c r="A1415" t="s">
        <v>1419</v>
      </c>
      <c r="B1415">
        <v>0.99542014353169495</v>
      </c>
      <c r="C1415">
        <v>0.87269363165637504</v>
      </c>
      <c r="D1415">
        <v>0.86575513949082905</v>
      </c>
      <c r="E1415">
        <v>0.71748537029072301</v>
      </c>
      <c r="F1415">
        <v>0.55577133479677199</v>
      </c>
      <c r="G1415">
        <v>0.48382548440041401</v>
      </c>
      <c r="H1415">
        <v>0.41903682285181898</v>
      </c>
      <c r="I1415">
        <v>0.30763503521324798</v>
      </c>
      <c r="J1415">
        <v>0.25201714617968501</v>
      </c>
      <c r="K1415">
        <v>0.17891197957546401</v>
      </c>
      <c r="L1415">
        <v>359.99739909376001</v>
      </c>
      <c r="M1415">
        <v>6.7758607044379104</v>
      </c>
      <c r="N1415">
        <v>53.253638435430702</v>
      </c>
      <c r="O1415">
        <v>49.077286087712899</v>
      </c>
      <c r="P1415">
        <v>-3.4317121166923002E-2</v>
      </c>
      <c r="Q1415">
        <v>7.8418868218322509E-3</v>
      </c>
      <c r="R1415">
        <v>0.98868059692687904</v>
      </c>
      <c r="S1415" t="s">
        <v>7817</v>
      </c>
      <c r="T1415" t="s">
        <v>12802</v>
      </c>
      <c r="U1415" t="s">
        <v>12802</v>
      </c>
      <c r="V1415" t="s">
        <v>12802</v>
      </c>
      <c r="W1415" t="s">
        <v>14181</v>
      </c>
      <c r="X1415">
        <v>14</v>
      </c>
      <c r="Y1415" t="s">
        <v>20491</v>
      </c>
      <c r="Z1415" t="s">
        <v>26733</v>
      </c>
      <c r="AA1415">
        <v>0.55979911079489819</v>
      </c>
      <c r="AB1415" t="str">
        <f>HYPERLINK("Melting_Curves/meltCurve_O00743_PPP6C.pdf", "Melting_Curves/meltCurve_O00743_PPP6C.pdf")</f>
        <v>Melting_Curves/meltCurve_O00743_PPP6C.pdf</v>
      </c>
    </row>
    <row r="1416" spans="1:28" x14ac:dyDescent="0.25">
      <c r="A1416" t="s">
        <v>1420</v>
      </c>
      <c r="B1416">
        <v>0.99542014353169495</v>
      </c>
      <c r="C1416">
        <v>0.98012101484570002</v>
      </c>
      <c r="D1416">
        <v>0.87390702946671195</v>
      </c>
      <c r="E1416">
        <v>0.77664076615597999</v>
      </c>
      <c r="F1416">
        <v>0.46450835638857402</v>
      </c>
      <c r="G1416">
        <v>0.33143850462485402</v>
      </c>
      <c r="H1416">
        <v>0.15647983531889001</v>
      </c>
      <c r="I1416">
        <v>0.18843272698326299</v>
      </c>
      <c r="J1416">
        <v>0.29638582354369702</v>
      </c>
      <c r="K1416">
        <v>0.33021443495703301</v>
      </c>
      <c r="L1416">
        <v>1015.01226733405</v>
      </c>
      <c r="M1416">
        <v>21.089049735210398</v>
      </c>
      <c r="N1416">
        <v>49.663504863343498</v>
      </c>
      <c r="O1416">
        <v>47.703318764667401</v>
      </c>
      <c r="P1416">
        <v>-8.4075652843808094E-2</v>
      </c>
      <c r="Q1416">
        <v>0.239305162798118</v>
      </c>
      <c r="R1416">
        <v>0.96780319284405503</v>
      </c>
      <c r="S1416" t="s">
        <v>7818</v>
      </c>
      <c r="T1416" t="s">
        <v>12802</v>
      </c>
      <c r="U1416" t="s">
        <v>12802</v>
      </c>
      <c r="V1416" t="s">
        <v>12802</v>
      </c>
      <c r="W1416" t="s">
        <v>14182</v>
      </c>
      <c r="X1416">
        <v>4</v>
      </c>
      <c r="Y1416" t="s">
        <v>20492</v>
      </c>
      <c r="Z1416" t="s">
        <v>26734</v>
      </c>
      <c r="AA1416">
        <v>0.53056072064735482</v>
      </c>
      <c r="AB1416" t="str">
        <f>HYPERLINK("Melting_Curves/meltCurve_O00748_CES2.pdf", "Melting_Curves/meltCurve_O00748_CES2.pdf")</f>
        <v>Melting_Curves/meltCurve_O00748_CES2.pdf</v>
      </c>
    </row>
    <row r="1417" spans="1:28" x14ac:dyDescent="0.25">
      <c r="A1417" t="s">
        <v>1421</v>
      </c>
      <c r="B1417">
        <v>0.99542014353169495</v>
      </c>
      <c r="C1417">
        <v>0.94381195431591303</v>
      </c>
      <c r="D1417">
        <v>0.85832964203920203</v>
      </c>
      <c r="E1417">
        <v>0.76065892843997296</v>
      </c>
      <c r="F1417">
        <v>0.634944633098946</v>
      </c>
      <c r="G1417">
        <v>0.40902167675671403</v>
      </c>
      <c r="H1417">
        <v>0.37237778605604999</v>
      </c>
      <c r="I1417">
        <v>0.359498365101802</v>
      </c>
      <c r="J1417">
        <v>0.51527652194804396</v>
      </c>
      <c r="K1417">
        <v>0.76350560714543603</v>
      </c>
      <c r="L1417">
        <v>895.70519271746002</v>
      </c>
      <c r="M1417">
        <v>19.3820803083294</v>
      </c>
      <c r="N1417">
        <v>56.998861220979698</v>
      </c>
      <c r="O1417">
        <v>45.729544327514397</v>
      </c>
      <c r="P1417">
        <v>-5.4335126905470897E-2</v>
      </c>
      <c r="Q1417">
        <v>0.48723166344573399</v>
      </c>
      <c r="R1417">
        <v>0.74645951738656302</v>
      </c>
      <c r="S1417" t="s">
        <v>7819</v>
      </c>
      <c r="T1417" t="s">
        <v>12802</v>
      </c>
      <c r="U1417" t="s">
        <v>12802</v>
      </c>
      <c r="V1417" t="s">
        <v>12802</v>
      </c>
      <c r="W1417" t="s">
        <v>14183</v>
      </c>
      <c r="X1417">
        <v>9</v>
      </c>
      <c r="Y1417" t="s">
        <v>20493</v>
      </c>
      <c r="Z1417" t="s">
        <v>26735</v>
      </c>
      <c r="AA1417">
        <v>0.65184306313747509</v>
      </c>
      <c r="AB1417" t="str">
        <f>HYPERLINK("Melting_Curves/meltCurve_O00754_2_MAN2B1.pdf", "Melting_Curves/meltCurve_O00754_2_MAN2B1.pdf")</f>
        <v>Melting_Curves/meltCurve_O00754_2_MAN2B1.pdf</v>
      </c>
    </row>
    <row r="1418" spans="1:28" x14ac:dyDescent="0.25">
      <c r="A1418" t="s">
        <v>1422</v>
      </c>
      <c r="B1418">
        <v>0.99542014353169495</v>
      </c>
      <c r="C1418">
        <v>1.0318715510926599</v>
      </c>
      <c r="D1418">
        <v>0.93156642008026003</v>
      </c>
      <c r="E1418">
        <v>0.92956871176804701</v>
      </c>
      <c r="F1418">
        <v>0.77180664540926702</v>
      </c>
      <c r="G1418">
        <v>0.68909761972888295</v>
      </c>
      <c r="H1418">
        <v>0.533744705382174</v>
      </c>
      <c r="I1418">
        <v>0.481063229757341</v>
      </c>
      <c r="J1418">
        <v>0.304175137838187</v>
      </c>
      <c r="K1418">
        <v>0.136450148417779</v>
      </c>
      <c r="L1418">
        <v>551.49506720435204</v>
      </c>
      <c r="M1418">
        <v>9.4658515582331102</v>
      </c>
      <c r="N1418">
        <v>58.261556526319097</v>
      </c>
      <c r="O1418">
        <v>55.8389594609718</v>
      </c>
      <c r="P1418">
        <v>-4.2405552659855197E-2</v>
      </c>
      <c r="Q1418">
        <v>0</v>
      </c>
      <c r="R1418">
        <v>0.97529465834260398</v>
      </c>
      <c r="S1418" t="s">
        <v>7820</v>
      </c>
      <c r="T1418" t="s">
        <v>12802</v>
      </c>
      <c r="U1418" t="s">
        <v>12802</v>
      </c>
      <c r="V1418" t="s">
        <v>12802</v>
      </c>
      <c r="W1418" t="s">
        <v>14184</v>
      </c>
      <c r="X1418">
        <v>14</v>
      </c>
      <c r="Y1418" t="s">
        <v>20494</v>
      </c>
      <c r="Z1418" t="s">
        <v>26736</v>
      </c>
      <c r="AA1418">
        <v>0.69514514341319</v>
      </c>
      <c r="AB1418" t="str">
        <f>HYPERLINK("Melting_Curves/meltCurve_O00764_PDXK.pdf", "Melting_Curves/meltCurve_O00764_PDXK.pdf")</f>
        <v>Melting_Curves/meltCurve_O00764_PDXK.pdf</v>
      </c>
    </row>
    <row r="1419" spans="1:28" x14ac:dyDescent="0.25">
      <c r="A1419" t="s">
        <v>1423</v>
      </c>
      <c r="B1419">
        <v>0.99542014353169495</v>
      </c>
      <c r="C1419">
        <v>0.90833571350735898</v>
      </c>
      <c r="D1419">
        <v>0.96710905543819203</v>
      </c>
      <c r="E1419">
        <v>0.88380370337413805</v>
      </c>
      <c r="F1419">
        <v>0.74564646946871704</v>
      </c>
      <c r="G1419">
        <v>0.45787322981055001</v>
      </c>
      <c r="H1419">
        <v>0.53310956985084201</v>
      </c>
      <c r="I1419">
        <v>0.57600771159171804</v>
      </c>
      <c r="J1419">
        <v>0.33787376506975197</v>
      </c>
      <c r="K1419">
        <v>0.24363315238177</v>
      </c>
      <c r="L1419">
        <v>415.58819354143202</v>
      </c>
      <c r="M1419">
        <v>7.4201454182665296</v>
      </c>
      <c r="N1419">
        <v>57.786832259909502</v>
      </c>
      <c r="O1419">
        <v>52.371949291671598</v>
      </c>
      <c r="P1419">
        <v>-3.1851695776890697E-2</v>
      </c>
      <c r="Q1419">
        <v>0.102096442877792</v>
      </c>
      <c r="R1419">
        <v>0.90497136996516103</v>
      </c>
      <c r="S1419" t="s">
        <v>7821</v>
      </c>
      <c r="T1419" t="s">
        <v>12802</v>
      </c>
      <c r="U1419" t="s">
        <v>12802</v>
      </c>
      <c r="V1419" t="s">
        <v>12802</v>
      </c>
      <c r="W1419" t="s">
        <v>14185</v>
      </c>
      <c r="X1419">
        <v>11</v>
      </c>
      <c r="Y1419" t="s">
        <v>20494</v>
      </c>
      <c r="Z1419" t="s">
        <v>26737</v>
      </c>
      <c r="AA1419">
        <v>0.66636527671890378</v>
      </c>
      <c r="AB1419" t="str">
        <f>HYPERLINK("Melting_Curves/meltCurve_O00764_3_PDXK.pdf", "Melting_Curves/meltCurve_O00764_3_PDXK.pdf")</f>
        <v>Melting_Curves/meltCurve_O00764_3_PDXK.pdf</v>
      </c>
    </row>
    <row r="1420" spans="1:28" x14ac:dyDescent="0.25">
      <c r="A1420" t="s">
        <v>1424</v>
      </c>
      <c r="B1420">
        <v>0.99542014353169495</v>
      </c>
      <c r="C1420">
        <v>0.90579322270535001</v>
      </c>
      <c r="D1420">
        <v>0.94036356202646498</v>
      </c>
      <c r="E1420">
        <v>0.66448156075948095</v>
      </c>
      <c r="F1420">
        <v>0.59031970010027701</v>
      </c>
      <c r="G1420">
        <v>0.32391489481258401</v>
      </c>
      <c r="H1420">
        <v>0.25060027962206</v>
      </c>
      <c r="I1420">
        <v>0.17322756440894599</v>
      </c>
      <c r="J1420">
        <v>0.100651173169027</v>
      </c>
      <c r="K1420">
        <v>6.9634752802932506E-2</v>
      </c>
      <c r="L1420">
        <v>534.42208627109096</v>
      </c>
      <c r="M1420">
        <v>10.496482991285699</v>
      </c>
      <c r="N1420">
        <v>50.954356952972198</v>
      </c>
      <c r="O1420">
        <v>49.170515316632198</v>
      </c>
      <c r="P1420">
        <v>-5.3170478923095101E-2</v>
      </c>
      <c r="Q1420">
        <v>4.0991496074337299E-3</v>
      </c>
      <c r="R1420">
        <v>0.98709231539508402</v>
      </c>
      <c r="S1420" t="s">
        <v>7822</v>
      </c>
      <c r="T1420" t="s">
        <v>12802</v>
      </c>
      <c r="U1420" t="s">
        <v>12802</v>
      </c>
      <c r="V1420" t="s">
        <v>12802</v>
      </c>
      <c r="W1420" t="s">
        <v>14186</v>
      </c>
      <c r="X1420">
        <v>2</v>
      </c>
      <c r="Y1420" t="s">
        <v>20495</v>
      </c>
      <c r="Z1420" t="s">
        <v>26738</v>
      </c>
      <c r="AA1420">
        <v>0.49551968901273119</v>
      </c>
      <c r="AB1420" t="str">
        <f>HYPERLINK("Melting_Curves/meltCurve_O00767_SCD.pdf", "Melting_Curves/meltCurve_O00767_SCD.pdf")</f>
        <v>Melting_Curves/meltCurve_O00767_SCD.pdf</v>
      </c>
    </row>
    <row r="1421" spans="1:28" x14ac:dyDescent="0.25">
      <c r="A1421" t="s">
        <v>1425</v>
      </c>
      <c r="B1421">
        <v>0.99542014353169495</v>
      </c>
      <c r="C1421">
        <v>0.84449578721195195</v>
      </c>
      <c r="D1421">
        <v>0.85378464047953795</v>
      </c>
      <c r="E1421">
        <v>0.35060556565735601</v>
      </c>
      <c r="F1421">
        <v>0.21827050571551199</v>
      </c>
      <c r="G1421">
        <v>0.130494843760315</v>
      </c>
      <c r="H1421">
        <v>9.3125575532868293E-2</v>
      </c>
      <c r="I1421">
        <v>7.2726308903368106E-2</v>
      </c>
      <c r="J1421">
        <v>8.84130047720703E-2</v>
      </c>
      <c r="K1421">
        <v>9.5279598971603305E-2</v>
      </c>
      <c r="L1421">
        <v>993.73257198006399</v>
      </c>
      <c r="M1421">
        <v>21.968380445877301</v>
      </c>
      <c r="N1421">
        <v>45.645912737344801</v>
      </c>
      <c r="O1421">
        <v>44.864857695160701</v>
      </c>
      <c r="P1421">
        <v>-0.111426106769837</v>
      </c>
      <c r="Q1421">
        <v>8.9781952925855099E-2</v>
      </c>
      <c r="R1421">
        <v>0.98224073801116496</v>
      </c>
      <c r="S1421" t="s">
        <v>7823</v>
      </c>
      <c r="T1421" t="s">
        <v>12802</v>
      </c>
      <c r="U1421" t="s">
        <v>12802</v>
      </c>
      <c r="V1421" t="s">
        <v>12802</v>
      </c>
      <c r="W1421" t="s">
        <v>14187</v>
      </c>
      <c r="X1421">
        <v>30</v>
      </c>
      <c r="Y1421" t="s">
        <v>20496</v>
      </c>
      <c r="Z1421" t="s">
        <v>26739</v>
      </c>
      <c r="AA1421">
        <v>0.3494348697556513</v>
      </c>
      <c r="AB1421" t="str">
        <f>HYPERLINK("Melting_Curves/meltCurve_O14497_ARID1A.pdf", "Melting_Curves/meltCurve_O14497_ARID1A.pdf")</f>
        <v>Melting_Curves/meltCurve_O14497_ARID1A.pdf</v>
      </c>
    </row>
    <row r="1422" spans="1:28" x14ac:dyDescent="0.25">
      <c r="A1422" t="s">
        <v>1426</v>
      </c>
      <c r="B1422">
        <v>0.99542014353169495</v>
      </c>
      <c r="C1422">
        <v>1.10169130232928</v>
      </c>
      <c r="D1422">
        <v>1.0024224530889101</v>
      </c>
      <c r="E1422">
        <v>1.00058923545676</v>
      </c>
      <c r="F1422">
        <v>0.88335791394648899</v>
      </c>
      <c r="G1422">
        <v>0.66969158535262596</v>
      </c>
      <c r="H1422">
        <v>0.24123756899660001</v>
      </c>
      <c r="I1422">
        <v>6.0145820916217299E-2</v>
      </c>
      <c r="J1422">
        <v>5.7120692275831601E-2</v>
      </c>
      <c r="K1422">
        <v>4.66768688172833E-2</v>
      </c>
      <c r="L1422">
        <v>1511.73470715954</v>
      </c>
      <c r="M1422">
        <v>27.5463557128156</v>
      </c>
      <c r="N1422">
        <v>54.990763672985999</v>
      </c>
      <c r="O1422">
        <v>54.592884151212203</v>
      </c>
      <c r="P1422">
        <v>-0.122731268240008</v>
      </c>
      <c r="Q1422">
        <v>2.7066596504985E-2</v>
      </c>
      <c r="R1422">
        <v>0.99220733328038302</v>
      </c>
      <c r="S1422" t="s">
        <v>7824</v>
      </c>
      <c r="T1422" t="s">
        <v>12802</v>
      </c>
      <c r="U1422" t="s">
        <v>12802</v>
      </c>
      <c r="V1422" t="s">
        <v>12802</v>
      </c>
      <c r="W1422" t="s">
        <v>14188</v>
      </c>
      <c r="X1422">
        <v>4</v>
      </c>
      <c r="Y1422" t="s">
        <v>20497</v>
      </c>
      <c r="Z1422" t="s">
        <v>26740</v>
      </c>
      <c r="AA1422">
        <v>0.61406173156438937</v>
      </c>
      <c r="AB1422" t="str">
        <f>HYPERLINK("Melting_Curves/meltCurve_O14508_SOCS2.pdf", "Melting_Curves/meltCurve_O14508_SOCS2.pdf")</f>
        <v>Melting_Curves/meltCurve_O14508_SOCS2.pdf</v>
      </c>
    </row>
    <row r="1423" spans="1:28" x14ac:dyDescent="0.25">
      <c r="A1423" t="s">
        <v>1427</v>
      </c>
      <c r="B1423">
        <v>0.99542014353169495</v>
      </c>
      <c r="C1423">
        <v>0.908845088518064</v>
      </c>
      <c r="D1423">
        <v>0.85583236628914905</v>
      </c>
      <c r="E1423">
        <v>0.47216080477275302</v>
      </c>
      <c r="F1423">
        <v>0.443351361504847</v>
      </c>
      <c r="G1423">
        <v>0.54878936828675196</v>
      </c>
      <c r="H1423">
        <v>0.39287395137325298</v>
      </c>
      <c r="I1423">
        <v>0.35261873344983602</v>
      </c>
      <c r="J1423">
        <v>0.62915655345729504</v>
      </c>
      <c r="K1423">
        <v>0.86478575619974196</v>
      </c>
      <c r="L1423">
        <v>10785.180391492</v>
      </c>
      <c r="M1423">
        <v>250</v>
      </c>
      <c r="O1423">
        <v>43.137960891290597</v>
      </c>
      <c r="P1423">
        <v>-0.68225116178087497</v>
      </c>
      <c r="Q1423">
        <v>0.52910521808800703</v>
      </c>
      <c r="R1423">
        <v>0.62719524135120397</v>
      </c>
      <c r="S1423" t="s">
        <v>7825</v>
      </c>
      <c r="T1423" t="s">
        <v>12802</v>
      </c>
      <c r="U1423" t="s">
        <v>12802</v>
      </c>
      <c r="V1423" t="s">
        <v>12802</v>
      </c>
      <c r="W1423" t="s">
        <v>14189</v>
      </c>
      <c r="X1423">
        <v>2</v>
      </c>
      <c r="Y1423" t="s">
        <v>20498</v>
      </c>
      <c r="Z1423" t="s">
        <v>26741</v>
      </c>
      <c r="AA1423">
        <v>0.62552866156134734</v>
      </c>
      <c r="AB1423" t="str">
        <f>HYPERLINK("Melting_Curves/meltCurve_O14519_2_CDK2AP1.pdf", "Melting_Curves/meltCurve_O14519_2_CDK2AP1.pdf")</f>
        <v>Melting_Curves/meltCurve_O14519_2_CDK2AP1.pdf</v>
      </c>
    </row>
    <row r="1424" spans="1:28" x14ac:dyDescent="0.25">
      <c r="A1424" t="s">
        <v>1428</v>
      </c>
      <c r="B1424">
        <v>0.99542014353169495</v>
      </c>
      <c r="C1424">
        <v>0.99903926352100403</v>
      </c>
      <c r="D1424">
        <v>1.00071673417814</v>
      </c>
      <c r="E1424">
        <v>0.86128132445707695</v>
      </c>
      <c r="F1424">
        <v>0.73033039748834205</v>
      </c>
      <c r="G1424">
        <v>0.42024651622665199</v>
      </c>
      <c r="H1424">
        <v>0.28582602225864501</v>
      </c>
      <c r="I1424">
        <v>0.150351143305928</v>
      </c>
      <c r="J1424">
        <v>0.13169880488390201</v>
      </c>
      <c r="K1424">
        <v>9.9934122183071405E-2</v>
      </c>
      <c r="L1424">
        <v>847.32631554595196</v>
      </c>
      <c r="M1424">
        <v>16.143644967691099</v>
      </c>
      <c r="N1424">
        <v>53.033058033981298</v>
      </c>
      <c r="O1424">
        <v>51.7011226059983</v>
      </c>
      <c r="P1424">
        <v>-7.2087214103335601E-2</v>
      </c>
      <c r="Q1424">
        <v>7.6613073289194394E-2</v>
      </c>
      <c r="R1424">
        <v>0.99683159405180499</v>
      </c>
      <c r="S1424" t="s">
        <v>7826</v>
      </c>
      <c r="T1424" t="s">
        <v>12802</v>
      </c>
      <c r="U1424" t="s">
        <v>12802</v>
      </c>
      <c r="V1424" t="s">
        <v>12802</v>
      </c>
      <c r="W1424" t="s">
        <v>14190</v>
      </c>
      <c r="X1424">
        <v>9</v>
      </c>
      <c r="Y1424" t="s">
        <v>20499</v>
      </c>
      <c r="Z1424" t="s">
        <v>26742</v>
      </c>
      <c r="AA1424">
        <v>0.56905492606711117</v>
      </c>
      <c r="AB1424" t="str">
        <f>HYPERLINK("Melting_Curves/meltCurve_O14523_C2CD2L.pdf", "Melting_Curves/meltCurve_O14523_C2CD2L.pdf")</f>
        <v>Melting_Curves/meltCurve_O14523_C2CD2L.pdf</v>
      </c>
    </row>
    <row r="1425" spans="1:28" x14ac:dyDescent="0.25">
      <c r="A1425" t="s">
        <v>1429</v>
      </c>
      <c r="B1425">
        <v>0.99542014353169495</v>
      </c>
      <c r="C1425">
        <v>0.91055252532570097</v>
      </c>
      <c r="D1425">
        <v>0.829545312428833</v>
      </c>
      <c r="E1425">
        <v>0.72527228947690303</v>
      </c>
      <c r="F1425">
        <v>0.53028017914750103</v>
      </c>
      <c r="G1425">
        <v>0.26068106151578802</v>
      </c>
      <c r="H1425">
        <v>8.72154305635192E-2</v>
      </c>
      <c r="I1425">
        <v>4.91625092916958E-2</v>
      </c>
      <c r="J1425">
        <v>3.9899473154484402E-2</v>
      </c>
      <c r="K1425">
        <v>5.1774109992338398E-2</v>
      </c>
      <c r="L1425">
        <v>665.99804656296203</v>
      </c>
      <c r="M1425">
        <v>13.3875470481604</v>
      </c>
      <c r="N1425">
        <v>49.7475941640608</v>
      </c>
      <c r="O1425">
        <v>48.676911607255803</v>
      </c>
      <c r="P1425">
        <v>-6.8768005592007395E-2</v>
      </c>
      <c r="Q1425">
        <v>0</v>
      </c>
      <c r="R1425">
        <v>0.98913221787213801</v>
      </c>
      <c r="S1425" t="s">
        <v>7827</v>
      </c>
      <c r="T1425" t="s">
        <v>12802</v>
      </c>
      <c r="U1425" t="s">
        <v>12802</v>
      </c>
      <c r="V1425" t="s">
        <v>12802</v>
      </c>
      <c r="W1425" t="s">
        <v>14191</v>
      </c>
      <c r="X1425">
        <v>4</v>
      </c>
      <c r="Y1425" t="s">
        <v>20500</v>
      </c>
      <c r="Z1425" t="s">
        <v>26743</v>
      </c>
      <c r="AA1425">
        <v>0.4496570821540799</v>
      </c>
      <c r="AB1425" t="str">
        <f>HYPERLINK("Melting_Curves/meltCurve_O14524_2_TMEM194A.pdf", "Melting_Curves/meltCurve_O14524_2_TMEM194A.pdf")</f>
        <v>Melting_Curves/meltCurve_O14524_2_TMEM194A.pdf</v>
      </c>
    </row>
    <row r="1426" spans="1:28" x14ac:dyDescent="0.25">
      <c r="A1426" t="s">
        <v>1430</v>
      </c>
      <c r="B1426">
        <v>0.99542014353169495</v>
      </c>
      <c r="C1426">
        <v>0.98827867022629201</v>
      </c>
      <c r="D1426">
        <v>0.99236706185822898</v>
      </c>
      <c r="E1426">
        <v>0.827697642079122</v>
      </c>
      <c r="F1426">
        <v>0.71010040534688401</v>
      </c>
      <c r="G1426">
        <v>0.48455292597191102</v>
      </c>
      <c r="H1426">
        <v>0.35194249143147099</v>
      </c>
      <c r="I1426">
        <v>0.24023891114700899</v>
      </c>
      <c r="J1426">
        <v>0.26874996264468698</v>
      </c>
      <c r="K1426">
        <v>0.33571905620729597</v>
      </c>
      <c r="L1426">
        <v>861.55584157417297</v>
      </c>
      <c r="M1426">
        <v>16.888595166396001</v>
      </c>
      <c r="N1426">
        <v>53.310460520895603</v>
      </c>
      <c r="O1426">
        <v>50.314923305673297</v>
      </c>
      <c r="P1426">
        <v>-6.2231500207677502E-2</v>
      </c>
      <c r="Q1426">
        <v>0.25844048817361698</v>
      </c>
      <c r="R1426">
        <v>0.98673636610771598</v>
      </c>
      <c r="S1426" t="s">
        <v>7828</v>
      </c>
      <c r="T1426" t="s">
        <v>12802</v>
      </c>
      <c r="U1426" t="s">
        <v>12802</v>
      </c>
      <c r="V1426" t="s">
        <v>12802</v>
      </c>
      <c r="W1426" t="s">
        <v>14192</v>
      </c>
      <c r="X1426">
        <v>15</v>
      </c>
      <c r="Y1426" t="s">
        <v>20501</v>
      </c>
      <c r="Z1426" t="s">
        <v>26744</v>
      </c>
      <c r="AA1426">
        <v>0.61750512195386587</v>
      </c>
      <c r="AB1426" t="str">
        <f>HYPERLINK("Melting_Curves/meltCurve_O14545_TRAFD1.pdf", "Melting_Curves/meltCurve_O14545_TRAFD1.pdf")</f>
        <v>Melting_Curves/meltCurve_O14545_TRAFD1.pdf</v>
      </c>
    </row>
    <row r="1427" spans="1:28" x14ac:dyDescent="0.25">
      <c r="A1427" t="s">
        <v>1431</v>
      </c>
      <c r="B1427">
        <v>0.99542014353169495</v>
      </c>
      <c r="C1427">
        <v>0.72209570987130101</v>
      </c>
      <c r="D1427">
        <v>0.82990957817592503</v>
      </c>
      <c r="E1427">
        <v>0.55280420744702496</v>
      </c>
      <c r="F1427">
        <v>0.392429200310352</v>
      </c>
      <c r="G1427">
        <v>0.24304461991182599</v>
      </c>
      <c r="H1427">
        <v>0.18531687895634599</v>
      </c>
      <c r="I1427">
        <v>0.187594129504115</v>
      </c>
      <c r="J1427">
        <v>0.31338750496400702</v>
      </c>
      <c r="K1427">
        <v>0.39103257271340902</v>
      </c>
      <c r="L1427">
        <v>620.55938887027901</v>
      </c>
      <c r="M1427">
        <v>13.8260616081353</v>
      </c>
      <c r="N1427">
        <v>47.165463701947999</v>
      </c>
      <c r="O1427">
        <v>43.975622459243098</v>
      </c>
      <c r="P1427">
        <v>-5.9439154617759102E-2</v>
      </c>
      <c r="Q1427">
        <v>0.243888608739212</v>
      </c>
      <c r="R1427">
        <v>0.88925494329667798</v>
      </c>
      <c r="S1427" t="s">
        <v>7829</v>
      </c>
      <c r="T1427" t="s">
        <v>12802</v>
      </c>
      <c r="U1427" t="s">
        <v>12802</v>
      </c>
      <c r="V1427" t="s">
        <v>12802</v>
      </c>
      <c r="W1427" t="s">
        <v>14193</v>
      </c>
      <c r="X1427">
        <v>4</v>
      </c>
      <c r="Y1427" t="s">
        <v>20502</v>
      </c>
      <c r="Z1427" t="s">
        <v>26745</v>
      </c>
      <c r="AA1427">
        <v>0.46379193306873567</v>
      </c>
      <c r="AB1427" t="str">
        <f>HYPERLINK("Melting_Curves/meltCurve_O14548_COX7A2L.pdf", "Melting_Curves/meltCurve_O14548_COX7A2L.pdf")</f>
        <v>Melting_Curves/meltCurve_O14548_COX7A2L.pdf</v>
      </c>
    </row>
    <row r="1428" spans="1:28" x14ac:dyDescent="0.25">
      <c r="A1428" t="s">
        <v>1432</v>
      </c>
      <c r="B1428">
        <v>0.99542014353169495</v>
      </c>
      <c r="C1428">
        <v>1.0558783946133401</v>
      </c>
      <c r="D1428">
        <v>0.854430665462241</v>
      </c>
      <c r="E1428">
        <v>0.84313156323146898</v>
      </c>
      <c r="F1428">
        <v>0.74893547995399901</v>
      </c>
      <c r="G1428">
        <v>0.54095429758674896</v>
      </c>
      <c r="H1428">
        <v>0.44185272876526399</v>
      </c>
      <c r="I1428">
        <v>0.29545566630098702</v>
      </c>
      <c r="J1428">
        <v>0.358184164803653</v>
      </c>
      <c r="K1428">
        <v>0.407785414496522</v>
      </c>
      <c r="L1428">
        <v>687.13119447726297</v>
      </c>
      <c r="M1428">
        <v>13.450511573686301</v>
      </c>
      <c r="N1428">
        <v>55.142104645889297</v>
      </c>
      <c r="O1428">
        <v>49.996316751215197</v>
      </c>
      <c r="P1428">
        <v>-4.6138891074407398E-2</v>
      </c>
      <c r="Q1428">
        <v>0.31410258360549698</v>
      </c>
      <c r="R1428">
        <v>0.95838743040471797</v>
      </c>
      <c r="S1428" t="s">
        <v>7830</v>
      </c>
      <c r="T1428" t="s">
        <v>12802</v>
      </c>
      <c r="U1428" t="s">
        <v>12802</v>
      </c>
      <c r="V1428" t="s">
        <v>12802</v>
      </c>
      <c r="W1428" t="s">
        <v>14194</v>
      </c>
      <c r="X1428">
        <v>3</v>
      </c>
      <c r="Y1428" t="s">
        <v>20503</v>
      </c>
      <c r="Z1428" t="s">
        <v>26746</v>
      </c>
      <c r="AA1428">
        <v>0.65186435736146486</v>
      </c>
      <c r="AB1428" t="str">
        <f>HYPERLINK("Melting_Curves/meltCurve_O14561_NDUFAB1.pdf", "Melting_Curves/meltCurve_O14561_NDUFAB1.pdf")</f>
        <v>Melting_Curves/meltCurve_O14561_NDUFAB1.pdf</v>
      </c>
    </row>
    <row r="1429" spans="1:28" x14ac:dyDescent="0.25">
      <c r="A1429" t="s">
        <v>1433</v>
      </c>
      <c r="B1429">
        <v>0.99542014353169495</v>
      </c>
      <c r="C1429">
        <v>0.93952209335842796</v>
      </c>
      <c r="D1429">
        <v>0.96894496220881199</v>
      </c>
      <c r="E1429">
        <v>0.70935003930479901</v>
      </c>
      <c r="F1429">
        <v>0.30786029079646599</v>
      </c>
      <c r="G1429">
        <v>0.116247629116211</v>
      </c>
      <c r="H1429">
        <v>8.8742427165114199E-2</v>
      </c>
      <c r="I1429">
        <v>5.8331365650899997E-2</v>
      </c>
      <c r="J1429">
        <v>7.6186308577586806E-2</v>
      </c>
      <c r="K1429">
        <v>8.0200001315821196E-2</v>
      </c>
      <c r="L1429">
        <v>1232.9848785353199</v>
      </c>
      <c r="M1429">
        <v>25.6541432520421</v>
      </c>
      <c r="N1429">
        <v>48.342790505631299</v>
      </c>
      <c r="O1429">
        <v>47.772638288381998</v>
      </c>
      <c r="P1429">
        <v>-0.124954611426376</v>
      </c>
      <c r="Q1429">
        <v>6.9259271777722703E-2</v>
      </c>
      <c r="R1429">
        <v>0.99758604207148704</v>
      </c>
      <c r="S1429" t="s">
        <v>7831</v>
      </c>
      <c r="T1429" t="s">
        <v>12802</v>
      </c>
      <c r="U1429" t="s">
        <v>12802</v>
      </c>
      <c r="V1429" t="s">
        <v>12802</v>
      </c>
      <c r="W1429" t="s">
        <v>14195</v>
      </c>
      <c r="X1429">
        <v>14</v>
      </c>
      <c r="Y1429" t="s">
        <v>20504</v>
      </c>
      <c r="Z1429" t="s">
        <v>26747</v>
      </c>
      <c r="AA1429">
        <v>0.41999179240296269</v>
      </c>
      <c r="AB1429" t="str">
        <f>HYPERLINK("Melting_Curves/meltCurve_O14578_CIT.pdf", "Melting_Curves/meltCurve_O14578_CIT.pdf")</f>
        <v>Melting_Curves/meltCurve_O14578_CIT.pdf</v>
      </c>
    </row>
    <row r="1430" spans="1:28" x14ac:dyDescent="0.25">
      <c r="A1430" t="s">
        <v>1434</v>
      </c>
      <c r="B1430">
        <v>0.99542014353169495</v>
      </c>
      <c r="C1430">
        <v>0.88368126426634397</v>
      </c>
      <c r="D1430">
        <v>0.90744962352250302</v>
      </c>
      <c r="E1430">
        <v>0.70033585393720499</v>
      </c>
      <c r="F1430">
        <v>0.35639533151702402</v>
      </c>
      <c r="G1430">
        <v>0.101227352469709</v>
      </c>
      <c r="H1430">
        <v>6.0619013042302501E-2</v>
      </c>
      <c r="I1430">
        <v>4.1276976301836799E-2</v>
      </c>
      <c r="J1430">
        <v>3.6454853686154198E-2</v>
      </c>
      <c r="K1430">
        <v>3.6953088252497698E-2</v>
      </c>
      <c r="L1430">
        <v>936.09721579325799</v>
      </c>
      <c r="M1430">
        <v>19.352376567075101</v>
      </c>
      <c r="N1430">
        <v>48.469572419848902</v>
      </c>
      <c r="O1430">
        <v>47.863557337455099</v>
      </c>
      <c r="P1430">
        <v>-9.9137571785797296E-2</v>
      </c>
      <c r="Q1430">
        <v>1.9262324965427499E-2</v>
      </c>
      <c r="R1430">
        <v>0.99177723397514395</v>
      </c>
      <c r="S1430" t="s">
        <v>7832</v>
      </c>
      <c r="T1430" t="s">
        <v>12802</v>
      </c>
      <c r="U1430" t="s">
        <v>12802</v>
      </c>
      <c r="V1430" t="s">
        <v>12802</v>
      </c>
      <c r="W1430" t="s">
        <v>14196</v>
      </c>
      <c r="X1430">
        <v>11</v>
      </c>
      <c r="Y1430" t="s">
        <v>20505</v>
      </c>
      <c r="Z1430" t="s">
        <v>26748</v>
      </c>
      <c r="AA1430">
        <v>0.40471493467041919</v>
      </c>
      <c r="AB1430" t="str">
        <f>HYPERLINK("Melting_Curves/meltCurve_O14617_AP3D1.pdf", "Melting_Curves/meltCurve_O14617_AP3D1.pdf")</f>
        <v>Melting_Curves/meltCurve_O14617_AP3D1.pdf</v>
      </c>
    </row>
    <row r="1431" spans="1:28" x14ac:dyDescent="0.25">
      <c r="A1431" t="s">
        <v>1435</v>
      </c>
      <c r="B1431">
        <v>0.99542014353169495</v>
      </c>
      <c r="C1431">
        <v>0.95177936876984603</v>
      </c>
      <c r="D1431">
        <v>0.89478080269259797</v>
      </c>
      <c r="E1431">
        <v>0.40778981370721501</v>
      </c>
      <c r="F1431">
        <v>0.324223843647165</v>
      </c>
      <c r="G1431">
        <v>0.217516628013528</v>
      </c>
      <c r="H1431">
        <v>0.218985230655383</v>
      </c>
      <c r="I1431">
        <v>0.12527817024669199</v>
      </c>
      <c r="J1431">
        <v>0.11079406434981801</v>
      </c>
      <c r="K1431">
        <v>8.6821186768777897E-2</v>
      </c>
      <c r="L1431">
        <v>984.44219492277898</v>
      </c>
      <c r="M1431">
        <v>21.517890741758499</v>
      </c>
      <c r="N1431">
        <v>46.4961187233408</v>
      </c>
      <c r="O1431">
        <v>45.3603281965948</v>
      </c>
      <c r="P1431">
        <v>-0.10128144394934201</v>
      </c>
      <c r="Q1431">
        <v>0.14600452454541599</v>
      </c>
      <c r="R1431">
        <v>0.977874642198866</v>
      </c>
      <c r="S1431" t="s">
        <v>7833</v>
      </c>
      <c r="T1431" t="s">
        <v>12802</v>
      </c>
      <c r="U1431" t="s">
        <v>12802</v>
      </c>
      <c r="V1431" t="s">
        <v>12802</v>
      </c>
      <c r="W1431" t="s">
        <v>14197</v>
      </c>
      <c r="X1431">
        <v>11</v>
      </c>
      <c r="Y1431" t="s">
        <v>20506</v>
      </c>
      <c r="Z1431" t="s">
        <v>26749</v>
      </c>
      <c r="AA1431">
        <v>0.40469697384331232</v>
      </c>
      <c r="AB1431" t="str">
        <f>HYPERLINK("Melting_Curves/meltCurve_O14646_2_CHD1.pdf", "Melting_Curves/meltCurve_O14646_2_CHD1.pdf")</f>
        <v>Melting_Curves/meltCurve_O14646_2_CHD1.pdf</v>
      </c>
    </row>
    <row r="1432" spans="1:28" x14ac:dyDescent="0.25">
      <c r="A1432" t="s">
        <v>1436</v>
      </c>
      <c r="B1432">
        <v>0.99542014353169495</v>
      </c>
      <c r="C1432">
        <v>0.98579824343310396</v>
      </c>
      <c r="D1432">
        <v>0.88479886200753299</v>
      </c>
      <c r="E1432">
        <v>0.86978101778707595</v>
      </c>
      <c r="F1432">
        <v>0.70968799363011204</v>
      </c>
      <c r="G1432">
        <v>0.60972826893459098</v>
      </c>
      <c r="H1432">
        <v>0.37929725474391801</v>
      </c>
      <c r="I1432">
        <v>0.129890481749735</v>
      </c>
      <c r="J1432">
        <v>6.6890641223769198E-2</v>
      </c>
      <c r="K1432">
        <v>8.6478335075172594E-2</v>
      </c>
      <c r="L1432">
        <v>703.80738642852396</v>
      </c>
      <c r="M1432">
        <v>12.942218273184899</v>
      </c>
      <c r="N1432">
        <v>54.380738431688499</v>
      </c>
      <c r="O1432">
        <v>53.1315435122617</v>
      </c>
      <c r="P1432">
        <v>-6.0908018796140301E-2</v>
      </c>
      <c r="Q1432">
        <v>0</v>
      </c>
      <c r="R1432">
        <v>0.98104055713643701</v>
      </c>
      <c r="S1432" t="s">
        <v>7834</v>
      </c>
      <c r="T1432" t="s">
        <v>12802</v>
      </c>
      <c r="U1432" t="s">
        <v>12802</v>
      </c>
      <c r="V1432" t="s">
        <v>12802</v>
      </c>
      <c r="W1432" t="s">
        <v>14198</v>
      </c>
      <c r="X1432">
        <v>7</v>
      </c>
      <c r="Y1432" t="s">
        <v>20507</v>
      </c>
      <c r="Z1432" t="s">
        <v>26750</v>
      </c>
      <c r="AA1432">
        <v>0.59579437094385812</v>
      </c>
      <c r="AB1432" t="str">
        <f>HYPERLINK("Melting_Curves/meltCurve_O14656_TOR1A.pdf", "Melting_Curves/meltCurve_O14656_TOR1A.pdf")</f>
        <v>Melting_Curves/meltCurve_O14656_TOR1A.pdf</v>
      </c>
    </row>
    <row r="1433" spans="1:28" x14ac:dyDescent="0.25">
      <c r="A1433" t="s">
        <v>1437</v>
      </c>
      <c r="B1433">
        <v>0.99542014353169495</v>
      </c>
      <c r="C1433">
        <v>0.97967289273465497</v>
      </c>
      <c r="D1433">
        <v>0.886873467219082</v>
      </c>
      <c r="E1433">
        <v>0.81313992320112105</v>
      </c>
      <c r="F1433">
        <v>0.59059198771545895</v>
      </c>
      <c r="G1433">
        <v>0.33276047887029903</v>
      </c>
      <c r="H1433">
        <v>0.120193899406088</v>
      </c>
      <c r="I1433">
        <v>6.3930125812898406E-2</v>
      </c>
      <c r="J1433">
        <v>6.1611139109534502E-2</v>
      </c>
      <c r="K1433">
        <v>8.2145891686894207E-2</v>
      </c>
      <c r="L1433">
        <v>788.76320178358003</v>
      </c>
      <c r="M1433">
        <v>15.482488261476</v>
      </c>
      <c r="N1433">
        <v>51.068399275802399</v>
      </c>
      <c r="O1433">
        <v>50.118287903833</v>
      </c>
      <c r="P1433">
        <v>-7.5824290048602999E-2</v>
      </c>
      <c r="Q1433">
        <v>1.82858091324716E-2</v>
      </c>
      <c r="R1433">
        <v>0.993987754053268</v>
      </c>
      <c r="S1433" t="s">
        <v>7835</v>
      </c>
      <c r="T1433" t="s">
        <v>12802</v>
      </c>
      <c r="U1433" t="s">
        <v>12802</v>
      </c>
      <c r="V1433" t="s">
        <v>12802</v>
      </c>
      <c r="W1433" t="s">
        <v>14199</v>
      </c>
      <c r="X1433">
        <v>6</v>
      </c>
      <c r="Y1433" t="s">
        <v>20508</v>
      </c>
      <c r="Z1433" t="s">
        <v>26751</v>
      </c>
      <c r="AA1433">
        <v>0.49362362339462479</v>
      </c>
      <c r="AB1433" t="str">
        <f>HYPERLINK("Melting_Curves/meltCurve_O14657_TOR1B.pdf", "Melting_Curves/meltCurve_O14657_TOR1B.pdf")</f>
        <v>Melting_Curves/meltCurve_O14657_TOR1B.pdf</v>
      </c>
    </row>
    <row r="1434" spans="1:28" x14ac:dyDescent="0.25">
      <c r="A1434" t="s">
        <v>1438</v>
      </c>
      <c r="B1434">
        <v>0.99542014353169495</v>
      </c>
      <c r="C1434">
        <v>0.90500472797137999</v>
      </c>
      <c r="D1434">
        <v>0.82796544206591305</v>
      </c>
      <c r="E1434">
        <v>0.54791209971456001</v>
      </c>
      <c r="F1434">
        <v>0.30050766764873399</v>
      </c>
      <c r="G1434">
        <v>0.146736924347386</v>
      </c>
      <c r="H1434">
        <v>8.9000080431971093E-2</v>
      </c>
      <c r="I1434">
        <v>4.9908807972052903E-2</v>
      </c>
      <c r="J1434">
        <v>4.0371187090633399E-2</v>
      </c>
      <c r="K1434">
        <v>3.0555841813432499E-2</v>
      </c>
      <c r="L1434">
        <v>700.76704120206205</v>
      </c>
      <c r="M1434">
        <v>14.871411895531899</v>
      </c>
      <c r="N1434">
        <v>47.247864496955998</v>
      </c>
      <c r="O1434">
        <v>46.294331508438098</v>
      </c>
      <c r="P1434">
        <v>-7.8754647918156701E-2</v>
      </c>
      <c r="Q1434">
        <v>1.9457809517713E-2</v>
      </c>
      <c r="R1434">
        <v>0.99881562624721498</v>
      </c>
      <c r="S1434" t="s">
        <v>7836</v>
      </c>
      <c r="T1434" t="s">
        <v>12802</v>
      </c>
      <c r="U1434" t="s">
        <v>12802</v>
      </c>
      <c r="V1434" t="s">
        <v>12802</v>
      </c>
      <c r="W1434" t="s">
        <v>14200</v>
      </c>
      <c r="X1434">
        <v>3</v>
      </c>
      <c r="Y1434" t="s">
        <v>20509</v>
      </c>
      <c r="Z1434" t="s">
        <v>26752</v>
      </c>
      <c r="AA1434">
        <v>0.37263832180433198</v>
      </c>
      <c r="AB1434" t="str">
        <f>HYPERLINK("Melting_Curves/meltCurve_O14662_2_STX16.pdf", "Melting_Curves/meltCurve_O14662_2_STX16.pdf")</f>
        <v>Melting_Curves/meltCurve_O14662_2_STX16.pdf</v>
      </c>
    </row>
    <row r="1435" spans="1:28" x14ac:dyDescent="0.25">
      <c r="A1435" t="s">
        <v>1439</v>
      </c>
      <c r="B1435">
        <v>0.99542014353169495</v>
      </c>
      <c r="C1435">
        <v>0.96026150525418597</v>
      </c>
      <c r="D1435">
        <v>0.89854103899401805</v>
      </c>
      <c r="E1435">
        <v>0.762423636088706</v>
      </c>
      <c r="F1435">
        <v>0.49707076158445801</v>
      </c>
      <c r="G1435">
        <v>0.27026857410585298</v>
      </c>
      <c r="H1435">
        <v>0.15452161068192199</v>
      </c>
      <c r="I1435">
        <v>0.10745106492713299</v>
      </c>
      <c r="J1435">
        <v>0.117388693196538</v>
      </c>
      <c r="K1435">
        <v>0.14982198361528001</v>
      </c>
      <c r="L1435">
        <v>826.81264896545599</v>
      </c>
      <c r="M1435">
        <v>16.772160586824999</v>
      </c>
      <c r="N1435">
        <v>49.951025899769199</v>
      </c>
      <c r="O1435">
        <v>48.611929135192298</v>
      </c>
      <c r="P1435">
        <v>-7.7754143876612503E-2</v>
      </c>
      <c r="Q1435">
        <v>9.8617589955704896E-2</v>
      </c>
      <c r="R1435">
        <v>0.99642297640841004</v>
      </c>
      <c r="S1435" t="s">
        <v>7837</v>
      </c>
      <c r="T1435" t="s">
        <v>12802</v>
      </c>
      <c r="U1435" t="s">
        <v>12802</v>
      </c>
      <c r="V1435" t="s">
        <v>12802</v>
      </c>
      <c r="W1435" t="s">
        <v>14201</v>
      </c>
      <c r="X1435">
        <v>21</v>
      </c>
      <c r="Y1435" t="s">
        <v>20510</v>
      </c>
      <c r="Z1435" t="s">
        <v>26753</v>
      </c>
      <c r="AA1435">
        <v>0.48419141768692192</v>
      </c>
      <c r="AB1435" t="str">
        <f>HYPERLINK("Melting_Curves/meltCurve_O14672_ADAM10.pdf", "Melting_Curves/meltCurve_O14672_ADAM10.pdf")</f>
        <v>Melting_Curves/meltCurve_O14672_ADAM10.pdf</v>
      </c>
    </row>
    <row r="1436" spans="1:28" x14ac:dyDescent="0.25">
      <c r="A1436" t="s">
        <v>1440</v>
      </c>
      <c r="B1436">
        <v>0.99542014353169495</v>
      </c>
      <c r="C1436">
        <v>0.85214149622465096</v>
      </c>
      <c r="D1436">
        <v>0.78120031646903099</v>
      </c>
      <c r="E1436">
        <v>0.47582930262926598</v>
      </c>
      <c r="F1436">
        <v>0.26311591912038301</v>
      </c>
      <c r="G1436">
        <v>0.17325978185757901</v>
      </c>
      <c r="H1436">
        <v>0.107371041931248</v>
      </c>
      <c r="I1436">
        <v>7.7621586046677599E-2</v>
      </c>
      <c r="J1436">
        <v>7.93720493344654E-2</v>
      </c>
      <c r="K1436">
        <v>0.11875031913575</v>
      </c>
      <c r="L1436">
        <v>686.72853737920605</v>
      </c>
      <c r="M1436">
        <v>14.992387469950399</v>
      </c>
      <c r="N1436">
        <v>46.310655160204703</v>
      </c>
      <c r="O1436">
        <v>45.013388059644498</v>
      </c>
      <c r="P1436">
        <v>-7.6989082003950604E-2</v>
      </c>
      <c r="Q1436">
        <v>7.5480508075075003E-2</v>
      </c>
      <c r="R1436">
        <v>0.99408694428776301</v>
      </c>
      <c r="S1436" t="s">
        <v>7838</v>
      </c>
      <c r="T1436" t="s">
        <v>12802</v>
      </c>
      <c r="U1436" t="s">
        <v>12802</v>
      </c>
      <c r="V1436" t="s">
        <v>12802</v>
      </c>
      <c r="W1436" t="s">
        <v>14202</v>
      </c>
      <c r="X1436">
        <v>9</v>
      </c>
      <c r="Y1436" t="s">
        <v>20511</v>
      </c>
      <c r="Z1436" t="s">
        <v>26754</v>
      </c>
      <c r="AA1436">
        <v>0.36828769224297581</v>
      </c>
      <c r="AB1436" t="str">
        <f>HYPERLINK("Melting_Curves/meltCurve_O14686_MLL2.pdf", "Melting_Curves/meltCurve_O14686_MLL2.pdf")</f>
        <v>Melting_Curves/meltCurve_O14686_MLL2.pdf</v>
      </c>
    </row>
    <row r="1437" spans="1:28" x14ac:dyDescent="0.25">
      <c r="A1437" t="s">
        <v>1441</v>
      </c>
      <c r="B1437">
        <v>0.99542014353169495</v>
      </c>
      <c r="C1437">
        <v>0.984497357376377</v>
      </c>
      <c r="D1437">
        <v>0.93446267874157996</v>
      </c>
      <c r="E1437">
        <v>0.86702660032872902</v>
      </c>
      <c r="F1437">
        <v>0.50406872648768897</v>
      </c>
      <c r="G1437">
        <v>0.18090521190991499</v>
      </c>
      <c r="H1437">
        <v>4.9952208446612197E-2</v>
      </c>
      <c r="I1437">
        <v>2.79895877154193E-2</v>
      </c>
      <c r="J1437">
        <v>2.3025714611441001E-2</v>
      </c>
      <c r="K1437">
        <v>2.74153831275744E-2</v>
      </c>
      <c r="L1437">
        <v>1174.52856793718</v>
      </c>
      <c r="M1437">
        <v>23.418799425821899</v>
      </c>
      <c r="N1437">
        <v>50.215572346760503</v>
      </c>
      <c r="O1437">
        <v>49.791841762860102</v>
      </c>
      <c r="P1437">
        <v>-0.11590098823794399</v>
      </c>
      <c r="Q1437">
        <v>1.4326578375302299E-2</v>
      </c>
      <c r="R1437">
        <v>0.998490333810921</v>
      </c>
      <c r="S1437" t="s">
        <v>7839</v>
      </c>
      <c r="T1437" t="s">
        <v>12802</v>
      </c>
      <c r="U1437" t="s">
        <v>12802</v>
      </c>
      <c r="V1437" t="s">
        <v>12802</v>
      </c>
      <c r="W1437" t="s">
        <v>14203</v>
      </c>
      <c r="X1437">
        <v>12</v>
      </c>
      <c r="Y1437" t="s">
        <v>20512</v>
      </c>
      <c r="Z1437" t="s">
        <v>26755</v>
      </c>
      <c r="AA1437">
        <v>0.45624855539386289</v>
      </c>
      <c r="AB1437" t="str">
        <f>HYPERLINK("Melting_Curves/meltCurve_O14733_3_MAP2K7.pdf", "Melting_Curves/meltCurve_O14733_3_MAP2K7.pdf")</f>
        <v>Melting_Curves/meltCurve_O14733_3_MAP2K7.pdf</v>
      </c>
    </row>
    <row r="1438" spans="1:28" x14ac:dyDescent="0.25">
      <c r="A1438" t="s">
        <v>1442</v>
      </c>
      <c r="B1438">
        <v>0.99542014353169495</v>
      </c>
      <c r="C1438">
        <v>0.94929423269102298</v>
      </c>
      <c r="D1438">
        <v>0.93900657740900495</v>
      </c>
      <c r="E1438">
        <v>0.87893025673109104</v>
      </c>
      <c r="F1438">
        <v>0.85963219605973995</v>
      </c>
      <c r="G1438">
        <v>0.74060742169398996</v>
      </c>
      <c r="H1438">
        <v>0.42044230184227399</v>
      </c>
      <c r="I1438">
        <v>0.20881536085289901</v>
      </c>
      <c r="J1438">
        <v>8.3100905285527604E-2</v>
      </c>
      <c r="K1438">
        <v>2.3544962051645801E-2</v>
      </c>
      <c r="L1438">
        <v>988.88234310724101</v>
      </c>
      <c r="M1438">
        <v>17.553485365890499</v>
      </c>
      <c r="N1438">
        <v>56.335384570970703</v>
      </c>
      <c r="O1438">
        <v>55.619489263563402</v>
      </c>
      <c r="P1438">
        <v>-7.8904180598759102E-2</v>
      </c>
      <c r="Q1438">
        <v>0</v>
      </c>
      <c r="R1438">
        <v>0.98511683469510403</v>
      </c>
      <c r="S1438" t="s">
        <v>7840</v>
      </c>
      <c r="T1438" t="s">
        <v>12802</v>
      </c>
      <c r="U1438" t="s">
        <v>12802</v>
      </c>
      <c r="V1438" t="s">
        <v>12802</v>
      </c>
      <c r="W1438" t="s">
        <v>14204</v>
      </c>
      <c r="X1438">
        <v>2</v>
      </c>
      <c r="Y1438" t="s">
        <v>20513</v>
      </c>
      <c r="Z1438" t="s">
        <v>26756</v>
      </c>
      <c r="AA1438">
        <v>0.65499686607028917</v>
      </c>
      <c r="AB1438" t="str">
        <f>HYPERLINK("Melting_Curves/meltCurve_O14734_ACOT8.pdf", "Melting_Curves/meltCurve_O14734_ACOT8.pdf")</f>
        <v>Melting_Curves/meltCurve_O14734_ACOT8.pdf</v>
      </c>
    </row>
    <row r="1439" spans="1:28" x14ac:dyDescent="0.25">
      <c r="A1439" t="s">
        <v>1443</v>
      </c>
      <c r="B1439">
        <v>0.99542014353169495</v>
      </c>
      <c r="C1439">
        <v>1.02489101942762</v>
      </c>
      <c r="D1439">
        <v>0.814227967617416</v>
      </c>
      <c r="E1439">
        <v>0.74149672228337105</v>
      </c>
      <c r="F1439">
        <v>0.58239432409791703</v>
      </c>
      <c r="G1439">
        <v>0.47462276589431801</v>
      </c>
      <c r="H1439">
        <v>0.37167119059638398</v>
      </c>
      <c r="I1439">
        <v>0.52872497400325102</v>
      </c>
      <c r="J1439">
        <v>1.2085187726135</v>
      </c>
      <c r="K1439">
        <v>2.1002607461038898</v>
      </c>
      <c r="L1439">
        <v>15000</v>
      </c>
      <c r="M1439">
        <v>233.675467439031</v>
      </c>
      <c r="O1439">
        <v>64.186888832193304</v>
      </c>
      <c r="P1439">
        <v>0.45506853320975699</v>
      </c>
      <c r="Q1439">
        <v>1.5</v>
      </c>
      <c r="R1439">
        <v>0.331831522677416</v>
      </c>
      <c r="S1439" t="s">
        <v>7841</v>
      </c>
      <c r="T1439" t="s">
        <v>12802</v>
      </c>
      <c r="U1439" t="s">
        <v>12802</v>
      </c>
      <c r="V1439" t="s">
        <v>12802</v>
      </c>
      <c r="W1439" t="s">
        <v>14205</v>
      </c>
      <c r="X1439">
        <v>11</v>
      </c>
      <c r="Y1439" t="s">
        <v>20514</v>
      </c>
      <c r="Z1439" t="s">
        <v>26757</v>
      </c>
      <c r="AA1439">
        <v>1.046742624839027</v>
      </c>
      <c r="AB1439" t="str">
        <f>HYPERLINK("Melting_Curves/meltCurve_O14737_PDCD5.pdf", "Melting_Curves/meltCurve_O14737_PDCD5.pdf")</f>
        <v>Melting_Curves/meltCurve_O14737_PDCD5.pdf</v>
      </c>
    </row>
    <row r="1440" spans="1:28" x14ac:dyDescent="0.25">
      <c r="A1440" t="s">
        <v>1444</v>
      </c>
      <c r="B1440">
        <v>0.99542014353169495</v>
      </c>
      <c r="C1440">
        <v>0.82932645318031595</v>
      </c>
      <c r="D1440">
        <v>0.88792898408526699</v>
      </c>
      <c r="E1440">
        <v>0.65796469955627601</v>
      </c>
      <c r="F1440">
        <v>0.50050757805357005</v>
      </c>
      <c r="G1440">
        <v>0.25234637171859498</v>
      </c>
      <c r="H1440">
        <v>0.11622480060387</v>
      </c>
      <c r="I1440">
        <v>4.7614292472572199E-2</v>
      </c>
      <c r="J1440">
        <v>4.9493501291249402E-2</v>
      </c>
      <c r="K1440">
        <v>4.7272922465793697E-2</v>
      </c>
      <c r="L1440">
        <v>610.39741747984999</v>
      </c>
      <c r="M1440">
        <v>12.382813559413201</v>
      </c>
      <c r="N1440">
        <v>49.293903930534199</v>
      </c>
      <c r="O1440">
        <v>48.061248683531403</v>
      </c>
      <c r="P1440">
        <v>-6.4425377841496795E-2</v>
      </c>
      <c r="Q1440">
        <v>0</v>
      </c>
      <c r="R1440">
        <v>0.983891217461765</v>
      </c>
      <c r="S1440" t="s">
        <v>7842</v>
      </c>
      <c r="T1440" t="s">
        <v>12802</v>
      </c>
      <c r="U1440" t="s">
        <v>12802</v>
      </c>
      <c r="V1440" t="s">
        <v>12802</v>
      </c>
      <c r="W1440" t="s">
        <v>14206</v>
      </c>
      <c r="X1440">
        <v>21</v>
      </c>
      <c r="Y1440" t="s">
        <v>20515</v>
      </c>
      <c r="Z1440" t="s">
        <v>26758</v>
      </c>
      <c r="AA1440">
        <v>0.43785999961567412</v>
      </c>
      <c r="AB1440" t="str">
        <f>HYPERLINK("Melting_Curves/meltCurve_O14744_PRMT5.pdf", "Melting_Curves/meltCurve_O14744_PRMT5.pdf")</f>
        <v>Melting_Curves/meltCurve_O14744_PRMT5.pdf</v>
      </c>
    </row>
    <row r="1441" spans="1:28" x14ac:dyDescent="0.25">
      <c r="A1441" t="s">
        <v>1445</v>
      </c>
      <c r="B1441">
        <v>0.99542014353169495</v>
      </c>
      <c r="C1441">
        <v>1.02102559900178</v>
      </c>
      <c r="D1441">
        <v>0.96835359933513798</v>
      </c>
      <c r="E1441">
        <v>0.94504284401695604</v>
      </c>
      <c r="F1441">
        <v>0.78845574274528196</v>
      </c>
      <c r="G1441">
        <v>0.62130529334607199</v>
      </c>
      <c r="H1441">
        <v>0.38490426608675599</v>
      </c>
      <c r="I1441">
        <v>0.25357367725833901</v>
      </c>
      <c r="J1441">
        <v>0.32301030206679698</v>
      </c>
      <c r="K1441">
        <v>0.40469062942532802</v>
      </c>
      <c r="L1441">
        <v>1126.08358281661</v>
      </c>
      <c r="M1441">
        <v>21.442181002594101</v>
      </c>
      <c r="N1441">
        <v>55.027202679199497</v>
      </c>
      <c r="O1441">
        <v>52.066841456523598</v>
      </c>
      <c r="P1441">
        <v>-7.0837014990310004E-2</v>
      </c>
      <c r="Q1441">
        <v>0.31197905283286997</v>
      </c>
      <c r="R1441">
        <v>0.97555832246434504</v>
      </c>
      <c r="S1441" t="s">
        <v>7843</v>
      </c>
      <c r="T1441" t="s">
        <v>12802</v>
      </c>
      <c r="U1441" t="s">
        <v>12802</v>
      </c>
      <c r="V1441" t="s">
        <v>12802</v>
      </c>
      <c r="W1441" t="s">
        <v>14207</v>
      </c>
      <c r="X1441">
        <v>22</v>
      </c>
      <c r="Y1441" t="s">
        <v>20516</v>
      </c>
      <c r="Z1441" t="s">
        <v>26759</v>
      </c>
      <c r="AA1441">
        <v>0.67573826644278523</v>
      </c>
      <c r="AB1441" t="str">
        <f>HYPERLINK("Melting_Curves/meltCurve_O14745_SLC9A3R1.pdf", "Melting_Curves/meltCurve_O14745_SLC9A3R1.pdf")</f>
        <v>Melting_Curves/meltCurve_O14745_SLC9A3R1.pdf</v>
      </c>
    </row>
    <row r="1442" spans="1:28" x14ac:dyDescent="0.25">
      <c r="A1442" t="s">
        <v>1446</v>
      </c>
      <c r="B1442">
        <v>0.99542014353169495</v>
      </c>
      <c r="C1442">
        <v>1.0507254519426099</v>
      </c>
      <c r="D1442">
        <v>1.0532720159397899</v>
      </c>
      <c r="E1442">
        <v>0.908694010690136</v>
      </c>
      <c r="F1442">
        <v>0.714355849833054</v>
      </c>
      <c r="G1442">
        <v>0.40843964784973802</v>
      </c>
      <c r="H1442">
        <v>0.12165887097082501</v>
      </c>
      <c r="I1442">
        <v>5.1456136726169298E-2</v>
      </c>
      <c r="J1442">
        <v>3.9916679486765201E-2</v>
      </c>
      <c r="K1442">
        <v>6.0545789864533801E-2</v>
      </c>
      <c r="L1442">
        <v>1128.30286632804</v>
      </c>
      <c r="M1442">
        <v>21.5385203259547</v>
      </c>
      <c r="N1442">
        <v>52.501252968828801</v>
      </c>
      <c r="O1442">
        <v>51.940055759290502</v>
      </c>
      <c r="P1442">
        <v>-0.10126553322934601</v>
      </c>
      <c r="Q1442">
        <v>2.3218198051729502E-2</v>
      </c>
      <c r="R1442">
        <v>0.99419644741781799</v>
      </c>
      <c r="S1442" t="s">
        <v>7844</v>
      </c>
      <c r="T1442" t="s">
        <v>12802</v>
      </c>
      <c r="U1442" t="s">
        <v>12802</v>
      </c>
      <c r="V1442" t="s">
        <v>12802</v>
      </c>
      <c r="W1442" t="s">
        <v>14208</v>
      </c>
      <c r="X1442">
        <v>17</v>
      </c>
      <c r="Y1442" t="s">
        <v>20517</v>
      </c>
      <c r="Z1442" t="s">
        <v>26760</v>
      </c>
      <c r="AA1442">
        <v>0.53529596972874161</v>
      </c>
      <c r="AB1442" t="str">
        <f>HYPERLINK("Melting_Curves/meltCurve_O14757_CHEK1.pdf", "Melting_Curves/meltCurve_O14757_CHEK1.pdf")</f>
        <v>Melting_Curves/meltCurve_O14757_CHEK1.pdf</v>
      </c>
    </row>
    <row r="1443" spans="1:28" x14ac:dyDescent="0.25">
      <c r="A1443" t="s">
        <v>1447</v>
      </c>
      <c r="B1443">
        <v>0.99542014353169495</v>
      </c>
      <c r="C1443">
        <v>1.0411239432161801</v>
      </c>
      <c r="D1443">
        <v>0.93661338714546405</v>
      </c>
      <c r="E1443">
        <v>0.92549170769396005</v>
      </c>
      <c r="F1443">
        <v>0.7690484189408</v>
      </c>
      <c r="G1443">
        <v>0.49601502810396397</v>
      </c>
      <c r="H1443">
        <v>0.38116342843745499</v>
      </c>
      <c r="I1443">
        <v>0.21672975004581399</v>
      </c>
      <c r="J1443">
        <v>0.27566062466355101</v>
      </c>
      <c r="K1443">
        <v>0.17599676540005299</v>
      </c>
      <c r="L1443">
        <v>881.57901930588696</v>
      </c>
      <c r="M1443">
        <v>16.720806115496</v>
      </c>
      <c r="N1443">
        <v>54.189622380984503</v>
      </c>
      <c r="O1443">
        <v>51.986653821988</v>
      </c>
      <c r="P1443">
        <v>-6.5783100554501497E-2</v>
      </c>
      <c r="Q1443">
        <v>0.18194877833027301</v>
      </c>
      <c r="R1443">
        <v>0.98929697085122204</v>
      </c>
      <c r="S1443" t="s">
        <v>7845</v>
      </c>
      <c r="T1443" t="s">
        <v>12802</v>
      </c>
      <c r="U1443" t="s">
        <v>12802</v>
      </c>
      <c r="V1443" t="s">
        <v>12802</v>
      </c>
      <c r="W1443" t="s">
        <v>14209</v>
      </c>
      <c r="X1443">
        <v>4</v>
      </c>
      <c r="Y1443" t="s">
        <v>20518</v>
      </c>
      <c r="Z1443" t="s">
        <v>26761</v>
      </c>
      <c r="AA1443">
        <v>0.62392380861914876</v>
      </c>
      <c r="AB1443" t="str">
        <f>HYPERLINK("Melting_Curves/meltCurve_O14763_2_TNFRSF10B.pdf", "Melting_Curves/meltCurve_O14763_2_TNFRSF10B.pdf")</f>
        <v>Melting_Curves/meltCurve_O14763_2_TNFRSF10B.pdf</v>
      </c>
    </row>
    <row r="1444" spans="1:28" x14ac:dyDescent="0.25">
      <c r="A1444" t="s">
        <v>1448</v>
      </c>
      <c r="B1444">
        <v>0.99542014353169495</v>
      </c>
      <c r="C1444">
        <v>0.972861733492555</v>
      </c>
      <c r="D1444">
        <v>0.93778084871714895</v>
      </c>
      <c r="E1444">
        <v>0.97533337166692802</v>
      </c>
      <c r="F1444">
        <v>0.72152088374815104</v>
      </c>
      <c r="G1444">
        <v>0.42581512115908099</v>
      </c>
      <c r="H1444">
        <v>0.133042800405579</v>
      </c>
      <c r="I1444">
        <v>8.99413250194179E-2</v>
      </c>
      <c r="J1444">
        <v>0.13717276706044301</v>
      </c>
      <c r="K1444">
        <v>9.4781115514156494E-2</v>
      </c>
      <c r="L1444">
        <v>1254.9425762686501</v>
      </c>
      <c r="M1444">
        <v>24.040098549882799</v>
      </c>
      <c r="N1444">
        <v>52.615829503913297</v>
      </c>
      <c r="O1444">
        <v>51.844866215466098</v>
      </c>
      <c r="P1444">
        <v>-0.105940647799601</v>
      </c>
      <c r="Q1444">
        <v>8.6128179490920095E-2</v>
      </c>
      <c r="R1444">
        <v>0.99270504638998802</v>
      </c>
      <c r="S1444" t="s">
        <v>7846</v>
      </c>
      <c r="T1444" t="s">
        <v>12802</v>
      </c>
      <c r="U1444" t="s">
        <v>12802</v>
      </c>
      <c r="V1444" t="s">
        <v>12802</v>
      </c>
      <c r="W1444" t="s">
        <v>14210</v>
      </c>
      <c r="X1444">
        <v>5</v>
      </c>
      <c r="Y1444" t="s">
        <v>20519</v>
      </c>
      <c r="Z1444" t="s">
        <v>26762</v>
      </c>
      <c r="AA1444">
        <v>0.55789577772759513</v>
      </c>
      <c r="AB1444" t="str">
        <f>HYPERLINK("Melting_Curves/meltCurve_O14772_2_FPGT.pdf", "Melting_Curves/meltCurve_O14772_2_FPGT.pdf")</f>
        <v>Melting_Curves/meltCurve_O14772_2_FPGT.pdf</v>
      </c>
    </row>
    <row r="1445" spans="1:28" x14ac:dyDescent="0.25">
      <c r="A1445" t="s">
        <v>1449</v>
      </c>
      <c r="B1445">
        <v>0.99542014353169495</v>
      </c>
      <c r="C1445">
        <v>0.93129814440276903</v>
      </c>
      <c r="D1445">
        <v>1.1110586157926401</v>
      </c>
      <c r="E1445">
        <v>0.87522513780312206</v>
      </c>
      <c r="F1445">
        <v>0.82226229988628496</v>
      </c>
      <c r="G1445">
        <v>0.50304993659227604</v>
      </c>
      <c r="H1445">
        <v>0.36034390515562298</v>
      </c>
      <c r="I1445">
        <v>0.220758280858703</v>
      </c>
      <c r="J1445">
        <v>0.21744857894212899</v>
      </c>
      <c r="K1445">
        <v>0.30717354202247699</v>
      </c>
      <c r="L1445">
        <v>1157.49652821723</v>
      </c>
      <c r="M1445">
        <v>22.071345134477699</v>
      </c>
      <c r="N1445">
        <v>54.019690717325503</v>
      </c>
      <c r="O1445">
        <v>52.018581225149099</v>
      </c>
      <c r="P1445">
        <v>-8.0892085892577098E-2</v>
      </c>
      <c r="Q1445">
        <v>0.237418574956821</v>
      </c>
      <c r="R1445">
        <v>0.96870635854938902</v>
      </c>
      <c r="S1445" t="s">
        <v>7847</v>
      </c>
      <c r="T1445" t="s">
        <v>12802</v>
      </c>
      <c r="U1445" t="s">
        <v>12802</v>
      </c>
      <c r="V1445" t="s">
        <v>12802</v>
      </c>
      <c r="W1445" t="s">
        <v>14211</v>
      </c>
      <c r="X1445">
        <v>3</v>
      </c>
      <c r="Y1445" t="s">
        <v>20520</v>
      </c>
      <c r="Z1445" t="s">
        <v>26763</v>
      </c>
      <c r="AA1445">
        <v>0.63833222998554662</v>
      </c>
      <c r="AB1445" t="str">
        <f>HYPERLINK("Melting_Curves/meltCurve_O14773_TPP1.pdf", "Melting_Curves/meltCurve_O14773_TPP1.pdf")</f>
        <v>Melting_Curves/meltCurve_O14773_TPP1.pdf</v>
      </c>
    </row>
    <row r="1446" spans="1:28" x14ac:dyDescent="0.25">
      <c r="A1446" t="s">
        <v>1450</v>
      </c>
      <c r="B1446">
        <v>0.99542014353169495</v>
      </c>
      <c r="C1446">
        <v>0.97187991431106802</v>
      </c>
      <c r="D1446">
        <v>0.93357798068660702</v>
      </c>
      <c r="E1446">
        <v>0.713510394323007</v>
      </c>
      <c r="F1446">
        <v>0.21256772080660899</v>
      </c>
      <c r="G1446">
        <v>0.111159921539579</v>
      </c>
      <c r="H1446">
        <v>6.7653391361213094E-2</v>
      </c>
      <c r="I1446">
        <v>4.8444098115722603E-2</v>
      </c>
      <c r="J1446">
        <v>5.0243002189695199E-2</v>
      </c>
      <c r="K1446">
        <v>5.5352087457074498E-2</v>
      </c>
      <c r="L1446">
        <v>1449.79454601927</v>
      </c>
      <c r="M1446">
        <v>30.3571634522817</v>
      </c>
      <c r="N1446">
        <v>47.947119093004098</v>
      </c>
      <c r="O1446">
        <v>47.552102812061797</v>
      </c>
      <c r="P1446">
        <v>-0.15059150778850999</v>
      </c>
      <c r="Q1446">
        <v>5.6447018146980402E-2</v>
      </c>
      <c r="R1446">
        <v>0.99803244689118298</v>
      </c>
      <c r="S1446" t="s">
        <v>7848</v>
      </c>
      <c r="T1446" t="s">
        <v>12802</v>
      </c>
      <c r="U1446" t="s">
        <v>12802</v>
      </c>
      <c r="V1446" t="s">
        <v>12802</v>
      </c>
      <c r="W1446" t="s">
        <v>14212</v>
      </c>
      <c r="X1446">
        <v>60</v>
      </c>
      <c r="Y1446" t="s">
        <v>20521</v>
      </c>
      <c r="Z1446" t="s">
        <v>26764</v>
      </c>
      <c r="AA1446">
        <v>0.40023420073410859</v>
      </c>
      <c r="AB1446" t="str">
        <f>HYPERLINK("Melting_Curves/meltCurve_O14776_2_TCERG1.pdf", "Melting_Curves/meltCurve_O14776_2_TCERG1.pdf")</f>
        <v>Melting_Curves/meltCurve_O14776_2_TCERG1.pdf</v>
      </c>
    </row>
    <row r="1447" spans="1:28" x14ac:dyDescent="0.25">
      <c r="A1447" t="s">
        <v>1451</v>
      </c>
      <c r="B1447">
        <v>0.99542014353169495</v>
      </c>
      <c r="C1447">
        <v>0.94221624267558102</v>
      </c>
      <c r="D1447">
        <v>0.91627634329538998</v>
      </c>
      <c r="E1447">
        <v>0.34012151756118603</v>
      </c>
      <c r="F1447">
        <v>0.128175926844422</v>
      </c>
      <c r="G1447">
        <v>7.3400143981852697E-2</v>
      </c>
      <c r="H1447">
        <v>4.43917500288298E-2</v>
      </c>
      <c r="I1447">
        <v>3.3803525979454602E-2</v>
      </c>
      <c r="J1447">
        <v>4.0904990202944601E-2</v>
      </c>
      <c r="K1447">
        <v>4.6289182396512002E-2</v>
      </c>
      <c r="L1447">
        <v>1581.2021803068601</v>
      </c>
      <c r="M1447">
        <v>34.687804045103803</v>
      </c>
      <c r="N1447">
        <v>45.729577681792499</v>
      </c>
      <c r="O1447">
        <v>45.433105420335202</v>
      </c>
      <c r="P1447">
        <v>-0.18088339703032</v>
      </c>
      <c r="Q1447">
        <v>5.2339619600514899E-2</v>
      </c>
      <c r="R1447">
        <v>0.99647221630940597</v>
      </c>
      <c r="S1447" t="s">
        <v>7849</v>
      </c>
      <c r="T1447" t="s">
        <v>12802</v>
      </c>
      <c r="U1447" t="s">
        <v>12802</v>
      </c>
      <c r="V1447" t="s">
        <v>12802</v>
      </c>
      <c r="W1447" t="s">
        <v>14213</v>
      </c>
      <c r="X1447">
        <v>18</v>
      </c>
      <c r="Y1447" t="s">
        <v>20522</v>
      </c>
      <c r="Z1447" t="s">
        <v>26765</v>
      </c>
      <c r="AA1447">
        <v>0.32748107735680149</v>
      </c>
      <c r="AB1447" t="str">
        <f>HYPERLINK("Melting_Curves/meltCurve_O14777_NDC80.pdf", "Melting_Curves/meltCurve_O14777_NDC80.pdf")</f>
        <v>Melting_Curves/meltCurve_O14777_NDC80.pdf</v>
      </c>
    </row>
    <row r="1448" spans="1:28" x14ac:dyDescent="0.25">
      <c r="A1448" t="s">
        <v>1452</v>
      </c>
      <c r="B1448">
        <v>0.99542014353169495</v>
      </c>
      <c r="C1448">
        <v>1.02325193274391</v>
      </c>
      <c r="D1448">
        <v>0.92323515659976996</v>
      </c>
      <c r="E1448">
        <v>0.56462357938530305</v>
      </c>
      <c r="F1448">
        <v>0.17058817511458099</v>
      </c>
      <c r="G1448">
        <v>8.4084747397627405E-2</v>
      </c>
      <c r="H1448">
        <v>5.1065518477375602E-2</v>
      </c>
      <c r="I1448">
        <v>2.8056307246925701E-2</v>
      </c>
      <c r="J1448">
        <v>3.3145200275579101E-2</v>
      </c>
      <c r="K1448">
        <v>4.2996503649210698E-2</v>
      </c>
      <c r="L1448">
        <v>1289.3575345056499</v>
      </c>
      <c r="M1448">
        <v>27.4847928396462</v>
      </c>
      <c r="N1448">
        <v>47.053084028264699</v>
      </c>
      <c r="O1448">
        <v>46.665438569088899</v>
      </c>
      <c r="P1448">
        <v>-0.14140814216660799</v>
      </c>
      <c r="Q1448">
        <v>3.9641739790369598E-2</v>
      </c>
      <c r="R1448">
        <v>0.99909379966759004</v>
      </c>
      <c r="S1448" t="s">
        <v>7850</v>
      </c>
      <c r="T1448" t="s">
        <v>12802</v>
      </c>
      <c r="U1448" t="s">
        <v>12802</v>
      </c>
      <c r="V1448" t="s">
        <v>12802</v>
      </c>
      <c r="W1448" t="s">
        <v>14214</v>
      </c>
      <c r="X1448">
        <v>13</v>
      </c>
      <c r="Y1448" t="s">
        <v>20523</v>
      </c>
      <c r="Z1448" t="s">
        <v>26766</v>
      </c>
      <c r="AA1448">
        <v>0.36358603684813579</v>
      </c>
      <c r="AB1448" t="str">
        <f>HYPERLINK("Melting_Curves/meltCurve_O14787_2_TNPO2.pdf", "Melting_Curves/meltCurve_O14787_2_TNPO2.pdf")</f>
        <v>Melting_Curves/meltCurve_O14787_2_TNPO2.pdf</v>
      </c>
    </row>
    <row r="1449" spans="1:28" x14ac:dyDescent="0.25">
      <c r="A1449" t="s">
        <v>1453</v>
      </c>
      <c r="B1449">
        <v>0.99542014353169495</v>
      </c>
      <c r="C1449">
        <v>0.93893392747744597</v>
      </c>
      <c r="D1449">
        <v>0.90690714655829796</v>
      </c>
      <c r="E1449">
        <v>0.47386576765955302</v>
      </c>
      <c r="F1449">
        <v>0.20459345074180199</v>
      </c>
      <c r="G1449">
        <v>0.117547230969544</v>
      </c>
      <c r="H1449">
        <v>8.31900284561366E-2</v>
      </c>
      <c r="I1449">
        <v>7.1896476804606396E-2</v>
      </c>
      <c r="J1449">
        <v>7.4846058818223093E-2</v>
      </c>
      <c r="K1449">
        <v>7.1863475671097896E-2</v>
      </c>
      <c r="L1449">
        <v>1152.91064347613</v>
      </c>
      <c r="M1449">
        <v>24.942235202694</v>
      </c>
      <c r="N1449">
        <v>46.537595863701</v>
      </c>
      <c r="O1449">
        <v>45.9291800048018</v>
      </c>
      <c r="P1449">
        <v>-0.12524078730447</v>
      </c>
      <c r="Q1449">
        <v>7.7528081642687693E-2</v>
      </c>
      <c r="R1449">
        <v>0.99745882258602203</v>
      </c>
      <c r="S1449" t="s">
        <v>7851</v>
      </c>
      <c r="T1449" t="s">
        <v>12802</v>
      </c>
      <c r="U1449" t="s">
        <v>12802</v>
      </c>
      <c r="V1449" t="s">
        <v>12802</v>
      </c>
      <c r="W1449" t="s">
        <v>14215</v>
      </c>
      <c r="X1449">
        <v>8</v>
      </c>
      <c r="Y1449" t="s">
        <v>20524</v>
      </c>
      <c r="Z1449" t="s">
        <v>26767</v>
      </c>
      <c r="AA1449">
        <v>0.36883478297461841</v>
      </c>
      <c r="AB1449" t="str">
        <f>HYPERLINK("Melting_Curves/meltCurve_O14802_POLR3A.pdf", "Melting_Curves/meltCurve_O14802_POLR3A.pdf")</f>
        <v>Melting_Curves/meltCurve_O14802_POLR3A.pdf</v>
      </c>
    </row>
    <row r="1450" spans="1:28" x14ac:dyDescent="0.25">
      <c r="A1450" t="s">
        <v>1454</v>
      </c>
      <c r="B1450">
        <v>0.99542014353169495</v>
      </c>
      <c r="C1450">
        <v>0.90649792690130204</v>
      </c>
      <c r="D1450">
        <v>0.93838835346506899</v>
      </c>
      <c r="E1450">
        <v>0.83877486679651203</v>
      </c>
      <c r="F1450">
        <v>0.61125371857774802</v>
      </c>
      <c r="G1450">
        <v>0.32111141553140399</v>
      </c>
      <c r="H1450">
        <v>0.240158494894576</v>
      </c>
      <c r="I1450">
        <v>0.23535797490073401</v>
      </c>
      <c r="J1450">
        <v>0.24385049480376</v>
      </c>
      <c r="K1450">
        <v>0.32031016786322303</v>
      </c>
      <c r="L1450">
        <v>1118.8456799887499</v>
      </c>
      <c r="M1450">
        <v>22.567072031281299</v>
      </c>
      <c r="N1450">
        <v>51.104309303601397</v>
      </c>
      <c r="O1450">
        <v>49.194295797595203</v>
      </c>
      <c r="P1450">
        <v>-8.6577319854698298E-2</v>
      </c>
      <c r="Q1450">
        <v>0.245090488775243</v>
      </c>
      <c r="R1450">
        <v>0.97901913644805305</v>
      </c>
      <c r="S1450" t="s">
        <v>7852</v>
      </c>
      <c r="T1450" t="s">
        <v>12802</v>
      </c>
      <c r="U1450" t="s">
        <v>12802</v>
      </c>
      <c r="V1450" t="s">
        <v>12802</v>
      </c>
      <c r="W1450" t="s">
        <v>14216</v>
      </c>
      <c r="X1450">
        <v>21</v>
      </c>
      <c r="Y1450" t="s">
        <v>20525</v>
      </c>
      <c r="Z1450" t="s">
        <v>26768</v>
      </c>
      <c r="AA1450">
        <v>0.56959498994221669</v>
      </c>
      <c r="AB1450" t="str">
        <f>HYPERLINK("Melting_Curves/meltCurve_O14818_PSMA7.pdf", "Melting_Curves/meltCurve_O14818_PSMA7.pdf")</f>
        <v>Melting_Curves/meltCurve_O14818_PSMA7.pdf</v>
      </c>
    </row>
    <row r="1451" spans="1:28" x14ac:dyDescent="0.25">
      <c r="A1451" t="s">
        <v>1455</v>
      </c>
      <c r="B1451">
        <v>0.99542014353169495</v>
      </c>
      <c r="C1451">
        <v>1.0013742434382</v>
      </c>
      <c r="D1451">
        <v>0.87014575920494097</v>
      </c>
      <c r="E1451">
        <v>0.84404604657373195</v>
      </c>
      <c r="F1451">
        <v>0.70805202526050603</v>
      </c>
      <c r="G1451">
        <v>0.59167712935168104</v>
      </c>
      <c r="H1451">
        <v>0.496318038077249</v>
      </c>
      <c r="I1451">
        <v>0.44963804040563399</v>
      </c>
      <c r="J1451">
        <v>0.64168230109914604</v>
      </c>
      <c r="K1451">
        <v>0.63783413419222301</v>
      </c>
      <c r="L1451">
        <v>813.77426484489899</v>
      </c>
      <c r="M1451">
        <v>17.1206540220542</v>
      </c>
      <c r="O1451">
        <v>46.897466703295599</v>
      </c>
      <c r="P1451">
        <v>-4.1018267316021803E-2</v>
      </c>
      <c r="Q1451">
        <v>0.55059259583698705</v>
      </c>
      <c r="R1451">
        <v>0.88629110348473295</v>
      </c>
      <c r="S1451" t="s">
        <v>7853</v>
      </c>
      <c r="T1451" t="s">
        <v>12802</v>
      </c>
      <c r="U1451" t="s">
        <v>12802</v>
      </c>
      <c r="V1451" t="s">
        <v>12802</v>
      </c>
      <c r="W1451" t="s">
        <v>14217</v>
      </c>
      <c r="X1451">
        <v>11</v>
      </c>
      <c r="Y1451" t="s">
        <v>20526</v>
      </c>
      <c r="Z1451" t="s">
        <v>26769</v>
      </c>
      <c r="AA1451">
        <v>0.71625681744014214</v>
      </c>
      <c r="AB1451" t="str">
        <f>HYPERLINK("Melting_Curves/meltCurve_O14828_SCAMP3.pdf", "Melting_Curves/meltCurve_O14828_SCAMP3.pdf")</f>
        <v>Melting_Curves/meltCurve_O14828_SCAMP3.pdf</v>
      </c>
    </row>
    <row r="1452" spans="1:28" x14ac:dyDescent="0.25">
      <c r="A1452" t="s">
        <v>1456</v>
      </c>
      <c r="B1452">
        <v>0.99542014353169495</v>
      </c>
      <c r="C1452">
        <v>0.93742238517223997</v>
      </c>
      <c r="D1452">
        <v>1.0141331955866</v>
      </c>
      <c r="E1452">
        <v>0.76033874606950103</v>
      </c>
      <c r="F1452">
        <v>0.68292014032687398</v>
      </c>
      <c r="G1452">
        <v>0.26378672821174198</v>
      </c>
      <c r="H1452">
        <v>9.5122566251672799E-2</v>
      </c>
      <c r="I1452">
        <v>4.6823926061213002E-2</v>
      </c>
      <c r="J1452">
        <v>3.4023399489746899E-2</v>
      </c>
      <c r="K1452">
        <v>3.42710031382834E-2</v>
      </c>
      <c r="L1452">
        <v>933.59199752708696</v>
      </c>
      <c r="M1452">
        <v>18.212294710215801</v>
      </c>
      <c r="N1452">
        <v>51.261634748195398</v>
      </c>
      <c r="O1452">
        <v>50.6555867671266</v>
      </c>
      <c r="P1452">
        <v>-8.9887185371815406E-2</v>
      </c>
      <c r="Q1452">
        <v>0</v>
      </c>
      <c r="R1452">
        <v>0.98463854894374203</v>
      </c>
      <c r="S1452" t="s">
        <v>7854</v>
      </c>
      <c r="T1452" t="s">
        <v>12802</v>
      </c>
      <c r="U1452" t="s">
        <v>12802</v>
      </c>
      <c r="V1452" t="s">
        <v>12802</v>
      </c>
      <c r="W1452" t="s">
        <v>14218</v>
      </c>
      <c r="X1452">
        <v>22</v>
      </c>
      <c r="Y1452" t="s">
        <v>20527</v>
      </c>
      <c r="Z1452" t="s">
        <v>26770</v>
      </c>
      <c r="AA1452">
        <v>0.490537714888864</v>
      </c>
      <c r="AB1452" t="str">
        <f>HYPERLINK("Melting_Curves/meltCurve_O14841_OPLAH.pdf", "Melting_Curves/meltCurve_O14841_OPLAH.pdf")</f>
        <v>Melting_Curves/meltCurve_O14841_OPLAH.pdf</v>
      </c>
    </row>
    <row r="1453" spans="1:28" x14ac:dyDescent="0.25">
      <c r="A1453" t="s">
        <v>1457</v>
      </c>
      <c r="B1453">
        <v>0.99542014353169495</v>
      </c>
      <c r="C1453">
        <v>0.91130538364533997</v>
      </c>
      <c r="D1453">
        <v>0.92886951500288095</v>
      </c>
      <c r="E1453">
        <v>0.66662974382843299</v>
      </c>
      <c r="F1453">
        <v>0.47481031246777999</v>
      </c>
      <c r="G1453">
        <v>0.302219553191031</v>
      </c>
      <c r="H1453">
        <v>0.21040017529500801</v>
      </c>
      <c r="I1453">
        <v>0.158147620555872</v>
      </c>
      <c r="J1453">
        <v>0.21919814858675701</v>
      </c>
      <c r="K1453">
        <v>0.21727680521725601</v>
      </c>
      <c r="L1453">
        <v>778.46909507855401</v>
      </c>
      <c r="M1453">
        <v>16.208725707714599</v>
      </c>
      <c r="N1453">
        <v>49.377220999776</v>
      </c>
      <c r="O1453">
        <v>47.314581615719597</v>
      </c>
      <c r="P1453">
        <v>-7.0323777400591397E-2</v>
      </c>
      <c r="Q1453">
        <v>0.17893810189003001</v>
      </c>
      <c r="R1453">
        <v>0.99006050039640603</v>
      </c>
      <c r="S1453" t="s">
        <v>7855</v>
      </c>
      <c r="T1453" t="s">
        <v>12802</v>
      </c>
      <c r="U1453" t="s">
        <v>12802</v>
      </c>
      <c r="V1453" t="s">
        <v>12802</v>
      </c>
      <c r="W1453" t="s">
        <v>14219</v>
      </c>
      <c r="X1453">
        <v>16</v>
      </c>
      <c r="Y1453" t="s">
        <v>20528</v>
      </c>
      <c r="Z1453" t="s">
        <v>26771</v>
      </c>
      <c r="AA1453">
        <v>0.49657943060074128</v>
      </c>
      <c r="AB1453" t="str">
        <f>HYPERLINK("Melting_Curves/meltCurve_O14867_BACH1.pdf", "Melting_Curves/meltCurve_O14867_BACH1.pdf")</f>
        <v>Melting_Curves/meltCurve_O14867_BACH1.pdf</v>
      </c>
    </row>
    <row r="1454" spans="1:28" x14ac:dyDescent="0.25">
      <c r="A1454" t="s">
        <v>1458</v>
      </c>
      <c r="B1454">
        <v>0.99542014353169495</v>
      </c>
      <c r="C1454">
        <v>0.98519737087248704</v>
      </c>
      <c r="D1454">
        <v>1.0008994165990901</v>
      </c>
      <c r="E1454">
        <v>0.97898234658608496</v>
      </c>
      <c r="F1454">
        <v>0.82746183480194002</v>
      </c>
      <c r="G1454">
        <v>0.67386072625912197</v>
      </c>
      <c r="H1454">
        <v>0.40001240904306801</v>
      </c>
      <c r="I1454">
        <v>0.288584638830719</v>
      </c>
      <c r="J1454">
        <v>0.15302038846087701</v>
      </c>
      <c r="K1454">
        <v>0.15026124915518599</v>
      </c>
      <c r="L1454">
        <v>879.31496195407897</v>
      </c>
      <c r="M1454">
        <v>15.853647850506</v>
      </c>
      <c r="N1454">
        <v>56.112792805195298</v>
      </c>
      <c r="O1454">
        <v>54.604517304680598</v>
      </c>
      <c r="P1454">
        <v>-6.6515417365979698E-2</v>
      </c>
      <c r="Q1454">
        <v>8.3681431848347296E-2</v>
      </c>
      <c r="R1454">
        <v>0.99649788714244902</v>
      </c>
      <c r="S1454" t="s">
        <v>7856</v>
      </c>
      <c r="T1454" t="s">
        <v>12802</v>
      </c>
      <c r="U1454" t="s">
        <v>12802</v>
      </c>
      <c r="V1454" t="s">
        <v>12802</v>
      </c>
      <c r="W1454" t="s">
        <v>14220</v>
      </c>
      <c r="X1454">
        <v>1</v>
      </c>
      <c r="Y1454" t="s">
        <v>20529</v>
      </c>
      <c r="Z1454" t="s">
        <v>26772</v>
      </c>
      <c r="AA1454">
        <v>0.65935056958405502</v>
      </c>
      <c r="AB1454" t="str">
        <f>HYPERLINK("Melting_Curves/meltCurve_O14874_BCKDK.pdf", "Melting_Curves/meltCurve_O14874_BCKDK.pdf")</f>
        <v>Melting_Curves/meltCurve_O14874_BCKDK.pdf</v>
      </c>
    </row>
    <row r="1455" spans="1:28" x14ac:dyDescent="0.25">
      <c r="A1455" t="s">
        <v>1459</v>
      </c>
      <c r="B1455">
        <v>0.99542014353169495</v>
      </c>
      <c r="C1455">
        <v>0.90481489088953204</v>
      </c>
      <c r="D1455">
        <v>0.96250813431906301</v>
      </c>
      <c r="E1455">
        <v>0.75339473343327301</v>
      </c>
      <c r="F1455">
        <v>0.78640295826086704</v>
      </c>
      <c r="G1455">
        <v>0.69384504555247295</v>
      </c>
      <c r="H1455">
        <v>0.29692282135258102</v>
      </c>
      <c r="I1455">
        <v>0.188765286683381</v>
      </c>
      <c r="J1455">
        <v>0.15713699375079401</v>
      </c>
      <c r="K1455">
        <v>0.12191796203425501</v>
      </c>
      <c r="L1455">
        <v>642.16223185671902</v>
      </c>
      <c r="M1455">
        <v>11.697169776943101</v>
      </c>
      <c r="N1455">
        <v>54.8989536111444</v>
      </c>
      <c r="O1455">
        <v>53.368046861001602</v>
      </c>
      <c r="P1455">
        <v>-5.4809401833079703E-2</v>
      </c>
      <c r="Q1455">
        <v>0</v>
      </c>
      <c r="R1455">
        <v>0.95277107277653195</v>
      </c>
      <c r="S1455" t="s">
        <v>7857</v>
      </c>
      <c r="T1455" t="s">
        <v>12802</v>
      </c>
      <c r="U1455" t="s">
        <v>12802</v>
      </c>
      <c r="V1455" t="s">
        <v>12802</v>
      </c>
      <c r="W1455" t="s">
        <v>14221</v>
      </c>
      <c r="X1455">
        <v>4</v>
      </c>
      <c r="Y1455" t="s">
        <v>20530</v>
      </c>
      <c r="Z1455" t="s">
        <v>26773</v>
      </c>
      <c r="AA1455">
        <v>0.61108499745878631</v>
      </c>
      <c r="AB1455" t="str">
        <f>HYPERLINK("Melting_Curves/meltCurve_O14893_2_GEMIN2.pdf", "Melting_Curves/meltCurve_O14893_2_GEMIN2.pdf")</f>
        <v>Melting_Curves/meltCurve_O14893_2_GEMIN2.pdf</v>
      </c>
    </row>
    <row r="1456" spans="1:28" x14ac:dyDescent="0.25">
      <c r="A1456" t="s">
        <v>1460</v>
      </c>
      <c r="B1456">
        <v>0.99542014353169495</v>
      </c>
      <c r="C1456">
        <v>1.0797639482649599</v>
      </c>
      <c r="D1456">
        <v>0.986489886322378</v>
      </c>
      <c r="E1456">
        <v>0.71035550724716201</v>
      </c>
      <c r="F1456">
        <v>0.347874256117018</v>
      </c>
      <c r="G1456">
        <v>0.19352790899901401</v>
      </c>
      <c r="H1456">
        <v>0.13696142661886301</v>
      </c>
      <c r="I1456">
        <v>9.8840281428822799E-2</v>
      </c>
      <c r="J1456">
        <v>0.10403035278636499</v>
      </c>
      <c r="K1456">
        <v>0.103151521941268</v>
      </c>
      <c r="L1456">
        <v>1185.19979124325</v>
      </c>
      <c r="M1456">
        <v>24.615597457746698</v>
      </c>
      <c r="N1456">
        <v>48.634403671161898</v>
      </c>
      <c r="O1456">
        <v>47.833930129926401</v>
      </c>
      <c r="P1456">
        <v>-0.114623894285951</v>
      </c>
      <c r="Q1456">
        <v>0.109047354353094</v>
      </c>
      <c r="R1456">
        <v>0.99401564657820496</v>
      </c>
      <c r="S1456" t="s">
        <v>7858</v>
      </c>
      <c r="T1456" t="s">
        <v>12802</v>
      </c>
      <c r="U1456" t="s">
        <v>12802</v>
      </c>
      <c r="V1456" t="s">
        <v>12802</v>
      </c>
      <c r="W1456" t="s">
        <v>14222</v>
      </c>
      <c r="X1456">
        <v>9</v>
      </c>
      <c r="Y1456" t="s">
        <v>20531</v>
      </c>
      <c r="Z1456" t="s">
        <v>26774</v>
      </c>
      <c r="AA1456">
        <v>0.44797970824976241</v>
      </c>
      <c r="AB1456" t="str">
        <f>HYPERLINK("Melting_Curves/meltCurve_O14908_GIPC1.pdf", "Melting_Curves/meltCurve_O14908_GIPC1.pdf")</f>
        <v>Melting_Curves/meltCurve_O14908_GIPC1.pdf</v>
      </c>
    </row>
    <row r="1457" spans="1:28" x14ac:dyDescent="0.25">
      <c r="A1457" t="s">
        <v>1461</v>
      </c>
      <c r="B1457">
        <v>0.99542014353169495</v>
      </c>
      <c r="C1457">
        <v>0.93333690106560296</v>
      </c>
      <c r="D1457">
        <v>0.88649094459202404</v>
      </c>
      <c r="E1457">
        <v>0.53317869193004397</v>
      </c>
      <c r="F1457">
        <v>0.19475894556473999</v>
      </c>
      <c r="G1457">
        <v>0.11410971287517099</v>
      </c>
      <c r="H1457">
        <v>7.9723744048101897E-2</v>
      </c>
      <c r="I1457">
        <v>6.5620910188287404E-2</v>
      </c>
      <c r="J1457">
        <v>6.03366609048238E-2</v>
      </c>
      <c r="K1457">
        <v>8.6664637958394394E-2</v>
      </c>
      <c r="L1457">
        <v>1090.5391312239201</v>
      </c>
      <c r="M1457">
        <v>23.4417979278393</v>
      </c>
      <c r="N1457">
        <v>46.815679477976801</v>
      </c>
      <c r="O1457">
        <v>46.186558032343903</v>
      </c>
      <c r="P1457">
        <v>-0.118189021531265</v>
      </c>
      <c r="Q1457">
        <v>6.8561319113059405E-2</v>
      </c>
      <c r="R1457">
        <v>0.99781845384042001</v>
      </c>
      <c r="S1457" t="s">
        <v>7859</v>
      </c>
      <c r="T1457" t="s">
        <v>12802</v>
      </c>
      <c r="U1457" t="s">
        <v>12802</v>
      </c>
      <c r="V1457" t="s">
        <v>12802</v>
      </c>
      <c r="W1457" t="s">
        <v>14223</v>
      </c>
      <c r="X1457">
        <v>10</v>
      </c>
      <c r="Y1457" t="s">
        <v>20532</v>
      </c>
      <c r="Z1457" t="s">
        <v>26775</v>
      </c>
      <c r="AA1457">
        <v>0.37302552924415489</v>
      </c>
      <c r="AB1457" t="str">
        <f>HYPERLINK("Melting_Curves/meltCurve_O14920_IKBKB.pdf", "Melting_Curves/meltCurve_O14920_IKBKB.pdf")</f>
        <v>Melting_Curves/meltCurve_O14920_IKBKB.pdf</v>
      </c>
    </row>
    <row r="1458" spans="1:28" x14ac:dyDescent="0.25">
      <c r="A1458" t="s">
        <v>1462</v>
      </c>
      <c r="B1458">
        <v>0.99542014353169495</v>
      </c>
      <c r="C1458">
        <v>0.93950998013999298</v>
      </c>
      <c r="D1458">
        <v>0.86361054255474101</v>
      </c>
      <c r="E1458">
        <v>0.71737844319960398</v>
      </c>
      <c r="F1458">
        <v>0.64673176130984</v>
      </c>
      <c r="G1458">
        <v>0.39190843232056699</v>
      </c>
      <c r="H1458">
        <v>0.33423947548224198</v>
      </c>
      <c r="I1458">
        <v>0.27268361221783799</v>
      </c>
      <c r="J1458">
        <v>0.35491094995031502</v>
      </c>
      <c r="K1458">
        <v>0.34605831322806102</v>
      </c>
      <c r="L1458">
        <v>628.80622317350299</v>
      </c>
      <c r="M1458">
        <v>12.9738600614281</v>
      </c>
      <c r="N1458">
        <v>51.827566216392199</v>
      </c>
      <c r="O1458">
        <v>47.359007263880002</v>
      </c>
      <c r="P1458">
        <v>-4.9017584711224402E-2</v>
      </c>
      <c r="Q1458">
        <v>0.28440371855154001</v>
      </c>
      <c r="R1458">
        <v>0.97376717881086094</v>
      </c>
      <c r="S1458" t="s">
        <v>7860</v>
      </c>
      <c r="T1458" t="s">
        <v>12802</v>
      </c>
      <c r="U1458" t="s">
        <v>12802</v>
      </c>
      <c r="V1458" t="s">
        <v>12802</v>
      </c>
      <c r="W1458" t="s">
        <v>14224</v>
      </c>
      <c r="X1458">
        <v>3</v>
      </c>
      <c r="Y1458" t="s">
        <v>20533</v>
      </c>
      <c r="Z1458" t="s">
        <v>26776</v>
      </c>
      <c r="AA1458">
        <v>0.57748452397182226</v>
      </c>
      <c r="AB1458" t="str">
        <f>HYPERLINK("Melting_Curves/meltCurve_O14925_TIMM23.pdf", "Melting_Curves/meltCurve_O14925_TIMM23.pdf")</f>
        <v>Melting_Curves/meltCurve_O14925_TIMM23.pdf</v>
      </c>
    </row>
    <row r="1459" spans="1:28" x14ac:dyDescent="0.25">
      <c r="A1459" t="s">
        <v>1463</v>
      </c>
      <c r="B1459">
        <v>0.99542014353169495</v>
      </c>
      <c r="C1459">
        <v>0.95269693117370702</v>
      </c>
      <c r="D1459">
        <v>0.93213825825224095</v>
      </c>
      <c r="E1459">
        <v>0.793670642053387</v>
      </c>
      <c r="F1459">
        <v>0.44707377179743601</v>
      </c>
      <c r="G1459">
        <v>0.121122503844745</v>
      </c>
      <c r="H1459">
        <v>6.6102928090569599E-2</v>
      </c>
      <c r="I1459">
        <v>4.1670662290020602E-2</v>
      </c>
      <c r="J1459">
        <v>4.5126433708582298E-2</v>
      </c>
      <c r="K1459">
        <v>4.5056235128914303E-2</v>
      </c>
      <c r="L1459">
        <v>1116.14653794985</v>
      </c>
      <c r="M1459">
        <v>22.624460330782</v>
      </c>
      <c r="N1459">
        <v>49.468529420875903</v>
      </c>
      <c r="O1459">
        <v>48.953031833433698</v>
      </c>
      <c r="P1459">
        <v>-0.112087510429907</v>
      </c>
      <c r="Q1459">
        <v>2.9914431731940298E-2</v>
      </c>
      <c r="R1459">
        <v>0.99675387656510395</v>
      </c>
      <c r="S1459" t="s">
        <v>7861</v>
      </c>
      <c r="T1459" t="s">
        <v>12802</v>
      </c>
      <c r="U1459" t="s">
        <v>12802</v>
      </c>
      <c r="V1459" t="s">
        <v>12802</v>
      </c>
      <c r="W1459" t="s">
        <v>14225</v>
      </c>
      <c r="X1459">
        <v>21</v>
      </c>
      <c r="Y1459" t="s">
        <v>20534</v>
      </c>
      <c r="Z1459" t="s">
        <v>26777</v>
      </c>
      <c r="AA1459">
        <v>0.43892240370790908</v>
      </c>
      <c r="AB1459" t="str">
        <f>HYPERLINK("Melting_Curves/meltCurve_O14929_HAT1.pdf", "Melting_Curves/meltCurve_O14929_HAT1.pdf")</f>
        <v>Melting_Curves/meltCurve_O14929_HAT1.pdf</v>
      </c>
    </row>
    <row r="1460" spans="1:28" x14ac:dyDescent="0.25">
      <c r="A1460" t="s">
        <v>1464</v>
      </c>
      <c r="B1460">
        <v>0.99542014353169495</v>
      </c>
      <c r="C1460">
        <v>0.90890356670166506</v>
      </c>
      <c r="D1460">
        <v>0.79456744279256797</v>
      </c>
      <c r="E1460">
        <v>0.83575007348130703</v>
      </c>
      <c r="F1460">
        <v>0.76819829206439805</v>
      </c>
      <c r="G1460">
        <v>0.54557560230686997</v>
      </c>
      <c r="H1460">
        <v>0.383377346681961</v>
      </c>
      <c r="I1460">
        <v>0.33874135981633902</v>
      </c>
      <c r="J1460">
        <v>0.37832464709321201</v>
      </c>
      <c r="K1460">
        <v>0.44227533660942397</v>
      </c>
      <c r="L1460">
        <v>489.51047254980801</v>
      </c>
      <c r="M1460">
        <v>9.6347652275709095</v>
      </c>
      <c r="N1460">
        <v>55.870336902143102</v>
      </c>
      <c r="O1460">
        <v>48.7626901277279</v>
      </c>
      <c r="P1460">
        <v>-3.5031764069985101E-2</v>
      </c>
      <c r="Q1460">
        <v>0.29119769406044199</v>
      </c>
      <c r="R1460">
        <v>0.91918672659380696</v>
      </c>
      <c r="S1460" t="s">
        <v>7862</v>
      </c>
      <c r="T1460" t="s">
        <v>12802</v>
      </c>
      <c r="U1460" t="s">
        <v>12802</v>
      </c>
      <c r="V1460" t="s">
        <v>12802</v>
      </c>
      <c r="W1460" t="s">
        <v>14226</v>
      </c>
      <c r="X1460">
        <v>1</v>
      </c>
      <c r="Y1460" t="s">
        <v>20535</v>
      </c>
      <c r="Z1460" t="s">
        <v>26778</v>
      </c>
      <c r="AA1460">
        <v>0.64013232539595977</v>
      </c>
      <c r="AB1460" t="str">
        <f>HYPERLINK("Melting_Curves/meltCurve_O14944_EREG.pdf", "Melting_Curves/meltCurve_O14944_EREG.pdf")</f>
        <v>Melting_Curves/meltCurve_O14944_EREG.pdf</v>
      </c>
    </row>
    <row r="1461" spans="1:28" x14ac:dyDescent="0.25">
      <c r="A1461" t="s">
        <v>1465</v>
      </c>
      <c r="B1461">
        <v>0.99542014353169495</v>
      </c>
      <c r="C1461">
        <v>0.74383411788215603</v>
      </c>
      <c r="D1461">
        <v>0.66540364622031301</v>
      </c>
      <c r="E1461">
        <v>0.389308341632288</v>
      </c>
      <c r="F1461">
        <v>0.35959112374207503</v>
      </c>
      <c r="G1461">
        <v>0.183849811970516</v>
      </c>
      <c r="H1461">
        <v>0.16381107092703001</v>
      </c>
      <c r="I1461">
        <v>0.14550106945476199</v>
      </c>
      <c r="J1461">
        <v>0.25343124566036201</v>
      </c>
      <c r="K1461">
        <v>0.25556797749231103</v>
      </c>
      <c r="L1461">
        <v>614.81752516618997</v>
      </c>
      <c r="M1461">
        <v>14.1664716741214</v>
      </c>
      <c r="N1461">
        <v>44.924082323278</v>
      </c>
      <c r="O1461">
        <v>42.562149841157201</v>
      </c>
      <c r="P1461">
        <v>-6.7338543305865403E-2</v>
      </c>
      <c r="Q1461">
        <v>0.19084691827733899</v>
      </c>
      <c r="R1461">
        <v>0.95798084609896295</v>
      </c>
      <c r="S1461" t="s">
        <v>7863</v>
      </c>
      <c r="T1461" t="s">
        <v>12802</v>
      </c>
      <c r="U1461" t="s">
        <v>12802</v>
      </c>
      <c r="V1461" t="s">
        <v>12802</v>
      </c>
      <c r="W1461" t="s">
        <v>14227</v>
      </c>
      <c r="X1461">
        <v>7</v>
      </c>
      <c r="Y1461" t="s">
        <v>20536</v>
      </c>
      <c r="Z1461" t="s">
        <v>26779</v>
      </c>
      <c r="AA1461">
        <v>0.38690001583327688</v>
      </c>
      <c r="AB1461" t="str">
        <f>HYPERLINK("Melting_Curves/meltCurve_O14949_UQCRQ.pdf", "Melting_Curves/meltCurve_O14949_UQCRQ.pdf")</f>
        <v>Melting_Curves/meltCurve_O14949_UQCRQ.pdf</v>
      </c>
    </row>
    <row r="1462" spans="1:28" x14ac:dyDescent="0.25">
      <c r="A1462" t="s">
        <v>1466</v>
      </c>
      <c r="B1462">
        <v>0.99542014353169495</v>
      </c>
      <c r="C1462">
        <v>0.98683751673110398</v>
      </c>
      <c r="D1462">
        <v>0.95184132617194195</v>
      </c>
      <c r="E1462">
        <v>0.78444901129016997</v>
      </c>
      <c r="F1462">
        <v>0.39139201325117001</v>
      </c>
      <c r="G1462">
        <v>0.13205202492380599</v>
      </c>
      <c r="H1462">
        <v>7.7607313983183601E-2</v>
      </c>
      <c r="I1462">
        <v>5.7351171202207001E-2</v>
      </c>
      <c r="J1462">
        <v>6.2985183070379799E-2</v>
      </c>
      <c r="K1462">
        <v>7.4800926619461E-2</v>
      </c>
      <c r="L1462">
        <v>1206.7649160810599</v>
      </c>
      <c r="M1462">
        <v>24.680652081918499</v>
      </c>
      <c r="N1462">
        <v>49.138066669043198</v>
      </c>
      <c r="O1462">
        <v>48.577570311952996</v>
      </c>
      <c r="P1462">
        <v>-0.119724710338539</v>
      </c>
      <c r="Q1462">
        <v>5.7423083616383298E-2</v>
      </c>
      <c r="R1462">
        <v>0.99935889319625304</v>
      </c>
      <c r="S1462" t="s">
        <v>7864</v>
      </c>
      <c r="T1462" t="s">
        <v>12802</v>
      </c>
      <c r="U1462" t="s">
        <v>12802</v>
      </c>
      <c r="V1462" t="s">
        <v>12802</v>
      </c>
      <c r="W1462" t="s">
        <v>14228</v>
      </c>
      <c r="X1462">
        <v>22</v>
      </c>
      <c r="Y1462" t="s">
        <v>20537</v>
      </c>
      <c r="Z1462" t="s">
        <v>26780</v>
      </c>
      <c r="AA1462">
        <v>0.4395002020481063</v>
      </c>
      <c r="AB1462" t="str">
        <f>HYPERLINK("Melting_Curves/meltCurve_O14964_HGS.pdf", "Melting_Curves/meltCurve_O14964_HGS.pdf")</f>
        <v>Melting_Curves/meltCurve_O14964_HGS.pdf</v>
      </c>
    </row>
    <row r="1463" spans="1:28" x14ac:dyDescent="0.25">
      <c r="A1463" t="s">
        <v>1467</v>
      </c>
      <c r="B1463">
        <v>0.99542014353169495</v>
      </c>
      <c r="C1463">
        <v>0.9570714084802</v>
      </c>
      <c r="D1463">
        <v>0.923152950635448</v>
      </c>
      <c r="E1463">
        <v>0.77426722248429802</v>
      </c>
      <c r="F1463">
        <v>0.56148486904375206</v>
      </c>
      <c r="G1463">
        <v>0.30762773406527399</v>
      </c>
      <c r="H1463">
        <v>8.9029520364732107E-2</v>
      </c>
      <c r="I1463">
        <v>5.0039858233196302E-2</v>
      </c>
      <c r="J1463">
        <v>4.7106831949967801E-2</v>
      </c>
      <c r="K1463">
        <v>5.017924652933E-2</v>
      </c>
      <c r="L1463">
        <v>780.33861738278301</v>
      </c>
      <c r="M1463">
        <v>15.407218193150801</v>
      </c>
      <c r="N1463">
        <v>50.647601218049999</v>
      </c>
      <c r="O1463">
        <v>49.817382996865</v>
      </c>
      <c r="P1463">
        <v>-7.7325517052368495E-2</v>
      </c>
      <c r="Q1463">
        <v>0</v>
      </c>
      <c r="R1463">
        <v>0.99589922873594205</v>
      </c>
      <c r="S1463" t="s">
        <v>7865</v>
      </c>
      <c r="T1463" t="s">
        <v>12802</v>
      </c>
      <c r="U1463" t="s">
        <v>12802</v>
      </c>
      <c r="V1463" t="s">
        <v>12802</v>
      </c>
      <c r="W1463" t="s">
        <v>14229</v>
      </c>
      <c r="X1463">
        <v>9</v>
      </c>
      <c r="Y1463" t="s">
        <v>20538</v>
      </c>
      <c r="Z1463" t="s">
        <v>26781</v>
      </c>
      <c r="AA1463">
        <v>0.47460612789636902</v>
      </c>
      <c r="AB1463" t="str">
        <f>HYPERLINK("Melting_Curves/meltCurve_O14965_AURKA.pdf", "Melting_Curves/meltCurve_O14965_AURKA.pdf")</f>
        <v>Melting_Curves/meltCurve_O14965_AURKA.pdf</v>
      </c>
    </row>
    <row r="1464" spans="1:28" x14ac:dyDescent="0.25">
      <c r="A1464" t="s">
        <v>1468</v>
      </c>
      <c r="B1464">
        <v>0.99542014353169495</v>
      </c>
      <c r="C1464">
        <v>0.95519723940232604</v>
      </c>
      <c r="D1464">
        <v>1.0254259556447001</v>
      </c>
      <c r="E1464">
        <v>0.773213962972361</v>
      </c>
      <c r="F1464">
        <v>0.22349339406707799</v>
      </c>
      <c r="G1464">
        <v>0.102780782737404</v>
      </c>
      <c r="H1464">
        <v>6.5184625673774393E-2</v>
      </c>
      <c r="I1464">
        <v>4.6721386406670701E-2</v>
      </c>
      <c r="J1464">
        <v>5.5580971013628799E-2</v>
      </c>
      <c r="K1464">
        <v>6.4707621218884695E-2</v>
      </c>
      <c r="L1464">
        <v>1767.51707343009</v>
      </c>
      <c r="M1464">
        <v>36.767577056799297</v>
      </c>
      <c r="N1464">
        <v>48.247287351436398</v>
      </c>
      <c r="O1464">
        <v>47.931166554688403</v>
      </c>
      <c r="P1464">
        <v>-0.17982881394602199</v>
      </c>
      <c r="Q1464">
        <v>6.2284726414037997E-2</v>
      </c>
      <c r="R1464">
        <v>0.99762699448549397</v>
      </c>
      <c r="S1464" t="s">
        <v>7866</v>
      </c>
      <c r="T1464" t="s">
        <v>12802</v>
      </c>
      <c r="U1464" t="s">
        <v>12802</v>
      </c>
      <c r="V1464" t="s">
        <v>12802</v>
      </c>
      <c r="W1464" t="s">
        <v>14230</v>
      </c>
      <c r="X1464">
        <v>33</v>
      </c>
      <c r="Y1464" t="s">
        <v>20539</v>
      </c>
      <c r="Z1464" t="s">
        <v>26782</v>
      </c>
      <c r="AA1464">
        <v>0.41207914233895432</v>
      </c>
      <c r="AB1464" t="str">
        <f>HYPERLINK("Melting_Curves/meltCurve_O14974_4_PPP1R12A.pdf", "Melting_Curves/meltCurve_O14974_4_PPP1R12A.pdf")</f>
        <v>Melting_Curves/meltCurve_O14974_4_PPP1R12A.pdf</v>
      </c>
    </row>
    <row r="1465" spans="1:28" x14ac:dyDescent="0.25">
      <c r="A1465" t="s">
        <v>1469</v>
      </c>
      <c r="B1465">
        <v>0.99542014353169495</v>
      </c>
      <c r="C1465">
        <v>0.92430152344870598</v>
      </c>
      <c r="D1465">
        <v>0.880202484692855</v>
      </c>
      <c r="E1465">
        <v>0.66648892379058999</v>
      </c>
      <c r="F1465">
        <v>0.230966087399643</v>
      </c>
      <c r="G1465">
        <v>9.7572790283965594E-2</v>
      </c>
      <c r="H1465">
        <v>4.2678668046936999E-2</v>
      </c>
      <c r="I1465">
        <v>2.4615178897241501E-2</v>
      </c>
      <c r="J1465">
        <v>2.6639763985874601E-2</v>
      </c>
      <c r="K1465">
        <v>2.2988782241995399E-2</v>
      </c>
      <c r="L1465">
        <v>1034.9277881506</v>
      </c>
      <c r="M1465">
        <v>21.716351787905801</v>
      </c>
      <c r="N1465">
        <v>47.734710010833197</v>
      </c>
      <c r="O1465">
        <v>47.258043696455303</v>
      </c>
      <c r="P1465">
        <v>-0.112879495229574</v>
      </c>
      <c r="Q1465">
        <v>1.7452545878105699E-2</v>
      </c>
      <c r="R1465">
        <v>0.99526157542203597</v>
      </c>
      <c r="S1465" t="s">
        <v>7867</v>
      </c>
      <c r="T1465" t="s">
        <v>12802</v>
      </c>
      <c r="U1465" t="s">
        <v>12802</v>
      </c>
      <c r="V1465" t="s">
        <v>12802</v>
      </c>
      <c r="W1465" t="s">
        <v>14231</v>
      </c>
      <c r="X1465">
        <v>9</v>
      </c>
      <c r="Y1465" t="s">
        <v>20540</v>
      </c>
      <c r="Z1465" t="s">
        <v>26783</v>
      </c>
      <c r="AA1465">
        <v>0.37746999581929008</v>
      </c>
      <c r="AB1465" t="str">
        <f>HYPERLINK("Melting_Curves/meltCurve_O14975_2_SLC27A2.pdf", "Melting_Curves/meltCurve_O14975_2_SLC27A2.pdf")</f>
        <v>Melting_Curves/meltCurve_O14975_2_SLC27A2.pdf</v>
      </c>
    </row>
    <row r="1466" spans="1:28" x14ac:dyDescent="0.25">
      <c r="A1466" t="s">
        <v>1470</v>
      </c>
      <c r="B1466">
        <v>0.99542014353169495</v>
      </c>
      <c r="C1466">
        <v>0.97726903926488795</v>
      </c>
      <c r="D1466">
        <v>0.92041831508620398</v>
      </c>
      <c r="E1466">
        <v>0.53893458833904695</v>
      </c>
      <c r="F1466">
        <v>0.175057717323472</v>
      </c>
      <c r="G1466">
        <v>9.1172419835150995E-2</v>
      </c>
      <c r="H1466">
        <v>5.7007536904617198E-2</v>
      </c>
      <c r="I1466">
        <v>4.1190395169802899E-2</v>
      </c>
      <c r="J1466">
        <v>5.1762376313386503E-2</v>
      </c>
      <c r="K1466">
        <v>3.8177785085531699E-2</v>
      </c>
      <c r="L1466">
        <v>1238.68216015899</v>
      </c>
      <c r="M1466">
        <v>26.508890343572102</v>
      </c>
      <c r="N1466">
        <v>46.9034188939169</v>
      </c>
      <c r="O1466">
        <v>46.463565248652003</v>
      </c>
      <c r="P1466">
        <v>-0.13586801644487501</v>
      </c>
      <c r="Q1466">
        <v>4.7437279478660499E-2</v>
      </c>
      <c r="R1466">
        <v>0.99959224569291105</v>
      </c>
      <c r="S1466" t="s">
        <v>7868</v>
      </c>
      <c r="T1466" t="s">
        <v>12802</v>
      </c>
      <c r="U1466" t="s">
        <v>12802</v>
      </c>
      <c r="V1466" t="s">
        <v>12802</v>
      </c>
      <c r="W1466" t="s">
        <v>14232</v>
      </c>
      <c r="X1466">
        <v>18</v>
      </c>
      <c r="Y1466" t="s">
        <v>20541</v>
      </c>
      <c r="Z1466" t="s">
        <v>26784</v>
      </c>
      <c r="AA1466">
        <v>0.36336901992939791</v>
      </c>
      <c r="AB1466" t="str">
        <f>HYPERLINK("Melting_Curves/meltCurve_O14976_GAK.pdf", "Melting_Curves/meltCurve_O14976_GAK.pdf")</f>
        <v>Melting_Curves/meltCurve_O14976_GAK.pdf</v>
      </c>
    </row>
    <row r="1467" spans="1:28" x14ac:dyDescent="0.25">
      <c r="A1467" t="s">
        <v>1471</v>
      </c>
      <c r="B1467">
        <v>0.99542014353169495</v>
      </c>
      <c r="C1467">
        <v>0.917948799893199</v>
      </c>
      <c r="D1467">
        <v>0.92528479274165298</v>
      </c>
      <c r="E1467">
        <v>0.89557105705705398</v>
      </c>
      <c r="F1467">
        <v>0.72511380969014005</v>
      </c>
      <c r="G1467">
        <v>0.51833422226083203</v>
      </c>
      <c r="H1467">
        <v>0.35108501642998602</v>
      </c>
      <c r="I1467">
        <v>0.27574964898941701</v>
      </c>
      <c r="J1467">
        <v>0.48890249294969601</v>
      </c>
      <c r="K1467">
        <v>0.80370856606139396</v>
      </c>
      <c r="L1467">
        <v>1447.8694707340601</v>
      </c>
      <c r="M1467">
        <v>29.2315781235211</v>
      </c>
      <c r="N1467">
        <v>55.625076623691001</v>
      </c>
      <c r="O1467">
        <v>49.300937599239703</v>
      </c>
      <c r="P1467">
        <v>-7.7129283219618802E-2</v>
      </c>
      <c r="Q1467">
        <v>0.47966978524097198</v>
      </c>
      <c r="R1467">
        <v>0.70627928267158302</v>
      </c>
      <c r="S1467" t="s">
        <v>7869</v>
      </c>
      <c r="T1467" t="s">
        <v>12802</v>
      </c>
      <c r="U1467" t="s">
        <v>12802</v>
      </c>
      <c r="V1467" t="s">
        <v>12802</v>
      </c>
      <c r="W1467" t="s">
        <v>14233</v>
      </c>
      <c r="X1467">
        <v>8</v>
      </c>
      <c r="Y1467" t="s">
        <v>20542</v>
      </c>
      <c r="Z1467" t="s">
        <v>26785</v>
      </c>
      <c r="AA1467">
        <v>0.70034656794587968</v>
      </c>
      <c r="AB1467" t="str">
        <f>HYPERLINK("Melting_Curves/meltCurve_O14979_3_HNRPDL.pdf", "Melting_Curves/meltCurve_O14979_3_HNRPDL.pdf")</f>
        <v>Melting_Curves/meltCurve_O14979_3_HNRPDL.pdf</v>
      </c>
    </row>
    <row r="1468" spans="1:28" x14ac:dyDescent="0.25">
      <c r="A1468" t="s">
        <v>1472</v>
      </c>
      <c r="B1468">
        <v>0.99542014353169495</v>
      </c>
      <c r="C1468">
        <v>0.97750198909338804</v>
      </c>
      <c r="D1468">
        <v>0.97612094081377099</v>
      </c>
      <c r="E1468">
        <v>0.74650335271840995</v>
      </c>
      <c r="F1468">
        <v>0.15340956366224701</v>
      </c>
      <c r="G1468">
        <v>9.8200760547813196E-2</v>
      </c>
      <c r="H1468">
        <v>6.09754167925355E-2</v>
      </c>
      <c r="I1468">
        <v>4.5042289298526397E-2</v>
      </c>
      <c r="J1468">
        <v>4.7907852461317797E-2</v>
      </c>
      <c r="K1468">
        <v>5.5965893470279103E-2</v>
      </c>
      <c r="L1468">
        <v>2011.68986217832</v>
      </c>
      <c r="M1468">
        <v>42.186209057254899</v>
      </c>
      <c r="N1468">
        <v>47.827658021966698</v>
      </c>
      <c r="O1468">
        <v>47.5791978871871</v>
      </c>
      <c r="P1468">
        <v>-0.208642030452827</v>
      </c>
      <c r="Q1468">
        <v>5.8744512804903698E-2</v>
      </c>
      <c r="R1468">
        <v>0.99881224677772995</v>
      </c>
      <c r="S1468" t="s">
        <v>7870</v>
      </c>
      <c r="T1468" t="s">
        <v>12802</v>
      </c>
      <c r="U1468" t="s">
        <v>12802</v>
      </c>
      <c r="V1468" t="s">
        <v>12802</v>
      </c>
      <c r="W1468" t="s">
        <v>14234</v>
      </c>
      <c r="X1468">
        <v>33</v>
      </c>
      <c r="Y1468" t="s">
        <v>20543</v>
      </c>
      <c r="Z1468" t="s">
        <v>26786</v>
      </c>
      <c r="AA1468">
        <v>0.39680578417501089</v>
      </c>
      <c r="AB1468" t="str">
        <f>HYPERLINK("Melting_Curves/meltCurve_O14980_XPO1.pdf", "Melting_Curves/meltCurve_O14980_XPO1.pdf")</f>
        <v>Melting_Curves/meltCurve_O14980_XPO1.pdf</v>
      </c>
    </row>
    <row r="1469" spans="1:28" x14ac:dyDescent="0.25">
      <c r="A1469" t="s">
        <v>1473</v>
      </c>
      <c r="B1469">
        <v>0.99542014353169495</v>
      </c>
      <c r="C1469">
        <v>0.96047139371860302</v>
      </c>
      <c r="D1469">
        <v>0.94328677183460097</v>
      </c>
      <c r="E1469">
        <v>0.71219094495888702</v>
      </c>
      <c r="F1469">
        <v>0.25937874493343899</v>
      </c>
      <c r="G1469">
        <v>9.9247577970450002E-2</v>
      </c>
      <c r="H1469">
        <v>5.64093246756949E-2</v>
      </c>
      <c r="I1469">
        <v>3.9816493154801798E-2</v>
      </c>
      <c r="J1469">
        <v>4.9092405991362401E-2</v>
      </c>
      <c r="K1469">
        <v>4.5027463923495402E-2</v>
      </c>
      <c r="L1469">
        <v>1283.3441655623899</v>
      </c>
      <c r="M1469">
        <v>26.745502799128801</v>
      </c>
      <c r="N1469">
        <v>48.147778704426599</v>
      </c>
      <c r="O1469">
        <v>47.717705474402003</v>
      </c>
      <c r="P1469">
        <v>-0.13401644355756701</v>
      </c>
      <c r="Q1469">
        <v>4.35937679907396E-2</v>
      </c>
      <c r="R1469">
        <v>0.998932064631466</v>
      </c>
      <c r="S1469" t="s">
        <v>7871</v>
      </c>
      <c r="T1469" t="s">
        <v>12802</v>
      </c>
      <c r="U1469" t="s">
        <v>12802</v>
      </c>
      <c r="V1469" t="s">
        <v>12802</v>
      </c>
      <c r="W1469" t="s">
        <v>14235</v>
      </c>
      <c r="X1469">
        <v>11</v>
      </c>
      <c r="Y1469" t="s">
        <v>20544</v>
      </c>
      <c r="Z1469" t="s">
        <v>26787</v>
      </c>
      <c r="AA1469">
        <v>0.40087753343086863</v>
      </c>
      <c r="AB1469" t="str">
        <f>HYPERLINK("Melting_Curves/meltCurve_O14981_BTAF1.pdf", "Melting_Curves/meltCurve_O14981_BTAF1.pdf")</f>
        <v>Melting_Curves/meltCurve_O14981_BTAF1.pdf</v>
      </c>
    </row>
    <row r="1470" spans="1:28" x14ac:dyDescent="0.25">
      <c r="A1470" t="s">
        <v>1474</v>
      </c>
      <c r="B1470">
        <v>0.99542014353169495</v>
      </c>
      <c r="C1470">
        <v>0.83638317615322899</v>
      </c>
      <c r="D1470">
        <v>0.834846473268816</v>
      </c>
      <c r="E1470">
        <v>0.48268585964904198</v>
      </c>
      <c r="F1470">
        <v>0.33673898920175499</v>
      </c>
      <c r="G1470">
        <v>0.20492599453087601</v>
      </c>
      <c r="H1470">
        <v>0.116703838540038</v>
      </c>
      <c r="I1470">
        <v>7.9027904898778395E-2</v>
      </c>
      <c r="J1470">
        <v>9.1568798269197393E-2</v>
      </c>
      <c r="K1470">
        <v>0.117390659804299</v>
      </c>
      <c r="L1470">
        <v>638.26619304523604</v>
      </c>
      <c r="M1470">
        <v>13.748681299811601</v>
      </c>
      <c r="N1470">
        <v>46.959048617099199</v>
      </c>
      <c r="O1470">
        <v>45.474729993396402</v>
      </c>
      <c r="P1470">
        <v>-7.0112575552357004E-2</v>
      </c>
      <c r="Q1470">
        <v>7.25226083376877E-2</v>
      </c>
      <c r="R1470">
        <v>0.98684841757877895</v>
      </c>
      <c r="S1470" t="s">
        <v>7872</v>
      </c>
      <c r="T1470" t="s">
        <v>12802</v>
      </c>
      <c r="U1470" t="s">
        <v>12802</v>
      </c>
      <c r="V1470" t="s">
        <v>12802</v>
      </c>
      <c r="W1470" t="s">
        <v>14236</v>
      </c>
      <c r="X1470">
        <v>13</v>
      </c>
      <c r="Y1470" t="s">
        <v>20545</v>
      </c>
      <c r="Z1470" t="s">
        <v>26788</v>
      </c>
      <c r="AA1470">
        <v>0.38865979073539331</v>
      </c>
      <c r="AB1470" t="str">
        <f>HYPERLINK("Melting_Curves/meltCurve_O15014_ZNF609.pdf", "Melting_Curves/meltCurve_O15014_ZNF609.pdf")</f>
        <v>Melting_Curves/meltCurve_O15014_ZNF609.pdf</v>
      </c>
    </row>
    <row r="1471" spans="1:28" x14ac:dyDescent="0.25">
      <c r="A1471" t="s">
        <v>1475</v>
      </c>
      <c r="B1471">
        <v>0.99542014353169495</v>
      </c>
      <c r="C1471">
        <v>0.89732597074572695</v>
      </c>
      <c r="D1471">
        <v>0.57921153412655901</v>
      </c>
      <c r="E1471">
        <v>0.32727576564604499</v>
      </c>
      <c r="F1471">
        <v>0.16361862896898099</v>
      </c>
      <c r="G1471">
        <v>7.1963904186629901E-2</v>
      </c>
      <c r="H1471">
        <v>6.2838405891634003E-2</v>
      </c>
      <c r="I1471">
        <v>5.7631115251928197E-2</v>
      </c>
      <c r="J1471">
        <v>4.8021491729179702E-2</v>
      </c>
      <c r="K1471">
        <v>6.1642264380539998E-2</v>
      </c>
      <c r="L1471">
        <v>784.02024411871798</v>
      </c>
      <c r="M1471">
        <v>17.833809522977798</v>
      </c>
      <c r="N1471">
        <v>44.237655336020303</v>
      </c>
      <c r="O1471">
        <v>43.420984477336702</v>
      </c>
      <c r="P1471">
        <v>-9.7295707123472505E-2</v>
      </c>
      <c r="Q1471">
        <v>5.2483052677481302E-2</v>
      </c>
      <c r="R1471">
        <v>0.99635636188266097</v>
      </c>
      <c r="S1471" t="s">
        <v>7873</v>
      </c>
      <c r="T1471" t="s">
        <v>12802</v>
      </c>
      <c r="U1471" t="s">
        <v>12802</v>
      </c>
      <c r="V1471" t="s">
        <v>12802</v>
      </c>
      <c r="W1471" t="s">
        <v>14237</v>
      </c>
      <c r="X1471">
        <v>11</v>
      </c>
      <c r="Y1471" t="s">
        <v>20546</v>
      </c>
      <c r="Z1471" t="s">
        <v>26789</v>
      </c>
      <c r="AA1471">
        <v>0.28869680493660937</v>
      </c>
      <c r="AB1471" t="str">
        <f>HYPERLINK("Melting_Curves/meltCurve_O15020_2_SPTBN2.pdf", "Melting_Curves/meltCurve_O15020_2_SPTBN2.pdf")</f>
        <v>Melting_Curves/meltCurve_O15020_2_SPTBN2.pdf</v>
      </c>
    </row>
    <row r="1472" spans="1:28" x14ac:dyDescent="0.25">
      <c r="A1472" t="s">
        <v>1476</v>
      </c>
      <c r="B1472">
        <v>0.99542014353169495</v>
      </c>
      <c r="C1472">
        <v>0.95268511318385496</v>
      </c>
      <c r="D1472">
        <v>0.98193010067791797</v>
      </c>
      <c r="E1472">
        <v>0.82125101361106201</v>
      </c>
      <c r="F1472">
        <v>0.66460725307949697</v>
      </c>
      <c r="G1472">
        <v>0.201649059063264</v>
      </c>
      <c r="H1472">
        <v>0.14678747332565101</v>
      </c>
      <c r="I1472">
        <v>0.13674950469597</v>
      </c>
      <c r="J1472">
        <v>0.183645736585863</v>
      </c>
      <c r="K1472">
        <v>0.207572995758496</v>
      </c>
      <c r="L1472">
        <v>1417.2739820559</v>
      </c>
      <c r="M1472">
        <v>28.151594260197701</v>
      </c>
      <c r="N1472">
        <v>50.998589849767903</v>
      </c>
      <c r="O1472">
        <v>50.092361027638198</v>
      </c>
      <c r="P1472">
        <v>-0.11920556330050799</v>
      </c>
      <c r="Q1472">
        <v>0.15155926231466599</v>
      </c>
      <c r="R1472">
        <v>0.979509654578958</v>
      </c>
      <c r="S1472" t="s">
        <v>7874</v>
      </c>
      <c r="T1472" t="s">
        <v>12802</v>
      </c>
      <c r="U1472" t="s">
        <v>12802</v>
      </c>
      <c r="V1472" t="s">
        <v>12802</v>
      </c>
      <c r="W1472" t="s">
        <v>14238</v>
      </c>
      <c r="X1472">
        <v>23</v>
      </c>
      <c r="Y1472" t="s">
        <v>20547</v>
      </c>
      <c r="Z1472" t="s">
        <v>26790</v>
      </c>
      <c r="AA1472">
        <v>0.53488391349897735</v>
      </c>
      <c r="AB1472" t="str">
        <f>HYPERLINK("Melting_Curves/meltCurve_O15031_PLXNB2.pdf", "Melting_Curves/meltCurve_O15031_PLXNB2.pdf")</f>
        <v>Melting_Curves/meltCurve_O15031_PLXNB2.pdf</v>
      </c>
    </row>
    <row r="1473" spans="1:28" x14ac:dyDescent="0.25">
      <c r="A1473" t="s">
        <v>1477</v>
      </c>
      <c r="B1473">
        <v>0.99542014353169495</v>
      </c>
      <c r="C1473">
        <v>0.83589483574229195</v>
      </c>
      <c r="D1473">
        <v>0.62710118275048299</v>
      </c>
      <c r="E1473">
        <v>0.27066025076123101</v>
      </c>
      <c r="F1473">
        <v>0.194852995654449</v>
      </c>
      <c r="G1473">
        <v>0.12824361001897999</v>
      </c>
      <c r="H1473">
        <v>0.101328988014284</v>
      </c>
      <c r="I1473">
        <v>7.3378273431249405E-2</v>
      </c>
      <c r="J1473">
        <v>7.9854622833519698E-2</v>
      </c>
      <c r="K1473">
        <v>7.1073949231324193E-2</v>
      </c>
      <c r="L1473">
        <v>785.45264774081704</v>
      </c>
      <c r="M1473">
        <v>17.984754464147802</v>
      </c>
      <c r="N1473">
        <v>44.112839069256701</v>
      </c>
      <c r="O1473">
        <v>43.144031959112297</v>
      </c>
      <c r="P1473">
        <v>-9.5668591478819107E-2</v>
      </c>
      <c r="Q1473">
        <v>8.20393016825057E-2</v>
      </c>
      <c r="R1473">
        <v>0.99556320716577495</v>
      </c>
      <c r="S1473" t="s">
        <v>7875</v>
      </c>
      <c r="T1473" t="s">
        <v>12802</v>
      </c>
      <c r="U1473" t="s">
        <v>12802</v>
      </c>
      <c r="V1473" t="s">
        <v>12802</v>
      </c>
      <c r="W1473" t="s">
        <v>14239</v>
      </c>
      <c r="X1473">
        <v>8</v>
      </c>
      <c r="Y1473" t="s">
        <v>20548</v>
      </c>
      <c r="Z1473" t="s">
        <v>26791</v>
      </c>
      <c r="AA1473">
        <v>0.30193127285039162</v>
      </c>
      <c r="AB1473" t="str">
        <f>HYPERLINK("Melting_Curves/meltCurve_O15047_SETD1A.pdf", "Melting_Curves/meltCurve_O15047_SETD1A.pdf")</f>
        <v>Melting_Curves/meltCurve_O15047_SETD1A.pdf</v>
      </c>
    </row>
    <row r="1474" spans="1:28" x14ac:dyDescent="0.25">
      <c r="A1474" t="s">
        <v>1478</v>
      </c>
      <c r="B1474">
        <v>0.99542014353169495</v>
      </c>
      <c r="C1474">
        <v>0.78710032310491995</v>
      </c>
      <c r="D1474">
        <v>0.84163831025973102</v>
      </c>
      <c r="E1474">
        <v>0.67144422590567099</v>
      </c>
      <c r="F1474">
        <v>0.58166562338608496</v>
      </c>
      <c r="G1474">
        <v>0.42217813509010599</v>
      </c>
      <c r="H1474">
        <v>0.50613549890580001</v>
      </c>
      <c r="I1474">
        <v>0.110199942011996</v>
      </c>
      <c r="J1474">
        <v>5.2859405990686198E-2</v>
      </c>
      <c r="K1474">
        <v>4.2817783123553201E-2</v>
      </c>
      <c r="L1474">
        <v>431.32591502363601</v>
      </c>
      <c r="M1474">
        <v>8.3888514314586295</v>
      </c>
      <c r="N1474">
        <v>51.416563685432699</v>
      </c>
      <c r="O1474">
        <v>48.743828624192297</v>
      </c>
      <c r="P1474">
        <v>-4.3065929864821703E-2</v>
      </c>
      <c r="Q1474">
        <v>0</v>
      </c>
      <c r="R1474">
        <v>0.91058874688830904</v>
      </c>
      <c r="S1474" t="s">
        <v>7876</v>
      </c>
      <c r="T1474" t="s">
        <v>12802</v>
      </c>
      <c r="U1474" t="s">
        <v>12802</v>
      </c>
      <c r="V1474" t="s">
        <v>12802</v>
      </c>
      <c r="W1474" t="s">
        <v>14240</v>
      </c>
      <c r="X1474">
        <v>9</v>
      </c>
      <c r="Y1474" t="s">
        <v>20549</v>
      </c>
      <c r="Z1474" t="s">
        <v>26792</v>
      </c>
      <c r="AA1474">
        <v>0.51225021998376497</v>
      </c>
      <c r="AB1474" t="str">
        <f>HYPERLINK("Melting_Curves/meltCurve_O15056_SYNJ2.pdf", "Melting_Curves/meltCurve_O15056_SYNJ2.pdf")</f>
        <v>Melting_Curves/meltCurve_O15056_SYNJ2.pdf</v>
      </c>
    </row>
    <row r="1475" spans="1:28" x14ac:dyDescent="0.25">
      <c r="A1475" t="s">
        <v>1479</v>
      </c>
      <c r="B1475">
        <v>0.99542014353169495</v>
      </c>
      <c r="C1475">
        <v>0.92600684300555902</v>
      </c>
      <c r="D1475">
        <v>0.93850016045212603</v>
      </c>
      <c r="E1475">
        <v>0.65446623123132897</v>
      </c>
      <c r="F1475">
        <v>0.29606790402647598</v>
      </c>
      <c r="G1475">
        <v>0.13462616174224001</v>
      </c>
      <c r="H1475">
        <v>8.1780764506069803E-2</v>
      </c>
      <c r="I1475">
        <v>5.3901941555552002E-2</v>
      </c>
      <c r="J1475">
        <v>5.1621443121598401E-2</v>
      </c>
      <c r="K1475">
        <v>4.3176978567110801E-2</v>
      </c>
      <c r="L1475">
        <v>1012.46730529913</v>
      </c>
      <c r="M1475">
        <v>21.167023018136199</v>
      </c>
      <c r="N1475">
        <v>48.054944338070399</v>
      </c>
      <c r="O1475">
        <v>47.4115096250368</v>
      </c>
      <c r="P1475">
        <v>-0.106402872951259</v>
      </c>
      <c r="Q1475">
        <v>4.67077732486679E-2</v>
      </c>
      <c r="R1475">
        <v>0.99728537626011104</v>
      </c>
      <c r="S1475" t="s">
        <v>7877</v>
      </c>
      <c r="T1475" t="s">
        <v>12802</v>
      </c>
      <c r="U1475" t="s">
        <v>12802</v>
      </c>
      <c r="V1475" t="s">
        <v>12802</v>
      </c>
      <c r="W1475" t="s">
        <v>14241</v>
      </c>
      <c r="X1475">
        <v>8</v>
      </c>
      <c r="Y1475" t="s">
        <v>20550</v>
      </c>
      <c r="Z1475" t="s">
        <v>26793</v>
      </c>
      <c r="AA1475">
        <v>0.40214744886799852</v>
      </c>
      <c r="AB1475" t="str">
        <f>HYPERLINK("Melting_Curves/meltCurve_O15066_KIF3B.pdf", "Melting_Curves/meltCurve_O15066_KIF3B.pdf")</f>
        <v>Melting_Curves/meltCurve_O15066_KIF3B.pdf</v>
      </c>
    </row>
    <row r="1476" spans="1:28" x14ac:dyDescent="0.25">
      <c r="A1476" t="s">
        <v>1480</v>
      </c>
      <c r="B1476">
        <v>0.99542014353169495</v>
      </c>
      <c r="C1476">
        <v>0.96013739406659404</v>
      </c>
      <c r="D1476">
        <v>0.93162939178315796</v>
      </c>
      <c r="E1476">
        <v>0.69514614256110596</v>
      </c>
      <c r="F1476">
        <v>0.39422440983427998</v>
      </c>
      <c r="G1476">
        <v>0.17137978948061</v>
      </c>
      <c r="H1476">
        <v>9.4320094025547196E-2</v>
      </c>
      <c r="I1476">
        <v>5.9927626981262201E-2</v>
      </c>
      <c r="J1476">
        <v>5.2188191112880901E-2</v>
      </c>
      <c r="K1476">
        <v>5.0764947970308803E-2</v>
      </c>
      <c r="L1476">
        <v>893.28904267831399</v>
      </c>
      <c r="M1476">
        <v>18.371454477811199</v>
      </c>
      <c r="N1476">
        <v>48.844837513004002</v>
      </c>
      <c r="O1476">
        <v>48.058617393786903</v>
      </c>
      <c r="P1476">
        <v>-9.1759409571306905E-2</v>
      </c>
      <c r="Q1476">
        <v>3.9895364637288301E-2</v>
      </c>
      <c r="R1476">
        <v>0.99942160192734497</v>
      </c>
      <c r="S1476" t="s">
        <v>7878</v>
      </c>
      <c r="T1476" t="s">
        <v>12802</v>
      </c>
      <c r="U1476" t="s">
        <v>12802</v>
      </c>
      <c r="V1476" t="s">
        <v>12802</v>
      </c>
      <c r="W1476" t="s">
        <v>14242</v>
      </c>
      <c r="X1476">
        <v>49</v>
      </c>
      <c r="Y1476" t="s">
        <v>20551</v>
      </c>
      <c r="Z1476" t="s">
        <v>26794</v>
      </c>
      <c r="AA1476">
        <v>0.42664897688492648</v>
      </c>
      <c r="AB1476" t="str">
        <f>HYPERLINK("Melting_Curves/meltCurve_O15067_PFAS.pdf", "Melting_Curves/meltCurve_O15067_PFAS.pdf")</f>
        <v>Melting_Curves/meltCurve_O15067_PFAS.pdf</v>
      </c>
    </row>
    <row r="1477" spans="1:28" x14ac:dyDescent="0.25">
      <c r="A1477" t="s">
        <v>1481</v>
      </c>
      <c r="B1477">
        <v>0.99542014353169495</v>
      </c>
      <c r="C1477">
        <v>0.88015565061898404</v>
      </c>
      <c r="D1477">
        <v>0.95842179412402395</v>
      </c>
      <c r="E1477">
        <v>0.68662046705965496</v>
      </c>
      <c r="F1477">
        <v>0.43700645135149901</v>
      </c>
      <c r="G1477">
        <v>0.17240751786512201</v>
      </c>
      <c r="H1477">
        <v>9.0579891961909298E-2</v>
      </c>
      <c r="I1477">
        <v>6.9457247086886706E-2</v>
      </c>
      <c r="J1477">
        <v>7.1819881426296694E-2</v>
      </c>
      <c r="K1477">
        <v>7.3489092890922494E-2</v>
      </c>
      <c r="L1477">
        <v>866.35164864196702</v>
      </c>
      <c r="M1477">
        <v>17.775507013635</v>
      </c>
      <c r="N1477">
        <v>49.017529487347403</v>
      </c>
      <c r="O1477">
        <v>48.134211088731497</v>
      </c>
      <c r="P1477">
        <v>-8.7884939765990794E-2</v>
      </c>
      <c r="Q1477">
        <v>4.8116501929634403E-2</v>
      </c>
      <c r="R1477">
        <v>0.98955545103334397</v>
      </c>
      <c r="S1477" t="s">
        <v>7879</v>
      </c>
      <c r="T1477" t="s">
        <v>12802</v>
      </c>
      <c r="U1477" t="s">
        <v>12802</v>
      </c>
      <c r="V1477" t="s">
        <v>12802</v>
      </c>
      <c r="W1477" t="s">
        <v>14243</v>
      </c>
      <c r="X1477">
        <v>17</v>
      </c>
      <c r="Y1477" t="s">
        <v>20552</v>
      </c>
      <c r="Z1477" t="s">
        <v>26795</v>
      </c>
      <c r="AA1477">
        <v>0.43607047124529807</v>
      </c>
      <c r="AB1477" t="str">
        <f>HYPERLINK("Melting_Curves/meltCurve_O15084_ANKRD28.pdf", "Melting_Curves/meltCurve_O15084_ANKRD28.pdf")</f>
        <v>Melting_Curves/meltCurve_O15084_ANKRD28.pdf</v>
      </c>
    </row>
    <row r="1478" spans="1:28" x14ac:dyDescent="0.25">
      <c r="A1478" t="s">
        <v>1482</v>
      </c>
      <c r="B1478">
        <v>0.99542014353169495</v>
      </c>
      <c r="C1478">
        <v>0.86243269076245499</v>
      </c>
      <c r="D1478">
        <v>0.83854042140075802</v>
      </c>
      <c r="E1478">
        <v>0.51432926159562398</v>
      </c>
      <c r="F1478">
        <v>0.19233750218419099</v>
      </c>
      <c r="G1478">
        <v>5.7146926227502101E-2</v>
      </c>
      <c r="H1478">
        <v>3.6698616718173198E-2</v>
      </c>
      <c r="I1478">
        <v>2.5417100943540199E-2</v>
      </c>
      <c r="J1478">
        <v>3.8110847547162999E-2</v>
      </c>
      <c r="K1478">
        <v>4.27959563895925E-2</v>
      </c>
      <c r="L1478">
        <v>874.37898484768402</v>
      </c>
      <c r="M1478">
        <v>18.834862634764701</v>
      </c>
      <c r="N1478">
        <v>46.509577233803697</v>
      </c>
      <c r="O1478">
        <v>45.909615223697003</v>
      </c>
      <c r="P1478">
        <v>-0.100810899745623</v>
      </c>
      <c r="Q1478">
        <v>1.7142040224525399E-2</v>
      </c>
      <c r="R1478">
        <v>0.99192737754187599</v>
      </c>
      <c r="S1478" t="s">
        <v>7880</v>
      </c>
      <c r="T1478" t="s">
        <v>12802</v>
      </c>
      <c r="U1478" t="s">
        <v>12802</v>
      </c>
      <c r="V1478" t="s">
        <v>12802</v>
      </c>
      <c r="W1478" t="s">
        <v>14244</v>
      </c>
      <c r="X1478">
        <v>1</v>
      </c>
      <c r="Y1478" t="s">
        <v>20553</v>
      </c>
      <c r="Z1478" t="s">
        <v>26796</v>
      </c>
      <c r="AA1478">
        <v>0.34035114647421127</v>
      </c>
      <c r="AB1478" t="str">
        <f>HYPERLINK("Melting_Curves/meltCurve_O15085_ARHGEF11.pdf", "Melting_Curves/meltCurve_O15085_ARHGEF11.pdf")</f>
        <v>Melting_Curves/meltCurve_O15085_ARHGEF11.pdf</v>
      </c>
    </row>
    <row r="1479" spans="1:28" x14ac:dyDescent="0.25">
      <c r="A1479" t="s">
        <v>1483</v>
      </c>
      <c r="B1479">
        <v>0.99542014353169495</v>
      </c>
      <c r="C1479">
        <v>0.874923770315852</v>
      </c>
      <c r="D1479">
        <v>0.60681296713972699</v>
      </c>
      <c r="E1479">
        <v>0.24367554835310201</v>
      </c>
      <c r="F1479">
        <v>0.152077215402801</v>
      </c>
      <c r="G1479">
        <v>9.9953087515899902E-2</v>
      </c>
      <c r="H1479">
        <v>7.1034465738451902E-2</v>
      </c>
      <c r="I1479">
        <v>3.1648437332148102E-2</v>
      </c>
      <c r="J1479">
        <v>3.8526506079631401E-2</v>
      </c>
      <c r="K1479">
        <v>3.0020891312967299E-2</v>
      </c>
      <c r="L1479">
        <v>855.203494115951</v>
      </c>
      <c r="M1479">
        <v>19.553647532762799</v>
      </c>
      <c r="N1479">
        <v>43.966978179846997</v>
      </c>
      <c r="O1479">
        <v>43.286527081353597</v>
      </c>
      <c r="P1479">
        <v>-0.107428880835532</v>
      </c>
      <c r="Q1479">
        <v>4.8759019794890897E-2</v>
      </c>
      <c r="R1479">
        <v>0.99672509882182903</v>
      </c>
      <c r="S1479" t="s">
        <v>7881</v>
      </c>
      <c r="T1479" t="s">
        <v>12802</v>
      </c>
      <c r="U1479" t="s">
        <v>12802</v>
      </c>
      <c r="V1479" t="s">
        <v>12802</v>
      </c>
      <c r="W1479" t="s">
        <v>14245</v>
      </c>
      <c r="X1479">
        <v>6</v>
      </c>
      <c r="Y1479" t="s">
        <v>20554</v>
      </c>
      <c r="Z1479" t="s">
        <v>26797</v>
      </c>
      <c r="AA1479">
        <v>0.27584469805973211</v>
      </c>
      <c r="AB1479" t="str">
        <f>HYPERLINK("Melting_Curves/meltCurve_O15091_4_KIAA0391.pdf", "Melting_Curves/meltCurve_O15091_4_KIAA0391.pdf")</f>
        <v>Melting_Curves/meltCurve_O15091_4_KIAA0391.pdf</v>
      </c>
    </row>
    <row r="1480" spans="1:28" x14ac:dyDescent="0.25">
      <c r="A1480" t="s">
        <v>1484</v>
      </c>
      <c r="B1480">
        <v>0.99542014353169495</v>
      </c>
      <c r="C1480">
        <v>0.87838277766220196</v>
      </c>
      <c r="D1480">
        <v>0.80430555086178501</v>
      </c>
      <c r="E1480">
        <v>0.50902685575497397</v>
      </c>
      <c r="F1480">
        <v>0.33839061192766001</v>
      </c>
      <c r="G1480">
        <v>0.20601946115821801</v>
      </c>
      <c r="H1480">
        <v>0.31515785341687302</v>
      </c>
      <c r="I1480">
        <v>0.19208478962352399</v>
      </c>
      <c r="J1480">
        <v>3.2595559433148201E-2</v>
      </c>
      <c r="K1480">
        <v>3.54123438156125E-2</v>
      </c>
      <c r="L1480">
        <v>535.69062304901297</v>
      </c>
      <c r="M1480">
        <v>11.413875862566099</v>
      </c>
      <c r="N1480">
        <v>47.5251750320963</v>
      </c>
      <c r="O1480">
        <v>45.561878112464903</v>
      </c>
      <c r="P1480">
        <v>-5.8496038563782098E-2</v>
      </c>
      <c r="Q1480">
        <v>6.6255532421798102E-2</v>
      </c>
      <c r="R1480">
        <v>0.96187860013260096</v>
      </c>
      <c r="S1480" t="s">
        <v>7882</v>
      </c>
      <c r="T1480" t="s">
        <v>12802</v>
      </c>
      <c r="U1480" t="s">
        <v>12802</v>
      </c>
      <c r="V1480" t="s">
        <v>12802</v>
      </c>
      <c r="W1480" t="s">
        <v>14246</v>
      </c>
      <c r="X1480">
        <v>10</v>
      </c>
      <c r="Y1480" t="s">
        <v>20555</v>
      </c>
      <c r="Z1480" t="s">
        <v>26798</v>
      </c>
      <c r="AA1480">
        <v>0.40872923679614481</v>
      </c>
      <c r="AB1480" t="str">
        <f>HYPERLINK("Melting_Curves/meltCurve_O15111_CHUK.pdf", "Melting_Curves/meltCurve_O15111_CHUK.pdf")</f>
        <v>Melting_Curves/meltCurve_O15111_CHUK.pdf</v>
      </c>
    </row>
    <row r="1481" spans="1:28" x14ac:dyDescent="0.25">
      <c r="A1481" t="s">
        <v>1485</v>
      </c>
      <c r="B1481">
        <v>0.99542014353169495</v>
      </c>
      <c r="C1481">
        <v>1.0397460948468</v>
      </c>
      <c r="D1481">
        <v>0.91827462627998602</v>
      </c>
      <c r="E1481">
        <v>0.85926422227099297</v>
      </c>
      <c r="F1481">
        <v>0.70924631513362701</v>
      </c>
      <c r="G1481">
        <v>0.56867794294792895</v>
      </c>
      <c r="H1481">
        <v>0.39935316966499701</v>
      </c>
      <c r="I1481">
        <v>0.36534278385185898</v>
      </c>
      <c r="J1481">
        <v>0.52052136882364897</v>
      </c>
      <c r="K1481">
        <v>0.61249569628447897</v>
      </c>
      <c r="L1481">
        <v>1029.1436770488101</v>
      </c>
      <c r="M1481">
        <v>20.957188850213299</v>
      </c>
      <c r="N1481">
        <v>57.201694375361598</v>
      </c>
      <c r="O1481">
        <v>48.666408176577498</v>
      </c>
      <c r="P1481">
        <v>-5.6603724372639601E-2</v>
      </c>
      <c r="Q1481">
        <v>0.47423782375850898</v>
      </c>
      <c r="R1481">
        <v>0.90523642882173505</v>
      </c>
      <c r="S1481" t="s">
        <v>7883</v>
      </c>
      <c r="T1481" t="s">
        <v>12802</v>
      </c>
      <c r="U1481" t="s">
        <v>12802</v>
      </c>
      <c r="V1481" t="s">
        <v>12802</v>
      </c>
      <c r="W1481" t="s">
        <v>14247</v>
      </c>
      <c r="X1481">
        <v>6</v>
      </c>
      <c r="Y1481" t="s">
        <v>20556</v>
      </c>
      <c r="Z1481" t="s">
        <v>26799</v>
      </c>
      <c r="AA1481">
        <v>0.69277601694371949</v>
      </c>
      <c r="AB1481" t="str">
        <f>HYPERLINK("Melting_Curves/meltCurve_O15116_LSM1.pdf", "Melting_Curves/meltCurve_O15116_LSM1.pdf")</f>
        <v>Melting_Curves/meltCurve_O15116_LSM1.pdf</v>
      </c>
    </row>
    <row r="1482" spans="1:28" x14ac:dyDescent="0.25">
      <c r="A1482" t="s">
        <v>1486</v>
      </c>
      <c r="B1482">
        <v>0.99542014353169495</v>
      </c>
      <c r="C1482">
        <v>1.0222502170447401</v>
      </c>
      <c r="D1482">
        <v>1.0006417403365899</v>
      </c>
      <c r="E1482">
        <v>0.69730853181477204</v>
      </c>
      <c r="F1482">
        <v>0.27513579003258598</v>
      </c>
      <c r="G1482">
        <v>0.14050591600850501</v>
      </c>
      <c r="H1482">
        <v>0.119836994467098</v>
      </c>
      <c r="I1482">
        <v>9.6901955757454195E-2</v>
      </c>
      <c r="J1482">
        <v>0.103923778915958</v>
      </c>
      <c r="K1482">
        <v>9.1720541339465597E-2</v>
      </c>
      <c r="L1482">
        <v>1436.28303076866</v>
      </c>
      <c r="M1482">
        <v>30.0948153130241</v>
      </c>
      <c r="N1482">
        <v>48.096806840757502</v>
      </c>
      <c r="O1482">
        <v>47.516025656044903</v>
      </c>
      <c r="P1482">
        <v>-0.14191903641635001</v>
      </c>
      <c r="Q1482">
        <v>0.103714697714198</v>
      </c>
      <c r="R1482">
        <v>0.99862109251241604</v>
      </c>
      <c r="S1482" t="s">
        <v>7884</v>
      </c>
      <c r="T1482" t="s">
        <v>12802</v>
      </c>
      <c r="U1482" t="s">
        <v>12802</v>
      </c>
      <c r="V1482" t="s">
        <v>12802</v>
      </c>
      <c r="W1482" t="s">
        <v>14248</v>
      </c>
      <c r="X1482">
        <v>1</v>
      </c>
      <c r="Y1482" t="s">
        <v>20557</v>
      </c>
      <c r="Z1482" t="s">
        <v>26800</v>
      </c>
      <c r="AA1482">
        <v>0.4293922117202203</v>
      </c>
      <c r="AB1482" t="str">
        <f>HYPERLINK("Melting_Curves/meltCurve_O15117_FYB.pdf", "Melting_Curves/meltCurve_O15117_FYB.pdf")</f>
        <v>Melting_Curves/meltCurve_O15117_FYB.pdf</v>
      </c>
    </row>
    <row r="1483" spans="1:28" x14ac:dyDescent="0.25">
      <c r="A1483" t="s">
        <v>1487</v>
      </c>
      <c r="B1483">
        <v>0.99542014353169495</v>
      </c>
      <c r="C1483">
        <v>0.93421474953603301</v>
      </c>
      <c r="D1483">
        <v>0.91247933882724797</v>
      </c>
      <c r="E1483">
        <v>0.80553495258754804</v>
      </c>
      <c r="F1483">
        <v>0.66873006165446403</v>
      </c>
      <c r="G1483">
        <v>0.40141849667577101</v>
      </c>
      <c r="H1483">
        <v>0.329636714041535</v>
      </c>
      <c r="I1483">
        <v>0.247900278068758</v>
      </c>
      <c r="J1483">
        <v>0.264277764651697</v>
      </c>
      <c r="K1483">
        <v>0.33641563027975102</v>
      </c>
      <c r="L1483">
        <v>780.10863701787196</v>
      </c>
      <c r="M1483">
        <v>15.6224141340253</v>
      </c>
      <c r="N1483">
        <v>52.302096790942699</v>
      </c>
      <c r="O1483">
        <v>49.1384770637843</v>
      </c>
      <c r="P1483">
        <v>-5.9343374098879902E-2</v>
      </c>
      <c r="Q1483">
        <v>0.253433653770824</v>
      </c>
      <c r="R1483">
        <v>0.98124059894243998</v>
      </c>
      <c r="S1483" t="s">
        <v>7885</v>
      </c>
      <c r="T1483" t="s">
        <v>12802</v>
      </c>
      <c r="U1483" t="s">
        <v>12802</v>
      </c>
      <c r="V1483" t="s">
        <v>12802</v>
      </c>
      <c r="W1483" t="s">
        <v>14249</v>
      </c>
      <c r="X1483">
        <v>9</v>
      </c>
      <c r="Y1483" t="s">
        <v>20558</v>
      </c>
      <c r="Z1483" t="s">
        <v>26801</v>
      </c>
      <c r="AA1483">
        <v>0.59005932073587208</v>
      </c>
      <c r="AB1483" t="str">
        <f>HYPERLINK("Melting_Curves/meltCurve_O15118_NPC1.pdf", "Melting_Curves/meltCurve_O15118_NPC1.pdf")</f>
        <v>Melting_Curves/meltCurve_O15118_NPC1.pdf</v>
      </c>
    </row>
    <row r="1484" spans="1:28" x14ac:dyDescent="0.25">
      <c r="A1484" t="s">
        <v>1488</v>
      </c>
      <c r="B1484">
        <v>0.99542014353169495</v>
      </c>
      <c r="C1484">
        <v>0.95121675320909305</v>
      </c>
      <c r="D1484">
        <v>0.84404416225322898</v>
      </c>
      <c r="E1484">
        <v>0.67711934291309595</v>
      </c>
      <c r="F1484">
        <v>0.43055628570272603</v>
      </c>
      <c r="G1484">
        <v>0.20133845503940001</v>
      </c>
      <c r="H1484">
        <v>0.12307393677438699</v>
      </c>
      <c r="I1484">
        <v>0.136158050242464</v>
      </c>
      <c r="J1484">
        <v>0.106267038663833</v>
      </c>
      <c r="K1484">
        <v>0.20183312569355299</v>
      </c>
      <c r="L1484">
        <v>794.86368042128504</v>
      </c>
      <c r="M1484">
        <v>16.599031638602899</v>
      </c>
      <c r="N1484">
        <v>48.660619931807901</v>
      </c>
      <c r="O1484">
        <v>47.207341283825798</v>
      </c>
      <c r="P1484">
        <v>-7.7705834781791203E-2</v>
      </c>
      <c r="Q1484">
        <v>0.11608449684488201</v>
      </c>
      <c r="R1484">
        <v>0.98868314632892496</v>
      </c>
      <c r="S1484" t="s">
        <v>7886</v>
      </c>
      <c r="T1484" t="s">
        <v>12802</v>
      </c>
      <c r="U1484" t="s">
        <v>12802</v>
      </c>
      <c r="V1484" t="s">
        <v>12802</v>
      </c>
      <c r="W1484" t="s">
        <v>14250</v>
      </c>
      <c r="X1484">
        <v>3</v>
      </c>
      <c r="Y1484" t="s">
        <v>20559</v>
      </c>
      <c r="Z1484" t="s">
        <v>26802</v>
      </c>
      <c r="AA1484">
        <v>0.45319843972900797</v>
      </c>
      <c r="AB1484" t="str">
        <f>HYPERLINK("Melting_Curves/meltCurve_O15120_AGPAT2.pdf", "Melting_Curves/meltCurve_O15120_AGPAT2.pdf")</f>
        <v>Melting_Curves/meltCurve_O15120_AGPAT2.pdf</v>
      </c>
    </row>
    <row r="1485" spans="1:28" x14ac:dyDescent="0.25">
      <c r="A1485" t="s">
        <v>1489</v>
      </c>
      <c r="B1485">
        <v>0.99542014353169495</v>
      </c>
      <c r="C1485">
        <v>0.95364422105223401</v>
      </c>
      <c r="D1485">
        <v>0.93012165554155102</v>
      </c>
      <c r="E1485">
        <v>0.81066551188828195</v>
      </c>
      <c r="F1485">
        <v>0.68472148438215397</v>
      </c>
      <c r="G1485">
        <v>0.43713217346744199</v>
      </c>
      <c r="H1485">
        <v>0.27931508913457198</v>
      </c>
      <c r="I1485">
        <v>0.18941102047816499</v>
      </c>
      <c r="J1485">
        <v>0.19489308912197101</v>
      </c>
      <c r="K1485">
        <v>0.16124862377926999</v>
      </c>
      <c r="L1485">
        <v>686.66830459479002</v>
      </c>
      <c r="M1485">
        <v>13.276301499805999</v>
      </c>
      <c r="N1485">
        <v>52.706394488238502</v>
      </c>
      <c r="O1485">
        <v>50.590151128241502</v>
      </c>
      <c r="P1485">
        <v>-5.8408597268348302E-2</v>
      </c>
      <c r="Q1485">
        <v>0.109866898488367</v>
      </c>
      <c r="R1485">
        <v>0.99557399751325604</v>
      </c>
      <c r="S1485" t="s">
        <v>7887</v>
      </c>
      <c r="T1485" t="s">
        <v>12802</v>
      </c>
      <c r="U1485" t="s">
        <v>12802</v>
      </c>
      <c r="V1485" t="s">
        <v>12802</v>
      </c>
      <c r="W1485" t="s">
        <v>14251</v>
      </c>
      <c r="X1485">
        <v>4</v>
      </c>
      <c r="Y1485" t="s">
        <v>20560</v>
      </c>
      <c r="Z1485" t="s">
        <v>26803</v>
      </c>
      <c r="AA1485">
        <v>0.56646434869300932</v>
      </c>
      <c r="AB1485" t="str">
        <f>HYPERLINK("Melting_Curves/meltCurve_O15121_DEGS1.pdf", "Melting_Curves/meltCurve_O15121_DEGS1.pdf")</f>
        <v>Melting_Curves/meltCurve_O15121_DEGS1.pdf</v>
      </c>
    </row>
    <row r="1486" spans="1:28" x14ac:dyDescent="0.25">
      <c r="A1486" t="s">
        <v>1490</v>
      </c>
      <c r="B1486">
        <v>0.99542014353169495</v>
      </c>
      <c r="C1486">
        <v>0.985813762235624</v>
      </c>
      <c r="D1486">
        <v>1.0210711505263399</v>
      </c>
      <c r="E1486">
        <v>0.94973844284404796</v>
      </c>
      <c r="F1486">
        <v>0.94109197897336705</v>
      </c>
      <c r="G1486">
        <v>0.71776382777486503</v>
      </c>
      <c r="H1486">
        <v>0.60574604654314101</v>
      </c>
      <c r="I1486">
        <v>0.54139499761673204</v>
      </c>
      <c r="J1486">
        <v>0.72522956492936796</v>
      </c>
      <c r="K1486">
        <v>0.61569731112995996</v>
      </c>
      <c r="L1486">
        <v>2152.4740445636899</v>
      </c>
      <c r="M1486">
        <v>41.167372096049803</v>
      </c>
      <c r="O1486">
        <v>52.163018564180703</v>
      </c>
      <c r="P1486">
        <v>-7.4846541001347702E-2</v>
      </c>
      <c r="Q1486">
        <v>0.620649783768915</v>
      </c>
      <c r="R1486">
        <v>0.93322564872638603</v>
      </c>
      <c r="S1486" t="s">
        <v>7888</v>
      </c>
      <c r="T1486" t="s">
        <v>12802</v>
      </c>
      <c r="U1486" t="s">
        <v>12802</v>
      </c>
      <c r="V1486" t="s">
        <v>12802</v>
      </c>
      <c r="W1486" t="s">
        <v>14252</v>
      </c>
      <c r="X1486">
        <v>8</v>
      </c>
      <c r="Y1486" t="s">
        <v>20561</v>
      </c>
      <c r="Z1486" t="s">
        <v>26804</v>
      </c>
      <c r="AA1486">
        <v>0.81523115548792435</v>
      </c>
      <c r="AB1486" t="str">
        <f>HYPERLINK("Melting_Curves/meltCurve_O15126_SCAMP1.pdf", "Melting_Curves/meltCurve_O15126_SCAMP1.pdf")</f>
        <v>Melting_Curves/meltCurve_O15126_SCAMP1.pdf</v>
      </c>
    </row>
    <row r="1487" spans="1:28" x14ac:dyDescent="0.25">
      <c r="A1487" t="s">
        <v>1491</v>
      </c>
      <c r="B1487">
        <v>0.99542014353169495</v>
      </c>
      <c r="C1487">
        <v>0.99403013010358998</v>
      </c>
      <c r="D1487">
        <v>0.95460311651042395</v>
      </c>
      <c r="E1487">
        <v>0.86460740561242599</v>
      </c>
      <c r="F1487">
        <v>0.71528824324061802</v>
      </c>
      <c r="G1487">
        <v>0.53700544855388599</v>
      </c>
      <c r="H1487">
        <v>0.35797910354937501</v>
      </c>
      <c r="I1487">
        <v>0.31798807272444901</v>
      </c>
      <c r="J1487">
        <v>0.41128640213290002</v>
      </c>
      <c r="K1487">
        <v>0.37372847831766698</v>
      </c>
      <c r="L1487">
        <v>921.30899289369904</v>
      </c>
      <c r="M1487">
        <v>18.201737220427098</v>
      </c>
      <c r="N1487">
        <v>54.063233311792096</v>
      </c>
      <c r="O1487">
        <v>50.017447202241101</v>
      </c>
      <c r="P1487">
        <v>-5.97454055064724E-2</v>
      </c>
      <c r="Q1487">
        <v>0.34332176529458303</v>
      </c>
      <c r="R1487">
        <v>0.98448327249872103</v>
      </c>
      <c r="S1487" t="s">
        <v>7889</v>
      </c>
      <c r="T1487" t="s">
        <v>12802</v>
      </c>
      <c r="U1487" t="s">
        <v>12802</v>
      </c>
      <c r="V1487" t="s">
        <v>12802</v>
      </c>
      <c r="W1487" t="s">
        <v>14253</v>
      </c>
      <c r="X1487">
        <v>5</v>
      </c>
      <c r="Y1487" t="s">
        <v>20562</v>
      </c>
      <c r="Z1487" t="s">
        <v>26805</v>
      </c>
      <c r="AA1487">
        <v>0.65145320429297182</v>
      </c>
      <c r="AB1487" t="str">
        <f>HYPERLINK("Melting_Curves/meltCurve_O15127_SCAMP2.pdf", "Melting_Curves/meltCurve_O15127_SCAMP2.pdf")</f>
        <v>Melting_Curves/meltCurve_O15127_SCAMP2.pdf</v>
      </c>
    </row>
    <row r="1488" spans="1:28" x14ac:dyDescent="0.25">
      <c r="A1488" t="s">
        <v>1492</v>
      </c>
      <c r="B1488">
        <v>0.99542014353169495</v>
      </c>
      <c r="C1488">
        <v>0.94634207486501598</v>
      </c>
      <c r="D1488">
        <v>1.01168695046962</v>
      </c>
      <c r="E1488">
        <v>0.84429175689420499</v>
      </c>
      <c r="F1488">
        <v>0.66780057360616896</v>
      </c>
      <c r="G1488">
        <v>0.39538429070751402</v>
      </c>
      <c r="H1488">
        <v>0.26489321292231399</v>
      </c>
      <c r="I1488">
        <v>0.15831761467842301</v>
      </c>
      <c r="J1488">
        <v>9.3848761781291895E-2</v>
      </c>
      <c r="K1488">
        <v>0.10475762977806199</v>
      </c>
      <c r="L1488">
        <v>796.479392673696</v>
      </c>
      <c r="M1488">
        <v>15.326269436998</v>
      </c>
      <c r="N1488">
        <v>52.458467264860502</v>
      </c>
      <c r="O1488">
        <v>51.107608496678402</v>
      </c>
      <c r="P1488">
        <v>-6.9975110156505094E-2</v>
      </c>
      <c r="Q1488">
        <v>6.6719122579117093E-2</v>
      </c>
      <c r="R1488">
        <v>0.99534869550514704</v>
      </c>
      <c r="S1488" t="s">
        <v>7890</v>
      </c>
      <c r="T1488" t="s">
        <v>12802</v>
      </c>
      <c r="U1488" t="s">
        <v>12802</v>
      </c>
      <c r="V1488" t="s">
        <v>12802</v>
      </c>
      <c r="W1488" t="s">
        <v>14254</v>
      </c>
      <c r="X1488">
        <v>16</v>
      </c>
      <c r="Y1488" t="s">
        <v>20563</v>
      </c>
      <c r="Z1488" t="s">
        <v>26806</v>
      </c>
      <c r="AA1488">
        <v>0.54981767565598871</v>
      </c>
      <c r="AB1488" t="str">
        <f>HYPERLINK("Melting_Curves/meltCurve_O15143_ARPC1B.pdf", "Melting_Curves/meltCurve_O15143_ARPC1B.pdf")</f>
        <v>Melting_Curves/meltCurve_O15143_ARPC1B.pdf</v>
      </c>
    </row>
    <row r="1489" spans="1:28" x14ac:dyDescent="0.25">
      <c r="A1489" t="s">
        <v>1493</v>
      </c>
      <c r="B1489">
        <v>0.99542014353169495</v>
      </c>
      <c r="C1489">
        <v>0.90780137147764906</v>
      </c>
      <c r="D1489">
        <v>0.98365976299928104</v>
      </c>
      <c r="E1489">
        <v>0.89986870631452698</v>
      </c>
      <c r="F1489">
        <v>0.79183966755851698</v>
      </c>
      <c r="G1489">
        <v>0.54546055795752202</v>
      </c>
      <c r="H1489">
        <v>0.33833408270573201</v>
      </c>
      <c r="I1489">
        <v>0.19752732149472099</v>
      </c>
      <c r="J1489">
        <v>9.8950742515914097E-2</v>
      </c>
      <c r="K1489">
        <v>7.0128670915078004E-2</v>
      </c>
      <c r="L1489">
        <v>758.81790955900499</v>
      </c>
      <c r="M1489">
        <v>13.8940416461485</v>
      </c>
      <c r="N1489">
        <v>54.6146276393645</v>
      </c>
      <c r="O1489">
        <v>53.520567775109797</v>
      </c>
      <c r="P1489">
        <v>-6.4909324588751302E-2</v>
      </c>
      <c r="Q1489">
        <v>0</v>
      </c>
      <c r="R1489">
        <v>0.99342434576660299</v>
      </c>
      <c r="S1489" t="s">
        <v>7891</v>
      </c>
      <c r="T1489" t="s">
        <v>12802</v>
      </c>
      <c r="U1489" t="s">
        <v>12802</v>
      </c>
      <c r="V1489" t="s">
        <v>12802</v>
      </c>
      <c r="W1489" t="s">
        <v>14255</v>
      </c>
      <c r="X1489">
        <v>18</v>
      </c>
      <c r="Y1489" t="s">
        <v>20564</v>
      </c>
      <c r="Z1489" t="s">
        <v>26807</v>
      </c>
      <c r="AA1489">
        <v>0.60261980124046743</v>
      </c>
      <c r="AB1489" t="str">
        <f>HYPERLINK("Melting_Curves/meltCurve_O15144_ARPC2.pdf", "Melting_Curves/meltCurve_O15144_ARPC2.pdf")</f>
        <v>Melting_Curves/meltCurve_O15144_ARPC2.pdf</v>
      </c>
    </row>
    <row r="1490" spans="1:28" x14ac:dyDescent="0.25">
      <c r="A1490" t="s">
        <v>1494</v>
      </c>
      <c r="B1490">
        <v>0.99542014353169495</v>
      </c>
      <c r="C1490">
        <v>0.92420526121674695</v>
      </c>
      <c r="D1490">
        <v>1.0134252392645899</v>
      </c>
      <c r="E1490">
        <v>0.87222614132404797</v>
      </c>
      <c r="F1490">
        <v>0.66691333180831802</v>
      </c>
      <c r="G1490">
        <v>0.42217866767847101</v>
      </c>
      <c r="H1490">
        <v>0.269222168748042</v>
      </c>
      <c r="I1490">
        <v>0.1563658165656</v>
      </c>
      <c r="J1490">
        <v>0.102464294427125</v>
      </c>
      <c r="K1490">
        <v>7.1161690692457799E-2</v>
      </c>
      <c r="L1490">
        <v>772.00624340221304</v>
      </c>
      <c r="M1490">
        <v>14.717933381577399</v>
      </c>
      <c r="N1490">
        <v>52.771689002814199</v>
      </c>
      <c r="O1490">
        <v>51.5136408427867</v>
      </c>
      <c r="P1490">
        <v>-6.8401362607134794E-2</v>
      </c>
      <c r="Q1490">
        <v>4.2468876427977302E-2</v>
      </c>
      <c r="R1490">
        <v>0.99445471308176503</v>
      </c>
      <c r="S1490" t="s">
        <v>7892</v>
      </c>
      <c r="T1490" t="s">
        <v>12802</v>
      </c>
      <c r="U1490" t="s">
        <v>12802</v>
      </c>
      <c r="V1490" t="s">
        <v>12802</v>
      </c>
      <c r="W1490" t="s">
        <v>14256</v>
      </c>
      <c r="X1490">
        <v>10</v>
      </c>
      <c r="Y1490" t="s">
        <v>20565</v>
      </c>
      <c r="Z1490" t="s">
        <v>26808</v>
      </c>
      <c r="AA1490">
        <v>0.55386933444710729</v>
      </c>
      <c r="AB1490" t="str">
        <f>HYPERLINK("Melting_Curves/meltCurve_O15145_ARPC3.pdf", "Melting_Curves/meltCurve_O15145_ARPC3.pdf")</f>
        <v>Melting_Curves/meltCurve_O15145_ARPC3.pdf</v>
      </c>
    </row>
    <row r="1491" spans="1:28" x14ac:dyDescent="0.25">
      <c r="A1491" t="s">
        <v>1495</v>
      </c>
      <c r="B1491">
        <v>0.99542014353169495</v>
      </c>
      <c r="C1491">
        <v>1.06326301141209</v>
      </c>
      <c r="D1491">
        <v>1.0301964247516</v>
      </c>
      <c r="E1491">
        <v>0.88580310942912799</v>
      </c>
      <c r="F1491">
        <v>0.69535247450816495</v>
      </c>
      <c r="G1491">
        <v>0.58480058229982401</v>
      </c>
      <c r="H1491">
        <v>0.40262766082901302</v>
      </c>
      <c r="I1491">
        <v>0.27387762187556802</v>
      </c>
      <c r="J1491">
        <v>0.32725295548422301</v>
      </c>
      <c r="K1491">
        <v>0.32070296911637203</v>
      </c>
      <c r="L1491">
        <v>853.46860652412397</v>
      </c>
      <c r="M1491">
        <v>16.475671073411402</v>
      </c>
      <c r="N1491">
        <v>54.540917242902097</v>
      </c>
      <c r="O1491">
        <v>51.056644062275197</v>
      </c>
      <c r="P1491">
        <v>-5.7974607152584297E-2</v>
      </c>
      <c r="Q1491">
        <v>0.28141757518014199</v>
      </c>
      <c r="R1491">
        <v>0.98178561629865801</v>
      </c>
      <c r="S1491" t="s">
        <v>7893</v>
      </c>
      <c r="T1491" t="s">
        <v>12802</v>
      </c>
      <c r="U1491" t="s">
        <v>12802</v>
      </c>
      <c r="V1491" t="s">
        <v>12802</v>
      </c>
      <c r="W1491" t="s">
        <v>14257</v>
      </c>
      <c r="X1491">
        <v>3</v>
      </c>
      <c r="Y1491" t="s">
        <v>20566</v>
      </c>
      <c r="Z1491" t="s">
        <v>26809</v>
      </c>
      <c r="AA1491">
        <v>0.64832102793709923</v>
      </c>
      <c r="AB1491" t="str">
        <f>HYPERLINK("Melting_Curves/meltCurve_O15156_ZBTB7B.pdf", "Melting_Curves/meltCurve_O15156_ZBTB7B.pdf")</f>
        <v>Melting_Curves/meltCurve_O15156_ZBTB7B.pdf</v>
      </c>
    </row>
    <row r="1492" spans="1:28" x14ac:dyDescent="0.25">
      <c r="A1492" t="s">
        <v>1496</v>
      </c>
      <c r="B1492">
        <v>0.99542014353169495</v>
      </c>
      <c r="C1492">
        <v>0.96369094201263406</v>
      </c>
      <c r="D1492">
        <v>0.86127996665775697</v>
      </c>
      <c r="E1492">
        <v>0.59131873141957203</v>
      </c>
      <c r="F1492">
        <v>0.28559184260319598</v>
      </c>
      <c r="G1492">
        <v>0.14417313119032499</v>
      </c>
      <c r="H1492">
        <v>9.3645505267456894E-2</v>
      </c>
      <c r="I1492">
        <v>7.0023662003666096E-2</v>
      </c>
      <c r="J1492">
        <v>7.0640271269065996E-2</v>
      </c>
      <c r="K1492">
        <v>6.8234214769011495E-2</v>
      </c>
      <c r="L1492">
        <v>879.16308423937596</v>
      </c>
      <c r="M1492">
        <v>18.640354433248099</v>
      </c>
      <c r="N1492">
        <v>47.494200602187099</v>
      </c>
      <c r="O1492">
        <v>46.631747322049598</v>
      </c>
      <c r="P1492">
        <v>-9.3873109455662407E-2</v>
      </c>
      <c r="Q1492">
        <v>6.0687790502226099E-2</v>
      </c>
      <c r="R1492">
        <v>0.99985248291892304</v>
      </c>
      <c r="S1492" t="s">
        <v>7894</v>
      </c>
      <c r="T1492" t="s">
        <v>12802</v>
      </c>
      <c r="U1492" t="s">
        <v>12802</v>
      </c>
      <c r="V1492" t="s">
        <v>12802</v>
      </c>
      <c r="W1492" t="s">
        <v>14258</v>
      </c>
      <c r="X1492">
        <v>12</v>
      </c>
      <c r="Y1492" t="s">
        <v>20567</v>
      </c>
      <c r="Z1492" t="s">
        <v>26810</v>
      </c>
      <c r="AA1492">
        <v>0.39303858240003448</v>
      </c>
      <c r="AB1492" t="str">
        <f>HYPERLINK("Melting_Curves/meltCurve_O15160_POLR1C.pdf", "Melting_Curves/meltCurve_O15160_POLR1C.pdf")</f>
        <v>Melting_Curves/meltCurve_O15160_POLR1C.pdf</v>
      </c>
    </row>
    <row r="1493" spans="1:28" x14ac:dyDescent="0.25">
      <c r="A1493" t="s">
        <v>1497</v>
      </c>
      <c r="B1493">
        <v>0.99542014353169495</v>
      </c>
      <c r="C1493">
        <v>0.97232991857774398</v>
      </c>
      <c r="D1493">
        <v>1.04951414841853</v>
      </c>
      <c r="E1493">
        <v>0.66451708059588599</v>
      </c>
      <c r="F1493">
        <v>0.37068998976117501</v>
      </c>
      <c r="G1493">
        <v>0.18836174424771099</v>
      </c>
      <c r="H1493">
        <v>0.14502937063464</v>
      </c>
      <c r="I1493">
        <v>0.11437914676098</v>
      </c>
      <c r="J1493">
        <v>0.130041158336476</v>
      </c>
      <c r="K1493">
        <v>0.16519707383818599</v>
      </c>
      <c r="L1493">
        <v>1218.9643368230199</v>
      </c>
      <c r="M1493">
        <v>25.4750660536738</v>
      </c>
      <c r="N1493">
        <v>48.464520642028397</v>
      </c>
      <c r="O1493">
        <v>47.557384418734202</v>
      </c>
      <c r="P1493">
        <v>-0.11541809744202999</v>
      </c>
      <c r="Q1493">
        <v>0.13815112359548501</v>
      </c>
      <c r="R1493">
        <v>0.98994608314881205</v>
      </c>
      <c r="S1493" t="s">
        <v>7895</v>
      </c>
      <c r="T1493" t="s">
        <v>12802</v>
      </c>
      <c r="U1493" t="s">
        <v>12802</v>
      </c>
      <c r="V1493" t="s">
        <v>12802</v>
      </c>
      <c r="W1493" t="s">
        <v>14259</v>
      </c>
      <c r="X1493">
        <v>8</v>
      </c>
      <c r="Y1493" t="s">
        <v>20568</v>
      </c>
      <c r="Z1493" t="s">
        <v>26811</v>
      </c>
      <c r="AA1493">
        <v>0.45689280692189038</v>
      </c>
      <c r="AB1493" t="str">
        <f>HYPERLINK("Melting_Curves/meltCurve_O15164_2_TRIM24.pdf", "Melting_Curves/meltCurve_O15164_2_TRIM24.pdf")</f>
        <v>Melting_Curves/meltCurve_O15164_2_TRIM24.pdf</v>
      </c>
    </row>
    <row r="1494" spans="1:28" x14ac:dyDescent="0.25">
      <c r="A1494" t="s">
        <v>1498</v>
      </c>
      <c r="B1494">
        <v>0.99542014353169495</v>
      </c>
      <c r="C1494">
        <v>0.98859571392041201</v>
      </c>
      <c r="D1494">
        <v>0.939182731848198</v>
      </c>
      <c r="E1494">
        <v>0.54598459446529501</v>
      </c>
      <c r="F1494">
        <v>0.19185295165650901</v>
      </c>
      <c r="G1494">
        <v>0.122259705772869</v>
      </c>
      <c r="H1494">
        <v>7.0698198458015699E-2</v>
      </c>
      <c r="I1494">
        <v>4.9197408519671498E-2</v>
      </c>
      <c r="J1494">
        <v>5.6893416961500701E-2</v>
      </c>
      <c r="K1494">
        <v>8.8542145476443401E-2</v>
      </c>
      <c r="L1494">
        <v>1299.0799390694599</v>
      </c>
      <c r="M1494">
        <v>27.798100042825901</v>
      </c>
      <c r="N1494">
        <v>46.991829388622001</v>
      </c>
      <c r="O1494">
        <v>46.492846462941102</v>
      </c>
      <c r="P1494">
        <v>-0.13885468210321</v>
      </c>
      <c r="Q1494">
        <v>7.1059899769651505E-2</v>
      </c>
      <c r="R1494">
        <v>0.998613847931201</v>
      </c>
      <c r="S1494" t="s">
        <v>7896</v>
      </c>
      <c r="T1494" t="s">
        <v>12802</v>
      </c>
      <c r="U1494" t="s">
        <v>12802</v>
      </c>
      <c r="V1494" t="s">
        <v>12802</v>
      </c>
      <c r="W1494" t="s">
        <v>14260</v>
      </c>
      <c r="X1494">
        <v>5</v>
      </c>
      <c r="Y1494" t="s">
        <v>20569</v>
      </c>
      <c r="Z1494" t="s">
        <v>26812</v>
      </c>
      <c r="AA1494">
        <v>0.37869896728776331</v>
      </c>
      <c r="AB1494" t="str">
        <f>HYPERLINK("Melting_Curves/meltCurve_O15169_2_AXIN1.pdf", "Melting_Curves/meltCurve_O15169_2_AXIN1.pdf")</f>
        <v>Melting_Curves/meltCurve_O15169_2_AXIN1.pdf</v>
      </c>
    </row>
    <row r="1495" spans="1:28" x14ac:dyDescent="0.25">
      <c r="A1495" t="s">
        <v>1499</v>
      </c>
      <c r="B1495">
        <v>0.99542014353169495</v>
      </c>
      <c r="C1495">
        <v>0.91172490103116599</v>
      </c>
      <c r="D1495">
        <v>0.89663512286396896</v>
      </c>
      <c r="E1495">
        <v>0.74384346472473395</v>
      </c>
      <c r="F1495">
        <v>0.56657243574408001</v>
      </c>
      <c r="G1495">
        <v>0.357145455351561</v>
      </c>
      <c r="H1495">
        <v>0.204445146903112</v>
      </c>
      <c r="I1495">
        <v>0.165407688882</v>
      </c>
      <c r="J1495">
        <v>0.210436772638672</v>
      </c>
      <c r="K1495">
        <v>0.27906613482418902</v>
      </c>
      <c r="L1495">
        <v>734.48616866497298</v>
      </c>
      <c r="M1495">
        <v>14.9594923562342</v>
      </c>
      <c r="N1495">
        <v>50.618054107433302</v>
      </c>
      <c r="O1495">
        <v>48.246007128868797</v>
      </c>
      <c r="P1495">
        <v>-6.3499703840484006E-2</v>
      </c>
      <c r="Q1495">
        <v>0.18090930669529401</v>
      </c>
      <c r="R1495">
        <v>0.97948720989879001</v>
      </c>
      <c r="S1495" t="s">
        <v>7897</v>
      </c>
      <c r="T1495" t="s">
        <v>12802</v>
      </c>
      <c r="U1495" t="s">
        <v>12802</v>
      </c>
      <c r="V1495" t="s">
        <v>12802</v>
      </c>
      <c r="W1495" t="s">
        <v>14261</v>
      </c>
      <c r="X1495">
        <v>11</v>
      </c>
      <c r="Y1495" t="s">
        <v>20570</v>
      </c>
      <c r="Z1495" t="s">
        <v>26813</v>
      </c>
      <c r="AA1495">
        <v>0.52888041701738997</v>
      </c>
      <c r="AB1495" t="str">
        <f>HYPERLINK("Melting_Curves/meltCurve_O15173_PGRMC2.pdf", "Melting_Curves/meltCurve_O15173_PGRMC2.pdf")</f>
        <v>Melting_Curves/meltCurve_O15173_PGRMC2.pdf</v>
      </c>
    </row>
    <row r="1496" spans="1:28" x14ac:dyDescent="0.25">
      <c r="A1496" t="s">
        <v>1500</v>
      </c>
      <c r="B1496">
        <v>0.99542014353169495</v>
      </c>
      <c r="C1496">
        <v>0.95899196692303001</v>
      </c>
      <c r="D1496">
        <v>0.96783466746966196</v>
      </c>
      <c r="E1496">
        <v>0.94942087706112799</v>
      </c>
      <c r="F1496">
        <v>0.76379777608753796</v>
      </c>
      <c r="G1496">
        <v>0.61042167625700094</v>
      </c>
      <c r="H1496">
        <v>0.50075929827061105</v>
      </c>
      <c r="I1496">
        <v>0.469639787662398</v>
      </c>
      <c r="J1496">
        <v>0.69433116827337205</v>
      </c>
      <c r="K1496">
        <v>0.86557714523903895</v>
      </c>
      <c r="L1496">
        <v>1993.12404152913</v>
      </c>
      <c r="M1496">
        <v>40.409237459846501</v>
      </c>
      <c r="O1496">
        <v>49.203143035903501</v>
      </c>
      <c r="P1496">
        <v>-7.6561427141233096E-2</v>
      </c>
      <c r="Q1496">
        <v>0.62710948419003698</v>
      </c>
      <c r="R1496">
        <v>0.70430449307304999</v>
      </c>
      <c r="S1496" t="s">
        <v>7898</v>
      </c>
      <c r="T1496" t="s">
        <v>12802</v>
      </c>
      <c r="U1496" t="s">
        <v>12802</v>
      </c>
      <c r="V1496" t="s">
        <v>12802</v>
      </c>
      <c r="W1496" t="s">
        <v>14262</v>
      </c>
      <c r="X1496">
        <v>14</v>
      </c>
      <c r="Y1496" t="s">
        <v>20571</v>
      </c>
      <c r="Z1496" t="s">
        <v>26814</v>
      </c>
      <c r="AA1496">
        <v>0.78153153848796575</v>
      </c>
      <c r="AB1496" t="str">
        <f>HYPERLINK("Melting_Curves/meltCurve_O15212_PFDN6.pdf", "Melting_Curves/meltCurve_O15212_PFDN6.pdf")</f>
        <v>Melting_Curves/meltCurve_O15212_PFDN6.pdf</v>
      </c>
    </row>
    <row r="1497" spans="1:28" x14ac:dyDescent="0.25">
      <c r="A1497" t="s">
        <v>1501</v>
      </c>
      <c r="B1497">
        <v>0.99542014353169495</v>
      </c>
      <c r="C1497">
        <v>0.919157638411912</v>
      </c>
      <c r="D1497">
        <v>0.91175416414191501</v>
      </c>
      <c r="E1497">
        <v>0.79807893248159201</v>
      </c>
      <c r="F1497">
        <v>0.44132546526129901</v>
      </c>
      <c r="G1497">
        <v>0.19641179809352399</v>
      </c>
      <c r="H1497">
        <v>9.1044390338790998E-2</v>
      </c>
      <c r="I1497">
        <v>6.5756188539510901E-2</v>
      </c>
      <c r="J1497">
        <v>6.4146838466952003E-2</v>
      </c>
      <c r="K1497">
        <v>5.6087062431831702E-2</v>
      </c>
      <c r="L1497">
        <v>963.69521458160398</v>
      </c>
      <c r="M1497">
        <v>19.5238424706065</v>
      </c>
      <c r="N1497">
        <v>49.594950568424402</v>
      </c>
      <c r="O1497">
        <v>48.850836217455502</v>
      </c>
      <c r="P1497">
        <v>-9.5503945179272798E-2</v>
      </c>
      <c r="Q1497">
        <v>4.41882203071641E-2</v>
      </c>
      <c r="R1497">
        <v>0.99492015786085397</v>
      </c>
      <c r="S1497" t="s">
        <v>7899</v>
      </c>
      <c r="T1497" t="s">
        <v>12802</v>
      </c>
      <c r="U1497" t="s">
        <v>12802</v>
      </c>
      <c r="V1497" t="s">
        <v>12802</v>
      </c>
      <c r="W1497" t="s">
        <v>14263</v>
      </c>
      <c r="X1497">
        <v>12</v>
      </c>
      <c r="Y1497" t="s">
        <v>20572</v>
      </c>
      <c r="Z1497" t="s">
        <v>26815</v>
      </c>
      <c r="AA1497">
        <v>0.45113138376363338</v>
      </c>
      <c r="AB1497" t="str">
        <f>HYPERLINK("Melting_Curves/meltCurve_O15228_GNPAT.pdf", "Melting_Curves/meltCurve_O15228_GNPAT.pdf")</f>
        <v>Melting_Curves/meltCurve_O15228_GNPAT.pdf</v>
      </c>
    </row>
    <row r="1498" spans="1:28" x14ac:dyDescent="0.25">
      <c r="A1498" t="s">
        <v>1502</v>
      </c>
      <c r="B1498">
        <v>0.99542014353169495</v>
      </c>
      <c r="C1498">
        <v>1.00602961394273</v>
      </c>
      <c r="D1498">
        <v>1.0179659089621</v>
      </c>
      <c r="E1498">
        <v>0.89909230573797705</v>
      </c>
      <c r="F1498">
        <v>0.70676739737578598</v>
      </c>
      <c r="G1498">
        <v>0.60067523642111798</v>
      </c>
      <c r="H1498">
        <v>0.70193909097602103</v>
      </c>
      <c r="I1498">
        <v>1.0079751809636699</v>
      </c>
      <c r="J1498">
        <v>1.83715779808528</v>
      </c>
      <c r="K1498">
        <v>2.4604338696018999</v>
      </c>
      <c r="L1498">
        <v>15000</v>
      </c>
      <c r="M1498">
        <v>242.195103472585</v>
      </c>
      <c r="O1498">
        <v>61.929316625010998</v>
      </c>
      <c r="P1498">
        <v>0.48885390045985</v>
      </c>
      <c r="Q1498">
        <v>1.5</v>
      </c>
      <c r="R1498">
        <v>0.54367078505454802</v>
      </c>
      <c r="S1498" t="s">
        <v>7900</v>
      </c>
      <c r="T1498" t="s">
        <v>12802</v>
      </c>
      <c r="U1498" t="s">
        <v>12802</v>
      </c>
      <c r="V1498" t="s">
        <v>12802</v>
      </c>
      <c r="W1498" t="s">
        <v>14264</v>
      </c>
      <c r="X1498">
        <v>6</v>
      </c>
      <c r="Y1498" t="s">
        <v>20573</v>
      </c>
      <c r="Z1498" t="s">
        <v>26816</v>
      </c>
      <c r="AA1498">
        <v>1.0843831027539179</v>
      </c>
      <c r="AB1498" t="str">
        <f>HYPERLINK("Melting_Curves/meltCurve_O15234_CASC3.pdf", "Melting_Curves/meltCurve_O15234_CASC3.pdf")</f>
        <v>Melting_Curves/meltCurve_O15234_CASC3.pdf</v>
      </c>
    </row>
    <row r="1499" spans="1:28" x14ac:dyDescent="0.25">
      <c r="A1499" t="s">
        <v>1503</v>
      </c>
      <c r="B1499">
        <v>0.99542014353169495</v>
      </c>
      <c r="C1499">
        <v>0.96876842644023498</v>
      </c>
      <c r="D1499">
        <v>1.0246941562310901</v>
      </c>
      <c r="E1499">
        <v>0.49779668613546502</v>
      </c>
      <c r="F1499">
        <v>0.2119974426523</v>
      </c>
      <c r="G1499">
        <v>0.113834879254147</v>
      </c>
      <c r="H1499">
        <v>6.8241527520271503E-2</v>
      </c>
      <c r="I1499">
        <v>4.5549259628406197E-2</v>
      </c>
      <c r="J1499">
        <v>4.44802474869666E-2</v>
      </c>
      <c r="K1499">
        <v>5.34268741069941E-2</v>
      </c>
      <c r="L1499">
        <v>1493.4736295990699</v>
      </c>
      <c r="M1499">
        <v>32.035425778700599</v>
      </c>
      <c r="N1499">
        <v>46.837423589561503</v>
      </c>
      <c r="O1499">
        <v>46.4389095849033</v>
      </c>
      <c r="P1499">
        <v>-0.16051815616079401</v>
      </c>
      <c r="Q1499">
        <v>6.9249090738586594E-2</v>
      </c>
      <c r="R1499">
        <v>0.99104437499174103</v>
      </c>
      <c r="S1499" t="s">
        <v>7901</v>
      </c>
      <c r="T1499" t="s">
        <v>12802</v>
      </c>
      <c r="U1499" t="s">
        <v>12802</v>
      </c>
      <c r="V1499" t="s">
        <v>12802</v>
      </c>
      <c r="W1499" t="s">
        <v>14265</v>
      </c>
      <c r="X1499">
        <v>3</v>
      </c>
      <c r="Y1499" t="s">
        <v>20574</v>
      </c>
      <c r="Z1499" t="s">
        <v>26817</v>
      </c>
      <c r="AA1499">
        <v>0.37239404998360359</v>
      </c>
      <c r="AB1499" t="str">
        <f>HYPERLINK("Melting_Curves/meltCurve_O15235_MRPS12.pdf", "Melting_Curves/meltCurve_O15235_MRPS12.pdf")</f>
        <v>Melting_Curves/meltCurve_O15235_MRPS12.pdf</v>
      </c>
    </row>
    <row r="1500" spans="1:28" x14ac:dyDescent="0.25">
      <c r="A1500" t="s">
        <v>1504</v>
      </c>
      <c r="B1500">
        <v>0.99542014353169495</v>
      </c>
      <c r="C1500">
        <v>0.93993996969877003</v>
      </c>
      <c r="D1500">
        <v>1.0605907507138499</v>
      </c>
      <c r="E1500">
        <v>1.0346614227474</v>
      </c>
      <c r="F1500">
        <v>1.0077142023788299</v>
      </c>
      <c r="G1500">
        <v>0.58025181589221997</v>
      </c>
      <c r="H1500">
        <v>0.457139804608861</v>
      </c>
      <c r="I1500">
        <v>0.40607597666344503</v>
      </c>
      <c r="J1500">
        <v>0.431823890146873</v>
      </c>
      <c r="K1500">
        <v>0.174948786915189</v>
      </c>
      <c r="L1500">
        <v>2537.5275394134701</v>
      </c>
      <c r="M1500">
        <v>47.674266788500802</v>
      </c>
      <c r="N1500">
        <v>54.679107503069801</v>
      </c>
      <c r="O1500">
        <v>53.132968701159001</v>
      </c>
      <c r="P1500">
        <v>-0.14376155008959701</v>
      </c>
      <c r="Q1500">
        <v>0.35911183150381298</v>
      </c>
      <c r="R1500">
        <v>0.94116309785324903</v>
      </c>
      <c r="S1500" t="s">
        <v>7902</v>
      </c>
      <c r="T1500" t="s">
        <v>12802</v>
      </c>
      <c r="U1500" t="s">
        <v>12802</v>
      </c>
      <c r="V1500" t="s">
        <v>12802</v>
      </c>
      <c r="W1500" t="s">
        <v>14266</v>
      </c>
      <c r="X1500">
        <v>1</v>
      </c>
      <c r="Y1500" t="s">
        <v>20575</v>
      </c>
      <c r="Z1500" t="s">
        <v>26818</v>
      </c>
      <c r="AA1500">
        <v>0.70740831607117771</v>
      </c>
      <c r="AB1500" t="str">
        <f>HYPERLINK("Melting_Curves/meltCurve_O15240_VGF.pdf", "Melting_Curves/meltCurve_O15240_VGF.pdf")</f>
        <v>Melting_Curves/meltCurve_O15240_VGF.pdf</v>
      </c>
    </row>
    <row r="1501" spans="1:28" x14ac:dyDescent="0.25">
      <c r="A1501" t="s">
        <v>1505</v>
      </c>
      <c r="B1501">
        <v>0.99542014353169495</v>
      </c>
      <c r="C1501">
        <v>1.0115871152364</v>
      </c>
      <c r="D1501">
        <v>0.92908309761173102</v>
      </c>
      <c r="E1501">
        <v>0.820043906654912</v>
      </c>
      <c r="F1501">
        <v>0.327310236826728</v>
      </c>
      <c r="G1501">
        <v>0.14417641122266001</v>
      </c>
      <c r="H1501">
        <v>7.4943054029227504E-2</v>
      </c>
      <c r="I1501">
        <v>4.9717835185416198E-2</v>
      </c>
      <c r="J1501">
        <v>5.49436406816513E-2</v>
      </c>
      <c r="K1501">
        <v>5.1888778377740898E-2</v>
      </c>
      <c r="L1501">
        <v>1374.0423737290801</v>
      </c>
      <c r="M1501">
        <v>28.183131129628201</v>
      </c>
      <c r="N1501">
        <v>48.963001194490197</v>
      </c>
      <c r="O1501">
        <v>48.510588036825901</v>
      </c>
      <c r="P1501">
        <v>-0.137014906134899</v>
      </c>
      <c r="Q1501">
        <v>5.6652970786553999E-2</v>
      </c>
      <c r="R1501">
        <v>0.99747686505301503</v>
      </c>
      <c r="S1501" t="s">
        <v>7903</v>
      </c>
      <c r="T1501" t="s">
        <v>12802</v>
      </c>
      <c r="U1501" t="s">
        <v>12802</v>
      </c>
      <c r="V1501" t="s">
        <v>12802</v>
      </c>
      <c r="W1501" t="s">
        <v>14267</v>
      </c>
      <c r="X1501">
        <v>15</v>
      </c>
      <c r="Y1501" t="s">
        <v>20576</v>
      </c>
      <c r="Z1501" t="s">
        <v>26819</v>
      </c>
      <c r="AA1501">
        <v>0.43267419200131307</v>
      </c>
      <c r="AB1501" t="str">
        <f>HYPERLINK("Melting_Curves/meltCurve_O15247_CLIC2.pdf", "Melting_Curves/meltCurve_O15247_CLIC2.pdf")</f>
        <v>Melting_Curves/meltCurve_O15247_CLIC2.pdf</v>
      </c>
    </row>
    <row r="1502" spans="1:28" x14ac:dyDescent="0.25">
      <c r="A1502" t="s">
        <v>1506</v>
      </c>
      <c r="B1502">
        <v>0.99542014353169495</v>
      </c>
      <c r="C1502">
        <v>0.93544480390644102</v>
      </c>
      <c r="D1502">
        <v>1.0222387465979099</v>
      </c>
      <c r="E1502">
        <v>0.79357175419623605</v>
      </c>
      <c r="F1502">
        <v>0.70587168907145303</v>
      </c>
      <c r="G1502">
        <v>0.41350546586765902</v>
      </c>
      <c r="H1502">
        <v>0.37721083592534599</v>
      </c>
      <c r="I1502">
        <v>0.31423970707562299</v>
      </c>
      <c r="J1502">
        <v>0.36018007657517098</v>
      </c>
      <c r="K1502">
        <v>0.38094606835542899</v>
      </c>
      <c r="L1502">
        <v>967.56928538089301</v>
      </c>
      <c r="M1502">
        <v>19.459987812996101</v>
      </c>
      <c r="N1502">
        <v>52.747397932300402</v>
      </c>
      <c r="O1502">
        <v>49.204835119138302</v>
      </c>
      <c r="P1502">
        <v>-6.5624521838118094E-2</v>
      </c>
      <c r="Q1502">
        <v>0.33629420572545099</v>
      </c>
      <c r="R1502">
        <v>0.972658358006813</v>
      </c>
      <c r="S1502" t="s">
        <v>7904</v>
      </c>
      <c r="T1502" t="s">
        <v>12802</v>
      </c>
      <c r="U1502" t="s">
        <v>12802</v>
      </c>
      <c r="V1502" t="s">
        <v>12802</v>
      </c>
      <c r="W1502" t="s">
        <v>14268</v>
      </c>
      <c r="X1502">
        <v>3</v>
      </c>
      <c r="Y1502" t="s">
        <v>20577</v>
      </c>
      <c r="Z1502" t="s">
        <v>26820</v>
      </c>
      <c r="AA1502">
        <v>0.62690362325618565</v>
      </c>
      <c r="AB1502" t="str">
        <f>HYPERLINK("Melting_Curves/meltCurve_O15258_RER1.pdf", "Melting_Curves/meltCurve_O15258_RER1.pdf")</f>
        <v>Melting_Curves/meltCurve_O15258_RER1.pdf</v>
      </c>
    </row>
    <row r="1503" spans="1:28" x14ac:dyDescent="0.25">
      <c r="A1503" t="s">
        <v>1507</v>
      </c>
      <c r="B1503">
        <v>0.99542014353169495</v>
      </c>
      <c r="C1503">
        <v>0.959386119651918</v>
      </c>
      <c r="D1503">
        <v>0.934298467456804</v>
      </c>
      <c r="E1503">
        <v>0.696228195286407</v>
      </c>
      <c r="F1503">
        <v>0.43056518334966298</v>
      </c>
      <c r="G1503">
        <v>0.220719772971187</v>
      </c>
      <c r="H1503">
        <v>9.2695261350724506E-2</v>
      </c>
      <c r="I1503">
        <v>4.9820560694143097E-2</v>
      </c>
      <c r="J1503">
        <v>5.5236940622905198E-2</v>
      </c>
      <c r="K1503">
        <v>5.0756444901696202E-2</v>
      </c>
      <c r="L1503">
        <v>810.27242886142199</v>
      </c>
      <c r="M1503">
        <v>16.521643632372101</v>
      </c>
      <c r="N1503">
        <v>49.213625967334799</v>
      </c>
      <c r="O1503">
        <v>48.341494349303098</v>
      </c>
      <c r="P1503">
        <v>-8.3070944824782403E-2</v>
      </c>
      <c r="Q1503">
        <v>2.7821794725024399E-2</v>
      </c>
      <c r="R1503">
        <v>0.99875585661937105</v>
      </c>
      <c r="S1503" t="s">
        <v>7905</v>
      </c>
      <c r="T1503" t="s">
        <v>12802</v>
      </c>
      <c r="U1503" t="s">
        <v>12802</v>
      </c>
      <c r="V1503" t="s">
        <v>12802</v>
      </c>
      <c r="W1503" t="s">
        <v>14269</v>
      </c>
      <c r="X1503">
        <v>15</v>
      </c>
      <c r="Y1503" t="s">
        <v>20578</v>
      </c>
      <c r="Z1503" t="s">
        <v>26821</v>
      </c>
      <c r="AA1503">
        <v>0.43596534247899921</v>
      </c>
      <c r="AB1503" t="str">
        <f>HYPERLINK("Melting_Curves/meltCurve_O15269_SPTLC1.pdf", "Melting_Curves/meltCurve_O15269_SPTLC1.pdf")</f>
        <v>Melting_Curves/meltCurve_O15269_SPTLC1.pdf</v>
      </c>
    </row>
    <row r="1504" spans="1:28" x14ac:dyDescent="0.25">
      <c r="A1504" t="s">
        <v>1508</v>
      </c>
      <c r="B1504">
        <v>0.99542014353169495</v>
      </c>
      <c r="C1504">
        <v>0.92886500286915497</v>
      </c>
      <c r="D1504">
        <v>0.98011212370555501</v>
      </c>
      <c r="E1504">
        <v>0.85694182709028299</v>
      </c>
      <c r="F1504">
        <v>0.73173011553270595</v>
      </c>
      <c r="G1504">
        <v>0.31039700290482702</v>
      </c>
      <c r="H1504">
        <v>0.110543841818963</v>
      </c>
      <c r="I1504">
        <v>7.6004168383828105E-2</v>
      </c>
      <c r="J1504">
        <v>7.4921269466212997E-2</v>
      </c>
      <c r="K1504">
        <v>8.6889991483250106E-2</v>
      </c>
      <c r="L1504">
        <v>1233.0215772070401</v>
      </c>
      <c r="M1504">
        <v>23.861617944945301</v>
      </c>
      <c r="N1504">
        <v>51.945118227157899</v>
      </c>
      <c r="O1504">
        <v>51.315019926074498</v>
      </c>
      <c r="P1504">
        <v>-0.109442424441728</v>
      </c>
      <c r="Q1504">
        <v>5.8580295593460598E-2</v>
      </c>
      <c r="R1504">
        <v>0.990553530587861</v>
      </c>
      <c r="S1504" t="s">
        <v>7906</v>
      </c>
      <c r="T1504" t="s">
        <v>12802</v>
      </c>
      <c r="U1504" t="s">
        <v>12802</v>
      </c>
      <c r="V1504" t="s">
        <v>12802</v>
      </c>
      <c r="W1504" t="s">
        <v>14270</v>
      </c>
      <c r="X1504">
        <v>15</v>
      </c>
      <c r="Y1504" t="s">
        <v>20579</v>
      </c>
      <c r="Z1504" t="s">
        <v>26822</v>
      </c>
      <c r="AA1504">
        <v>0.52811865325661977</v>
      </c>
      <c r="AB1504" t="str">
        <f>HYPERLINK("Melting_Curves/meltCurve_O15270_SPTLC2.pdf", "Melting_Curves/meltCurve_O15270_SPTLC2.pdf")</f>
        <v>Melting_Curves/meltCurve_O15270_SPTLC2.pdf</v>
      </c>
    </row>
    <row r="1505" spans="1:28" x14ac:dyDescent="0.25">
      <c r="A1505" t="s">
        <v>1509</v>
      </c>
      <c r="B1505">
        <v>0.99542014353169495</v>
      </c>
      <c r="C1505">
        <v>0.83712415827900699</v>
      </c>
      <c r="D1505">
        <v>0.81076928625848899</v>
      </c>
      <c r="E1505">
        <v>0.61360767593661103</v>
      </c>
      <c r="F1505">
        <v>0.34536157428405301</v>
      </c>
      <c r="G1505">
        <v>0.1228961693749</v>
      </c>
      <c r="H1505">
        <v>0.11381870652527</v>
      </c>
      <c r="I1505">
        <v>9.1176087172410603E-2</v>
      </c>
      <c r="J1505">
        <v>7.3038379849433802E-2</v>
      </c>
      <c r="K1505">
        <v>6.6623227597125606E-2</v>
      </c>
      <c r="L1505">
        <v>643.56378291298802</v>
      </c>
      <c r="M1505">
        <v>13.6020194192779</v>
      </c>
      <c r="N1505">
        <v>47.5649372388337</v>
      </c>
      <c r="O1505">
        <v>46.326314384197701</v>
      </c>
      <c r="P1505">
        <v>-7.0870821174375598E-2</v>
      </c>
      <c r="Q1505">
        <v>3.4643975094876898E-2</v>
      </c>
      <c r="R1505">
        <v>0.98694315310952696</v>
      </c>
      <c r="S1505" t="s">
        <v>7907</v>
      </c>
      <c r="T1505" t="s">
        <v>12802</v>
      </c>
      <c r="U1505" t="s">
        <v>12802</v>
      </c>
      <c r="V1505" t="s">
        <v>12802</v>
      </c>
      <c r="W1505" t="s">
        <v>14271</v>
      </c>
      <c r="X1505">
        <v>21</v>
      </c>
      <c r="Y1505" t="s">
        <v>20580</v>
      </c>
      <c r="Z1505" t="s">
        <v>26823</v>
      </c>
      <c r="AA1505">
        <v>0.39205641604239111</v>
      </c>
      <c r="AB1505" t="str">
        <f>HYPERLINK("Melting_Curves/meltCurve_O15294_3_OGT.pdf", "Melting_Curves/meltCurve_O15294_3_OGT.pdf")</f>
        <v>Melting_Curves/meltCurve_O15294_3_OGT.pdf</v>
      </c>
    </row>
    <row r="1506" spans="1:28" x14ac:dyDescent="0.25">
      <c r="A1506" t="s">
        <v>1510</v>
      </c>
      <c r="B1506">
        <v>0.99542014353169495</v>
      </c>
      <c r="C1506">
        <v>1.00611779077487</v>
      </c>
      <c r="D1506">
        <v>0.94810669523645796</v>
      </c>
      <c r="E1506">
        <v>0.91156250567463903</v>
      </c>
      <c r="F1506">
        <v>0.68537594503004895</v>
      </c>
      <c r="G1506">
        <v>0.49485920842353098</v>
      </c>
      <c r="H1506">
        <v>0.24480375640801499</v>
      </c>
      <c r="I1506">
        <v>0.101735929670666</v>
      </c>
      <c r="J1506">
        <v>7.4157073471336599E-2</v>
      </c>
      <c r="K1506">
        <v>7.4576866067872796E-2</v>
      </c>
      <c r="L1506">
        <v>809.22877854827902</v>
      </c>
      <c r="M1506">
        <v>15.223376908072501</v>
      </c>
      <c r="N1506">
        <v>53.2230888173547</v>
      </c>
      <c r="O1506">
        <v>52.265046731222299</v>
      </c>
      <c r="P1506">
        <v>-7.2142907248635799E-2</v>
      </c>
      <c r="Q1506">
        <v>9.3675036208299197E-3</v>
      </c>
      <c r="R1506">
        <v>0.996840040735822</v>
      </c>
      <c r="S1506" t="s">
        <v>7908</v>
      </c>
      <c r="T1506" t="s">
        <v>12802</v>
      </c>
      <c r="U1506" t="s">
        <v>12802</v>
      </c>
      <c r="V1506" t="s">
        <v>12802</v>
      </c>
      <c r="W1506" t="s">
        <v>14272</v>
      </c>
      <c r="X1506">
        <v>12</v>
      </c>
      <c r="Y1506" t="s">
        <v>20581</v>
      </c>
      <c r="Z1506" t="s">
        <v>26824</v>
      </c>
      <c r="AA1506">
        <v>0.5600974765065756</v>
      </c>
      <c r="AB1506" t="str">
        <f>HYPERLINK("Melting_Curves/meltCurve_O15305_PMM2.pdf", "Melting_Curves/meltCurve_O15305_PMM2.pdf")</f>
        <v>Melting_Curves/meltCurve_O15305_PMM2.pdf</v>
      </c>
    </row>
    <row r="1507" spans="1:28" x14ac:dyDescent="0.25">
      <c r="A1507" t="s">
        <v>1511</v>
      </c>
      <c r="B1507">
        <v>0.99542014353169495</v>
      </c>
      <c r="C1507">
        <v>0.93188063702329904</v>
      </c>
      <c r="D1507">
        <v>0.89348797760031595</v>
      </c>
      <c r="E1507">
        <v>0.82828515596813401</v>
      </c>
      <c r="F1507">
        <v>0.62554754552098701</v>
      </c>
      <c r="G1507">
        <v>0.50772617814610999</v>
      </c>
      <c r="H1507">
        <v>0.31729552178404702</v>
      </c>
      <c r="I1507">
        <v>0.24216939631451101</v>
      </c>
      <c r="J1507">
        <v>0.33490362162008003</v>
      </c>
      <c r="K1507">
        <v>0.35598647634988001</v>
      </c>
      <c r="L1507">
        <v>710.84491510800694</v>
      </c>
      <c r="M1507">
        <v>14.246890567394001</v>
      </c>
      <c r="N1507">
        <v>52.853408419585001</v>
      </c>
      <c r="O1507">
        <v>48.9425882308769</v>
      </c>
      <c r="P1507">
        <v>-5.2783429648179198E-2</v>
      </c>
      <c r="Q1507">
        <v>0.27477834100972298</v>
      </c>
      <c r="R1507">
        <v>0.97207278645208495</v>
      </c>
      <c r="S1507" t="s">
        <v>7909</v>
      </c>
      <c r="T1507" t="s">
        <v>12802</v>
      </c>
      <c r="U1507" t="s">
        <v>12802</v>
      </c>
      <c r="V1507" t="s">
        <v>12802</v>
      </c>
      <c r="W1507" t="s">
        <v>14273</v>
      </c>
      <c r="X1507">
        <v>15</v>
      </c>
      <c r="Y1507" t="s">
        <v>20582</v>
      </c>
      <c r="Z1507" t="s">
        <v>26825</v>
      </c>
      <c r="AA1507">
        <v>0.60286893234161976</v>
      </c>
      <c r="AB1507" t="str">
        <f>HYPERLINK("Melting_Curves/meltCurve_O15347_HMGB3.pdf", "Melting_Curves/meltCurve_O15347_HMGB3.pdf")</f>
        <v>Melting_Curves/meltCurve_O15347_HMGB3.pdf</v>
      </c>
    </row>
    <row r="1508" spans="1:28" x14ac:dyDescent="0.25">
      <c r="A1508" t="s">
        <v>1512</v>
      </c>
      <c r="B1508">
        <v>0.99542014353169495</v>
      </c>
      <c r="C1508">
        <v>0.99522659051343099</v>
      </c>
      <c r="D1508">
        <v>0.92661076240037299</v>
      </c>
      <c r="E1508">
        <v>0.66894519478235304</v>
      </c>
      <c r="F1508">
        <v>0.140038202209882</v>
      </c>
      <c r="G1508">
        <v>8.1230757463319495E-2</v>
      </c>
      <c r="H1508">
        <v>4.6904061218631499E-2</v>
      </c>
      <c r="I1508">
        <v>3.3375293280737302E-2</v>
      </c>
      <c r="J1508">
        <v>3.9007678150794797E-2</v>
      </c>
      <c r="K1508">
        <v>4.2350176561526398E-2</v>
      </c>
      <c r="L1508">
        <v>1649.68496419353</v>
      </c>
      <c r="M1508">
        <v>34.824033474415103</v>
      </c>
      <c r="N1508">
        <v>47.492210986143498</v>
      </c>
      <c r="O1508">
        <v>47.2166289412338</v>
      </c>
      <c r="P1508">
        <v>-0.17660927465405599</v>
      </c>
      <c r="Q1508">
        <v>4.2171357524827403E-2</v>
      </c>
      <c r="R1508">
        <v>0.99801238381712798</v>
      </c>
      <c r="S1508" t="s">
        <v>7910</v>
      </c>
      <c r="T1508" t="s">
        <v>12802</v>
      </c>
      <c r="U1508" t="s">
        <v>12802</v>
      </c>
      <c r="V1508" t="s">
        <v>12802</v>
      </c>
      <c r="W1508" t="s">
        <v>14274</v>
      </c>
      <c r="X1508">
        <v>26</v>
      </c>
      <c r="Y1508" t="s">
        <v>20583</v>
      </c>
      <c r="Z1508" t="s">
        <v>26826</v>
      </c>
      <c r="AA1508">
        <v>0.37747444822385212</v>
      </c>
      <c r="AB1508" t="str">
        <f>HYPERLINK("Melting_Curves/meltCurve_O15355_PPM1G.pdf", "Melting_Curves/meltCurve_O15355_PPM1G.pdf")</f>
        <v>Melting_Curves/meltCurve_O15355_PPM1G.pdf</v>
      </c>
    </row>
    <row r="1509" spans="1:28" x14ac:dyDescent="0.25">
      <c r="A1509" t="s">
        <v>1513</v>
      </c>
      <c r="B1509">
        <v>0.99542014353169495</v>
      </c>
      <c r="C1509">
        <v>0.94813948536539805</v>
      </c>
      <c r="D1509">
        <v>0.81647227349663798</v>
      </c>
      <c r="E1509">
        <v>0.51798336652629495</v>
      </c>
      <c r="F1509">
        <v>0.224753812181757</v>
      </c>
      <c r="G1509">
        <v>0.13638191223163201</v>
      </c>
      <c r="H1509">
        <v>9.7929998714077496E-2</v>
      </c>
      <c r="I1509">
        <v>6.9373829366263698E-2</v>
      </c>
      <c r="J1509">
        <v>7.6919362489590803E-2</v>
      </c>
      <c r="K1509">
        <v>7.2639116276018795E-2</v>
      </c>
      <c r="L1509">
        <v>873.85531066738997</v>
      </c>
      <c r="M1509">
        <v>18.879883145317098</v>
      </c>
      <c r="N1509">
        <v>46.6478391157044</v>
      </c>
      <c r="O1509">
        <v>45.7751049218367</v>
      </c>
      <c r="P1509">
        <v>-9.6074568442994099E-2</v>
      </c>
      <c r="Q1509">
        <v>6.8290040339920893E-2</v>
      </c>
      <c r="R1509">
        <v>0.99943665781686897</v>
      </c>
      <c r="S1509" t="s">
        <v>7911</v>
      </c>
      <c r="T1509" t="s">
        <v>12802</v>
      </c>
      <c r="U1509" t="s">
        <v>12802</v>
      </c>
      <c r="V1509" t="s">
        <v>12802</v>
      </c>
      <c r="W1509" t="s">
        <v>14275</v>
      </c>
      <c r="X1509">
        <v>19</v>
      </c>
      <c r="Y1509" t="s">
        <v>20584</v>
      </c>
      <c r="Z1509" t="s">
        <v>26827</v>
      </c>
      <c r="AA1509">
        <v>0.37032160004921322</v>
      </c>
      <c r="AB1509" t="str">
        <f>HYPERLINK("Melting_Curves/meltCurve_O15357_INPPL1.pdf", "Melting_Curves/meltCurve_O15357_INPPL1.pdf")</f>
        <v>Melting_Curves/meltCurve_O15357_INPPL1.pdf</v>
      </c>
    </row>
    <row r="1510" spans="1:28" x14ac:dyDescent="0.25">
      <c r="A1510" t="s">
        <v>1514</v>
      </c>
      <c r="B1510">
        <v>0.99542014353169495</v>
      </c>
      <c r="C1510">
        <v>0.83652950787762703</v>
      </c>
      <c r="D1510">
        <v>0.70497913832910197</v>
      </c>
      <c r="E1510">
        <v>0.44114994773580601</v>
      </c>
      <c r="F1510">
        <v>0.28343394675199002</v>
      </c>
      <c r="G1510">
        <v>0.13591204274580601</v>
      </c>
      <c r="H1510">
        <v>7.0292829343301999E-2</v>
      </c>
      <c r="I1510">
        <v>4.9249923886716701E-2</v>
      </c>
      <c r="J1510">
        <v>5.7034711049538903E-2</v>
      </c>
      <c r="K1510">
        <v>5.4147251315872301E-2</v>
      </c>
      <c r="L1510">
        <v>586.71955967023598</v>
      </c>
      <c r="M1510">
        <v>12.8448334021181</v>
      </c>
      <c r="N1510">
        <v>45.850451558399499</v>
      </c>
      <c r="O1510">
        <v>44.612835499025003</v>
      </c>
      <c r="P1510">
        <v>-7.0290048730193497E-2</v>
      </c>
      <c r="Q1510">
        <v>2.3651639974460001E-2</v>
      </c>
      <c r="R1510">
        <v>0.99620756894501905</v>
      </c>
      <c r="S1510" t="s">
        <v>7912</v>
      </c>
      <c r="T1510" t="s">
        <v>12802</v>
      </c>
      <c r="U1510" t="s">
        <v>12802</v>
      </c>
      <c r="V1510" t="s">
        <v>12802</v>
      </c>
      <c r="W1510" t="s">
        <v>14276</v>
      </c>
      <c r="X1510">
        <v>5</v>
      </c>
      <c r="Y1510" t="s">
        <v>20585</v>
      </c>
      <c r="Z1510" t="s">
        <v>26828</v>
      </c>
      <c r="AA1510">
        <v>0.33641389200070199</v>
      </c>
      <c r="AB1510" t="str">
        <f>HYPERLINK("Melting_Curves/meltCurve_O15379_HDAC3.pdf", "Melting_Curves/meltCurve_O15379_HDAC3.pdf")</f>
        <v>Melting_Curves/meltCurve_O15379_HDAC3.pdf</v>
      </c>
    </row>
    <row r="1511" spans="1:28" x14ac:dyDescent="0.25">
      <c r="A1511" t="s">
        <v>1515</v>
      </c>
      <c r="B1511">
        <v>0.99542014353169495</v>
      </c>
      <c r="C1511">
        <v>0.98974992532230099</v>
      </c>
      <c r="D1511">
        <v>0.95528598663553699</v>
      </c>
      <c r="E1511">
        <v>0.87128963140801396</v>
      </c>
      <c r="F1511">
        <v>0.676761213021698</v>
      </c>
      <c r="G1511">
        <v>0.49471585286025599</v>
      </c>
      <c r="H1511">
        <v>0.346498793056224</v>
      </c>
      <c r="I1511">
        <v>0.261204198460532</v>
      </c>
      <c r="J1511">
        <v>0.206204209554843</v>
      </c>
      <c r="K1511">
        <v>0.168984937864044</v>
      </c>
      <c r="L1511">
        <v>684.47593570862</v>
      </c>
      <c r="M1511">
        <v>13.0460695785822</v>
      </c>
      <c r="N1511">
        <v>53.708476114385597</v>
      </c>
      <c r="O1511">
        <v>51.279239323940701</v>
      </c>
      <c r="P1511">
        <v>-5.5328264726895303E-2</v>
      </c>
      <c r="Q1511">
        <v>0.130252385630445</v>
      </c>
      <c r="R1511">
        <v>0.99947985803229</v>
      </c>
      <c r="S1511" t="s">
        <v>7913</v>
      </c>
      <c r="T1511" t="s">
        <v>12802</v>
      </c>
      <c r="U1511" t="s">
        <v>12802</v>
      </c>
      <c r="V1511" t="s">
        <v>12802</v>
      </c>
      <c r="W1511" t="s">
        <v>14277</v>
      </c>
      <c r="X1511">
        <v>13</v>
      </c>
      <c r="Y1511" t="s">
        <v>20586</v>
      </c>
      <c r="Z1511" t="s">
        <v>26829</v>
      </c>
      <c r="AA1511">
        <v>0.59707487720641195</v>
      </c>
      <c r="AB1511" t="str">
        <f>HYPERLINK("Melting_Curves/meltCurve_O15382_BCAT2.pdf", "Melting_Curves/meltCurve_O15382_BCAT2.pdf")</f>
        <v>Melting_Curves/meltCurve_O15382_BCAT2.pdf</v>
      </c>
    </row>
    <row r="1512" spans="1:28" x14ac:dyDescent="0.25">
      <c r="A1512" t="s">
        <v>1516</v>
      </c>
      <c r="B1512">
        <v>0.99542014353169495</v>
      </c>
      <c r="C1512">
        <v>1.05845107979831</v>
      </c>
      <c r="D1512">
        <v>0.85183172330277102</v>
      </c>
      <c r="E1512">
        <v>0.65254277129942295</v>
      </c>
      <c r="F1512">
        <v>0.49475044993887501</v>
      </c>
      <c r="G1512">
        <v>0.36291134252639301</v>
      </c>
      <c r="H1512">
        <v>0.28226082212253301</v>
      </c>
      <c r="I1512">
        <v>0.181650696218214</v>
      </c>
      <c r="J1512">
        <v>8.0663593079211504E-2</v>
      </c>
      <c r="K1512">
        <v>0.165810446280442</v>
      </c>
      <c r="L1512">
        <v>594.025260226912</v>
      </c>
      <c r="M1512">
        <v>12.0628528646214</v>
      </c>
      <c r="N1512">
        <v>50.187730492822098</v>
      </c>
      <c r="O1512">
        <v>47.949420615446499</v>
      </c>
      <c r="P1512">
        <v>-5.6526122001682499E-2</v>
      </c>
      <c r="Q1512">
        <v>0.10145479400137999</v>
      </c>
      <c r="R1512">
        <v>0.98020531223138996</v>
      </c>
      <c r="S1512" t="s">
        <v>7914</v>
      </c>
      <c r="T1512" t="s">
        <v>12802</v>
      </c>
      <c r="U1512" t="s">
        <v>12802</v>
      </c>
      <c r="V1512" t="s">
        <v>12802</v>
      </c>
      <c r="W1512" t="s">
        <v>14278</v>
      </c>
      <c r="X1512">
        <v>7</v>
      </c>
      <c r="Y1512" t="s">
        <v>20587</v>
      </c>
      <c r="Z1512" t="s">
        <v>26830</v>
      </c>
      <c r="AA1512">
        <v>0.49434962694147078</v>
      </c>
      <c r="AB1512" t="str">
        <f>HYPERLINK("Melting_Curves/meltCurve_O15391_YY2.pdf", "Melting_Curves/meltCurve_O15391_YY2.pdf")</f>
        <v>Melting_Curves/meltCurve_O15391_YY2.pdf</v>
      </c>
    </row>
    <row r="1513" spans="1:28" x14ac:dyDescent="0.25">
      <c r="A1513" t="s">
        <v>1517</v>
      </c>
      <c r="B1513">
        <v>0.99542014353169495</v>
      </c>
      <c r="C1513">
        <v>0.94863615537644697</v>
      </c>
      <c r="D1513">
        <v>0.85794995508026495</v>
      </c>
      <c r="E1513">
        <v>0.37364922663212602</v>
      </c>
      <c r="F1513">
        <v>0.19314898935866201</v>
      </c>
      <c r="G1513">
        <v>0.11272898192004301</v>
      </c>
      <c r="H1513">
        <v>8.1268653949116906E-2</v>
      </c>
      <c r="I1513">
        <v>5.9879101365603503E-2</v>
      </c>
      <c r="J1513">
        <v>7.5532078301029495E-2</v>
      </c>
      <c r="K1513">
        <v>8.0673493643352204E-2</v>
      </c>
      <c r="L1513">
        <v>1176.7590225613701</v>
      </c>
      <c r="M1513">
        <v>25.878014173555101</v>
      </c>
      <c r="N1513">
        <v>45.788501456594702</v>
      </c>
      <c r="O1513">
        <v>45.204370093590803</v>
      </c>
      <c r="P1513">
        <v>-0.13144217326608901</v>
      </c>
      <c r="Q1513">
        <v>8.1584707438886295E-2</v>
      </c>
      <c r="R1513">
        <v>0.99681328538033198</v>
      </c>
      <c r="S1513" t="s">
        <v>7915</v>
      </c>
      <c r="T1513" t="s">
        <v>12802</v>
      </c>
      <c r="U1513" t="s">
        <v>12802</v>
      </c>
      <c r="V1513" t="s">
        <v>12802</v>
      </c>
      <c r="W1513" t="s">
        <v>14279</v>
      </c>
      <c r="X1513">
        <v>13</v>
      </c>
      <c r="Y1513" t="s">
        <v>20588</v>
      </c>
      <c r="Z1513" t="s">
        <v>26831</v>
      </c>
      <c r="AA1513">
        <v>0.34802951574521068</v>
      </c>
      <c r="AB1513" t="str">
        <f>HYPERLINK("Melting_Curves/meltCurve_O15397_IPO8.pdf", "Melting_Curves/meltCurve_O15397_IPO8.pdf")</f>
        <v>Melting_Curves/meltCurve_O15397_IPO8.pdf</v>
      </c>
    </row>
    <row r="1514" spans="1:28" x14ac:dyDescent="0.25">
      <c r="A1514" t="s">
        <v>1518</v>
      </c>
      <c r="B1514">
        <v>0.99542014353169495</v>
      </c>
      <c r="C1514">
        <v>0.99449929551306904</v>
      </c>
      <c r="D1514">
        <v>1.04000815127933</v>
      </c>
      <c r="E1514">
        <v>0.91141590332663402</v>
      </c>
      <c r="F1514">
        <v>0.89297127662747999</v>
      </c>
      <c r="G1514">
        <v>0.64868696085138799</v>
      </c>
      <c r="H1514">
        <v>0.53412083436925994</v>
      </c>
      <c r="I1514">
        <v>0.424936225931551</v>
      </c>
      <c r="J1514">
        <v>0.54447922599535903</v>
      </c>
      <c r="K1514">
        <v>0.615369261883145</v>
      </c>
      <c r="L1514">
        <v>1645.35455864095</v>
      </c>
      <c r="M1514">
        <v>31.678294424103399</v>
      </c>
      <c r="O1514">
        <v>51.733828178922302</v>
      </c>
      <c r="P1514">
        <v>-7.2822717849373497E-2</v>
      </c>
      <c r="Q1514">
        <v>0.52429532619616404</v>
      </c>
      <c r="R1514">
        <v>0.94248400448325198</v>
      </c>
      <c r="S1514" t="s">
        <v>7916</v>
      </c>
      <c r="T1514" t="s">
        <v>12802</v>
      </c>
      <c r="U1514" t="s">
        <v>12802</v>
      </c>
      <c r="V1514" t="s">
        <v>12802</v>
      </c>
      <c r="W1514" t="s">
        <v>14280</v>
      </c>
      <c r="X1514">
        <v>13</v>
      </c>
      <c r="Y1514" t="s">
        <v>20589</v>
      </c>
      <c r="Z1514" t="s">
        <v>26832</v>
      </c>
      <c r="AA1514">
        <v>0.76388847502728463</v>
      </c>
      <c r="AB1514" t="str">
        <f>HYPERLINK("Melting_Curves/meltCurve_O15400_2_STX7.pdf", "Melting_Curves/meltCurve_O15400_2_STX7.pdf")</f>
        <v>Melting_Curves/meltCurve_O15400_2_STX7.pdf</v>
      </c>
    </row>
    <row r="1515" spans="1:28" x14ac:dyDescent="0.25">
      <c r="A1515" t="s">
        <v>1519</v>
      </c>
      <c r="B1515">
        <v>0.99542014353169495</v>
      </c>
      <c r="C1515">
        <v>0.95167908310314797</v>
      </c>
      <c r="D1515">
        <v>0.94440391279694402</v>
      </c>
      <c r="E1515">
        <v>0.77744273255145302</v>
      </c>
      <c r="F1515">
        <v>0.63708311160536701</v>
      </c>
      <c r="G1515">
        <v>0.33222631053053803</v>
      </c>
      <c r="H1515">
        <v>0.19494933062499201</v>
      </c>
      <c r="I1515">
        <v>0.17570175893213</v>
      </c>
      <c r="J1515">
        <v>0.146967961105367</v>
      </c>
      <c r="K1515">
        <v>0.158703417212989</v>
      </c>
      <c r="L1515">
        <v>806.34298897710403</v>
      </c>
      <c r="M1515">
        <v>15.979184524248801</v>
      </c>
      <c r="N1515">
        <v>51.328200566430098</v>
      </c>
      <c r="O1515">
        <v>49.691603542082298</v>
      </c>
      <c r="P1515">
        <v>-7.08974513824846E-2</v>
      </c>
      <c r="Q1515">
        <v>0.11817025775109501</v>
      </c>
      <c r="R1515">
        <v>0.99279698383749404</v>
      </c>
      <c r="S1515" t="s">
        <v>7917</v>
      </c>
      <c r="T1515" t="s">
        <v>12802</v>
      </c>
      <c r="U1515" t="s">
        <v>12802</v>
      </c>
      <c r="V1515" t="s">
        <v>12802</v>
      </c>
      <c r="W1515" t="s">
        <v>14281</v>
      </c>
      <c r="X1515">
        <v>2</v>
      </c>
      <c r="Y1515" t="s">
        <v>20590</v>
      </c>
      <c r="Z1515" t="s">
        <v>26833</v>
      </c>
      <c r="AA1515">
        <v>0.53045560019166793</v>
      </c>
      <c r="AB1515" t="str">
        <f>HYPERLINK("Melting_Curves/meltCurve_O15431_SLC31A1.pdf", "Melting_Curves/meltCurve_O15431_SLC31A1.pdf")</f>
        <v>Melting_Curves/meltCurve_O15431_SLC31A1.pdf</v>
      </c>
    </row>
    <row r="1516" spans="1:28" x14ac:dyDescent="0.25">
      <c r="A1516" t="s">
        <v>1520</v>
      </c>
      <c r="B1516">
        <v>0.99542014353169495</v>
      </c>
      <c r="C1516">
        <v>0.989529677892097</v>
      </c>
      <c r="D1516">
        <v>0.96133668769747105</v>
      </c>
      <c r="E1516">
        <v>0.81004935754167695</v>
      </c>
      <c r="F1516">
        <v>0.70408373658569101</v>
      </c>
      <c r="G1516">
        <v>0.46578702899801</v>
      </c>
      <c r="H1516">
        <v>0.34726281761310501</v>
      </c>
      <c r="I1516">
        <v>0.228751276737543</v>
      </c>
      <c r="J1516">
        <v>0.14873713170430899</v>
      </c>
      <c r="K1516">
        <v>9.7992216806723306E-2</v>
      </c>
      <c r="L1516">
        <v>582.72313365035404</v>
      </c>
      <c r="M1516">
        <v>10.8611601503084</v>
      </c>
      <c r="N1516">
        <v>53.700272599165402</v>
      </c>
      <c r="O1516">
        <v>51.929314868623102</v>
      </c>
      <c r="P1516">
        <v>-5.2052699910797397E-2</v>
      </c>
      <c r="Q1516">
        <v>4.8563248775321003E-3</v>
      </c>
      <c r="R1516">
        <v>0.99701852715561601</v>
      </c>
      <c r="S1516" t="s">
        <v>7918</v>
      </c>
      <c r="T1516" t="s">
        <v>12802</v>
      </c>
      <c r="U1516" t="s">
        <v>12802</v>
      </c>
      <c r="V1516" t="s">
        <v>12802</v>
      </c>
      <c r="W1516" t="s">
        <v>14282</v>
      </c>
      <c r="X1516">
        <v>14</v>
      </c>
      <c r="Y1516" t="s">
        <v>20591</v>
      </c>
      <c r="Z1516" t="s">
        <v>26834</v>
      </c>
      <c r="AA1516">
        <v>0.57655693886257997</v>
      </c>
      <c r="AB1516" t="str">
        <f>HYPERLINK("Melting_Curves/meltCurve_O15439_2_ABCC4.pdf", "Melting_Curves/meltCurve_O15439_2_ABCC4.pdf")</f>
        <v>Melting_Curves/meltCurve_O15439_2_ABCC4.pdf</v>
      </c>
    </row>
    <row r="1517" spans="1:28" x14ac:dyDescent="0.25">
      <c r="A1517" t="s">
        <v>1521</v>
      </c>
      <c r="B1517">
        <v>0.99542014353169495</v>
      </c>
      <c r="C1517">
        <v>0.97220532923402603</v>
      </c>
      <c r="D1517">
        <v>0.93568764985040898</v>
      </c>
      <c r="E1517">
        <v>0.74610273512552805</v>
      </c>
      <c r="F1517">
        <v>0.95906402262716095</v>
      </c>
      <c r="G1517">
        <v>1.1273715770580901</v>
      </c>
      <c r="H1517">
        <v>1.0314351360943801</v>
      </c>
      <c r="I1517">
        <v>0.85835544609759296</v>
      </c>
      <c r="J1517">
        <v>1.23717813313862</v>
      </c>
      <c r="K1517">
        <v>1.77708830953293</v>
      </c>
      <c r="L1517">
        <v>15000</v>
      </c>
      <c r="M1517">
        <v>233.90706130686399</v>
      </c>
      <c r="O1517">
        <v>64.123344030036804</v>
      </c>
      <c r="P1517">
        <v>0.45597094359008999</v>
      </c>
      <c r="Q1517">
        <v>1.5</v>
      </c>
      <c r="R1517">
        <v>0.74552417308923302</v>
      </c>
      <c r="S1517" t="s">
        <v>7919</v>
      </c>
      <c r="T1517" t="s">
        <v>12802</v>
      </c>
      <c r="U1517" t="s">
        <v>12802</v>
      </c>
      <c r="V1517" t="s">
        <v>12802</v>
      </c>
      <c r="W1517" t="s">
        <v>13269</v>
      </c>
      <c r="X1517">
        <v>10</v>
      </c>
      <c r="Y1517" t="s">
        <v>20592</v>
      </c>
      <c r="Z1517" t="s">
        <v>26835</v>
      </c>
      <c r="AA1517">
        <v>1.0478020378111299</v>
      </c>
      <c r="AB1517" t="str">
        <f>HYPERLINK("Melting_Curves/meltCurve_O15446_CD3EAP.pdf", "Melting_Curves/meltCurve_O15446_CD3EAP.pdf")</f>
        <v>Melting_Curves/meltCurve_O15446_CD3EAP.pdf</v>
      </c>
    </row>
    <row r="1518" spans="1:28" x14ac:dyDescent="0.25">
      <c r="A1518" t="s">
        <v>1522</v>
      </c>
      <c r="B1518">
        <v>0.99542014353169495</v>
      </c>
      <c r="C1518">
        <v>0.95044688020169998</v>
      </c>
      <c r="D1518">
        <v>0.80770829635881602</v>
      </c>
      <c r="E1518">
        <v>0.77161175887376798</v>
      </c>
      <c r="F1518">
        <v>0.48817523546964497</v>
      </c>
      <c r="G1518">
        <v>0.363667816184159</v>
      </c>
      <c r="H1518">
        <v>0.230729008620711</v>
      </c>
      <c r="I1518">
        <v>0.37166650357923198</v>
      </c>
      <c r="J1518">
        <v>0.392938615828683</v>
      </c>
      <c r="K1518">
        <v>0.29871400180762497</v>
      </c>
      <c r="L1518">
        <v>772.16700675056495</v>
      </c>
      <c r="M1518">
        <v>16.339207404882799</v>
      </c>
      <c r="N1518">
        <v>50.152874545922003</v>
      </c>
      <c r="O1518">
        <v>46.5676522704685</v>
      </c>
      <c r="P1518">
        <v>-6.0945361727111E-2</v>
      </c>
      <c r="Q1518">
        <v>0.30525949537028801</v>
      </c>
      <c r="R1518">
        <v>0.95303452321633397</v>
      </c>
      <c r="S1518" t="s">
        <v>7920</v>
      </c>
      <c r="T1518" t="s">
        <v>12802</v>
      </c>
      <c r="U1518" t="s">
        <v>12802</v>
      </c>
      <c r="V1518" t="s">
        <v>12802</v>
      </c>
      <c r="W1518" t="s">
        <v>14283</v>
      </c>
      <c r="X1518">
        <v>1</v>
      </c>
      <c r="Y1518" t="s">
        <v>20593</v>
      </c>
      <c r="Z1518" t="s">
        <v>26836</v>
      </c>
      <c r="AA1518">
        <v>0.55616321996245854</v>
      </c>
      <c r="AB1518" t="str">
        <f>HYPERLINK("Melting_Curves/meltCurve_O15453_NBR2.pdf", "Melting_Curves/meltCurve_O15453_NBR2.pdf")</f>
        <v>Melting_Curves/meltCurve_O15453_NBR2.pdf</v>
      </c>
    </row>
    <row r="1519" spans="1:28" x14ac:dyDescent="0.25">
      <c r="A1519" t="s">
        <v>1523</v>
      </c>
      <c r="B1519">
        <v>0.99542014353169495</v>
      </c>
      <c r="C1519">
        <v>0.98348702150316303</v>
      </c>
      <c r="D1519">
        <v>0.83413817885776098</v>
      </c>
      <c r="E1519">
        <v>0.66041468318975105</v>
      </c>
      <c r="F1519">
        <v>0.37696595192367199</v>
      </c>
      <c r="G1519">
        <v>0.14820077778937599</v>
      </c>
      <c r="H1519">
        <v>7.9789918220898801E-2</v>
      </c>
      <c r="I1519">
        <v>5.5383516177270699E-2</v>
      </c>
      <c r="J1519">
        <v>5.6753317121288401E-2</v>
      </c>
      <c r="K1519">
        <v>6.3854791118179294E-2</v>
      </c>
      <c r="L1519">
        <v>786.09191910788797</v>
      </c>
      <c r="M1519">
        <v>16.3400852743104</v>
      </c>
      <c r="N1519">
        <v>48.302567551533599</v>
      </c>
      <c r="O1519">
        <v>47.404957968143599</v>
      </c>
      <c r="P1519">
        <v>-8.3436886148716902E-2</v>
      </c>
      <c r="Q1519">
        <v>3.1819892068859698E-2</v>
      </c>
      <c r="R1519">
        <v>0.99674810452937701</v>
      </c>
      <c r="S1519" t="s">
        <v>7921</v>
      </c>
      <c r="T1519" t="s">
        <v>12802</v>
      </c>
      <c r="U1519" t="s">
        <v>12802</v>
      </c>
      <c r="V1519" t="s">
        <v>12802</v>
      </c>
      <c r="W1519" t="s">
        <v>14284</v>
      </c>
      <c r="X1519">
        <v>5</v>
      </c>
      <c r="Y1519" t="s">
        <v>20594</v>
      </c>
      <c r="Z1519" t="s">
        <v>26837</v>
      </c>
      <c r="AA1519">
        <v>0.40869015446049722</v>
      </c>
      <c r="AB1519" t="str">
        <f>HYPERLINK("Melting_Curves/meltCurve_O15460_2_P4HA2.pdf", "Melting_Curves/meltCurve_O15460_2_P4HA2.pdf")</f>
        <v>Melting_Curves/meltCurve_O15460_2_P4HA2.pdf</v>
      </c>
    </row>
    <row r="1520" spans="1:28" x14ac:dyDescent="0.25">
      <c r="A1520" t="s">
        <v>1524</v>
      </c>
      <c r="B1520">
        <v>0.99542014353169495</v>
      </c>
      <c r="C1520">
        <v>1.48034070680897</v>
      </c>
      <c r="D1520">
        <v>1.6657585828253301</v>
      </c>
      <c r="E1520">
        <v>0.62997734461297705</v>
      </c>
      <c r="F1520">
        <v>0.30028153948997699</v>
      </c>
      <c r="G1520">
        <v>7.8250730034228805E-2</v>
      </c>
      <c r="H1520">
        <v>5.8287266806991297E-2</v>
      </c>
      <c r="I1520">
        <v>5.03737858251656E-2</v>
      </c>
      <c r="J1520">
        <v>6.0134992832912799E-2</v>
      </c>
      <c r="K1520">
        <v>9.7380580200746802E-2</v>
      </c>
      <c r="L1520">
        <v>1909.50199988548</v>
      </c>
      <c r="M1520">
        <v>40.114498729982103</v>
      </c>
      <c r="N1520">
        <v>47.8187407338323</v>
      </c>
      <c r="O1520">
        <v>47.483453239082401</v>
      </c>
      <c r="P1520">
        <v>-0.193595202714749</v>
      </c>
      <c r="Q1520">
        <v>8.3368784165889706E-2</v>
      </c>
      <c r="R1520">
        <v>0.79736843383975198</v>
      </c>
      <c r="S1520" t="s">
        <v>7922</v>
      </c>
      <c r="T1520" t="s">
        <v>12802</v>
      </c>
      <c r="U1520" t="s">
        <v>12802</v>
      </c>
      <c r="V1520" t="s">
        <v>12802</v>
      </c>
      <c r="W1520" t="s">
        <v>14285</v>
      </c>
      <c r="X1520">
        <v>2</v>
      </c>
      <c r="Y1520" t="s">
        <v>20595</v>
      </c>
      <c r="Z1520" t="s">
        <v>26838</v>
      </c>
      <c r="AA1520">
        <v>0.41028370902218309</v>
      </c>
      <c r="AB1520" t="str">
        <f>HYPERLINK("Melting_Curves/meltCurve_O15479_MAGEB2.pdf", "Melting_Curves/meltCurve_O15479_MAGEB2.pdf")</f>
        <v>Melting_Curves/meltCurve_O15479_MAGEB2.pdf</v>
      </c>
    </row>
    <row r="1521" spans="1:28" x14ac:dyDescent="0.25">
      <c r="A1521" t="s">
        <v>1525</v>
      </c>
      <c r="B1521">
        <v>0.99542014353169495</v>
      </c>
      <c r="C1521">
        <v>1.0587323096916801</v>
      </c>
      <c r="D1521">
        <v>1.1154636828495299</v>
      </c>
      <c r="E1521">
        <v>1.06486361302029</v>
      </c>
      <c r="F1521">
        <v>0.887325139906461</v>
      </c>
      <c r="G1521">
        <v>0.66567917378923003</v>
      </c>
      <c r="H1521">
        <v>0.331663953659383</v>
      </c>
      <c r="I1521">
        <v>0.13270565839340501</v>
      </c>
      <c r="J1521">
        <v>0.13522719264615099</v>
      </c>
      <c r="K1521">
        <v>0.13259150574461601</v>
      </c>
      <c r="L1521">
        <v>1419.3072638604599</v>
      </c>
      <c r="M1521">
        <v>25.9016476786997</v>
      </c>
      <c r="N1521">
        <v>55.317319683607302</v>
      </c>
      <c r="O1521">
        <v>54.472528693435301</v>
      </c>
      <c r="P1521">
        <v>-0.106002397159196</v>
      </c>
      <c r="Q1521">
        <v>0.108295937587344</v>
      </c>
      <c r="R1521">
        <v>0.98433777601594796</v>
      </c>
      <c r="S1521" t="s">
        <v>7923</v>
      </c>
      <c r="T1521" t="s">
        <v>12802</v>
      </c>
      <c r="U1521" t="s">
        <v>12802</v>
      </c>
      <c r="V1521" t="s">
        <v>12802</v>
      </c>
      <c r="W1521" t="s">
        <v>14286</v>
      </c>
      <c r="X1521">
        <v>11</v>
      </c>
      <c r="Y1521" t="s">
        <v>20596</v>
      </c>
      <c r="Z1521" t="s">
        <v>26839</v>
      </c>
      <c r="AA1521">
        <v>0.6444859805485047</v>
      </c>
      <c r="AB1521" t="str">
        <f>HYPERLINK("Melting_Curves/meltCurve_O15498_YKT6.pdf", "Melting_Curves/meltCurve_O15498_YKT6.pdf")</f>
        <v>Melting_Curves/meltCurve_O15498_YKT6.pdf</v>
      </c>
    </row>
    <row r="1522" spans="1:28" x14ac:dyDescent="0.25">
      <c r="A1522" t="s">
        <v>1526</v>
      </c>
      <c r="B1522">
        <v>0.99542014353169495</v>
      </c>
      <c r="C1522">
        <v>1.0806883312690201</v>
      </c>
      <c r="D1522">
        <v>1.0065678458832901</v>
      </c>
      <c r="E1522">
        <v>0.89166814056271504</v>
      </c>
      <c r="F1522">
        <v>0.83856693423886097</v>
      </c>
      <c r="G1522">
        <v>0.52320739365628699</v>
      </c>
      <c r="H1522">
        <v>0.32582937686916602</v>
      </c>
      <c r="I1522">
        <v>0.18392441099022699</v>
      </c>
      <c r="J1522">
        <v>0.124875751429466</v>
      </c>
      <c r="K1522">
        <v>0.1580344310962</v>
      </c>
      <c r="L1522">
        <v>1005.25725887095</v>
      </c>
      <c r="M1522">
        <v>18.754107023018999</v>
      </c>
      <c r="N1522">
        <v>54.329371190736701</v>
      </c>
      <c r="O1522">
        <v>53.003677156126798</v>
      </c>
      <c r="P1522">
        <v>-7.8639122583813295E-2</v>
      </c>
      <c r="Q1522">
        <v>0.111023897745907</v>
      </c>
      <c r="R1522">
        <v>0.99014958089492</v>
      </c>
      <c r="S1522" t="s">
        <v>7924</v>
      </c>
      <c r="T1522" t="s">
        <v>12802</v>
      </c>
      <c r="U1522" t="s">
        <v>12802</v>
      </c>
      <c r="V1522" t="s">
        <v>12802</v>
      </c>
      <c r="W1522" t="s">
        <v>14287</v>
      </c>
      <c r="X1522">
        <v>1</v>
      </c>
      <c r="Y1522" t="s">
        <v>20597</v>
      </c>
      <c r="Z1522" t="s">
        <v>26840</v>
      </c>
      <c r="AA1522">
        <v>0.61488976342540991</v>
      </c>
      <c r="AB1522" t="str">
        <f>HYPERLINK("Melting_Curves/meltCurve_O15503_INSIG1.pdf", "Melting_Curves/meltCurve_O15503_INSIG1.pdf")</f>
        <v>Melting_Curves/meltCurve_O15503_INSIG1.pdf</v>
      </c>
    </row>
    <row r="1523" spans="1:28" x14ac:dyDescent="0.25">
      <c r="A1523" t="s">
        <v>1527</v>
      </c>
      <c r="B1523">
        <v>0.99542014353169495</v>
      </c>
      <c r="C1523">
        <v>0.91919932983586305</v>
      </c>
      <c r="D1523">
        <v>1.01539936220709</v>
      </c>
      <c r="E1523">
        <v>0.91120956336330206</v>
      </c>
      <c r="F1523">
        <v>0.76466347164943804</v>
      </c>
      <c r="G1523">
        <v>0.57913497427866301</v>
      </c>
      <c r="H1523">
        <v>0.428024632271161</v>
      </c>
      <c r="I1523">
        <v>0.33592596940502201</v>
      </c>
      <c r="J1523">
        <v>0.28735286563130702</v>
      </c>
      <c r="K1523">
        <v>0.17118679838589701</v>
      </c>
      <c r="L1523">
        <v>649.35913561940299</v>
      </c>
      <c r="M1523">
        <v>11.9114636132821</v>
      </c>
      <c r="N1523">
        <v>55.857207739792003</v>
      </c>
      <c r="O1523">
        <v>53.047085365091199</v>
      </c>
      <c r="P1523">
        <v>-4.9164312060358303E-2</v>
      </c>
      <c r="Q1523">
        <v>0.12441438890091</v>
      </c>
      <c r="R1523">
        <v>0.98785932821392897</v>
      </c>
      <c r="S1523" t="s">
        <v>7925</v>
      </c>
      <c r="T1523" t="s">
        <v>12802</v>
      </c>
      <c r="U1523" t="s">
        <v>12802</v>
      </c>
      <c r="V1523" t="s">
        <v>12802</v>
      </c>
      <c r="W1523" t="s">
        <v>14288</v>
      </c>
      <c r="X1523">
        <v>5</v>
      </c>
      <c r="Y1523" t="s">
        <v>20598</v>
      </c>
      <c r="Z1523" t="s">
        <v>26841</v>
      </c>
      <c r="AA1523">
        <v>0.64968442647059088</v>
      </c>
      <c r="AB1523" t="str">
        <f>HYPERLINK("Melting_Curves/meltCurve_O15511_ARPC5.pdf", "Melting_Curves/meltCurve_O15511_ARPC5.pdf")</f>
        <v>Melting_Curves/meltCurve_O15511_ARPC5.pdf</v>
      </c>
    </row>
    <row r="1524" spans="1:28" x14ac:dyDescent="0.25">
      <c r="A1524" t="s">
        <v>1528</v>
      </c>
      <c r="B1524">
        <v>0.99542014353169495</v>
      </c>
      <c r="C1524">
        <v>1.0612139771326199</v>
      </c>
      <c r="D1524">
        <v>0.95713198070495098</v>
      </c>
      <c r="E1524">
        <v>0.98042647369379199</v>
      </c>
      <c r="F1524">
        <v>0.87288124329556405</v>
      </c>
      <c r="G1524">
        <v>0.72173886514659602</v>
      </c>
      <c r="H1524">
        <v>0.75148741193995705</v>
      </c>
      <c r="I1524">
        <v>0.68113973838477704</v>
      </c>
      <c r="J1524">
        <v>0.84658521751481397</v>
      </c>
      <c r="K1524">
        <v>0.30331965118805598</v>
      </c>
      <c r="L1524">
        <v>422.80821777248298</v>
      </c>
      <c r="M1524">
        <v>6.25596559923176</v>
      </c>
      <c r="O1524">
        <v>61.662850691044703</v>
      </c>
      <c r="P1524">
        <v>-2.5434313264715899E-2</v>
      </c>
      <c r="Q1524">
        <v>0</v>
      </c>
      <c r="R1524">
        <v>0.69520860825528796</v>
      </c>
      <c r="S1524" t="s">
        <v>7926</v>
      </c>
      <c r="T1524" t="s">
        <v>12802</v>
      </c>
      <c r="U1524" t="s">
        <v>12802</v>
      </c>
      <c r="V1524" t="s">
        <v>12802</v>
      </c>
      <c r="W1524" t="s">
        <v>14289</v>
      </c>
      <c r="X1524">
        <v>7</v>
      </c>
      <c r="Y1524" t="s">
        <v>20599</v>
      </c>
      <c r="Z1524" t="s">
        <v>26842</v>
      </c>
      <c r="AA1524">
        <v>0.82445811227754306</v>
      </c>
      <c r="AB1524" t="str">
        <f>HYPERLINK("Melting_Curves/meltCurve_O15514_POLR2D.pdf", "Melting_Curves/meltCurve_O15514_POLR2D.pdf")</f>
        <v>Melting_Curves/meltCurve_O15514_POLR2D.pdf</v>
      </c>
    </row>
    <row r="1525" spans="1:28" x14ac:dyDescent="0.25">
      <c r="A1525" t="s">
        <v>1529</v>
      </c>
      <c r="B1525">
        <v>0.99542014353169495</v>
      </c>
      <c r="C1525">
        <v>0.97253717679467999</v>
      </c>
      <c r="D1525">
        <v>0.94914183830510501</v>
      </c>
      <c r="E1525">
        <v>0.91149411383144296</v>
      </c>
      <c r="F1525">
        <v>0.73077671913203701</v>
      </c>
      <c r="G1525">
        <v>0.58527783918738896</v>
      </c>
      <c r="H1525">
        <v>0.44664523000824502</v>
      </c>
      <c r="I1525">
        <v>0.39362670274836498</v>
      </c>
      <c r="J1525">
        <v>0.55871886287120598</v>
      </c>
      <c r="K1525">
        <v>0.63886502470781203</v>
      </c>
      <c r="L1525">
        <v>1284.08431546363</v>
      </c>
      <c r="M1525">
        <v>25.889761833167601</v>
      </c>
      <c r="O1525">
        <v>49.305076665843899</v>
      </c>
      <c r="P1525">
        <v>-6.4273381400193105E-2</v>
      </c>
      <c r="Q1525">
        <v>0.51039071952301995</v>
      </c>
      <c r="R1525">
        <v>0.90835470040494004</v>
      </c>
      <c r="S1525" t="s">
        <v>7927</v>
      </c>
      <c r="T1525" t="s">
        <v>12802</v>
      </c>
      <c r="U1525" t="s">
        <v>12802</v>
      </c>
      <c r="V1525" t="s">
        <v>12802</v>
      </c>
      <c r="W1525" t="s">
        <v>14290</v>
      </c>
      <c r="X1525">
        <v>18</v>
      </c>
      <c r="Y1525" t="s">
        <v>20600</v>
      </c>
      <c r="Z1525" t="s">
        <v>26843</v>
      </c>
      <c r="AA1525">
        <v>0.71998086220280322</v>
      </c>
      <c r="AB1525" t="str">
        <f>HYPERLINK("Melting_Curves/meltCurve_O15541_RNF113A.pdf", "Melting_Curves/meltCurve_O15541_RNF113A.pdf")</f>
        <v>Melting_Curves/meltCurve_O15541_RNF113A.pdf</v>
      </c>
    </row>
    <row r="1526" spans="1:28" x14ac:dyDescent="0.25">
      <c r="A1526" t="s">
        <v>1530</v>
      </c>
      <c r="B1526">
        <v>0.99542014353169495</v>
      </c>
      <c r="C1526">
        <v>0.97264137772405601</v>
      </c>
      <c r="D1526">
        <v>1.01079627145674</v>
      </c>
      <c r="E1526">
        <v>1.03209097644882</v>
      </c>
      <c r="F1526">
        <v>0.87973506558790004</v>
      </c>
      <c r="G1526">
        <v>0.72103416470414505</v>
      </c>
      <c r="H1526">
        <v>0.34896505534494998</v>
      </c>
      <c r="I1526">
        <v>0.10428908968875999</v>
      </c>
      <c r="J1526">
        <v>7.4416356135784997E-2</v>
      </c>
      <c r="K1526">
        <v>8.39844477196727E-2</v>
      </c>
      <c r="L1526">
        <v>1364.8742450249499</v>
      </c>
      <c r="M1526">
        <v>24.5771904529654</v>
      </c>
      <c r="N1526">
        <v>55.740826052237203</v>
      </c>
      <c r="O1526">
        <v>55.170440322576503</v>
      </c>
      <c r="P1526">
        <v>-0.10652164077743501</v>
      </c>
      <c r="Q1526">
        <v>4.3542218097733003E-2</v>
      </c>
      <c r="R1526">
        <v>0.99503314510302998</v>
      </c>
      <c r="S1526" t="s">
        <v>7928</v>
      </c>
      <c r="T1526" t="s">
        <v>12802</v>
      </c>
      <c r="U1526" t="s">
        <v>12802</v>
      </c>
      <c r="V1526" t="s">
        <v>12802</v>
      </c>
      <c r="W1526" t="s">
        <v>14291</v>
      </c>
      <c r="X1526">
        <v>44</v>
      </c>
      <c r="Y1526" t="s">
        <v>20601</v>
      </c>
      <c r="Z1526" t="s">
        <v>26844</v>
      </c>
      <c r="AA1526">
        <v>0.64259123904071958</v>
      </c>
      <c r="AB1526" t="str">
        <f>HYPERLINK("Melting_Curves/meltCurve_O43143_DHX15.pdf", "Melting_Curves/meltCurve_O43143_DHX15.pdf")</f>
        <v>Melting_Curves/meltCurve_O43143_DHX15.pdf</v>
      </c>
    </row>
    <row r="1527" spans="1:28" x14ac:dyDescent="0.25">
      <c r="A1527" t="s">
        <v>1531</v>
      </c>
      <c r="B1527">
        <v>0.99542014353169495</v>
      </c>
      <c r="C1527">
        <v>0.96204373913959196</v>
      </c>
      <c r="D1527">
        <v>0.97939930730529201</v>
      </c>
      <c r="E1527">
        <v>0.95584990005193204</v>
      </c>
      <c r="F1527">
        <v>0.83665427118989499</v>
      </c>
      <c r="G1527">
        <v>0.67465603883411396</v>
      </c>
      <c r="H1527">
        <v>0.36620202698704901</v>
      </c>
      <c r="I1527">
        <v>0.16130257768397299</v>
      </c>
      <c r="J1527">
        <v>9.60344099755778E-2</v>
      </c>
      <c r="K1527">
        <v>9.70710976143907E-2</v>
      </c>
      <c r="L1527">
        <v>988.74439018121302</v>
      </c>
      <c r="M1527">
        <v>17.844233498987599</v>
      </c>
      <c r="N1527">
        <v>55.589912835242998</v>
      </c>
      <c r="O1527">
        <v>54.727909424333397</v>
      </c>
      <c r="P1527">
        <v>-7.9227248371798301E-2</v>
      </c>
      <c r="Q1527">
        <v>2.80960707843637E-2</v>
      </c>
      <c r="R1527">
        <v>0.99607929725705502</v>
      </c>
      <c r="S1527" t="s">
        <v>7929</v>
      </c>
      <c r="T1527" t="s">
        <v>12802</v>
      </c>
      <c r="U1527" t="s">
        <v>12802</v>
      </c>
      <c r="V1527" t="s">
        <v>12802</v>
      </c>
      <c r="W1527" t="s">
        <v>14292</v>
      </c>
      <c r="X1527">
        <v>17</v>
      </c>
      <c r="Y1527" t="s">
        <v>20602</v>
      </c>
      <c r="Z1527" t="s">
        <v>26845</v>
      </c>
      <c r="AA1527">
        <v>0.63623963761995173</v>
      </c>
      <c r="AB1527" t="str">
        <f>HYPERLINK("Melting_Curves/meltCurve_O43148_RNMT.pdf", "Melting_Curves/meltCurve_O43148_RNMT.pdf")</f>
        <v>Melting_Curves/meltCurve_O43148_RNMT.pdf</v>
      </c>
    </row>
    <row r="1528" spans="1:28" x14ac:dyDescent="0.25">
      <c r="A1528" t="s">
        <v>1532</v>
      </c>
      <c r="B1528">
        <v>0.99542014353169495</v>
      </c>
      <c r="C1528">
        <v>1.0026735997865099</v>
      </c>
      <c r="D1528">
        <v>0.95253829511222698</v>
      </c>
      <c r="E1528">
        <v>0.561720224893553</v>
      </c>
      <c r="F1528">
        <v>0.210009723125725</v>
      </c>
      <c r="G1528">
        <v>0.122446268101882</v>
      </c>
      <c r="H1528">
        <v>7.5169036896627406E-2</v>
      </c>
      <c r="I1528">
        <v>5.4607226980424001E-2</v>
      </c>
      <c r="J1528">
        <v>6.3588936785881303E-2</v>
      </c>
      <c r="K1528">
        <v>6.1568528205180398E-2</v>
      </c>
      <c r="L1528">
        <v>1277.51437224437</v>
      </c>
      <c r="M1528">
        <v>27.234452411046099</v>
      </c>
      <c r="N1528">
        <v>47.162972821442899</v>
      </c>
      <c r="O1528">
        <v>46.657305743177801</v>
      </c>
      <c r="P1528">
        <v>-0.13594103243019001</v>
      </c>
      <c r="Q1528">
        <v>6.8447362173250995E-2</v>
      </c>
      <c r="R1528">
        <v>0.99874392016172597</v>
      </c>
      <c r="S1528" t="s">
        <v>7930</v>
      </c>
      <c r="T1528" t="s">
        <v>12802</v>
      </c>
      <c r="U1528" t="s">
        <v>12802</v>
      </c>
      <c r="V1528" t="s">
        <v>12802</v>
      </c>
      <c r="W1528" t="s">
        <v>14293</v>
      </c>
      <c r="X1528">
        <v>15</v>
      </c>
      <c r="Y1528" t="s">
        <v>20603</v>
      </c>
      <c r="Z1528" t="s">
        <v>26846</v>
      </c>
      <c r="AA1528">
        <v>0.38268195602496491</v>
      </c>
      <c r="AB1528" t="str">
        <f>HYPERLINK("Melting_Curves/meltCurve_O43156_TTI1.pdf", "Melting_Curves/meltCurve_O43156_TTI1.pdf")</f>
        <v>Melting_Curves/meltCurve_O43156_TTI1.pdf</v>
      </c>
    </row>
    <row r="1529" spans="1:28" x14ac:dyDescent="0.25">
      <c r="A1529" t="s">
        <v>1533</v>
      </c>
      <c r="B1529">
        <v>0.99542014353169495</v>
      </c>
      <c r="C1529">
        <v>1.0210398372330001</v>
      </c>
      <c r="D1529">
        <v>1.0122683379403601</v>
      </c>
      <c r="E1529">
        <v>0.83935060355096203</v>
      </c>
      <c r="F1529">
        <v>0.651886245828453</v>
      </c>
      <c r="G1529">
        <v>0.37657552345871498</v>
      </c>
      <c r="H1529">
        <v>0.27946801861232901</v>
      </c>
      <c r="I1529">
        <v>0.211463097436588</v>
      </c>
      <c r="J1529">
        <v>0.29821614588023898</v>
      </c>
      <c r="K1529">
        <v>0.34546132469601099</v>
      </c>
      <c r="L1529">
        <v>1165.55840226851</v>
      </c>
      <c r="M1529">
        <v>23.3277877221343</v>
      </c>
      <c r="N1529">
        <v>51.706325325441199</v>
      </c>
      <c r="O1529">
        <v>49.6015552749761</v>
      </c>
      <c r="P1529">
        <v>-8.5579797684894293E-2</v>
      </c>
      <c r="Q1529">
        <v>0.27214428477628799</v>
      </c>
      <c r="R1529">
        <v>0.98406188341207901</v>
      </c>
      <c r="S1529" t="s">
        <v>7931</v>
      </c>
      <c r="T1529" t="s">
        <v>12802</v>
      </c>
      <c r="U1529" t="s">
        <v>12802</v>
      </c>
      <c r="V1529" t="s">
        <v>12802</v>
      </c>
      <c r="W1529" t="s">
        <v>14294</v>
      </c>
      <c r="X1529">
        <v>1</v>
      </c>
      <c r="Y1529" t="s">
        <v>20604</v>
      </c>
      <c r="Z1529" t="s">
        <v>26847</v>
      </c>
      <c r="AA1529">
        <v>0.59393555585500724</v>
      </c>
      <c r="AB1529" t="str">
        <f>HYPERLINK("Melting_Curves/meltCurve_O43157_2_PLXNB1.pdf", "Melting_Curves/meltCurve_O43157_2_PLXNB1.pdf")</f>
        <v>Melting_Curves/meltCurve_O43157_2_PLXNB1.pdf</v>
      </c>
    </row>
    <row r="1530" spans="1:28" x14ac:dyDescent="0.25">
      <c r="A1530" t="s">
        <v>1534</v>
      </c>
      <c r="B1530">
        <v>0.99542014353169495</v>
      </c>
      <c r="C1530">
        <v>0.94758438051917504</v>
      </c>
      <c r="D1530">
        <v>0.88424700040141202</v>
      </c>
      <c r="E1530">
        <v>0.66563707932189697</v>
      </c>
      <c r="F1530">
        <v>0.49790711896691298</v>
      </c>
      <c r="G1530">
        <v>0.40048373221113398</v>
      </c>
      <c r="H1530">
        <v>0.27203379177280701</v>
      </c>
      <c r="I1530">
        <v>0.214656433601424</v>
      </c>
      <c r="J1530">
        <v>0.36569730226057401</v>
      </c>
      <c r="K1530">
        <v>0.41793395246264903</v>
      </c>
      <c r="L1530">
        <v>822.64910412833603</v>
      </c>
      <c r="M1530">
        <v>17.564708485216499</v>
      </c>
      <c r="N1530">
        <v>49.643263766593201</v>
      </c>
      <c r="O1530">
        <v>46.240905190711999</v>
      </c>
      <c r="P1530">
        <v>-6.5066518770084597E-2</v>
      </c>
      <c r="Q1530">
        <v>0.31485980838563798</v>
      </c>
      <c r="R1530">
        <v>0.95894527787681205</v>
      </c>
      <c r="S1530" t="s">
        <v>7932</v>
      </c>
      <c r="T1530" t="s">
        <v>12802</v>
      </c>
      <c r="U1530" t="s">
        <v>12802</v>
      </c>
      <c r="V1530" t="s">
        <v>12802</v>
      </c>
      <c r="W1530" t="s">
        <v>14295</v>
      </c>
      <c r="X1530">
        <v>4</v>
      </c>
      <c r="Y1530" t="s">
        <v>20605</v>
      </c>
      <c r="Z1530" t="s">
        <v>26848</v>
      </c>
      <c r="AA1530">
        <v>0.55101650330182106</v>
      </c>
      <c r="AB1530" t="str">
        <f>HYPERLINK("Melting_Curves/meltCurve_O43164_2_PJA2.pdf", "Melting_Curves/meltCurve_O43164_2_PJA2.pdf")</f>
        <v>Melting_Curves/meltCurve_O43164_2_PJA2.pdf</v>
      </c>
    </row>
    <row r="1531" spans="1:28" x14ac:dyDescent="0.25">
      <c r="A1531" t="s">
        <v>1535</v>
      </c>
      <c r="B1531">
        <v>0.99542014353169495</v>
      </c>
      <c r="C1531">
        <v>0.92110673959452405</v>
      </c>
      <c r="D1531">
        <v>1.0129296451641401</v>
      </c>
      <c r="E1531">
        <v>0.99146905964787702</v>
      </c>
      <c r="F1531">
        <v>0.51046691685692103</v>
      </c>
      <c r="G1531">
        <v>0.17717991705074901</v>
      </c>
      <c r="H1531">
        <v>7.9217124797854602E-2</v>
      </c>
      <c r="I1531">
        <v>3.5407221081101801E-2</v>
      </c>
      <c r="J1531">
        <v>4.7446367214000001E-2</v>
      </c>
      <c r="K1531">
        <v>4.1863444321629202E-2</v>
      </c>
      <c r="L1531">
        <v>1756.7751593406399</v>
      </c>
      <c r="M1531">
        <v>34.962008408089098</v>
      </c>
      <c r="N1531">
        <v>50.411883603070798</v>
      </c>
      <c r="O1531">
        <v>50.084572692934699</v>
      </c>
      <c r="P1531">
        <v>-0.16514684322742701</v>
      </c>
      <c r="Q1531">
        <v>5.3683580979840897E-2</v>
      </c>
      <c r="R1531">
        <v>0.99363599360310795</v>
      </c>
      <c r="S1531" t="s">
        <v>7933</v>
      </c>
      <c r="T1531" t="s">
        <v>12802</v>
      </c>
      <c r="U1531" t="s">
        <v>12802</v>
      </c>
      <c r="V1531" t="s">
        <v>12802</v>
      </c>
      <c r="W1531" t="s">
        <v>14296</v>
      </c>
      <c r="X1531">
        <v>15</v>
      </c>
      <c r="Y1531" t="s">
        <v>20606</v>
      </c>
      <c r="Z1531" t="s">
        <v>26849</v>
      </c>
      <c r="AA1531">
        <v>0.47588226995683058</v>
      </c>
      <c r="AB1531" t="str">
        <f>HYPERLINK("Melting_Curves/meltCurve_O43172_2_PRPF4.pdf", "Melting_Curves/meltCurve_O43172_2_PRPF4.pdf")</f>
        <v>Melting_Curves/meltCurve_O43172_2_PRPF4.pdf</v>
      </c>
    </row>
    <row r="1532" spans="1:28" x14ac:dyDescent="0.25">
      <c r="A1532" t="s">
        <v>1536</v>
      </c>
      <c r="B1532">
        <v>0.99542014353169495</v>
      </c>
      <c r="C1532">
        <v>0.98591678352916501</v>
      </c>
      <c r="D1532">
        <v>0.98130513735643099</v>
      </c>
      <c r="E1532">
        <v>0.84862754915154204</v>
      </c>
      <c r="F1532">
        <v>0.80524773217369405</v>
      </c>
      <c r="G1532">
        <v>0.61590016943876902</v>
      </c>
      <c r="H1532">
        <v>0.44840815255515298</v>
      </c>
      <c r="I1532">
        <v>0.23304338019499701</v>
      </c>
      <c r="J1532">
        <v>6.1723457815662297E-2</v>
      </c>
      <c r="K1532">
        <v>5.3040124724158803E-2</v>
      </c>
      <c r="L1532">
        <v>762.55981679973604</v>
      </c>
      <c r="M1532">
        <v>13.737953298878599</v>
      </c>
      <c r="N1532">
        <v>55.507527479547498</v>
      </c>
      <c r="O1532">
        <v>54.3710277528712</v>
      </c>
      <c r="P1532">
        <v>-6.3176617187084394E-2</v>
      </c>
      <c r="Q1532">
        <v>0</v>
      </c>
      <c r="R1532">
        <v>0.98644106192792502</v>
      </c>
      <c r="S1532" t="s">
        <v>7934</v>
      </c>
      <c r="T1532" t="s">
        <v>12802</v>
      </c>
      <c r="U1532" t="s">
        <v>12802</v>
      </c>
      <c r="V1532" t="s">
        <v>12802</v>
      </c>
      <c r="W1532" t="s">
        <v>14297</v>
      </c>
      <c r="X1532">
        <v>19</v>
      </c>
      <c r="Y1532" t="s">
        <v>20607</v>
      </c>
      <c r="Z1532" t="s">
        <v>26850</v>
      </c>
      <c r="AA1532">
        <v>0.62975798911377523</v>
      </c>
      <c r="AB1532" t="str">
        <f>HYPERLINK("Melting_Curves/meltCurve_O43175_PHGDH.pdf", "Melting_Curves/meltCurve_O43175_PHGDH.pdf")</f>
        <v>Melting_Curves/meltCurve_O43175_PHGDH.pdf</v>
      </c>
    </row>
    <row r="1533" spans="1:28" x14ac:dyDescent="0.25">
      <c r="A1533" t="s">
        <v>1537</v>
      </c>
      <c r="B1533">
        <v>0.99542014353169495</v>
      </c>
      <c r="C1533">
        <v>0.85807223641442398</v>
      </c>
      <c r="D1533">
        <v>0.80161483472975503</v>
      </c>
      <c r="E1533">
        <v>0.39830152675085001</v>
      </c>
      <c r="F1533">
        <v>0.20217975847545899</v>
      </c>
      <c r="G1533">
        <v>6.3792477955822893E-2</v>
      </c>
      <c r="H1533">
        <v>4.0240784574036501E-2</v>
      </c>
      <c r="I1533">
        <v>2.27502115368243E-2</v>
      </c>
      <c r="J1533">
        <v>1.7972047175878601E-2</v>
      </c>
      <c r="K1533">
        <v>2.19975140130441E-2</v>
      </c>
      <c r="L1533">
        <v>789.10759451281604</v>
      </c>
      <c r="M1533">
        <v>17.260518834159299</v>
      </c>
      <c r="N1533">
        <v>45.773938310777602</v>
      </c>
      <c r="O1533">
        <v>45.117066033057199</v>
      </c>
      <c r="P1533">
        <v>-9.4641279946588205E-2</v>
      </c>
      <c r="Q1533">
        <v>1.05306307498536E-2</v>
      </c>
      <c r="R1533">
        <v>0.99385943808397004</v>
      </c>
      <c r="S1533" t="s">
        <v>7935</v>
      </c>
      <c r="T1533" t="s">
        <v>12802</v>
      </c>
      <c r="U1533" t="s">
        <v>12802</v>
      </c>
      <c r="V1533" t="s">
        <v>12802</v>
      </c>
      <c r="W1533" t="s">
        <v>14298</v>
      </c>
      <c r="X1533">
        <v>1</v>
      </c>
      <c r="Y1533" t="s">
        <v>20608</v>
      </c>
      <c r="Z1533" t="s">
        <v>26851</v>
      </c>
      <c r="AA1533">
        <v>0.31550560486444529</v>
      </c>
      <c r="AB1533" t="str">
        <f>HYPERLINK("Melting_Curves/meltCurve_O43181_NDUFS4.pdf", "Melting_Curves/meltCurve_O43181_NDUFS4.pdf")</f>
        <v>Melting_Curves/meltCurve_O43181_NDUFS4.pdf</v>
      </c>
    </row>
    <row r="1534" spans="1:28" x14ac:dyDescent="0.25">
      <c r="A1534" t="s">
        <v>1538</v>
      </c>
      <c r="B1534">
        <v>0.99542014353169495</v>
      </c>
      <c r="C1534">
        <v>1.0430631196056299</v>
      </c>
      <c r="D1534">
        <v>0.90677428882102595</v>
      </c>
      <c r="E1534">
        <v>0.46746678414638299</v>
      </c>
      <c r="F1534">
        <v>0.246583451462422</v>
      </c>
      <c r="G1534">
        <v>0.152979974546683</v>
      </c>
      <c r="H1534">
        <v>0.113759012897711</v>
      </c>
      <c r="I1534">
        <v>7.5048987143491494E-2</v>
      </c>
      <c r="J1534">
        <v>7.15257616745614E-2</v>
      </c>
      <c r="K1534">
        <v>7.76357020032898E-2</v>
      </c>
      <c r="L1534">
        <v>1152.65691517088</v>
      </c>
      <c r="M1534">
        <v>24.920920965132101</v>
      </c>
      <c r="N1534">
        <v>46.644254147497698</v>
      </c>
      <c r="O1534">
        <v>45.9578475583941</v>
      </c>
      <c r="P1534">
        <v>-0.12276756781676799</v>
      </c>
      <c r="Q1534">
        <v>9.4406564457866202E-2</v>
      </c>
      <c r="R1534">
        <v>0.99349874597213905</v>
      </c>
      <c r="S1534" t="s">
        <v>7936</v>
      </c>
      <c r="T1534" t="s">
        <v>12802</v>
      </c>
      <c r="U1534" t="s">
        <v>12802</v>
      </c>
      <c r="V1534" t="s">
        <v>12802</v>
      </c>
      <c r="W1534" t="s">
        <v>14299</v>
      </c>
      <c r="X1534">
        <v>15</v>
      </c>
      <c r="Y1534" t="s">
        <v>20609</v>
      </c>
      <c r="Z1534" t="s">
        <v>26852</v>
      </c>
      <c r="AA1534">
        <v>0.38128529881488149</v>
      </c>
      <c r="AB1534" t="str">
        <f>HYPERLINK("Melting_Curves/meltCurve_O43182_4_ARHGAP6.pdf", "Melting_Curves/meltCurve_O43182_4_ARHGAP6.pdf")</f>
        <v>Melting_Curves/meltCurve_O43182_4_ARHGAP6.pdf</v>
      </c>
    </row>
    <row r="1535" spans="1:28" x14ac:dyDescent="0.25">
      <c r="A1535" t="s">
        <v>1539</v>
      </c>
      <c r="B1535">
        <v>0.99542014353169495</v>
      </c>
      <c r="C1535">
        <v>1.0900023761069799</v>
      </c>
      <c r="D1535">
        <v>1.2140804694988101</v>
      </c>
      <c r="E1535">
        <v>1.0198967663645999</v>
      </c>
      <c r="F1535">
        <v>0.30079749636170899</v>
      </c>
      <c r="G1535">
        <v>0.105376537488024</v>
      </c>
      <c r="H1535">
        <v>4.8509513332775901E-2</v>
      </c>
      <c r="I1535">
        <v>0</v>
      </c>
      <c r="J1535">
        <v>1.4411330743134E-2</v>
      </c>
      <c r="K1535">
        <v>1.48553588476784E-2</v>
      </c>
      <c r="L1535">
        <v>4620.1041120228901</v>
      </c>
      <c r="M1535">
        <v>93.003768486557206</v>
      </c>
      <c r="N1535">
        <v>49.716931619473897</v>
      </c>
      <c r="O1535">
        <v>49.653570582161997</v>
      </c>
      <c r="P1535">
        <v>-0.45121861143690101</v>
      </c>
      <c r="Q1535">
        <v>3.6399745278901198E-2</v>
      </c>
      <c r="R1535">
        <v>0.97530173895247996</v>
      </c>
      <c r="S1535" t="s">
        <v>7937</v>
      </c>
      <c r="T1535" t="s">
        <v>12802</v>
      </c>
      <c r="U1535" t="s">
        <v>12802</v>
      </c>
      <c r="V1535" t="s">
        <v>12802</v>
      </c>
      <c r="W1535" t="s">
        <v>14300</v>
      </c>
      <c r="X1535">
        <v>6</v>
      </c>
      <c r="Y1535" t="s">
        <v>20610</v>
      </c>
      <c r="Z1535" t="s">
        <v>26853</v>
      </c>
      <c r="AA1535">
        <v>0.44417771912528858</v>
      </c>
      <c r="AB1535" t="str">
        <f>HYPERLINK("Melting_Curves/meltCurve_O43237_DYNC1LI2.pdf", "Melting_Curves/meltCurve_O43237_DYNC1LI2.pdf")</f>
        <v>Melting_Curves/meltCurve_O43237_DYNC1LI2.pdf</v>
      </c>
    </row>
    <row r="1536" spans="1:28" x14ac:dyDescent="0.25">
      <c r="A1536" t="s">
        <v>1540</v>
      </c>
      <c r="B1536">
        <v>0.99542014353169495</v>
      </c>
      <c r="C1536">
        <v>0.92980272171588196</v>
      </c>
      <c r="D1536">
        <v>0.873888163675686</v>
      </c>
      <c r="E1536">
        <v>0.68601609128308405</v>
      </c>
      <c r="F1536">
        <v>0.471761212309742</v>
      </c>
      <c r="G1536">
        <v>0.20674247762998199</v>
      </c>
      <c r="H1536">
        <v>9.7080872737913507E-2</v>
      </c>
      <c r="I1536">
        <v>5.16716356786164E-2</v>
      </c>
      <c r="J1536">
        <v>5.4036699693338901E-2</v>
      </c>
      <c r="K1536">
        <v>6.1538597885790802E-2</v>
      </c>
      <c r="L1536">
        <v>703.54049749700096</v>
      </c>
      <c r="M1536">
        <v>14.3188948757352</v>
      </c>
      <c r="N1536">
        <v>49.208743183743501</v>
      </c>
      <c r="O1536">
        <v>48.205182472030501</v>
      </c>
      <c r="P1536">
        <v>-7.34671016577082E-2</v>
      </c>
      <c r="Q1536">
        <v>1.07987903529926E-2</v>
      </c>
      <c r="R1536">
        <v>0.99599273181439896</v>
      </c>
      <c r="S1536" t="s">
        <v>7938</v>
      </c>
      <c r="T1536" t="s">
        <v>12802</v>
      </c>
      <c r="U1536" t="s">
        <v>12802</v>
      </c>
      <c r="V1536" t="s">
        <v>12802</v>
      </c>
      <c r="W1536" t="s">
        <v>14301</v>
      </c>
      <c r="X1536">
        <v>31</v>
      </c>
      <c r="Y1536" t="s">
        <v>20611</v>
      </c>
      <c r="Z1536" t="s">
        <v>26854</v>
      </c>
      <c r="AA1536">
        <v>0.43365566793149207</v>
      </c>
      <c r="AB1536" t="str">
        <f>HYPERLINK("Melting_Curves/meltCurve_O43242_PSMD3.pdf", "Melting_Curves/meltCurve_O43242_PSMD3.pdf")</f>
        <v>Melting_Curves/meltCurve_O43242_PSMD3.pdf</v>
      </c>
    </row>
    <row r="1537" spans="1:28" x14ac:dyDescent="0.25">
      <c r="A1537" t="s">
        <v>1541</v>
      </c>
      <c r="B1537">
        <v>0.99542014353169495</v>
      </c>
      <c r="C1537">
        <v>1.0008288051620999</v>
      </c>
      <c r="D1537">
        <v>1.02291753647591</v>
      </c>
      <c r="E1537">
        <v>0.94935500313044896</v>
      </c>
      <c r="F1537">
        <v>0.87468189488486503</v>
      </c>
      <c r="G1537">
        <v>0.63632067983794105</v>
      </c>
      <c r="H1537">
        <v>0.19271656321310501</v>
      </c>
      <c r="I1537">
        <v>9.5070286343190993E-2</v>
      </c>
      <c r="J1537">
        <v>7.5157221876137298E-2</v>
      </c>
      <c r="K1537">
        <v>7.6329540736818996E-2</v>
      </c>
      <c r="L1537">
        <v>1564.5643196952301</v>
      </c>
      <c r="M1537">
        <v>28.778134433048599</v>
      </c>
      <c r="N1537">
        <v>54.600783623722201</v>
      </c>
      <c r="O1537">
        <v>54.105937662849797</v>
      </c>
      <c r="P1537">
        <v>-0.12524652116680701</v>
      </c>
      <c r="Q1537">
        <v>5.8100385262150701E-2</v>
      </c>
      <c r="R1537">
        <v>0.99562667442221098</v>
      </c>
      <c r="S1537" t="s">
        <v>7939</v>
      </c>
      <c r="T1537" t="s">
        <v>12802</v>
      </c>
      <c r="U1537" t="s">
        <v>12802</v>
      </c>
      <c r="V1537" t="s">
        <v>12802</v>
      </c>
      <c r="W1537" t="s">
        <v>14302</v>
      </c>
      <c r="X1537">
        <v>17</v>
      </c>
      <c r="Y1537" t="s">
        <v>20612</v>
      </c>
      <c r="Z1537" t="s">
        <v>26855</v>
      </c>
      <c r="AA1537">
        <v>0.6098117923167713</v>
      </c>
      <c r="AB1537" t="str">
        <f>HYPERLINK("Melting_Curves/meltCurve_O43252_PAPSS1.pdf", "Melting_Curves/meltCurve_O43252_PAPSS1.pdf")</f>
        <v>Melting_Curves/meltCurve_O43252_PAPSS1.pdf</v>
      </c>
    </row>
    <row r="1538" spans="1:28" x14ac:dyDescent="0.25">
      <c r="A1538" t="s">
        <v>1542</v>
      </c>
      <c r="B1538">
        <v>0.99542014353169495</v>
      </c>
      <c r="C1538">
        <v>1.1019660574849399</v>
      </c>
      <c r="D1538">
        <v>0.99933431515598203</v>
      </c>
      <c r="E1538">
        <v>0.84626303007118397</v>
      </c>
      <c r="F1538">
        <v>0.45746396229658198</v>
      </c>
      <c r="G1538">
        <v>0.18893689618565901</v>
      </c>
      <c r="H1538">
        <v>0.13361941256745399</v>
      </c>
      <c r="I1538">
        <v>8.1865962108587806E-2</v>
      </c>
      <c r="J1538">
        <v>0.10570289112969999</v>
      </c>
      <c r="K1538">
        <v>0.110756089392055</v>
      </c>
      <c r="L1538">
        <v>1340.3545555811399</v>
      </c>
      <c r="M1538">
        <v>27.128777095077499</v>
      </c>
      <c r="N1538">
        <v>49.821418045535303</v>
      </c>
      <c r="O1538">
        <v>49.140991388697699</v>
      </c>
      <c r="P1538">
        <v>-0.124078676682795</v>
      </c>
      <c r="Q1538">
        <v>0.100985635345071</v>
      </c>
      <c r="R1538">
        <v>0.99301641587475697</v>
      </c>
      <c r="S1538" t="s">
        <v>7940</v>
      </c>
      <c r="T1538" t="s">
        <v>12802</v>
      </c>
      <c r="U1538" t="s">
        <v>12802</v>
      </c>
      <c r="V1538" t="s">
        <v>12802</v>
      </c>
      <c r="W1538" t="s">
        <v>14303</v>
      </c>
      <c r="X1538">
        <v>3</v>
      </c>
      <c r="Y1538" t="s">
        <v>20613</v>
      </c>
      <c r="Z1538" t="s">
        <v>26856</v>
      </c>
      <c r="AA1538">
        <v>0.47945255651496638</v>
      </c>
      <c r="AB1538" t="str">
        <f>HYPERLINK("Melting_Curves/meltCurve_O43257_ZNHIT1.pdf", "Melting_Curves/meltCurve_O43257_ZNHIT1.pdf")</f>
        <v>Melting_Curves/meltCurve_O43257_ZNHIT1.pdf</v>
      </c>
    </row>
    <row r="1539" spans="1:28" x14ac:dyDescent="0.25">
      <c r="A1539" t="s">
        <v>1543</v>
      </c>
      <c r="B1539">
        <v>0.99542014353169495</v>
      </c>
      <c r="C1539">
        <v>0.81552414990007105</v>
      </c>
      <c r="D1539">
        <v>0.85811275593782799</v>
      </c>
      <c r="E1539">
        <v>0.46900995698104397</v>
      </c>
      <c r="F1539">
        <v>0.15927055143254301</v>
      </c>
      <c r="G1539">
        <v>7.1415707051027705E-2</v>
      </c>
      <c r="H1539">
        <v>3.9696026572037697E-2</v>
      </c>
      <c r="I1539">
        <v>2.6943108772476E-2</v>
      </c>
      <c r="J1539">
        <v>2.6033070768733301E-2</v>
      </c>
      <c r="K1539">
        <v>2.3094677079248099E-2</v>
      </c>
      <c r="L1539">
        <v>874.98752253956798</v>
      </c>
      <c r="M1539">
        <v>18.961994109389099</v>
      </c>
      <c r="N1539">
        <v>46.212251927277201</v>
      </c>
      <c r="O1539">
        <v>45.640251821075204</v>
      </c>
      <c r="P1539">
        <v>-0.102442252791819</v>
      </c>
      <c r="Q1539">
        <v>1.3753025509885899E-2</v>
      </c>
      <c r="R1539">
        <v>0.98413228734075298</v>
      </c>
      <c r="S1539" t="s">
        <v>7941</v>
      </c>
      <c r="T1539" t="s">
        <v>12802</v>
      </c>
      <c r="U1539" t="s">
        <v>12802</v>
      </c>
      <c r="V1539" t="s">
        <v>12802</v>
      </c>
      <c r="W1539" t="s">
        <v>14304</v>
      </c>
      <c r="X1539">
        <v>14</v>
      </c>
      <c r="Y1539" t="s">
        <v>20614</v>
      </c>
      <c r="Z1539" t="s">
        <v>26857</v>
      </c>
      <c r="AA1539">
        <v>0.32872090749836042</v>
      </c>
      <c r="AB1539" t="str">
        <f>HYPERLINK("Melting_Curves/meltCurve_O43264_ZW10.pdf", "Melting_Curves/meltCurve_O43264_ZW10.pdf")</f>
        <v>Melting_Curves/meltCurve_O43264_ZW10.pdf</v>
      </c>
    </row>
    <row r="1540" spans="1:28" x14ac:dyDescent="0.25">
      <c r="A1540" t="s">
        <v>1544</v>
      </c>
      <c r="B1540">
        <v>0.99542014353169495</v>
      </c>
      <c r="C1540">
        <v>1.0319573179716699</v>
      </c>
      <c r="D1540">
        <v>1.0900210332423601</v>
      </c>
      <c r="E1540">
        <v>1.2844877723989101</v>
      </c>
      <c r="F1540">
        <v>0.93029790789698596</v>
      </c>
      <c r="G1540">
        <v>0.68643977663636602</v>
      </c>
      <c r="H1540">
        <v>0.43764113437593899</v>
      </c>
      <c r="I1540">
        <v>0.34489338020385701</v>
      </c>
      <c r="J1540">
        <v>0.54163776868055402</v>
      </c>
      <c r="K1540">
        <v>0.784469109034311</v>
      </c>
      <c r="L1540">
        <v>2731.7542439007402</v>
      </c>
      <c r="M1540">
        <v>51.6439719551</v>
      </c>
      <c r="O1540">
        <v>52.816764248200897</v>
      </c>
      <c r="P1540">
        <v>-0.11532644902355201</v>
      </c>
      <c r="Q1540">
        <v>0.52821868003916606</v>
      </c>
      <c r="R1540">
        <v>0.76104462085567703</v>
      </c>
      <c r="S1540" t="s">
        <v>7942</v>
      </c>
      <c r="T1540" t="s">
        <v>12802</v>
      </c>
      <c r="U1540" t="s">
        <v>12802</v>
      </c>
      <c r="V1540" t="s">
        <v>12802</v>
      </c>
      <c r="W1540" t="s">
        <v>14305</v>
      </c>
      <c r="X1540">
        <v>40</v>
      </c>
      <c r="Y1540" t="s">
        <v>20615</v>
      </c>
      <c r="Z1540" t="s">
        <v>26858</v>
      </c>
      <c r="AA1540">
        <v>0.77922920390339212</v>
      </c>
      <c r="AB1540" t="str">
        <f>HYPERLINK("Melting_Curves/meltCurve_O43290_SART1.pdf", "Melting_Curves/meltCurve_O43290_SART1.pdf")</f>
        <v>Melting_Curves/meltCurve_O43290_SART1.pdf</v>
      </c>
    </row>
    <row r="1541" spans="1:28" x14ac:dyDescent="0.25">
      <c r="A1541" t="s">
        <v>1545</v>
      </c>
      <c r="B1541">
        <v>0.99542014353169495</v>
      </c>
      <c r="C1541">
        <v>0.96628985292196101</v>
      </c>
      <c r="D1541">
        <v>0.95536454065923304</v>
      </c>
      <c r="E1541">
        <v>0.73566090815506502</v>
      </c>
      <c r="F1541">
        <v>0.29456515754555002</v>
      </c>
      <c r="G1541">
        <v>9.5401369621661597E-2</v>
      </c>
      <c r="H1541">
        <v>6.5005668710735598E-2</v>
      </c>
      <c r="I1541">
        <v>4.4592376886200803E-2</v>
      </c>
      <c r="J1541">
        <v>4.0559151924914098E-2</v>
      </c>
      <c r="K1541">
        <v>4.0826483597643203E-2</v>
      </c>
      <c r="L1541">
        <v>1270.88549266416</v>
      </c>
      <c r="M1541">
        <v>26.331006705885699</v>
      </c>
      <c r="N1541">
        <v>48.4239491571591</v>
      </c>
      <c r="O1541">
        <v>47.989935455964797</v>
      </c>
      <c r="P1541">
        <v>-0.131517780449461</v>
      </c>
      <c r="Q1541">
        <v>4.1212576240344002E-2</v>
      </c>
      <c r="R1541">
        <v>0.99933273106524101</v>
      </c>
      <c r="S1541" t="s">
        <v>7943</v>
      </c>
      <c r="T1541" t="s">
        <v>12802</v>
      </c>
      <c r="U1541" t="s">
        <v>12802</v>
      </c>
      <c r="V1541" t="s">
        <v>12802</v>
      </c>
      <c r="W1541" t="s">
        <v>14306</v>
      </c>
      <c r="X1541">
        <v>4</v>
      </c>
      <c r="Y1541" t="s">
        <v>20616</v>
      </c>
      <c r="Z1541" t="s">
        <v>26859</v>
      </c>
      <c r="AA1541">
        <v>0.40866349889556192</v>
      </c>
      <c r="AB1541" t="str">
        <f>HYPERLINK("Melting_Curves/meltCurve_O43293_DAPK3.pdf", "Melting_Curves/meltCurve_O43293_DAPK3.pdf")</f>
        <v>Melting_Curves/meltCurve_O43293_DAPK3.pdf</v>
      </c>
    </row>
    <row r="1542" spans="1:28" x14ac:dyDescent="0.25">
      <c r="A1542" t="s">
        <v>1546</v>
      </c>
      <c r="B1542">
        <v>0.99542014353169495</v>
      </c>
      <c r="C1542">
        <v>0.78233421757890298</v>
      </c>
      <c r="D1542">
        <v>0.78079776643113896</v>
      </c>
      <c r="E1542">
        <v>0.63201790647593403</v>
      </c>
      <c r="F1542">
        <v>0.54453826695001994</v>
      </c>
      <c r="G1542">
        <v>0.33066540048010601</v>
      </c>
      <c r="H1542">
        <v>0.31283948918583898</v>
      </c>
      <c r="I1542">
        <v>0.25500928001610301</v>
      </c>
      <c r="J1542">
        <v>6.8431250738745494E-2</v>
      </c>
      <c r="K1542">
        <v>9.1284016526360701E-2</v>
      </c>
      <c r="L1542">
        <v>384.08280563257699</v>
      </c>
      <c r="M1542">
        <v>7.6840540273012801</v>
      </c>
      <c r="N1542">
        <v>49.9843956913436</v>
      </c>
      <c r="O1542">
        <v>46.936835567155697</v>
      </c>
      <c r="P1542">
        <v>-4.0981415963031002E-2</v>
      </c>
      <c r="Q1542">
        <v>0</v>
      </c>
      <c r="R1542">
        <v>0.96695736097638896</v>
      </c>
      <c r="S1542" t="s">
        <v>7944</v>
      </c>
      <c r="T1542" t="s">
        <v>12802</v>
      </c>
      <c r="U1542" t="s">
        <v>12802</v>
      </c>
      <c r="V1542" t="s">
        <v>12802</v>
      </c>
      <c r="W1542" t="s">
        <v>14307</v>
      </c>
      <c r="X1542">
        <v>3</v>
      </c>
      <c r="Y1542" t="s">
        <v>20617</v>
      </c>
      <c r="Z1542" t="s">
        <v>26860</v>
      </c>
      <c r="AA1542">
        <v>0.47479019772285319</v>
      </c>
      <c r="AB1542" t="str">
        <f>HYPERLINK("Melting_Curves/meltCurve_O43299_AP5Z1.pdf", "Melting_Curves/meltCurve_O43299_AP5Z1.pdf")</f>
        <v>Melting_Curves/meltCurve_O43299_AP5Z1.pdf</v>
      </c>
    </row>
    <row r="1543" spans="1:28" x14ac:dyDescent="0.25">
      <c r="A1543" t="s">
        <v>1547</v>
      </c>
      <c r="B1543">
        <v>0.99542014353169495</v>
      </c>
      <c r="C1543">
        <v>1.04554079379927</v>
      </c>
      <c r="D1543">
        <v>0.94544798620618098</v>
      </c>
      <c r="E1543">
        <v>0.94114507585924601</v>
      </c>
      <c r="F1543">
        <v>0.66886937301760296</v>
      </c>
      <c r="G1543">
        <v>0.53336555284885401</v>
      </c>
      <c r="H1543">
        <v>0.36640798733597302</v>
      </c>
      <c r="I1543">
        <v>0.25589350674785399</v>
      </c>
      <c r="J1543">
        <v>0.264325812274397</v>
      </c>
      <c r="K1543">
        <v>0.27383978096262401</v>
      </c>
      <c r="L1543">
        <v>879.27337052771304</v>
      </c>
      <c r="M1543">
        <v>16.9970844693351</v>
      </c>
      <c r="N1543">
        <v>53.785284552133199</v>
      </c>
      <c r="O1543">
        <v>51.030692687544501</v>
      </c>
      <c r="P1543">
        <v>-6.3389967169219394E-2</v>
      </c>
      <c r="Q1543">
        <v>0.23877912548376801</v>
      </c>
      <c r="R1543">
        <v>0.98932621622401096</v>
      </c>
      <c r="S1543" t="s">
        <v>7945</v>
      </c>
      <c r="T1543" t="s">
        <v>12802</v>
      </c>
      <c r="U1543" t="s">
        <v>12802</v>
      </c>
      <c r="V1543" t="s">
        <v>12802</v>
      </c>
      <c r="W1543" t="s">
        <v>14308</v>
      </c>
      <c r="X1543">
        <v>1</v>
      </c>
      <c r="Y1543" t="s">
        <v>20618</v>
      </c>
      <c r="Z1543" t="s">
        <v>26861</v>
      </c>
      <c r="AA1543">
        <v>0.62514713787666876</v>
      </c>
      <c r="AB1543" t="str">
        <f>HYPERLINK("Melting_Curves/meltCurve_O43301_HSPA12A.pdf", "Melting_Curves/meltCurve_O43301_HSPA12A.pdf")</f>
        <v>Melting_Curves/meltCurve_O43301_HSPA12A.pdf</v>
      </c>
    </row>
    <row r="1544" spans="1:28" x14ac:dyDescent="0.25">
      <c r="A1544" t="s">
        <v>1548</v>
      </c>
      <c r="B1544">
        <v>0.99542014353169495</v>
      </c>
      <c r="C1544">
        <v>1.07649625140977</v>
      </c>
      <c r="D1544">
        <v>1.3175277774266101</v>
      </c>
      <c r="E1544">
        <v>0.96021916379732997</v>
      </c>
      <c r="F1544">
        <v>0.65829297705890999</v>
      </c>
      <c r="G1544">
        <v>0.37562226515744801</v>
      </c>
      <c r="H1544">
        <v>7.7798179890791602E-2</v>
      </c>
      <c r="I1544">
        <v>2.9076100840053101E-2</v>
      </c>
      <c r="J1544">
        <v>5.2266818418081999E-2</v>
      </c>
      <c r="K1544">
        <v>5.2767924633300503E-2</v>
      </c>
      <c r="L1544">
        <v>1290.0257688413401</v>
      </c>
      <c r="M1544">
        <v>24.838271305158901</v>
      </c>
      <c r="N1544">
        <v>52.0699358173486</v>
      </c>
      <c r="O1544">
        <v>51.603873608136503</v>
      </c>
      <c r="P1544">
        <v>-0.11663673064631</v>
      </c>
      <c r="Q1544">
        <v>3.0717722756934299E-2</v>
      </c>
      <c r="R1544">
        <v>0.94741699030075699</v>
      </c>
      <c r="S1544" t="s">
        <v>7946</v>
      </c>
      <c r="T1544" t="s">
        <v>12802</v>
      </c>
      <c r="U1544" t="s">
        <v>12802</v>
      </c>
      <c r="V1544" t="s">
        <v>12802</v>
      </c>
      <c r="W1544" t="s">
        <v>14309</v>
      </c>
      <c r="X1544">
        <v>2</v>
      </c>
      <c r="Y1544" t="s">
        <v>20619</v>
      </c>
      <c r="Z1544" t="s">
        <v>26862</v>
      </c>
      <c r="AA1544">
        <v>0.52201116314273355</v>
      </c>
      <c r="AB1544" t="str">
        <f>HYPERLINK("Melting_Curves/meltCurve_O43310_CTIF.pdf", "Melting_Curves/meltCurve_O43310_CTIF.pdf")</f>
        <v>Melting_Curves/meltCurve_O43310_CTIF.pdf</v>
      </c>
    </row>
    <row r="1545" spans="1:28" x14ac:dyDescent="0.25">
      <c r="A1545" t="s">
        <v>1549</v>
      </c>
      <c r="B1545">
        <v>0.99542014353169495</v>
      </c>
      <c r="C1545">
        <v>0.97418477045648999</v>
      </c>
      <c r="D1545">
        <v>0.99431566784615699</v>
      </c>
      <c r="E1545">
        <v>0.89929550260359603</v>
      </c>
      <c r="F1545">
        <v>0.74122625389421404</v>
      </c>
      <c r="G1545">
        <v>0.49723699451863601</v>
      </c>
      <c r="H1545">
        <v>0.13990708975126701</v>
      </c>
      <c r="I1545">
        <v>7.4434616830573799E-2</v>
      </c>
      <c r="J1545">
        <v>5.1905900181962103E-2</v>
      </c>
      <c r="K1545">
        <v>6.05971441990013E-2</v>
      </c>
      <c r="L1545">
        <v>1032.24564469607</v>
      </c>
      <c r="M1545">
        <v>19.4578633637895</v>
      </c>
      <c r="N1545">
        <v>53.130877499146401</v>
      </c>
      <c r="O1545">
        <v>52.499504605242699</v>
      </c>
      <c r="P1545">
        <v>-9.1313650046803196E-2</v>
      </c>
      <c r="Q1545">
        <v>1.4537754823279601E-2</v>
      </c>
      <c r="R1545">
        <v>0.99390834936372996</v>
      </c>
      <c r="S1545" t="s">
        <v>7947</v>
      </c>
      <c r="T1545" t="s">
        <v>12802</v>
      </c>
      <c r="U1545" t="s">
        <v>12802</v>
      </c>
      <c r="V1545" t="s">
        <v>12802</v>
      </c>
      <c r="W1545" t="s">
        <v>14310</v>
      </c>
      <c r="X1545">
        <v>32</v>
      </c>
      <c r="Y1545" t="s">
        <v>20050</v>
      </c>
      <c r="Z1545" t="s">
        <v>26863</v>
      </c>
      <c r="AA1545">
        <v>0.55465476938612168</v>
      </c>
      <c r="AB1545" t="str">
        <f>HYPERLINK("Melting_Curves/meltCurve_O43314_2_PPIP5K2.pdf", "Melting_Curves/meltCurve_O43314_2_PPIP5K2.pdf")</f>
        <v>Melting_Curves/meltCurve_O43314_2_PPIP5K2.pdf</v>
      </c>
    </row>
    <row r="1546" spans="1:28" x14ac:dyDescent="0.25">
      <c r="A1546" t="s">
        <v>1550</v>
      </c>
      <c r="B1546">
        <v>0.99542014353169495</v>
      </c>
      <c r="C1546">
        <v>0.94028662394775597</v>
      </c>
      <c r="D1546">
        <v>0.92890951471105798</v>
      </c>
      <c r="E1546">
        <v>0.64061017427578704</v>
      </c>
      <c r="F1546">
        <v>0.19266507403597499</v>
      </c>
      <c r="G1546">
        <v>0.102148789797922</v>
      </c>
      <c r="H1546">
        <v>6.7449258277896801E-2</v>
      </c>
      <c r="I1546">
        <v>4.6974820094333999E-2</v>
      </c>
      <c r="J1546">
        <v>6.7639359946948793E-2</v>
      </c>
      <c r="K1546">
        <v>7.5299424818450603E-2</v>
      </c>
      <c r="L1546">
        <v>1355.1408976935099</v>
      </c>
      <c r="M1546">
        <v>28.667808125806999</v>
      </c>
      <c r="N1546">
        <v>47.491453293124003</v>
      </c>
      <c r="O1546">
        <v>47.0422765311828</v>
      </c>
      <c r="P1546">
        <v>-0.14283983615572801</v>
      </c>
      <c r="Q1546">
        <v>6.2438919513804599E-2</v>
      </c>
      <c r="R1546">
        <v>0.99708908529101703</v>
      </c>
      <c r="S1546" t="s">
        <v>7948</v>
      </c>
      <c r="T1546" t="s">
        <v>12802</v>
      </c>
      <c r="U1546" t="s">
        <v>12802</v>
      </c>
      <c r="V1546" t="s">
        <v>12802</v>
      </c>
      <c r="W1546" t="s">
        <v>14311</v>
      </c>
      <c r="X1546">
        <v>15</v>
      </c>
      <c r="Y1546" t="s">
        <v>20620</v>
      </c>
      <c r="Z1546" t="s">
        <v>26864</v>
      </c>
      <c r="AA1546">
        <v>0.38941488254165968</v>
      </c>
      <c r="AB1546" t="str">
        <f>HYPERLINK("Melting_Curves/meltCurve_O43318_MAP3K7.pdf", "Melting_Curves/meltCurve_O43318_MAP3K7.pdf")</f>
        <v>Melting_Curves/meltCurve_O43318_MAP3K7.pdf</v>
      </c>
    </row>
    <row r="1547" spans="1:28" x14ac:dyDescent="0.25">
      <c r="A1547" t="s">
        <v>1551</v>
      </c>
      <c r="B1547">
        <v>0.99542014353169495</v>
      </c>
      <c r="C1547">
        <v>1.0253082810445699</v>
      </c>
      <c r="D1547">
        <v>0.942575307226725</v>
      </c>
      <c r="E1547">
        <v>0.76384451340836601</v>
      </c>
      <c r="F1547">
        <v>0.49841379173338901</v>
      </c>
      <c r="G1547">
        <v>0.33018200469280001</v>
      </c>
      <c r="H1547">
        <v>0.20536852776242301</v>
      </c>
      <c r="I1547">
        <v>0.15269767002322199</v>
      </c>
      <c r="J1547">
        <v>0.17132091337952199</v>
      </c>
      <c r="K1547">
        <v>0.14862440065159299</v>
      </c>
      <c r="L1547">
        <v>850.43683665702304</v>
      </c>
      <c r="M1547">
        <v>17.237044181142402</v>
      </c>
      <c r="N1547">
        <v>50.307895556881597</v>
      </c>
      <c r="O1547">
        <v>48.688047288074401</v>
      </c>
      <c r="P1547">
        <v>-7.5996800223665006E-2</v>
      </c>
      <c r="Q1547">
        <v>0.14140282829685799</v>
      </c>
      <c r="R1547">
        <v>0.99769531335603401</v>
      </c>
      <c r="S1547" t="s">
        <v>7949</v>
      </c>
      <c r="T1547" t="s">
        <v>12802</v>
      </c>
      <c r="U1547" t="s">
        <v>12802</v>
      </c>
      <c r="V1547" t="s">
        <v>12802</v>
      </c>
      <c r="W1547" t="s">
        <v>14312</v>
      </c>
      <c r="X1547">
        <v>11</v>
      </c>
      <c r="Y1547" t="s">
        <v>20621</v>
      </c>
      <c r="Z1547" t="s">
        <v>26865</v>
      </c>
      <c r="AA1547">
        <v>0.5091597062901333</v>
      </c>
      <c r="AB1547" t="str">
        <f>HYPERLINK("Melting_Curves/meltCurve_O43353_RIPK2.pdf", "Melting_Curves/meltCurve_O43353_RIPK2.pdf")</f>
        <v>Melting_Curves/meltCurve_O43353_RIPK2.pdf</v>
      </c>
    </row>
    <row r="1548" spans="1:28" x14ac:dyDescent="0.25">
      <c r="A1548" t="s">
        <v>1552</v>
      </c>
      <c r="B1548">
        <v>0.99542014353169495</v>
      </c>
      <c r="C1548">
        <v>0.77804965064039899</v>
      </c>
      <c r="D1548">
        <v>0.80923553707498497</v>
      </c>
      <c r="E1548">
        <v>0.36428692181032402</v>
      </c>
      <c r="F1548">
        <v>0.22949801567852601</v>
      </c>
      <c r="G1548">
        <v>9.3265503890159501E-2</v>
      </c>
      <c r="H1548">
        <v>5.1783810839293502E-2</v>
      </c>
      <c r="I1548">
        <v>1.0998624710628801E-2</v>
      </c>
      <c r="J1548">
        <v>1.84804791217026E-2</v>
      </c>
      <c r="K1548">
        <v>1.6686776830299802E-2</v>
      </c>
      <c r="L1548">
        <v>663.16553399299096</v>
      </c>
      <c r="M1548">
        <v>14.5435276042876</v>
      </c>
      <c r="N1548">
        <v>45.598671212927698</v>
      </c>
      <c r="O1548">
        <v>44.762572395748698</v>
      </c>
      <c r="P1548">
        <v>-8.1235199027305693E-2</v>
      </c>
      <c r="Q1548">
        <v>0</v>
      </c>
      <c r="R1548">
        <v>0.97893228794085096</v>
      </c>
      <c r="S1548" t="s">
        <v>7950</v>
      </c>
      <c r="T1548" t="s">
        <v>12802</v>
      </c>
      <c r="U1548" t="s">
        <v>12802</v>
      </c>
      <c r="V1548" t="s">
        <v>12802</v>
      </c>
      <c r="W1548" t="s">
        <v>14313</v>
      </c>
      <c r="X1548">
        <v>3</v>
      </c>
      <c r="Y1548" t="s">
        <v>20622</v>
      </c>
      <c r="Z1548" t="s">
        <v>26866</v>
      </c>
      <c r="AA1548">
        <v>0.31137589144801409</v>
      </c>
      <c r="AB1548" t="str">
        <f>HYPERLINK("Melting_Curves/meltCurve_O43379_WDR62.pdf", "Melting_Curves/meltCurve_O43379_WDR62.pdf")</f>
        <v>Melting_Curves/meltCurve_O43379_WDR62.pdf</v>
      </c>
    </row>
    <row r="1549" spans="1:28" x14ac:dyDescent="0.25">
      <c r="A1549" t="s">
        <v>1553</v>
      </c>
      <c r="B1549">
        <v>0.99542014353169495</v>
      </c>
      <c r="C1549">
        <v>1.0233446454873401</v>
      </c>
      <c r="D1549">
        <v>0.94240371396149303</v>
      </c>
      <c r="E1549">
        <v>0.64060396404781195</v>
      </c>
      <c r="F1549">
        <v>0.37432403080868099</v>
      </c>
      <c r="G1549">
        <v>0.22789105077359501</v>
      </c>
      <c r="H1549">
        <v>0.1505989848624</v>
      </c>
      <c r="I1549">
        <v>0.119736464775272</v>
      </c>
      <c r="J1549">
        <v>0.13412882805347101</v>
      </c>
      <c r="K1549">
        <v>0.105447320142307</v>
      </c>
      <c r="L1549">
        <v>946.48557380674197</v>
      </c>
      <c r="M1549">
        <v>19.798708916183202</v>
      </c>
      <c r="N1549">
        <v>48.471503172024399</v>
      </c>
      <c r="O1549">
        <v>47.325736791661299</v>
      </c>
      <c r="P1549">
        <v>-9.2134396354554393E-2</v>
      </c>
      <c r="Q1549">
        <v>0.119098108293548</v>
      </c>
      <c r="R1549">
        <v>0.99680788618905602</v>
      </c>
      <c r="S1549" t="s">
        <v>7951</v>
      </c>
      <c r="T1549" t="s">
        <v>12802</v>
      </c>
      <c r="U1549" t="s">
        <v>12802</v>
      </c>
      <c r="V1549" t="s">
        <v>12802</v>
      </c>
      <c r="W1549" t="s">
        <v>14314</v>
      </c>
      <c r="X1549">
        <v>10</v>
      </c>
      <c r="Y1549" t="s">
        <v>20623</v>
      </c>
      <c r="Z1549" t="s">
        <v>26867</v>
      </c>
      <c r="AA1549">
        <v>0.44817207858070818</v>
      </c>
      <c r="AB1549" t="str">
        <f>HYPERLINK("Melting_Curves/meltCurve_O43390_HNRNPR.pdf", "Melting_Curves/meltCurve_O43390_HNRNPR.pdf")</f>
        <v>Melting_Curves/meltCurve_O43390_HNRNPR.pdf</v>
      </c>
    </row>
    <row r="1550" spans="1:28" x14ac:dyDescent="0.25">
      <c r="A1550" t="s">
        <v>1554</v>
      </c>
      <c r="B1550">
        <v>0.99542014353169495</v>
      </c>
      <c r="C1550">
        <v>0.91002342967235805</v>
      </c>
      <c r="D1550">
        <v>1.0763938711101</v>
      </c>
      <c r="E1550">
        <v>0.873394073475116</v>
      </c>
      <c r="F1550">
        <v>0.31827353618126603</v>
      </c>
      <c r="G1550">
        <v>0.152859921849515</v>
      </c>
      <c r="H1550">
        <v>9.1361599971508098E-2</v>
      </c>
      <c r="I1550">
        <v>6.9808898447343906E-2</v>
      </c>
      <c r="J1550">
        <v>7.2329685788835904E-2</v>
      </c>
      <c r="K1550">
        <v>8.0191273479857994E-2</v>
      </c>
      <c r="L1550">
        <v>1854.28240033067</v>
      </c>
      <c r="M1550">
        <v>37.966158033437203</v>
      </c>
      <c r="N1550">
        <v>49.083866109238201</v>
      </c>
      <c r="O1550">
        <v>48.705491926850897</v>
      </c>
      <c r="P1550">
        <v>-0.17815141839500601</v>
      </c>
      <c r="Q1550">
        <v>8.5824770563718705E-2</v>
      </c>
      <c r="R1550">
        <v>0.99025281103148999</v>
      </c>
      <c r="S1550" t="s">
        <v>7952</v>
      </c>
      <c r="T1550" t="s">
        <v>12802</v>
      </c>
      <c r="U1550" t="s">
        <v>12802</v>
      </c>
      <c r="V1550" t="s">
        <v>12802</v>
      </c>
      <c r="W1550" t="s">
        <v>14315</v>
      </c>
      <c r="X1550">
        <v>13</v>
      </c>
      <c r="Y1550" t="s">
        <v>20624</v>
      </c>
      <c r="Z1550" t="s">
        <v>26868</v>
      </c>
      <c r="AA1550">
        <v>0.45005901693578321</v>
      </c>
      <c r="AB1550" t="str">
        <f>HYPERLINK("Melting_Curves/meltCurve_O43395_PRPF3.pdf", "Melting_Curves/meltCurve_O43395_PRPF3.pdf")</f>
        <v>Melting_Curves/meltCurve_O43395_PRPF3.pdf</v>
      </c>
    </row>
    <row r="1551" spans="1:28" x14ac:dyDescent="0.25">
      <c r="A1551" t="s">
        <v>1555</v>
      </c>
      <c r="B1551">
        <v>0.99542014353169495</v>
      </c>
      <c r="C1551">
        <v>1.0159880517745401</v>
      </c>
      <c r="D1551">
        <v>0.99650370260929499</v>
      </c>
      <c r="E1551">
        <v>0.89231354545007802</v>
      </c>
      <c r="F1551">
        <v>0.449232687659333</v>
      </c>
      <c r="G1551">
        <v>0.14948233557635399</v>
      </c>
      <c r="H1551">
        <v>7.7873918791439706E-2</v>
      </c>
      <c r="I1551">
        <v>5.3727012617599802E-2</v>
      </c>
      <c r="J1551">
        <v>5.4608633498550899E-2</v>
      </c>
      <c r="K1551">
        <v>6.8133908799765594E-2</v>
      </c>
      <c r="L1551">
        <v>1516.30754231945</v>
      </c>
      <c r="M1551">
        <v>30.533068470286501</v>
      </c>
      <c r="N1551">
        <v>49.869628721101002</v>
      </c>
      <c r="O1551">
        <v>49.449606396757098</v>
      </c>
      <c r="P1551">
        <v>-0.14511690039439801</v>
      </c>
      <c r="Q1551">
        <v>5.9913936091668001E-2</v>
      </c>
      <c r="R1551">
        <v>0.99966206452100603</v>
      </c>
      <c r="S1551" t="s">
        <v>7953</v>
      </c>
      <c r="T1551" t="s">
        <v>12802</v>
      </c>
      <c r="U1551" t="s">
        <v>12802</v>
      </c>
      <c r="V1551" t="s">
        <v>12802</v>
      </c>
      <c r="W1551" t="s">
        <v>14316</v>
      </c>
      <c r="X1551">
        <v>18</v>
      </c>
      <c r="Y1551" t="s">
        <v>20625</v>
      </c>
      <c r="Z1551" t="s">
        <v>26869</v>
      </c>
      <c r="AA1551">
        <v>0.46220539580205189</v>
      </c>
      <c r="AB1551" t="str">
        <f>HYPERLINK("Melting_Curves/meltCurve_O43396_TXNL1.pdf", "Melting_Curves/meltCurve_O43396_TXNL1.pdf")</f>
        <v>Melting_Curves/meltCurve_O43396_TXNL1.pdf</v>
      </c>
    </row>
    <row r="1552" spans="1:28" x14ac:dyDescent="0.25">
      <c r="A1552" t="s">
        <v>1556</v>
      </c>
      <c r="B1552">
        <v>0.99542014353169495</v>
      </c>
      <c r="C1552">
        <v>1.03742304262804</v>
      </c>
      <c r="D1552">
        <v>0.95798010050522697</v>
      </c>
      <c r="E1552">
        <v>0.93476561558396298</v>
      </c>
      <c r="F1552">
        <v>0.75589556731890495</v>
      </c>
      <c r="G1552">
        <v>0.62000117667876697</v>
      </c>
      <c r="H1552">
        <v>0.50661790432896503</v>
      </c>
      <c r="I1552">
        <v>0.50739065654415805</v>
      </c>
      <c r="J1552">
        <v>0.808397904386012</v>
      </c>
      <c r="K1552">
        <v>1.00217654631062</v>
      </c>
      <c r="L1552">
        <v>2001.24145268968</v>
      </c>
      <c r="M1552">
        <v>41.538045480942202</v>
      </c>
      <c r="O1552">
        <v>48.067262356563198</v>
      </c>
      <c r="P1552">
        <v>-6.6803868883512599E-2</v>
      </c>
      <c r="Q1552">
        <v>0.69078247491520794</v>
      </c>
      <c r="R1552">
        <v>0.51079493313401803</v>
      </c>
      <c r="S1552" t="s">
        <v>7954</v>
      </c>
      <c r="T1552" t="s">
        <v>12802</v>
      </c>
      <c r="U1552" t="s">
        <v>12802</v>
      </c>
      <c r="V1552" t="s">
        <v>12802</v>
      </c>
      <c r="W1552" t="s">
        <v>14317</v>
      </c>
      <c r="X1552">
        <v>19</v>
      </c>
      <c r="Y1552" t="s">
        <v>20626</v>
      </c>
      <c r="Z1552" t="s">
        <v>26870</v>
      </c>
      <c r="AA1552">
        <v>0.80695664841870951</v>
      </c>
      <c r="AB1552" t="str">
        <f>HYPERLINK("Melting_Curves/meltCurve_O43399_TPD52L2.pdf", "Melting_Curves/meltCurve_O43399_TPD52L2.pdf")</f>
        <v>Melting_Curves/meltCurve_O43399_TPD52L2.pdf</v>
      </c>
    </row>
    <row r="1553" spans="1:28" x14ac:dyDescent="0.25">
      <c r="A1553" t="s">
        <v>1557</v>
      </c>
      <c r="B1553">
        <v>0.99542014353169495</v>
      </c>
      <c r="C1553">
        <v>0.78661277810915498</v>
      </c>
      <c r="D1553">
        <v>0.72967385921432204</v>
      </c>
      <c r="E1553">
        <v>0.42142632420514903</v>
      </c>
      <c r="F1553">
        <v>0.36506002372686702</v>
      </c>
      <c r="G1553">
        <v>0.16521455080257899</v>
      </c>
      <c r="H1553">
        <v>5.7445665607471698E-2</v>
      </c>
      <c r="I1553">
        <v>3.50796723789868E-2</v>
      </c>
      <c r="J1553">
        <v>2.7679788045832099E-2</v>
      </c>
      <c r="K1553">
        <v>2.7583889018082602E-2</v>
      </c>
      <c r="L1553">
        <v>520.85333643218598</v>
      </c>
      <c r="M1553">
        <v>11.2914249673202</v>
      </c>
      <c r="N1553">
        <v>46.128235781911599</v>
      </c>
      <c r="O1553">
        <v>44.752407288321699</v>
      </c>
      <c r="P1553">
        <v>-6.3096433018708695E-2</v>
      </c>
      <c r="Q1553">
        <v>0</v>
      </c>
      <c r="R1553">
        <v>0.98324583132902599</v>
      </c>
      <c r="S1553" t="s">
        <v>7955</v>
      </c>
      <c r="T1553" t="s">
        <v>12802</v>
      </c>
      <c r="U1553" t="s">
        <v>12802</v>
      </c>
      <c r="V1553" t="s">
        <v>12802</v>
      </c>
      <c r="W1553" t="s">
        <v>14318</v>
      </c>
      <c r="X1553">
        <v>10</v>
      </c>
      <c r="Y1553" t="s">
        <v>20627</v>
      </c>
      <c r="Z1553" t="s">
        <v>26871</v>
      </c>
      <c r="AA1553">
        <v>0.34219204973132378</v>
      </c>
      <c r="AB1553" t="str">
        <f>HYPERLINK("Melting_Curves/meltCurve_O43402_EMC8.pdf", "Melting_Curves/meltCurve_O43402_EMC8.pdf")</f>
        <v>Melting_Curves/meltCurve_O43402_EMC8.pdf</v>
      </c>
    </row>
    <row r="1554" spans="1:28" x14ac:dyDescent="0.25">
      <c r="A1554" t="s">
        <v>1558</v>
      </c>
      <c r="B1554">
        <v>0.99542014353169495</v>
      </c>
      <c r="C1554">
        <v>1.14341722616188</v>
      </c>
      <c r="D1554">
        <v>0.98935532355891498</v>
      </c>
      <c r="E1554">
        <v>0.63448923944735902</v>
      </c>
      <c r="F1554">
        <v>0.28409304553179299</v>
      </c>
      <c r="G1554">
        <v>0.19070201612701501</v>
      </c>
      <c r="H1554">
        <v>0.151577807173299</v>
      </c>
      <c r="I1554">
        <v>5.7614889933139797E-2</v>
      </c>
      <c r="J1554">
        <v>0.20568374665953101</v>
      </c>
      <c r="K1554">
        <v>0.327215777913272</v>
      </c>
      <c r="L1554">
        <v>1663.70685280461</v>
      </c>
      <c r="M1554">
        <v>35.446652472697302</v>
      </c>
      <c r="N1554">
        <v>47.567860191811299</v>
      </c>
      <c r="O1554">
        <v>46.786881626409297</v>
      </c>
      <c r="P1554">
        <v>-0.15382060432459199</v>
      </c>
      <c r="Q1554">
        <v>0.18787680031014301</v>
      </c>
      <c r="R1554">
        <v>0.95963186763834396</v>
      </c>
      <c r="S1554" t="s">
        <v>7956</v>
      </c>
      <c r="T1554" t="s">
        <v>12802</v>
      </c>
      <c r="U1554" t="s">
        <v>12802</v>
      </c>
      <c r="V1554" t="s">
        <v>12802</v>
      </c>
      <c r="W1554" t="s">
        <v>14319</v>
      </c>
      <c r="X1554">
        <v>4</v>
      </c>
      <c r="Y1554" t="s">
        <v>20628</v>
      </c>
      <c r="Z1554" t="s">
        <v>26872</v>
      </c>
      <c r="AA1554">
        <v>0.46020282411786911</v>
      </c>
      <c r="AB1554" t="str">
        <f>HYPERLINK("Melting_Curves/meltCurve_O43427_2_FIBP.pdf", "Melting_Curves/meltCurve_O43427_2_FIBP.pdf")</f>
        <v>Melting_Curves/meltCurve_O43427_2_FIBP.pdf</v>
      </c>
    </row>
    <row r="1555" spans="1:28" x14ac:dyDescent="0.25">
      <c r="A1555" t="s">
        <v>1559</v>
      </c>
      <c r="B1555">
        <v>0.99542014353169495</v>
      </c>
      <c r="C1555">
        <v>0.98502490744569304</v>
      </c>
      <c r="D1555">
        <v>0.95787576590391299</v>
      </c>
      <c r="E1555">
        <v>0.73543777824967405</v>
      </c>
      <c r="F1555">
        <v>0.45750419971009099</v>
      </c>
      <c r="G1555">
        <v>0.23504682819911099</v>
      </c>
      <c r="H1555">
        <v>0.139002413283942</v>
      </c>
      <c r="I1555">
        <v>0.136155091067516</v>
      </c>
      <c r="J1555">
        <v>0.14494303473136999</v>
      </c>
      <c r="K1555">
        <v>0.11530074736354699</v>
      </c>
      <c r="L1555">
        <v>963.20995003741496</v>
      </c>
      <c r="M1555">
        <v>19.729847097454002</v>
      </c>
      <c r="N1555">
        <v>49.485877773589301</v>
      </c>
      <c r="O1555">
        <v>48.326723825393401</v>
      </c>
      <c r="P1555">
        <v>-9.0168123674148906E-2</v>
      </c>
      <c r="Q1555">
        <v>0.11659150113052</v>
      </c>
      <c r="R1555">
        <v>0.99872964054495394</v>
      </c>
      <c r="S1555" t="s">
        <v>7957</v>
      </c>
      <c r="T1555" t="s">
        <v>12802</v>
      </c>
      <c r="U1555" t="s">
        <v>12802</v>
      </c>
      <c r="V1555" t="s">
        <v>12802</v>
      </c>
      <c r="W1555" t="s">
        <v>14320</v>
      </c>
      <c r="X1555">
        <v>2</v>
      </c>
      <c r="Y1555" t="s">
        <v>20629</v>
      </c>
      <c r="Z1555" t="s">
        <v>26873</v>
      </c>
      <c r="AA1555">
        <v>0.47658094838308912</v>
      </c>
      <c r="AB1555" t="str">
        <f>HYPERLINK("Melting_Curves/meltCurve_O43435_3_TBX1.pdf", "Melting_Curves/meltCurve_O43435_3_TBX1.pdf")</f>
        <v>Melting_Curves/meltCurve_O43435_3_TBX1.pdf</v>
      </c>
    </row>
    <row r="1556" spans="1:28" x14ac:dyDescent="0.25">
      <c r="A1556" t="s">
        <v>1560</v>
      </c>
      <c r="B1556">
        <v>0.99542014353169495</v>
      </c>
      <c r="C1556">
        <v>1.0591198390909</v>
      </c>
      <c r="D1556">
        <v>0.97878608147146295</v>
      </c>
      <c r="E1556">
        <v>0.95788585241542001</v>
      </c>
      <c r="F1556">
        <v>0.582022112294729</v>
      </c>
      <c r="G1556">
        <v>0.22597979120395001</v>
      </c>
      <c r="H1556">
        <v>7.5708376707954397E-2</v>
      </c>
      <c r="I1556">
        <v>4.9331208495467599E-2</v>
      </c>
      <c r="J1556">
        <v>5.1178398671723198E-2</v>
      </c>
      <c r="K1556">
        <v>4.6787003192157298E-2</v>
      </c>
      <c r="L1556">
        <v>1436.7862085357699</v>
      </c>
      <c r="M1556">
        <v>28.300181947818501</v>
      </c>
      <c r="N1556">
        <v>50.9457777436143</v>
      </c>
      <c r="O1556">
        <v>50.5180327912406</v>
      </c>
      <c r="P1556">
        <v>-0.133519194371684</v>
      </c>
      <c r="Q1556">
        <v>4.6639117090173099E-2</v>
      </c>
      <c r="R1556">
        <v>0.997164333795448</v>
      </c>
      <c r="S1556" t="s">
        <v>7958</v>
      </c>
      <c r="T1556" t="s">
        <v>12802</v>
      </c>
      <c r="U1556" t="s">
        <v>12802</v>
      </c>
      <c r="V1556" t="s">
        <v>12802</v>
      </c>
      <c r="W1556" t="s">
        <v>14321</v>
      </c>
      <c r="X1556">
        <v>15</v>
      </c>
      <c r="Y1556" t="s">
        <v>20630</v>
      </c>
      <c r="Z1556" t="s">
        <v>26874</v>
      </c>
      <c r="AA1556">
        <v>0.49084726342244772</v>
      </c>
      <c r="AB1556" t="str">
        <f>HYPERLINK("Melting_Curves/meltCurve_O43447_PPIH.pdf", "Melting_Curves/meltCurve_O43447_PPIH.pdf")</f>
        <v>Melting_Curves/meltCurve_O43447_PPIH.pdf</v>
      </c>
    </row>
    <row r="1557" spans="1:28" x14ac:dyDescent="0.25">
      <c r="A1557" t="s">
        <v>1561</v>
      </c>
      <c r="B1557">
        <v>0.99542014353169495</v>
      </c>
      <c r="C1557">
        <v>0.99554261695475099</v>
      </c>
      <c r="D1557">
        <v>0.88216181857057696</v>
      </c>
      <c r="E1557">
        <v>0.83328581726788198</v>
      </c>
      <c r="F1557">
        <v>0.67043030102746803</v>
      </c>
      <c r="G1557">
        <v>0.48238843250998797</v>
      </c>
      <c r="H1557">
        <v>0.37979193334710198</v>
      </c>
      <c r="I1557">
        <v>0.29598498932740003</v>
      </c>
      <c r="J1557">
        <v>0.33906602549917803</v>
      </c>
      <c r="K1557">
        <v>0.31146013933417299</v>
      </c>
      <c r="L1557">
        <v>683.793856966303</v>
      </c>
      <c r="M1557">
        <v>13.561558396841001</v>
      </c>
      <c r="N1557">
        <v>53.534315991246501</v>
      </c>
      <c r="O1557">
        <v>49.363021857927897</v>
      </c>
      <c r="P1557">
        <v>-4.9957031269750103E-2</v>
      </c>
      <c r="Q1557">
        <v>0.272750068787737</v>
      </c>
      <c r="R1557">
        <v>0.99122209247108894</v>
      </c>
      <c r="S1557" t="s">
        <v>7959</v>
      </c>
      <c r="T1557" t="s">
        <v>12802</v>
      </c>
      <c r="U1557" t="s">
        <v>12802</v>
      </c>
      <c r="V1557" t="s">
        <v>12802</v>
      </c>
      <c r="W1557" t="s">
        <v>14322</v>
      </c>
      <c r="X1557">
        <v>7</v>
      </c>
      <c r="Y1557" t="s">
        <v>20631</v>
      </c>
      <c r="Z1557" t="s">
        <v>26875</v>
      </c>
      <c r="AA1557">
        <v>0.61523346947949764</v>
      </c>
      <c r="AB1557" t="str">
        <f>HYPERLINK("Melting_Curves/meltCurve_O43464_3_HTRA2.pdf", "Melting_Curves/meltCurve_O43464_3_HTRA2.pdf")</f>
        <v>Melting_Curves/meltCurve_O43464_3_HTRA2.pdf</v>
      </c>
    </row>
    <row r="1558" spans="1:28" x14ac:dyDescent="0.25">
      <c r="A1558" t="s">
        <v>1562</v>
      </c>
      <c r="B1558">
        <v>0.99542014353169495</v>
      </c>
      <c r="C1558">
        <v>0.93752028059181503</v>
      </c>
      <c r="D1558">
        <v>0.95676233272673294</v>
      </c>
      <c r="E1558">
        <v>0.91042950804334999</v>
      </c>
      <c r="F1558">
        <v>0.64197218479875795</v>
      </c>
      <c r="G1558">
        <v>0.30778740171007102</v>
      </c>
      <c r="H1558">
        <v>9.3789123385022793E-2</v>
      </c>
      <c r="I1558">
        <v>5.1303169742159198E-2</v>
      </c>
      <c r="J1558">
        <v>4.78092763252271E-2</v>
      </c>
      <c r="K1558">
        <v>2.5749628663795598E-2</v>
      </c>
      <c r="L1558">
        <v>1106.89404015936</v>
      </c>
      <c r="M1558">
        <v>21.4971391366505</v>
      </c>
      <c r="N1558">
        <v>51.584238425947198</v>
      </c>
      <c r="O1558">
        <v>51.050954578272098</v>
      </c>
      <c r="P1558">
        <v>-0.103254625014608</v>
      </c>
      <c r="Q1558">
        <v>1.9196639115704701E-2</v>
      </c>
      <c r="R1558">
        <v>0.99678576542706598</v>
      </c>
      <c r="S1558" t="s">
        <v>7960</v>
      </c>
      <c r="T1558" t="s">
        <v>12802</v>
      </c>
      <c r="U1558" t="s">
        <v>12802</v>
      </c>
      <c r="V1558" t="s">
        <v>12802</v>
      </c>
      <c r="W1558" t="s">
        <v>14323</v>
      </c>
      <c r="X1558">
        <v>3</v>
      </c>
      <c r="Y1558" t="s">
        <v>20632</v>
      </c>
      <c r="Z1558" t="s">
        <v>26876</v>
      </c>
      <c r="AA1558">
        <v>0.5042634474895662</v>
      </c>
      <c r="AB1558" t="str">
        <f>HYPERLINK("Melting_Curves/meltCurve_O43482_OIP5.pdf", "Melting_Curves/meltCurve_O43482_OIP5.pdf")</f>
        <v>Melting_Curves/meltCurve_O43482_OIP5.pdf</v>
      </c>
    </row>
    <row r="1559" spans="1:28" x14ac:dyDescent="0.25">
      <c r="A1559" t="s">
        <v>1563</v>
      </c>
      <c r="B1559">
        <v>0.99542014353169495</v>
      </c>
      <c r="C1559">
        <v>1.04167682527516</v>
      </c>
      <c r="D1559">
        <v>1.01245421127991</v>
      </c>
      <c r="E1559">
        <v>0.90591865644972003</v>
      </c>
      <c r="F1559">
        <v>0.645147514267151</v>
      </c>
      <c r="G1559">
        <v>0.23522088478127401</v>
      </c>
      <c r="H1559">
        <v>8.8811953643726196E-2</v>
      </c>
      <c r="I1559">
        <v>6.2030143370203801E-2</v>
      </c>
      <c r="J1559">
        <v>6.4678608613420494E-2</v>
      </c>
      <c r="K1559">
        <v>7.4740894798733207E-2</v>
      </c>
      <c r="L1559">
        <v>1403.3214307014</v>
      </c>
      <c r="M1559">
        <v>27.510002520952899</v>
      </c>
      <c r="N1559">
        <v>51.241557066025301</v>
      </c>
      <c r="O1559">
        <v>50.7440530759119</v>
      </c>
      <c r="P1559">
        <v>-0.127654738576363</v>
      </c>
      <c r="Q1559">
        <v>5.8137628267427702E-2</v>
      </c>
      <c r="R1559">
        <v>0.99799215007753095</v>
      </c>
      <c r="S1559" t="s">
        <v>7961</v>
      </c>
      <c r="T1559" t="s">
        <v>12802</v>
      </c>
      <c r="U1559" t="s">
        <v>12802</v>
      </c>
      <c r="V1559" t="s">
        <v>12802</v>
      </c>
      <c r="W1559" t="s">
        <v>14324</v>
      </c>
      <c r="X1559">
        <v>39</v>
      </c>
      <c r="Y1559" t="s">
        <v>20633</v>
      </c>
      <c r="Z1559" t="s">
        <v>26877</v>
      </c>
      <c r="AA1559">
        <v>0.5049669400292216</v>
      </c>
      <c r="AB1559" t="str">
        <f>HYPERLINK("Melting_Curves/meltCurve_O43491_EPB41L2.pdf", "Melting_Curves/meltCurve_O43491_EPB41L2.pdf")</f>
        <v>Melting_Curves/meltCurve_O43491_EPB41L2.pdf</v>
      </c>
    </row>
    <row r="1560" spans="1:28" x14ac:dyDescent="0.25">
      <c r="A1560" t="s">
        <v>1564</v>
      </c>
      <c r="B1560">
        <v>0.99542014353169495</v>
      </c>
      <c r="C1560">
        <v>1.1388443147441301</v>
      </c>
      <c r="D1560">
        <v>1.0358948958952801</v>
      </c>
      <c r="E1560">
        <v>0.86831448369252995</v>
      </c>
      <c r="F1560">
        <v>0.67572008853920495</v>
      </c>
      <c r="G1560">
        <v>0.35445607175850902</v>
      </c>
      <c r="H1560">
        <v>0.14313788053971799</v>
      </c>
      <c r="I1560">
        <v>7.0130955877281007E-2</v>
      </c>
      <c r="J1560">
        <v>5.5764906297699902E-2</v>
      </c>
      <c r="K1560">
        <v>5.54899283956789E-2</v>
      </c>
      <c r="L1560">
        <v>1045.0338359509999</v>
      </c>
      <c r="M1560">
        <v>20.171087464249901</v>
      </c>
      <c r="N1560">
        <v>51.995448805643299</v>
      </c>
      <c r="O1560">
        <v>51.307368173339903</v>
      </c>
      <c r="P1560">
        <v>-9.4850679662947607E-2</v>
      </c>
      <c r="Q1560">
        <v>3.4978196551563902E-2</v>
      </c>
      <c r="R1560">
        <v>0.98647607592383602</v>
      </c>
      <c r="S1560" t="s">
        <v>7962</v>
      </c>
      <c r="T1560" t="s">
        <v>12802</v>
      </c>
      <c r="U1560" t="s">
        <v>12802</v>
      </c>
      <c r="V1560" t="s">
        <v>12802</v>
      </c>
      <c r="W1560" t="s">
        <v>14325</v>
      </c>
      <c r="X1560">
        <v>6</v>
      </c>
      <c r="Y1560" t="s">
        <v>20634</v>
      </c>
      <c r="Z1560" t="s">
        <v>26878</v>
      </c>
      <c r="AA1560">
        <v>0.52366548261402668</v>
      </c>
      <c r="AB1560" t="str">
        <f>HYPERLINK("Melting_Curves/meltCurve_O43502_RAD51C.pdf", "Melting_Curves/meltCurve_O43502_RAD51C.pdf")</f>
        <v>Melting_Curves/meltCurve_O43502_RAD51C.pdf</v>
      </c>
    </row>
    <row r="1561" spans="1:28" x14ac:dyDescent="0.25">
      <c r="A1561" t="s">
        <v>1565</v>
      </c>
      <c r="B1561">
        <v>0.99542014353169495</v>
      </c>
      <c r="C1561">
        <v>1.0003470091084501</v>
      </c>
      <c r="D1561">
        <v>1.0341673954371899</v>
      </c>
      <c r="E1561">
        <v>0.94409961979456403</v>
      </c>
      <c r="F1561">
        <v>0.84609472639527505</v>
      </c>
      <c r="G1561">
        <v>0.61872580078044004</v>
      </c>
      <c r="H1561">
        <v>0.50893427030183302</v>
      </c>
      <c r="I1561">
        <v>0.39399508150638901</v>
      </c>
      <c r="J1561">
        <v>0.60518108105066704</v>
      </c>
      <c r="K1561">
        <v>0.72190319920025803</v>
      </c>
      <c r="L1561">
        <v>1928.6678687128499</v>
      </c>
      <c r="M1561">
        <v>37.850660849841802</v>
      </c>
      <c r="O1561">
        <v>50.813062747419998</v>
      </c>
      <c r="P1561">
        <v>-8.2318049697670301E-2</v>
      </c>
      <c r="Q1561">
        <v>0.55796582862010502</v>
      </c>
      <c r="R1561">
        <v>0.86747290380168596</v>
      </c>
      <c r="S1561" t="s">
        <v>7963</v>
      </c>
      <c r="T1561" t="s">
        <v>12802</v>
      </c>
      <c r="U1561" t="s">
        <v>12802</v>
      </c>
      <c r="V1561" t="s">
        <v>12802</v>
      </c>
      <c r="W1561" t="s">
        <v>14326</v>
      </c>
      <c r="X1561">
        <v>5</v>
      </c>
      <c r="Y1561" t="s">
        <v>20635</v>
      </c>
      <c r="Z1561" t="s">
        <v>26879</v>
      </c>
      <c r="AA1561">
        <v>0.76531728937976184</v>
      </c>
      <c r="AB1561" t="str">
        <f>HYPERLINK("Melting_Curves/meltCurve_O43504_LAMTOR5.pdf", "Melting_Curves/meltCurve_O43504_LAMTOR5.pdf")</f>
        <v>Melting_Curves/meltCurve_O43504_LAMTOR5.pdf</v>
      </c>
    </row>
    <row r="1562" spans="1:28" x14ac:dyDescent="0.25">
      <c r="A1562" t="s">
        <v>1566</v>
      </c>
      <c r="B1562">
        <v>0.99542014353169495</v>
      </c>
      <c r="C1562">
        <v>0.88073768094306604</v>
      </c>
      <c r="D1562">
        <v>0.87406246579001001</v>
      </c>
      <c r="E1562">
        <v>0.69942329674762904</v>
      </c>
      <c r="F1562">
        <v>0.64552233130647696</v>
      </c>
      <c r="G1562">
        <v>0.43492561546262498</v>
      </c>
      <c r="H1562">
        <v>0.130971245411487</v>
      </c>
      <c r="I1562">
        <v>7.0310774295778103E-2</v>
      </c>
      <c r="J1562">
        <v>0.100276510343111</v>
      </c>
      <c r="K1562">
        <v>3.6167386540941301E-2</v>
      </c>
      <c r="L1562">
        <v>603.09912505906402</v>
      </c>
      <c r="M1562">
        <v>11.780456152476299</v>
      </c>
      <c r="N1562">
        <v>51.194887066835598</v>
      </c>
      <c r="O1562">
        <v>49.786489126813201</v>
      </c>
      <c r="P1562">
        <v>-5.9170203113490603E-2</v>
      </c>
      <c r="Q1562">
        <v>0</v>
      </c>
      <c r="R1562">
        <v>0.97116821440888901</v>
      </c>
      <c r="S1562" t="s">
        <v>7964</v>
      </c>
      <c r="T1562" t="s">
        <v>12802</v>
      </c>
      <c r="U1562" t="s">
        <v>12802</v>
      </c>
      <c r="V1562" t="s">
        <v>12802</v>
      </c>
      <c r="W1562" t="s">
        <v>14327</v>
      </c>
      <c r="X1562">
        <v>1</v>
      </c>
      <c r="Y1562" t="s">
        <v>20636</v>
      </c>
      <c r="Z1562" t="s">
        <v>26880</v>
      </c>
      <c r="AA1562">
        <v>0.49922901770535982</v>
      </c>
      <c r="AB1562" t="str">
        <f>HYPERLINK("Melting_Curves/meltCurve_O43505_B3GNT1.pdf", "Melting_Curves/meltCurve_O43505_B3GNT1.pdf")</f>
        <v>Melting_Curves/meltCurve_O43505_B3GNT1.pdf</v>
      </c>
    </row>
    <row r="1563" spans="1:28" x14ac:dyDescent="0.25">
      <c r="A1563" t="s">
        <v>1567</v>
      </c>
      <c r="B1563">
        <v>0.99542014353169495</v>
      </c>
      <c r="C1563">
        <v>1.4495897831921001</v>
      </c>
      <c r="D1563">
        <v>1.0322032687617899</v>
      </c>
      <c r="E1563">
        <v>3.9573886892358798</v>
      </c>
      <c r="F1563">
        <v>0.67905318435176298</v>
      </c>
      <c r="G1563">
        <v>4.7097388710028598</v>
      </c>
      <c r="H1563">
        <v>0.302146403087872</v>
      </c>
      <c r="I1563">
        <v>6.2660824206683197</v>
      </c>
      <c r="J1563">
        <v>0</v>
      </c>
      <c r="K1563">
        <v>9.2980817402236298</v>
      </c>
      <c r="L1563">
        <v>3361.70124465668</v>
      </c>
      <c r="M1563">
        <v>86.386202269067098</v>
      </c>
      <c r="O1563">
        <v>38.893948132342103</v>
      </c>
      <c r="P1563">
        <v>0.277633803711479</v>
      </c>
      <c r="Q1563">
        <v>1.5</v>
      </c>
      <c r="R1563">
        <v>-0.21502414467158601</v>
      </c>
      <c r="S1563" t="s">
        <v>7965</v>
      </c>
      <c r="T1563" t="s">
        <v>12802</v>
      </c>
      <c r="U1563" t="s">
        <v>12802</v>
      </c>
      <c r="V1563" t="s">
        <v>12802</v>
      </c>
      <c r="W1563" t="s">
        <v>14328</v>
      </c>
      <c r="X1563">
        <v>1</v>
      </c>
      <c r="Y1563" t="s">
        <v>20637</v>
      </c>
      <c r="Z1563" t="s">
        <v>26881</v>
      </c>
      <c r="AA1563">
        <v>1.467724754642235</v>
      </c>
      <c r="AB1563" t="str">
        <f>HYPERLINK("Melting_Curves/meltCurve_O43513_MED7.pdf", "Melting_Curves/meltCurve_O43513_MED7.pdf")</f>
        <v>Melting_Curves/meltCurve_O43513_MED7.pdf</v>
      </c>
    </row>
    <row r="1564" spans="1:28" x14ac:dyDescent="0.25">
      <c r="A1564" t="s">
        <v>1568</v>
      </c>
      <c r="B1564">
        <v>0.99542014353169495</v>
      </c>
      <c r="C1564">
        <v>1.0679615621751599</v>
      </c>
      <c r="D1564">
        <v>1.0106141467295899</v>
      </c>
      <c r="E1564">
        <v>0.89867526067112502</v>
      </c>
      <c r="F1564">
        <v>0.71821255962477204</v>
      </c>
      <c r="G1564">
        <v>0.55238784244842598</v>
      </c>
      <c r="H1564">
        <v>0.44088271647028499</v>
      </c>
      <c r="I1564">
        <v>0.404091093529787</v>
      </c>
      <c r="J1564">
        <v>0.67061952162315897</v>
      </c>
      <c r="K1564">
        <v>0.82740098488893399</v>
      </c>
      <c r="L1564">
        <v>1641.0415914612399</v>
      </c>
      <c r="M1564">
        <v>33.742704610728303</v>
      </c>
      <c r="O1564">
        <v>48.464117990108903</v>
      </c>
      <c r="P1564">
        <v>-7.3201815675333598E-2</v>
      </c>
      <c r="Q1564">
        <v>0.57944737743185204</v>
      </c>
      <c r="R1564">
        <v>0.75159570434342804</v>
      </c>
      <c r="S1564" t="s">
        <v>7966</v>
      </c>
      <c r="T1564" t="s">
        <v>12802</v>
      </c>
      <c r="U1564" t="s">
        <v>12802</v>
      </c>
      <c r="V1564" t="s">
        <v>12802</v>
      </c>
      <c r="W1564" t="s">
        <v>14329</v>
      </c>
      <c r="X1564">
        <v>8</v>
      </c>
      <c r="Y1564" t="s">
        <v>20638</v>
      </c>
      <c r="Z1564" t="s">
        <v>26882</v>
      </c>
      <c r="AA1564">
        <v>0.74452802771932858</v>
      </c>
      <c r="AB1564" t="str">
        <f>HYPERLINK("Melting_Curves/meltCurve_O43516_WIPF1.pdf", "Melting_Curves/meltCurve_O43516_WIPF1.pdf")</f>
        <v>Melting_Curves/meltCurve_O43516_WIPF1.pdf</v>
      </c>
    </row>
    <row r="1565" spans="1:28" x14ac:dyDescent="0.25">
      <c r="A1565" t="s">
        <v>1569</v>
      </c>
      <c r="B1565">
        <v>0.99542014353169495</v>
      </c>
      <c r="C1565">
        <v>1.0361351099077301</v>
      </c>
      <c r="D1565">
        <v>0.86826172188837603</v>
      </c>
      <c r="E1565">
        <v>0.70802868781914097</v>
      </c>
      <c r="F1565">
        <v>0.56378913367157502</v>
      </c>
      <c r="G1565">
        <v>0.27522871693221002</v>
      </c>
      <c r="H1565">
        <v>9.0186429858375397E-2</v>
      </c>
      <c r="I1565">
        <v>5.07344046572216E-2</v>
      </c>
      <c r="J1565">
        <v>1.8103383390567999E-2</v>
      </c>
      <c r="K1565">
        <v>3.92484740053149E-2</v>
      </c>
      <c r="L1565">
        <v>732.37657227078796</v>
      </c>
      <c r="M1565">
        <v>14.6046867136541</v>
      </c>
      <c r="N1565">
        <v>50.146687786113802</v>
      </c>
      <c r="O1565">
        <v>49.234643362830198</v>
      </c>
      <c r="P1565">
        <v>-7.4166905805778199E-2</v>
      </c>
      <c r="Q1565">
        <v>0</v>
      </c>
      <c r="R1565">
        <v>0.98992831376185597</v>
      </c>
      <c r="S1565" t="s">
        <v>7967</v>
      </c>
      <c r="T1565" t="s">
        <v>12802</v>
      </c>
      <c r="U1565" t="s">
        <v>12802</v>
      </c>
      <c r="V1565" t="s">
        <v>12802</v>
      </c>
      <c r="W1565" t="s">
        <v>14330</v>
      </c>
      <c r="X1565">
        <v>2</v>
      </c>
      <c r="Y1565" t="s">
        <v>20639</v>
      </c>
      <c r="Z1565" t="s">
        <v>26883</v>
      </c>
      <c r="AA1565">
        <v>0.45982286538687211</v>
      </c>
      <c r="AB1565" t="str">
        <f>HYPERLINK("Melting_Curves/meltCurve_O43543_XRCC2.pdf", "Melting_Curves/meltCurve_O43543_XRCC2.pdf")</f>
        <v>Melting_Curves/meltCurve_O43543_XRCC2.pdf</v>
      </c>
    </row>
    <row r="1566" spans="1:28" x14ac:dyDescent="0.25">
      <c r="A1566" t="s">
        <v>1570</v>
      </c>
      <c r="B1566">
        <v>0.99542014353169495</v>
      </c>
      <c r="C1566">
        <v>1.03133724077154</v>
      </c>
      <c r="D1566">
        <v>0.986908265709738</v>
      </c>
      <c r="E1566">
        <v>0.95435265644234502</v>
      </c>
      <c r="F1566">
        <v>0.80021279887119001</v>
      </c>
      <c r="G1566">
        <v>0.68713420444023299</v>
      </c>
      <c r="H1566">
        <v>0.51731213142733001</v>
      </c>
      <c r="I1566">
        <v>0.40596379494586898</v>
      </c>
      <c r="J1566">
        <v>0.39550013892403202</v>
      </c>
      <c r="K1566">
        <v>0.32693106594340099</v>
      </c>
      <c r="L1566">
        <v>761.397127871512</v>
      </c>
      <c r="M1566">
        <v>14.030562354694499</v>
      </c>
      <c r="N1566">
        <v>57.973777939177303</v>
      </c>
      <c r="O1566">
        <v>53.200315527979498</v>
      </c>
      <c r="P1566">
        <v>-4.6414713832628803E-2</v>
      </c>
      <c r="Q1566">
        <v>0.29612130489204502</v>
      </c>
      <c r="R1566">
        <v>0.994509249141864</v>
      </c>
      <c r="S1566" t="s">
        <v>7968</v>
      </c>
      <c r="T1566" t="s">
        <v>12802</v>
      </c>
      <c r="U1566" t="s">
        <v>12802</v>
      </c>
      <c r="V1566" t="s">
        <v>12802</v>
      </c>
      <c r="W1566" t="s">
        <v>14331</v>
      </c>
      <c r="X1566">
        <v>12</v>
      </c>
      <c r="Y1566" t="s">
        <v>20640</v>
      </c>
      <c r="Z1566" t="s">
        <v>26884</v>
      </c>
      <c r="AA1566">
        <v>0.71271262500599519</v>
      </c>
      <c r="AB1566" t="str">
        <f>HYPERLINK("Melting_Curves/meltCurve_O43583_DENR.pdf", "Melting_Curves/meltCurve_O43583_DENR.pdf")</f>
        <v>Melting_Curves/meltCurve_O43583_DENR.pdf</v>
      </c>
    </row>
    <row r="1567" spans="1:28" x14ac:dyDescent="0.25">
      <c r="A1567" t="s">
        <v>1571</v>
      </c>
      <c r="B1567">
        <v>0.99542014353169495</v>
      </c>
      <c r="C1567">
        <v>0.99588059911754501</v>
      </c>
      <c r="D1567">
        <v>0.98982266479718295</v>
      </c>
      <c r="E1567">
        <v>0.77267729814131603</v>
      </c>
      <c r="F1567">
        <v>0.27533444197455598</v>
      </c>
      <c r="G1567">
        <v>0.15266711820896101</v>
      </c>
      <c r="H1567">
        <v>9.6113241454869103E-2</v>
      </c>
      <c r="I1567">
        <v>7.5657411912820105E-2</v>
      </c>
      <c r="J1567">
        <v>8.1864033979626799E-2</v>
      </c>
      <c r="K1567">
        <v>9.8898666682632197E-2</v>
      </c>
      <c r="L1567">
        <v>1557.6279440626899</v>
      </c>
      <c r="M1567">
        <v>32.342902399008501</v>
      </c>
      <c r="N1567">
        <v>48.465832535527397</v>
      </c>
      <c r="O1567">
        <v>47.976825754872401</v>
      </c>
      <c r="P1567">
        <v>-0.15296905364996799</v>
      </c>
      <c r="Q1567">
        <v>9.23594183807456E-2</v>
      </c>
      <c r="R1567">
        <v>0.99901866728403999</v>
      </c>
      <c r="S1567" t="s">
        <v>7969</v>
      </c>
      <c r="T1567" t="s">
        <v>12802</v>
      </c>
      <c r="U1567" t="s">
        <v>12802</v>
      </c>
      <c r="V1567" t="s">
        <v>12802</v>
      </c>
      <c r="W1567" t="s">
        <v>14332</v>
      </c>
      <c r="X1567">
        <v>12</v>
      </c>
      <c r="Y1567" t="s">
        <v>20641</v>
      </c>
      <c r="Z1567" t="s">
        <v>26885</v>
      </c>
      <c r="AA1567">
        <v>0.43463148855973122</v>
      </c>
      <c r="AB1567" t="str">
        <f>HYPERLINK("Melting_Curves/meltCurve_O43592_XPOT.pdf", "Melting_Curves/meltCurve_O43592_XPOT.pdf")</f>
        <v>Melting_Curves/meltCurve_O43592_XPOT.pdf</v>
      </c>
    </row>
    <row r="1568" spans="1:28" x14ac:dyDescent="0.25">
      <c r="A1568" t="s">
        <v>1572</v>
      </c>
      <c r="B1568">
        <v>0.99542014353169495</v>
      </c>
      <c r="C1568">
        <v>0.98185861064472701</v>
      </c>
      <c r="D1568">
        <v>0.87835684134365599</v>
      </c>
      <c r="E1568">
        <v>1.00086769323444</v>
      </c>
      <c r="F1568">
        <v>0.57972903391001396</v>
      </c>
      <c r="G1568">
        <v>0.42581996637511799</v>
      </c>
      <c r="H1568">
        <v>0.29559289294177898</v>
      </c>
      <c r="I1568">
        <v>0.28742119169271002</v>
      </c>
      <c r="J1568">
        <v>0.55459819601556304</v>
      </c>
      <c r="K1568">
        <v>0.371042675900706</v>
      </c>
      <c r="L1568">
        <v>3070.6649577971598</v>
      </c>
      <c r="M1568">
        <v>61.924948208565901</v>
      </c>
      <c r="N1568">
        <v>50.796830741889401</v>
      </c>
      <c r="O1568">
        <v>49.535245415837302</v>
      </c>
      <c r="P1568">
        <v>-0.192014484475868</v>
      </c>
      <c r="Q1568">
        <v>0.38561233389347999</v>
      </c>
      <c r="R1568">
        <v>0.92136128518329596</v>
      </c>
      <c r="S1568" t="s">
        <v>7970</v>
      </c>
      <c r="T1568" t="s">
        <v>12802</v>
      </c>
      <c r="U1568" t="s">
        <v>12802</v>
      </c>
      <c r="V1568" t="s">
        <v>12802</v>
      </c>
      <c r="W1568" t="s">
        <v>14333</v>
      </c>
      <c r="X1568">
        <v>8</v>
      </c>
      <c r="Y1568" t="s">
        <v>20047</v>
      </c>
      <c r="Z1568" t="s">
        <v>26886</v>
      </c>
      <c r="AA1568">
        <v>0.64426085229756203</v>
      </c>
      <c r="AB1568" t="str">
        <f>HYPERLINK("Melting_Curves/meltCurve_O43598_DNPH1.pdf", "Melting_Curves/meltCurve_O43598_DNPH1.pdf")</f>
        <v>Melting_Curves/meltCurve_O43598_DNPH1.pdf</v>
      </c>
    </row>
    <row r="1569" spans="1:28" x14ac:dyDescent="0.25">
      <c r="A1569" t="s">
        <v>1573</v>
      </c>
      <c r="B1569">
        <v>0.99542014353169495</v>
      </c>
      <c r="C1569">
        <v>1.03745579553516</v>
      </c>
      <c r="D1569">
        <v>0.95679008190324399</v>
      </c>
      <c r="E1569">
        <v>0.83065540074183897</v>
      </c>
      <c r="F1569">
        <v>0.45605285207771001</v>
      </c>
      <c r="G1569">
        <v>0.17398154537794799</v>
      </c>
      <c r="H1569">
        <v>9.1661417200485706E-2</v>
      </c>
      <c r="I1569">
        <v>6.8983883419370895E-2</v>
      </c>
      <c r="J1569">
        <v>7.8575098394255194E-2</v>
      </c>
      <c r="K1569">
        <v>9.00994492450857E-2</v>
      </c>
      <c r="L1569">
        <v>1231.5681757960001</v>
      </c>
      <c r="M1569">
        <v>24.911433909987199</v>
      </c>
      <c r="N1569">
        <v>49.746394175610199</v>
      </c>
      <c r="O1569">
        <v>49.122592415833203</v>
      </c>
      <c r="P1569">
        <v>-0.117708722495453</v>
      </c>
      <c r="Q1569">
        <v>7.1578321460367203E-2</v>
      </c>
      <c r="R1569">
        <v>0.99839261793026102</v>
      </c>
      <c r="S1569" t="s">
        <v>7971</v>
      </c>
      <c r="T1569" t="s">
        <v>12802</v>
      </c>
      <c r="U1569" t="s">
        <v>12802</v>
      </c>
      <c r="V1569" t="s">
        <v>12802</v>
      </c>
      <c r="W1569" t="s">
        <v>14334</v>
      </c>
      <c r="X1569">
        <v>30</v>
      </c>
      <c r="Y1569" t="s">
        <v>20642</v>
      </c>
      <c r="Z1569" t="s">
        <v>26887</v>
      </c>
      <c r="AA1569">
        <v>0.46462061853511327</v>
      </c>
      <c r="AB1569" t="str">
        <f>HYPERLINK("Melting_Curves/meltCurve_O43615_TIMM44.pdf", "Melting_Curves/meltCurve_O43615_TIMM44.pdf")</f>
        <v>Melting_Curves/meltCurve_O43615_TIMM44.pdf</v>
      </c>
    </row>
    <row r="1570" spans="1:28" x14ac:dyDescent="0.25">
      <c r="A1570" t="s">
        <v>1574</v>
      </c>
      <c r="B1570">
        <v>0.99542014353169495</v>
      </c>
      <c r="C1570">
        <v>0.992836025625078</v>
      </c>
      <c r="D1570">
        <v>0.89829009923009495</v>
      </c>
      <c r="E1570">
        <v>0.83712422235560802</v>
      </c>
      <c r="F1570">
        <v>0.63800702599911796</v>
      </c>
      <c r="G1570">
        <v>0.46255742337099398</v>
      </c>
      <c r="H1570">
        <v>0.17057969644068099</v>
      </c>
      <c r="I1570">
        <v>8.7046238176944304E-2</v>
      </c>
      <c r="J1570">
        <v>8.9090768374372103E-2</v>
      </c>
      <c r="K1570">
        <v>0.103981284390002</v>
      </c>
      <c r="L1570">
        <v>733.73570883049194</v>
      </c>
      <c r="M1570">
        <v>14.0854027390784</v>
      </c>
      <c r="N1570">
        <v>52.228876307963802</v>
      </c>
      <c r="O1570">
        <v>51.075660063232498</v>
      </c>
      <c r="P1570">
        <v>-6.77027372299044E-2</v>
      </c>
      <c r="Q1570">
        <v>1.81282504535656E-2</v>
      </c>
      <c r="R1570">
        <v>0.98989593754960503</v>
      </c>
      <c r="S1570" t="s">
        <v>7972</v>
      </c>
      <c r="T1570" t="s">
        <v>12802</v>
      </c>
      <c r="U1570" t="s">
        <v>12802</v>
      </c>
      <c r="V1570" t="s">
        <v>12802</v>
      </c>
      <c r="W1570" t="s">
        <v>14335</v>
      </c>
      <c r="X1570">
        <v>9</v>
      </c>
      <c r="Y1570" t="s">
        <v>20643</v>
      </c>
      <c r="Z1570" t="s">
        <v>26888</v>
      </c>
      <c r="AA1570">
        <v>0.53207708796526454</v>
      </c>
      <c r="AB1570" t="str">
        <f>HYPERLINK("Melting_Curves/meltCurve_O43617_TRAPPC3.pdf", "Melting_Curves/meltCurve_O43617_TRAPPC3.pdf")</f>
        <v>Melting_Curves/meltCurve_O43617_TRAPPC3.pdf</v>
      </c>
    </row>
    <row r="1571" spans="1:28" x14ac:dyDescent="0.25">
      <c r="A1571" t="s">
        <v>1575</v>
      </c>
      <c r="B1571">
        <v>0.99542014353169495</v>
      </c>
      <c r="C1571">
        <v>1.06566522123295</v>
      </c>
      <c r="D1571">
        <v>0.96156327257553398</v>
      </c>
      <c r="E1571">
        <v>0.958148091079984</v>
      </c>
      <c r="F1571">
        <v>0.74896818737155402</v>
      </c>
      <c r="G1571">
        <v>0.541440428360912</v>
      </c>
      <c r="H1571">
        <v>0.22980915253411899</v>
      </c>
      <c r="I1571">
        <v>9.4394062518889099E-2</v>
      </c>
      <c r="J1571">
        <v>8.0166394538822197E-2</v>
      </c>
      <c r="K1571">
        <v>9.4255734994730597E-2</v>
      </c>
      <c r="L1571">
        <v>1016.08299813373</v>
      </c>
      <c r="M1571">
        <v>18.991994159531501</v>
      </c>
      <c r="N1571">
        <v>53.751818060895701</v>
      </c>
      <c r="O1571">
        <v>52.918042382479101</v>
      </c>
      <c r="P1571">
        <v>-8.59165881653111E-2</v>
      </c>
      <c r="Q1571">
        <v>4.2469174139856597E-2</v>
      </c>
      <c r="R1571">
        <v>0.99271799782966197</v>
      </c>
      <c r="S1571" t="s">
        <v>7973</v>
      </c>
      <c r="T1571" t="s">
        <v>12802</v>
      </c>
      <c r="U1571" t="s">
        <v>12802</v>
      </c>
      <c r="V1571" t="s">
        <v>12802</v>
      </c>
      <c r="W1571" t="s">
        <v>14336</v>
      </c>
      <c r="X1571">
        <v>11</v>
      </c>
      <c r="Y1571" t="s">
        <v>20644</v>
      </c>
      <c r="Z1571" t="s">
        <v>26889</v>
      </c>
      <c r="AA1571">
        <v>0.58181779991147964</v>
      </c>
      <c r="AB1571" t="str">
        <f>HYPERLINK("Melting_Curves/meltCurve_O43633_CHMP2A.pdf", "Melting_Curves/meltCurve_O43633_CHMP2A.pdf")</f>
        <v>Melting_Curves/meltCurve_O43633_CHMP2A.pdf</v>
      </c>
    </row>
    <row r="1572" spans="1:28" x14ac:dyDescent="0.25">
      <c r="A1572" t="s">
        <v>1576</v>
      </c>
      <c r="B1572">
        <v>0.99542014353169495</v>
      </c>
      <c r="C1572">
        <v>0.92583944088886605</v>
      </c>
      <c r="D1572">
        <v>0.94937041690242496</v>
      </c>
      <c r="E1572">
        <v>0.64764902195123597</v>
      </c>
      <c r="F1572">
        <v>0.28957560354197898</v>
      </c>
      <c r="G1572">
        <v>0.19226088220648599</v>
      </c>
      <c r="H1572">
        <v>0.11678081424315299</v>
      </c>
      <c r="I1572">
        <v>9.2094898186227597E-2</v>
      </c>
      <c r="J1572">
        <v>0.111341049098665</v>
      </c>
      <c r="K1572">
        <v>0.121861944759814</v>
      </c>
      <c r="L1572">
        <v>1110.09681898394</v>
      </c>
      <c r="M1572">
        <v>23.396422825446798</v>
      </c>
      <c r="N1572">
        <v>47.953872956473397</v>
      </c>
      <c r="O1572">
        <v>47.104738090060998</v>
      </c>
      <c r="P1572">
        <v>-0.11057871756026701</v>
      </c>
      <c r="Q1572">
        <v>0.109489444251259</v>
      </c>
      <c r="R1572">
        <v>0.99538276416078797</v>
      </c>
      <c r="S1572" t="s">
        <v>7974</v>
      </c>
      <c r="T1572" t="s">
        <v>12802</v>
      </c>
      <c r="U1572" t="s">
        <v>12802</v>
      </c>
      <c r="V1572" t="s">
        <v>12802</v>
      </c>
      <c r="W1572" t="s">
        <v>14337</v>
      </c>
      <c r="X1572">
        <v>4</v>
      </c>
      <c r="Y1572" t="s">
        <v>20645</v>
      </c>
      <c r="Z1572" t="s">
        <v>26890</v>
      </c>
      <c r="AA1572">
        <v>0.42819243703725768</v>
      </c>
      <c r="AB1572" t="str">
        <f>HYPERLINK("Melting_Curves/meltCurve_O43639_NCK2.pdf", "Melting_Curves/meltCurve_O43639_NCK2.pdf")</f>
        <v>Melting_Curves/meltCurve_O43639_NCK2.pdf</v>
      </c>
    </row>
    <row r="1573" spans="1:28" x14ac:dyDescent="0.25">
      <c r="A1573" t="s">
        <v>1577</v>
      </c>
      <c r="B1573">
        <v>0.99542014353169495</v>
      </c>
      <c r="C1573">
        <v>0.982188714843648</v>
      </c>
      <c r="D1573">
        <v>0.66017463618417405</v>
      </c>
      <c r="E1573">
        <v>0.25606394238535102</v>
      </c>
      <c r="F1573">
        <v>0.170284361360303</v>
      </c>
      <c r="G1573">
        <v>0.115862467125998</v>
      </c>
      <c r="H1573">
        <v>6.1001884137708802E-2</v>
      </c>
      <c r="I1573">
        <v>3.8767729451323299E-2</v>
      </c>
      <c r="J1573">
        <v>3.3916021938394901E-2</v>
      </c>
      <c r="K1573">
        <v>2.8204237228789501E-2</v>
      </c>
      <c r="L1573">
        <v>1034.6934474705899</v>
      </c>
      <c r="M1573">
        <v>23.410979081977398</v>
      </c>
      <c r="N1573">
        <v>44.434056550508799</v>
      </c>
      <c r="O1573">
        <v>43.8782584094321</v>
      </c>
      <c r="P1573">
        <v>-0.12555548781685699</v>
      </c>
      <c r="Q1573">
        <v>5.8722386079231401E-2</v>
      </c>
      <c r="R1573">
        <v>0.99233689240920997</v>
      </c>
      <c r="S1573" t="s">
        <v>7975</v>
      </c>
      <c r="T1573" t="s">
        <v>12802</v>
      </c>
      <c r="U1573" t="s">
        <v>12802</v>
      </c>
      <c r="V1573" t="s">
        <v>12802</v>
      </c>
      <c r="W1573" t="s">
        <v>14338</v>
      </c>
      <c r="X1573">
        <v>10</v>
      </c>
      <c r="Y1573" t="s">
        <v>20646</v>
      </c>
      <c r="Z1573" t="s">
        <v>26891</v>
      </c>
      <c r="AA1573">
        <v>0.29343159929756257</v>
      </c>
      <c r="AB1573" t="str">
        <f>HYPERLINK("Melting_Curves/meltCurve_O43663_PRC1.pdf", "Melting_Curves/meltCurve_O43663_PRC1.pdf")</f>
        <v>Melting_Curves/meltCurve_O43663_PRC1.pdf</v>
      </c>
    </row>
    <row r="1574" spans="1:28" x14ac:dyDescent="0.25">
      <c r="A1574" t="s">
        <v>1578</v>
      </c>
      <c r="B1574">
        <v>0.99542014353169495</v>
      </c>
      <c r="C1574">
        <v>1.04223713100584</v>
      </c>
      <c r="D1574">
        <v>0.93959520476976199</v>
      </c>
      <c r="E1574">
        <v>0.932774852340986</v>
      </c>
      <c r="F1574">
        <v>0.629522583125667</v>
      </c>
      <c r="G1574">
        <v>0.319292825559436</v>
      </c>
      <c r="H1574">
        <v>0.145298469015822</v>
      </c>
      <c r="I1574">
        <v>0.103762906711364</v>
      </c>
      <c r="J1574">
        <v>0.12260482581155401</v>
      </c>
      <c r="K1574">
        <v>0.13077777165653801</v>
      </c>
      <c r="L1574">
        <v>1243.5350401364699</v>
      </c>
      <c r="M1574">
        <v>24.389313600222799</v>
      </c>
      <c r="N1574">
        <v>51.503639375517402</v>
      </c>
      <c r="O1574">
        <v>50.647814131089703</v>
      </c>
      <c r="P1574">
        <v>-0.107322383280664</v>
      </c>
      <c r="Q1574">
        <v>0.108533601699564</v>
      </c>
      <c r="R1574">
        <v>0.99589421741096895</v>
      </c>
      <c r="S1574" t="s">
        <v>7976</v>
      </c>
      <c r="T1574" t="s">
        <v>12802</v>
      </c>
      <c r="U1574" t="s">
        <v>12802</v>
      </c>
      <c r="V1574" t="s">
        <v>12802</v>
      </c>
      <c r="W1574" t="s">
        <v>14339</v>
      </c>
      <c r="X1574">
        <v>9</v>
      </c>
      <c r="Y1574" t="s">
        <v>20647</v>
      </c>
      <c r="Z1574" t="s">
        <v>26892</v>
      </c>
      <c r="AA1574">
        <v>0.53239396048790366</v>
      </c>
      <c r="AB1574" t="str">
        <f>HYPERLINK("Melting_Curves/meltCurve_O43665_2_RGS10.pdf", "Melting_Curves/meltCurve_O43665_2_RGS10.pdf")</f>
        <v>Melting_Curves/meltCurve_O43665_2_RGS10.pdf</v>
      </c>
    </row>
    <row r="1575" spans="1:28" x14ac:dyDescent="0.25">
      <c r="A1575" t="s">
        <v>1579</v>
      </c>
      <c r="B1575">
        <v>0.99542014353169495</v>
      </c>
      <c r="C1575">
        <v>0.77252110026485299</v>
      </c>
      <c r="D1575">
        <v>0.74222304622006297</v>
      </c>
      <c r="E1575">
        <v>0.56151040708050803</v>
      </c>
      <c r="F1575">
        <v>0.34409377028106303</v>
      </c>
      <c r="G1575">
        <v>0.14068529405361499</v>
      </c>
      <c r="H1575">
        <v>0.152582802254556</v>
      </c>
      <c r="I1575">
        <v>9.0237298563780002E-2</v>
      </c>
      <c r="J1575">
        <v>8.4029869726740605E-2</v>
      </c>
      <c r="K1575">
        <v>0.111865838327247</v>
      </c>
      <c r="L1575">
        <v>519.13668642930099</v>
      </c>
      <c r="M1575">
        <v>11.173557790258799</v>
      </c>
      <c r="N1575">
        <v>46.830339134418203</v>
      </c>
      <c r="O1575">
        <v>45.047518256057302</v>
      </c>
      <c r="P1575">
        <v>-5.9414613742847698E-2</v>
      </c>
      <c r="Q1575">
        <v>4.21561661154745E-2</v>
      </c>
      <c r="R1575">
        <v>0.97952638127438696</v>
      </c>
      <c r="S1575" t="s">
        <v>7977</v>
      </c>
      <c r="T1575" t="s">
        <v>12802</v>
      </c>
      <c r="U1575" t="s">
        <v>12802</v>
      </c>
      <c r="V1575" t="s">
        <v>12802</v>
      </c>
      <c r="W1575" t="s">
        <v>14340</v>
      </c>
      <c r="X1575">
        <v>4</v>
      </c>
      <c r="Y1575" t="s">
        <v>20648</v>
      </c>
      <c r="Z1575" t="s">
        <v>26893</v>
      </c>
      <c r="AA1575">
        <v>0.38048379270636629</v>
      </c>
      <c r="AB1575" t="str">
        <f>HYPERLINK("Melting_Curves/meltCurve_O43678_NDUFA2.pdf", "Melting_Curves/meltCurve_O43678_NDUFA2.pdf")</f>
        <v>Melting_Curves/meltCurve_O43678_NDUFA2.pdf</v>
      </c>
    </row>
    <row r="1576" spans="1:28" x14ac:dyDescent="0.25">
      <c r="A1576" t="s">
        <v>1580</v>
      </c>
      <c r="B1576">
        <v>0.99542014353169495</v>
      </c>
      <c r="C1576">
        <v>0.99979528143715202</v>
      </c>
      <c r="D1576">
        <v>0.92709535648484498</v>
      </c>
      <c r="E1576">
        <v>0.82200479759411105</v>
      </c>
      <c r="F1576">
        <v>0.86679584080911898</v>
      </c>
      <c r="G1576">
        <v>1.03450512950595</v>
      </c>
      <c r="H1576">
        <v>0.71043864366966403</v>
      </c>
      <c r="I1576">
        <v>0.54689469829080095</v>
      </c>
      <c r="J1576">
        <v>0.217270820256978</v>
      </c>
      <c r="K1576">
        <v>7.5315372059302305E-2</v>
      </c>
      <c r="L1576">
        <v>1351.3325124365199</v>
      </c>
      <c r="M1576">
        <v>22.240874430455801</v>
      </c>
      <c r="N1576">
        <v>60.7589651788198</v>
      </c>
      <c r="O1576">
        <v>60.274178971466398</v>
      </c>
      <c r="P1576">
        <v>-9.2250762175627402E-2</v>
      </c>
      <c r="Q1576">
        <v>0</v>
      </c>
      <c r="R1576">
        <v>0.92990287757240597</v>
      </c>
      <c r="S1576" t="s">
        <v>7978</v>
      </c>
      <c r="T1576" t="s">
        <v>12802</v>
      </c>
      <c r="U1576" t="s">
        <v>12802</v>
      </c>
      <c r="V1576" t="s">
        <v>12802</v>
      </c>
      <c r="W1576" t="s">
        <v>14341</v>
      </c>
      <c r="X1576">
        <v>8</v>
      </c>
      <c r="Y1576" t="s">
        <v>20649</v>
      </c>
      <c r="Z1576" t="s">
        <v>26894</v>
      </c>
      <c r="AA1576">
        <v>0.7911016303857763</v>
      </c>
      <c r="AB1576" t="str">
        <f>HYPERLINK("Melting_Curves/meltCurve_O43681_ASNA1.pdf", "Melting_Curves/meltCurve_O43681_ASNA1.pdf")</f>
        <v>Melting_Curves/meltCurve_O43681_ASNA1.pdf</v>
      </c>
    </row>
    <row r="1577" spans="1:28" x14ac:dyDescent="0.25">
      <c r="A1577" t="s">
        <v>1581</v>
      </c>
      <c r="B1577">
        <v>0.99542014353169495</v>
      </c>
      <c r="C1577">
        <v>0.98778594510551698</v>
      </c>
      <c r="D1577">
        <v>0.94744671440001205</v>
      </c>
      <c r="E1577">
        <v>0.93267456817595895</v>
      </c>
      <c r="F1577">
        <v>0.65005175151078998</v>
      </c>
      <c r="G1577">
        <v>0.49739459718718998</v>
      </c>
      <c r="H1577">
        <v>0.22612594223907401</v>
      </c>
      <c r="I1577">
        <v>8.8790612355221801E-2</v>
      </c>
      <c r="J1577">
        <v>4.7147360652904702E-2</v>
      </c>
      <c r="K1577">
        <v>5.8612870859267099E-2</v>
      </c>
      <c r="L1577">
        <v>822.02090708285698</v>
      </c>
      <c r="M1577">
        <v>15.503551601761499</v>
      </c>
      <c r="N1577">
        <v>53.021439078529902</v>
      </c>
      <c r="O1577">
        <v>52.162825838901</v>
      </c>
      <c r="P1577">
        <v>-7.4310261920131404E-2</v>
      </c>
      <c r="Q1577">
        <v>0</v>
      </c>
      <c r="R1577">
        <v>0.99366981136635302</v>
      </c>
      <c r="S1577" t="s">
        <v>7979</v>
      </c>
      <c r="T1577" t="s">
        <v>12802</v>
      </c>
      <c r="U1577" t="s">
        <v>12802</v>
      </c>
      <c r="V1577" t="s">
        <v>12802</v>
      </c>
      <c r="W1577" t="s">
        <v>12940</v>
      </c>
      <c r="X1577">
        <v>17</v>
      </c>
      <c r="Y1577" t="s">
        <v>19262</v>
      </c>
      <c r="Z1577" t="s">
        <v>26895</v>
      </c>
      <c r="AA1577">
        <v>0.55129410922322941</v>
      </c>
      <c r="AB1577" t="str">
        <f>HYPERLINK("Melting_Curves/meltCurve_O43684_BUB3.pdf", "Melting_Curves/meltCurve_O43684_BUB3.pdf")</f>
        <v>Melting_Curves/meltCurve_O43684_BUB3.pdf</v>
      </c>
    </row>
    <row r="1578" spans="1:28" x14ac:dyDescent="0.25">
      <c r="A1578" t="s">
        <v>1582</v>
      </c>
      <c r="B1578">
        <v>0.99542014353169495</v>
      </c>
      <c r="C1578">
        <v>1.0698841985692999</v>
      </c>
      <c r="D1578">
        <v>1.0498485770302901</v>
      </c>
      <c r="E1578">
        <v>1.1052803142582599</v>
      </c>
      <c r="F1578">
        <v>1.06971018599003</v>
      </c>
      <c r="G1578">
        <v>0.66663963043973495</v>
      </c>
      <c r="H1578">
        <v>0.41888778830066298</v>
      </c>
      <c r="I1578">
        <v>8.2342447293594606E-2</v>
      </c>
      <c r="J1578">
        <v>6.7852272991696605E-2</v>
      </c>
      <c r="K1578">
        <v>7.1843018653256499E-2</v>
      </c>
      <c r="L1578">
        <v>1508.14448444405</v>
      </c>
      <c r="M1578">
        <v>27.002869506297699</v>
      </c>
      <c r="N1578">
        <v>56.033754104127702</v>
      </c>
      <c r="O1578">
        <v>55.547653119758699</v>
      </c>
      <c r="P1578">
        <v>-0.116415843218306</v>
      </c>
      <c r="Q1578">
        <v>4.2092538425339297E-2</v>
      </c>
      <c r="R1578">
        <v>0.97566838091376795</v>
      </c>
      <c r="S1578" t="s">
        <v>7980</v>
      </c>
      <c r="T1578" t="s">
        <v>12802</v>
      </c>
      <c r="U1578" t="s">
        <v>12802</v>
      </c>
      <c r="V1578" t="s">
        <v>12802</v>
      </c>
      <c r="W1578" t="s">
        <v>14342</v>
      </c>
      <c r="X1578">
        <v>63</v>
      </c>
      <c r="Y1578" t="s">
        <v>20650</v>
      </c>
      <c r="Z1578" t="s">
        <v>26896</v>
      </c>
      <c r="AA1578">
        <v>0.65105733370957497</v>
      </c>
      <c r="AB1578" t="str">
        <f>HYPERLINK("Melting_Curves/meltCurve_O43707_ACTN4.pdf", "Melting_Curves/meltCurve_O43707_ACTN4.pdf")</f>
        <v>Melting_Curves/meltCurve_O43707_ACTN4.pdf</v>
      </c>
    </row>
    <row r="1579" spans="1:28" x14ac:dyDescent="0.25">
      <c r="A1579" t="s">
        <v>1583</v>
      </c>
      <c r="B1579">
        <v>0.99542014353169495</v>
      </c>
      <c r="C1579">
        <v>1.0192318456887099</v>
      </c>
      <c r="D1579">
        <v>1.0429883421328401</v>
      </c>
      <c r="E1579">
        <v>1.0032554279806001</v>
      </c>
      <c r="F1579">
        <v>0.77488068453438597</v>
      </c>
      <c r="G1579">
        <v>0.54378893864314704</v>
      </c>
      <c r="H1579">
        <v>0.22338741693049199</v>
      </c>
      <c r="I1579">
        <v>5.3450428506678298E-2</v>
      </c>
      <c r="J1579">
        <v>2.5993979929560599E-2</v>
      </c>
      <c r="K1579">
        <v>2.3024360473989001E-2</v>
      </c>
      <c r="L1579">
        <v>1127.0870155580501</v>
      </c>
      <c r="M1579">
        <v>20.896243533059302</v>
      </c>
      <c r="N1579">
        <v>53.9373031888599</v>
      </c>
      <c r="O1579">
        <v>53.450619746356303</v>
      </c>
      <c r="P1579">
        <v>-9.7738884848159804E-2</v>
      </c>
      <c r="Q1579">
        <v>0</v>
      </c>
      <c r="R1579">
        <v>0.995226193436067</v>
      </c>
      <c r="S1579" t="s">
        <v>7981</v>
      </c>
      <c r="T1579" t="s">
        <v>12802</v>
      </c>
      <c r="U1579" t="s">
        <v>12802</v>
      </c>
      <c r="V1579" t="s">
        <v>12802</v>
      </c>
      <c r="W1579" t="s">
        <v>14343</v>
      </c>
      <c r="X1579">
        <v>7</v>
      </c>
      <c r="Y1579" t="s">
        <v>20651</v>
      </c>
      <c r="Z1579" t="s">
        <v>26897</v>
      </c>
      <c r="AA1579">
        <v>0.57601871829457607</v>
      </c>
      <c r="AB1579" t="str">
        <f>HYPERLINK("Melting_Curves/meltCurve_O43709_WBSCR22.pdf", "Melting_Curves/meltCurve_O43709_WBSCR22.pdf")</f>
        <v>Melting_Curves/meltCurve_O43709_WBSCR22.pdf</v>
      </c>
    </row>
    <row r="1580" spans="1:28" x14ac:dyDescent="0.25">
      <c r="A1580" t="s">
        <v>1584</v>
      </c>
      <c r="B1580">
        <v>0.99542014353169495</v>
      </c>
      <c r="C1580">
        <v>1.0396661406290899</v>
      </c>
      <c r="D1580">
        <v>1.01150383071904</v>
      </c>
      <c r="E1580">
        <v>1.0483549660309199</v>
      </c>
      <c r="F1580">
        <v>0.83607128837303502</v>
      </c>
      <c r="G1580">
        <v>0.65378589248810903</v>
      </c>
      <c r="H1580">
        <v>0.50353420400774596</v>
      </c>
      <c r="I1580">
        <v>0.49779946963837701</v>
      </c>
      <c r="J1580">
        <v>0.74440318412442497</v>
      </c>
      <c r="K1580">
        <v>0.95071491253129703</v>
      </c>
      <c r="L1580">
        <v>12550.637501126999</v>
      </c>
      <c r="M1580">
        <v>250</v>
      </c>
      <c r="O1580">
        <v>50.199337764946399</v>
      </c>
      <c r="P1580">
        <v>-0.41080282153189301</v>
      </c>
      <c r="Q1580">
        <v>0.67004752946819202</v>
      </c>
      <c r="R1580">
        <v>0.65382614062454103</v>
      </c>
      <c r="S1580" t="s">
        <v>7982</v>
      </c>
      <c r="T1580" t="s">
        <v>12802</v>
      </c>
      <c r="U1580" t="s">
        <v>12802</v>
      </c>
      <c r="V1580" t="s">
        <v>12802</v>
      </c>
      <c r="W1580" t="s">
        <v>14344</v>
      </c>
      <c r="X1580">
        <v>8</v>
      </c>
      <c r="Y1580" t="s">
        <v>20652</v>
      </c>
      <c r="Z1580" t="s">
        <v>26898</v>
      </c>
      <c r="AA1580">
        <v>0.81528373287319267</v>
      </c>
      <c r="AB1580" t="str">
        <f>HYPERLINK("Melting_Curves/meltCurve_O43715_TRIAP1.pdf", "Melting_Curves/meltCurve_O43715_TRIAP1.pdf")</f>
        <v>Melting_Curves/meltCurve_O43715_TRIAP1.pdf</v>
      </c>
    </row>
    <row r="1581" spans="1:28" x14ac:dyDescent="0.25">
      <c r="A1581" t="s">
        <v>1585</v>
      </c>
      <c r="B1581">
        <v>0.99542014353169495</v>
      </c>
      <c r="C1581">
        <v>0.95539880390389298</v>
      </c>
      <c r="D1581">
        <v>0.84488070843374297</v>
      </c>
      <c r="E1581">
        <v>0.40871795160473201</v>
      </c>
      <c r="F1581">
        <v>0.17796863240892499</v>
      </c>
      <c r="G1581">
        <v>8.6210121206641802E-2</v>
      </c>
      <c r="H1581">
        <v>5.5692225694049899E-2</v>
      </c>
      <c r="I1581">
        <v>3.8692161867740299E-2</v>
      </c>
      <c r="J1581">
        <v>4.5525083445654799E-2</v>
      </c>
      <c r="K1581">
        <v>4.2450860801881103E-2</v>
      </c>
      <c r="L1581">
        <v>1053.83604620545</v>
      </c>
      <c r="M1581">
        <v>23.015564993681199</v>
      </c>
      <c r="N1581">
        <v>45.983469047541803</v>
      </c>
      <c r="O1581">
        <v>45.446525223134003</v>
      </c>
      <c r="P1581">
        <v>-0.120709386650765</v>
      </c>
      <c r="Q1581">
        <v>4.6607366200315803E-2</v>
      </c>
      <c r="R1581">
        <v>0.99890888215366902</v>
      </c>
      <c r="S1581" t="s">
        <v>7983</v>
      </c>
      <c r="T1581" t="s">
        <v>12802</v>
      </c>
      <c r="U1581" t="s">
        <v>12802</v>
      </c>
      <c r="V1581" t="s">
        <v>12802</v>
      </c>
      <c r="W1581" t="s">
        <v>14345</v>
      </c>
      <c r="X1581">
        <v>22</v>
      </c>
      <c r="Y1581" t="s">
        <v>20653</v>
      </c>
      <c r="Z1581" t="s">
        <v>26899</v>
      </c>
      <c r="AA1581">
        <v>0.33523112517305681</v>
      </c>
      <c r="AB1581" t="str">
        <f>HYPERLINK("Melting_Curves/meltCurve_O43719_HTATSF1.pdf", "Melting_Curves/meltCurve_O43719_HTATSF1.pdf")</f>
        <v>Melting_Curves/meltCurve_O43719_HTATSF1.pdf</v>
      </c>
    </row>
    <row r="1582" spans="1:28" x14ac:dyDescent="0.25">
      <c r="A1582" t="s">
        <v>1586</v>
      </c>
      <c r="B1582">
        <v>0.99542014353169495</v>
      </c>
      <c r="C1582">
        <v>0.99573684051873501</v>
      </c>
      <c r="D1582">
        <v>0.86297817868848303</v>
      </c>
      <c r="E1582">
        <v>0.61356099678687304</v>
      </c>
      <c r="F1582">
        <v>0.39195274855921702</v>
      </c>
      <c r="G1582">
        <v>0.153686014449402</v>
      </c>
      <c r="H1582">
        <v>0.14174685273655199</v>
      </c>
      <c r="I1582">
        <v>9.1821602405816397E-2</v>
      </c>
      <c r="J1582">
        <v>9.5712111468610597E-2</v>
      </c>
      <c r="K1582">
        <v>0.10132104494056</v>
      </c>
      <c r="L1582">
        <v>812.68884288005404</v>
      </c>
      <c r="M1582">
        <v>17.055209713005802</v>
      </c>
      <c r="N1582">
        <v>48.153178022689701</v>
      </c>
      <c r="O1582">
        <v>47.009847961032499</v>
      </c>
      <c r="P1582">
        <v>-8.3308685355158396E-2</v>
      </c>
      <c r="Q1582">
        <v>8.1549917685680304E-2</v>
      </c>
      <c r="R1582">
        <v>0.99641156914073803</v>
      </c>
      <c r="S1582" t="s">
        <v>7984</v>
      </c>
      <c r="T1582" t="s">
        <v>12802</v>
      </c>
      <c r="U1582" t="s">
        <v>12802</v>
      </c>
      <c r="V1582" t="s">
        <v>12802</v>
      </c>
      <c r="W1582" t="s">
        <v>14346</v>
      </c>
      <c r="X1582">
        <v>1</v>
      </c>
      <c r="Y1582" t="s">
        <v>20654</v>
      </c>
      <c r="Z1582" t="s">
        <v>26900</v>
      </c>
      <c r="AA1582">
        <v>0.42384852719086619</v>
      </c>
      <c r="AB1582" t="str">
        <f>HYPERLINK("Melting_Curves/meltCurve_O43734_5_TRAF3IP2.pdf", "Melting_Curves/meltCurve_O43734_5_TRAF3IP2.pdf")</f>
        <v>Melting_Curves/meltCurve_O43734_5_TRAF3IP2.pdf</v>
      </c>
    </row>
    <row r="1583" spans="1:28" x14ac:dyDescent="0.25">
      <c r="A1583" t="s">
        <v>1587</v>
      </c>
      <c r="B1583">
        <v>0.99542014353169495</v>
      </c>
      <c r="C1583">
        <v>0.698895967279061</v>
      </c>
      <c r="D1583">
        <v>0.65252374136428304</v>
      </c>
      <c r="E1583">
        <v>0.53209156627669296</v>
      </c>
      <c r="F1583">
        <v>0.37124544169997598</v>
      </c>
      <c r="G1583">
        <v>0.203129704307762</v>
      </c>
      <c r="H1583">
        <v>0.11666131374748499</v>
      </c>
      <c r="I1583">
        <v>8.3698509861752896E-2</v>
      </c>
      <c r="J1583">
        <v>0.107196552068309</v>
      </c>
      <c r="K1583">
        <v>9.2574609186986997E-2</v>
      </c>
      <c r="L1583">
        <v>406.68347452188499</v>
      </c>
      <c r="M1583">
        <v>8.7939453024774608</v>
      </c>
      <c r="N1583">
        <v>46.297313715587798</v>
      </c>
      <c r="O1583">
        <v>44.041507133845599</v>
      </c>
      <c r="P1583">
        <v>-4.9715080566780402E-2</v>
      </c>
      <c r="Q1583">
        <v>4.8638200884080201E-3</v>
      </c>
      <c r="R1583">
        <v>0.97013718278772998</v>
      </c>
      <c r="S1583" t="s">
        <v>7985</v>
      </c>
      <c r="T1583" t="s">
        <v>12802</v>
      </c>
      <c r="U1583" t="s">
        <v>12802</v>
      </c>
      <c r="V1583" t="s">
        <v>12802</v>
      </c>
      <c r="W1583" t="s">
        <v>14347</v>
      </c>
      <c r="X1583">
        <v>2</v>
      </c>
      <c r="Y1583" t="s">
        <v>20655</v>
      </c>
      <c r="Z1583" t="s">
        <v>26901</v>
      </c>
      <c r="AA1583">
        <v>0.36579307159193752</v>
      </c>
      <c r="AB1583" t="str">
        <f>HYPERLINK("Melting_Curves/meltCurve_O43736_2_ITM2A.pdf", "Melting_Curves/meltCurve_O43736_2_ITM2A.pdf")</f>
        <v>Melting_Curves/meltCurve_O43736_2_ITM2A.pdf</v>
      </c>
    </row>
    <row r="1584" spans="1:28" x14ac:dyDescent="0.25">
      <c r="A1584" t="s">
        <v>1588</v>
      </c>
      <c r="B1584">
        <v>0.99542014353169495</v>
      </c>
      <c r="C1584">
        <v>0.93438717885279299</v>
      </c>
      <c r="D1584">
        <v>0.99841349678930402</v>
      </c>
      <c r="E1584">
        <v>0.90710826593583804</v>
      </c>
      <c r="F1584">
        <v>0.65779692015197599</v>
      </c>
      <c r="G1584">
        <v>0.43147538757638398</v>
      </c>
      <c r="H1584">
        <v>0.24432006926796501</v>
      </c>
      <c r="I1584">
        <v>0.151552948209278</v>
      </c>
      <c r="J1584">
        <v>0.176991402492436</v>
      </c>
      <c r="K1584">
        <v>0.19072549691648799</v>
      </c>
      <c r="L1584">
        <v>1000.88093040147</v>
      </c>
      <c r="M1584">
        <v>19.464077353670699</v>
      </c>
      <c r="N1584">
        <v>52.411900899683303</v>
      </c>
      <c r="O1584">
        <v>50.888392062585197</v>
      </c>
      <c r="P1584">
        <v>-8.0916372391454106E-2</v>
      </c>
      <c r="Q1584">
        <v>0.153814496216651</v>
      </c>
      <c r="R1584">
        <v>0.99364361273051904</v>
      </c>
      <c r="S1584" t="s">
        <v>7986</v>
      </c>
      <c r="T1584" t="s">
        <v>12802</v>
      </c>
      <c r="U1584" t="s">
        <v>12802</v>
      </c>
      <c r="V1584" t="s">
        <v>12802</v>
      </c>
      <c r="W1584" t="s">
        <v>14348</v>
      </c>
      <c r="X1584">
        <v>5</v>
      </c>
      <c r="Y1584" t="s">
        <v>20656</v>
      </c>
      <c r="Z1584" t="s">
        <v>26902</v>
      </c>
      <c r="AA1584">
        <v>0.57212313469459597</v>
      </c>
      <c r="AB1584" t="str">
        <f>HYPERLINK("Melting_Curves/meltCurve_O43752_STX6.pdf", "Melting_Curves/meltCurve_O43752_STX6.pdf")</f>
        <v>Melting_Curves/meltCurve_O43752_STX6.pdf</v>
      </c>
    </row>
    <row r="1585" spans="1:28" x14ac:dyDescent="0.25">
      <c r="A1585" t="s">
        <v>1589</v>
      </c>
      <c r="B1585">
        <v>0.99542014353169495</v>
      </c>
      <c r="C1585">
        <v>0.99190005494436795</v>
      </c>
      <c r="D1585">
        <v>0.88193468585837997</v>
      </c>
      <c r="E1585">
        <v>0.806606297986462</v>
      </c>
      <c r="F1585">
        <v>0.60990514783981498</v>
      </c>
      <c r="G1585">
        <v>0.43103998432968599</v>
      </c>
      <c r="H1585">
        <v>0.28364977226516702</v>
      </c>
      <c r="I1585">
        <v>0.31453533947628698</v>
      </c>
      <c r="J1585">
        <v>0.50141343306717001</v>
      </c>
      <c r="K1585">
        <v>0.66109245200781297</v>
      </c>
      <c r="L1585">
        <v>1102.1499196508801</v>
      </c>
      <c r="M1585">
        <v>23.126015728108602</v>
      </c>
      <c r="N1585">
        <v>52.273109914351998</v>
      </c>
      <c r="O1585">
        <v>47.306370159184297</v>
      </c>
      <c r="P1585">
        <v>-6.9041539499441099E-2</v>
      </c>
      <c r="Q1585">
        <v>0.43508728192531299</v>
      </c>
      <c r="R1585">
        <v>0.83231779643860204</v>
      </c>
      <c r="S1585" t="s">
        <v>7987</v>
      </c>
      <c r="T1585" t="s">
        <v>12802</v>
      </c>
      <c r="U1585" t="s">
        <v>12802</v>
      </c>
      <c r="V1585" t="s">
        <v>12802</v>
      </c>
      <c r="W1585" t="s">
        <v>14349</v>
      </c>
      <c r="X1585">
        <v>7</v>
      </c>
      <c r="Y1585" t="s">
        <v>20657</v>
      </c>
      <c r="Z1585" t="s">
        <v>26903</v>
      </c>
      <c r="AA1585">
        <v>0.64137955831474514</v>
      </c>
      <c r="AB1585" t="str">
        <f>HYPERLINK("Melting_Curves/meltCurve_O43760_SYNGR2.pdf", "Melting_Curves/meltCurve_O43760_SYNGR2.pdf")</f>
        <v>Melting_Curves/meltCurve_O43760_SYNGR2.pdf</v>
      </c>
    </row>
    <row r="1586" spans="1:28" x14ac:dyDescent="0.25">
      <c r="A1586" t="s">
        <v>1590</v>
      </c>
      <c r="B1586">
        <v>0.99542014353169495</v>
      </c>
      <c r="C1586">
        <v>0.95849709036056996</v>
      </c>
      <c r="D1586">
        <v>0.98271741840922999</v>
      </c>
      <c r="E1586">
        <v>0.88830689206513003</v>
      </c>
      <c r="F1586">
        <v>0.38777235039049901</v>
      </c>
      <c r="G1586">
        <v>0.133461599272273</v>
      </c>
      <c r="H1586">
        <v>8.3859223152172604E-2</v>
      </c>
      <c r="I1586">
        <v>5.1922296948673702E-2</v>
      </c>
      <c r="J1586">
        <v>5.8778441991387903E-2</v>
      </c>
      <c r="K1586">
        <v>6.03447127383843E-2</v>
      </c>
      <c r="L1586">
        <v>1627.9039003360199</v>
      </c>
      <c r="M1586">
        <v>33.025555788465802</v>
      </c>
      <c r="N1586">
        <v>49.4954038026871</v>
      </c>
      <c r="O1586">
        <v>49.112583064713597</v>
      </c>
      <c r="P1586">
        <v>-0.157456615259181</v>
      </c>
      <c r="Q1586">
        <v>6.3384146814089506E-2</v>
      </c>
      <c r="R1586">
        <v>0.99854399316413001</v>
      </c>
      <c r="S1586" t="s">
        <v>7988</v>
      </c>
      <c r="T1586" t="s">
        <v>12802</v>
      </c>
      <c r="U1586" t="s">
        <v>12802</v>
      </c>
      <c r="V1586" t="s">
        <v>12802</v>
      </c>
      <c r="W1586" t="s">
        <v>14350</v>
      </c>
      <c r="X1586">
        <v>16</v>
      </c>
      <c r="Y1586" t="s">
        <v>20658</v>
      </c>
      <c r="Z1586" t="s">
        <v>26904</v>
      </c>
      <c r="AA1586">
        <v>0.45184231301473582</v>
      </c>
      <c r="AB1586" t="str">
        <f>HYPERLINK("Melting_Curves/meltCurve_O43765_SGTA.pdf", "Melting_Curves/meltCurve_O43765_SGTA.pdf")</f>
        <v>Melting_Curves/meltCurve_O43765_SGTA.pdf</v>
      </c>
    </row>
    <row r="1587" spans="1:28" x14ac:dyDescent="0.25">
      <c r="A1587" t="s">
        <v>1591</v>
      </c>
      <c r="B1587">
        <v>0.99542014353169495</v>
      </c>
      <c r="C1587">
        <v>1.03418661606877</v>
      </c>
      <c r="D1587">
        <v>0.99553562456251798</v>
      </c>
      <c r="E1587">
        <v>0.82975124484754004</v>
      </c>
      <c r="F1587">
        <v>0.634594278238099</v>
      </c>
      <c r="G1587">
        <v>0.42183186470132999</v>
      </c>
      <c r="H1587">
        <v>0.25904794085150001</v>
      </c>
      <c r="I1587">
        <v>0.21058766692853501</v>
      </c>
      <c r="J1587">
        <v>0.18121572061107</v>
      </c>
      <c r="K1587">
        <v>0.108640693540108</v>
      </c>
      <c r="L1587">
        <v>787.42556937208496</v>
      </c>
      <c r="M1587">
        <v>15.315425875878701</v>
      </c>
      <c r="N1587">
        <v>52.338706241704699</v>
      </c>
      <c r="O1587">
        <v>50.561254244842502</v>
      </c>
      <c r="P1587">
        <v>-6.6756037788319206E-2</v>
      </c>
      <c r="Q1587">
        <v>0.118547595497198</v>
      </c>
      <c r="R1587">
        <v>0.995267943759508</v>
      </c>
      <c r="S1587" t="s">
        <v>7989</v>
      </c>
      <c r="T1587" t="s">
        <v>12802</v>
      </c>
      <c r="U1587" t="s">
        <v>12802</v>
      </c>
      <c r="V1587" t="s">
        <v>12802</v>
      </c>
      <c r="W1587" t="s">
        <v>14351</v>
      </c>
      <c r="X1587">
        <v>8</v>
      </c>
      <c r="Y1587" t="s">
        <v>20659</v>
      </c>
      <c r="Z1587" t="s">
        <v>26905</v>
      </c>
      <c r="AA1587">
        <v>0.55901038721106155</v>
      </c>
      <c r="AB1587" t="str">
        <f>HYPERLINK("Melting_Curves/meltCurve_O43766_2_LIAS.pdf", "Melting_Curves/meltCurve_O43766_2_LIAS.pdf")</f>
        <v>Melting_Curves/meltCurve_O43766_2_LIAS.pdf</v>
      </c>
    </row>
    <row r="1588" spans="1:28" x14ac:dyDescent="0.25">
      <c r="A1588" t="s">
        <v>1592</v>
      </c>
      <c r="B1588">
        <v>0.99542014353169495</v>
      </c>
      <c r="C1588">
        <v>0.97602578173715604</v>
      </c>
      <c r="D1588">
        <v>0.90125788485249603</v>
      </c>
      <c r="E1588">
        <v>0.90597035620576605</v>
      </c>
      <c r="F1588">
        <v>0.73719769495943199</v>
      </c>
      <c r="G1588">
        <v>0.65770656874001499</v>
      </c>
      <c r="H1588">
        <v>0.54432391172355798</v>
      </c>
      <c r="I1588">
        <v>0.52497205983447703</v>
      </c>
      <c r="J1588">
        <v>0.83221724644383899</v>
      </c>
      <c r="K1588">
        <v>1.0342469087218</v>
      </c>
      <c r="L1588">
        <v>1530.31453397011</v>
      </c>
      <c r="M1588">
        <v>32.549393120930702</v>
      </c>
      <c r="O1588">
        <v>46.8387514323285</v>
      </c>
      <c r="P1588">
        <v>-4.9116675432906702E-2</v>
      </c>
      <c r="Q1588">
        <v>0.71728469350939095</v>
      </c>
      <c r="R1588">
        <v>0.37601329963404601</v>
      </c>
      <c r="S1588" t="s">
        <v>7990</v>
      </c>
      <c r="T1588" t="s">
        <v>12802</v>
      </c>
      <c r="U1588" t="s">
        <v>12802</v>
      </c>
      <c r="V1588" t="s">
        <v>12802</v>
      </c>
      <c r="W1588" t="s">
        <v>14352</v>
      </c>
      <c r="X1588">
        <v>12</v>
      </c>
      <c r="Y1588" t="s">
        <v>20660</v>
      </c>
      <c r="Z1588" t="s">
        <v>26906</v>
      </c>
      <c r="AA1588">
        <v>0.81305954530162694</v>
      </c>
      <c r="AB1588" t="str">
        <f>HYPERLINK("Melting_Curves/meltCurve_O43768_2_ENSA.pdf", "Melting_Curves/meltCurve_O43768_2_ENSA.pdf")</f>
        <v>Melting_Curves/meltCurve_O43768_2_ENSA.pdf</v>
      </c>
    </row>
    <row r="1589" spans="1:28" x14ac:dyDescent="0.25">
      <c r="A1589" t="s">
        <v>1593</v>
      </c>
      <c r="B1589">
        <v>0.99542014353169495</v>
      </c>
      <c r="C1589">
        <v>0.86351235187941999</v>
      </c>
      <c r="D1589">
        <v>0.92592207647234503</v>
      </c>
      <c r="E1589">
        <v>0.71240241314614505</v>
      </c>
      <c r="F1589">
        <v>0.65284533072922002</v>
      </c>
      <c r="G1589">
        <v>0.385346089586803</v>
      </c>
      <c r="H1589">
        <v>0.33580233206851201</v>
      </c>
      <c r="I1589">
        <v>0.26565594395140602</v>
      </c>
      <c r="J1589">
        <v>0.23049742422056199</v>
      </c>
      <c r="K1589">
        <v>0.109204403316304</v>
      </c>
      <c r="L1589">
        <v>445.34794671467</v>
      </c>
      <c r="M1589">
        <v>8.5107405195036598</v>
      </c>
      <c r="N1589">
        <v>52.5567358637024</v>
      </c>
      <c r="O1589">
        <v>49.678653535535403</v>
      </c>
      <c r="P1589">
        <v>-4.2087166522279201E-2</v>
      </c>
      <c r="Q1589">
        <v>1.8200397767840298E-2</v>
      </c>
      <c r="R1589">
        <v>0.97634932799494101</v>
      </c>
      <c r="S1589" t="s">
        <v>7991</v>
      </c>
      <c r="T1589" t="s">
        <v>12802</v>
      </c>
      <c r="U1589" t="s">
        <v>12802</v>
      </c>
      <c r="V1589" t="s">
        <v>12802</v>
      </c>
      <c r="W1589" t="s">
        <v>14353</v>
      </c>
      <c r="X1589">
        <v>9</v>
      </c>
      <c r="Y1589" t="s">
        <v>20661</v>
      </c>
      <c r="Z1589" t="s">
        <v>26907</v>
      </c>
      <c r="AA1589">
        <v>0.54566957491461965</v>
      </c>
      <c r="AB1589" t="str">
        <f>HYPERLINK("Melting_Curves/meltCurve_O43772_SLC25A20.pdf", "Melting_Curves/meltCurve_O43772_SLC25A20.pdf")</f>
        <v>Melting_Curves/meltCurve_O43772_SLC25A20.pdf</v>
      </c>
    </row>
    <row r="1590" spans="1:28" x14ac:dyDescent="0.25">
      <c r="A1590" t="s">
        <v>1594</v>
      </c>
      <c r="B1590">
        <v>0.99542014353169495</v>
      </c>
      <c r="C1590">
        <v>0.93416784039815004</v>
      </c>
      <c r="D1590">
        <v>0.98296255634031404</v>
      </c>
      <c r="E1590">
        <v>0.97828763343605896</v>
      </c>
      <c r="F1590">
        <v>0.78184539406511799</v>
      </c>
      <c r="G1590">
        <v>0.52665128216300705</v>
      </c>
      <c r="H1590">
        <v>0.22353471427363</v>
      </c>
      <c r="I1590">
        <v>7.2181497621626095E-2</v>
      </c>
      <c r="J1590">
        <v>6.0220313466461603E-2</v>
      </c>
      <c r="K1590">
        <v>6.6289396180799001E-2</v>
      </c>
      <c r="L1590">
        <v>1103.3561661680401</v>
      </c>
      <c r="M1590">
        <v>20.5601087564214</v>
      </c>
      <c r="N1590">
        <v>53.808218083489699</v>
      </c>
      <c r="O1590">
        <v>53.164957219186903</v>
      </c>
      <c r="P1590">
        <v>-9.4107434353780495E-2</v>
      </c>
      <c r="Q1590">
        <v>2.6644892290441501E-2</v>
      </c>
      <c r="R1590">
        <v>0.99509515181654196</v>
      </c>
      <c r="S1590" t="s">
        <v>7992</v>
      </c>
      <c r="T1590" t="s">
        <v>12802</v>
      </c>
      <c r="U1590" t="s">
        <v>12802</v>
      </c>
      <c r="V1590" t="s">
        <v>12802</v>
      </c>
      <c r="W1590" t="s">
        <v>14066</v>
      </c>
      <c r="X1590">
        <v>30</v>
      </c>
      <c r="Y1590" t="s">
        <v>20381</v>
      </c>
      <c r="Z1590" t="s">
        <v>26908</v>
      </c>
      <c r="AA1590">
        <v>0.57885627276594509</v>
      </c>
      <c r="AB1590" t="str">
        <f>HYPERLINK("Melting_Curves/meltCurve_O43776_NARS.pdf", "Melting_Curves/meltCurve_O43776_NARS.pdf")</f>
        <v>Melting_Curves/meltCurve_O43776_NARS.pdf</v>
      </c>
    </row>
    <row r="1591" spans="1:28" x14ac:dyDescent="0.25">
      <c r="A1591" t="s">
        <v>1595</v>
      </c>
      <c r="B1591">
        <v>0.99542014353169495</v>
      </c>
      <c r="C1591">
        <v>1.0125408569463299</v>
      </c>
      <c r="D1591">
        <v>0.98765144634652102</v>
      </c>
      <c r="E1591">
        <v>0.84333617647682302</v>
      </c>
      <c r="F1591">
        <v>0.61340701072947101</v>
      </c>
      <c r="G1591">
        <v>0.35213143082182802</v>
      </c>
      <c r="H1591">
        <v>0.20708513311228599</v>
      </c>
      <c r="I1591">
        <v>0.15018860739725701</v>
      </c>
      <c r="J1591">
        <v>0.171335740033255</v>
      </c>
      <c r="K1591">
        <v>0.23687530275532501</v>
      </c>
      <c r="L1591">
        <v>1053.5579989939199</v>
      </c>
      <c r="M1591">
        <v>20.929537204947</v>
      </c>
      <c r="N1591">
        <v>51.369775129452002</v>
      </c>
      <c r="O1591">
        <v>49.885546569095602</v>
      </c>
      <c r="P1591">
        <v>-8.6896089158679204E-2</v>
      </c>
      <c r="Q1591">
        <v>0.17155534009045101</v>
      </c>
      <c r="R1591">
        <v>0.99399743906318105</v>
      </c>
      <c r="S1591" t="s">
        <v>7993</v>
      </c>
      <c r="T1591" t="s">
        <v>12802</v>
      </c>
      <c r="U1591" t="s">
        <v>12802</v>
      </c>
      <c r="V1591" t="s">
        <v>12802</v>
      </c>
      <c r="W1591" t="s">
        <v>14354</v>
      </c>
      <c r="X1591">
        <v>6</v>
      </c>
      <c r="Y1591" t="s">
        <v>20662</v>
      </c>
      <c r="Z1591" t="s">
        <v>26909</v>
      </c>
      <c r="AA1591">
        <v>0.54995737984149184</v>
      </c>
      <c r="AB1591" t="str">
        <f>HYPERLINK("Melting_Curves/meltCurve_O43805_SSNA1.pdf", "Melting_Curves/meltCurve_O43805_SSNA1.pdf")</f>
        <v>Melting_Curves/meltCurve_O43805_SSNA1.pdf</v>
      </c>
    </row>
    <row r="1592" spans="1:28" x14ac:dyDescent="0.25">
      <c r="A1592" t="s">
        <v>1596</v>
      </c>
      <c r="B1592">
        <v>0.99542014353169495</v>
      </c>
      <c r="C1592">
        <v>0.98301831643218396</v>
      </c>
      <c r="D1592">
        <v>0.83509217947263803</v>
      </c>
      <c r="E1592">
        <v>0.77469053300005597</v>
      </c>
      <c r="F1592">
        <v>0.59117823702021999</v>
      </c>
      <c r="G1592">
        <v>0.48420935005933502</v>
      </c>
      <c r="H1592">
        <v>0.16885805357920999</v>
      </c>
      <c r="I1592">
        <v>4.2256453264398898E-2</v>
      </c>
      <c r="J1592">
        <v>3.82663301280304E-2</v>
      </c>
      <c r="K1592">
        <v>3.4754480378178201E-2</v>
      </c>
      <c r="L1592">
        <v>662.864472285754</v>
      </c>
      <c r="M1592">
        <v>12.859045818938901</v>
      </c>
      <c r="N1592">
        <v>51.548496106441299</v>
      </c>
      <c r="O1592">
        <v>50.349569167813499</v>
      </c>
      <c r="P1592">
        <v>-6.3860606539231896E-2</v>
      </c>
      <c r="Q1592">
        <v>0</v>
      </c>
      <c r="R1592">
        <v>0.97751864823972701</v>
      </c>
      <c r="S1592" t="s">
        <v>7994</v>
      </c>
      <c r="T1592" t="s">
        <v>12802</v>
      </c>
      <c r="U1592" t="s">
        <v>12802</v>
      </c>
      <c r="V1592" t="s">
        <v>12802</v>
      </c>
      <c r="W1592" t="s">
        <v>14355</v>
      </c>
      <c r="X1592">
        <v>11</v>
      </c>
      <c r="Y1592" t="s">
        <v>20114</v>
      </c>
      <c r="Z1592" t="s">
        <v>26910</v>
      </c>
      <c r="AA1592">
        <v>0.5082210265636562</v>
      </c>
      <c r="AB1592" t="str">
        <f>HYPERLINK("Melting_Curves/meltCurve_O43809_NUDT21.pdf", "Melting_Curves/meltCurve_O43809_NUDT21.pdf")</f>
        <v>Melting_Curves/meltCurve_O43809_NUDT21.pdf</v>
      </c>
    </row>
    <row r="1593" spans="1:28" x14ac:dyDescent="0.25">
      <c r="A1593" t="s">
        <v>1597</v>
      </c>
      <c r="B1593">
        <v>0.99542014353169495</v>
      </c>
      <c r="C1593">
        <v>0.91647884744826302</v>
      </c>
      <c r="D1593">
        <v>0.85242197660913099</v>
      </c>
      <c r="E1593">
        <v>0.809307188804676</v>
      </c>
      <c r="F1593">
        <v>0.65913023565415996</v>
      </c>
      <c r="G1593">
        <v>0.65963406927400203</v>
      </c>
      <c r="H1593">
        <v>0.50796877301228904</v>
      </c>
      <c r="I1593">
        <v>0.389010795520976</v>
      </c>
      <c r="J1593">
        <v>0.20874564471334101</v>
      </c>
      <c r="K1593">
        <v>6.7101552350692706E-2</v>
      </c>
      <c r="L1593">
        <v>457.87459579108503</v>
      </c>
      <c r="M1593">
        <v>8.2156937745789893</v>
      </c>
      <c r="N1593">
        <v>55.731701825895399</v>
      </c>
      <c r="O1593">
        <v>52.722067083970899</v>
      </c>
      <c r="P1593">
        <v>-3.8997452680696598E-2</v>
      </c>
      <c r="Q1593">
        <v>0</v>
      </c>
      <c r="R1593">
        <v>0.94696596540092504</v>
      </c>
      <c r="S1593" t="s">
        <v>7995</v>
      </c>
      <c r="T1593" t="s">
        <v>12802</v>
      </c>
      <c r="U1593" t="s">
        <v>12802</v>
      </c>
      <c r="V1593" t="s">
        <v>12802</v>
      </c>
      <c r="W1593" t="s">
        <v>14356</v>
      </c>
      <c r="X1593">
        <v>13</v>
      </c>
      <c r="Y1593" t="s">
        <v>20663</v>
      </c>
      <c r="Z1593" t="s">
        <v>26911</v>
      </c>
      <c r="AA1593">
        <v>0.62604798137318562</v>
      </c>
      <c r="AB1593" t="str">
        <f>HYPERLINK("Melting_Curves/meltCurve_O43813_LANCL1.pdf", "Melting_Curves/meltCurve_O43813_LANCL1.pdf")</f>
        <v>Melting_Curves/meltCurve_O43813_LANCL1.pdf</v>
      </c>
    </row>
    <row r="1594" spans="1:28" x14ac:dyDescent="0.25">
      <c r="A1594" t="s">
        <v>1598</v>
      </c>
      <c r="B1594">
        <v>0.99542014353169495</v>
      </c>
      <c r="C1594">
        <v>0.80711701491766796</v>
      </c>
      <c r="D1594">
        <v>0.86973373017658295</v>
      </c>
      <c r="E1594">
        <v>0.59406411540028203</v>
      </c>
      <c r="F1594">
        <v>0.477113852159672</v>
      </c>
      <c r="G1594">
        <v>0.230992204522669</v>
      </c>
      <c r="H1594">
        <v>0.10430487863909001</v>
      </c>
      <c r="I1594">
        <v>5.8207236570227597E-2</v>
      </c>
      <c r="J1594">
        <v>4.7567497058582299E-2</v>
      </c>
      <c r="K1594">
        <v>5.9243679722472999E-2</v>
      </c>
      <c r="L1594">
        <v>562.70501756413796</v>
      </c>
      <c r="M1594">
        <v>11.5780159120202</v>
      </c>
      <c r="N1594">
        <v>48.601161218068498</v>
      </c>
      <c r="O1594">
        <v>47.2191563996196</v>
      </c>
      <c r="P1594">
        <v>-6.1316331711282597E-2</v>
      </c>
      <c r="Q1594">
        <v>0</v>
      </c>
      <c r="R1594">
        <v>0.97942963159832397</v>
      </c>
      <c r="S1594" t="s">
        <v>7996</v>
      </c>
      <c r="T1594" t="s">
        <v>12802</v>
      </c>
      <c r="U1594" t="s">
        <v>12802</v>
      </c>
      <c r="V1594" t="s">
        <v>12802</v>
      </c>
      <c r="W1594" t="s">
        <v>14357</v>
      </c>
      <c r="X1594">
        <v>19</v>
      </c>
      <c r="Y1594" t="s">
        <v>20664</v>
      </c>
      <c r="Z1594" t="s">
        <v>26912</v>
      </c>
      <c r="AA1594">
        <v>0.41858620728904478</v>
      </c>
      <c r="AB1594" t="str">
        <f>HYPERLINK("Melting_Curves/meltCurve_O43815_STRN.pdf", "Melting_Curves/meltCurve_O43815_STRN.pdf")</f>
        <v>Melting_Curves/meltCurve_O43815_STRN.pdf</v>
      </c>
    </row>
    <row r="1595" spans="1:28" x14ac:dyDescent="0.25">
      <c r="A1595" t="s">
        <v>1599</v>
      </c>
      <c r="B1595">
        <v>0.99542014353169495</v>
      </c>
      <c r="C1595">
        <v>0.96191349307407703</v>
      </c>
      <c r="D1595">
        <v>1.0556276909907201</v>
      </c>
      <c r="E1595">
        <v>1.05516318063407</v>
      </c>
      <c r="F1595">
        <v>1.0915092724348601</v>
      </c>
      <c r="G1595">
        <v>0.88727823548881701</v>
      </c>
      <c r="H1595">
        <v>0.77574933079217601</v>
      </c>
      <c r="I1595">
        <v>0.51553867544710996</v>
      </c>
      <c r="J1595">
        <v>0.316832818239761</v>
      </c>
      <c r="K1595">
        <v>0.14358023009399501</v>
      </c>
      <c r="L1595">
        <v>1164.6982449655</v>
      </c>
      <c r="M1595">
        <v>19.030703013345899</v>
      </c>
      <c r="N1595">
        <v>61.201010296297</v>
      </c>
      <c r="O1595">
        <v>60.537238792316401</v>
      </c>
      <c r="P1595">
        <v>-7.8593988743598797E-2</v>
      </c>
      <c r="Q1595">
        <v>0</v>
      </c>
      <c r="R1595">
        <v>0.97858766949236098</v>
      </c>
      <c r="S1595" t="s">
        <v>7997</v>
      </c>
      <c r="T1595" t="s">
        <v>12802</v>
      </c>
      <c r="U1595" t="s">
        <v>12802</v>
      </c>
      <c r="V1595" t="s">
        <v>12802</v>
      </c>
      <c r="W1595" t="s">
        <v>14358</v>
      </c>
      <c r="X1595">
        <v>14</v>
      </c>
      <c r="Y1595" t="s">
        <v>20665</v>
      </c>
      <c r="Z1595" t="s">
        <v>26913</v>
      </c>
      <c r="AA1595">
        <v>0.80001940184334785</v>
      </c>
      <c r="AB1595" t="str">
        <f>HYPERLINK("Melting_Curves/meltCurve_O43818_RRP9.pdf", "Melting_Curves/meltCurve_O43818_RRP9.pdf")</f>
        <v>Melting_Curves/meltCurve_O43818_RRP9.pdf</v>
      </c>
    </row>
    <row r="1596" spans="1:28" x14ac:dyDescent="0.25">
      <c r="A1596" t="s">
        <v>1600</v>
      </c>
      <c r="B1596">
        <v>0.99542014353169495</v>
      </c>
      <c r="C1596">
        <v>1.04244507572009</v>
      </c>
      <c r="D1596">
        <v>1.0179325464945399</v>
      </c>
      <c r="E1596">
        <v>0.69946149167636196</v>
      </c>
      <c r="F1596">
        <v>0.347392493792199</v>
      </c>
      <c r="G1596">
        <v>0.160136482284885</v>
      </c>
      <c r="H1596">
        <v>9.0136405249293505E-2</v>
      </c>
      <c r="I1596">
        <v>5.3243246331413301E-2</v>
      </c>
      <c r="J1596">
        <v>5.6261445310227497E-2</v>
      </c>
      <c r="K1596">
        <v>5.0960713885474997E-2</v>
      </c>
      <c r="L1596">
        <v>1138.1713379625601</v>
      </c>
      <c r="M1596">
        <v>23.514133355222398</v>
      </c>
      <c r="N1596">
        <v>48.660256199075199</v>
      </c>
      <c r="O1596">
        <v>48.057704886249901</v>
      </c>
      <c r="P1596">
        <v>-0.11519377902035</v>
      </c>
      <c r="Q1596">
        <v>5.8293388689400302E-2</v>
      </c>
      <c r="R1596">
        <v>0.99522928285955203</v>
      </c>
      <c r="S1596" t="s">
        <v>7998</v>
      </c>
      <c r="T1596" t="s">
        <v>12802</v>
      </c>
      <c r="U1596" t="s">
        <v>12802</v>
      </c>
      <c r="V1596" t="s">
        <v>12802</v>
      </c>
      <c r="W1596" t="s">
        <v>14359</v>
      </c>
      <c r="X1596">
        <v>6</v>
      </c>
      <c r="Y1596" t="s">
        <v>20666</v>
      </c>
      <c r="Z1596" t="s">
        <v>26914</v>
      </c>
      <c r="AA1596">
        <v>0.42535695237422039</v>
      </c>
      <c r="AB1596" t="str">
        <f>HYPERLINK("Melting_Curves/meltCurve_O43819_SCO2.pdf", "Melting_Curves/meltCurve_O43819_SCO2.pdf")</f>
        <v>Melting_Curves/meltCurve_O43819_SCO2.pdf</v>
      </c>
    </row>
    <row r="1597" spans="1:28" x14ac:dyDescent="0.25">
      <c r="A1597" t="s">
        <v>1601</v>
      </c>
      <c r="B1597">
        <v>0.99542014353169495</v>
      </c>
      <c r="C1597">
        <v>0.991816003061741</v>
      </c>
      <c r="D1597">
        <v>1.13771265198083</v>
      </c>
      <c r="E1597">
        <v>1.24653912040114</v>
      </c>
      <c r="F1597">
        <v>1.1604466340011299</v>
      </c>
      <c r="G1597">
        <v>0.95911025939302696</v>
      </c>
      <c r="H1597">
        <v>0.743650583397235</v>
      </c>
      <c r="I1597">
        <v>0.62782965548001901</v>
      </c>
      <c r="J1597">
        <v>0.97554124553229105</v>
      </c>
      <c r="K1597">
        <v>0.96874726835469405</v>
      </c>
      <c r="L1597">
        <v>13512.2972217193</v>
      </c>
      <c r="M1597">
        <v>250</v>
      </c>
      <c r="O1597">
        <v>54.045724770698897</v>
      </c>
      <c r="P1597">
        <v>-0.19781605519612</v>
      </c>
      <c r="Q1597">
        <v>0.82894219012579795</v>
      </c>
      <c r="R1597">
        <v>0.371730559120868</v>
      </c>
      <c r="S1597" t="s">
        <v>7999</v>
      </c>
      <c r="T1597" t="s">
        <v>12802</v>
      </c>
      <c r="U1597" t="s">
        <v>12802</v>
      </c>
      <c r="V1597" t="s">
        <v>12802</v>
      </c>
      <c r="W1597" t="s">
        <v>14360</v>
      </c>
      <c r="X1597">
        <v>1</v>
      </c>
      <c r="Y1597" t="s">
        <v>20667</v>
      </c>
      <c r="Z1597" t="s">
        <v>26915</v>
      </c>
      <c r="AA1597">
        <v>0.92617164626806203</v>
      </c>
      <c r="AB1597" t="str">
        <f>HYPERLINK("Melting_Curves/meltCurve_O43820_4_HYAL3.pdf", "Melting_Curves/meltCurve_O43820_4_HYAL3.pdf")</f>
        <v>Melting_Curves/meltCurve_O43820_4_HYAL3.pdf</v>
      </c>
    </row>
    <row r="1598" spans="1:28" x14ac:dyDescent="0.25">
      <c r="A1598" t="s">
        <v>1602</v>
      </c>
      <c r="B1598">
        <v>0.99542014353169495</v>
      </c>
      <c r="C1598">
        <v>0.95762665170605099</v>
      </c>
      <c r="D1598">
        <v>0.97019281664090495</v>
      </c>
      <c r="E1598">
        <v>0.76186049796663502</v>
      </c>
      <c r="F1598">
        <v>0.44478830160507199</v>
      </c>
      <c r="G1598">
        <v>0.20651027499581801</v>
      </c>
      <c r="H1598">
        <v>0.13739175407061499</v>
      </c>
      <c r="I1598">
        <v>0.113119909041122</v>
      </c>
      <c r="J1598">
        <v>0.145446350143349</v>
      </c>
      <c r="K1598">
        <v>0.28705881681179002</v>
      </c>
      <c r="L1598">
        <v>1204.66076831743</v>
      </c>
      <c r="M1598">
        <v>24.8334495650539</v>
      </c>
      <c r="N1598">
        <v>49.293634557470199</v>
      </c>
      <c r="O1598">
        <v>48.198336185753803</v>
      </c>
      <c r="P1598">
        <v>-0.107794181794807</v>
      </c>
      <c r="Q1598">
        <v>0.16315661834863901</v>
      </c>
      <c r="R1598">
        <v>0.98166222296946104</v>
      </c>
      <c r="S1598" t="s">
        <v>8000</v>
      </c>
      <c r="T1598" t="s">
        <v>12802</v>
      </c>
      <c r="U1598" t="s">
        <v>12802</v>
      </c>
      <c r="V1598" t="s">
        <v>12802</v>
      </c>
      <c r="W1598" t="s">
        <v>14361</v>
      </c>
      <c r="X1598">
        <v>5</v>
      </c>
      <c r="Y1598" t="s">
        <v>20668</v>
      </c>
      <c r="Z1598" t="s">
        <v>26916</v>
      </c>
      <c r="AA1598">
        <v>0.49149252158308132</v>
      </c>
      <c r="AB1598" t="str">
        <f>HYPERLINK("Melting_Curves/meltCurve_O43823_AKAP8.pdf", "Melting_Curves/meltCurve_O43823_AKAP8.pdf")</f>
        <v>Melting_Curves/meltCurve_O43823_AKAP8.pdf</v>
      </c>
    </row>
    <row r="1599" spans="1:28" x14ac:dyDescent="0.25">
      <c r="A1599" t="s">
        <v>1603</v>
      </c>
      <c r="B1599">
        <v>0.99542014353169495</v>
      </c>
      <c r="C1599">
        <v>1.1434245382522701</v>
      </c>
      <c r="D1599">
        <v>1.0780546293993001</v>
      </c>
      <c r="E1599">
        <v>0.87360575976695698</v>
      </c>
      <c r="F1599">
        <v>0.76087218404591705</v>
      </c>
      <c r="G1599">
        <v>0.33477963164184799</v>
      </c>
      <c r="H1599">
        <v>0.29092593996657801</v>
      </c>
      <c r="I1599">
        <v>0.16661148111757099</v>
      </c>
      <c r="J1599">
        <v>0.24236413671717699</v>
      </c>
      <c r="K1599">
        <v>0.19993054962204501</v>
      </c>
      <c r="L1599">
        <v>1439.7290027494601</v>
      </c>
      <c r="M1599">
        <v>28.066064086533601</v>
      </c>
      <c r="N1599">
        <v>52.287995497011998</v>
      </c>
      <c r="O1599">
        <v>51.039550400823202</v>
      </c>
      <c r="P1599">
        <v>-0.10913616679110499</v>
      </c>
      <c r="Q1599">
        <v>0.206128303044114</v>
      </c>
      <c r="R1599">
        <v>0.96977047794877302</v>
      </c>
      <c r="S1599" t="s">
        <v>8001</v>
      </c>
      <c r="T1599" t="s">
        <v>12802</v>
      </c>
      <c r="U1599" t="s">
        <v>12802</v>
      </c>
      <c r="V1599" t="s">
        <v>12802</v>
      </c>
      <c r="W1599" t="s">
        <v>14362</v>
      </c>
      <c r="X1599">
        <v>3</v>
      </c>
      <c r="Y1599" t="s">
        <v>20669</v>
      </c>
      <c r="Z1599" t="s">
        <v>26917</v>
      </c>
      <c r="AA1599">
        <v>0.59013024739819819</v>
      </c>
      <c r="AB1599" t="str">
        <f>HYPERLINK("Melting_Curves/meltCurve_O43824_GTPBP6.pdf", "Melting_Curves/meltCurve_O43824_GTPBP6.pdf")</f>
        <v>Melting_Curves/meltCurve_O43824_GTPBP6.pdf</v>
      </c>
    </row>
    <row r="1600" spans="1:28" x14ac:dyDescent="0.25">
      <c r="A1600" t="s">
        <v>1604</v>
      </c>
      <c r="B1600">
        <v>0.99542014353169495</v>
      </c>
      <c r="C1600">
        <v>0.95872979311903905</v>
      </c>
      <c r="D1600">
        <v>1.22206372317887</v>
      </c>
      <c r="E1600">
        <v>0.83281336805046602</v>
      </c>
      <c r="F1600">
        <v>0.982670592798769</v>
      </c>
      <c r="G1600">
        <v>0.546135632243129</v>
      </c>
      <c r="H1600">
        <v>0.52991424462148895</v>
      </c>
      <c r="I1600">
        <v>0.443590450369856</v>
      </c>
      <c r="J1600">
        <v>0.52897869013976895</v>
      </c>
      <c r="K1600">
        <v>0.63736746187528204</v>
      </c>
      <c r="L1600">
        <v>5205.9741520097696</v>
      </c>
      <c r="M1600">
        <v>100.460085014594</v>
      </c>
      <c r="O1600">
        <v>51.8008169648935</v>
      </c>
      <c r="P1600">
        <v>-0.225480361619848</v>
      </c>
      <c r="Q1600">
        <v>0.53493723906073698</v>
      </c>
      <c r="R1600">
        <v>0.84460572624652697</v>
      </c>
      <c r="S1600" t="s">
        <v>8002</v>
      </c>
      <c r="T1600" t="s">
        <v>12802</v>
      </c>
      <c r="U1600" t="s">
        <v>12802</v>
      </c>
      <c r="V1600" t="s">
        <v>12802</v>
      </c>
      <c r="W1600" t="s">
        <v>14363</v>
      </c>
      <c r="X1600">
        <v>2</v>
      </c>
      <c r="Y1600" t="s">
        <v>20670</v>
      </c>
      <c r="Z1600" t="s">
        <v>26918</v>
      </c>
      <c r="AA1600">
        <v>0.7649609286737955</v>
      </c>
      <c r="AB1600" t="str">
        <f>HYPERLINK("Melting_Curves/meltCurve_O43826_SLC37A4.pdf", "Melting_Curves/meltCurve_O43826_SLC37A4.pdf")</f>
        <v>Melting_Curves/meltCurve_O43826_SLC37A4.pdf</v>
      </c>
    </row>
    <row r="1601" spans="1:28" x14ac:dyDescent="0.25">
      <c r="A1601" t="s">
        <v>1605</v>
      </c>
      <c r="B1601">
        <v>0.99542014353169495</v>
      </c>
      <c r="C1601">
        <v>1.1765440999387</v>
      </c>
      <c r="D1601">
        <v>1.0261507274247801</v>
      </c>
      <c r="E1601">
        <v>0.46842043639388597</v>
      </c>
      <c r="F1601">
        <v>0.431794076696837</v>
      </c>
      <c r="G1601">
        <v>0.42582169279496301</v>
      </c>
      <c r="H1601">
        <v>0.39267958375456102</v>
      </c>
      <c r="I1601">
        <v>0.31194926763529102</v>
      </c>
      <c r="J1601">
        <v>0.66478447782887695</v>
      </c>
      <c r="K1601">
        <v>0.80910948622618395</v>
      </c>
      <c r="L1601">
        <v>11179.009353416601</v>
      </c>
      <c r="M1601">
        <v>250</v>
      </c>
      <c r="O1601">
        <v>44.713159523994797</v>
      </c>
      <c r="P1601">
        <v>-0.69799232686066603</v>
      </c>
      <c r="Q1601">
        <v>0.50064874071539101</v>
      </c>
      <c r="R1601">
        <v>0.75585190139648495</v>
      </c>
      <c r="S1601" t="s">
        <v>8003</v>
      </c>
      <c r="T1601" t="s">
        <v>12802</v>
      </c>
      <c r="U1601" t="s">
        <v>12802</v>
      </c>
      <c r="V1601" t="s">
        <v>12802</v>
      </c>
      <c r="W1601" t="s">
        <v>14364</v>
      </c>
      <c r="X1601">
        <v>3</v>
      </c>
      <c r="Y1601" t="s">
        <v>20671</v>
      </c>
      <c r="Z1601" t="s">
        <v>26919</v>
      </c>
      <c r="AA1601">
        <v>0.62912169441975918</v>
      </c>
      <c r="AB1601" t="str">
        <f>HYPERLINK("Melting_Curves/meltCurve_O43829_ZBTB14.pdf", "Melting_Curves/meltCurve_O43829_ZBTB14.pdf")</f>
        <v>Melting_Curves/meltCurve_O43829_ZBTB14.pdf</v>
      </c>
    </row>
    <row r="1602" spans="1:28" x14ac:dyDescent="0.25">
      <c r="A1602" t="s">
        <v>1606</v>
      </c>
      <c r="B1602">
        <v>0.99542014353169495</v>
      </c>
      <c r="C1602">
        <v>0.84657395777635902</v>
      </c>
      <c r="D1602">
        <v>0.867256454405815</v>
      </c>
      <c r="E1602">
        <v>0.70381107638819096</v>
      </c>
      <c r="F1602">
        <v>0.458880378410087</v>
      </c>
      <c r="G1602">
        <v>0.21537155041644701</v>
      </c>
      <c r="H1602">
        <v>0.12615795960169901</v>
      </c>
      <c r="I1602">
        <v>5.8603528372038603E-2</v>
      </c>
      <c r="J1602">
        <v>4.3922328675403299E-2</v>
      </c>
      <c r="K1602">
        <v>4.4457764312451797E-2</v>
      </c>
      <c r="L1602">
        <v>639.285664248373</v>
      </c>
      <c r="M1602">
        <v>12.9943438225552</v>
      </c>
      <c r="N1602">
        <v>49.1972148496789</v>
      </c>
      <c r="O1602">
        <v>48.075798460844801</v>
      </c>
      <c r="P1602">
        <v>-6.7584126482161305E-2</v>
      </c>
      <c r="Q1602">
        <v>0</v>
      </c>
      <c r="R1602">
        <v>0.98903759417117498</v>
      </c>
      <c r="S1602" t="s">
        <v>8004</v>
      </c>
      <c r="T1602" t="s">
        <v>12802</v>
      </c>
      <c r="U1602" t="s">
        <v>12802</v>
      </c>
      <c r="V1602" t="s">
        <v>12802</v>
      </c>
      <c r="W1602" t="s">
        <v>14365</v>
      </c>
      <c r="X1602">
        <v>12</v>
      </c>
      <c r="Y1602" t="s">
        <v>20672</v>
      </c>
      <c r="Z1602" t="s">
        <v>26920</v>
      </c>
      <c r="AA1602">
        <v>0.43299179522155012</v>
      </c>
      <c r="AB1602" t="str">
        <f>HYPERLINK("Melting_Curves/meltCurve_O43837_IDH3B.pdf", "Melting_Curves/meltCurve_O43837_IDH3B.pdf")</f>
        <v>Melting_Curves/meltCurve_O43837_IDH3B.pdf</v>
      </c>
    </row>
    <row r="1603" spans="1:28" x14ac:dyDescent="0.25">
      <c r="A1603" t="s">
        <v>1607</v>
      </c>
      <c r="B1603">
        <v>0.99542014353169495</v>
      </c>
      <c r="C1603">
        <v>0.98046886373037101</v>
      </c>
      <c r="D1603">
        <v>0.94260280663002705</v>
      </c>
      <c r="E1603">
        <v>0.86724467450882003</v>
      </c>
      <c r="F1603">
        <v>0.73040327520709503</v>
      </c>
      <c r="G1603">
        <v>0.59679423705725398</v>
      </c>
      <c r="H1603">
        <v>0.45022952570991798</v>
      </c>
      <c r="I1603">
        <v>0.42217410597229699</v>
      </c>
      <c r="J1603">
        <v>0.65472065057731199</v>
      </c>
      <c r="K1603">
        <v>0.75051736995476503</v>
      </c>
      <c r="L1603">
        <v>1172.1685754535299</v>
      </c>
      <c r="M1603">
        <v>24.250459243306899</v>
      </c>
      <c r="O1603">
        <v>48.010845125233203</v>
      </c>
      <c r="P1603">
        <v>-5.42448961889598E-2</v>
      </c>
      <c r="Q1603">
        <v>0.57043226508462896</v>
      </c>
      <c r="R1603">
        <v>0.791942008836512</v>
      </c>
      <c r="S1603" t="s">
        <v>8005</v>
      </c>
      <c r="T1603" t="s">
        <v>12802</v>
      </c>
      <c r="U1603" t="s">
        <v>12802</v>
      </c>
      <c r="V1603" t="s">
        <v>12802</v>
      </c>
      <c r="W1603" t="s">
        <v>14366</v>
      </c>
      <c r="X1603">
        <v>19</v>
      </c>
      <c r="Y1603" t="s">
        <v>20673</v>
      </c>
      <c r="Z1603" t="s">
        <v>26921</v>
      </c>
      <c r="AA1603">
        <v>0.73665540542099039</v>
      </c>
      <c r="AB1603" t="str">
        <f>HYPERLINK("Melting_Curves/meltCurve_O43852_CALU.pdf", "Melting_Curves/meltCurve_O43852_CALU.pdf")</f>
        <v>Melting_Curves/meltCurve_O43852_CALU.pdf</v>
      </c>
    </row>
    <row r="1604" spans="1:28" x14ac:dyDescent="0.25">
      <c r="A1604" t="s">
        <v>1608</v>
      </c>
      <c r="B1604">
        <v>0.99542014353169495</v>
      </c>
      <c r="C1604">
        <v>0.95592603743057603</v>
      </c>
      <c r="D1604">
        <v>0.84245565262573896</v>
      </c>
      <c r="E1604">
        <v>0.758997656479375</v>
      </c>
      <c r="F1604">
        <v>0.50972918952609103</v>
      </c>
      <c r="G1604">
        <v>0.311519892396803</v>
      </c>
      <c r="H1604">
        <v>0.16440855568714199</v>
      </c>
      <c r="I1604">
        <v>0.11591740232250999</v>
      </c>
      <c r="J1604">
        <v>9.85035785324683E-2</v>
      </c>
      <c r="K1604">
        <v>6.4748610895377007E-2</v>
      </c>
      <c r="L1604">
        <v>623.21516444220401</v>
      </c>
      <c r="M1604">
        <v>12.4357053847831</v>
      </c>
      <c r="N1604">
        <v>50.293351260407299</v>
      </c>
      <c r="O1604">
        <v>48.871983626764496</v>
      </c>
      <c r="P1604">
        <v>-6.2254539853154399E-2</v>
      </c>
      <c r="Q1604">
        <v>2.1570815502509999E-2</v>
      </c>
      <c r="R1604">
        <v>0.99662482531519203</v>
      </c>
      <c r="S1604" t="s">
        <v>8006</v>
      </c>
      <c r="T1604" t="s">
        <v>12802</v>
      </c>
      <c r="U1604" t="s">
        <v>12802</v>
      </c>
      <c r="V1604" t="s">
        <v>12802</v>
      </c>
      <c r="W1604" t="s">
        <v>14367</v>
      </c>
      <c r="X1604">
        <v>21</v>
      </c>
      <c r="Y1604" t="s">
        <v>20674</v>
      </c>
      <c r="Z1604" t="s">
        <v>26922</v>
      </c>
      <c r="AA1604">
        <v>0.47537454482711861</v>
      </c>
      <c r="AB1604" t="str">
        <f>HYPERLINK("Melting_Curves/meltCurve_O43865_AHCYL1.pdf", "Melting_Curves/meltCurve_O43865_AHCYL1.pdf")</f>
        <v>Melting_Curves/meltCurve_O43865_AHCYL1.pdf</v>
      </c>
    </row>
    <row r="1605" spans="1:28" x14ac:dyDescent="0.25">
      <c r="A1605" t="s">
        <v>1609</v>
      </c>
      <c r="B1605">
        <v>0.99542014353169495</v>
      </c>
      <c r="C1605">
        <v>0.85466116327518904</v>
      </c>
      <c r="D1605">
        <v>1.0286575730793399</v>
      </c>
      <c r="E1605">
        <v>0.64681289373974205</v>
      </c>
      <c r="F1605">
        <v>0.37594449342432601</v>
      </c>
      <c r="G1605">
        <v>0.30381330378876997</v>
      </c>
      <c r="H1605">
        <v>0.19291860669286401</v>
      </c>
      <c r="I1605">
        <v>0.10230088859163999</v>
      </c>
      <c r="J1605">
        <v>0.23934225773228501</v>
      </c>
      <c r="K1605">
        <v>0.16959789086931801</v>
      </c>
      <c r="L1605">
        <v>1033.0601447761101</v>
      </c>
      <c r="M1605">
        <v>21.698859118843099</v>
      </c>
      <c r="N1605">
        <v>48.6067338093412</v>
      </c>
      <c r="O1605">
        <v>47.210136968877798</v>
      </c>
      <c r="P1605">
        <v>-9.4256727638382304E-2</v>
      </c>
      <c r="Q1605">
        <v>0.179723120963063</v>
      </c>
      <c r="R1605">
        <v>0.962058929622432</v>
      </c>
      <c r="S1605" t="s">
        <v>8007</v>
      </c>
      <c r="T1605" t="s">
        <v>12802</v>
      </c>
      <c r="U1605" t="s">
        <v>12802</v>
      </c>
      <c r="V1605" t="s">
        <v>12802</v>
      </c>
      <c r="W1605" t="s">
        <v>14368</v>
      </c>
      <c r="X1605">
        <v>2</v>
      </c>
      <c r="Y1605" t="s">
        <v>20675</v>
      </c>
      <c r="Z1605" t="s">
        <v>26923</v>
      </c>
      <c r="AA1605">
        <v>0.47899036704741332</v>
      </c>
      <c r="AB1605" t="str">
        <f>HYPERLINK("Melting_Curves/meltCurve_O43896_KIF1C.pdf", "Melting_Curves/meltCurve_O43896_KIF1C.pdf")</f>
        <v>Melting_Curves/meltCurve_O43896_KIF1C.pdf</v>
      </c>
    </row>
    <row r="1606" spans="1:28" x14ac:dyDescent="0.25">
      <c r="A1606" t="s">
        <v>1610</v>
      </c>
      <c r="B1606">
        <v>0.99542014353169495</v>
      </c>
      <c r="C1606">
        <v>0.97558260942393205</v>
      </c>
      <c r="D1606">
        <v>1.01983431344929</v>
      </c>
      <c r="E1606">
        <v>0.46525554677206898</v>
      </c>
      <c r="F1606">
        <v>0.18670494874430801</v>
      </c>
      <c r="G1606">
        <v>0.1055239731913</v>
      </c>
      <c r="H1606">
        <v>7.2865199347328102E-2</v>
      </c>
      <c r="I1606">
        <v>4.8258741353185697E-2</v>
      </c>
      <c r="J1606">
        <v>8.35500636639884E-2</v>
      </c>
      <c r="K1606">
        <v>5.9956413188642303E-2</v>
      </c>
      <c r="L1606">
        <v>1874.6874447719199</v>
      </c>
      <c r="M1606">
        <v>40.4770728848993</v>
      </c>
      <c r="N1606">
        <v>46.525823359866997</v>
      </c>
      <c r="O1606">
        <v>46.202186152021298</v>
      </c>
      <c r="P1606">
        <v>-0.20065320702563</v>
      </c>
      <c r="Q1606">
        <v>8.3866789465062597E-2</v>
      </c>
      <c r="R1606">
        <v>0.99342351736207701</v>
      </c>
      <c r="S1606" t="s">
        <v>8008</v>
      </c>
      <c r="T1606" t="s">
        <v>12802</v>
      </c>
      <c r="U1606" t="s">
        <v>12802</v>
      </c>
      <c r="V1606" t="s">
        <v>12802</v>
      </c>
      <c r="W1606" t="s">
        <v>14369</v>
      </c>
      <c r="X1606">
        <v>11</v>
      </c>
      <c r="Y1606" t="s">
        <v>20676</v>
      </c>
      <c r="Z1606" t="s">
        <v>26924</v>
      </c>
      <c r="AA1606">
        <v>0.37118490436317209</v>
      </c>
      <c r="AB1606" t="str">
        <f>HYPERLINK("Melting_Curves/meltCurve_O43913_ORC5.pdf", "Melting_Curves/meltCurve_O43913_ORC5.pdf")</f>
        <v>Melting_Curves/meltCurve_O43913_ORC5.pdf</v>
      </c>
    </row>
    <row r="1607" spans="1:28" x14ac:dyDescent="0.25">
      <c r="A1607" t="s">
        <v>1611</v>
      </c>
      <c r="B1607">
        <v>0.99542014353169495</v>
      </c>
      <c r="C1607">
        <v>0.80306437291241095</v>
      </c>
      <c r="D1607">
        <v>0.86220572218971303</v>
      </c>
      <c r="E1607">
        <v>0.63379854809415803</v>
      </c>
      <c r="F1607">
        <v>0.52129580202929504</v>
      </c>
      <c r="G1607">
        <v>0.26058538968591999</v>
      </c>
      <c r="H1607">
        <v>0.133618794036063</v>
      </c>
      <c r="I1607">
        <v>0.100386052378256</v>
      </c>
      <c r="J1607">
        <v>0.13527543467102399</v>
      </c>
      <c r="K1607">
        <v>0.138812521441494</v>
      </c>
      <c r="L1607">
        <v>537.69502129105297</v>
      </c>
      <c r="M1607">
        <v>11.0298031049711</v>
      </c>
      <c r="N1607">
        <v>49.1610430867376</v>
      </c>
      <c r="O1607">
        <v>47.229079352875999</v>
      </c>
      <c r="P1607">
        <v>-5.58272093512606E-2</v>
      </c>
      <c r="Q1607">
        <v>4.41216703526955E-2</v>
      </c>
      <c r="R1607">
        <v>0.97035532844399097</v>
      </c>
      <c r="S1607" t="s">
        <v>8009</v>
      </c>
      <c r="T1607" t="s">
        <v>12802</v>
      </c>
      <c r="U1607" t="s">
        <v>12802</v>
      </c>
      <c r="V1607" t="s">
        <v>12802</v>
      </c>
      <c r="W1607" t="s">
        <v>14370</v>
      </c>
      <c r="X1607">
        <v>5</v>
      </c>
      <c r="Y1607" t="s">
        <v>20677</v>
      </c>
      <c r="Z1607" t="s">
        <v>26925</v>
      </c>
      <c r="AA1607">
        <v>0.45065414617794192</v>
      </c>
      <c r="AB1607" t="str">
        <f>HYPERLINK("Melting_Curves/meltCurve_O43920_NDUFS5.pdf", "Melting_Curves/meltCurve_O43920_NDUFS5.pdf")</f>
        <v>Melting_Curves/meltCurve_O43920_NDUFS5.pdf</v>
      </c>
    </row>
    <row r="1608" spans="1:28" x14ac:dyDescent="0.25">
      <c r="A1608" t="s">
        <v>1612</v>
      </c>
      <c r="B1608">
        <v>0.99542014353169495</v>
      </c>
      <c r="C1608">
        <v>1.0600937472995899</v>
      </c>
      <c r="D1608">
        <v>0.78391352702833095</v>
      </c>
      <c r="E1608">
        <v>0.80538219647533005</v>
      </c>
      <c r="F1608">
        <v>0.60784408481747698</v>
      </c>
      <c r="G1608">
        <v>0.43091439393655001</v>
      </c>
      <c r="H1608">
        <v>0.229615407858241</v>
      </c>
      <c r="I1608">
        <v>0.12509525989222001</v>
      </c>
      <c r="J1608">
        <v>0.103589887184701</v>
      </c>
      <c r="K1608">
        <v>9.9620138955788307E-2</v>
      </c>
      <c r="L1608">
        <v>578.57103456960897</v>
      </c>
      <c r="M1608">
        <v>11.151512730594</v>
      </c>
      <c r="N1608">
        <v>51.882739882705799</v>
      </c>
      <c r="O1608">
        <v>50.298179536204302</v>
      </c>
      <c r="P1608">
        <v>-5.5444759684084403E-2</v>
      </c>
      <c r="Q1608">
        <v>0</v>
      </c>
      <c r="R1608">
        <v>0.97746462916010302</v>
      </c>
      <c r="S1608" t="s">
        <v>8010</v>
      </c>
      <c r="T1608" t="s">
        <v>12802</v>
      </c>
      <c r="U1608" t="s">
        <v>12802</v>
      </c>
      <c r="V1608" t="s">
        <v>12802</v>
      </c>
      <c r="W1608" t="s">
        <v>14371</v>
      </c>
      <c r="X1608">
        <v>3</v>
      </c>
      <c r="Y1608" t="s">
        <v>20678</v>
      </c>
      <c r="Z1608" t="s">
        <v>26926</v>
      </c>
      <c r="AA1608">
        <v>0.52149472739614589</v>
      </c>
      <c r="AB1608" t="str">
        <f>HYPERLINK("Melting_Curves/meltCurve_O43924_PDE6D.pdf", "Melting_Curves/meltCurve_O43924_PDE6D.pdf")</f>
        <v>Melting_Curves/meltCurve_O43924_PDE6D.pdf</v>
      </c>
    </row>
    <row r="1609" spans="1:28" x14ac:dyDescent="0.25">
      <c r="A1609" t="s">
        <v>1613</v>
      </c>
      <c r="B1609">
        <v>0.99542014353169495</v>
      </c>
      <c r="C1609">
        <v>1.08773672084105</v>
      </c>
      <c r="D1609">
        <v>0.75587268521933104</v>
      </c>
      <c r="E1609">
        <v>0.68503397178575898</v>
      </c>
      <c r="F1609">
        <v>0.23784975839240599</v>
      </c>
      <c r="G1609">
        <v>0.169191592825363</v>
      </c>
      <c r="H1609">
        <v>6.4979625406722599E-2</v>
      </c>
      <c r="I1609">
        <v>4.3798704079041698E-2</v>
      </c>
      <c r="J1609">
        <v>3.4166519225440603E-2</v>
      </c>
      <c r="K1609">
        <v>6.5450969467524905E-2</v>
      </c>
      <c r="L1609">
        <v>871.08730235433904</v>
      </c>
      <c r="M1609">
        <v>18.336159627727699</v>
      </c>
      <c r="N1609">
        <v>47.703915327442203</v>
      </c>
      <c r="O1609">
        <v>46.952293464528701</v>
      </c>
      <c r="P1609">
        <v>-9.4069517504615702E-2</v>
      </c>
      <c r="Q1609">
        <v>3.6531725706236202E-2</v>
      </c>
      <c r="R1609">
        <v>0.97468887966289597</v>
      </c>
      <c r="S1609" t="s">
        <v>8011</v>
      </c>
      <c r="T1609" t="s">
        <v>12802</v>
      </c>
      <c r="U1609" t="s">
        <v>12802</v>
      </c>
      <c r="V1609" t="s">
        <v>12802</v>
      </c>
      <c r="W1609" t="s">
        <v>14372</v>
      </c>
      <c r="X1609">
        <v>2</v>
      </c>
      <c r="Y1609" t="s">
        <v>20679</v>
      </c>
      <c r="Z1609" t="s">
        <v>26927</v>
      </c>
      <c r="AA1609">
        <v>0.38886122233916182</v>
      </c>
      <c r="AB1609" t="str">
        <f>HYPERLINK("Melting_Curves/meltCurve_O43930_PRKY.pdf", "Melting_Curves/meltCurve_O43930_PRKY.pdf")</f>
        <v>Melting_Curves/meltCurve_O43930_PRKY.pdf</v>
      </c>
    </row>
    <row r="1610" spans="1:28" x14ac:dyDescent="0.25">
      <c r="A1610" t="s">
        <v>1614</v>
      </c>
      <c r="B1610">
        <v>0.99542014353169495</v>
      </c>
      <c r="C1610">
        <v>0.83336199220134999</v>
      </c>
      <c r="D1610">
        <v>0.80098788078414995</v>
      </c>
      <c r="E1610">
        <v>0.63501447939602496</v>
      </c>
      <c r="F1610">
        <v>0.49145194459585001</v>
      </c>
      <c r="G1610">
        <v>0.22927208107210201</v>
      </c>
      <c r="H1610">
        <v>4.96511454658864E-2</v>
      </c>
      <c r="I1610">
        <v>8.7110551212402892E-3</v>
      </c>
      <c r="J1610">
        <v>4.9775799010143E-2</v>
      </c>
      <c r="K1610">
        <v>7.5148135754160905E-2</v>
      </c>
      <c r="L1610">
        <v>586.27839926199101</v>
      </c>
      <c r="M1610">
        <v>12.0758367222169</v>
      </c>
      <c r="N1610">
        <v>48.5497123867613</v>
      </c>
      <c r="O1610">
        <v>47.275840417547101</v>
      </c>
      <c r="P1610">
        <v>-6.3873415632162603E-2</v>
      </c>
      <c r="Q1610">
        <v>0</v>
      </c>
      <c r="R1610">
        <v>0.97492050042146305</v>
      </c>
      <c r="S1610" t="s">
        <v>8012</v>
      </c>
      <c r="T1610" t="s">
        <v>12802</v>
      </c>
      <c r="U1610" t="s">
        <v>12802</v>
      </c>
      <c r="V1610" t="s">
        <v>12802</v>
      </c>
      <c r="W1610" t="s">
        <v>14373</v>
      </c>
      <c r="X1610">
        <v>8</v>
      </c>
      <c r="Y1610" t="s">
        <v>20680</v>
      </c>
      <c r="Z1610" t="s">
        <v>26928</v>
      </c>
      <c r="AA1610">
        <v>0.41517058389253447</v>
      </c>
      <c r="AB1610" t="str">
        <f>HYPERLINK("Melting_Curves/meltCurve_O43933_PEX1.pdf", "Melting_Curves/meltCurve_O43933_PEX1.pdf")</f>
        <v>Melting_Curves/meltCurve_O43933_PEX1.pdf</v>
      </c>
    </row>
    <row r="1611" spans="1:28" x14ac:dyDescent="0.25">
      <c r="A1611" t="s">
        <v>1615</v>
      </c>
      <c r="B1611">
        <v>0.99542014353169495</v>
      </c>
      <c r="C1611">
        <v>0.96077022805890999</v>
      </c>
      <c r="D1611">
        <v>1.0030222004949501</v>
      </c>
      <c r="E1611">
        <v>0.73290493455829897</v>
      </c>
      <c r="F1611">
        <v>0.614718410171744</v>
      </c>
      <c r="G1611">
        <v>0.30985376471515802</v>
      </c>
      <c r="H1611">
        <v>0.15631346649734801</v>
      </c>
      <c r="I1611">
        <v>8.4836054850059295E-2</v>
      </c>
      <c r="J1611">
        <v>6.6774805634639403E-2</v>
      </c>
      <c r="K1611">
        <v>6.5082154277322807E-2</v>
      </c>
      <c r="L1611">
        <v>769.94857203284403</v>
      </c>
      <c r="M1611">
        <v>15.133559147457801</v>
      </c>
      <c r="N1611">
        <v>51.0367490612335</v>
      </c>
      <c r="O1611">
        <v>50.013344519032898</v>
      </c>
      <c r="P1611">
        <v>-7.3903866490897099E-2</v>
      </c>
      <c r="Q1611">
        <v>2.31461515526117E-2</v>
      </c>
      <c r="R1611">
        <v>0.99115233524035096</v>
      </c>
      <c r="S1611" t="s">
        <v>8013</v>
      </c>
      <c r="T1611" t="s">
        <v>12802</v>
      </c>
      <c r="U1611" t="s">
        <v>12802</v>
      </c>
      <c r="V1611" t="s">
        <v>12802</v>
      </c>
      <c r="W1611" t="s">
        <v>14374</v>
      </c>
      <c r="X1611">
        <v>13</v>
      </c>
      <c r="Y1611" t="s">
        <v>20681</v>
      </c>
      <c r="Z1611" t="s">
        <v>26929</v>
      </c>
      <c r="AA1611">
        <v>0.49453973334006118</v>
      </c>
      <c r="AB1611" t="str">
        <f>HYPERLINK("Melting_Curves/meltCurve_O60216_RAD21.pdf", "Melting_Curves/meltCurve_O60216_RAD21.pdf")</f>
        <v>Melting_Curves/meltCurve_O60216_RAD21.pdf</v>
      </c>
    </row>
    <row r="1612" spans="1:28" x14ac:dyDescent="0.25">
      <c r="A1612" t="s">
        <v>1616</v>
      </c>
      <c r="B1612">
        <v>0.99542014353169495</v>
      </c>
      <c r="C1612">
        <v>1.0090195945301701</v>
      </c>
      <c r="D1612">
        <v>0.89396065349362097</v>
      </c>
      <c r="E1612">
        <v>0.87651931291501495</v>
      </c>
      <c r="F1612">
        <v>0.72441650084617404</v>
      </c>
      <c r="G1612">
        <v>0.60730400502670401</v>
      </c>
      <c r="H1612">
        <v>0.46863904238999698</v>
      </c>
      <c r="I1612">
        <v>0.45166470788242502</v>
      </c>
      <c r="J1612">
        <v>0.70730572293275096</v>
      </c>
      <c r="K1612">
        <v>0.891300603815814</v>
      </c>
      <c r="L1612">
        <v>1179.7913391468401</v>
      </c>
      <c r="M1612">
        <v>24.8790337986783</v>
      </c>
      <c r="O1612">
        <v>47.1179147430963</v>
      </c>
      <c r="P1612">
        <v>-4.9446961768675302E-2</v>
      </c>
      <c r="Q1612">
        <v>0.62541860893321</v>
      </c>
      <c r="R1612">
        <v>0.61738195291689102</v>
      </c>
      <c r="S1612" t="s">
        <v>8014</v>
      </c>
      <c r="T1612" t="s">
        <v>12802</v>
      </c>
      <c r="U1612" t="s">
        <v>12802</v>
      </c>
      <c r="V1612" t="s">
        <v>12802</v>
      </c>
      <c r="W1612" t="s">
        <v>14375</v>
      </c>
      <c r="X1612">
        <v>8</v>
      </c>
      <c r="Y1612" t="s">
        <v>20682</v>
      </c>
      <c r="Z1612" t="s">
        <v>26930</v>
      </c>
      <c r="AA1612">
        <v>0.75873300589575166</v>
      </c>
      <c r="AB1612" t="str">
        <f>HYPERLINK("Melting_Curves/meltCurve_O60220_TIMM8A.pdf", "Melting_Curves/meltCurve_O60220_TIMM8A.pdf")</f>
        <v>Melting_Curves/meltCurve_O60220_TIMM8A.pdf</v>
      </c>
    </row>
    <row r="1613" spans="1:28" x14ac:dyDescent="0.25">
      <c r="A1613" t="s">
        <v>1617</v>
      </c>
      <c r="B1613">
        <v>0.99542014353169495</v>
      </c>
      <c r="C1613">
        <v>0.96410291567911699</v>
      </c>
      <c r="D1613">
        <v>0.923174317359581</v>
      </c>
      <c r="E1613">
        <v>0.72060633370098903</v>
      </c>
      <c r="F1613">
        <v>0.443721442985054</v>
      </c>
      <c r="G1613">
        <v>0.204285506540723</v>
      </c>
      <c r="H1613">
        <v>8.5696123720287301E-2</v>
      </c>
      <c r="I1613">
        <v>6.5999561211100996E-2</v>
      </c>
      <c r="J1613">
        <v>7.7367271054145897E-2</v>
      </c>
      <c r="K1613">
        <v>7.6718100817605397E-2</v>
      </c>
      <c r="L1613">
        <v>874.34805078541501</v>
      </c>
      <c r="M1613">
        <v>17.8477612782556</v>
      </c>
      <c r="N1613">
        <v>49.277478301614202</v>
      </c>
      <c r="O1613">
        <v>48.3866333411911</v>
      </c>
      <c r="P1613">
        <v>-8.7647914447778696E-2</v>
      </c>
      <c r="Q1613">
        <v>4.9567943046271698E-2</v>
      </c>
      <c r="R1613">
        <v>0.99837716608063098</v>
      </c>
      <c r="S1613" t="s">
        <v>8015</v>
      </c>
      <c r="T1613" t="s">
        <v>12802</v>
      </c>
      <c r="U1613" t="s">
        <v>12802</v>
      </c>
      <c r="V1613" t="s">
        <v>12802</v>
      </c>
      <c r="W1613" t="s">
        <v>14376</v>
      </c>
      <c r="X1613">
        <v>33</v>
      </c>
      <c r="Y1613" t="s">
        <v>20683</v>
      </c>
      <c r="Z1613" t="s">
        <v>26931</v>
      </c>
      <c r="AA1613">
        <v>0.44473660870293269</v>
      </c>
      <c r="AB1613" t="str">
        <f>HYPERLINK("Melting_Curves/meltCurve_O60231_DHX16.pdf", "Melting_Curves/meltCurve_O60231_DHX16.pdf")</f>
        <v>Melting_Curves/meltCurve_O60231_DHX16.pdf</v>
      </c>
    </row>
    <row r="1614" spans="1:28" x14ac:dyDescent="0.25">
      <c r="A1614" t="s">
        <v>1618</v>
      </c>
      <c r="B1614">
        <v>0.99542014353169495</v>
      </c>
      <c r="C1614">
        <v>1.05753023269812</v>
      </c>
      <c r="D1614">
        <v>0.95524107563757799</v>
      </c>
      <c r="E1614">
        <v>0.874396331181852</v>
      </c>
      <c r="F1614">
        <v>0.52828257294696301</v>
      </c>
      <c r="G1614">
        <v>0.25850328844347897</v>
      </c>
      <c r="H1614">
        <v>0.13947820993691001</v>
      </c>
      <c r="I1614">
        <v>9.2823640453827697E-2</v>
      </c>
      <c r="J1614">
        <v>9.0745114711921399E-2</v>
      </c>
      <c r="K1614">
        <v>8.3402728304286494E-2</v>
      </c>
      <c r="L1614">
        <v>1120.73755377046</v>
      </c>
      <c r="M1614">
        <v>22.331322778250598</v>
      </c>
      <c r="N1614">
        <v>50.594539303897498</v>
      </c>
      <c r="O1614">
        <v>49.789537497340397</v>
      </c>
      <c r="P1614">
        <v>-0.102897065893329</v>
      </c>
      <c r="Q1614">
        <v>8.2348961073168303E-2</v>
      </c>
      <c r="R1614">
        <v>0.99706711332058096</v>
      </c>
      <c r="S1614" t="s">
        <v>8016</v>
      </c>
      <c r="T1614" t="s">
        <v>12802</v>
      </c>
      <c r="U1614" t="s">
        <v>12802</v>
      </c>
      <c r="V1614" t="s">
        <v>12802</v>
      </c>
      <c r="W1614" t="s">
        <v>14377</v>
      </c>
      <c r="X1614">
        <v>8</v>
      </c>
      <c r="Y1614" t="s">
        <v>20684</v>
      </c>
      <c r="Z1614" t="s">
        <v>26932</v>
      </c>
      <c r="AA1614">
        <v>0.49563431987109319</v>
      </c>
      <c r="AB1614" t="str">
        <f>HYPERLINK("Melting_Curves/meltCurve_O60234_GMFG.pdf", "Melting_Curves/meltCurve_O60234_GMFG.pdf")</f>
        <v>Melting_Curves/meltCurve_O60234_GMFG.pdf</v>
      </c>
    </row>
    <row r="1615" spans="1:28" x14ac:dyDescent="0.25">
      <c r="A1615" t="s">
        <v>1619</v>
      </c>
      <c r="B1615">
        <v>0.99542014353169495</v>
      </c>
      <c r="C1615">
        <v>0.96100199480191795</v>
      </c>
      <c r="D1615">
        <v>0.97646722135465802</v>
      </c>
      <c r="E1615">
        <v>0.90352716866755201</v>
      </c>
      <c r="F1615">
        <v>0.68749973396658304</v>
      </c>
      <c r="G1615">
        <v>0.79045273382344805</v>
      </c>
      <c r="H1615">
        <v>0.44589060389534602</v>
      </c>
      <c r="I1615">
        <v>0.376297819073794</v>
      </c>
      <c r="J1615">
        <v>0.32988103183867401</v>
      </c>
      <c r="K1615">
        <v>0.21641553021639301</v>
      </c>
      <c r="L1615">
        <v>502.91606017913301</v>
      </c>
      <c r="M1615">
        <v>8.7039070213636904</v>
      </c>
      <c r="N1615">
        <v>57.780487363685701</v>
      </c>
      <c r="O1615">
        <v>54.973592694634803</v>
      </c>
      <c r="P1615">
        <v>-3.9614827650900998E-2</v>
      </c>
      <c r="Q1615">
        <v>0</v>
      </c>
      <c r="R1615">
        <v>0.95619212144791099</v>
      </c>
      <c r="S1615" t="s">
        <v>8017</v>
      </c>
      <c r="T1615" t="s">
        <v>12802</v>
      </c>
      <c r="U1615" t="s">
        <v>12802</v>
      </c>
      <c r="V1615" t="s">
        <v>12802</v>
      </c>
      <c r="W1615" t="s">
        <v>14378</v>
      </c>
      <c r="X1615">
        <v>7</v>
      </c>
      <c r="Y1615" t="s">
        <v>20685</v>
      </c>
      <c r="Z1615" t="s">
        <v>26933</v>
      </c>
      <c r="AA1615">
        <v>0.67895013084410138</v>
      </c>
      <c r="AB1615" t="str">
        <f>HYPERLINK("Melting_Curves/meltCurve_O60256_PRPSAP2.pdf", "Melting_Curves/meltCurve_O60256_PRPSAP2.pdf")</f>
        <v>Melting_Curves/meltCurve_O60256_PRPSAP2.pdf</v>
      </c>
    </row>
    <row r="1616" spans="1:28" x14ac:dyDescent="0.25">
      <c r="A1616" t="s">
        <v>1620</v>
      </c>
      <c r="B1616">
        <v>0.99542014353169495</v>
      </c>
      <c r="C1616">
        <v>0.89167870516651804</v>
      </c>
      <c r="D1616">
        <v>0.96824885849275999</v>
      </c>
      <c r="E1616">
        <v>0.400254691721671</v>
      </c>
      <c r="F1616">
        <v>0.15956598834219399</v>
      </c>
      <c r="G1616">
        <v>9.1051649462423598E-2</v>
      </c>
      <c r="H1616">
        <v>6.9027547498331204E-2</v>
      </c>
      <c r="I1616">
        <v>5.1453662708398101E-2</v>
      </c>
      <c r="J1616">
        <v>5.42906246541792E-2</v>
      </c>
      <c r="K1616">
        <v>4.82031128146614E-2</v>
      </c>
      <c r="L1616">
        <v>1671.96407753834</v>
      </c>
      <c r="M1616">
        <v>36.385107277265902</v>
      </c>
      <c r="N1616">
        <v>46.141026310496301</v>
      </c>
      <c r="O1616">
        <v>45.813734582189902</v>
      </c>
      <c r="P1616">
        <v>-0.184795363113197</v>
      </c>
      <c r="Q1616">
        <v>6.9274132630866694E-2</v>
      </c>
      <c r="R1616">
        <v>0.98923562396792897</v>
      </c>
      <c r="S1616" t="s">
        <v>8018</v>
      </c>
      <c r="T1616" t="s">
        <v>12802</v>
      </c>
      <c r="U1616" t="s">
        <v>12802</v>
      </c>
      <c r="V1616" t="s">
        <v>12802</v>
      </c>
      <c r="W1616" t="s">
        <v>14379</v>
      </c>
      <c r="X1616">
        <v>25</v>
      </c>
      <c r="Y1616" t="s">
        <v>20686</v>
      </c>
      <c r="Z1616" t="s">
        <v>26934</v>
      </c>
      <c r="AA1616">
        <v>0.35058226684391358</v>
      </c>
      <c r="AB1616" t="str">
        <f>HYPERLINK("Melting_Curves/meltCurve_O60264_SMARCA5.pdf", "Melting_Curves/meltCurve_O60264_SMARCA5.pdf")</f>
        <v>Melting_Curves/meltCurve_O60264_SMARCA5.pdf</v>
      </c>
    </row>
    <row r="1617" spans="1:28" x14ac:dyDescent="0.25">
      <c r="A1617" t="s">
        <v>1621</v>
      </c>
      <c r="B1617">
        <v>0.99542014353169495</v>
      </c>
      <c r="C1617">
        <v>0.95821123937675801</v>
      </c>
      <c r="D1617">
        <v>0.98160847647412697</v>
      </c>
      <c r="E1617">
        <v>0.79408585191679304</v>
      </c>
      <c r="F1617">
        <v>0.29043502170915603</v>
      </c>
      <c r="G1617">
        <v>0.156431722885288</v>
      </c>
      <c r="H1617">
        <v>9.2662336769492398E-2</v>
      </c>
      <c r="I1617">
        <v>6.3684240130912603E-2</v>
      </c>
      <c r="J1617">
        <v>7.3461678247521103E-2</v>
      </c>
      <c r="K1617">
        <v>8.0869027662798604E-2</v>
      </c>
      <c r="L1617">
        <v>1510.3937639092701</v>
      </c>
      <c r="M1617">
        <v>31.2198205308482</v>
      </c>
      <c r="N1617">
        <v>48.6579282868558</v>
      </c>
      <c r="O1617">
        <v>48.182125616638203</v>
      </c>
      <c r="P1617">
        <v>-0.148731283561164</v>
      </c>
      <c r="Q1617">
        <v>8.1846171814099894E-2</v>
      </c>
      <c r="R1617">
        <v>0.99766680425449905</v>
      </c>
      <c r="S1617" t="s">
        <v>8019</v>
      </c>
      <c r="T1617" t="s">
        <v>12802</v>
      </c>
      <c r="U1617" t="s">
        <v>12802</v>
      </c>
      <c r="V1617" t="s">
        <v>12802</v>
      </c>
      <c r="W1617" t="s">
        <v>14380</v>
      </c>
      <c r="X1617">
        <v>48</v>
      </c>
      <c r="Y1617" t="s">
        <v>20687</v>
      </c>
      <c r="Z1617" t="s">
        <v>26935</v>
      </c>
      <c r="AA1617">
        <v>0.43516744785584149</v>
      </c>
      <c r="AB1617" t="str">
        <f>HYPERLINK("Melting_Curves/meltCurve_O60271_4_SPAG9.pdf", "Melting_Curves/meltCurve_O60271_4_SPAG9.pdf")</f>
        <v>Melting_Curves/meltCurve_O60271_4_SPAG9.pdf</v>
      </c>
    </row>
    <row r="1618" spans="1:28" x14ac:dyDescent="0.25">
      <c r="A1618" t="s">
        <v>1622</v>
      </c>
      <c r="B1618">
        <v>0.99542014353169495</v>
      </c>
      <c r="C1618">
        <v>0.83086483288578294</v>
      </c>
      <c r="D1618">
        <v>0.83319744396656403</v>
      </c>
      <c r="E1618">
        <v>0.76166205422504796</v>
      </c>
      <c r="F1618">
        <v>0.54816698561089405</v>
      </c>
      <c r="G1618">
        <v>0.14953948073509299</v>
      </c>
      <c r="H1618">
        <v>6.8967731656573703E-2</v>
      </c>
      <c r="I1618">
        <v>4.67130844175178E-2</v>
      </c>
      <c r="J1618">
        <v>5.19003099064623E-2</v>
      </c>
      <c r="K1618">
        <v>6.0255522711297298E-2</v>
      </c>
      <c r="L1618">
        <v>747.40302807806995</v>
      </c>
      <c r="M1618">
        <v>15.060246857987901</v>
      </c>
      <c r="N1618">
        <v>49.627553064813497</v>
      </c>
      <c r="O1618">
        <v>48.777204255478701</v>
      </c>
      <c r="P1618">
        <v>-7.7196638595086506E-2</v>
      </c>
      <c r="Q1618">
        <v>0</v>
      </c>
      <c r="R1618">
        <v>0.96557611323595205</v>
      </c>
      <c r="S1618" t="s">
        <v>8020</v>
      </c>
      <c r="T1618" t="s">
        <v>12802</v>
      </c>
      <c r="U1618" t="s">
        <v>12802</v>
      </c>
      <c r="V1618" t="s">
        <v>12802</v>
      </c>
      <c r="W1618" t="s">
        <v>14381</v>
      </c>
      <c r="X1618">
        <v>4</v>
      </c>
      <c r="Y1618" t="s">
        <v>20688</v>
      </c>
      <c r="Z1618" t="s">
        <v>26936</v>
      </c>
      <c r="AA1618">
        <v>0.44193710647397899</v>
      </c>
      <c r="AB1618" t="str">
        <f>HYPERLINK("Melting_Curves/meltCurve_O60293_2_ZFC3H1.pdf", "Melting_Curves/meltCurve_O60293_2_ZFC3H1.pdf")</f>
        <v>Melting_Curves/meltCurve_O60293_2_ZFC3H1.pdf</v>
      </c>
    </row>
    <row r="1619" spans="1:28" x14ac:dyDescent="0.25">
      <c r="A1619" t="s">
        <v>1623</v>
      </c>
      <c r="B1619">
        <v>0.99542014353169495</v>
      </c>
      <c r="C1619">
        <v>0.97311091741058997</v>
      </c>
      <c r="D1619">
        <v>0.84028197322671005</v>
      </c>
      <c r="E1619">
        <v>0.75816376662865803</v>
      </c>
      <c r="F1619">
        <v>0.240648803353114</v>
      </c>
      <c r="G1619">
        <v>0.1111905819113</v>
      </c>
      <c r="H1619">
        <v>8.3845738210142406E-2</v>
      </c>
      <c r="I1619">
        <v>9.0636339149914896E-2</v>
      </c>
      <c r="J1619">
        <v>7.4237836928252393E-2</v>
      </c>
      <c r="K1619">
        <v>3.8867030287482403E-2</v>
      </c>
      <c r="L1619">
        <v>1299.4958755314301</v>
      </c>
      <c r="M1619">
        <v>27.1055317394318</v>
      </c>
      <c r="N1619">
        <v>48.185563701474798</v>
      </c>
      <c r="O1619">
        <v>47.683424129339201</v>
      </c>
      <c r="P1619">
        <v>-0.13301865984392999</v>
      </c>
      <c r="Q1619">
        <v>6.3995763636793906E-2</v>
      </c>
      <c r="R1619">
        <v>0.98676241312863699</v>
      </c>
      <c r="S1619" t="s">
        <v>8021</v>
      </c>
      <c r="T1619" t="s">
        <v>12802</v>
      </c>
      <c r="U1619" t="s">
        <v>12802</v>
      </c>
      <c r="V1619" t="s">
        <v>12802</v>
      </c>
      <c r="W1619" t="s">
        <v>14382</v>
      </c>
      <c r="X1619">
        <v>6</v>
      </c>
      <c r="Y1619" t="s">
        <v>20689</v>
      </c>
      <c r="Z1619" t="s">
        <v>26937</v>
      </c>
      <c r="AA1619">
        <v>0.41217621056182652</v>
      </c>
      <c r="AB1619" t="str">
        <f>HYPERLINK("Melting_Curves/meltCurve_O60294_LCMT2.pdf", "Melting_Curves/meltCurve_O60294_LCMT2.pdf")</f>
        <v>Melting_Curves/meltCurve_O60294_LCMT2.pdf</v>
      </c>
    </row>
    <row r="1620" spans="1:28" x14ac:dyDescent="0.25">
      <c r="A1620" t="s">
        <v>1624</v>
      </c>
      <c r="B1620">
        <v>0.99542014353169495</v>
      </c>
      <c r="C1620">
        <v>0.85156618781118298</v>
      </c>
      <c r="D1620">
        <v>0.65858211651032295</v>
      </c>
      <c r="E1620">
        <v>0.37153737128040498</v>
      </c>
      <c r="F1620">
        <v>0.23253287102029299</v>
      </c>
      <c r="G1620">
        <v>0.12723347676774099</v>
      </c>
      <c r="H1620">
        <v>7.8791619878303701E-2</v>
      </c>
      <c r="I1620">
        <v>6.3569485188655198E-2</v>
      </c>
      <c r="J1620">
        <v>6.7174169650677101E-2</v>
      </c>
      <c r="K1620">
        <v>6.8452331613981093E-2</v>
      </c>
      <c r="L1620">
        <v>665.93942842926697</v>
      </c>
      <c r="M1620">
        <v>14.9180702933213</v>
      </c>
      <c r="N1620">
        <v>45.000541560264203</v>
      </c>
      <c r="O1620">
        <v>43.8606917516694</v>
      </c>
      <c r="P1620">
        <v>-8.0246929192325706E-2</v>
      </c>
      <c r="Q1620">
        <v>5.6360061207678003E-2</v>
      </c>
      <c r="R1620">
        <v>0.997806116588425</v>
      </c>
      <c r="S1620" t="s">
        <v>8022</v>
      </c>
      <c r="T1620" t="s">
        <v>12802</v>
      </c>
      <c r="U1620" t="s">
        <v>12802</v>
      </c>
      <c r="V1620" t="s">
        <v>12802</v>
      </c>
      <c r="W1620" t="s">
        <v>14383</v>
      </c>
      <c r="X1620">
        <v>18</v>
      </c>
      <c r="Y1620" t="s">
        <v>20690</v>
      </c>
      <c r="Z1620" t="s">
        <v>26938</v>
      </c>
      <c r="AA1620">
        <v>0.31967952139039713</v>
      </c>
      <c r="AB1620" t="str">
        <f>HYPERLINK("Melting_Curves/meltCurve_O60306_AQR.pdf", "Melting_Curves/meltCurve_O60306_AQR.pdf")</f>
        <v>Melting_Curves/meltCurve_O60306_AQR.pdf</v>
      </c>
    </row>
    <row r="1621" spans="1:28" x14ac:dyDescent="0.25">
      <c r="A1621" t="s">
        <v>1625</v>
      </c>
      <c r="B1621">
        <v>0.99542014353169495</v>
      </c>
      <c r="C1621">
        <v>1.01108464948185</v>
      </c>
      <c r="D1621">
        <v>0.99328732880531401</v>
      </c>
      <c r="E1621">
        <v>0.70995513724367998</v>
      </c>
      <c r="F1621">
        <v>0.41094827845867898</v>
      </c>
      <c r="G1621">
        <v>0.20014568126120999</v>
      </c>
      <c r="H1621">
        <v>0.165102814863616</v>
      </c>
      <c r="I1621">
        <v>0.14248581635619201</v>
      </c>
      <c r="J1621">
        <v>0.15996250246134799</v>
      </c>
      <c r="K1621">
        <v>0.158555233688047</v>
      </c>
      <c r="L1621">
        <v>1141.85477126252</v>
      </c>
      <c r="M1621">
        <v>23.695477554544802</v>
      </c>
      <c r="N1621">
        <v>48.918950934023698</v>
      </c>
      <c r="O1621">
        <v>47.849442452503801</v>
      </c>
      <c r="P1621">
        <v>-0.105362284035554</v>
      </c>
      <c r="Q1621">
        <v>0.14896120312199601</v>
      </c>
      <c r="R1621">
        <v>0.99724039702002898</v>
      </c>
      <c r="S1621" t="s">
        <v>8023</v>
      </c>
      <c r="T1621" t="s">
        <v>12802</v>
      </c>
      <c r="U1621" t="s">
        <v>12802</v>
      </c>
      <c r="V1621" t="s">
        <v>12802</v>
      </c>
      <c r="W1621" t="s">
        <v>14384</v>
      </c>
      <c r="X1621">
        <v>3</v>
      </c>
      <c r="Y1621" t="s">
        <v>20691</v>
      </c>
      <c r="Z1621" t="s">
        <v>26939</v>
      </c>
      <c r="AA1621">
        <v>0.4744416409063939</v>
      </c>
      <c r="AB1621" t="str">
        <f>HYPERLINK("Melting_Curves/meltCurve_O60307_MAST3.pdf", "Melting_Curves/meltCurve_O60307_MAST3.pdf")</f>
        <v>Melting_Curves/meltCurve_O60307_MAST3.pdf</v>
      </c>
    </row>
    <row r="1622" spans="1:28" x14ac:dyDescent="0.25">
      <c r="A1622" t="s">
        <v>1626</v>
      </c>
      <c r="B1622">
        <v>0.99542014353169495</v>
      </c>
      <c r="C1622">
        <v>1.2553084921469799</v>
      </c>
      <c r="D1622">
        <v>1.01247991486482</v>
      </c>
      <c r="E1622">
        <v>0.75148856071950798</v>
      </c>
      <c r="F1622">
        <v>0.30035455584579102</v>
      </c>
      <c r="G1622">
        <v>0.15700491729173799</v>
      </c>
      <c r="H1622">
        <v>3.31187324881764E-2</v>
      </c>
      <c r="I1622">
        <v>4.1445171772202902E-2</v>
      </c>
      <c r="J1622">
        <v>4.65538689367666E-2</v>
      </c>
      <c r="K1622">
        <v>0</v>
      </c>
      <c r="L1622">
        <v>1317.9498414961199</v>
      </c>
      <c r="M1622">
        <v>27.156096771068</v>
      </c>
      <c r="N1622">
        <v>48.666731529899899</v>
      </c>
      <c r="O1622">
        <v>48.271492827062303</v>
      </c>
      <c r="P1622">
        <v>-0.135564629912035</v>
      </c>
      <c r="Q1622">
        <v>3.6114378844110097E-2</v>
      </c>
      <c r="R1622">
        <v>0.96599279554276396</v>
      </c>
      <c r="S1622" t="s">
        <v>8024</v>
      </c>
      <c r="T1622" t="s">
        <v>12802</v>
      </c>
      <c r="U1622" t="s">
        <v>12802</v>
      </c>
      <c r="V1622" t="s">
        <v>12802</v>
      </c>
      <c r="W1622" t="s">
        <v>14385</v>
      </c>
      <c r="X1622">
        <v>1</v>
      </c>
      <c r="Y1622" t="s">
        <v>20692</v>
      </c>
      <c r="Z1622" t="s">
        <v>26940</v>
      </c>
      <c r="AA1622">
        <v>0.41367448495672587</v>
      </c>
      <c r="AB1622" t="str">
        <f>HYPERLINK("Melting_Curves/meltCurve_O60308_3_CEP104.pdf", "Melting_Curves/meltCurve_O60308_3_CEP104.pdf")</f>
        <v>Melting_Curves/meltCurve_O60308_3_CEP104.pdf</v>
      </c>
    </row>
    <row r="1623" spans="1:28" x14ac:dyDescent="0.25">
      <c r="A1623" t="s">
        <v>1627</v>
      </c>
      <c r="B1623">
        <v>0.99542014353169495</v>
      </c>
      <c r="C1623">
        <v>0.94149047097995497</v>
      </c>
      <c r="D1623">
        <v>0.98807794122186099</v>
      </c>
      <c r="E1623">
        <v>0.78361569269402398</v>
      </c>
      <c r="F1623">
        <v>0.36836473921857799</v>
      </c>
      <c r="G1623">
        <v>0.119326682245253</v>
      </c>
      <c r="H1623">
        <v>7.3558231123621601E-2</v>
      </c>
      <c r="I1623">
        <v>4.6191745264731202E-2</v>
      </c>
      <c r="J1623">
        <v>4.8155471895424601E-2</v>
      </c>
      <c r="K1623">
        <v>5.1411928548187102E-2</v>
      </c>
      <c r="L1623">
        <v>1264.3812022976999</v>
      </c>
      <c r="M1623">
        <v>25.8815546316583</v>
      </c>
      <c r="N1623">
        <v>49.037566802513602</v>
      </c>
      <c r="O1623">
        <v>48.563731276131399</v>
      </c>
      <c r="P1623">
        <v>-0.12704035336335001</v>
      </c>
      <c r="Q1623">
        <v>4.6504959572575E-2</v>
      </c>
      <c r="R1623">
        <v>0.99788345075203999</v>
      </c>
      <c r="S1623" t="s">
        <v>8025</v>
      </c>
      <c r="T1623" t="s">
        <v>12802</v>
      </c>
      <c r="U1623" t="s">
        <v>12802</v>
      </c>
      <c r="V1623" t="s">
        <v>12802</v>
      </c>
      <c r="W1623" t="s">
        <v>14386</v>
      </c>
      <c r="X1623">
        <v>41</v>
      </c>
      <c r="Y1623" t="s">
        <v>20693</v>
      </c>
      <c r="Z1623" t="s">
        <v>26941</v>
      </c>
      <c r="AA1623">
        <v>0.43090254032167252</v>
      </c>
      <c r="AB1623" t="str">
        <f>HYPERLINK("Melting_Curves/meltCurve_O60313_2_OPA1.pdf", "Melting_Curves/meltCurve_O60313_2_OPA1.pdf")</f>
        <v>Melting_Curves/meltCurve_O60313_2_OPA1.pdf</v>
      </c>
    </row>
    <row r="1624" spans="1:28" x14ac:dyDescent="0.25">
      <c r="A1624" t="s">
        <v>1628</v>
      </c>
      <c r="B1624">
        <v>0.99542014353169495</v>
      </c>
      <c r="C1624">
        <v>0.87205599258399702</v>
      </c>
      <c r="D1624">
        <v>0.94894937219790698</v>
      </c>
      <c r="E1624">
        <v>0.72607843631458502</v>
      </c>
      <c r="F1624">
        <v>0.56622852465187401</v>
      </c>
      <c r="G1624">
        <v>0.294738296416236</v>
      </c>
      <c r="H1624">
        <v>0.235871081914863</v>
      </c>
      <c r="I1624">
        <v>0.191033132702389</v>
      </c>
      <c r="J1624">
        <v>0.21454876742861201</v>
      </c>
      <c r="K1624">
        <v>0.23170310027027299</v>
      </c>
      <c r="L1624">
        <v>784.67474363438703</v>
      </c>
      <c r="M1624">
        <v>16.030795983209</v>
      </c>
      <c r="N1624">
        <v>50.383173408723401</v>
      </c>
      <c r="O1624">
        <v>48.2052748755248</v>
      </c>
      <c r="P1624">
        <v>-6.7904242384924401E-2</v>
      </c>
      <c r="Q1624">
        <v>0.18329997402097001</v>
      </c>
      <c r="R1624">
        <v>0.97955172578905803</v>
      </c>
      <c r="S1624" t="s">
        <v>8026</v>
      </c>
      <c r="T1624" t="s">
        <v>12802</v>
      </c>
      <c r="U1624" t="s">
        <v>12802</v>
      </c>
      <c r="V1624" t="s">
        <v>12802</v>
      </c>
      <c r="W1624" t="s">
        <v>14387</v>
      </c>
      <c r="X1624">
        <v>7</v>
      </c>
      <c r="Y1624" t="s">
        <v>20694</v>
      </c>
      <c r="Z1624" t="s">
        <v>26942</v>
      </c>
      <c r="AA1624">
        <v>0.52437181222834883</v>
      </c>
      <c r="AB1624" t="str">
        <f>HYPERLINK("Melting_Curves/meltCurve_O60315_2_ZEB2.pdf", "Melting_Curves/meltCurve_O60315_2_ZEB2.pdf")</f>
        <v>Melting_Curves/meltCurve_O60315_2_ZEB2.pdf</v>
      </c>
    </row>
    <row r="1625" spans="1:28" x14ac:dyDescent="0.25">
      <c r="A1625" t="s">
        <v>1629</v>
      </c>
      <c r="B1625">
        <v>0.99542014353169495</v>
      </c>
      <c r="C1625">
        <v>0.98678398592626004</v>
      </c>
      <c r="D1625">
        <v>0.945187638207728</v>
      </c>
      <c r="E1625">
        <v>0.57679018795596204</v>
      </c>
      <c r="F1625">
        <v>0.31737545235369402</v>
      </c>
      <c r="G1625">
        <v>0.133621230298027</v>
      </c>
      <c r="H1625">
        <v>8.6989600085748797E-2</v>
      </c>
      <c r="I1625">
        <v>5.7935675612470899E-2</v>
      </c>
      <c r="J1625">
        <v>6.3224687235115706E-2</v>
      </c>
      <c r="K1625">
        <v>6.3005251480194605E-2</v>
      </c>
      <c r="L1625">
        <v>983.77956326413096</v>
      </c>
      <c r="M1625">
        <v>20.7393367821577</v>
      </c>
      <c r="N1625">
        <v>47.730663881280698</v>
      </c>
      <c r="O1625">
        <v>47.0010232066642</v>
      </c>
      <c r="P1625">
        <v>-0.10367582447765</v>
      </c>
      <c r="Q1625">
        <v>6.0195177474070598E-2</v>
      </c>
      <c r="R1625">
        <v>0.99702747410169101</v>
      </c>
      <c r="S1625" t="s">
        <v>8027</v>
      </c>
      <c r="T1625" t="s">
        <v>12802</v>
      </c>
      <c r="U1625" t="s">
        <v>12802</v>
      </c>
      <c r="V1625" t="s">
        <v>12802</v>
      </c>
      <c r="W1625" t="s">
        <v>14388</v>
      </c>
      <c r="X1625">
        <v>9</v>
      </c>
      <c r="Y1625" t="s">
        <v>20695</v>
      </c>
      <c r="Z1625" t="s">
        <v>26943</v>
      </c>
      <c r="AA1625">
        <v>0.39858989739645501</v>
      </c>
      <c r="AB1625" t="str">
        <f>HYPERLINK("Melting_Curves/meltCurve_O60333_2_KIF1B.pdf", "Melting_Curves/meltCurve_O60333_2_KIF1B.pdf")</f>
        <v>Melting_Curves/meltCurve_O60333_2_KIF1B.pdf</v>
      </c>
    </row>
    <row r="1626" spans="1:28" x14ac:dyDescent="0.25">
      <c r="A1626" t="s">
        <v>1630</v>
      </c>
      <c r="B1626">
        <v>0.99542014353169495</v>
      </c>
      <c r="C1626">
        <v>1.0863206407282699</v>
      </c>
      <c r="D1626">
        <v>0.98527274197739301</v>
      </c>
      <c r="E1626">
        <v>0.76323930212959701</v>
      </c>
      <c r="F1626">
        <v>0.63732964239622203</v>
      </c>
      <c r="G1626">
        <v>0.34304984892568202</v>
      </c>
      <c r="H1626">
        <v>0.18955389981368101</v>
      </c>
      <c r="I1626">
        <v>0.13350396770894199</v>
      </c>
      <c r="J1626">
        <v>0.11294364659763</v>
      </c>
      <c r="K1626">
        <v>0.110310379922564</v>
      </c>
      <c r="L1626">
        <v>830.95008267183402</v>
      </c>
      <c r="M1626">
        <v>16.3281361088567</v>
      </c>
      <c r="N1626">
        <v>51.4457122546523</v>
      </c>
      <c r="O1626">
        <v>50.145715204794001</v>
      </c>
      <c r="P1626">
        <v>-7.4834984215350203E-2</v>
      </c>
      <c r="Q1626">
        <v>8.0756725749639199E-2</v>
      </c>
      <c r="R1626">
        <v>0.98797561940464496</v>
      </c>
      <c r="S1626" t="s">
        <v>8028</v>
      </c>
      <c r="T1626" t="s">
        <v>12802</v>
      </c>
      <c r="U1626" t="s">
        <v>12802</v>
      </c>
      <c r="V1626" t="s">
        <v>12802</v>
      </c>
      <c r="W1626" t="s">
        <v>14389</v>
      </c>
      <c r="X1626">
        <v>2</v>
      </c>
      <c r="Y1626" t="s">
        <v>20696</v>
      </c>
      <c r="Z1626" t="s">
        <v>26944</v>
      </c>
      <c r="AA1626">
        <v>0.52292279196460989</v>
      </c>
      <c r="AB1626" t="str">
        <f>HYPERLINK("Melting_Curves/meltCurve_O60337_5_MARCH6.pdf", "Melting_Curves/meltCurve_O60337_5_MARCH6.pdf")</f>
        <v>Melting_Curves/meltCurve_O60337_5_MARCH6.pdf</v>
      </c>
    </row>
    <row r="1627" spans="1:28" x14ac:dyDescent="0.25">
      <c r="A1627" t="s">
        <v>1631</v>
      </c>
      <c r="B1627">
        <v>0.99542014353169495</v>
      </c>
      <c r="C1627">
        <v>0.82330711894305397</v>
      </c>
      <c r="D1627">
        <v>0.74603639902778096</v>
      </c>
      <c r="E1627">
        <v>0.43438683888612101</v>
      </c>
      <c r="F1627">
        <v>0.19933118500931901</v>
      </c>
      <c r="G1627">
        <v>0.101068501437328</v>
      </c>
      <c r="H1627">
        <v>6.3357232534982794E-2</v>
      </c>
      <c r="I1627">
        <v>4.5395473801198398E-2</v>
      </c>
      <c r="J1627">
        <v>5.34616235411218E-2</v>
      </c>
      <c r="K1627">
        <v>5.4396867913360097E-2</v>
      </c>
      <c r="L1627">
        <v>686.97057943565301</v>
      </c>
      <c r="M1627">
        <v>15.1223078111594</v>
      </c>
      <c r="N1627">
        <v>45.616853778862101</v>
      </c>
      <c r="O1627">
        <v>44.655450064793399</v>
      </c>
      <c r="P1627">
        <v>-8.2095343258906703E-2</v>
      </c>
      <c r="Q1627">
        <v>3.0400436574847301E-2</v>
      </c>
      <c r="R1627">
        <v>0.99359973056922801</v>
      </c>
      <c r="S1627" t="s">
        <v>8029</v>
      </c>
      <c r="T1627" t="s">
        <v>12802</v>
      </c>
      <c r="U1627" t="s">
        <v>12802</v>
      </c>
      <c r="V1627" t="s">
        <v>12802</v>
      </c>
      <c r="W1627" t="s">
        <v>14390</v>
      </c>
      <c r="X1627">
        <v>22</v>
      </c>
      <c r="Y1627" t="s">
        <v>20697</v>
      </c>
      <c r="Z1627" t="s">
        <v>26945</v>
      </c>
      <c r="AA1627">
        <v>0.3251571365514852</v>
      </c>
      <c r="AB1627" t="str">
        <f>HYPERLINK("Melting_Curves/meltCurve_O60341_KDM1A.pdf", "Melting_Curves/meltCurve_O60341_KDM1A.pdf")</f>
        <v>Melting_Curves/meltCurve_O60341_KDM1A.pdf</v>
      </c>
    </row>
    <row r="1628" spans="1:28" x14ac:dyDescent="0.25">
      <c r="A1628" t="s">
        <v>1632</v>
      </c>
      <c r="B1628">
        <v>0.99542014353169495</v>
      </c>
      <c r="C1628">
        <v>0.93128680114956597</v>
      </c>
      <c r="D1628">
        <v>0.83620639037470401</v>
      </c>
      <c r="E1628">
        <v>0.58612796315744697</v>
      </c>
      <c r="F1628">
        <v>0.370122446701525</v>
      </c>
      <c r="G1628">
        <v>0.14013653931051201</v>
      </c>
      <c r="H1628">
        <v>0.106160534325089</v>
      </c>
      <c r="I1628">
        <v>8.7105565306917002E-2</v>
      </c>
      <c r="J1628">
        <v>7.8700297874190903E-2</v>
      </c>
      <c r="K1628">
        <v>8.0945394909637799E-2</v>
      </c>
      <c r="L1628">
        <v>733.99477247327604</v>
      </c>
      <c r="M1628">
        <v>15.489573056431601</v>
      </c>
      <c r="N1628">
        <v>47.750000220470497</v>
      </c>
      <c r="O1628">
        <v>46.617636096556602</v>
      </c>
      <c r="P1628">
        <v>-7.8452935058095793E-2</v>
      </c>
      <c r="Q1628">
        <v>5.5631893929645598E-2</v>
      </c>
      <c r="R1628">
        <v>0.99693956200081302</v>
      </c>
      <c r="S1628" t="s">
        <v>8030</v>
      </c>
      <c r="T1628" t="s">
        <v>12802</v>
      </c>
      <c r="U1628" t="s">
        <v>12802</v>
      </c>
      <c r="V1628" t="s">
        <v>12802</v>
      </c>
      <c r="W1628" t="s">
        <v>14391</v>
      </c>
      <c r="X1628">
        <v>10</v>
      </c>
      <c r="Y1628" t="s">
        <v>20698</v>
      </c>
      <c r="Z1628" t="s">
        <v>26946</v>
      </c>
      <c r="AA1628">
        <v>0.40250360552336029</v>
      </c>
      <c r="AB1628" t="str">
        <f>HYPERLINK("Melting_Curves/meltCurve_O60343_2_TBC1D4.pdf", "Melting_Curves/meltCurve_O60343_2_TBC1D4.pdf")</f>
        <v>Melting_Curves/meltCurve_O60343_2_TBC1D4.pdf</v>
      </c>
    </row>
    <row r="1629" spans="1:28" x14ac:dyDescent="0.25">
      <c r="A1629" t="s">
        <v>1633</v>
      </c>
      <c r="B1629">
        <v>0.99542014353169495</v>
      </c>
      <c r="C1629">
        <v>0.96377150926554001</v>
      </c>
      <c r="D1629">
        <v>0.80170906004666598</v>
      </c>
      <c r="E1629">
        <v>0.264565807905774</v>
      </c>
      <c r="F1629">
        <v>9.5230414709087496E-2</v>
      </c>
      <c r="G1629">
        <v>4.1868890182206499E-2</v>
      </c>
      <c r="H1629">
        <v>2.8018072349016199E-2</v>
      </c>
      <c r="I1629">
        <v>2.3126286529176698E-2</v>
      </c>
      <c r="J1629">
        <v>2.42411533562716E-2</v>
      </c>
      <c r="K1629">
        <v>2.6643369227556099E-2</v>
      </c>
      <c r="L1629">
        <v>1326.4115643156999</v>
      </c>
      <c r="M1629">
        <v>29.5432570507405</v>
      </c>
      <c r="N1629">
        <v>44.991893170971302</v>
      </c>
      <c r="O1629">
        <v>44.693077239892098</v>
      </c>
      <c r="P1629">
        <v>-0.160281011486099</v>
      </c>
      <c r="Q1629">
        <v>3.0113677790762801E-2</v>
      </c>
      <c r="R1629">
        <v>0.99930235913607401</v>
      </c>
      <c r="S1629" t="s">
        <v>8031</v>
      </c>
      <c r="T1629" t="s">
        <v>12802</v>
      </c>
      <c r="U1629" t="s">
        <v>12802</v>
      </c>
      <c r="V1629" t="s">
        <v>12802</v>
      </c>
      <c r="W1629" t="s">
        <v>14392</v>
      </c>
      <c r="X1629">
        <v>4</v>
      </c>
      <c r="Y1629" t="s">
        <v>20699</v>
      </c>
      <c r="Z1629" t="s">
        <v>26947</v>
      </c>
      <c r="AA1629">
        <v>0.29104046450049642</v>
      </c>
      <c r="AB1629" t="str">
        <f>HYPERLINK("Melting_Curves/meltCurve_O60344_4_ECE2.pdf", "Melting_Curves/meltCurve_O60344_4_ECE2.pdf")</f>
        <v>Melting_Curves/meltCurve_O60344_4_ECE2.pdf</v>
      </c>
    </row>
    <row r="1630" spans="1:28" x14ac:dyDescent="0.25">
      <c r="A1630" t="s">
        <v>1634</v>
      </c>
      <c r="B1630">
        <v>0.99542014353169495</v>
      </c>
      <c r="C1630">
        <v>0.96385511435396398</v>
      </c>
      <c r="D1630">
        <v>0.91224070734802398</v>
      </c>
      <c r="E1630">
        <v>0.74484716838995602</v>
      </c>
      <c r="F1630">
        <v>0.521430731664835</v>
      </c>
      <c r="G1630">
        <v>0.24314790230598499</v>
      </c>
      <c r="H1630">
        <v>9.6050275952144798E-2</v>
      </c>
      <c r="I1630">
        <v>6.3997110263523005E-2</v>
      </c>
      <c r="J1630">
        <v>6.1875881864961402E-2</v>
      </c>
      <c r="K1630">
        <v>7.3823429821280304E-2</v>
      </c>
      <c r="L1630">
        <v>803.54550104281702</v>
      </c>
      <c r="M1630">
        <v>16.1329461518683</v>
      </c>
      <c r="N1630">
        <v>49.989937700801001</v>
      </c>
      <c r="O1630">
        <v>49.061308533358797</v>
      </c>
      <c r="P1630">
        <v>-7.9867077859020794E-2</v>
      </c>
      <c r="Q1630">
        <v>2.8550436742635799E-2</v>
      </c>
      <c r="R1630">
        <v>0.99676013739648395</v>
      </c>
      <c r="S1630" t="s">
        <v>8032</v>
      </c>
      <c r="T1630" t="s">
        <v>12802</v>
      </c>
      <c r="U1630" t="s">
        <v>12802</v>
      </c>
      <c r="V1630" t="s">
        <v>12802</v>
      </c>
      <c r="W1630" t="s">
        <v>14393</v>
      </c>
      <c r="X1630">
        <v>13</v>
      </c>
      <c r="Y1630" t="s">
        <v>20700</v>
      </c>
      <c r="Z1630" t="s">
        <v>26948</v>
      </c>
      <c r="AA1630">
        <v>0.46158579215554341</v>
      </c>
      <c r="AB1630" t="str">
        <f>HYPERLINK("Melting_Curves/meltCurve_O60427_FADS1.pdf", "Melting_Curves/meltCurve_O60427_FADS1.pdf")</f>
        <v>Melting_Curves/meltCurve_O60427_FADS1.pdf</v>
      </c>
    </row>
    <row r="1631" spans="1:28" x14ac:dyDescent="0.25">
      <c r="A1631" t="s">
        <v>1635</v>
      </c>
      <c r="B1631">
        <v>0.99542014353169495</v>
      </c>
      <c r="C1631">
        <v>0.96543546184231499</v>
      </c>
      <c r="D1631">
        <v>1.0186535370465699</v>
      </c>
      <c r="E1631">
        <v>0.89760024070810496</v>
      </c>
      <c r="F1631">
        <v>0.71768667758819404</v>
      </c>
      <c r="G1631">
        <v>0.36230816120611598</v>
      </c>
      <c r="H1631">
        <v>0.141805062237992</v>
      </c>
      <c r="I1631">
        <v>8.1176348405597898E-2</v>
      </c>
      <c r="J1631">
        <v>7.6417969944932995E-2</v>
      </c>
      <c r="K1631">
        <v>9.0071531104620503E-2</v>
      </c>
      <c r="L1631">
        <v>1174.8814540661001</v>
      </c>
      <c r="M1631">
        <v>22.625841122271101</v>
      </c>
      <c r="N1631">
        <v>52.236140913322103</v>
      </c>
      <c r="O1631">
        <v>51.526003648166899</v>
      </c>
      <c r="P1631">
        <v>-0.10289206304436201</v>
      </c>
      <c r="Q1631">
        <v>6.2751126061107304E-2</v>
      </c>
      <c r="R1631">
        <v>0.99724398017812899</v>
      </c>
      <c r="S1631" t="s">
        <v>8033</v>
      </c>
      <c r="T1631" t="s">
        <v>12802</v>
      </c>
      <c r="U1631" t="s">
        <v>12802</v>
      </c>
      <c r="V1631" t="s">
        <v>12802</v>
      </c>
      <c r="W1631" t="s">
        <v>14394</v>
      </c>
      <c r="X1631">
        <v>8</v>
      </c>
      <c r="Y1631" t="s">
        <v>20701</v>
      </c>
      <c r="Z1631" t="s">
        <v>26949</v>
      </c>
      <c r="AA1631">
        <v>0.53897492882176645</v>
      </c>
      <c r="AB1631" t="str">
        <f>HYPERLINK("Melting_Curves/meltCurve_O60476_MAN1A2.pdf", "Melting_Curves/meltCurve_O60476_MAN1A2.pdf")</f>
        <v>Melting_Curves/meltCurve_O60476_MAN1A2.pdf</v>
      </c>
    </row>
    <row r="1632" spans="1:28" x14ac:dyDescent="0.25">
      <c r="A1632" t="s">
        <v>1636</v>
      </c>
      <c r="B1632">
        <v>0.99542014353169495</v>
      </c>
      <c r="C1632">
        <v>0.90103602111957903</v>
      </c>
      <c r="D1632">
        <v>0.92591915296977501</v>
      </c>
      <c r="E1632">
        <v>0.439382946602007</v>
      </c>
      <c r="F1632">
        <v>0.19935973894165501</v>
      </c>
      <c r="G1632">
        <v>0.100982535227502</v>
      </c>
      <c r="H1632">
        <v>7.0238476805070102E-2</v>
      </c>
      <c r="I1632">
        <v>5.2220042054647801E-2</v>
      </c>
      <c r="J1632">
        <v>5.02798765308324E-2</v>
      </c>
      <c r="K1632">
        <v>5.3115564403893797E-2</v>
      </c>
      <c r="L1632">
        <v>1169.7882306727199</v>
      </c>
      <c r="M1632">
        <v>25.350784189482599</v>
      </c>
      <c r="N1632">
        <v>46.383289017370103</v>
      </c>
      <c r="O1632">
        <v>45.859808927798099</v>
      </c>
      <c r="P1632">
        <v>-0.12973013393726601</v>
      </c>
      <c r="Q1632">
        <v>6.12798883443239E-2</v>
      </c>
      <c r="R1632">
        <v>0.99183386553428299</v>
      </c>
      <c r="S1632" t="s">
        <v>8034</v>
      </c>
      <c r="T1632" t="s">
        <v>12802</v>
      </c>
      <c r="U1632" t="s">
        <v>12802</v>
      </c>
      <c r="V1632" t="s">
        <v>12802</v>
      </c>
      <c r="W1632" t="s">
        <v>14395</v>
      </c>
      <c r="X1632">
        <v>12</v>
      </c>
      <c r="Y1632" t="s">
        <v>20702</v>
      </c>
      <c r="Z1632" t="s">
        <v>26950</v>
      </c>
      <c r="AA1632">
        <v>0.35497695624624948</v>
      </c>
      <c r="AB1632" t="str">
        <f>HYPERLINK("Melting_Curves/meltCurve_O60488_2_ACSL4.pdf", "Melting_Curves/meltCurve_O60488_2_ACSL4.pdf")</f>
        <v>Melting_Curves/meltCurve_O60488_2_ACSL4.pdf</v>
      </c>
    </row>
    <row r="1633" spans="1:28" x14ac:dyDescent="0.25">
      <c r="A1633" t="s">
        <v>1637</v>
      </c>
      <c r="B1633">
        <v>0.99542014353169495</v>
      </c>
      <c r="C1633">
        <v>0.99997602266631602</v>
      </c>
      <c r="D1633">
        <v>0.77712635587604195</v>
      </c>
      <c r="E1633">
        <v>0.40638620827583299</v>
      </c>
      <c r="F1633">
        <v>0.20169566519958801</v>
      </c>
      <c r="G1633">
        <v>0.126410148853174</v>
      </c>
      <c r="H1633">
        <v>9.0386073505754394E-2</v>
      </c>
      <c r="I1633">
        <v>6.2674677365516296E-2</v>
      </c>
      <c r="J1633">
        <v>8.7963651411626806E-2</v>
      </c>
      <c r="K1633">
        <v>8.1053685112019394E-2</v>
      </c>
      <c r="L1633">
        <v>987.39433676832505</v>
      </c>
      <c r="M1633">
        <v>21.753994203545599</v>
      </c>
      <c r="N1633">
        <v>45.768675301956499</v>
      </c>
      <c r="O1633">
        <v>45.010751653607997</v>
      </c>
      <c r="P1633">
        <v>-0.110856589484218</v>
      </c>
      <c r="Q1633">
        <v>8.2536378725887205E-2</v>
      </c>
      <c r="R1633">
        <v>0.99765949316254998</v>
      </c>
      <c r="S1633" t="s">
        <v>8035</v>
      </c>
      <c r="T1633" t="s">
        <v>12802</v>
      </c>
      <c r="U1633" t="s">
        <v>12802</v>
      </c>
      <c r="V1633" t="s">
        <v>12802</v>
      </c>
      <c r="W1633" t="s">
        <v>14396</v>
      </c>
      <c r="X1633">
        <v>14</v>
      </c>
      <c r="Y1633" t="s">
        <v>20703</v>
      </c>
      <c r="Z1633" t="s">
        <v>26951</v>
      </c>
      <c r="AA1633">
        <v>0.34918350645184598</v>
      </c>
      <c r="AB1633" t="str">
        <f>HYPERLINK("Melting_Curves/meltCurve_O60493_SNX3.pdf", "Melting_Curves/meltCurve_O60493_SNX3.pdf")</f>
        <v>Melting_Curves/meltCurve_O60493_SNX3.pdf</v>
      </c>
    </row>
    <row r="1634" spans="1:28" x14ac:dyDescent="0.25">
      <c r="A1634" t="s">
        <v>1638</v>
      </c>
      <c r="B1634">
        <v>0.99542014353169495</v>
      </c>
      <c r="C1634">
        <v>0.94556942183812998</v>
      </c>
      <c r="D1634">
        <v>0.93167665893210905</v>
      </c>
      <c r="E1634">
        <v>0.79321028359634504</v>
      </c>
      <c r="F1634">
        <v>0.58350830284621402</v>
      </c>
      <c r="G1634">
        <v>0.266618513340104</v>
      </c>
      <c r="H1634">
        <v>7.3465079881829307E-2</v>
      </c>
      <c r="I1634">
        <v>4.7566677369645399E-2</v>
      </c>
      <c r="J1634">
        <v>4.44092649670704E-2</v>
      </c>
      <c r="K1634">
        <v>4.7845917279087102E-2</v>
      </c>
      <c r="L1634">
        <v>873.637398711591</v>
      </c>
      <c r="M1634">
        <v>17.249912642493001</v>
      </c>
      <c r="N1634">
        <v>50.679293403543397</v>
      </c>
      <c r="O1634">
        <v>49.979942794039601</v>
      </c>
      <c r="P1634">
        <v>-8.5801632529296498E-2</v>
      </c>
      <c r="Q1634">
        <v>5.6502466052953003E-3</v>
      </c>
      <c r="R1634">
        <v>0.99467770769285002</v>
      </c>
      <c r="S1634" t="s">
        <v>8036</v>
      </c>
      <c r="T1634" t="s">
        <v>12802</v>
      </c>
      <c r="U1634" t="s">
        <v>12802</v>
      </c>
      <c r="V1634" t="s">
        <v>12802</v>
      </c>
      <c r="W1634" t="s">
        <v>14397</v>
      </c>
      <c r="X1634">
        <v>15</v>
      </c>
      <c r="Y1634" t="s">
        <v>20704</v>
      </c>
      <c r="Z1634" t="s">
        <v>26952</v>
      </c>
      <c r="AA1634">
        <v>0.47453150474451478</v>
      </c>
      <c r="AB1634" t="str">
        <f>HYPERLINK("Melting_Curves/meltCurve_O60502_MGEA5.pdf", "Melting_Curves/meltCurve_O60502_MGEA5.pdf")</f>
        <v>Melting_Curves/meltCurve_O60502_MGEA5.pdf</v>
      </c>
    </row>
    <row r="1635" spans="1:28" x14ac:dyDescent="0.25">
      <c r="A1635" t="s">
        <v>1639</v>
      </c>
      <c r="B1635">
        <v>0.99542014353169495</v>
      </c>
      <c r="C1635">
        <v>0.97507885886421597</v>
      </c>
      <c r="D1635">
        <v>0.92140377214868596</v>
      </c>
      <c r="E1635">
        <v>0.79251606935735197</v>
      </c>
      <c r="F1635">
        <v>0.53391352830435501</v>
      </c>
      <c r="G1635">
        <v>0.209098218171656</v>
      </c>
      <c r="H1635">
        <v>0.107945476213264</v>
      </c>
      <c r="I1635">
        <v>7.2739142898307504E-2</v>
      </c>
      <c r="J1635">
        <v>7.8820369544376101E-2</v>
      </c>
      <c r="K1635">
        <v>9.1893246206292203E-2</v>
      </c>
      <c r="L1635">
        <v>964.792058546048</v>
      </c>
      <c r="M1635">
        <v>19.3628895333458</v>
      </c>
      <c r="N1635">
        <v>50.144951678727502</v>
      </c>
      <c r="O1635">
        <v>49.304544824590799</v>
      </c>
      <c r="P1635">
        <v>-9.25095914581687E-2</v>
      </c>
      <c r="Q1635">
        <v>5.7790810628045898E-2</v>
      </c>
      <c r="R1635">
        <v>0.99628518447470604</v>
      </c>
      <c r="S1635" t="s">
        <v>8037</v>
      </c>
      <c r="T1635" t="s">
        <v>12802</v>
      </c>
      <c r="U1635" t="s">
        <v>12802</v>
      </c>
      <c r="V1635" t="s">
        <v>12802</v>
      </c>
      <c r="W1635" t="s">
        <v>14398</v>
      </c>
      <c r="X1635">
        <v>19</v>
      </c>
      <c r="Y1635" t="s">
        <v>20705</v>
      </c>
      <c r="Z1635" t="s">
        <v>26953</v>
      </c>
      <c r="AA1635">
        <v>0.47378003293834048</v>
      </c>
      <c r="AB1635" t="str">
        <f>HYPERLINK("Melting_Curves/meltCurve_O60506_3_SYNCRIP.pdf", "Melting_Curves/meltCurve_O60506_3_SYNCRIP.pdf")</f>
        <v>Melting_Curves/meltCurve_O60506_3_SYNCRIP.pdf</v>
      </c>
    </row>
    <row r="1636" spans="1:28" x14ac:dyDescent="0.25">
      <c r="A1636" t="s">
        <v>1640</v>
      </c>
      <c r="B1636">
        <v>0.99542014353169495</v>
      </c>
      <c r="C1636">
        <v>1.07966253514718</v>
      </c>
      <c r="D1636">
        <v>0.62699663005728301</v>
      </c>
      <c r="E1636">
        <v>0.45331457343093201</v>
      </c>
      <c r="F1636">
        <v>0.35727461753227002</v>
      </c>
      <c r="G1636">
        <v>0.22204293967015301</v>
      </c>
      <c r="H1636">
        <v>9.0739005752104598E-2</v>
      </c>
      <c r="I1636">
        <v>2.27752780412806E-2</v>
      </c>
      <c r="J1636">
        <v>8.9654381736595498E-2</v>
      </c>
      <c r="K1636">
        <v>8.7132447962713397E-2</v>
      </c>
      <c r="L1636">
        <v>647.36812310994901</v>
      </c>
      <c r="M1636">
        <v>14.068438226554401</v>
      </c>
      <c r="N1636">
        <v>46.4568236494259</v>
      </c>
      <c r="O1636">
        <v>45.1158134290812</v>
      </c>
      <c r="P1636">
        <v>-7.3092026178813496E-2</v>
      </c>
      <c r="Q1636">
        <v>6.2531874548302002E-2</v>
      </c>
      <c r="R1636">
        <v>0.95443448708351597</v>
      </c>
      <c r="S1636" t="s">
        <v>8038</v>
      </c>
      <c r="T1636" t="s">
        <v>12802</v>
      </c>
      <c r="U1636" t="s">
        <v>12802</v>
      </c>
      <c r="V1636" t="s">
        <v>12802</v>
      </c>
      <c r="W1636" t="s">
        <v>14399</v>
      </c>
      <c r="X1636">
        <v>1</v>
      </c>
      <c r="Y1636" t="s">
        <v>20706</v>
      </c>
      <c r="Z1636" t="s">
        <v>26954</v>
      </c>
      <c r="AA1636">
        <v>0.36862446408121569</v>
      </c>
      <c r="AB1636" t="str">
        <f>HYPERLINK("Melting_Curves/meltCurve_O60512_B4GALT3.pdf", "Melting_Curves/meltCurve_O60512_B4GALT3.pdf")</f>
        <v>Melting_Curves/meltCurve_O60512_B4GALT3.pdf</v>
      </c>
    </row>
    <row r="1637" spans="1:28" x14ac:dyDescent="0.25">
      <c r="A1637" t="s">
        <v>1641</v>
      </c>
      <c r="B1637">
        <v>0.99542014353169495</v>
      </c>
      <c r="C1637">
        <v>0.803340990562456</v>
      </c>
      <c r="D1637">
        <v>0.77899270153938505</v>
      </c>
      <c r="E1637">
        <v>0.38586490434473603</v>
      </c>
      <c r="F1637">
        <v>0.25656290991346098</v>
      </c>
      <c r="G1637">
        <v>0.12564651446123901</v>
      </c>
      <c r="H1637">
        <v>7.4594705704294398E-2</v>
      </c>
      <c r="I1637">
        <v>5.0518972157335897E-2</v>
      </c>
      <c r="J1637">
        <v>0</v>
      </c>
      <c r="K1637">
        <v>0</v>
      </c>
      <c r="L1637">
        <v>608.58246558408098</v>
      </c>
      <c r="M1637">
        <v>13.2921040862872</v>
      </c>
      <c r="N1637">
        <v>45.785261799738699</v>
      </c>
      <c r="O1637">
        <v>44.786191439317399</v>
      </c>
      <c r="P1637">
        <v>-7.4209596887565898E-2</v>
      </c>
      <c r="Q1637">
        <v>0</v>
      </c>
      <c r="R1637">
        <v>0.98660645417647896</v>
      </c>
      <c r="S1637" t="s">
        <v>8039</v>
      </c>
      <c r="T1637" t="s">
        <v>12802</v>
      </c>
      <c r="U1637" t="s">
        <v>12802</v>
      </c>
      <c r="V1637" t="s">
        <v>12802</v>
      </c>
      <c r="W1637" t="s">
        <v>14400</v>
      </c>
      <c r="X1637">
        <v>3</v>
      </c>
      <c r="Y1637" t="s">
        <v>20707</v>
      </c>
      <c r="Z1637" t="s">
        <v>26955</v>
      </c>
      <c r="AA1637">
        <v>0.32192803204809728</v>
      </c>
      <c r="AB1637" t="str">
        <f>HYPERLINK("Melting_Curves/meltCurve_O60518_RANBP6.pdf", "Melting_Curves/meltCurve_O60518_RANBP6.pdf")</f>
        <v>Melting_Curves/meltCurve_O60518_RANBP6.pdf</v>
      </c>
    </row>
    <row r="1638" spans="1:28" x14ac:dyDescent="0.25">
      <c r="A1638" t="s">
        <v>1642</v>
      </c>
      <c r="B1638">
        <v>0.99542014353169495</v>
      </c>
      <c r="C1638">
        <v>0.96990158607951005</v>
      </c>
      <c r="D1638">
        <v>0.98782901330080897</v>
      </c>
      <c r="E1638">
        <v>0.74386879808904705</v>
      </c>
      <c r="F1638">
        <v>0.220910186366675</v>
      </c>
      <c r="G1638">
        <v>7.1130012741923099E-2</v>
      </c>
      <c r="H1638">
        <v>4.6927121042103601E-2</v>
      </c>
      <c r="I1638">
        <v>2.82998255965431E-2</v>
      </c>
      <c r="J1638">
        <v>2.3554209426242499E-2</v>
      </c>
      <c r="K1638">
        <v>3.0810206113232302E-2</v>
      </c>
      <c r="L1638">
        <v>1571.8703691968001</v>
      </c>
      <c r="M1638">
        <v>32.711585248124997</v>
      </c>
      <c r="N1638">
        <v>48.151984569556703</v>
      </c>
      <c r="O1638">
        <v>47.873896604225003</v>
      </c>
      <c r="P1638">
        <v>-0.16523503084654001</v>
      </c>
      <c r="Q1638">
        <v>3.2708799085715903E-2</v>
      </c>
      <c r="R1638">
        <v>0.99931851209008304</v>
      </c>
      <c r="S1638" t="s">
        <v>8040</v>
      </c>
      <c r="T1638" t="s">
        <v>12802</v>
      </c>
      <c r="U1638" t="s">
        <v>12802</v>
      </c>
      <c r="V1638" t="s">
        <v>12802</v>
      </c>
      <c r="W1638" t="s">
        <v>14401</v>
      </c>
      <c r="X1638">
        <v>14</v>
      </c>
      <c r="Y1638" t="s">
        <v>20708</v>
      </c>
      <c r="Z1638" t="s">
        <v>26956</v>
      </c>
      <c r="AA1638">
        <v>0.39389069267065718</v>
      </c>
      <c r="AB1638" t="str">
        <f>HYPERLINK("Melting_Curves/meltCurve_O60524_4_NEMF.pdf", "Melting_Curves/meltCurve_O60524_4_NEMF.pdf")</f>
        <v>Melting_Curves/meltCurve_O60524_4_NEMF.pdf</v>
      </c>
    </row>
    <row r="1639" spans="1:28" x14ac:dyDescent="0.25">
      <c r="A1639" t="s">
        <v>1643</v>
      </c>
      <c r="B1639">
        <v>0.99542014353169495</v>
      </c>
      <c r="C1639">
        <v>0.90524326067651995</v>
      </c>
      <c r="D1639">
        <v>0.92824938121682199</v>
      </c>
      <c r="E1639">
        <v>0.84068194364836202</v>
      </c>
      <c r="F1639">
        <v>0.73711463731691995</v>
      </c>
      <c r="G1639">
        <v>0.65758975554701304</v>
      </c>
      <c r="H1639">
        <v>0.37649141532736902</v>
      </c>
      <c r="I1639">
        <v>9.6458270200080395E-2</v>
      </c>
      <c r="J1639">
        <v>7.6512040562515496E-2</v>
      </c>
      <c r="K1639">
        <v>7.5260612201563104E-2</v>
      </c>
      <c r="L1639">
        <v>760.42204093449095</v>
      </c>
      <c r="M1639">
        <v>13.904559764194801</v>
      </c>
      <c r="N1639">
        <v>54.688681655158497</v>
      </c>
      <c r="O1639">
        <v>53.594740458048697</v>
      </c>
      <c r="P1639">
        <v>-6.4868536855049397E-2</v>
      </c>
      <c r="Q1639">
        <v>0</v>
      </c>
      <c r="R1639">
        <v>0.96897170502948604</v>
      </c>
      <c r="S1639" t="s">
        <v>8041</v>
      </c>
      <c r="T1639" t="s">
        <v>12802</v>
      </c>
      <c r="U1639" t="s">
        <v>12802</v>
      </c>
      <c r="V1639" t="s">
        <v>12802</v>
      </c>
      <c r="W1639" t="s">
        <v>14402</v>
      </c>
      <c r="X1639">
        <v>9</v>
      </c>
      <c r="Y1639" t="s">
        <v>20709</v>
      </c>
      <c r="Z1639" t="s">
        <v>26957</v>
      </c>
      <c r="AA1639">
        <v>0.60488648629446773</v>
      </c>
      <c r="AB1639" t="str">
        <f>HYPERLINK("Melting_Curves/meltCurve_O60547_2_GMDS.pdf", "Melting_Curves/meltCurve_O60547_2_GMDS.pdf")</f>
        <v>Melting_Curves/meltCurve_O60547_2_GMDS.pdf</v>
      </c>
    </row>
    <row r="1640" spans="1:28" x14ac:dyDescent="0.25">
      <c r="A1640" t="s">
        <v>1644</v>
      </c>
      <c r="B1640">
        <v>0.99542014353169495</v>
      </c>
      <c r="C1640">
        <v>0.87175826581204796</v>
      </c>
      <c r="D1640">
        <v>0.89402867141400499</v>
      </c>
      <c r="E1640">
        <v>0.62617991852465704</v>
      </c>
      <c r="F1640">
        <v>0.475407226872885</v>
      </c>
      <c r="G1640">
        <v>0.25059297903802003</v>
      </c>
      <c r="H1640">
        <v>8.6389269570740501E-2</v>
      </c>
      <c r="I1640">
        <v>4.8152921858312603E-2</v>
      </c>
      <c r="J1640">
        <v>5.4536318798455698E-2</v>
      </c>
      <c r="K1640">
        <v>5.5277672184667198E-2</v>
      </c>
      <c r="L1640">
        <v>624.752622388953</v>
      </c>
      <c r="M1640">
        <v>12.742219196506801</v>
      </c>
      <c r="N1640">
        <v>49.030126771942697</v>
      </c>
      <c r="O1640">
        <v>47.869584764929897</v>
      </c>
      <c r="P1640">
        <v>-6.6559239839081602E-2</v>
      </c>
      <c r="Q1640">
        <v>0</v>
      </c>
      <c r="R1640">
        <v>0.98904007218017798</v>
      </c>
      <c r="S1640" t="s">
        <v>8042</v>
      </c>
      <c r="T1640" t="s">
        <v>12802</v>
      </c>
      <c r="U1640" t="s">
        <v>12802</v>
      </c>
      <c r="V1640" t="s">
        <v>12802</v>
      </c>
      <c r="W1640" t="s">
        <v>14403</v>
      </c>
      <c r="X1640">
        <v>7</v>
      </c>
      <c r="Y1640" t="s">
        <v>20710</v>
      </c>
      <c r="Z1640" t="s">
        <v>26958</v>
      </c>
      <c r="AA1640">
        <v>0.42835934968815792</v>
      </c>
      <c r="AB1640" t="str">
        <f>HYPERLINK("Melting_Curves/meltCurve_O60563_CCNT1.pdf", "Melting_Curves/meltCurve_O60563_CCNT1.pdf")</f>
        <v>Melting_Curves/meltCurve_O60563_CCNT1.pdf</v>
      </c>
    </row>
    <row r="1641" spans="1:28" x14ac:dyDescent="0.25">
      <c r="A1641" t="s">
        <v>1645</v>
      </c>
      <c r="B1641">
        <v>0.99542014353169495</v>
      </c>
      <c r="C1641">
        <v>0.99832111253227096</v>
      </c>
      <c r="D1641">
        <v>1.00247318621804</v>
      </c>
      <c r="E1641">
        <v>0.61678412770824997</v>
      </c>
      <c r="F1641">
        <v>0.226775063576657</v>
      </c>
      <c r="G1641">
        <v>0.123190316321923</v>
      </c>
      <c r="H1641">
        <v>8.1791195939242098E-2</v>
      </c>
      <c r="I1641">
        <v>6.0298704543547001E-2</v>
      </c>
      <c r="J1641">
        <v>5.9904765611012198E-2</v>
      </c>
      <c r="K1641">
        <v>5.9492381439353002E-2</v>
      </c>
      <c r="L1641">
        <v>1385.3161062033701</v>
      </c>
      <c r="M1641">
        <v>29.287718565672801</v>
      </c>
      <c r="N1641">
        <v>47.548854232132399</v>
      </c>
      <c r="O1641">
        <v>47.081388305281003</v>
      </c>
      <c r="P1641">
        <v>-0.14447701325175999</v>
      </c>
      <c r="Q1641">
        <v>7.0992664253978696E-2</v>
      </c>
      <c r="R1641">
        <v>0.99754717105016999</v>
      </c>
      <c r="S1641" t="s">
        <v>8043</v>
      </c>
      <c r="T1641" t="s">
        <v>12802</v>
      </c>
      <c r="U1641" t="s">
        <v>12802</v>
      </c>
      <c r="V1641" t="s">
        <v>12802</v>
      </c>
      <c r="W1641" t="s">
        <v>14404</v>
      </c>
      <c r="X1641">
        <v>25</v>
      </c>
      <c r="Y1641" t="s">
        <v>20711</v>
      </c>
      <c r="Z1641" t="s">
        <v>26959</v>
      </c>
      <c r="AA1641">
        <v>0.39565914978525413</v>
      </c>
      <c r="AB1641" t="str">
        <f>HYPERLINK("Melting_Curves/meltCurve_O60566_BUB1B.pdf", "Melting_Curves/meltCurve_O60566_BUB1B.pdf")</f>
        <v>Melting_Curves/meltCurve_O60566_BUB1B.pdf</v>
      </c>
    </row>
    <row r="1642" spans="1:28" x14ac:dyDescent="0.25">
      <c r="A1642" t="s">
        <v>1646</v>
      </c>
      <c r="B1642">
        <v>0.99542014353169495</v>
      </c>
      <c r="C1642">
        <v>0.860639007610013</v>
      </c>
      <c r="D1642">
        <v>0.87973324883183401</v>
      </c>
      <c r="E1642">
        <v>0.71891281936678697</v>
      </c>
      <c r="F1642">
        <v>0.69730108266429702</v>
      </c>
      <c r="G1642">
        <v>0.39523989935809001</v>
      </c>
      <c r="H1642">
        <v>8.9851115386742897E-2</v>
      </c>
      <c r="I1642">
        <v>4.4044755511509E-2</v>
      </c>
      <c r="J1642">
        <v>3.7708092195373397E-2</v>
      </c>
      <c r="K1642">
        <v>4.1559097681141403E-2</v>
      </c>
      <c r="L1642">
        <v>718.00117022678398</v>
      </c>
      <c r="M1642">
        <v>13.9809366110717</v>
      </c>
      <c r="N1642">
        <v>51.355727605794101</v>
      </c>
      <c r="O1642">
        <v>50.339283270740097</v>
      </c>
      <c r="P1642">
        <v>-6.9442767539538694E-2</v>
      </c>
      <c r="Q1642">
        <v>0</v>
      </c>
      <c r="R1642">
        <v>0.961141797732739</v>
      </c>
      <c r="S1642" t="s">
        <v>8044</v>
      </c>
      <c r="T1642" t="s">
        <v>12802</v>
      </c>
      <c r="U1642" t="s">
        <v>12802</v>
      </c>
      <c r="V1642" t="s">
        <v>12802</v>
      </c>
      <c r="W1642" t="s">
        <v>14405</v>
      </c>
      <c r="X1642">
        <v>16</v>
      </c>
      <c r="Y1642" t="s">
        <v>20712</v>
      </c>
      <c r="Z1642" t="s">
        <v>26960</v>
      </c>
      <c r="AA1642">
        <v>0.50008252770731898</v>
      </c>
      <c r="AB1642" t="str">
        <f>HYPERLINK("Melting_Curves/meltCurve_O60568_PLOD3.pdf", "Melting_Curves/meltCurve_O60568_PLOD3.pdf")</f>
        <v>Melting_Curves/meltCurve_O60568_PLOD3.pdf</v>
      </c>
    </row>
    <row r="1643" spans="1:28" x14ac:dyDescent="0.25">
      <c r="A1643" t="s">
        <v>1647</v>
      </c>
      <c r="B1643">
        <v>0.99542014353169495</v>
      </c>
      <c r="C1643">
        <v>0.87024615365588198</v>
      </c>
      <c r="D1643">
        <v>0.89896104097516005</v>
      </c>
      <c r="E1643">
        <v>0.74317495343557305</v>
      </c>
      <c r="F1643">
        <v>0.62246598402743403</v>
      </c>
      <c r="G1643">
        <v>0.19844843669197401</v>
      </c>
      <c r="H1643">
        <v>0.10740723723982</v>
      </c>
      <c r="I1643">
        <v>6.5119395178850695E-2</v>
      </c>
      <c r="J1643">
        <v>7.83219566238436E-2</v>
      </c>
      <c r="K1643">
        <v>7.9326547481637005E-2</v>
      </c>
      <c r="L1643">
        <v>785.42930657847501</v>
      </c>
      <c r="M1643">
        <v>15.6496245072245</v>
      </c>
      <c r="N1643">
        <v>50.341238318875099</v>
      </c>
      <c r="O1643">
        <v>49.390315465545903</v>
      </c>
      <c r="P1643">
        <v>-7.7382745747796605E-2</v>
      </c>
      <c r="Q1643">
        <v>2.3201800118470801E-2</v>
      </c>
      <c r="R1643">
        <v>0.973501772462527</v>
      </c>
      <c r="S1643" t="s">
        <v>8045</v>
      </c>
      <c r="T1643" t="s">
        <v>12802</v>
      </c>
      <c r="U1643" t="s">
        <v>12802</v>
      </c>
      <c r="V1643" t="s">
        <v>12802</v>
      </c>
      <c r="W1643" t="s">
        <v>14406</v>
      </c>
      <c r="X1643">
        <v>3</v>
      </c>
      <c r="Y1643" t="s">
        <v>20713</v>
      </c>
      <c r="Z1643" t="s">
        <v>26961</v>
      </c>
      <c r="AA1643">
        <v>0.47169682915189087</v>
      </c>
      <c r="AB1643" t="str">
        <f>HYPERLINK("Melting_Curves/meltCurve_O60613_SEP15.pdf", "Melting_Curves/meltCurve_O60613_SEP15.pdf")</f>
        <v>Melting_Curves/meltCurve_O60613_SEP15.pdf</v>
      </c>
    </row>
    <row r="1644" spans="1:28" x14ac:dyDescent="0.25">
      <c r="A1644" t="s">
        <v>1648</v>
      </c>
      <c r="B1644">
        <v>0.99542014353169495</v>
      </c>
      <c r="C1644">
        <v>0.86434527187808796</v>
      </c>
      <c r="D1644">
        <v>0.93633176580398803</v>
      </c>
      <c r="E1644">
        <v>0.55312897028526598</v>
      </c>
      <c r="F1644">
        <v>0.20956059578589101</v>
      </c>
      <c r="G1644">
        <v>0.119145166483381</v>
      </c>
      <c r="H1644">
        <v>7.5926812248687095E-2</v>
      </c>
      <c r="I1644">
        <v>6.1359335830148701E-2</v>
      </c>
      <c r="J1644">
        <v>5.8130916308131997E-2</v>
      </c>
      <c r="K1644">
        <v>6.5889231403648094E-2</v>
      </c>
      <c r="L1644">
        <v>1113.8383521518799</v>
      </c>
      <c r="M1644">
        <v>23.792341360577701</v>
      </c>
      <c r="N1644">
        <v>47.080078404685402</v>
      </c>
      <c r="O1644">
        <v>46.488040551999198</v>
      </c>
      <c r="P1644">
        <v>-0.119929840460124</v>
      </c>
      <c r="Q1644">
        <v>6.2688059012452502E-2</v>
      </c>
      <c r="R1644">
        <v>0.98862557378062799</v>
      </c>
      <c r="S1644" t="s">
        <v>8046</v>
      </c>
      <c r="T1644" t="s">
        <v>12802</v>
      </c>
      <c r="U1644" t="s">
        <v>12802</v>
      </c>
      <c r="V1644" t="s">
        <v>12802</v>
      </c>
      <c r="W1644" t="s">
        <v>14407</v>
      </c>
      <c r="X1644">
        <v>14</v>
      </c>
      <c r="Y1644" t="s">
        <v>20714</v>
      </c>
      <c r="Z1644" t="s">
        <v>26962</v>
      </c>
      <c r="AA1644">
        <v>0.3780199634881512</v>
      </c>
      <c r="AB1644" t="str">
        <f>HYPERLINK("Melting_Curves/meltCurve_O60645_3_EXOC3.pdf", "Melting_Curves/meltCurve_O60645_3_EXOC3.pdf")</f>
        <v>Melting_Curves/meltCurve_O60645_3_EXOC3.pdf</v>
      </c>
    </row>
    <row r="1645" spans="1:28" x14ac:dyDescent="0.25">
      <c r="A1645" t="s">
        <v>1649</v>
      </c>
      <c r="B1645">
        <v>0.99542014353169495</v>
      </c>
      <c r="C1645">
        <v>1.10929479045182</v>
      </c>
      <c r="D1645">
        <v>0.88070531174770705</v>
      </c>
      <c r="E1645">
        <v>0.94225617494046099</v>
      </c>
      <c r="F1645">
        <v>0.80047943040647196</v>
      </c>
      <c r="G1645">
        <v>0.59057246936496799</v>
      </c>
      <c r="H1645">
        <v>0.28544708053770301</v>
      </c>
      <c r="I1645">
        <v>0.20612587469992599</v>
      </c>
      <c r="J1645">
        <v>0.28016850958657102</v>
      </c>
      <c r="K1645">
        <v>0.399922172611483</v>
      </c>
      <c r="L1645">
        <v>1323.86183065262</v>
      </c>
      <c r="M1645">
        <v>25.234788165188299</v>
      </c>
      <c r="N1645">
        <v>54.197349078074303</v>
      </c>
      <c r="O1645">
        <v>52.135649299983299</v>
      </c>
      <c r="P1645">
        <v>-8.7470207146863196E-2</v>
      </c>
      <c r="Q1645">
        <v>0.27714757423879499</v>
      </c>
      <c r="R1645">
        <v>0.943492478277699</v>
      </c>
      <c r="S1645" t="s">
        <v>8047</v>
      </c>
      <c r="T1645" t="s">
        <v>12802</v>
      </c>
      <c r="U1645" t="s">
        <v>12802</v>
      </c>
      <c r="V1645" t="s">
        <v>12802</v>
      </c>
      <c r="W1645" t="s">
        <v>14408</v>
      </c>
      <c r="X1645">
        <v>22</v>
      </c>
      <c r="Y1645" t="s">
        <v>20715</v>
      </c>
      <c r="Z1645" t="s">
        <v>26963</v>
      </c>
      <c r="AA1645">
        <v>0.6559981787551209</v>
      </c>
      <c r="AB1645" t="str">
        <f>HYPERLINK("Melting_Curves/meltCurve_O60664_PLIN3.pdf", "Melting_Curves/meltCurve_O60664_PLIN3.pdf")</f>
        <v>Melting_Curves/meltCurve_O60664_PLIN3.pdf</v>
      </c>
    </row>
    <row r="1646" spans="1:28" x14ac:dyDescent="0.25">
      <c r="A1646" t="s">
        <v>1650</v>
      </c>
      <c r="B1646">
        <v>0.99542014353169495</v>
      </c>
      <c r="C1646">
        <v>1.01879139824628</v>
      </c>
      <c r="D1646">
        <v>0.95291843266159504</v>
      </c>
      <c r="E1646">
        <v>0.89959077145353905</v>
      </c>
      <c r="F1646">
        <v>0.66390177745734902</v>
      </c>
      <c r="G1646">
        <v>0.321588103589316</v>
      </c>
      <c r="H1646">
        <v>0.203055144425242</v>
      </c>
      <c r="I1646">
        <v>0.130954677704304</v>
      </c>
      <c r="J1646">
        <v>9.3909073647828703E-2</v>
      </c>
      <c r="K1646">
        <v>0.155122965144919</v>
      </c>
      <c r="L1646">
        <v>1133.4100897576</v>
      </c>
      <c r="M1646">
        <v>22.161359884998699</v>
      </c>
      <c r="N1646">
        <v>51.759789143467202</v>
      </c>
      <c r="O1646">
        <v>50.7325293716966</v>
      </c>
      <c r="P1646">
        <v>-9.6545427319620597E-2</v>
      </c>
      <c r="Q1646">
        <v>0.115958631828659</v>
      </c>
      <c r="R1646">
        <v>0.99672586333672097</v>
      </c>
      <c r="S1646" t="s">
        <v>8048</v>
      </c>
      <c r="T1646" t="s">
        <v>12802</v>
      </c>
      <c r="U1646" t="s">
        <v>12802</v>
      </c>
      <c r="V1646" t="s">
        <v>12802</v>
      </c>
      <c r="W1646" t="s">
        <v>14409</v>
      </c>
      <c r="X1646">
        <v>2</v>
      </c>
      <c r="Y1646" t="s">
        <v>20716</v>
      </c>
      <c r="Z1646" t="s">
        <v>26964</v>
      </c>
      <c r="AA1646">
        <v>0.54244376046472476</v>
      </c>
      <c r="AB1646" t="str">
        <f>HYPERLINK("Melting_Curves/meltCurve_O60671_RAD1.pdf", "Melting_Curves/meltCurve_O60671_RAD1.pdf")</f>
        <v>Melting_Curves/meltCurve_O60671_RAD1.pdf</v>
      </c>
    </row>
    <row r="1647" spans="1:28" x14ac:dyDescent="0.25">
      <c r="A1647" t="s">
        <v>1651</v>
      </c>
      <c r="B1647">
        <v>0.99542014353169495</v>
      </c>
      <c r="C1647">
        <v>0.91573834553835098</v>
      </c>
      <c r="D1647">
        <v>0.97221341152325902</v>
      </c>
      <c r="E1647">
        <v>0.81497708460719798</v>
      </c>
      <c r="F1647">
        <v>0.54546671912709199</v>
      </c>
      <c r="G1647">
        <v>0.102728660717915</v>
      </c>
      <c r="H1647">
        <v>4.8234179903019099E-2</v>
      </c>
      <c r="I1647">
        <v>2.0570929009790299E-2</v>
      </c>
      <c r="J1647">
        <v>2.1924834164773001E-2</v>
      </c>
      <c r="K1647">
        <v>1.9653969486691701E-2</v>
      </c>
      <c r="L1647">
        <v>1215.9909348162</v>
      </c>
      <c r="M1647">
        <v>24.270355217428101</v>
      </c>
      <c r="N1647">
        <v>50.120443041914001</v>
      </c>
      <c r="O1647">
        <v>49.765481537232397</v>
      </c>
      <c r="P1647">
        <v>-0.121380564847857</v>
      </c>
      <c r="Q1647">
        <v>4.4693275773996502E-3</v>
      </c>
      <c r="R1647">
        <v>0.99093503044273101</v>
      </c>
      <c r="S1647" t="s">
        <v>8049</v>
      </c>
      <c r="T1647" t="s">
        <v>12802</v>
      </c>
      <c r="U1647" t="s">
        <v>12802</v>
      </c>
      <c r="V1647" t="s">
        <v>12802</v>
      </c>
      <c r="W1647" t="s">
        <v>14410</v>
      </c>
      <c r="X1647">
        <v>11</v>
      </c>
      <c r="Y1647" t="s">
        <v>20717</v>
      </c>
      <c r="Z1647" t="s">
        <v>26965</v>
      </c>
      <c r="AA1647">
        <v>0.44846561501790477</v>
      </c>
      <c r="AB1647" t="str">
        <f>HYPERLINK("Melting_Curves/meltCurve_O60678_PRMT3.pdf", "Melting_Curves/meltCurve_O60678_PRMT3.pdf")</f>
        <v>Melting_Curves/meltCurve_O60678_PRMT3.pdf</v>
      </c>
    </row>
    <row r="1648" spans="1:28" x14ac:dyDescent="0.25">
      <c r="A1648" t="s">
        <v>1652</v>
      </c>
      <c r="B1648">
        <v>0.99542014353169495</v>
      </c>
      <c r="C1648">
        <v>0.88035309992117095</v>
      </c>
      <c r="D1648">
        <v>0.92536460703038403</v>
      </c>
      <c r="E1648">
        <v>0.69703790636264495</v>
      </c>
      <c r="F1648">
        <v>0.52771779782029304</v>
      </c>
      <c r="G1648">
        <v>0.21727807683970701</v>
      </c>
      <c r="H1648">
        <v>7.79565105263062E-2</v>
      </c>
      <c r="I1648">
        <v>4.7930518361712901E-2</v>
      </c>
      <c r="J1648">
        <v>5.3504363906898299E-2</v>
      </c>
      <c r="K1648">
        <v>4.6792949968975699E-2</v>
      </c>
      <c r="L1648">
        <v>730.14341828023396</v>
      </c>
      <c r="M1648">
        <v>14.6946260422982</v>
      </c>
      <c r="N1648">
        <v>49.687798121028401</v>
      </c>
      <c r="O1648">
        <v>48.794795183340902</v>
      </c>
      <c r="P1648">
        <v>-7.5296121302660696E-2</v>
      </c>
      <c r="Q1648">
        <v>0</v>
      </c>
      <c r="R1648">
        <v>0.98763612182307903</v>
      </c>
      <c r="S1648" t="s">
        <v>8050</v>
      </c>
      <c r="T1648" t="s">
        <v>12802</v>
      </c>
      <c r="U1648" t="s">
        <v>12802</v>
      </c>
      <c r="V1648" t="s">
        <v>12802</v>
      </c>
      <c r="W1648" t="s">
        <v>14411</v>
      </c>
      <c r="X1648">
        <v>17</v>
      </c>
      <c r="Y1648" t="s">
        <v>20718</v>
      </c>
      <c r="Z1648" t="s">
        <v>26966</v>
      </c>
      <c r="AA1648">
        <v>0.44468347254668389</v>
      </c>
      <c r="AB1648" t="str">
        <f>HYPERLINK("Melting_Curves/meltCurve_O60701_UGDH.pdf", "Melting_Curves/meltCurve_O60701_UGDH.pdf")</f>
        <v>Melting_Curves/meltCurve_O60701_UGDH.pdf</v>
      </c>
    </row>
    <row r="1649" spans="1:28" x14ac:dyDescent="0.25">
      <c r="A1649" t="s">
        <v>1653</v>
      </c>
      <c r="B1649">
        <v>0.99542014353169495</v>
      </c>
      <c r="C1649">
        <v>0.96891895533004702</v>
      </c>
      <c r="D1649">
        <v>0.93222241246611603</v>
      </c>
      <c r="E1649">
        <v>0.76254071931921197</v>
      </c>
      <c r="F1649">
        <v>0.54723266316863595</v>
      </c>
      <c r="G1649">
        <v>0.25314070608853301</v>
      </c>
      <c r="H1649">
        <v>0.14213226981303101</v>
      </c>
      <c r="I1649">
        <v>9.1974194048159499E-2</v>
      </c>
      <c r="J1649">
        <v>8.6660828951346899E-2</v>
      </c>
      <c r="K1649">
        <v>8.3973307642691106E-2</v>
      </c>
      <c r="L1649">
        <v>828.84186583781695</v>
      </c>
      <c r="M1649">
        <v>16.587317387046099</v>
      </c>
      <c r="N1649">
        <v>50.323725351813898</v>
      </c>
      <c r="O1649">
        <v>49.259074672097697</v>
      </c>
      <c r="P1649">
        <v>-7.9537679521928403E-2</v>
      </c>
      <c r="Q1649">
        <v>5.5257264325930297E-2</v>
      </c>
      <c r="R1649">
        <v>0.99776438107843901</v>
      </c>
      <c r="S1649" t="s">
        <v>8051</v>
      </c>
      <c r="T1649" t="s">
        <v>12802</v>
      </c>
      <c r="U1649" t="s">
        <v>12802</v>
      </c>
      <c r="V1649" t="s">
        <v>12802</v>
      </c>
      <c r="W1649" t="s">
        <v>14412</v>
      </c>
      <c r="X1649">
        <v>5</v>
      </c>
      <c r="Y1649" t="s">
        <v>20719</v>
      </c>
      <c r="Z1649" t="s">
        <v>26967</v>
      </c>
      <c r="AA1649">
        <v>0.48063513420227871</v>
      </c>
      <c r="AB1649" t="str">
        <f>HYPERLINK("Melting_Curves/meltCurve_O60704_TPST2.pdf", "Melting_Curves/meltCurve_O60704_TPST2.pdf")</f>
        <v>Melting_Curves/meltCurve_O60704_TPST2.pdf</v>
      </c>
    </row>
    <row r="1650" spans="1:28" x14ac:dyDescent="0.25">
      <c r="A1650" t="s">
        <v>1654</v>
      </c>
      <c r="B1650">
        <v>0.99542014353169495</v>
      </c>
      <c r="C1650">
        <v>0.93541497962647402</v>
      </c>
      <c r="D1650">
        <v>0.74320540380393496</v>
      </c>
      <c r="E1650">
        <v>0.23247991650849301</v>
      </c>
      <c r="F1650">
        <v>0.132091927404652</v>
      </c>
      <c r="G1650">
        <v>8.3450324130941306E-2</v>
      </c>
      <c r="H1650">
        <v>5.7052417703947401E-2</v>
      </c>
      <c r="I1650">
        <v>4.4236341659649403E-2</v>
      </c>
      <c r="J1650">
        <v>4.4083895238527598E-2</v>
      </c>
      <c r="K1650">
        <v>5.1946628655946001E-2</v>
      </c>
      <c r="L1650">
        <v>1236.6539508887699</v>
      </c>
      <c r="M1650">
        <v>27.865077073583301</v>
      </c>
      <c r="N1650">
        <v>44.579263925198603</v>
      </c>
      <c r="O1650">
        <v>44.153382654945801</v>
      </c>
      <c r="P1650">
        <v>-0.14854013025495399</v>
      </c>
      <c r="Q1650">
        <v>5.8535978763729797E-2</v>
      </c>
      <c r="R1650">
        <v>0.99738271159440095</v>
      </c>
      <c r="S1650" t="s">
        <v>8052</v>
      </c>
      <c r="T1650" t="s">
        <v>12802</v>
      </c>
      <c r="U1650" t="s">
        <v>12802</v>
      </c>
      <c r="V1650" t="s">
        <v>12802</v>
      </c>
      <c r="W1650" t="s">
        <v>14413</v>
      </c>
      <c r="X1650">
        <v>33</v>
      </c>
      <c r="Y1650" t="s">
        <v>20720</v>
      </c>
      <c r="Z1650" t="s">
        <v>26968</v>
      </c>
      <c r="AA1650">
        <v>0.2962645849473492</v>
      </c>
      <c r="AB1650" t="str">
        <f>HYPERLINK("Melting_Curves/meltCurve_O60716_5_CTNND1.pdf", "Melting_Curves/meltCurve_O60716_5_CTNND1.pdf")</f>
        <v>Melting_Curves/meltCurve_O60716_5_CTNND1.pdf</v>
      </c>
    </row>
    <row r="1651" spans="1:28" x14ac:dyDescent="0.25">
      <c r="A1651" t="s">
        <v>1655</v>
      </c>
      <c r="B1651">
        <v>0.99542014353169495</v>
      </c>
      <c r="C1651">
        <v>0.87598980909897195</v>
      </c>
      <c r="D1651">
        <v>0.87177362083730103</v>
      </c>
      <c r="E1651">
        <v>0.71157747002017102</v>
      </c>
      <c r="F1651">
        <v>0.36001599598366701</v>
      </c>
      <c r="G1651">
        <v>9.4426399769903899E-2</v>
      </c>
      <c r="H1651">
        <v>5.1227546087099202E-2</v>
      </c>
      <c r="I1651">
        <v>1.90211775268254E-2</v>
      </c>
      <c r="J1651">
        <v>1.9071870099585799E-2</v>
      </c>
      <c r="K1651">
        <v>0</v>
      </c>
      <c r="L1651">
        <v>882.67975851157905</v>
      </c>
      <c r="M1651">
        <v>18.213875279282199</v>
      </c>
      <c r="N1651">
        <v>48.461941567230397</v>
      </c>
      <c r="O1651">
        <v>47.889090452921003</v>
      </c>
      <c r="P1651">
        <v>-9.5088111323917895E-2</v>
      </c>
      <c r="Q1651">
        <v>0</v>
      </c>
      <c r="R1651">
        <v>0.98966951357055499</v>
      </c>
      <c r="S1651" t="s">
        <v>8053</v>
      </c>
      <c r="T1651" t="s">
        <v>12802</v>
      </c>
      <c r="U1651" t="s">
        <v>12802</v>
      </c>
      <c r="V1651" t="s">
        <v>12802</v>
      </c>
      <c r="W1651" t="s">
        <v>14414</v>
      </c>
      <c r="X1651">
        <v>1</v>
      </c>
      <c r="Y1651" t="s">
        <v>20721</v>
      </c>
      <c r="Z1651" t="s">
        <v>26969</v>
      </c>
      <c r="AA1651">
        <v>0.39768003258732298</v>
      </c>
      <c r="AB1651" t="str">
        <f>HYPERLINK("Melting_Curves/meltCurve_O60725_ICMT.pdf", "Melting_Curves/meltCurve_O60725_ICMT.pdf")</f>
        <v>Melting_Curves/meltCurve_O60725_ICMT.pdf</v>
      </c>
    </row>
    <row r="1652" spans="1:28" x14ac:dyDescent="0.25">
      <c r="A1652" t="s">
        <v>1656</v>
      </c>
      <c r="B1652">
        <v>0.99542014353169495</v>
      </c>
      <c r="C1652">
        <v>0.96657480020765396</v>
      </c>
      <c r="D1652">
        <v>0.86750984469719805</v>
      </c>
      <c r="E1652">
        <v>0.619050296519986</v>
      </c>
      <c r="F1652">
        <v>0.43224897509439297</v>
      </c>
      <c r="G1652">
        <v>0.23456979382708701</v>
      </c>
      <c r="H1652">
        <v>0.13041760436608901</v>
      </c>
      <c r="I1652">
        <v>8.5807361984914607E-2</v>
      </c>
      <c r="J1652">
        <v>9.0107498071467201E-2</v>
      </c>
      <c r="K1652">
        <v>0.114312448829037</v>
      </c>
      <c r="L1652">
        <v>703.220322755643</v>
      </c>
      <c r="M1652">
        <v>14.5993415288264</v>
      </c>
      <c r="N1652">
        <v>48.656728777366602</v>
      </c>
      <c r="O1652">
        <v>47.291278574322398</v>
      </c>
      <c r="P1652">
        <v>-7.1921954462399698E-2</v>
      </c>
      <c r="Q1652">
        <v>6.8204821688959194E-2</v>
      </c>
      <c r="R1652">
        <v>0.99704603845015705</v>
      </c>
      <c r="S1652" t="s">
        <v>8054</v>
      </c>
      <c r="T1652" t="s">
        <v>12802</v>
      </c>
      <c r="U1652" t="s">
        <v>12802</v>
      </c>
      <c r="V1652" t="s">
        <v>12802</v>
      </c>
      <c r="W1652" t="s">
        <v>14415</v>
      </c>
      <c r="X1652">
        <v>4</v>
      </c>
      <c r="Y1652" t="s">
        <v>20722</v>
      </c>
      <c r="Z1652" t="s">
        <v>26970</v>
      </c>
      <c r="AA1652">
        <v>0.43646046182280102</v>
      </c>
      <c r="AB1652" t="str">
        <f>HYPERLINK("Melting_Curves/meltCurve_O60732_MAGEC1.pdf", "Melting_Curves/meltCurve_O60732_MAGEC1.pdf")</f>
        <v>Melting_Curves/meltCurve_O60732_MAGEC1.pdf</v>
      </c>
    </row>
    <row r="1653" spans="1:28" x14ac:dyDescent="0.25">
      <c r="A1653" t="s">
        <v>1657</v>
      </c>
      <c r="B1653">
        <v>0.99542014353169495</v>
      </c>
      <c r="C1653">
        <v>0.93293594108154998</v>
      </c>
      <c r="D1653">
        <v>0.963839204783419</v>
      </c>
      <c r="E1653">
        <v>0.86059830983558605</v>
      </c>
      <c r="F1653">
        <v>0.85559488718670196</v>
      </c>
      <c r="G1653">
        <v>0.63573164530763004</v>
      </c>
      <c r="H1653">
        <v>0.50750366696332505</v>
      </c>
      <c r="I1653">
        <v>0.27536300730655999</v>
      </c>
      <c r="J1653">
        <v>0.322286770374132</v>
      </c>
      <c r="K1653">
        <v>0.26966577309341599</v>
      </c>
      <c r="L1653">
        <v>677.70186107310496</v>
      </c>
      <c r="M1653">
        <v>12.3314696922859</v>
      </c>
      <c r="N1653">
        <v>56.873377998598897</v>
      </c>
      <c r="O1653">
        <v>53.5718173743251</v>
      </c>
      <c r="P1653">
        <v>-4.77743390272607E-2</v>
      </c>
      <c r="Q1653">
        <v>0.16999237287559499</v>
      </c>
      <c r="R1653">
        <v>0.97643890400788003</v>
      </c>
      <c r="S1653" t="s">
        <v>8055</v>
      </c>
      <c r="T1653" t="s">
        <v>12802</v>
      </c>
      <c r="U1653" t="s">
        <v>12802</v>
      </c>
      <c r="V1653" t="s">
        <v>12802</v>
      </c>
      <c r="W1653" t="s">
        <v>14416</v>
      </c>
      <c r="X1653">
        <v>11</v>
      </c>
      <c r="Y1653" t="s">
        <v>20723</v>
      </c>
      <c r="Z1653" t="s">
        <v>26971</v>
      </c>
      <c r="AA1653">
        <v>0.67882391880069404</v>
      </c>
      <c r="AB1653" t="str">
        <f>HYPERLINK("Melting_Curves/meltCurve_O60739_EIF1B.pdf", "Melting_Curves/meltCurve_O60739_EIF1B.pdf")</f>
        <v>Melting_Curves/meltCurve_O60739_EIF1B.pdf</v>
      </c>
    </row>
    <row r="1654" spans="1:28" x14ac:dyDescent="0.25">
      <c r="A1654" t="s">
        <v>1658</v>
      </c>
      <c r="B1654">
        <v>0.99542014353169495</v>
      </c>
      <c r="C1654">
        <v>1.0599699678986501</v>
      </c>
      <c r="D1654">
        <v>0.98104947266458498</v>
      </c>
      <c r="E1654">
        <v>0.73575774018093598</v>
      </c>
      <c r="F1654">
        <v>0.290126314593941</v>
      </c>
      <c r="G1654">
        <v>9.7075137199332806E-2</v>
      </c>
      <c r="H1654">
        <v>6.1153333219635703E-2</v>
      </c>
      <c r="I1654">
        <v>4.2444452489808E-2</v>
      </c>
      <c r="J1654">
        <v>4.1957294731971198E-2</v>
      </c>
      <c r="K1654">
        <v>4.1861228519026898E-2</v>
      </c>
      <c r="L1654">
        <v>1344.19157008091</v>
      </c>
      <c r="M1654">
        <v>27.849808181788699</v>
      </c>
      <c r="N1654">
        <v>48.424598188180703</v>
      </c>
      <c r="O1654">
        <v>48.018946571816002</v>
      </c>
      <c r="P1654">
        <v>-0.13866594954637501</v>
      </c>
      <c r="Q1654">
        <v>4.3651055013708903E-2</v>
      </c>
      <c r="R1654">
        <v>0.99770197604940303</v>
      </c>
      <c r="S1654" t="s">
        <v>8056</v>
      </c>
      <c r="T1654" t="s">
        <v>12802</v>
      </c>
      <c r="U1654" t="s">
        <v>12802</v>
      </c>
      <c r="V1654" t="s">
        <v>12802</v>
      </c>
      <c r="W1654" t="s">
        <v>14417</v>
      </c>
      <c r="X1654">
        <v>22</v>
      </c>
      <c r="Y1654" t="s">
        <v>20724</v>
      </c>
      <c r="Z1654" t="s">
        <v>26972</v>
      </c>
      <c r="AA1654">
        <v>0.40938827611658518</v>
      </c>
      <c r="AB1654" t="str">
        <f>HYPERLINK("Melting_Curves/meltCurve_O60749_SNX2.pdf", "Melting_Curves/meltCurve_O60749_SNX2.pdf")</f>
        <v>Melting_Curves/meltCurve_O60749_SNX2.pdf</v>
      </c>
    </row>
    <row r="1655" spans="1:28" x14ac:dyDescent="0.25">
      <c r="A1655" t="s">
        <v>1659</v>
      </c>
      <c r="B1655">
        <v>0.99542014353169495</v>
      </c>
      <c r="C1655">
        <v>1.0068811627023999</v>
      </c>
      <c r="D1655">
        <v>1.03359128427326</v>
      </c>
      <c r="E1655">
        <v>0.91786314603658203</v>
      </c>
      <c r="F1655">
        <v>0.44502395945375101</v>
      </c>
      <c r="G1655">
        <v>0.13507146480252899</v>
      </c>
      <c r="H1655">
        <v>8.28660497509459E-2</v>
      </c>
      <c r="I1655">
        <v>6.1917344659980597E-2</v>
      </c>
      <c r="J1655">
        <v>6.0792906146234997E-2</v>
      </c>
      <c r="K1655">
        <v>6.5367050617286301E-2</v>
      </c>
      <c r="L1655">
        <v>1739.0441618632401</v>
      </c>
      <c r="M1655">
        <v>35.008743540286801</v>
      </c>
      <c r="N1655">
        <v>49.878696879711804</v>
      </c>
      <c r="O1655">
        <v>49.513321183943397</v>
      </c>
      <c r="P1655">
        <v>-0.16496724098662599</v>
      </c>
      <c r="Q1655">
        <v>6.6742030268288205E-2</v>
      </c>
      <c r="R1655">
        <v>0.99906371778160497</v>
      </c>
      <c r="S1655" t="s">
        <v>8057</v>
      </c>
      <c r="T1655" t="s">
        <v>12802</v>
      </c>
      <c r="U1655" t="s">
        <v>12802</v>
      </c>
      <c r="V1655" t="s">
        <v>12802</v>
      </c>
      <c r="W1655" t="s">
        <v>14418</v>
      </c>
      <c r="X1655">
        <v>41</v>
      </c>
      <c r="Y1655" t="s">
        <v>20725</v>
      </c>
      <c r="Z1655" t="s">
        <v>26973</v>
      </c>
      <c r="AA1655">
        <v>0.46521598858183538</v>
      </c>
      <c r="AB1655" t="str">
        <f>HYPERLINK("Melting_Curves/meltCurve_O60763_USO1.pdf", "Melting_Curves/meltCurve_O60763_USO1.pdf")</f>
        <v>Melting_Curves/meltCurve_O60763_USO1.pdf</v>
      </c>
    </row>
    <row r="1656" spans="1:28" x14ac:dyDescent="0.25">
      <c r="A1656" t="s">
        <v>1660</v>
      </c>
      <c r="B1656">
        <v>0.99542014353169495</v>
      </c>
      <c r="C1656">
        <v>0.868620734250097</v>
      </c>
      <c r="D1656">
        <v>0.82539681063357295</v>
      </c>
      <c r="E1656">
        <v>0.50226344969441605</v>
      </c>
      <c r="F1656">
        <v>0.25056635134292599</v>
      </c>
      <c r="G1656">
        <v>0.117294360344409</v>
      </c>
      <c r="H1656">
        <v>8.0687574648745097E-2</v>
      </c>
      <c r="I1656">
        <v>5.7647880376895201E-2</v>
      </c>
      <c r="J1656">
        <v>6.1683396932466897E-2</v>
      </c>
      <c r="K1656">
        <v>6.2613656663710798E-2</v>
      </c>
      <c r="L1656">
        <v>765.51528959185498</v>
      </c>
      <c r="M1656">
        <v>16.518479504821901</v>
      </c>
      <c r="N1656">
        <v>46.606419157195099</v>
      </c>
      <c r="O1656">
        <v>45.679742623867398</v>
      </c>
      <c r="P1656">
        <v>-8.6380048840250606E-2</v>
      </c>
      <c r="Q1656">
        <v>4.4574196435832998E-2</v>
      </c>
      <c r="R1656">
        <v>0.995089156472586</v>
      </c>
      <c r="S1656" t="s">
        <v>8058</v>
      </c>
      <c r="T1656" t="s">
        <v>12802</v>
      </c>
      <c r="U1656" t="s">
        <v>12802</v>
      </c>
      <c r="V1656" t="s">
        <v>12802</v>
      </c>
      <c r="W1656" t="s">
        <v>14419</v>
      </c>
      <c r="X1656">
        <v>12</v>
      </c>
      <c r="Y1656" t="s">
        <v>20726</v>
      </c>
      <c r="Z1656" t="s">
        <v>26974</v>
      </c>
      <c r="AA1656">
        <v>0.36032235600099061</v>
      </c>
      <c r="AB1656" t="str">
        <f>HYPERLINK("Melting_Curves/meltCurve_O60826_CCDC22.pdf", "Melting_Curves/meltCurve_O60826_CCDC22.pdf")</f>
        <v>Melting_Curves/meltCurve_O60826_CCDC22.pdf</v>
      </c>
    </row>
    <row r="1657" spans="1:28" x14ac:dyDescent="0.25">
      <c r="A1657" t="s">
        <v>1661</v>
      </c>
      <c r="B1657">
        <v>0.99542014353169495</v>
      </c>
      <c r="C1657">
        <v>0.96633933136634498</v>
      </c>
      <c r="D1657">
        <v>0.93587176058746402</v>
      </c>
      <c r="E1657">
        <v>0.86894458084819304</v>
      </c>
      <c r="F1657">
        <v>0.642014802348844</v>
      </c>
      <c r="G1657">
        <v>0.49393877077905401</v>
      </c>
      <c r="H1657">
        <v>0.39183695362792398</v>
      </c>
      <c r="I1657">
        <v>0.37066121493735998</v>
      </c>
      <c r="J1657">
        <v>0.59580417882577297</v>
      </c>
      <c r="K1657">
        <v>0.88683767465554497</v>
      </c>
      <c r="L1657">
        <v>1632.6103643624199</v>
      </c>
      <c r="M1657">
        <v>34.166121484229599</v>
      </c>
      <c r="O1657">
        <v>47.6216786182814</v>
      </c>
      <c r="P1657">
        <v>-8.08695931652441E-2</v>
      </c>
      <c r="Q1657">
        <v>0.54912879805408799</v>
      </c>
      <c r="R1657">
        <v>0.659903539676157</v>
      </c>
      <c r="S1657" t="s">
        <v>8059</v>
      </c>
      <c r="T1657" t="s">
        <v>12802</v>
      </c>
      <c r="U1657" t="s">
        <v>12802</v>
      </c>
      <c r="V1657" t="s">
        <v>12802</v>
      </c>
      <c r="W1657" t="s">
        <v>14420</v>
      </c>
      <c r="X1657">
        <v>9</v>
      </c>
      <c r="Y1657" t="s">
        <v>20727</v>
      </c>
      <c r="Z1657" t="s">
        <v>26975</v>
      </c>
      <c r="AA1657">
        <v>0.71325585498040522</v>
      </c>
      <c r="AB1657" t="str">
        <f>HYPERLINK("Melting_Curves/meltCurve_O60828_PQBP1.pdf", "Melting_Curves/meltCurve_O60828_PQBP1.pdf")</f>
        <v>Melting_Curves/meltCurve_O60828_PQBP1.pdf</v>
      </c>
    </row>
    <row r="1658" spans="1:28" x14ac:dyDescent="0.25">
      <c r="A1658" t="s">
        <v>1662</v>
      </c>
      <c r="B1658">
        <v>0.99542014353169495</v>
      </c>
      <c r="C1658">
        <v>1.06006526205556</v>
      </c>
      <c r="D1658">
        <v>1.00871959766986</v>
      </c>
      <c r="E1658">
        <v>1.00699044202299</v>
      </c>
      <c r="F1658">
        <v>0.82612739416923697</v>
      </c>
      <c r="G1658">
        <v>0.56785472312140195</v>
      </c>
      <c r="H1658">
        <v>0.42408207036235002</v>
      </c>
      <c r="I1658">
        <v>0.369252866454581</v>
      </c>
      <c r="J1658">
        <v>0.50336845303525801</v>
      </c>
      <c r="K1658">
        <v>0.65070403079460404</v>
      </c>
      <c r="L1658">
        <v>2103.0119629635401</v>
      </c>
      <c r="M1658">
        <v>41.171217116362897</v>
      </c>
      <c r="N1658">
        <v>56.4135861841905</v>
      </c>
      <c r="O1658">
        <v>50.959599636140702</v>
      </c>
      <c r="P1658">
        <v>-0.10304913314102999</v>
      </c>
      <c r="Q1658">
        <v>0.48980542922125497</v>
      </c>
      <c r="R1658">
        <v>0.92254723780743297</v>
      </c>
      <c r="S1658" t="s">
        <v>8060</v>
      </c>
      <c r="T1658" t="s">
        <v>12802</v>
      </c>
      <c r="U1658" t="s">
        <v>12802</v>
      </c>
      <c r="V1658" t="s">
        <v>12802</v>
      </c>
      <c r="W1658" t="s">
        <v>14421</v>
      </c>
      <c r="X1658">
        <v>1</v>
      </c>
      <c r="Y1658" t="s">
        <v>20728</v>
      </c>
      <c r="Z1658" t="s">
        <v>26976</v>
      </c>
      <c r="AA1658">
        <v>0.73094884421006168</v>
      </c>
      <c r="AB1658" t="str">
        <f>HYPERLINK("Melting_Curves/meltCurve_O60829_PAGE4.pdf", "Melting_Curves/meltCurve_O60829_PAGE4.pdf")</f>
        <v>Melting_Curves/meltCurve_O60829_PAGE4.pdf</v>
      </c>
    </row>
    <row r="1659" spans="1:28" x14ac:dyDescent="0.25">
      <c r="A1659" t="s">
        <v>1663</v>
      </c>
      <c r="B1659">
        <v>0.99542014353169495</v>
      </c>
      <c r="C1659">
        <v>0.84220964074639004</v>
      </c>
      <c r="D1659">
        <v>1.0338898880921501</v>
      </c>
      <c r="E1659">
        <v>0.865314733537494</v>
      </c>
      <c r="F1659">
        <v>0.712414306412396</v>
      </c>
      <c r="G1659">
        <v>0.48619480509812701</v>
      </c>
      <c r="H1659">
        <v>0.49745419374698202</v>
      </c>
      <c r="I1659">
        <v>0.39206578579645801</v>
      </c>
      <c r="J1659">
        <v>0.58585906463083504</v>
      </c>
      <c r="K1659">
        <v>0.53409552507350999</v>
      </c>
      <c r="L1659">
        <v>1301.9795878279899</v>
      </c>
      <c r="M1659">
        <v>26.539172681409301</v>
      </c>
      <c r="N1659">
        <v>58.205685693608501</v>
      </c>
      <c r="O1659">
        <v>48.782784801628097</v>
      </c>
      <c r="P1659">
        <v>-6.9054376346668694E-2</v>
      </c>
      <c r="Q1659">
        <v>0.49227825027902</v>
      </c>
      <c r="R1659">
        <v>0.88688591959007002</v>
      </c>
      <c r="S1659" t="s">
        <v>8061</v>
      </c>
      <c r="T1659" t="s">
        <v>12802</v>
      </c>
      <c r="U1659" t="s">
        <v>12802</v>
      </c>
      <c r="V1659" t="s">
        <v>12802</v>
      </c>
      <c r="W1659" t="s">
        <v>14422</v>
      </c>
      <c r="X1659">
        <v>6</v>
      </c>
      <c r="Y1659" t="s">
        <v>20729</v>
      </c>
      <c r="Z1659" t="s">
        <v>26977</v>
      </c>
      <c r="AA1659">
        <v>0.70026901509520489</v>
      </c>
      <c r="AB1659" t="str">
        <f>HYPERLINK("Melting_Curves/meltCurve_O60830_TIMM17B.pdf", "Melting_Curves/meltCurve_O60830_TIMM17B.pdf")</f>
        <v>Melting_Curves/meltCurve_O60830_TIMM17B.pdf</v>
      </c>
    </row>
    <row r="1660" spans="1:28" x14ac:dyDescent="0.25">
      <c r="A1660" t="s">
        <v>1664</v>
      </c>
      <c r="B1660">
        <v>0.99542014353169495</v>
      </c>
      <c r="C1660">
        <v>0.92625405582906895</v>
      </c>
      <c r="D1660">
        <v>0.966200263952253</v>
      </c>
      <c r="E1660">
        <v>0.78413263111692</v>
      </c>
      <c r="F1660">
        <v>0.58074588637374402</v>
      </c>
      <c r="G1660">
        <v>0.32994561145148599</v>
      </c>
      <c r="H1660">
        <v>0.24456240543062299</v>
      </c>
      <c r="I1660">
        <v>0.231697041533239</v>
      </c>
      <c r="J1660">
        <v>0.30543943942638802</v>
      </c>
      <c r="K1660">
        <v>0.26416495331091899</v>
      </c>
      <c r="L1660">
        <v>985.20417456893597</v>
      </c>
      <c r="M1660">
        <v>20.0727111555703</v>
      </c>
      <c r="N1660">
        <v>50.7873346986011</v>
      </c>
      <c r="O1660">
        <v>48.602412674251802</v>
      </c>
      <c r="P1660">
        <v>-7.7936443556699403E-2</v>
      </c>
      <c r="Q1660">
        <v>0.24518863027712701</v>
      </c>
      <c r="R1660">
        <v>0.98651026626990801</v>
      </c>
      <c r="S1660" t="s">
        <v>8062</v>
      </c>
      <c r="T1660" t="s">
        <v>12802</v>
      </c>
      <c r="U1660" t="s">
        <v>12802</v>
      </c>
      <c r="V1660" t="s">
        <v>12802</v>
      </c>
      <c r="W1660" t="s">
        <v>14423</v>
      </c>
      <c r="X1660">
        <v>15</v>
      </c>
      <c r="Y1660" t="s">
        <v>20730</v>
      </c>
      <c r="Z1660" t="s">
        <v>26978</v>
      </c>
      <c r="AA1660">
        <v>0.55905057185545937</v>
      </c>
      <c r="AB1660" t="str">
        <f>HYPERLINK("Melting_Curves/meltCurve_O60832_DKC1.pdf", "Melting_Curves/meltCurve_O60832_DKC1.pdf")</f>
        <v>Melting_Curves/meltCurve_O60832_DKC1.pdf</v>
      </c>
    </row>
    <row r="1661" spans="1:28" x14ac:dyDescent="0.25">
      <c r="A1661" t="s">
        <v>1665</v>
      </c>
      <c r="B1661">
        <v>0.99542014353169495</v>
      </c>
      <c r="C1661">
        <v>1.03112941070213</v>
      </c>
      <c r="D1661">
        <v>0.96395303385308695</v>
      </c>
      <c r="E1661">
        <v>0.85906248127912999</v>
      </c>
      <c r="F1661">
        <v>0.59902255795189097</v>
      </c>
      <c r="G1661">
        <v>0.264974715357288</v>
      </c>
      <c r="H1661">
        <v>8.9559267304121698E-2</v>
      </c>
      <c r="I1661">
        <v>6.04438399411069E-2</v>
      </c>
      <c r="J1661">
        <v>6.04353855739687E-2</v>
      </c>
      <c r="K1661">
        <v>6.4482297519547094E-2</v>
      </c>
      <c r="L1661">
        <v>1093.9163357183299</v>
      </c>
      <c r="M1661">
        <v>21.533305933788899</v>
      </c>
      <c r="N1661">
        <v>51.007246176677498</v>
      </c>
      <c r="O1661">
        <v>50.369087718423501</v>
      </c>
      <c r="P1661">
        <v>-0.102426889761703</v>
      </c>
      <c r="Q1661">
        <v>4.1666153141433501E-2</v>
      </c>
      <c r="R1661">
        <v>0.998048287974304</v>
      </c>
      <c r="S1661" t="s">
        <v>8063</v>
      </c>
      <c r="T1661" t="s">
        <v>12802</v>
      </c>
      <c r="U1661" t="s">
        <v>12802</v>
      </c>
      <c r="V1661" t="s">
        <v>12802</v>
      </c>
      <c r="W1661" t="s">
        <v>14424</v>
      </c>
      <c r="X1661">
        <v>63</v>
      </c>
      <c r="Y1661" t="s">
        <v>20731</v>
      </c>
      <c r="Z1661" t="s">
        <v>26979</v>
      </c>
      <c r="AA1661">
        <v>0.49360509697488242</v>
      </c>
      <c r="AB1661" t="str">
        <f>HYPERLINK("Melting_Curves/meltCurve_O60841_EIF5B.pdf", "Melting_Curves/meltCurve_O60841_EIF5B.pdf")</f>
        <v>Melting_Curves/meltCurve_O60841_EIF5B.pdf</v>
      </c>
    </row>
    <row r="1662" spans="1:28" x14ac:dyDescent="0.25">
      <c r="A1662" t="s">
        <v>1666</v>
      </c>
      <c r="B1662">
        <v>0.99542014353169495</v>
      </c>
      <c r="C1662">
        <v>1.0070118544808</v>
      </c>
      <c r="D1662">
        <v>1.01188834466949</v>
      </c>
      <c r="E1662">
        <v>0.98868297906269298</v>
      </c>
      <c r="F1662">
        <v>0.78089335370812796</v>
      </c>
      <c r="G1662">
        <v>0.56982859636044503</v>
      </c>
      <c r="H1662">
        <v>0.40549596971068402</v>
      </c>
      <c r="I1662">
        <v>0.42089850118483702</v>
      </c>
      <c r="J1662">
        <v>0.69315937726598298</v>
      </c>
      <c r="K1662">
        <v>1.15936784998391</v>
      </c>
      <c r="L1662">
        <v>12524.234082707901</v>
      </c>
      <c r="M1662">
        <v>250</v>
      </c>
      <c r="O1662">
        <v>50.093735256745703</v>
      </c>
      <c r="P1662">
        <v>-0.43699333891975201</v>
      </c>
      <c r="Q1662">
        <v>0.64974997584360705</v>
      </c>
      <c r="R1662">
        <v>0.41903057055203902</v>
      </c>
      <c r="S1662" t="s">
        <v>8064</v>
      </c>
      <c r="T1662" t="s">
        <v>12802</v>
      </c>
      <c r="U1662" t="s">
        <v>12802</v>
      </c>
      <c r="V1662" t="s">
        <v>12802</v>
      </c>
      <c r="W1662" t="s">
        <v>14425</v>
      </c>
      <c r="X1662">
        <v>14</v>
      </c>
      <c r="Y1662" t="s">
        <v>20732</v>
      </c>
      <c r="Z1662" t="s">
        <v>26980</v>
      </c>
      <c r="AA1662">
        <v>0.80268751180410347</v>
      </c>
      <c r="AB1662" t="str">
        <f>HYPERLINK("Melting_Curves/meltCurve_O60869_EDF1.pdf", "Melting_Curves/meltCurve_O60869_EDF1.pdf")</f>
        <v>Melting_Curves/meltCurve_O60869_EDF1.pdf</v>
      </c>
    </row>
    <row r="1663" spans="1:28" x14ac:dyDescent="0.25">
      <c r="A1663" t="s">
        <v>1667</v>
      </c>
      <c r="B1663">
        <v>0.99542014353169495</v>
      </c>
      <c r="C1663">
        <v>0.97283540788056899</v>
      </c>
      <c r="D1663">
        <v>0.76842149526994097</v>
      </c>
      <c r="E1663">
        <v>0.53495172451318096</v>
      </c>
      <c r="F1663">
        <v>0.18150839452100501</v>
      </c>
      <c r="G1663">
        <v>9.2236625904882699E-2</v>
      </c>
      <c r="H1663">
        <v>5.0915317983930397E-2</v>
      </c>
      <c r="I1663">
        <v>3.2156463510097003E-2</v>
      </c>
      <c r="J1663">
        <v>3.3894640209197101E-2</v>
      </c>
      <c r="K1663">
        <v>3.8722431836464698E-2</v>
      </c>
      <c r="L1663">
        <v>851.56226832479695</v>
      </c>
      <c r="M1663">
        <v>18.366696230733499</v>
      </c>
      <c r="N1663">
        <v>46.485287897546002</v>
      </c>
      <c r="O1663">
        <v>45.82532784184</v>
      </c>
      <c r="P1663">
        <v>-9.7868695957850305E-2</v>
      </c>
      <c r="Q1663">
        <v>2.3305952588414301E-2</v>
      </c>
      <c r="R1663">
        <v>0.996076219842704</v>
      </c>
      <c r="S1663" t="s">
        <v>8065</v>
      </c>
      <c r="T1663" t="s">
        <v>12802</v>
      </c>
      <c r="U1663" t="s">
        <v>12802</v>
      </c>
      <c r="V1663" t="s">
        <v>12802</v>
      </c>
      <c r="W1663" t="s">
        <v>14426</v>
      </c>
      <c r="X1663">
        <v>8</v>
      </c>
      <c r="Y1663" t="s">
        <v>20733</v>
      </c>
      <c r="Z1663" t="s">
        <v>26981</v>
      </c>
      <c r="AA1663">
        <v>0.34330600467367789</v>
      </c>
      <c r="AB1663" t="str">
        <f>HYPERLINK("Melting_Curves/meltCurve_O60870_KIN.pdf", "Melting_Curves/meltCurve_O60870_KIN.pdf")</f>
        <v>Melting_Curves/meltCurve_O60870_KIN.pdf</v>
      </c>
    </row>
    <row r="1664" spans="1:28" x14ac:dyDescent="0.25">
      <c r="A1664" t="s">
        <v>1668</v>
      </c>
      <c r="B1664">
        <v>0.99542014353169495</v>
      </c>
      <c r="C1664">
        <v>0.90133227965180396</v>
      </c>
      <c r="D1664">
        <v>1.0139309305272199</v>
      </c>
      <c r="E1664">
        <v>0.79297912608469301</v>
      </c>
      <c r="F1664">
        <v>0.53726878642363196</v>
      </c>
      <c r="G1664">
        <v>0.28401718763220701</v>
      </c>
      <c r="H1664">
        <v>0.11941438967142599</v>
      </c>
      <c r="I1664">
        <v>5.06300398465232E-2</v>
      </c>
      <c r="J1664">
        <v>4.9427877861342999E-2</v>
      </c>
      <c r="K1664">
        <v>5.0828122195775302E-2</v>
      </c>
      <c r="L1664">
        <v>878.82695791636195</v>
      </c>
      <c r="M1664">
        <v>17.4106096359458</v>
      </c>
      <c r="N1664">
        <v>50.611803255509699</v>
      </c>
      <c r="O1664">
        <v>49.824732822635497</v>
      </c>
      <c r="P1664">
        <v>-8.5377929821934997E-2</v>
      </c>
      <c r="Q1664">
        <v>2.2735358157461801E-2</v>
      </c>
      <c r="R1664">
        <v>0.991806657287441</v>
      </c>
      <c r="S1664" t="s">
        <v>8066</v>
      </c>
      <c r="T1664" t="s">
        <v>12802</v>
      </c>
      <c r="U1664" t="s">
        <v>12802</v>
      </c>
      <c r="V1664" t="s">
        <v>12802</v>
      </c>
      <c r="W1664" t="s">
        <v>14427</v>
      </c>
      <c r="X1664">
        <v>18</v>
      </c>
      <c r="Y1664" t="s">
        <v>20734</v>
      </c>
      <c r="Z1664" t="s">
        <v>26982</v>
      </c>
      <c r="AA1664">
        <v>0.47786467361624108</v>
      </c>
      <c r="AB1664" t="str">
        <f>HYPERLINK("Melting_Curves/meltCurve_O60884_DNAJA2.pdf", "Melting_Curves/meltCurve_O60884_DNAJA2.pdf")</f>
        <v>Melting_Curves/meltCurve_O60884_DNAJA2.pdf</v>
      </c>
    </row>
    <row r="1665" spans="1:28" x14ac:dyDescent="0.25">
      <c r="A1665" t="s">
        <v>1669</v>
      </c>
      <c r="B1665">
        <v>0.99542014353169495</v>
      </c>
      <c r="C1665">
        <v>0.98538405906148596</v>
      </c>
      <c r="D1665">
        <v>0.829156400316164</v>
      </c>
      <c r="E1665">
        <v>0.422409914250437</v>
      </c>
      <c r="F1665">
        <v>0.19968430661543099</v>
      </c>
      <c r="G1665">
        <v>0.112615552316368</v>
      </c>
      <c r="H1665">
        <v>6.6410149598549004E-2</v>
      </c>
      <c r="I1665">
        <v>6.01946630763062E-2</v>
      </c>
      <c r="J1665">
        <v>8.8189261989124204E-2</v>
      </c>
      <c r="K1665">
        <v>0.10962877158727299</v>
      </c>
      <c r="L1665">
        <v>1076.93116823429</v>
      </c>
      <c r="M1665">
        <v>23.5882678377763</v>
      </c>
      <c r="N1665">
        <v>46.007379870425503</v>
      </c>
      <c r="O1665">
        <v>45.331028673420597</v>
      </c>
      <c r="P1665">
        <v>-0.11935037168235001</v>
      </c>
      <c r="Q1665">
        <v>8.2563513867987604E-2</v>
      </c>
      <c r="R1665">
        <v>0.998101720929499</v>
      </c>
      <c r="S1665" t="s">
        <v>8067</v>
      </c>
      <c r="T1665" t="s">
        <v>12802</v>
      </c>
      <c r="U1665" t="s">
        <v>12802</v>
      </c>
      <c r="V1665" t="s">
        <v>12802</v>
      </c>
      <c r="W1665" t="s">
        <v>14428</v>
      </c>
      <c r="X1665">
        <v>15</v>
      </c>
      <c r="Y1665" t="s">
        <v>20735</v>
      </c>
      <c r="Z1665" t="s">
        <v>26983</v>
      </c>
      <c r="AA1665">
        <v>0.35579425435667628</v>
      </c>
      <c r="AB1665" t="str">
        <f>HYPERLINK("Melting_Curves/meltCurve_O60885_BRD4.pdf", "Melting_Curves/meltCurve_O60885_BRD4.pdf")</f>
        <v>Melting_Curves/meltCurve_O60885_BRD4.pdf</v>
      </c>
    </row>
    <row r="1666" spans="1:28" x14ac:dyDescent="0.25">
      <c r="A1666" t="s">
        <v>1670</v>
      </c>
      <c r="B1666">
        <v>0.99542014353169495</v>
      </c>
      <c r="C1666">
        <v>1.04798090653955</v>
      </c>
      <c r="D1666">
        <v>0.95450719732379197</v>
      </c>
      <c r="E1666">
        <v>1.24214964282291</v>
      </c>
      <c r="F1666">
        <v>0.99936726325321301</v>
      </c>
      <c r="G1666">
        <v>0.60045366646839504</v>
      </c>
      <c r="H1666">
        <v>0.37938520832172001</v>
      </c>
      <c r="I1666">
        <v>0.28201274450591302</v>
      </c>
      <c r="J1666">
        <v>0.35492981057578898</v>
      </c>
      <c r="K1666">
        <v>0.39643181386905402</v>
      </c>
      <c r="L1666">
        <v>3509.9894733370802</v>
      </c>
      <c r="M1666">
        <v>65.703935824516194</v>
      </c>
      <c r="N1666">
        <v>54.425334328303499</v>
      </c>
      <c r="O1666">
        <v>53.371875690802703</v>
      </c>
      <c r="P1666">
        <v>-0.19967329910086301</v>
      </c>
      <c r="Q1666">
        <v>0.35121479927742499</v>
      </c>
      <c r="R1666">
        <v>0.93867336483217501</v>
      </c>
      <c r="S1666" t="s">
        <v>8068</v>
      </c>
      <c r="T1666" t="s">
        <v>12802</v>
      </c>
      <c r="U1666" t="s">
        <v>12802</v>
      </c>
      <c r="V1666" t="s">
        <v>12802</v>
      </c>
      <c r="W1666" t="s">
        <v>14429</v>
      </c>
      <c r="X1666">
        <v>6</v>
      </c>
      <c r="Y1666" t="s">
        <v>20736</v>
      </c>
      <c r="Z1666" t="s">
        <v>26984</v>
      </c>
      <c r="AA1666">
        <v>0.70722782717552357</v>
      </c>
      <c r="AB1666" t="str">
        <f>HYPERLINK("Melting_Curves/meltCurve_O60888_3_CUTA.pdf", "Melting_Curves/meltCurve_O60888_3_CUTA.pdf")</f>
        <v>Melting_Curves/meltCurve_O60888_3_CUTA.pdf</v>
      </c>
    </row>
    <row r="1667" spans="1:28" x14ac:dyDescent="0.25">
      <c r="A1667" t="s">
        <v>1671</v>
      </c>
      <c r="B1667">
        <v>0.99542014353169495</v>
      </c>
      <c r="C1667">
        <v>0.98277013337681296</v>
      </c>
      <c r="D1667">
        <v>0.89443806603792997</v>
      </c>
      <c r="E1667">
        <v>0.75500875016108204</v>
      </c>
      <c r="F1667">
        <v>0.52933424962146702</v>
      </c>
      <c r="G1667">
        <v>0.23544157281890701</v>
      </c>
      <c r="H1667">
        <v>0.126060468496874</v>
      </c>
      <c r="I1667">
        <v>0.12696327667952101</v>
      </c>
      <c r="J1667">
        <v>9.9365535392071394E-2</v>
      </c>
      <c r="K1667">
        <v>0.15396567682041801</v>
      </c>
      <c r="L1667">
        <v>866.57078334829305</v>
      </c>
      <c r="M1667">
        <v>17.558186063978201</v>
      </c>
      <c r="N1667">
        <v>49.953777242400299</v>
      </c>
      <c r="O1667">
        <v>48.727366160919097</v>
      </c>
      <c r="P1667">
        <v>-8.1529840697306094E-2</v>
      </c>
      <c r="Q1667">
        <v>9.5004575226214499E-2</v>
      </c>
      <c r="R1667">
        <v>0.99286609806693105</v>
      </c>
      <c r="S1667" t="s">
        <v>8069</v>
      </c>
      <c r="T1667" t="s">
        <v>12802</v>
      </c>
      <c r="U1667" t="s">
        <v>12802</v>
      </c>
      <c r="V1667" t="s">
        <v>12802</v>
      </c>
      <c r="W1667" t="s">
        <v>14430</v>
      </c>
      <c r="X1667">
        <v>1</v>
      </c>
      <c r="Y1667" t="s">
        <v>20737</v>
      </c>
      <c r="Z1667" t="s">
        <v>26985</v>
      </c>
      <c r="AA1667">
        <v>0.48265803558748899</v>
      </c>
      <c r="AB1667" t="str">
        <f>HYPERLINK("Melting_Curves/meltCurve_O60911_CTSL2.pdf", "Melting_Curves/meltCurve_O60911_CTSL2.pdf")</f>
        <v>Melting_Curves/meltCurve_O60911_CTSL2.pdf</v>
      </c>
    </row>
    <row r="1668" spans="1:28" x14ac:dyDescent="0.25">
      <c r="A1668" t="s">
        <v>1672</v>
      </c>
      <c r="B1668">
        <v>0.99542014353169495</v>
      </c>
      <c r="C1668">
        <v>0.98876862766582296</v>
      </c>
      <c r="D1668">
        <v>0.86371907260766201</v>
      </c>
      <c r="E1668">
        <v>0.781634430233488</v>
      </c>
      <c r="F1668">
        <v>0.62733143759938104</v>
      </c>
      <c r="G1668">
        <v>0.53023772665906699</v>
      </c>
      <c r="H1668">
        <v>0.34377712740620903</v>
      </c>
      <c r="I1668">
        <v>0.232094619005871</v>
      </c>
      <c r="J1668">
        <v>0.20787552378791899</v>
      </c>
      <c r="K1668">
        <v>0.26495261520121</v>
      </c>
      <c r="L1668">
        <v>532.72892594825703</v>
      </c>
      <c r="M1668">
        <v>10.320471133489701</v>
      </c>
      <c r="N1668">
        <v>53.231357336647697</v>
      </c>
      <c r="O1668">
        <v>49.793361774774397</v>
      </c>
      <c r="P1668">
        <v>-4.4879247901441703E-2</v>
      </c>
      <c r="Q1668">
        <v>0.13425431663892901</v>
      </c>
      <c r="R1668">
        <v>0.98643151764192805</v>
      </c>
      <c r="S1668" t="s">
        <v>8070</v>
      </c>
      <c r="T1668" t="s">
        <v>12802</v>
      </c>
      <c r="U1668" t="s">
        <v>12802</v>
      </c>
      <c r="V1668" t="s">
        <v>12802</v>
      </c>
      <c r="W1668" t="s">
        <v>14431</v>
      </c>
      <c r="X1668">
        <v>11</v>
      </c>
      <c r="Y1668" t="s">
        <v>20738</v>
      </c>
      <c r="Z1668" t="s">
        <v>26986</v>
      </c>
      <c r="AA1668">
        <v>0.58004016873890951</v>
      </c>
      <c r="AB1668" t="str">
        <f>HYPERLINK("Melting_Curves/meltCurve_O60925_PFDN1.pdf", "Melting_Curves/meltCurve_O60925_PFDN1.pdf")</f>
        <v>Melting_Curves/meltCurve_O60925_PFDN1.pdf</v>
      </c>
    </row>
    <row r="1669" spans="1:28" x14ac:dyDescent="0.25">
      <c r="A1669" t="s">
        <v>1673</v>
      </c>
      <c r="B1669">
        <v>0.99542014353169495</v>
      </c>
      <c r="C1669">
        <v>0.97646556730548895</v>
      </c>
      <c r="D1669">
        <v>1.0293274834058801</v>
      </c>
      <c r="E1669">
        <v>0.90776524104719103</v>
      </c>
      <c r="F1669">
        <v>0.72798898458504402</v>
      </c>
      <c r="G1669">
        <v>0.53666711694639602</v>
      </c>
      <c r="H1669">
        <v>0.37971432510375902</v>
      </c>
      <c r="I1669">
        <v>0.324544717847635</v>
      </c>
      <c r="J1669">
        <v>0.48971997018699498</v>
      </c>
      <c r="K1669">
        <v>0.62727025279210102</v>
      </c>
      <c r="L1669">
        <v>1462.12137889571</v>
      </c>
      <c r="M1669">
        <v>29.239589495492101</v>
      </c>
      <c r="N1669">
        <v>54.588436520558702</v>
      </c>
      <c r="O1669">
        <v>49.772710122622001</v>
      </c>
      <c r="P1669">
        <v>-7.9737672627128095E-2</v>
      </c>
      <c r="Q1669">
        <v>0.45707428816845402</v>
      </c>
      <c r="R1669">
        <v>0.90612135646315695</v>
      </c>
      <c r="S1669" t="s">
        <v>8071</v>
      </c>
      <c r="T1669" t="s">
        <v>12802</v>
      </c>
      <c r="U1669" t="s">
        <v>12802</v>
      </c>
      <c r="V1669" t="s">
        <v>12802</v>
      </c>
      <c r="W1669" t="s">
        <v>14432</v>
      </c>
      <c r="X1669">
        <v>6</v>
      </c>
      <c r="Y1669" t="s">
        <v>20739</v>
      </c>
      <c r="Z1669" t="s">
        <v>26987</v>
      </c>
      <c r="AA1669">
        <v>0.695934311702745</v>
      </c>
      <c r="AB1669" t="str">
        <f>HYPERLINK("Melting_Curves/meltCurve_O60927_PPP1R11.pdf", "Melting_Curves/meltCurve_O60927_PPP1R11.pdf")</f>
        <v>Melting_Curves/meltCurve_O60927_PPP1R11.pdf</v>
      </c>
    </row>
    <row r="1670" spans="1:28" x14ac:dyDescent="0.25">
      <c r="A1670" t="s">
        <v>1674</v>
      </c>
      <c r="B1670">
        <v>0.99542014353169495</v>
      </c>
      <c r="C1670">
        <v>0.92970487312933303</v>
      </c>
      <c r="D1670">
        <v>0.66770212131211804</v>
      </c>
      <c r="E1670">
        <v>0.32739099384896098</v>
      </c>
      <c r="F1670">
        <v>0.25776058763104198</v>
      </c>
      <c r="G1670">
        <v>0.139209123579529</v>
      </c>
      <c r="H1670">
        <v>0.112453809102878</v>
      </c>
      <c r="I1670">
        <v>6.4486622760008994E-2</v>
      </c>
      <c r="J1670">
        <v>6.0562259143530799E-2</v>
      </c>
      <c r="K1670">
        <v>8.1067086037034095E-2</v>
      </c>
      <c r="L1670">
        <v>783.68809555082498</v>
      </c>
      <c r="M1670">
        <v>17.6054871813656</v>
      </c>
      <c r="N1670">
        <v>44.974884165969698</v>
      </c>
      <c r="O1670">
        <v>43.951436272475597</v>
      </c>
      <c r="P1670">
        <v>-9.1878425937323996E-2</v>
      </c>
      <c r="Q1670">
        <v>8.25649162093538E-2</v>
      </c>
      <c r="R1670">
        <v>0.99200754861085605</v>
      </c>
      <c r="S1670" t="s">
        <v>8072</v>
      </c>
      <c r="T1670" t="s">
        <v>12802</v>
      </c>
      <c r="U1670" t="s">
        <v>12802</v>
      </c>
      <c r="V1670" t="s">
        <v>12802</v>
      </c>
      <c r="W1670" t="s">
        <v>14433</v>
      </c>
      <c r="X1670">
        <v>1</v>
      </c>
      <c r="Y1670" t="s">
        <v>20740</v>
      </c>
      <c r="Z1670" t="s">
        <v>26988</v>
      </c>
      <c r="AA1670">
        <v>0.32828398291080702</v>
      </c>
      <c r="AB1670" t="str">
        <f>HYPERLINK("Melting_Curves/meltCurve_O60930_RNASEH1.pdf", "Melting_Curves/meltCurve_O60930_RNASEH1.pdf")</f>
        <v>Melting_Curves/meltCurve_O60930_RNASEH1.pdf</v>
      </c>
    </row>
    <row r="1671" spans="1:28" x14ac:dyDescent="0.25">
      <c r="A1671" t="s">
        <v>1675</v>
      </c>
      <c r="B1671">
        <v>0.99542014353169495</v>
      </c>
      <c r="C1671">
        <v>0.90704835651513205</v>
      </c>
      <c r="D1671">
        <v>0.98670308617255298</v>
      </c>
      <c r="E1671">
        <v>0.60444539243034501</v>
      </c>
      <c r="F1671">
        <v>0.16599162392813399</v>
      </c>
      <c r="G1671">
        <v>8.4042823311099996E-2</v>
      </c>
      <c r="H1671">
        <v>5.4303788984050499E-2</v>
      </c>
      <c r="I1671">
        <v>3.7492785591539499E-2</v>
      </c>
      <c r="J1671">
        <v>3.2699077957919202E-2</v>
      </c>
      <c r="K1671">
        <v>3.6386698510089001E-2</v>
      </c>
      <c r="L1671">
        <v>1493.7852070455399</v>
      </c>
      <c r="M1671">
        <v>31.681475757930102</v>
      </c>
      <c r="N1671">
        <v>47.2877998792029</v>
      </c>
      <c r="O1671">
        <v>46.963451007764903</v>
      </c>
      <c r="P1671">
        <v>-0.16122008719877501</v>
      </c>
      <c r="Q1671">
        <v>4.4058176761311199E-2</v>
      </c>
      <c r="R1671">
        <v>0.99414746489300199</v>
      </c>
      <c r="S1671" t="s">
        <v>8073</v>
      </c>
      <c r="T1671" t="s">
        <v>12802</v>
      </c>
      <c r="U1671" t="s">
        <v>12802</v>
      </c>
      <c r="V1671" t="s">
        <v>12802</v>
      </c>
      <c r="W1671" t="s">
        <v>14434</v>
      </c>
      <c r="X1671">
        <v>15</v>
      </c>
      <c r="Y1671" t="s">
        <v>20741</v>
      </c>
      <c r="Z1671" t="s">
        <v>26989</v>
      </c>
      <c r="AA1671">
        <v>0.37247913073512562</v>
      </c>
      <c r="AB1671" t="str">
        <f>HYPERLINK("Melting_Curves/meltCurve_O60934_NBN.pdf", "Melting_Curves/meltCurve_O60934_NBN.pdf")</f>
        <v>Melting_Curves/meltCurve_O60934_NBN.pdf</v>
      </c>
    </row>
    <row r="1672" spans="1:28" x14ac:dyDescent="0.25">
      <c r="A1672" t="s">
        <v>1676</v>
      </c>
      <c r="B1672">
        <v>0.99542014353169495</v>
      </c>
      <c r="C1672">
        <v>1.0101044501240299</v>
      </c>
      <c r="D1672">
        <v>0.92736900537307498</v>
      </c>
      <c r="E1672">
        <v>0.75508338550228904</v>
      </c>
      <c r="F1672">
        <v>0.22637914974010501</v>
      </c>
      <c r="G1672">
        <v>0.111530767540081</v>
      </c>
      <c r="H1672">
        <v>7.4457872805149303E-2</v>
      </c>
      <c r="I1672">
        <v>5.13694880737567E-2</v>
      </c>
      <c r="J1672">
        <v>5.3449203950970102E-2</v>
      </c>
      <c r="K1672">
        <v>5.1561410000807099E-2</v>
      </c>
      <c r="L1672">
        <v>1540.9735399736601</v>
      </c>
      <c r="M1672">
        <v>32.1081537954773</v>
      </c>
      <c r="N1672">
        <v>48.182403191012</v>
      </c>
      <c r="O1672">
        <v>47.808199962789999</v>
      </c>
      <c r="P1672">
        <v>-0.157957814206106</v>
      </c>
      <c r="Q1672">
        <v>5.9224524948790602E-2</v>
      </c>
      <c r="R1672">
        <v>0.99759926770785701</v>
      </c>
      <c r="S1672" t="s">
        <v>8074</v>
      </c>
      <c r="T1672" t="s">
        <v>12802</v>
      </c>
      <c r="U1672" t="s">
        <v>12802</v>
      </c>
      <c r="V1672" t="s">
        <v>12802</v>
      </c>
      <c r="W1672" t="s">
        <v>14435</v>
      </c>
      <c r="X1672">
        <v>11</v>
      </c>
      <c r="Y1672" t="s">
        <v>20742</v>
      </c>
      <c r="Z1672" t="s">
        <v>26990</v>
      </c>
      <c r="AA1672">
        <v>0.40882276702000309</v>
      </c>
      <c r="AB1672" t="str">
        <f>HYPERLINK("Melting_Curves/meltCurve_O60942_RNGTT.pdf", "Melting_Curves/meltCurve_O60942_RNGTT.pdf")</f>
        <v>Melting_Curves/meltCurve_O60942_RNGTT.pdf</v>
      </c>
    </row>
    <row r="1673" spans="1:28" x14ac:dyDescent="0.25">
      <c r="A1673" t="s">
        <v>1677</v>
      </c>
      <c r="B1673">
        <v>0.99542014353169495</v>
      </c>
      <c r="C1673">
        <v>1.0503157730141299</v>
      </c>
      <c r="D1673">
        <v>0.98941723615926203</v>
      </c>
      <c r="E1673">
        <v>0.89661067641522296</v>
      </c>
      <c r="F1673">
        <v>0.81299549648206404</v>
      </c>
      <c r="G1673">
        <v>0.43620945079340701</v>
      </c>
      <c r="H1673">
        <v>0.22596676993447301</v>
      </c>
      <c r="I1673">
        <v>0.14606375207719799</v>
      </c>
      <c r="J1673">
        <v>8.6710885229023302E-2</v>
      </c>
      <c r="K1673">
        <v>6.6811849246749502E-2</v>
      </c>
      <c r="L1673">
        <v>1089.2245665943301</v>
      </c>
      <c r="M1673">
        <v>20.558074273918301</v>
      </c>
      <c r="N1673">
        <v>53.345278108471099</v>
      </c>
      <c r="O1673">
        <v>52.489127619816998</v>
      </c>
      <c r="P1673">
        <v>-9.1535948734979902E-2</v>
      </c>
      <c r="Q1673">
        <v>6.51844664912615E-2</v>
      </c>
      <c r="R1673">
        <v>0.99485834144676</v>
      </c>
      <c r="S1673" t="s">
        <v>8075</v>
      </c>
      <c r="T1673" t="s">
        <v>12802</v>
      </c>
      <c r="U1673" t="s">
        <v>12802</v>
      </c>
      <c r="V1673" t="s">
        <v>12802</v>
      </c>
      <c r="W1673" t="s">
        <v>14436</v>
      </c>
      <c r="X1673">
        <v>9</v>
      </c>
      <c r="Y1673" t="s">
        <v>20743</v>
      </c>
      <c r="Z1673" t="s">
        <v>26991</v>
      </c>
      <c r="AA1673">
        <v>0.57453364513821747</v>
      </c>
      <c r="AB1673" t="str">
        <f>HYPERLINK("Melting_Curves/meltCurve_O75027_ABCB7.pdf", "Melting_Curves/meltCurve_O75027_ABCB7.pdf")</f>
        <v>Melting_Curves/meltCurve_O75027_ABCB7.pdf</v>
      </c>
    </row>
    <row r="1674" spans="1:28" x14ac:dyDescent="0.25">
      <c r="A1674" t="s">
        <v>1678</v>
      </c>
      <c r="B1674">
        <v>0.99542014353169495</v>
      </c>
      <c r="C1674">
        <v>0.91827308241541505</v>
      </c>
      <c r="D1674">
        <v>0.89700291705990698</v>
      </c>
      <c r="E1674">
        <v>0.52988222650719496</v>
      </c>
      <c r="F1674">
        <v>0.33529843310247098</v>
      </c>
      <c r="G1674">
        <v>0.14136774519183001</v>
      </c>
      <c r="H1674">
        <v>5.1367014270969902E-2</v>
      </c>
      <c r="I1674">
        <v>3.4377938287374003E-2</v>
      </c>
      <c r="J1674">
        <v>3.7220984660431097E-2</v>
      </c>
      <c r="K1674">
        <v>3.7954657408200601E-2</v>
      </c>
      <c r="L1674">
        <v>775.22688776120299</v>
      </c>
      <c r="M1674">
        <v>16.356610904672099</v>
      </c>
      <c r="N1674">
        <v>47.504730917830699</v>
      </c>
      <c r="O1674">
        <v>46.703888813377198</v>
      </c>
      <c r="P1674">
        <v>-8.5942758336361405E-2</v>
      </c>
      <c r="Q1674">
        <v>1.84833639118696E-2</v>
      </c>
      <c r="R1674">
        <v>0.99429062707410198</v>
      </c>
      <c r="S1674" t="s">
        <v>8076</v>
      </c>
      <c r="T1674" t="s">
        <v>12802</v>
      </c>
      <c r="U1674" t="s">
        <v>12802</v>
      </c>
      <c r="V1674" t="s">
        <v>12802</v>
      </c>
      <c r="W1674" t="s">
        <v>14437</v>
      </c>
      <c r="X1674">
        <v>15</v>
      </c>
      <c r="Y1674" t="s">
        <v>20744</v>
      </c>
      <c r="Z1674" t="s">
        <v>26992</v>
      </c>
      <c r="AA1674">
        <v>0.37736096958530041</v>
      </c>
      <c r="AB1674" t="str">
        <f>HYPERLINK("Melting_Curves/meltCurve_O75044_SRGAP2.pdf", "Melting_Curves/meltCurve_O75044_SRGAP2.pdf")</f>
        <v>Melting_Curves/meltCurve_O75044_SRGAP2.pdf</v>
      </c>
    </row>
    <row r="1675" spans="1:28" x14ac:dyDescent="0.25">
      <c r="A1675" t="s">
        <v>1679</v>
      </c>
      <c r="B1675">
        <v>0.99542014353169495</v>
      </c>
      <c r="C1675">
        <v>0.942884294886011</v>
      </c>
      <c r="D1675">
        <v>0.89077390477583496</v>
      </c>
      <c r="E1675">
        <v>0.75282801035503399</v>
      </c>
      <c r="F1675">
        <v>0.638339762318202</v>
      </c>
      <c r="G1675">
        <v>0.39446785855486899</v>
      </c>
      <c r="H1675">
        <v>0.170180399951017</v>
      </c>
      <c r="I1675">
        <v>0.121445383914566</v>
      </c>
      <c r="J1675">
        <v>0.11302641693552599</v>
      </c>
      <c r="K1675">
        <v>0.110839787118942</v>
      </c>
      <c r="L1675">
        <v>628.22189399110596</v>
      </c>
      <c r="M1675">
        <v>12.2370862898968</v>
      </c>
      <c r="N1675">
        <v>51.5338572696174</v>
      </c>
      <c r="O1675">
        <v>50.0243049696181</v>
      </c>
      <c r="P1675">
        <v>-5.9776321888528897E-2</v>
      </c>
      <c r="Q1675">
        <v>2.27737034110275E-2</v>
      </c>
      <c r="R1675">
        <v>0.99024478696997098</v>
      </c>
      <c r="S1675" t="s">
        <v>8077</v>
      </c>
      <c r="T1675" t="s">
        <v>12802</v>
      </c>
      <c r="U1675" t="s">
        <v>12802</v>
      </c>
      <c r="V1675" t="s">
        <v>12802</v>
      </c>
      <c r="W1675" t="s">
        <v>14438</v>
      </c>
      <c r="X1675">
        <v>8</v>
      </c>
      <c r="Y1675" t="s">
        <v>20745</v>
      </c>
      <c r="Z1675" t="s">
        <v>26993</v>
      </c>
      <c r="AA1675">
        <v>0.51408424550980336</v>
      </c>
      <c r="AB1675" t="str">
        <f>HYPERLINK("Melting_Curves/meltCurve_O75054_IGSF3.pdf", "Melting_Curves/meltCurve_O75054_IGSF3.pdf")</f>
        <v>Melting_Curves/meltCurve_O75054_IGSF3.pdf</v>
      </c>
    </row>
    <row r="1676" spans="1:28" x14ac:dyDescent="0.25">
      <c r="A1676" t="s">
        <v>1680</v>
      </c>
      <c r="B1676">
        <v>0.99542014353169495</v>
      </c>
      <c r="C1676">
        <v>1.08289127864587</v>
      </c>
      <c r="D1676">
        <v>0.93117784902445999</v>
      </c>
      <c r="E1676">
        <v>0.81838096143296402</v>
      </c>
      <c r="F1676">
        <v>0.53643741944495005</v>
      </c>
      <c r="G1676">
        <v>0.21477436399402</v>
      </c>
      <c r="H1676">
        <v>9.8094784974153207E-2</v>
      </c>
      <c r="I1676">
        <v>8.6518065702104893E-2</v>
      </c>
      <c r="J1676">
        <v>7.8016458669260103E-2</v>
      </c>
      <c r="K1676">
        <v>8.79548573166819E-2</v>
      </c>
      <c r="L1676">
        <v>1069.14701439285</v>
      </c>
      <c r="M1676">
        <v>21.400330790311301</v>
      </c>
      <c r="N1676">
        <v>50.2892801322567</v>
      </c>
      <c r="O1676">
        <v>49.5292875547851</v>
      </c>
      <c r="P1676">
        <v>-0.100947055564166</v>
      </c>
      <c r="Q1676">
        <v>6.5489410782825996E-2</v>
      </c>
      <c r="R1676">
        <v>0.992994053326547</v>
      </c>
      <c r="S1676" t="s">
        <v>8078</v>
      </c>
      <c r="T1676" t="s">
        <v>12802</v>
      </c>
      <c r="U1676" t="s">
        <v>12802</v>
      </c>
      <c r="V1676" t="s">
        <v>12802</v>
      </c>
      <c r="W1676" t="s">
        <v>14439</v>
      </c>
      <c r="X1676">
        <v>10</v>
      </c>
      <c r="Y1676" t="s">
        <v>20746</v>
      </c>
      <c r="Z1676" t="s">
        <v>26994</v>
      </c>
      <c r="AA1676">
        <v>0.48008837475500998</v>
      </c>
      <c r="AB1676" t="str">
        <f>HYPERLINK("Melting_Curves/meltCurve_O75061_4_DNAJC6.pdf", "Melting_Curves/meltCurve_O75061_4_DNAJC6.pdf")</f>
        <v>Melting_Curves/meltCurve_O75061_4_DNAJC6.pdf</v>
      </c>
    </row>
    <row r="1677" spans="1:28" x14ac:dyDescent="0.25">
      <c r="A1677" t="s">
        <v>1681</v>
      </c>
      <c r="B1677">
        <v>0.99542014353169495</v>
      </c>
      <c r="C1677">
        <v>0.81922189699523495</v>
      </c>
      <c r="D1677">
        <v>0.84477393728557804</v>
      </c>
      <c r="E1677">
        <v>0.67224352932303499</v>
      </c>
      <c r="F1677">
        <v>0.49385720800902599</v>
      </c>
      <c r="G1677">
        <v>0.122624346966415</v>
      </c>
      <c r="H1677">
        <v>6.4347064392042505E-2</v>
      </c>
      <c r="I1677">
        <v>4.3791807737725702E-2</v>
      </c>
      <c r="J1677">
        <v>4.8664754750661503E-2</v>
      </c>
      <c r="K1677">
        <v>5.3115989139467003E-2</v>
      </c>
      <c r="L1677">
        <v>672.05797334877502</v>
      </c>
      <c r="M1677">
        <v>13.7953226758273</v>
      </c>
      <c r="N1677">
        <v>48.716364923031001</v>
      </c>
      <c r="O1677">
        <v>47.726933626665101</v>
      </c>
      <c r="P1677">
        <v>-7.2271885875444794E-2</v>
      </c>
      <c r="Q1677">
        <v>0</v>
      </c>
      <c r="R1677">
        <v>0.97094347622433197</v>
      </c>
      <c r="S1677" t="s">
        <v>8079</v>
      </c>
      <c r="T1677" t="s">
        <v>12802</v>
      </c>
      <c r="U1677" t="s">
        <v>12802</v>
      </c>
      <c r="V1677" t="s">
        <v>12802</v>
      </c>
      <c r="W1677" t="s">
        <v>14440</v>
      </c>
      <c r="X1677">
        <v>10</v>
      </c>
      <c r="Y1677" t="s">
        <v>20747</v>
      </c>
      <c r="Z1677" t="s">
        <v>26995</v>
      </c>
      <c r="AA1677">
        <v>0.41523166783963072</v>
      </c>
      <c r="AB1677" t="str">
        <f>HYPERLINK("Melting_Curves/meltCurve_O75063_FAM20B.pdf", "Melting_Curves/meltCurve_O75063_FAM20B.pdf")</f>
        <v>Melting_Curves/meltCurve_O75063_FAM20B.pdf</v>
      </c>
    </row>
    <row r="1678" spans="1:28" x14ac:dyDescent="0.25">
      <c r="A1678" t="s">
        <v>1682</v>
      </c>
      <c r="B1678">
        <v>0.99542014353169495</v>
      </c>
      <c r="C1678">
        <v>0.96673983529164498</v>
      </c>
      <c r="D1678">
        <v>0.93636112914270198</v>
      </c>
      <c r="E1678">
        <v>0.815219722864306</v>
      </c>
      <c r="F1678">
        <v>0.50039559572819803</v>
      </c>
      <c r="G1678">
        <v>0.17063754251230701</v>
      </c>
      <c r="H1678">
        <v>6.3804087628417702E-2</v>
      </c>
      <c r="I1678">
        <v>3.83201511627876E-2</v>
      </c>
      <c r="J1678">
        <v>3.6537414695420198E-2</v>
      </c>
      <c r="K1678">
        <v>3.9413126428379401E-2</v>
      </c>
      <c r="L1678">
        <v>1062.2629929434099</v>
      </c>
      <c r="M1678">
        <v>21.295435300168599</v>
      </c>
      <c r="N1678">
        <v>49.980350307071603</v>
      </c>
      <c r="O1678">
        <v>49.448572904656103</v>
      </c>
      <c r="P1678">
        <v>-0.105462246278845</v>
      </c>
      <c r="Q1678">
        <v>2.0480198149699799E-2</v>
      </c>
      <c r="R1678">
        <v>0.99799871603203005</v>
      </c>
      <c r="S1678" t="s">
        <v>8080</v>
      </c>
      <c r="T1678" t="s">
        <v>12802</v>
      </c>
      <c r="U1678" t="s">
        <v>12802</v>
      </c>
      <c r="V1678" t="s">
        <v>12802</v>
      </c>
      <c r="W1678" t="s">
        <v>14441</v>
      </c>
      <c r="X1678">
        <v>32</v>
      </c>
      <c r="Y1678" t="s">
        <v>20748</v>
      </c>
      <c r="Z1678" t="s">
        <v>26996</v>
      </c>
      <c r="AA1678">
        <v>0.45262779932626568</v>
      </c>
      <c r="AB1678" t="str">
        <f>HYPERLINK("Melting_Curves/meltCurve_O75083_WDR1.pdf", "Melting_Curves/meltCurve_O75083_WDR1.pdf")</f>
        <v>Melting_Curves/meltCurve_O75083_WDR1.pdf</v>
      </c>
    </row>
    <row r="1679" spans="1:28" x14ac:dyDescent="0.25">
      <c r="A1679" t="s">
        <v>1683</v>
      </c>
      <c r="B1679">
        <v>0.99542014353169495</v>
      </c>
      <c r="C1679">
        <v>0.98028888705131101</v>
      </c>
      <c r="D1679">
        <v>0.93760359625021805</v>
      </c>
      <c r="E1679">
        <v>0.60686365380371399</v>
      </c>
      <c r="F1679">
        <v>0.244576883516332</v>
      </c>
      <c r="G1679">
        <v>0.118957652842006</v>
      </c>
      <c r="H1679">
        <v>0.126956870210573</v>
      </c>
      <c r="I1679">
        <v>0.12591548760295701</v>
      </c>
      <c r="J1679">
        <v>0.128261197231121</v>
      </c>
      <c r="K1679">
        <v>9.6911210221145697E-2</v>
      </c>
      <c r="L1679">
        <v>1313.27000235065</v>
      </c>
      <c r="M1679">
        <v>27.955685707919301</v>
      </c>
      <c r="N1679">
        <v>47.414702781589298</v>
      </c>
      <c r="O1679">
        <v>46.738440950026401</v>
      </c>
      <c r="P1679">
        <v>-0.13252237054253399</v>
      </c>
      <c r="Q1679">
        <v>0.113763743097013</v>
      </c>
      <c r="R1679">
        <v>0.99911215850578405</v>
      </c>
      <c r="S1679" t="s">
        <v>8081</v>
      </c>
      <c r="T1679" t="s">
        <v>12802</v>
      </c>
      <c r="U1679" t="s">
        <v>12802</v>
      </c>
      <c r="V1679" t="s">
        <v>12802</v>
      </c>
      <c r="W1679" t="s">
        <v>14442</v>
      </c>
      <c r="X1679">
        <v>13</v>
      </c>
      <c r="Y1679" t="s">
        <v>20749</v>
      </c>
      <c r="Z1679" t="s">
        <v>26997</v>
      </c>
      <c r="AA1679">
        <v>0.41443037668646843</v>
      </c>
      <c r="AB1679" t="str">
        <f>HYPERLINK("Melting_Curves/meltCurve_O75113_N4BP1.pdf", "Melting_Curves/meltCurve_O75113_N4BP1.pdf")</f>
        <v>Melting_Curves/meltCurve_O75113_N4BP1.pdf</v>
      </c>
    </row>
    <row r="1680" spans="1:28" x14ac:dyDescent="0.25">
      <c r="A1680" t="s">
        <v>1684</v>
      </c>
      <c r="B1680">
        <v>0.99542014353169495</v>
      </c>
      <c r="C1680">
        <v>0.92644151836015298</v>
      </c>
      <c r="D1680">
        <v>1.0132559676719599</v>
      </c>
      <c r="E1680">
        <v>0.67559759915421103</v>
      </c>
      <c r="F1680">
        <v>0.22062041569076399</v>
      </c>
      <c r="G1680">
        <v>0.100018806774633</v>
      </c>
      <c r="H1680">
        <v>6.7211632027177795E-2</v>
      </c>
      <c r="I1680">
        <v>4.7763912761887801E-2</v>
      </c>
      <c r="J1680">
        <v>4.6735427367386999E-2</v>
      </c>
      <c r="K1680">
        <v>4.4651584186742498E-2</v>
      </c>
      <c r="L1680">
        <v>1468.1601265732299</v>
      </c>
      <c r="M1680">
        <v>30.808612498879601</v>
      </c>
      <c r="N1680">
        <v>47.833062867266001</v>
      </c>
      <c r="O1680">
        <v>47.4547856814713</v>
      </c>
      <c r="P1680">
        <v>-0.15347643657136101</v>
      </c>
      <c r="Q1680">
        <v>5.44009426509139E-2</v>
      </c>
      <c r="R1680">
        <v>0.99531823110462903</v>
      </c>
      <c r="S1680" t="s">
        <v>8082</v>
      </c>
      <c r="T1680" t="s">
        <v>12802</v>
      </c>
      <c r="U1680" t="s">
        <v>12802</v>
      </c>
      <c r="V1680" t="s">
        <v>12802</v>
      </c>
      <c r="W1680" t="s">
        <v>14443</v>
      </c>
      <c r="X1680">
        <v>47</v>
      </c>
      <c r="Y1680" t="s">
        <v>20750</v>
      </c>
      <c r="Z1680" t="s">
        <v>26998</v>
      </c>
      <c r="AA1680">
        <v>0.39549531903403712</v>
      </c>
      <c r="AB1680" t="str">
        <f>HYPERLINK("Melting_Curves/meltCurve_O75116_ROCK2.pdf", "Melting_Curves/meltCurve_O75116_ROCK2.pdf")</f>
        <v>Melting_Curves/meltCurve_O75116_ROCK2.pdf</v>
      </c>
    </row>
    <row r="1681" spans="1:28" x14ac:dyDescent="0.25">
      <c r="A1681" t="s">
        <v>1685</v>
      </c>
      <c r="B1681">
        <v>0.99542014353169495</v>
      </c>
      <c r="C1681">
        <v>1.0267019700506801</v>
      </c>
      <c r="D1681">
        <v>0.95271488802781901</v>
      </c>
      <c r="E1681">
        <v>0.90501898624792099</v>
      </c>
      <c r="F1681">
        <v>0.58301392304794797</v>
      </c>
      <c r="G1681">
        <v>0.15588220419664101</v>
      </c>
      <c r="H1681">
        <v>8.3326371378261904E-2</v>
      </c>
      <c r="I1681">
        <v>5.4478509318720898E-2</v>
      </c>
      <c r="J1681">
        <v>5.7820161451365697E-2</v>
      </c>
      <c r="K1681">
        <v>5.4946056731066999E-2</v>
      </c>
      <c r="L1681">
        <v>1516.72759023413</v>
      </c>
      <c r="M1681">
        <v>30.0456579105896</v>
      </c>
      <c r="N1681">
        <v>50.662082908850401</v>
      </c>
      <c r="O1681">
        <v>50.258720527392001</v>
      </c>
      <c r="P1681">
        <v>-0.141836870495131</v>
      </c>
      <c r="Q1681">
        <v>5.09785864558139E-2</v>
      </c>
      <c r="R1681">
        <v>0.99773015381691998</v>
      </c>
      <c r="S1681" t="s">
        <v>8083</v>
      </c>
      <c r="T1681" t="s">
        <v>12802</v>
      </c>
      <c r="U1681" t="s">
        <v>12802</v>
      </c>
      <c r="V1681" t="s">
        <v>12802</v>
      </c>
      <c r="W1681" t="s">
        <v>14444</v>
      </c>
      <c r="X1681">
        <v>21</v>
      </c>
      <c r="Y1681" t="s">
        <v>20751</v>
      </c>
      <c r="Z1681" t="s">
        <v>26999</v>
      </c>
      <c r="AA1681">
        <v>0.4832794177423837</v>
      </c>
      <c r="AB1681" t="str">
        <f>HYPERLINK("Melting_Curves/meltCurve_O75131_CPNE3.pdf", "Melting_Curves/meltCurve_O75131_CPNE3.pdf")</f>
        <v>Melting_Curves/meltCurve_O75131_CPNE3.pdf</v>
      </c>
    </row>
    <row r="1682" spans="1:28" x14ac:dyDescent="0.25">
      <c r="A1682" t="s">
        <v>1686</v>
      </c>
      <c r="B1682">
        <v>0.99542014353169495</v>
      </c>
      <c r="C1682">
        <v>0.98949405339871299</v>
      </c>
      <c r="D1682">
        <v>0.81778386863163699</v>
      </c>
      <c r="E1682">
        <v>0.645699668140298</v>
      </c>
      <c r="F1682">
        <v>0.380498148795469</v>
      </c>
      <c r="G1682">
        <v>0.244595076030899</v>
      </c>
      <c r="H1682">
        <v>0.231786294057759</v>
      </c>
      <c r="I1682">
        <v>0.19948955102977101</v>
      </c>
      <c r="J1682">
        <v>0.29487033720745498</v>
      </c>
      <c r="K1682">
        <v>0.347783983394859</v>
      </c>
      <c r="L1682">
        <v>937.94892534394296</v>
      </c>
      <c r="M1682">
        <v>20.256590603751398</v>
      </c>
      <c r="N1682">
        <v>47.981680756518898</v>
      </c>
      <c r="O1682">
        <v>45.859215979291797</v>
      </c>
      <c r="P1682">
        <v>-8.2402072124664105E-2</v>
      </c>
      <c r="Q1682">
        <v>0.25381766322640498</v>
      </c>
      <c r="R1682">
        <v>0.97539277469403296</v>
      </c>
      <c r="S1682" t="s">
        <v>8084</v>
      </c>
      <c r="T1682" t="s">
        <v>12802</v>
      </c>
      <c r="U1682" t="s">
        <v>12802</v>
      </c>
      <c r="V1682" t="s">
        <v>12802</v>
      </c>
      <c r="W1682" t="s">
        <v>14445</v>
      </c>
      <c r="X1682">
        <v>8</v>
      </c>
      <c r="Y1682" t="s">
        <v>20752</v>
      </c>
      <c r="Z1682" t="s">
        <v>27000</v>
      </c>
      <c r="AA1682">
        <v>0.4947270013099061</v>
      </c>
      <c r="AB1682" t="str">
        <f>HYPERLINK("Melting_Curves/meltCurve_O75143_3_ATG13.pdf", "Melting_Curves/meltCurve_O75143_3_ATG13.pdf")</f>
        <v>Melting_Curves/meltCurve_O75143_3_ATG13.pdf</v>
      </c>
    </row>
    <row r="1683" spans="1:28" x14ac:dyDescent="0.25">
      <c r="A1683" t="s">
        <v>1687</v>
      </c>
      <c r="B1683">
        <v>0.99542014353169495</v>
      </c>
      <c r="C1683">
        <v>1.0246407096622701</v>
      </c>
      <c r="D1683">
        <v>0.97997392402652095</v>
      </c>
      <c r="E1683">
        <v>0.82975546249591503</v>
      </c>
      <c r="F1683">
        <v>0.27981307385971499</v>
      </c>
      <c r="G1683">
        <v>8.8463436469064294E-2</v>
      </c>
      <c r="H1683">
        <v>6.09741054705598E-2</v>
      </c>
      <c r="I1683">
        <v>3.8503185843594502E-2</v>
      </c>
      <c r="J1683">
        <v>4.3210647999829203E-2</v>
      </c>
      <c r="K1683">
        <v>4.5436612408795998E-2</v>
      </c>
      <c r="L1683">
        <v>1695.68802439604</v>
      </c>
      <c r="M1683">
        <v>34.886615871067796</v>
      </c>
      <c r="N1683">
        <v>48.744521740013496</v>
      </c>
      <c r="O1683">
        <v>48.446819475196698</v>
      </c>
      <c r="P1683">
        <v>-0.171512988599967</v>
      </c>
      <c r="Q1683">
        <v>4.7287578184259001E-2</v>
      </c>
      <c r="R1683">
        <v>0.99942702296534303</v>
      </c>
      <c r="S1683" t="s">
        <v>8085</v>
      </c>
      <c r="T1683" t="s">
        <v>12802</v>
      </c>
      <c r="U1683" t="s">
        <v>12802</v>
      </c>
      <c r="V1683" t="s">
        <v>12802</v>
      </c>
      <c r="W1683" t="s">
        <v>14446</v>
      </c>
      <c r="X1683">
        <v>26</v>
      </c>
      <c r="Y1683" t="s">
        <v>20753</v>
      </c>
      <c r="Z1683" t="s">
        <v>27001</v>
      </c>
      <c r="AA1683">
        <v>0.42006555999575051</v>
      </c>
      <c r="AB1683" t="str">
        <f>HYPERLINK("Melting_Curves/meltCurve_O75146_HIP1R.pdf", "Melting_Curves/meltCurve_O75146_HIP1R.pdf")</f>
        <v>Melting_Curves/meltCurve_O75146_HIP1R.pdf</v>
      </c>
    </row>
    <row r="1684" spans="1:28" x14ac:dyDescent="0.25">
      <c r="A1684" t="s">
        <v>1688</v>
      </c>
      <c r="B1684">
        <v>0.99542014353169495</v>
      </c>
      <c r="C1684">
        <v>0.94014252703689205</v>
      </c>
      <c r="D1684">
        <v>0.85643143738622296</v>
      </c>
      <c r="E1684">
        <v>0.27846381811853899</v>
      </c>
      <c r="F1684">
        <v>0.16489425619450501</v>
      </c>
      <c r="G1684">
        <v>9.4933764955278999E-2</v>
      </c>
      <c r="H1684">
        <v>5.96310648553375E-2</v>
      </c>
      <c r="I1684">
        <v>3.7911416257072499E-2</v>
      </c>
      <c r="J1684">
        <v>4.2107727601718603E-2</v>
      </c>
      <c r="K1684">
        <v>5.0080072696251303E-2</v>
      </c>
      <c r="L1684">
        <v>1431.3338944147199</v>
      </c>
      <c r="M1684">
        <v>31.769227838527101</v>
      </c>
      <c r="N1684">
        <v>45.251678503306003</v>
      </c>
      <c r="O1684">
        <v>44.876713654142002</v>
      </c>
      <c r="P1684">
        <v>-0.16551996557437201</v>
      </c>
      <c r="Q1684">
        <v>6.4761292560213596E-2</v>
      </c>
      <c r="R1684">
        <v>0.99342940001674995</v>
      </c>
      <c r="S1684" t="s">
        <v>8086</v>
      </c>
      <c r="T1684" t="s">
        <v>12802</v>
      </c>
      <c r="U1684" t="s">
        <v>12802</v>
      </c>
      <c r="V1684" t="s">
        <v>12802</v>
      </c>
      <c r="W1684" t="s">
        <v>14447</v>
      </c>
      <c r="X1684">
        <v>32</v>
      </c>
      <c r="Y1684" t="s">
        <v>20754</v>
      </c>
      <c r="Z1684" t="s">
        <v>27002</v>
      </c>
      <c r="AA1684">
        <v>0.32051262408796111</v>
      </c>
      <c r="AB1684" t="str">
        <f>HYPERLINK("Melting_Curves/meltCurve_O75150_RNF40.pdf", "Melting_Curves/meltCurve_O75150_RNF40.pdf")</f>
        <v>Melting_Curves/meltCurve_O75150_RNF40.pdf</v>
      </c>
    </row>
    <row r="1685" spans="1:28" x14ac:dyDescent="0.25">
      <c r="A1685" t="s">
        <v>1689</v>
      </c>
      <c r="B1685">
        <v>0.99542014353169495</v>
      </c>
      <c r="C1685">
        <v>1.0099755342291401</v>
      </c>
      <c r="D1685">
        <v>0.83484737402224196</v>
      </c>
      <c r="E1685">
        <v>0.39714036638364802</v>
      </c>
      <c r="F1685">
        <v>0.14346456603583599</v>
      </c>
      <c r="G1685">
        <v>8.0042963486789798E-2</v>
      </c>
      <c r="H1685">
        <v>5.38778698437265E-2</v>
      </c>
      <c r="I1685">
        <v>3.7257320080523501E-2</v>
      </c>
      <c r="J1685">
        <v>5.1197093548935299E-2</v>
      </c>
      <c r="K1685">
        <v>5.0414110528431103E-2</v>
      </c>
      <c r="L1685">
        <v>1179.2635926611999</v>
      </c>
      <c r="M1685">
        <v>25.837444040677401</v>
      </c>
      <c r="N1685">
        <v>45.831007906156003</v>
      </c>
      <c r="O1685">
        <v>45.370887612846197</v>
      </c>
      <c r="P1685">
        <v>-0.13516220659910699</v>
      </c>
      <c r="Q1685">
        <v>5.0625144959494398E-2</v>
      </c>
      <c r="R1685">
        <v>0.99901819524313196</v>
      </c>
      <c r="S1685" t="s">
        <v>8087</v>
      </c>
      <c r="T1685" t="s">
        <v>12802</v>
      </c>
      <c r="U1685" t="s">
        <v>12802</v>
      </c>
      <c r="V1685" t="s">
        <v>12802</v>
      </c>
      <c r="W1685" t="s">
        <v>14448</v>
      </c>
      <c r="X1685">
        <v>12</v>
      </c>
      <c r="Y1685" t="s">
        <v>20755</v>
      </c>
      <c r="Z1685" t="s">
        <v>27003</v>
      </c>
      <c r="AA1685">
        <v>0.3314166971415281</v>
      </c>
      <c r="AB1685" t="str">
        <f>HYPERLINK("Melting_Curves/meltCurve_O75152_ZC3H11A.pdf", "Melting_Curves/meltCurve_O75152_ZC3H11A.pdf")</f>
        <v>Melting_Curves/meltCurve_O75152_ZC3H11A.pdf</v>
      </c>
    </row>
    <row r="1686" spans="1:28" x14ac:dyDescent="0.25">
      <c r="A1686" t="s">
        <v>1690</v>
      </c>
      <c r="B1686">
        <v>0.99542014353169495</v>
      </c>
      <c r="C1686">
        <v>0.90744670425900198</v>
      </c>
      <c r="D1686">
        <v>0.970235637226185</v>
      </c>
      <c r="E1686">
        <v>0.69828600582826705</v>
      </c>
      <c r="F1686">
        <v>0.249110020565354</v>
      </c>
      <c r="G1686">
        <v>0.12365644161368899</v>
      </c>
      <c r="H1686">
        <v>8.4313332106312103E-2</v>
      </c>
      <c r="I1686">
        <v>5.9922491267529299E-2</v>
      </c>
      <c r="J1686">
        <v>6.0530381858256502E-2</v>
      </c>
      <c r="K1686">
        <v>6.7559973937257795E-2</v>
      </c>
      <c r="L1686">
        <v>1341.2741406665</v>
      </c>
      <c r="M1686">
        <v>28.066927949517101</v>
      </c>
      <c r="N1686">
        <v>48.0369144716257</v>
      </c>
      <c r="O1686">
        <v>47.547797895181503</v>
      </c>
      <c r="P1686">
        <v>-0.13760192585821099</v>
      </c>
      <c r="Q1686">
        <v>6.7569795056072704E-2</v>
      </c>
      <c r="R1686">
        <v>0.99444479788071105</v>
      </c>
      <c r="S1686" t="s">
        <v>8088</v>
      </c>
      <c r="T1686" t="s">
        <v>12802</v>
      </c>
      <c r="U1686" t="s">
        <v>12802</v>
      </c>
      <c r="V1686" t="s">
        <v>12802</v>
      </c>
      <c r="W1686" t="s">
        <v>13895</v>
      </c>
      <c r="X1686">
        <v>46</v>
      </c>
      <c r="Y1686" t="s">
        <v>20212</v>
      </c>
      <c r="Z1686" t="s">
        <v>27004</v>
      </c>
      <c r="AA1686">
        <v>0.40917247444276489</v>
      </c>
      <c r="AB1686" t="str">
        <f>HYPERLINK("Melting_Curves/meltCurve_O75153_CLUH.pdf", "Melting_Curves/meltCurve_O75153_CLUH.pdf")</f>
        <v>Melting_Curves/meltCurve_O75153_CLUH.pdf</v>
      </c>
    </row>
    <row r="1687" spans="1:28" x14ac:dyDescent="0.25">
      <c r="A1687" t="s">
        <v>1691</v>
      </c>
      <c r="B1687">
        <v>0.99542014353169495</v>
      </c>
      <c r="C1687">
        <v>0.89554629112361805</v>
      </c>
      <c r="D1687">
        <v>0.73527754166246695</v>
      </c>
      <c r="E1687">
        <v>0.53722075506096001</v>
      </c>
      <c r="F1687">
        <v>0.23592391575097599</v>
      </c>
      <c r="G1687">
        <v>0.15299460412607599</v>
      </c>
      <c r="H1687">
        <v>8.1927582813629801E-2</v>
      </c>
      <c r="I1687">
        <v>6.5488000881048197E-2</v>
      </c>
      <c r="J1687">
        <v>8.1520512610103096E-2</v>
      </c>
      <c r="K1687">
        <v>8.3862092016557394E-2</v>
      </c>
      <c r="L1687">
        <v>688.96197527716004</v>
      </c>
      <c r="M1687">
        <v>14.9476499530503</v>
      </c>
      <c r="N1687">
        <v>46.442520961510702</v>
      </c>
      <c r="O1687">
        <v>45.2903043367387</v>
      </c>
      <c r="P1687">
        <v>-7.8112851309443801E-2</v>
      </c>
      <c r="Q1687">
        <v>5.3391634232594097E-2</v>
      </c>
      <c r="R1687">
        <v>0.99517539820662804</v>
      </c>
      <c r="S1687" t="s">
        <v>8089</v>
      </c>
      <c r="T1687" t="s">
        <v>12802</v>
      </c>
      <c r="U1687" t="s">
        <v>12802</v>
      </c>
      <c r="V1687" t="s">
        <v>12802</v>
      </c>
      <c r="W1687" t="s">
        <v>14449</v>
      </c>
      <c r="X1687">
        <v>8</v>
      </c>
      <c r="Y1687" t="s">
        <v>20756</v>
      </c>
      <c r="Z1687" t="s">
        <v>27005</v>
      </c>
      <c r="AA1687">
        <v>0.3621881201261053</v>
      </c>
      <c r="AB1687" t="str">
        <f>HYPERLINK("Melting_Curves/meltCurve_O75155_CAND2.pdf", "Melting_Curves/meltCurve_O75155_CAND2.pdf")</f>
        <v>Melting_Curves/meltCurve_O75155_CAND2.pdf</v>
      </c>
    </row>
    <row r="1688" spans="1:28" x14ac:dyDescent="0.25">
      <c r="A1688" t="s">
        <v>1692</v>
      </c>
      <c r="B1688">
        <v>0.99542014353169495</v>
      </c>
      <c r="C1688">
        <v>0.99696328612867402</v>
      </c>
      <c r="D1688">
        <v>0.96913221507036595</v>
      </c>
      <c r="E1688">
        <v>0.80776848932508605</v>
      </c>
      <c r="F1688">
        <v>0.59565430993073298</v>
      </c>
      <c r="G1688">
        <v>0.31309918153106597</v>
      </c>
      <c r="H1688">
        <v>0.18426539579046899</v>
      </c>
      <c r="I1688">
        <v>0.13314111297005399</v>
      </c>
      <c r="J1688">
        <v>0.193062722276722</v>
      </c>
      <c r="K1688">
        <v>0.29024461068388302</v>
      </c>
      <c r="L1688">
        <v>1071.9959895464101</v>
      </c>
      <c r="M1688">
        <v>21.5455488363048</v>
      </c>
      <c r="N1688">
        <v>50.853983842249399</v>
      </c>
      <c r="O1688">
        <v>49.332206934859002</v>
      </c>
      <c r="P1688">
        <v>-8.8864105348812505E-2</v>
      </c>
      <c r="Q1688">
        <v>0.18614176519182801</v>
      </c>
      <c r="R1688">
        <v>0.98318620707776105</v>
      </c>
      <c r="S1688" t="s">
        <v>8090</v>
      </c>
      <c r="T1688" t="s">
        <v>12802</v>
      </c>
      <c r="U1688" t="s">
        <v>12802</v>
      </c>
      <c r="V1688" t="s">
        <v>12802</v>
      </c>
      <c r="W1688" t="s">
        <v>14450</v>
      </c>
      <c r="X1688">
        <v>7</v>
      </c>
      <c r="Y1688" t="s">
        <v>20757</v>
      </c>
      <c r="Z1688" t="s">
        <v>27006</v>
      </c>
      <c r="AA1688">
        <v>0.54154325994968455</v>
      </c>
      <c r="AB1688" t="str">
        <f>HYPERLINK("Melting_Curves/meltCurve_O75157_2_TSC22D2.pdf", "Melting_Curves/meltCurve_O75157_2_TSC22D2.pdf")</f>
        <v>Melting_Curves/meltCurve_O75157_2_TSC22D2.pdf</v>
      </c>
    </row>
    <row r="1689" spans="1:28" x14ac:dyDescent="0.25">
      <c r="A1689" t="s">
        <v>1693</v>
      </c>
      <c r="B1689">
        <v>0.99542014353169495</v>
      </c>
      <c r="C1689">
        <v>1.10286802118579</v>
      </c>
      <c r="D1689">
        <v>0.97399273635276695</v>
      </c>
      <c r="E1689">
        <v>0.51502340228590404</v>
      </c>
      <c r="F1689">
        <v>0.32142899899456001</v>
      </c>
      <c r="G1689">
        <v>0.11525012213446501</v>
      </c>
      <c r="H1689">
        <v>5.3018705098511101E-2</v>
      </c>
      <c r="I1689">
        <v>8.0626958040907401E-2</v>
      </c>
      <c r="J1689">
        <v>6.5360103766552602E-2</v>
      </c>
      <c r="K1689">
        <v>7.1958386198791205E-2</v>
      </c>
      <c r="L1689">
        <v>1112.0526155408199</v>
      </c>
      <c r="M1689">
        <v>23.631585696224899</v>
      </c>
      <c r="N1689">
        <v>47.3689291357923</v>
      </c>
      <c r="O1689">
        <v>46.724800951317903</v>
      </c>
      <c r="P1689">
        <v>-0.117355567298811</v>
      </c>
      <c r="Q1689">
        <v>7.1865337975546298E-2</v>
      </c>
      <c r="R1689">
        <v>0.98233892079560103</v>
      </c>
      <c r="S1689" t="s">
        <v>8091</v>
      </c>
      <c r="T1689" t="s">
        <v>12802</v>
      </c>
      <c r="U1689" t="s">
        <v>12802</v>
      </c>
      <c r="V1689" t="s">
        <v>12802</v>
      </c>
      <c r="W1689" t="s">
        <v>14451</v>
      </c>
      <c r="X1689">
        <v>2</v>
      </c>
      <c r="Y1689" t="s">
        <v>20758</v>
      </c>
      <c r="Z1689" t="s">
        <v>27007</v>
      </c>
      <c r="AA1689">
        <v>0.3917681653904212</v>
      </c>
      <c r="AB1689" t="str">
        <f>HYPERLINK("Melting_Curves/meltCurve_O75164_KDM4A.pdf", "Melting_Curves/meltCurve_O75164_KDM4A.pdf")</f>
        <v>Melting_Curves/meltCurve_O75164_KDM4A.pdf</v>
      </c>
    </row>
    <row r="1690" spans="1:28" x14ac:dyDescent="0.25">
      <c r="A1690" t="s">
        <v>1694</v>
      </c>
      <c r="B1690">
        <v>0.99542014353169495</v>
      </c>
      <c r="C1690">
        <v>0.87447197397438903</v>
      </c>
      <c r="D1690">
        <v>0.89156879585493098</v>
      </c>
      <c r="E1690">
        <v>0.63149839986971701</v>
      </c>
      <c r="F1690">
        <v>0.311724029252615</v>
      </c>
      <c r="G1690">
        <v>0.148270482054838</v>
      </c>
      <c r="H1690">
        <v>0.111310410404229</v>
      </c>
      <c r="I1690">
        <v>6.2740676655597502E-2</v>
      </c>
      <c r="J1690">
        <v>8.2724079974397999E-2</v>
      </c>
      <c r="K1690">
        <v>8.6885269787314007E-2</v>
      </c>
      <c r="L1690">
        <v>853.47191655961899</v>
      </c>
      <c r="M1690">
        <v>17.969207564675401</v>
      </c>
      <c r="N1690">
        <v>47.8617994972562</v>
      </c>
      <c r="O1690">
        <v>46.919838182809102</v>
      </c>
      <c r="P1690">
        <v>-8.9611194901768595E-2</v>
      </c>
      <c r="Q1690">
        <v>6.4102540129026997E-2</v>
      </c>
      <c r="R1690">
        <v>0.99175703026417805</v>
      </c>
      <c r="S1690" t="s">
        <v>8092</v>
      </c>
      <c r="T1690" t="s">
        <v>12802</v>
      </c>
      <c r="U1690" t="s">
        <v>12802</v>
      </c>
      <c r="V1690" t="s">
        <v>12802</v>
      </c>
      <c r="W1690" t="s">
        <v>14452</v>
      </c>
      <c r="X1690">
        <v>7</v>
      </c>
      <c r="Y1690" t="s">
        <v>20759</v>
      </c>
      <c r="Z1690" t="s">
        <v>27008</v>
      </c>
      <c r="AA1690">
        <v>0.40659190178810012</v>
      </c>
      <c r="AB1690" t="str">
        <f>HYPERLINK("Melting_Curves/meltCurve_O75165_DNAJC13.pdf", "Melting_Curves/meltCurve_O75165_DNAJC13.pdf")</f>
        <v>Melting_Curves/meltCurve_O75165_DNAJC13.pdf</v>
      </c>
    </row>
    <row r="1691" spans="1:28" x14ac:dyDescent="0.25">
      <c r="A1691" t="s">
        <v>1695</v>
      </c>
      <c r="B1691">
        <v>0.99542014353169495</v>
      </c>
      <c r="C1691">
        <v>0.86807690863761</v>
      </c>
      <c r="D1691">
        <v>0.85762556725593997</v>
      </c>
      <c r="E1691">
        <v>0.68392830704223095</v>
      </c>
      <c r="F1691">
        <v>0.59189440306628904</v>
      </c>
      <c r="G1691">
        <v>0.41049022447052302</v>
      </c>
      <c r="H1691">
        <v>0.12021127156896801</v>
      </c>
      <c r="I1691">
        <v>6.1097069686399497E-2</v>
      </c>
      <c r="J1691">
        <v>6.4976607006710596E-2</v>
      </c>
      <c r="K1691">
        <v>7.5746542879232506E-2</v>
      </c>
      <c r="L1691">
        <v>573.06612813362597</v>
      </c>
      <c r="M1691">
        <v>11.338780576748899</v>
      </c>
      <c r="N1691">
        <v>50.540365450082902</v>
      </c>
      <c r="O1691">
        <v>49.044912996162402</v>
      </c>
      <c r="P1691">
        <v>-5.7815291966261499E-2</v>
      </c>
      <c r="Q1691">
        <v>0</v>
      </c>
      <c r="R1691">
        <v>0.97423050970479197</v>
      </c>
      <c r="S1691" t="s">
        <v>8093</v>
      </c>
      <c r="T1691" t="s">
        <v>12802</v>
      </c>
      <c r="U1691" t="s">
        <v>12802</v>
      </c>
      <c r="V1691" t="s">
        <v>12802</v>
      </c>
      <c r="W1691" t="s">
        <v>14453</v>
      </c>
      <c r="X1691">
        <v>9</v>
      </c>
      <c r="Y1691" t="s">
        <v>20760</v>
      </c>
      <c r="Z1691" t="s">
        <v>27009</v>
      </c>
      <c r="AA1691">
        <v>0.47994960631883771</v>
      </c>
      <c r="AB1691" t="str">
        <f>HYPERLINK("Melting_Curves/meltCurve_O75170_2_PPP6R2.pdf", "Melting_Curves/meltCurve_O75170_2_PPP6R2.pdf")</f>
        <v>Melting_Curves/meltCurve_O75170_2_PPP6R2.pdf</v>
      </c>
    </row>
    <row r="1692" spans="1:28" x14ac:dyDescent="0.25">
      <c r="A1692" t="s">
        <v>1696</v>
      </c>
      <c r="B1692">
        <v>0.99542014353169495</v>
      </c>
      <c r="C1692">
        <v>0.87082541117399004</v>
      </c>
      <c r="D1692">
        <v>0.91216002869298196</v>
      </c>
      <c r="E1692">
        <v>0.66062107412326998</v>
      </c>
      <c r="F1692">
        <v>0.42838079943783403</v>
      </c>
      <c r="G1692">
        <v>0.16297400564358</v>
      </c>
      <c r="H1692">
        <v>9.5453212489484102E-2</v>
      </c>
      <c r="I1692">
        <v>5.8345370700905702E-2</v>
      </c>
      <c r="J1692">
        <v>7.5148614199682398E-2</v>
      </c>
      <c r="K1692">
        <v>8.22499373636707E-2</v>
      </c>
      <c r="L1692">
        <v>776.296341775325</v>
      </c>
      <c r="M1692">
        <v>16.024746864629499</v>
      </c>
      <c r="N1692">
        <v>48.7044942609472</v>
      </c>
      <c r="O1692">
        <v>47.7080104026887</v>
      </c>
      <c r="P1692">
        <v>-8.0525497643951199E-2</v>
      </c>
      <c r="Q1692">
        <v>4.11298773419108E-2</v>
      </c>
      <c r="R1692">
        <v>0.98882495037023399</v>
      </c>
      <c r="S1692" t="s">
        <v>8094</v>
      </c>
      <c r="T1692" t="s">
        <v>12802</v>
      </c>
      <c r="U1692" t="s">
        <v>12802</v>
      </c>
      <c r="V1692" t="s">
        <v>12802</v>
      </c>
      <c r="W1692" t="s">
        <v>14454</v>
      </c>
      <c r="X1692">
        <v>11</v>
      </c>
      <c r="Y1692" t="s">
        <v>20761</v>
      </c>
      <c r="Z1692" t="s">
        <v>27010</v>
      </c>
      <c r="AA1692">
        <v>0.4256247681869999</v>
      </c>
      <c r="AB1692" t="str">
        <f>HYPERLINK("Melting_Curves/meltCurve_O75175_CNOT3.pdf", "Melting_Curves/meltCurve_O75175_CNOT3.pdf")</f>
        <v>Melting_Curves/meltCurve_O75175_CNOT3.pdf</v>
      </c>
    </row>
    <row r="1693" spans="1:28" x14ac:dyDescent="0.25">
      <c r="A1693" t="s">
        <v>1697</v>
      </c>
      <c r="B1693">
        <v>0.99542014353169495</v>
      </c>
      <c r="C1693">
        <v>0.94112696965995801</v>
      </c>
      <c r="D1693">
        <v>0.85781091086946204</v>
      </c>
      <c r="E1693">
        <v>0.526319473678172</v>
      </c>
      <c r="F1693">
        <v>0.166074053802582</v>
      </c>
      <c r="G1693">
        <v>9.3102819707868503E-2</v>
      </c>
      <c r="H1693">
        <v>6.22630415594565E-2</v>
      </c>
      <c r="I1693">
        <v>4.9090855095786701E-2</v>
      </c>
      <c r="J1693">
        <v>4.7669002843429002E-2</v>
      </c>
      <c r="K1693">
        <v>4.8396292307427098E-2</v>
      </c>
      <c r="L1693">
        <v>1046.06884687666</v>
      </c>
      <c r="M1693">
        <v>22.518271518224001</v>
      </c>
      <c r="N1693">
        <v>46.6474075529472</v>
      </c>
      <c r="O1693">
        <v>46.092520522347897</v>
      </c>
      <c r="P1693">
        <v>-0.116701165210706</v>
      </c>
      <c r="Q1693">
        <v>4.4519673703122403E-2</v>
      </c>
      <c r="R1693">
        <v>0.99822490149537801</v>
      </c>
      <c r="S1693" t="s">
        <v>8095</v>
      </c>
      <c r="T1693" t="s">
        <v>12802</v>
      </c>
      <c r="U1693" t="s">
        <v>12802</v>
      </c>
      <c r="V1693" t="s">
        <v>12802</v>
      </c>
      <c r="W1693" t="s">
        <v>14455</v>
      </c>
      <c r="X1693">
        <v>31</v>
      </c>
      <c r="Y1693" t="s">
        <v>20762</v>
      </c>
      <c r="Z1693" t="s">
        <v>27011</v>
      </c>
      <c r="AA1693">
        <v>0.3554739029313907</v>
      </c>
      <c r="AB1693" t="str">
        <f>HYPERLINK("Melting_Curves/meltCurve_O75179_2_ANKRD17.pdf", "Melting_Curves/meltCurve_O75179_2_ANKRD17.pdf")</f>
        <v>Melting_Curves/meltCurve_O75179_2_ANKRD17.pdf</v>
      </c>
    </row>
    <row r="1694" spans="1:28" x14ac:dyDescent="0.25">
      <c r="A1694" t="s">
        <v>1698</v>
      </c>
      <c r="B1694">
        <v>0.99542014353169495</v>
      </c>
      <c r="C1694">
        <v>1.0697089051337001</v>
      </c>
      <c r="D1694">
        <v>1.02616863932999</v>
      </c>
      <c r="E1694">
        <v>0.84438481883222705</v>
      </c>
      <c r="F1694">
        <v>0.34405112928077902</v>
      </c>
      <c r="G1694">
        <v>0.22676690001563801</v>
      </c>
      <c r="H1694">
        <v>0.14090155219339301</v>
      </c>
      <c r="I1694">
        <v>8.3073518273448499E-2</v>
      </c>
      <c r="J1694">
        <v>9.3317093716960106E-2</v>
      </c>
      <c r="K1694">
        <v>0.102172561176467</v>
      </c>
      <c r="L1694">
        <v>1541.4179952571801</v>
      </c>
      <c r="M1694">
        <v>31.6067296104695</v>
      </c>
      <c r="N1694">
        <v>49.173658575378603</v>
      </c>
      <c r="O1694">
        <v>48.574685038194701</v>
      </c>
      <c r="P1694">
        <v>-0.14403028045278499</v>
      </c>
      <c r="Q1694">
        <v>0.114595080494534</v>
      </c>
      <c r="R1694">
        <v>0.99170090043334502</v>
      </c>
      <c r="S1694" t="s">
        <v>8096</v>
      </c>
      <c r="T1694" t="s">
        <v>12802</v>
      </c>
      <c r="U1694" t="s">
        <v>12802</v>
      </c>
      <c r="V1694" t="s">
        <v>12802</v>
      </c>
      <c r="W1694" t="s">
        <v>14456</v>
      </c>
      <c r="X1694">
        <v>5</v>
      </c>
      <c r="Y1694" t="s">
        <v>20763</v>
      </c>
      <c r="Z1694" t="s">
        <v>27012</v>
      </c>
      <c r="AA1694">
        <v>0.46672096639930982</v>
      </c>
      <c r="AB1694" t="str">
        <f>HYPERLINK("Melting_Curves/meltCurve_O75191_XYLB.pdf", "Melting_Curves/meltCurve_O75191_XYLB.pdf")</f>
        <v>Melting_Curves/meltCurve_O75191_XYLB.pdf</v>
      </c>
    </row>
    <row r="1695" spans="1:28" x14ac:dyDescent="0.25">
      <c r="A1695" t="s">
        <v>1699</v>
      </c>
      <c r="B1695">
        <v>0.99542014353169495</v>
      </c>
      <c r="C1695">
        <v>1.1049321653605999</v>
      </c>
      <c r="D1695">
        <v>1.0605445595923899</v>
      </c>
      <c r="E1695">
        <v>0.91990175803831797</v>
      </c>
      <c r="F1695">
        <v>0.72438635521597095</v>
      </c>
      <c r="G1695">
        <v>0.45738988550364001</v>
      </c>
      <c r="H1695">
        <v>0.29280256554960798</v>
      </c>
      <c r="I1695">
        <v>0.19129661403777101</v>
      </c>
      <c r="J1695">
        <v>0.19669031780958701</v>
      </c>
      <c r="K1695">
        <v>0.136223827844905</v>
      </c>
      <c r="L1695">
        <v>1017.91110057428</v>
      </c>
      <c r="M1695">
        <v>19.483948172675401</v>
      </c>
      <c r="N1695">
        <v>53.2232355791838</v>
      </c>
      <c r="O1695">
        <v>51.702574750400402</v>
      </c>
      <c r="P1695">
        <v>-8.00182930573934E-2</v>
      </c>
      <c r="Q1695">
        <v>0.15068499955786799</v>
      </c>
      <c r="R1695">
        <v>0.98674528318655097</v>
      </c>
      <c r="S1695" t="s">
        <v>8097</v>
      </c>
      <c r="T1695" t="s">
        <v>12802</v>
      </c>
      <c r="U1695" t="s">
        <v>12802</v>
      </c>
      <c r="V1695" t="s">
        <v>12802</v>
      </c>
      <c r="W1695" t="s">
        <v>14457</v>
      </c>
      <c r="X1695">
        <v>11</v>
      </c>
      <c r="Y1695" t="s">
        <v>20764</v>
      </c>
      <c r="Z1695" t="s">
        <v>27013</v>
      </c>
      <c r="AA1695">
        <v>0.59359561592287935</v>
      </c>
      <c r="AB1695" t="str">
        <f>HYPERLINK("Melting_Curves/meltCurve_O75208_COQ9.pdf", "Melting_Curves/meltCurve_O75208_COQ9.pdf")</f>
        <v>Melting_Curves/meltCurve_O75208_COQ9.pdf</v>
      </c>
    </row>
    <row r="1696" spans="1:28" x14ac:dyDescent="0.25">
      <c r="A1696" t="s">
        <v>1700</v>
      </c>
      <c r="B1696">
        <v>0.99542014353169495</v>
      </c>
      <c r="C1696">
        <v>0.98297651804920905</v>
      </c>
      <c r="D1696">
        <v>0.96701680676473001</v>
      </c>
      <c r="E1696">
        <v>1.0429519210880001</v>
      </c>
      <c r="F1696">
        <v>0.84956455470466397</v>
      </c>
      <c r="G1696">
        <v>0.66690051137386896</v>
      </c>
      <c r="H1696">
        <v>0.18240490238576801</v>
      </c>
      <c r="I1696">
        <v>7.66490935567916E-2</v>
      </c>
      <c r="J1696">
        <v>6.5827709947070601E-2</v>
      </c>
      <c r="K1696">
        <v>7.3638171251526899E-2</v>
      </c>
      <c r="L1696">
        <v>1668.60277919276</v>
      </c>
      <c r="M1696">
        <v>30.599947142204901</v>
      </c>
      <c r="N1696">
        <v>54.717875860603201</v>
      </c>
      <c r="O1696">
        <v>54.298292809570398</v>
      </c>
      <c r="P1696">
        <v>-0.133848921630906</v>
      </c>
      <c r="Q1696">
        <v>4.9968961449885801E-2</v>
      </c>
      <c r="R1696">
        <v>0.99113335571179395</v>
      </c>
      <c r="S1696" t="s">
        <v>8098</v>
      </c>
      <c r="T1696" t="s">
        <v>12802</v>
      </c>
      <c r="U1696" t="s">
        <v>12802</v>
      </c>
      <c r="V1696" t="s">
        <v>12802</v>
      </c>
      <c r="W1696" t="s">
        <v>14458</v>
      </c>
      <c r="X1696">
        <v>14</v>
      </c>
      <c r="Y1696" t="s">
        <v>20765</v>
      </c>
      <c r="Z1696" t="s">
        <v>27014</v>
      </c>
      <c r="AA1696">
        <v>0.61093869597778416</v>
      </c>
      <c r="AB1696" t="str">
        <f>HYPERLINK("Melting_Curves/meltCurve_O75223_GGCT.pdf", "Melting_Curves/meltCurve_O75223_GGCT.pdf")</f>
        <v>Melting_Curves/meltCurve_O75223_GGCT.pdf</v>
      </c>
    </row>
    <row r="1697" spans="1:28" x14ac:dyDescent="0.25">
      <c r="A1697" t="s">
        <v>1701</v>
      </c>
      <c r="B1697">
        <v>0.99542014353169495</v>
      </c>
      <c r="C1697">
        <v>0.89190480812589401</v>
      </c>
      <c r="D1697">
        <v>0.87857565074650401</v>
      </c>
      <c r="E1697">
        <v>0.674322325915231</v>
      </c>
      <c r="F1697">
        <v>0.49094849775517801</v>
      </c>
      <c r="G1697">
        <v>0.262402072811034</v>
      </c>
      <c r="H1697">
        <v>0.16007421846634901</v>
      </c>
      <c r="I1697">
        <v>8.9099589172492402E-2</v>
      </c>
      <c r="J1697">
        <v>9.4033039578580793E-2</v>
      </c>
      <c r="K1697">
        <v>6.0576404999431302E-2</v>
      </c>
      <c r="L1697">
        <v>596.43724880666502</v>
      </c>
      <c r="M1697">
        <v>12.067013374098099</v>
      </c>
      <c r="N1697">
        <v>49.551164999638203</v>
      </c>
      <c r="O1697">
        <v>48.128392549210702</v>
      </c>
      <c r="P1697">
        <v>-6.1763037549669199E-2</v>
      </c>
      <c r="Q1697">
        <v>1.48835357546236E-2</v>
      </c>
      <c r="R1697">
        <v>0.99542520732376505</v>
      </c>
      <c r="S1697" t="s">
        <v>8099</v>
      </c>
      <c r="T1697" t="s">
        <v>12802</v>
      </c>
      <c r="U1697" t="s">
        <v>12802</v>
      </c>
      <c r="V1697" t="s">
        <v>12802</v>
      </c>
      <c r="W1697" t="s">
        <v>14459</v>
      </c>
      <c r="X1697">
        <v>15</v>
      </c>
      <c r="Y1697" t="s">
        <v>20766</v>
      </c>
      <c r="Z1697" t="s">
        <v>27015</v>
      </c>
      <c r="AA1697">
        <v>0.45132680981938822</v>
      </c>
      <c r="AB1697" t="str">
        <f>HYPERLINK("Melting_Curves/meltCurve_O75306_NDUFS2.pdf", "Melting_Curves/meltCurve_O75306_NDUFS2.pdf")</f>
        <v>Melting_Curves/meltCurve_O75306_NDUFS2.pdf</v>
      </c>
    </row>
    <row r="1698" spans="1:28" x14ac:dyDescent="0.25">
      <c r="A1698" t="s">
        <v>1702</v>
      </c>
      <c r="B1698">
        <v>0.99542014353169495</v>
      </c>
      <c r="C1698">
        <v>1.01833928823408</v>
      </c>
      <c r="D1698">
        <v>0.97487797448178903</v>
      </c>
      <c r="E1698">
        <v>0.88780629249751497</v>
      </c>
      <c r="F1698">
        <v>0.65783923864413996</v>
      </c>
      <c r="G1698">
        <v>0.353852186369985</v>
      </c>
      <c r="H1698">
        <v>0.13050314491158399</v>
      </c>
      <c r="I1698">
        <v>7.5084861713671E-2</v>
      </c>
      <c r="J1698">
        <v>7.7412871091197294E-2</v>
      </c>
      <c r="K1698">
        <v>8.4344133753206402E-2</v>
      </c>
      <c r="L1698">
        <v>1057.59321510523</v>
      </c>
      <c r="M1698">
        <v>20.5157293633997</v>
      </c>
      <c r="N1698">
        <v>51.839314693042198</v>
      </c>
      <c r="O1698">
        <v>51.068068526112803</v>
      </c>
      <c r="P1698">
        <v>-9.5009689509256298E-2</v>
      </c>
      <c r="Q1698">
        <v>5.4029534723913197E-2</v>
      </c>
      <c r="R1698">
        <v>0.99830648616306905</v>
      </c>
      <c r="S1698" t="s">
        <v>8100</v>
      </c>
      <c r="T1698" t="s">
        <v>12802</v>
      </c>
      <c r="U1698" t="s">
        <v>12802</v>
      </c>
      <c r="V1698" t="s">
        <v>12802</v>
      </c>
      <c r="W1698" t="s">
        <v>14460</v>
      </c>
      <c r="X1698">
        <v>23</v>
      </c>
      <c r="Y1698" t="s">
        <v>20767</v>
      </c>
      <c r="Z1698" t="s">
        <v>27016</v>
      </c>
      <c r="AA1698">
        <v>0.52464350389379055</v>
      </c>
      <c r="AB1698" t="str">
        <f>HYPERLINK("Melting_Curves/meltCurve_O75312_ZNF259.pdf", "Melting_Curves/meltCurve_O75312_ZNF259.pdf")</f>
        <v>Melting_Curves/meltCurve_O75312_ZNF259.pdf</v>
      </c>
    </row>
    <row r="1699" spans="1:28" x14ac:dyDescent="0.25">
      <c r="A1699" t="s">
        <v>1703</v>
      </c>
      <c r="B1699">
        <v>0.99542014353169495</v>
      </c>
      <c r="C1699">
        <v>0.89442141258315699</v>
      </c>
      <c r="D1699">
        <v>0.833019838196981</v>
      </c>
      <c r="E1699">
        <v>0.74823002475043598</v>
      </c>
      <c r="F1699">
        <v>0.64140527689827398</v>
      </c>
      <c r="G1699">
        <v>0.48704531073235002</v>
      </c>
      <c r="H1699">
        <v>0.110812012299535</v>
      </c>
      <c r="I1699">
        <v>6.3762354282361003E-2</v>
      </c>
      <c r="J1699">
        <v>7.9335650980245101E-2</v>
      </c>
      <c r="K1699">
        <v>8.9352850876958503E-2</v>
      </c>
      <c r="L1699">
        <v>614.92733113381803</v>
      </c>
      <c r="M1699">
        <v>11.936520804342001</v>
      </c>
      <c r="N1699">
        <v>51.516462818744202</v>
      </c>
      <c r="O1699">
        <v>50.134411181449003</v>
      </c>
      <c r="P1699">
        <v>-5.9537241050693197E-2</v>
      </c>
      <c r="Q1699">
        <v>0</v>
      </c>
      <c r="R1699">
        <v>0.961529164046242</v>
      </c>
      <c r="S1699" t="s">
        <v>8101</v>
      </c>
      <c r="T1699" t="s">
        <v>12802</v>
      </c>
      <c r="U1699" t="s">
        <v>12802</v>
      </c>
      <c r="V1699" t="s">
        <v>12802</v>
      </c>
      <c r="W1699" t="s">
        <v>14461</v>
      </c>
      <c r="X1699">
        <v>12</v>
      </c>
      <c r="Y1699" t="s">
        <v>20768</v>
      </c>
      <c r="Z1699" t="s">
        <v>27017</v>
      </c>
      <c r="AA1699">
        <v>0.50890138697259657</v>
      </c>
      <c r="AB1699" t="str">
        <f>HYPERLINK("Melting_Curves/meltCurve_O75323_GBAS.pdf", "Melting_Curves/meltCurve_O75323_GBAS.pdf")</f>
        <v>Melting_Curves/meltCurve_O75323_GBAS.pdf</v>
      </c>
    </row>
    <row r="1700" spans="1:28" x14ac:dyDescent="0.25">
      <c r="A1700" t="s">
        <v>1704</v>
      </c>
      <c r="B1700">
        <v>0.99542014353169495</v>
      </c>
      <c r="C1700">
        <v>0.958431329489009</v>
      </c>
      <c r="D1700">
        <v>0.89843972596407595</v>
      </c>
      <c r="E1700">
        <v>0.39994122519891701</v>
      </c>
      <c r="F1700">
        <v>0.165553609374998</v>
      </c>
      <c r="G1700">
        <v>9.6551895489419504E-2</v>
      </c>
      <c r="H1700">
        <v>6.6584199609136099E-2</v>
      </c>
      <c r="I1700">
        <v>4.84140896701164E-2</v>
      </c>
      <c r="J1700">
        <v>5.8816125291857799E-2</v>
      </c>
      <c r="K1700">
        <v>5.9291510380515201E-2</v>
      </c>
      <c r="L1700">
        <v>1308.08572900081</v>
      </c>
      <c r="M1700">
        <v>28.563990549254299</v>
      </c>
      <c r="N1700">
        <v>46.022799882322403</v>
      </c>
      <c r="O1700">
        <v>45.572223233819798</v>
      </c>
      <c r="P1700">
        <v>-0.146364571850643</v>
      </c>
      <c r="Q1700">
        <v>6.59418865385797E-2</v>
      </c>
      <c r="R1700">
        <v>0.99776390136954995</v>
      </c>
      <c r="S1700" t="s">
        <v>8102</v>
      </c>
      <c r="T1700" t="s">
        <v>12802</v>
      </c>
      <c r="U1700" t="s">
        <v>12802</v>
      </c>
      <c r="V1700" t="s">
        <v>12802</v>
      </c>
      <c r="W1700" t="s">
        <v>14462</v>
      </c>
      <c r="X1700">
        <v>28</v>
      </c>
      <c r="Y1700" t="s">
        <v>20769</v>
      </c>
      <c r="Z1700" t="s">
        <v>27018</v>
      </c>
      <c r="AA1700">
        <v>0.34564531468983373</v>
      </c>
      <c r="AB1700" t="str">
        <f>HYPERLINK("Melting_Curves/meltCurve_O75330_2_HMMR.pdf", "Melting_Curves/meltCurve_O75330_2_HMMR.pdf")</f>
        <v>Melting_Curves/meltCurve_O75330_2_HMMR.pdf</v>
      </c>
    </row>
    <row r="1701" spans="1:28" x14ac:dyDescent="0.25">
      <c r="A1701" t="s">
        <v>1705</v>
      </c>
      <c r="B1701">
        <v>0.99542014353169495</v>
      </c>
      <c r="C1701">
        <v>1.01406091197235</v>
      </c>
      <c r="D1701">
        <v>0.97752086293112905</v>
      </c>
      <c r="E1701">
        <v>0.91429070060040996</v>
      </c>
      <c r="F1701">
        <v>0.63503501478399504</v>
      </c>
      <c r="G1701">
        <v>0.29715959796778302</v>
      </c>
      <c r="H1701">
        <v>0.102732795440778</v>
      </c>
      <c r="I1701">
        <v>7.3921395178282903E-2</v>
      </c>
      <c r="J1701">
        <v>6.20915113802952E-2</v>
      </c>
      <c r="K1701">
        <v>6.2172380707737902E-2</v>
      </c>
      <c r="L1701">
        <v>1193.1079733716001</v>
      </c>
      <c r="M1701">
        <v>23.285398991769</v>
      </c>
      <c r="N1701">
        <v>51.4743175740794</v>
      </c>
      <c r="O1701">
        <v>50.865044955029603</v>
      </c>
      <c r="P1701">
        <v>-0.108657920131949</v>
      </c>
      <c r="Q1701">
        <v>5.0599651561143398E-2</v>
      </c>
      <c r="R1701">
        <v>0.99941969213320303</v>
      </c>
      <c r="S1701" t="s">
        <v>8103</v>
      </c>
      <c r="T1701" t="s">
        <v>12802</v>
      </c>
      <c r="U1701" t="s">
        <v>12802</v>
      </c>
      <c r="V1701" t="s">
        <v>12802</v>
      </c>
      <c r="W1701" t="s">
        <v>14463</v>
      </c>
      <c r="X1701">
        <v>10</v>
      </c>
      <c r="Y1701" t="s">
        <v>20770</v>
      </c>
      <c r="Z1701" t="s">
        <v>27019</v>
      </c>
      <c r="AA1701">
        <v>0.510744876792525</v>
      </c>
      <c r="AB1701" t="str">
        <f>HYPERLINK("Melting_Curves/meltCurve_O75340_PDCD6.pdf", "Melting_Curves/meltCurve_O75340_PDCD6.pdf")</f>
        <v>Melting_Curves/meltCurve_O75340_PDCD6.pdf</v>
      </c>
    </row>
    <row r="1702" spans="1:28" x14ac:dyDescent="0.25">
      <c r="A1702" t="s">
        <v>1706</v>
      </c>
      <c r="B1702">
        <v>0.99542014353169495</v>
      </c>
      <c r="C1702">
        <v>0.99655800586147703</v>
      </c>
      <c r="D1702">
        <v>0.94817835588617205</v>
      </c>
      <c r="E1702">
        <v>0.93887241446185898</v>
      </c>
      <c r="F1702">
        <v>0.78844152395276701</v>
      </c>
      <c r="G1702">
        <v>0.659926540420543</v>
      </c>
      <c r="H1702">
        <v>0.51189239414247101</v>
      </c>
      <c r="I1702">
        <v>0.46785700124582202</v>
      </c>
      <c r="J1702">
        <v>0.65702677765718498</v>
      </c>
      <c r="K1702">
        <v>0.81488946619583003</v>
      </c>
      <c r="L1702">
        <v>1540.01202567774</v>
      </c>
      <c r="M1702">
        <v>31.016772288966202</v>
      </c>
      <c r="O1702">
        <v>49.445923408290199</v>
      </c>
      <c r="P1702">
        <v>-6.0277121223798302E-2</v>
      </c>
      <c r="Q1702">
        <v>0.61563493875924502</v>
      </c>
      <c r="R1702">
        <v>0.77371247686147604</v>
      </c>
      <c r="S1702" t="s">
        <v>8104</v>
      </c>
      <c r="T1702" t="s">
        <v>12802</v>
      </c>
      <c r="U1702" t="s">
        <v>12802</v>
      </c>
      <c r="V1702" t="s">
        <v>12802</v>
      </c>
      <c r="W1702" t="s">
        <v>14464</v>
      </c>
      <c r="X1702">
        <v>19</v>
      </c>
      <c r="Y1702" t="s">
        <v>20771</v>
      </c>
      <c r="Z1702" t="s">
        <v>27020</v>
      </c>
      <c r="AA1702">
        <v>0.77991558100522385</v>
      </c>
      <c r="AB1702" t="str">
        <f>HYPERLINK("Melting_Curves/meltCurve_O75347_TBCA.pdf", "Melting_Curves/meltCurve_O75347_TBCA.pdf")</f>
        <v>Melting_Curves/meltCurve_O75347_TBCA.pdf</v>
      </c>
    </row>
    <row r="1703" spans="1:28" x14ac:dyDescent="0.25">
      <c r="A1703" t="s">
        <v>1707</v>
      </c>
      <c r="B1703">
        <v>0.99542014353169495</v>
      </c>
      <c r="C1703">
        <v>0.880081776451486</v>
      </c>
      <c r="D1703">
        <v>0.97431351012618606</v>
      </c>
      <c r="E1703">
        <v>0.73746205413370503</v>
      </c>
      <c r="F1703">
        <v>0.60720540857039695</v>
      </c>
      <c r="G1703">
        <v>0.37573817046869701</v>
      </c>
      <c r="H1703">
        <v>0.24770575802886799</v>
      </c>
      <c r="I1703">
        <v>0.16427870771700001</v>
      </c>
      <c r="J1703">
        <v>0.22116572950059199</v>
      </c>
      <c r="K1703">
        <v>0.26680307455677998</v>
      </c>
      <c r="L1703">
        <v>756.20130613698996</v>
      </c>
      <c r="M1703">
        <v>15.2373406176087</v>
      </c>
      <c r="N1703">
        <v>51.191408666174297</v>
      </c>
      <c r="O1703">
        <v>48.796927970250501</v>
      </c>
      <c r="P1703">
        <v>-6.3548791179787303E-2</v>
      </c>
      <c r="Q1703">
        <v>0.18602826031411199</v>
      </c>
      <c r="R1703">
        <v>0.97349264698903304</v>
      </c>
      <c r="S1703" t="s">
        <v>8105</v>
      </c>
      <c r="T1703" t="s">
        <v>12802</v>
      </c>
      <c r="U1703" t="s">
        <v>12802</v>
      </c>
      <c r="V1703" t="s">
        <v>12802</v>
      </c>
      <c r="W1703" t="s">
        <v>14465</v>
      </c>
      <c r="X1703">
        <v>7</v>
      </c>
      <c r="Y1703" t="s">
        <v>20772</v>
      </c>
      <c r="Z1703" t="s">
        <v>27021</v>
      </c>
      <c r="AA1703">
        <v>0.54547102087796617</v>
      </c>
      <c r="AB1703" t="str">
        <f>HYPERLINK("Melting_Curves/meltCurve_O75348_ATP6V1G1.pdf", "Melting_Curves/meltCurve_O75348_ATP6V1G1.pdf")</f>
        <v>Melting_Curves/meltCurve_O75348_ATP6V1G1.pdf</v>
      </c>
    </row>
    <row r="1704" spans="1:28" x14ac:dyDescent="0.25">
      <c r="A1704" t="s">
        <v>1708</v>
      </c>
      <c r="B1704">
        <v>0.99542014353169495</v>
      </c>
      <c r="C1704">
        <v>0.98159795020365703</v>
      </c>
      <c r="D1704">
        <v>0.99364727965767197</v>
      </c>
      <c r="E1704">
        <v>0.93670527056662001</v>
      </c>
      <c r="F1704">
        <v>0.63676371935575904</v>
      </c>
      <c r="G1704">
        <v>0.19560343613818201</v>
      </c>
      <c r="H1704">
        <v>0.109089783212814</v>
      </c>
      <c r="I1704">
        <v>7.6669616475505006E-2</v>
      </c>
      <c r="J1704">
        <v>8.2159182742433806E-2</v>
      </c>
      <c r="K1704">
        <v>8.2685789063589699E-2</v>
      </c>
      <c r="L1704">
        <v>1666.5229275757599</v>
      </c>
      <c r="M1704">
        <v>32.8067886048037</v>
      </c>
      <c r="N1704">
        <v>51.067249640550401</v>
      </c>
      <c r="O1704">
        <v>50.610459777028801</v>
      </c>
      <c r="P1704">
        <v>-0.14919027416960801</v>
      </c>
      <c r="Q1704">
        <v>7.9390861553917003E-2</v>
      </c>
      <c r="R1704">
        <v>0.99940682870820696</v>
      </c>
      <c r="S1704" t="s">
        <v>8106</v>
      </c>
      <c r="T1704" t="s">
        <v>12802</v>
      </c>
      <c r="U1704" t="s">
        <v>12802</v>
      </c>
      <c r="V1704" t="s">
        <v>12802</v>
      </c>
      <c r="W1704" t="s">
        <v>14466</v>
      </c>
      <c r="X1704">
        <v>12</v>
      </c>
      <c r="Y1704" t="s">
        <v>20773</v>
      </c>
      <c r="Z1704" t="s">
        <v>27022</v>
      </c>
      <c r="AA1704">
        <v>0.50760882183631106</v>
      </c>
      <c r="AB1704" t="str">
        <f>HYPERLINK("Melting_Curves/meltCurve_O75351_VPS4B.pdf", "Melting_Curves/meltCurve_O75351_VPS4B.pdf")</f>
        <v>Melting_Curves/meltCurve_O75351_VPS4B.pdf</v>
      </c>
    </row>
    <row r="1705" spans="1:28" x14ac:dyDescent="0.25">
      <c r="A1705" t="s">
        <v>1709</v>
      </c>
      <c r="B1705">
        <v>0.99542014353169495</v>
      </c>
      <c r="C1705">
        <v>0.90592144348781201</v>
      </c>
      <c r="D1705">
        <v>0.98587292559558304</v>
      </c>
      <c r="E1705">
        <v>0.690660190993162</v>
      </c>
      <c r="F1705">
        <v>0.51949352367199098</v>
      </c>
      <c r="G1705">
        <v>0.21408812270671801</v>
      </c>
      <c r="H1705">
        <v>0.14514990198616301</v>
      </c>
      <c r="I1705">
        <v>0.11820517379817599</v>
      </c>
      <c r="J1705">
        <v>0.13594186201507399</v>
      </c>
      <c r="K1705">
        <v>0.17796114457201601</v>
      </c>
      <c r="L1705">
        <v>902.99251990033895</v>
      </c>
      <c r="M1705">
        <v>18.488986149092899</v>
      </c>
      <c r="N1705">
        <v>49.579421986565599</v>
      </c>
      <c r="O1705">
        <v>48.2788851987073</v>
      </c>
      <c r="P1705">
        <v>-8.4200895733238801E-2</v>
      </c>
      <c r="Q1705">
        <v>0.12056918488988699</v>
      </c>
      <c r="R1705">
        <v>0.98249978501775204</v>
      </c>
      <c r="S1705" t="s">
        <v>8107</v>
      </c>
      <c r="T1705" t="s">
        <v>12802</v>
      </c>
      <c r="U1705" t="s">
        <v>12802</v>
      </c>
      <c r="V1705" t="s">
        <v>12802</v>
      </c>
      <c r="W1705" t="s">
        <v>14467</v>
      </c>
      <c r="X1705">
        <v>4</v>
      </c>
      <c r="Y1705" t="s">
        <v>20774</v>
      </c>
      <c r="Z1705" t="s">
        <v>27023</v>
      </c>
      <c r="AA1705">
        <v>0.48098544742598559</v>
      </c>
      <c r="AB1705" t="str">
        <f>HYPERLINK("Melting_Curves/meltCurve_O75362_ZNF217.pdf", "Melting_Curves/meltCurve_O75362_ZNF217.pdf")</f>
        <v>Melting_Curves/meltCurve_O75362_ZNF217.pdf</v>
      </c>
    </row>
    <row r="1706" spans="1:28" x14ac:dyDescent="0.25">
      <c r="A1706" t="s">
        <v>1710</v>
      </c>
      <c r="B1706">
        <v>0.99542014353169495</v>
      </c>
      <c r="C1706">
        <v>1.0000604353273299</v>
      </c>
      <c r="D1706">
        <v>0.932980520047059</v>
      </c>
      <c r="E1706">
        <v>0.97270413974094305</v>
      </c>
      <c r="F1706">
        <v>0.69919364283504004</v>
      </c>
      <c r="G1706">
        <v>0.48205030282379002</v>
      </c>
      <c r="H1706">
        <v>0.23783141982360101</v>
      </c>
      <c r="I1706">
        <v>0.17926272665398099</v>
      </c>
      <c r="J1706">
        <v>0.24790861244155701</v>
      </c>
      <c r="K1706">
        <v>0.30951624462424199</v>
      </c>
      <c r="L1706">
        <v>1256.8680615181399</v>
      </c>
      <c r="M1706">
        <v>24.426112163777599</v>
      </c>
      <c r="N1706">
        <v>52.8035636807098</v>
      </c>
      <c r="O1706">
        <v>51.1147512230635</v>
      </c>
      <c r="P1706">
        <v>-9.1759139006736198E-2</v>
      </c>
      <c r="Q1706">
        <v>0.23194057968014201</v>
      </c>
      <c r="R1706">
        <v>0.98069190527019301</v>
      </c>
      <c r="S1706" t="s">
        <v>8108</v>
      </c>
      <c r="T1706" t="s">
        <v>12802</v>
      </c>
      <c r="U1706" t="s">
        <v>12802</v>
      </c>
      <c r="V1706" t="s">
        <v>12802</v>
      </c>
      <c r="W1706" t="s">
        <v>14468</v>
      </c>
      <c r="X1706">
        <v>5</v>
      </c>
      <c r="Y1706" t="s">
        <v>20775</v>
      </c>
      <c r="Z1706" t="s">
        <v>27024</v>
      </c>
      <c r="AA1706">
        <v>0.60912831547752488</v>
      </c>
      <c r="AB1706" t="str">
        <f>HYPERLINK("Melting_Curves/meltCurve_O75368_SH3BGRL.pdf", "Melting_Curves/meltCurve_O75368_SH3BGRL.pdf")</f>
        <v>Melting_Curves/meltCurve_O75368_SH3BGRL.pdf</v>
      </c>
    </row>
    <row r="1707" spans="1:28" x14ac:dyDescent="0.25">
      <c r="A1707" t="s">
        <v>1711</v>
      </c>
      <c r="B1707">
        <v>0.99542014353169495</v>
      </c>
      <c r="C1707">
        <v>0.97045262307769398</v>
      </c>
      <c r="D1707">
        <v>1.0203072096389501</v>
      </c>
      <c r="E1707">
        <v>0.88321310919976503</v>
      </c>
      <c r="F1707">
        <v>0.58360263700707704</v>
      </c>
      <c r="G1707">
        <v>0.186273532736972</v>
      </c>
      <c r="H1707">
        <v>7.4646647182066303E-2</v>
      </c>
      <c r="I1707">
        <v>5.0063912419462203E-2</v>
      </c>
      <c r="J1707">
        <v>5.0372535024955499E-2</v>
      </c>
      <c r="K1707">
        <v>5.3125195125811098E-2</v>
      </c>
      <c r="L1707">
        <v>1362.39125003242</v>
      </c>
      <c r="M1707">
        <v>26.9502740249693</v>
      </c>
      <c r="N1707">
        <v>50.720681452882602</v>
      </c>
      <c r="O1707">
        <v>50.276181024246199</v>
      </c>
      <c r="P1707">
        <v>-0.12826932864683699</v>
      </c>
      <c r="Q1707">
        <v>4.2855680784732099E-2</v>
      </c>
      <c r="R1707">
        <v>0.99825572768627302</v>
      </c>
      <c r="S1707" t="s">
        <v>8109</v>
      </c>
      <c r="T1707" t="s">
        <v>12802</v>
      </c>
      <c r="U1707" t="s">
        <v>12802</v>
      </c>
      <c r="V1707" t="s">
        <v>12802</v>
      </c>
      <c r="W1707" t="s">
        <v>14469</v>
      </c>
      <c r="X1707">
        <v>95</v>
      </c>
      <c r="Y1707" t="s">
        <v>20776</v>
      </c>
      <c r="Z1707" t="s">
        <v>27025</v>
      </c>
      <c r="AA1707">
        <v>0.48252630909482952</v>
      </c>
      <c r="AB1707" t="str">
        <f>HYPERLINK("Melting_Curves/meltCurve_O75369_8_FLNB.pdf", "Melting_Curves/meltCurve_O75369_8_FLNB.pdf")</f>
        <v>Melting_Curves/meltCurve_O75369_8_FLNB.pdf</v>
      </c>
    </row>
    <row r="1708" spans="1:28" x14ac:dyDescent="0.25">
      <c r="A1708" t="s">
        <v>1712</v>
      </c>
      <c r="B1708">
        <v>0.99542014353169495</v>
      </c>
      <c r="C1708">
        <v>0.886800349621926</v>
      </c>
      <c r="D1708">
        <v>0.79913789669638302</v>
      </c>
      <c r="E1708">
        <v>0.64634843402418896</v>
      </c>
      <c r="F1708">
        <v>0.52929162848272004</v>
      </c>
      <c r="G1708">
        <v>0.35940644988378301</v>
      </c>
      <c r="H1708">
        <v>0.26862640338659999</v>
      </c>
      <c r="I1708">
        <v>0.23072443389387801</v>
      </c>
      <c r="J1708">
        <v>0.272900585585441</v>
      </c>
      <c r="K1708">
        <v>0.27182306564056102</v>
      </c>
      <c r="L1708">
        <v>532.86089717009702</v>
      </c>
      <c r="M1708">
        <v>11.236484566709599</v>
      </c>
      <c r="N1708">
        <v>49.821335739075302</v>
      </c>
      <c r="O1708">
        <v>45.994793267467998</v>
      </c>
      <c r="P1708">
        <v>-4.8329425187931603E-2</v>
      </c>
      <c r="Q1708">
        <v>0.20893009682753699</v>
      </c>
      <c r="R1708">
        <v>0.98863129564535501</v>
      </c>
      <c r="S1708" t="s">
        <v>8110</v>
      </c>
      <c r="T1708" t="s">
        <v>12802</v>
      </c>
      <c r="U1708" t="s">
        <v>12802</v>
      </c>
      <c r="V1708" t="s">
        <v>12802</v>
      </c>
      <c r="W1708" t="s">
        <v>14470</v>
      </c>
      <c r="X1708">
        <v>17</v>
      </c>
      <c r="Y1708" t="s">
        <v>20777</v>
      </c>
      <c r="Z1708" t="s">
        <v>27026</v>
      </c>
      <c r="AA1708">
        <v>0.51187865272585387</v>
      </c>
      <c r="AB1708" t="str">
        <f>HYPERLINK("Melting_Curves/meltCurve_O75376_NCOR1.pdf", "Melting_Curves/meltCurve_O75376_NCOR1.pdf")</f>
        <v>Melting_Curves/meltCurve_O75376_NCOR1.pdf</v>
      </c>
    </row>
    <row r="1709" spans="1:28" x14ac:dyDescent="0.25">
      <c r="A1709" t="s">
        <v>1713</v>
      </c>
      <c r="B1709">
        <v>0.99542014353169495</v>
      </c>
      <c r="C1709">
        <v>1.00551556115304</v>
      </c>
      <c r="D1709">
        <v>1.0986306168542099</v>
      </c>
      <c r="E1709">
        <v>0.97156383154287596</v>
      </c>
      <c r="F1709">
        <v>0.83474947610571504</v>
      </c>
      <c r="G1709">
        <v>0.56625310172398902</v>
      </c>
      <c r="H1709">
        <v>0.51643215119576702</v>
      </c>
      <c r="I1709">
        <v>0.448057782351032</v>
      </c>
      <c r="J1709">
        <v>0.63290573667463801</v>
      </c>
      <c r="K1709">
        <v>0.71148655308761999</v>
      </c>
      <c r="L1709">
        <v>12572.6979679695</v>
      </c>
      <c r="M1709">
        <v>250</v>
      </c>
      <c r="O1709">
        <v>50.287573572154699</v>
      </c>
      <c r="P1709">
        <v>-0.52817837466891404</v>
      </c>
      <c r="Q1709">
        <v>0.57502705830086098</v>
      </c>
      <c r="R1709">
        <v>0.89351423730739898</v>
      </c>
      <c r="S1709" t="s">
        <v>8111</v>
      </c>
      <c r="T1709" t="s">
        <v>12802</v>
      </c>
      <c r="U1709" t="s">
        <v>12802</v>
      </c>
      <c r="V1709" t="s">
        <v>12802</v>
      </c>
      <c r="W1709" t="s">
        <v>14471</v>
      </c>
      <c r="X1709">
        <v>8</v>
      </c>
      <c r="Y1709" t="s">
        <v>20778</v>
      </c>
      <c r="Z1709" t="s">
        <v>27027</v>
      </c>
      <c r="AA1709">
        <v>0.76333879686788131</v>
      </c>
      <c r="AB1709" t="str">
        <f>HYPERLINK("Melting_Curves/meltCurve_O75379_VAMP4.pdf", "Melting_Curves/meltCurve_O75379_VAMP4.pdf")</f>
        <v>Melting_Curves/meltCurve_O75379_VAMP4.pdf</v>
      </c>
    </row>
    <row r="1710" spans="1:28" x14ac:dyDescent="0.25">
      <c r="A1710" t="s">
        <v>1714</v>
      </c>
      <c r="B1710">
        <v>0.99542014353169495</v>
      </c>
      <c r="C1710">
        <v>0.845277808047874</v>
      </c>
      <c r="D1710">
        <v>0.93583884357045199</v>
      </c>
      <c r="E1710">
        <v>0.86878058508994205</v>
      </c>
      <c r="F1710">
        <v>0.74498999251021003</v>
      </c>
      <c r="G1710">
        <v>0.54875674400984997</v>
      </c>
      <c r="H1710">
        <v>0.44464896152928002</v>
      </c>
      <c r="I1710">
        <v>0.53604290304005298</v>
      </c>
      <c r="J1710">
        <v>0.94865064944203803</v>
      </c>
      <c r="K1710">
        <v>1.2943933817627</v>
      </c>
      <c r="L1710">
        <v>733.52001059882298</v>
      </c>
      <c r="M1710">
        <v>17.351210883018201</v>
      </c>
      <c r="O1710">
        <v>41.725316851469202</v>
      </c>
      <c r="P1710">
        <v>-2.46689165667794E-2</v>
      </c>
      <c r="Q1710">
        <v>0.76272326387387301</v>
      </c>
      <c r="R1710">
        <v>8.5879130886193505E-2</v>
      </c>
      <c r="S1710" t="s">
        <v>8112</v>
      </c>
      <c r="T1710" t="s">
        <v>12802</v>
      </c>
      <c r="U1710" t="s">
        <v>12802</v>
      </c>
      <c r="V1710" t="s">
        <v>12802</v>
      </c>
      <c r="W1710" t="s">
        <v>14472</v>
      </c>
      <c r="X1710">
        <v>6</v>
      </c>
      <c r="Y1710" t="s">
        <v>20779</v>
      </c>
      <c r="Z1710" t="s">
        <v>27028</v>
      </c>
      <c r="AA1710">
        <v>0.80927248129988893</v>
      </c>
      <c r="AB1710" t="str">
        <f>HYPERLINK("Melting_Curves/meltCurve_O75380_NDUFS6.pdf", "Melting_Curves/meltCurve_O75380_NDUFS6.pdf")</f>
        <v>Melting_Curves/meltCurve_O75380_NDUFS6.pdf</v>
      </c>
    </row>
    <row r="1711" spans="1:28" x14ac:dyDescent="0.25">
      <c r="A1711" t="s">
        <v>1715</v>
      </c>
      <c r="B1711">
        <v>0.99542014353169495</v>
      </c>
      <c r="C1711">
        <v>0.85906473432112895</v>
      </c>
      <c r="D1711">
        <v>0.96815331073138899</v>
      </c>
      <c r="E1711">
        <v>0.59877874967544498</v>
      </c>
      <c r="F1711">
        <v>0.56306453404887002</v>
      </c>
      <c r="G1711">
        <v>0.25736091555937302</v>
      </c>
      <c r="H1711">
        <v>0.16643150974863599</v>
      </c>
      <c r="I1711">
        <v>0.122681882134096</v>
      </c>
      <c r="J1711">
        <v>0.17750720821996799</v>
      </c>
      <c r="K1711">
        <v>0.235692719571542</v>
      </c>
      <c r="L1711">
        <v>721.03720615530995</v>
      </c>
      <c r="M1711">
        <v>14.925393271960401</v>
      </c>
      <c r="N1711">
        <v>49.431842367940199</v>
      </c>
      <c r="O1711">
        <v>47.467082653692103</v>
      </c>
      <c r="P1711">
        <v>-6.7318136854036495E-2</v>
      </c>
      <c r="Q1711">
        <v>0.14372336559024099</v>
      </c>
      <c r="R1711">
        <v>0.95269439662762601</v>
      </c>
      <c r="S1711" t="s">
        <v>8113</v>
      </c>
      <c r="T1711" t="s">
        <v>12802</v>
      </c>
      <c r="U1711" t="s">
        <v>12802</v>
      </c>
      <c r="V1711" t="s">
        <v>12802</v>
      </c>
      <c r="W1711" t="s">
        <v>14473</v>
      </c>
      <c r="X1711">
        <v>7</v>
      </c>
      <c r="Y1711" t="s">
        <v>20780</v>
      </c>
      <c r="Z1711" t="s">
        <v>27029</v>
      </c>
      <c r="AA1711">
        <v>0.48540650512353478</v>
      </c>
      <c r="AB1711" t="str">
        <f>HYPERLINK("Melting_Curves/meltCurve_O75381_2_PEX14.pdf", "Melting_Curves/meltCurve_O75381_2_PEX14.pdf")</f>
        <v>Melting_Curves/meltCurve_O75381_2_PEX14.pdf</v>
      </c>
    </row>
    <row r="1712" spans="1:28" x14ac:dyDescent="0.25">
      <c r="A1712" t="s">
        <v>1716</v>
      </c>
      <c r="B1712">
        <v>0.99542014353169495</v>
      </c>
      <c r="C1712">
        <v>0.97283885143769</v>
      </c>
      <c r="D1712">
        <v>0.98426437838592495</v>
      </c>
      <c r="E1712">
        <v>0.80706849545425996</v>
      </c>
      <c r="F1712">
        <v>0.72972541184963502</v>
      </c>
      <c r="G1712">
        <v>0.46424986418550102</v>
      </c>
      <c r="H1712">
        <v>0.37527758547762202</v>
      </c>
      <c r="I1712">
        <v>0.29094227212858698</v>
      </c>
      <c r="J1712">
        <v>0.256905318901539</v>
      </c>
      <c r="K1712">
        <v>0.13959353501142699</v>
      </c>
      <c r="L1712">
        <v>611.49335741939603</v>
      </c>
      <c r="M1712">
        <v>11.571913719915701</v>
      </c>
      <c r="N1712">
        <v>54.061520028166697</v>
      </c>
      <c r="O1712">
        <v>51.338756623319597</v>
      </c>
      <c r="P1712">
        <v>-4.9895464063838303E-2</v>
      </c>
      <c r="Q1712">
        <v>0.114801355762966</v>
      </c>
      <c r="R1712">
        <v>0.98847676742359702</v>
      </c>
      <c r="S1712" t="s">
        <v>8114</v>
      </c>
      <c r="T1712" t="s">
        <v>12802</v>
      </c>
      <c r="U1712" t="s">
        <v>12802</v>
      </c>
      <c r="V1712" t="s">
        <v>12802</v>
      </c>
      <c r="W1712" t="s">
        <v>14474</v>
      </c>
      <c r="X1712">
        <v>2</v>
      </c>
      <c r="Y1712" t="s">
        <v>20781</v>
      </c>
      <c r="Z1712" t="s">
        <v>27030</v>
      </c>
      <c r="AA1712">
        <v>0.6017011503403632</v>
      </c>
      <c r="AB1712" t="str">
        <f>HYPERLINK("Melting_Curves/meltCurve_O75387_SLC43A1.pdf", "Melting_Curves/meltCurve_O75387_SLC43A1.pdf")</f>
        <v>Melting_Curves/meltCurve_O75387_SLC43A1.pdf</v>
      </c>
    </row>
    <row r="1713" spans="1:28" x14ac:dyDescent="0.25">
      <c r="A1713" t="s">
        <v>1717</v>
      </c>
      <c r="B1713">
        <v>0.99542014353169495</v>
      </c>
      <c r="C1713">
        <v>0.99504525449354098</v>
      </c>
      <c r="D1713">
        <v>0.93122633612258598</v>
      </c>
      <c r="E1713">
        <v>0.853475594741953</v>
      </c>
      <c r="F1713">
        <v>0.69504125299014996</v>
      </c>
      <c r="G1713">
        <v>0.50877115177474197</v>
      </c>
      <c r="H1713">
        <v>0.29057706837286101</v>
      </c>
      <c r="I1713">
        <v>0.20273232047901699</v>
      </c>
      <c r="J1713">
        <v>0.25767773059223797</v>
      </c>
      <c r="K1713">
        <v>0.30256802853706899</v>
      </c>
      <c r="L1713">
        <v>848.97553749939698</v>
      </c>
      <c r="M1713">
        <v>16.553005024958399</v>
      </c>
      <c r="N1713">
        <v>53.160414530953702</v>
      </c>
      <c r="O1713">
        <v>50.557293473164798</v>
      </c>
      <c r="P1713">
        <v>-6.37781671706555E-2</v>
      </c>
      <c r="Q1713">
        <v>0.22087128988570401</v>
      </c>
      <c r="R1713">
        <v>0.98410923900552505</v>
      </c>
      <c r="S1713" t="s">
        <v>8115</v>
      </c>
      <c r="T1713" t="s">
        <v>12802</v>
      </c>
      <c r="U1713" t="s">
        <v>12802</v>
      </c>
      <c r="V1713" t="s">
        <v>12802</v>
      </c>
      <c r="W1713" t="s">
        <v>14475</v>
      </c>
      <c r="X1713">
        <v>10</v>
      </c>
      <c r="Y1713" t="s">
        <v>20782</v>
      </c>
      <c r="Z1713" t="s">
        <v>27031</v>
      </c>
      <c r="AA1713">
        <v>0.6055244046161441</v>
      </c>
      <c r="AB1713" t="str">
        <f>HYPERLINK("Melting_Curves/meltCurve_O75391_SPAG7.pdf", "Melting_Curves/meltCurve_O75391_SPAG7.pdf")</f>
        <v>Melting_Curves/meltCurve_O75391_SPAG7.pdf</v>
      </c>
    </row>
    <row r="1714" spans="1:28" x14ac:dyDescent="0.25">
      <c r="A1714" t="s">
        <v>1718</v>
      </c>
      <c r="B1714">
        <v>0.99542014353169495</v>
      </c>
      <c r="C1714">
        <v>1.0033216526240301</v>
      </c>
      <c r="D1714">
        <v>1.01339575748232</v>
      </c>
      <c r="E1714">
        <v>0.93500120905763995</v>
      </c>
      <c r="F1714">
        <v>0.86995432442678899</v>
      </c>
      <c r="G1714">
        <v>0.48219795282866301</v>
      </c>
      <c r="H1714">
        <v>0.132876215938355</v>
      </c>
      <c r="I1714">
        <v>4.2178325448087597E-2</v>
      </c>
      <c r="J1714">
        <v>2.4939960477108999E-2</v>
      </c>
      <c r="K1714">
        <v>2.1539849168453098E-2</v>
      </c>
      <c r="L1714">
        <v>1488.20860013635</v>
      </c>
      <c r="M1714">
        <v>27.787109543517602</v>
      </c>
      <c r="N1714">
        <v>53.603882090036002</v>
      </c>
      <c r="O1714">
        <v>53.282433833095901</v>
      </c>
      <c r="P1714">
        <v>-0.12882968991718199</v>
      </c>
      <c r="Q1714">
        <v>1.1872935300053299E-2</v>
      </c>
      <c r="R1714">
        <v>0.99840825991482196</v>
      </c>
      <c r="S1714" t="s">
        <v>8116</v>
      </c>
      <c r="T1714" t="s">
        <v>12802</v>
      </c>
      <c r="U1714" t="s">
        <v>12802</v>
      </c>
      <c r="V1714" t="s">
        <v>12802</v>
      </c>
      <c r="W1714" t="s">
        <v>14476</v>
      </c>
      <c r="X1714">
        <v>13</v>
      </c>
      <c r="Y1714" t="s">
        <v>20783</v>
      </c>
      <c r="Z1714" t="s">
        <v>27032</v>
      </c>
      <c r="AA1714">
        <v>0.56447859792458133</v>
      </c>
      <c r="AB1714" t="str">
        <f>HYPERLINK("Melting_Curves/meltCurve_O75396_SEC22B.pdf", "Melting_Curves/meltCurve_O75396_SEC22B.pdf")</f>
        <v>Melting_Curves/meltCurve_O75396_SEC22B.pdf</v>
      </c>
    </row>
    <row r="1715" spans="1:28" x14ac:dyDescent="0.25">
      <c r="A1715" t="s">
        <v>1719</v>
      </c>
      <c r="B1715">
        <v>0.99542014353169495</v>
      </c>
      <c r="C1715">
        <v>0.96441296096649398</v>
      </c>
      <c r="D1715">
        <v>0.81683995416126298</v>
      </c>
      <c r="E1715">
        <v>0.43568664532547402</v>
      </c>
      <c r="F1715">
        <v>0.119162196768589</v>
      </c>
      <c r="G1715">
        <v>6.4598411092054706E-2</v>
      </c>
      <c r="H1715">
        <v>4.0768988067461001E-2</v>
      </c>
      <c r="I1715">
        <v>2.9755195214278701E-2</v>
      </c>
      <c r="J1715">
        <v>3.4999712713837998E-2</v>
      </c>
      <c r="K1715">
        <v>3.5911048286236903E-2</v>
      </c>
      <c r="L1715">
        <v>1066.70235226509</v>
      </c>
      <c r="M1715">
        <v>23.285967514793398</v>
      </c>
      <c r="N1715">
        <v>45.930810839545103</v>
      </c>
      <c r="O1715">
        <v>45.474988156879498</v>
      </c>
      <c r="P1715">
        <v>-0.124178313001542</v>
      </c>
      <c r="Q1715">
        <v>2.99900097842783E-2</v>
      </c>
      <c r="R1715">
        <v>0.99938536700389402</v>
      </c>
      <c r="S1715" t="s">
        <v>8117</v>
      </c>
      <c r="T1715" t="s">
        <v>12802</v>
      </c>
      <c r="U1715" t="s">
        <v>12802</v>
      </c>
      <c r="V1715" t="s">
        <v>12802</v>
      </c>
      <c r="W1715" t="s">
        <v>14477</v>
      </c>
      <c r="X1715">
        <v>24</v>
      </c>
      <c r="Y1715" t="s">
        <v>20784</v>
      </c>
      <c r="Z1715" t="s">
        <v>27033</v>
      </c>
      <c r="AA1715">
        <v>0.32409345461270289</v>
      </c>
      <c r="AB1715" t="str">
        <f>HYPERLINK("Melting_Curves/meltCurve_O75400_PRPF40A.pdf", "Melting_Curves/meltCurve_O75400_PRPF40A.pdf")</f>
        <v>Melting_Curves/meltCurve_O75400_PRPF40A.pdf</v>
      </c>
    </row>
    <row r="1716" spans="1:28" x14ac:dyDescent="0.25">
      <c r="A1716" t="s">
        <v>1720</v>
      </c>
      <c r="B1716">
        <v>0.99542014353169495</v>
      </c>
      <c r="C1716">
        <v>0.94183104709113696</v>
      </c>
      <c r="D1716">
        <v>0.78028093200956505</v>
      </c>
      <c r="E1716">
        <v>0.371448888999039</v>
      </c>
      <c r="F1716">
        <v>0.131772073418467</v>
      </c>
      <c r="G1716">
        <v>5.9372781086349698E-2</v>
      </c>
      <c r="H1716">
        <v>6.8155141960728402E-2</v>
      </c>
      <c r="I1716">
        <v>7.9222755076868795E-2</v>
      </c>
      <c r="J1716">
        <v>0.20127847354411699</v>
      </c>
      <c r="K1716">
        <v>0.71661136147589599</v>
      </c>
      <c r="L1716">
        <v>1443.8106160236</v>
      </c>
      <c r="M1716">
        <v>32.601917033991803</v>
      </c>
      <c r="N1716">
        <v>45.040816969319899</v>
      </c>
      <c r="O1716">
        <v>44.120439233298299</v>
      </c>
      <c r="P1716">
        <v>-0.14585459244811</v>
      </c>
      <c r="Q1716">
        <v>0.210458873863964</v>
      </c>
      <c r="R1716">
        <v>0.751303910964079</v>
      </c>
      <c r="S1716" t="s">
        <v>8118</v>
      </c>
      <c r="T1716" t="s">
        <v>12802</v>
      </c>
      <c r="U1716" t="s">
        <v>12802</v>
      </c>
      <c r="V1716" t="s">
        <v>12802</v>
      </c>
      <c r="W1716" t="s">
        <v>14478</v>
      </c>
      <c r="X1716">
        <v>9</v>
      </c>
      <c r="Y1716" t="s">
        <v>20785</v>
      </c>
      <c r="Z1716" t="s">
        <v>27034</v>
      </c>
      <c r="AA1716">
        <v>0.40590694989340842</v>
      </c>
      <c r="AB1716" t="str">
        <f>HYPERLINK("Melting_Curves/meltCurve_O75419_2_CDC45.pdf", "Melting_Curves/meltCurve_O75419_2_CDC45.pdf")</f>
        <v>Melting_Curves/meltCurve_O75419_2_CDC45.pdf</v>
      </c>
    </row>
    <row r="1717" spans="1:28" x14ac:dyDescent="0.25">
      <c r="A1717" t="s">
        <v>1721</v>
      </c>
      <c r="B1717">
        <v>0.99542014353169495</v>
      </c>
      <c r="C1717">
        <v>0.91890770240915298</v>
      </c>
      <c r="D1717">
        <v>0.84138713733201997</v>
      </c>
      <c r="E1717">
        <v>0.488434120938881</v>
      </c>
      <c r="F1717">
        <v>0.293651135339694</v>
      </c>
      <c r="G1717">
        <v>0.15257586910911899</v>
      </c>
      <c r="H1717">
        <v>0.112719627771942</v>
      </c>
      <c r="I1717">
        <v>8.7146237468844007E-2</v>
      </c>
      <c r="J1717">
        <v>9.7421886589683399E-2</v>
      </c>
      <c r="K1717">
        <v>0.110695178961744</v>
      </c>
      <c r="L1717">
        <v>824.86912912358196</v>
      </c>
      <c r="M1717">
        <v>17.8393761681859</v>
      </c>
      <c r="N1717">
        <v>46.7637125293301</v>
      </c>
      <c r="O1717">
        <v>45.669390160647303</v>
      </c>
      <c r="P1717">
        <v>-8.8797012349695795E-2</v>
      </c>
      <c r="Q1717">
        <v>9.0753381290727506E-2</v>
      </c>
      <c r="R1717">
        <v>0.99707707676922996</v>
      </c>
      <c r="S1717" t="s">
        <v>8119</v>
      </c>
      <c r="T1717" t="s">
        <v>12802</v>
      </c>
      <c r="U1717" t="s">
        <v>12802</v>
      </c>
      <c r="V1717" t="s">
        <v>12802</v>
      </c>
      <c r="W1717" t="s">
        <v>14479</v>
      </c>
      <c r="X1717">
        <v>7</v>
      </c>
      <c r="Y1717" t="s">
        <v>20786</v>
      </c>
      <c r="Z1717" t="s">
        <v>27035</v>
      </c>
      <c r="AA1717">
        <v>0.38568823254168599</v>
      </c>
      <c r="AB1717" t="str">
        <f>HYPERLINK("Melting_Curves/meltCurve_O75420_GIGYF1.pdf", "Melting_Curves/meltCurve_O75420_GIGYF1.pdf")</f>
        <v>Melting_Curves/meltCurve_O75420_GIGYF1.pdf</v>
      </c>
    </row>
    <row r="1718" spans="1:28" x14ac:dyDescent="0.25">
      <c r="A1718" t="s">
        <v>1722</v>
      </c>
      <c r="B1718">
        <v>0.99542014353169495</v>
      </c>
      <c r="C1718">
        <v>0.81634317096379205</v>
      </c>
      <c r="D1718">
        <v>0.708951925533996</v>
      </c>
      <c r="E1718">
        <v>0.37560278843295303</v>
      </c>
      <c r="F1718">
        <v>0.17820404149500399</v>
      </c>
      <c r="G1718">
        <v>0.109635373335932</v>
      </c>
      <c r="H1718">
        <v>6.6489060243722406E-2</v>
      </c>
      <c r="I1718">
        <v>4.4996230120564001E-2</v>
      </c>
      <c r="J1718">
        <v>5.30338686285316E-2</v>
      </c>
      <c r="K1718">
        <v>4.6641052595982203E-2</v>
      </c>
      <c r="L1718">
        <v>688.68383808458395</v>
      </c>
      <c r="M1718">
        <v>15.3583831465545</v>
      </c>
      <c r="N1718">
        <v>45.057507461170303</v>
      </c>
      <c r="O1718">
        <v>44.101309351397298</v>
      </c>
      <c r="P1718">
        <v>-8.3972533458309198E-2</v>
      </c>
      <c r="Q1718">
        <v>3.5586358474505399E-2</v>
      </c>
      <c r="R1718">
        <v>0.99481851527751797</v>
      </c>
      <c r="S1718" t="s">
        <v>8120</v>
      </c>
      <c r="T1718" t="s">
        <v>12802</v>
      </c>
      <c r="U1718" t="s">
        <v>12802</v>
      </c>
      <c r="V1718" t="s">
        <v>12802</v>
      </c>
      <c r="W1718" t="s">
        <v>14480</v>
      </c>
      <c r="X1718">
        <v>9</v>
      </c>
      <c r="Y1718" t="s">
        <v>20787</v>
      </c>
      <c r="Z1718" t="s">
        <v>27036</v>
      </c>
      <c r="AA1718">
        <v>0.30965286876843001</v>
      </c>
      <c r="AB1718" t="str">
        <f>HYPERLINK("Melting_Curves/meltCurve_O75427_LRCH4.pdf", "Melting_Curves/meltCurve_O75427_LRCH4.pdf")</f>
        <v>Melting_Curves/meltCurve_O75427_LRCH4.pdf</v>
      </c>
    </row>
    <row r="1719" spans="1:28" x14ac:dyDescent="0.25">
      <c r="A1719" t="s">
        <v>1723</v>
      </c>
      <c r="B1719">
        <v>0.99542014353169495</v>
      </c>
      <c r="C1719">
        <v>0.94476083794502996</v>
      </c>
      <c r="D1719">
        <v>0.95328840459853903</v>
      </c>
      <c r="E1719">
        <v>0.86588922105993704</v>
      </c>
      <c r="F1719">
        <v>0.677618691449137</v>
      </c>
      <c r="G1719">
        <v>0.45793246974530299</v>
      </c>
      <c r="H1719">
        <v>0.23423054106149199</v>
      </c>
      <c r="I1719">
        <v>8.98064763583446E-2</v>
      </c>
      <c r="J1719">
        <v>8.6783860593145204E-2</v>
      </c>
      <c r="K1719">
        <v>8.2041249829756399E-2</v>
      </c>
      <c r="L1719">
        <v>766.41107405038701</v>
      </c>
      <c r="M1719">
        <v>14.5427894498187</v>
      </c>
      <c r="N1719">
        <v>52.790695288776099</v>
      </c>
      <c r="O1719">
        <v>51.734005548209602</v>
      </c>
      <c r="P1719">
        <v>-6.9421552309834503E-2</v>
      </c>
      <c r="Q1719">
        <v>1.22815326054228E-2</v>
      </c>
      <c r="R1719">
        <v>0.99600450481273795</v>
      </c>
      <c r="S1719" t="s">
        <v>8121</v>
      </c>
      <c r="T1719" t="s">
        <v>12802</v>
      </c>
      <c r="U1719" t="s">
        <v>12802</v>
      </c>
      <c r="V1719" t="s">
        <v>12802</v>
      </c>
      <c r="W1719" t="s">
        <v>14481</v>
      </c>
      <c r="X1719">
        <v>14</v>
      </c>
      <c r="Y1719" t="s">
        <v>20788</v>
      </c>
      <c r="Z1719" t="s">
        <v>27037</v>
      </c>
      <c r="AA1719">
        <v>0.54780968977109701</v>
      </c>
      <c r="AB1719" t="str">
        <f>HYPERLINK("Melting_Curves/meltCurve_O75436_VPS26A.pdf", "Melting_Curves/meltCurve_O75436_VPS26A.pdf")</f>
        <v>Melting_Curves/meltCurve_O75436_VPS26A.pdf</v>
      </c>
    </row>
    <row r="1720" spans="1:28" x14ac:dyDescent="0.25">
      <c r="A1720" t="s">
        <v>1724</v>
      </c>
      <c r="B1720">
        <v>0.99542014353169495</v>
      </c>
      <c r="C1720">
        <v>0.91879068234310601</v>
      </c>
      <c r="D1720">
        <v>0.90658636141294802</v>
      </c>
      <c r="E1720">
        <v>0.72862818254732598</v>
      </c>
      <c r="F1720">
        <v>0.62074559429411302</v>
      </c>
      <c r="G1720">
        <v>0.34106782726521101</v>
      </c>
      <c r="H1720">
        <v>0.25102083019601801</v>
      </c>
      <c r="I1720">
        <v>0.21530562410044499</v>
      </c>
      <c r="J1720">
        <v>0.29146825759843198</v>
      </c>
      <c r="K1720">
        <v>0.31965750116217201</v>
      </c>
      <c r="L1720">
        <v>757.89982651238302</v>
      </c>
      <c r="M1720">
        <v>15.534281594324</v>
      </c>
      <c r="N1720">
        <v>50.927820301744397</v>
      </c>
      <c r="O1720">
        <v>48.001781147550297</v>
      </c>
      <c r="P1720">
        <v>-6.1524307787660701E-2</v>
      </c>
      <c r="Q1720">
        <v>0.239612901702108</v>
      </c>
      <c r="R1720">
        <v>0.97099390612821401</v>
      </c>
      <c r="S1720" t="s">
        <v>8122</v>
      </c>
      <c r="T1720" t="s">
        <v>12802</v>
      </c>
      <c r="U1720" t="s">
        <v>12802</v>
      </c>
      <c r="V1720" t="s">
        <v>12802</v>
      </c>
      <c r="W1720" t="s">
        <v>14482</v>
      </c>
      <c r="X1720">
        <v>4</v>
      </c>
      <c r="Y1720" t="s">
        <v>20789</v>
      </c>
      <c r="Z1720" t="s">
        <v>27038</v>
      </c>
      <c r="AA1720">
        <v>0.55395884485403035</v>
      </c>
      <c r="AB1720" t="str">
        <f>HYPERLINK("Melting_Curves/meltCurve_O75438_NDUFB1.pdf", "Melting_Curves/meltCurve_O75438_NDUFB1.pdf")</f>
        <v>Melting_Curves/meltCurve_O75438_NDUFB1.pdf</v>
      </c>
    </row>
    <row r="1721" spans="1:28" x14ac:dyDescent="0.25">
      <c r="A1721" t="s">
        <v>1725</v>
      </c>
      <c r="B1721">
        <v>0.99542014353169495</v>
      </c>
      <c r="C1721">
        <v>0.98542807370128005</v>
      </c>
      <c r="D1721">
        <v>0.97252684578405302</v>
      </c>
      <c r="E1721">
        <v>0.813022757324801</v>
      </c>
      <c r="F1721">
        <v>0.55188587663174604</v>
      </c>
      <c r="G1721">
        <v>0.17507146410247101</v>
      </c>
      <c r="H1721">
        <v>7.4913325344613604E-2</v>
      </c>
      <c r="I1721">
        <v>4.9414559106258603E-2</v>
      </c>
      <c r="J1721">
        <v>4.3779192682104999E-2</v>
      </c>
      <c r="K1721">
        <v>4.0885844836830103E-2</v>
      </c>
      <c r="L1721">
        <v>1098.01262480684</v>
      </c>
      <c r="M1721">
        <v>21.880566176073199</v>
      </c>
      <c r="N1721">
        <v>50.308130132929399</v>
      </c>
      <c r="O1721">
        <v>49.768572727659098</v>
      </c>
      <c r="P1721">
        <v>-0.10698256642107599</v>
      </c>
      <c r="Q1721">
        <v>2.6670868465176901E-2</v>
      </c>
      <c r="R1721">
        <v>0.99743612382485403</v>
      </c>
      <c r="S1721" t="s">
        <v>8123</v>
      </c>
      <c r="T1721" t="s">
        <v>12802</v>
      </c>
      <c r="U1721" t="s">
        <v>12802</v>
      </c>
      <c r="V1721" t="s">
        <v>12802</v>
      </c>
      <c r="W1721" t="s">
        <v>14483</v>
      </c>
      <c r="X1721">
        <v>24</v>
      </c>
      <c r="Y1721" t="s">
        <v>20790</v>
      </c>
      <c r="Z1721" t="s">
        <v>27039</v>
      </c>
      <c r="AA1721">
        <v>0.46527692742382781</v>
      </c>
      <c r="AB1721" t="str">
        <f>HYPERLINK("Melting_Curves/meltCurve_O75439_PMPCB.pdf", "Melting_Curves/meltCurve_O75439_PMPCB.pdf")</f>
        <v>Melting_Curves/meltCurve_O75439_PMPCB.pdf</v>
      </c>
    </row>
    <row r="1722" spans="1:28" x14ac:dyDescent="0.25">
      <c r="A1722" t="s">
        <v>1726</v>
      </c>
      <c r="B1722">
        <v>0.99542014353169495</v>
      </c>
      <c r="C1722">
        <v>0.74943413457143004</v>
      </c>
      <c r="D1722">
        <v>0.61579299795294795</v>
      </c>
      <c r="E1722">
        <v>0.324035563906233</v>
      </c>
      <c r="F1722">
        <v>0.15138521995396501</v>
      </c>
      <c r="G1722">
        <v>8.4851363709410793E-2</v>
      </c>
      <c r="H1722">
        <v>4.98014786712433E-2</v>
      </c>
      <c r="I1722">
        <v>4.1593327364189199E-2</v>
      </c>
      <c r="J1722">
        <v>6.6623189355240295E-2</v>
      </c>
      <c r="K1722">
        <v>6.4985258494695997E-2</v>
      </c>
      <c r="L1722">
        <v>649.62026023564704</v>
      </c>
      <c r="M1722">
        <v>14.840617615647799</v>
      </c>
      <c r="N1722">
        <v>44.013898372767201</v>
      </c>
      <c r="O1722">
        <v>43.001392500380099</v>
      </c>
      <c r="P1722">
        <v>-8.2924772162194793E-2</v>
      </c>
      <c r="Q1722">
        <v>3.8987477212544697E-2</v>
      </c>
      <c r="R1722">
        <v>0.99079112280947901</v>
      </c>
      <c r="S1722" t="s">
        <v>8124</v>
      </c>
      <c r="T1722" t="s">
        <v>12802</v>
      </c>
      <c r="U1722" t="s">
        <v>12802</v>
      </c>
      <c r="V1722" t="s">
        <v>12802</v>
      </c>
      <c r="W1722" t="s">
        <v>14484</v>
      </c>
      <c r="X1722">
        <v>2</v>
      </c>
      <c r="Y1722" t="s">
        <v>20791</v>
      </c>
      <c r="Z1722" t="s">
        <v>27040</v>
      </c>
      <c r="AA1722">
        <v>0.28066367512376322</v>
      </c>
      <c r="AB1722" t="str">
        <f>HYPERLINK("Melting_Curves/meltCurve_O75446_SAP30.pdf", "Melting_Curves/meltCurve_O75446_SAP30.pdf")</f>
        <v>Melting_Curves/meltCurve_O75446_SAP30.pdf</v>
      </c>
    </row>
    <row r="1723" spans="1:28" x14ac:dyDescent="0.25">
      <c r="A1723" t="s">
        <v>1727</v>
      </c>
      <c r="B1723">
        <v>0.99542014353169495</v>
      </c>
      <c r="C1723">
        <v>0.92869193494869295</v>
      </c>
      <c r="D1723">
        <v>0.93562750077018098</v>
      </c>
      <c r="E1723">
        <v>0.81139512471336595</v>
      </c>
      <c r="F1723">
        <v>0.43721602018667599</v>
      </c>
      <c r="G1723">
        <v>0.175610207354815</v>
      </c>
      <c r="H1723">
        <v>0.100800029997584</v>
      </c>
      <c r="I1723">
        <v>4.62536155839861E-2</v>
      </c>
      <c r="J1723">
        <v>5.63145151031803E-2</v>
      </c>
      <c r="K1723">
        <v>7.1258820003067394E-2</v>
      </c>
      <c r="L1723">
        <v>1080.71440713837</v>
      </c>
      <c r="M1723">
        <v>21.8978465411315</v>
      </c>
      <c r="N1723">
        <v>49.594671988539098</v>
      </c>
      <c r="O1723">
        <v>48.9464897262541</v>
      </c>
      <c r="P1723">
        <v>-0.106177982188007</v>
      </c>
      <c r="Q1723">
        <v>5.0697277517080003E-2</v>
      </c>
      <c r="R1723">
        <v>0.995983056674413</v>
      </c>
      <c r="S1723" t="s">
        <v>8125</v>
      </c>
      <c r="T1723" t="s">
        <v>12802</v>
      </c>
      <c r="U1723" t="s">
        <v>12802</v>
      </c>
      <c r="V1723" t="s">
        <v>12802</v>
      </c>
      <c r="W1723" t="s">
        <v>14485</v>
      </c>
      <c r="X1723">
        <v>10</v>
      </c>
      <c r="Y1723" t="s">
        <v>20792</v>
      </c>
      <c r="Z1723" t="s">
        <v>27041</v>
      </c>
      <c r="AA1723">
        <v>0.45217110384696407</v>
      </c>
      <c r="AB1723" t="str">
        <f>HYPERLINK("Melting_Curves/meltCurve_O75449_KATNA1.pdf", "Melting_Curves/meltCurve_O75449_KATNA1.pdf")</f>
        <v>Melting_Curves/meltCurve_O75449_KATNA1.pdf</v>
      </c>
    </row>
    <row r="1724" spans="1:28" x14ac:dyDescent="0.25">
      <c r="A1724" t="s">
        <v>1728</v>
      </c>
      <c r="B1724">
        <v>0.99542014353169495</v>
      </c>
      <c r="C1724">
        <v>1.1216945696804601</v>
      </c>
      <c r="D1724">
        <v>0.53739381269866804</v>
      </c>
      <c r="E1724">
        <v>0.37485434394800099</v>
      </c>
      <c r="F1724">
        <v>0.35414218138938902</v>
      </c>
      <c r="G1724">
        <v>0.20594356830282101</v>
      </c>
      <c r="H1724">
        <v>0.14769452260447399</v>
      </c>
      <c r="I1724">
        <v>6.02294035228002E-2</v>
      </c>
      <c r="J1724">
        <v>0.30039189240893099</v>
      </c>
      <c r="K1724">
        <v>0.11833096171844699</v>
      </c>
      <c r="L1724">
        <v>10733.3806538676</v>
      </c>
      <c r="M1724">
        <v>250</v>
      </c>
      <c r="N1724">
        <v>43.0352395439009</v>
      </c>
      <c r="O1724">
        <v>42.930776408000398</v>
      </c>
      <c r="P1724">
        <v>-1.1310594784355099</v>
      </c>
      <c r="Q1724">
        <v>0.22308383841381399</v>
      </c>
      <c r="R1724">
        <v>0.91280388261679801</v>
      </c>
      <c r="S1724" t="s">
        <v>8126</v>
      </c>
      <c r="T1724" t="s">
        <v>12802</v>
      </c>
      <c r="U1724" t="s">
        <v>12802</v>
      </c>
      <c r="V1724" t="s">
        <v>12802</v>
      </c>
      <c r="W1724" t="s">
        <v>14486</v>
      </c>
      <c r="X1724">
        <v>1</v>
      </c>
      <c r="Y1724" t="s">
        <v>20793</v>
      </c>
      <c r="Z1724" t="s">
        <v>27042</v>
      </c>
      <c r="AA1724">
        <v>0.37680403106824728</v>
      </c>
      <c r="AB1724" t="str">
        <f>HYPERLINK("Melting_Curves/meltCurve_O75452_RDH16.pdf", "Melting_Curves/meltCurve_O75452_RDH16.pdf")</f>
        <v>Melting_Curves/meltCurve_O75452_RDH16.pdf</v>
      </c>
    </row>
    <row r="1725" spans="1:28" x14ac:dyDescent="0.25">
      <c r="A1725" t="s">
        <v>1729</v>
      </c>
      <c r="B1725">
        <v>0.99542014353169495</v>
      </c>
      <c r="C1725">
        <v>1.14715458250475</v>
      </c>
      <c r="D1725">
        <v>1.1671931554163699</v>
      </c>
      <c r="E1725">
        <v>1.12471703160716</v>
      </c>
      <c r="F1725">
        <v>0.97587730819437501</v>
      </c>
      <c r="G1725">
        <v>0.65478921090992004</v>
      </c>
      <c r="H1725">
        <v>0.53245647374465699</v>
      </c>
      <c r="I1725">
        <v>0.50840878685785196</v>
      </c>
      <c r="J1725">
        <v>0.70213844611417997</v>
      </c>
      <c r="K1725">
        <v>0.97030941509431901</v>
      </c>
      <c r="L1725">
        <v>12676.911508286599</v>
      </c>
      <c r="M1725">
        <v>250</v>
      </c>
      <c r="O1725">
        <v>50.7044173691732</v>
      </c>
      <c r="P1725">
        <v>-0.40230675188869602</v>
      </c>
      <c r="Q1725">
        <v>0.67362043337663102</v>
      </c>
      <c r="R1725">
        <v>0.65573142642188997</v>
      </c>
      <c r="S1725" t="s">
        <v>8127</v>
      </c>
      <c r="T1725" t="s">
        <v>12802</v>
      </c>
      <c r="U1725" t="s">
        <v>12802</v>
      </c>
      <c r="V1725" t="s">
        <v>12802</v>
      </c>
      <c r="W1725" t="s">
        <v>14487</v>
      </c>
      <c r="X1725">
        <v>5</v>
      </c>
      <c r="Y1725" t="s">
        <v>20794</v>
      </c>
      <c r="Z1725" t="s">
        <v>27043</v>
      </c>
      <c r="AA1725">
        <v>0.82277933065377273</v>
      </c>
      <c r="AB1725" t="str">
        <f>HYPERLINK("Melting_Curves/meltCurve_O75459_PAGE1.pdf", "Melting_Curves/meltCurve_O75459_PAGE1.pdf")</f>
        <v>Melting_Curves/meltCurve_O75459_PAGE1.pdf</v>
      </c>
    </row>
    <row r="1726" spans="1:28" x14ac:dyDescent="0.25">
      <c r="A1726" t="s">
        <v>1730</v>
      </c>
      <c r="B1726">
        <v>0.99542014353169495</v>
      </c>
      <c r="C1726">
        <v>0.97451495584930004</v>
      </c>
      <c r="D1726">
        <v>0.99393306159220796</v>
      </c>
      <c r="E1726">
        <v>0.94697086784551299</v>
      </c>
      <c r="F1726">
        <v>0.58101537261705205</v>
      </c>
      <c r="G1726">
        <v>0.36657023670254102</v>
      </c>
      <c r="H1726">
        <v>0.24376287794507501</v>
      </c>
      <c r="I1726">
        <v>0.17770286747521399</v>
      </c>
      <c r="J1726">
        <v>0.27905767712259799</v>
      </c>
      <c r="K1726">
        <v>0.37136878685230301</v>
      </c>
      <c r="L1726">
        <v>1644.1115580012799</v>
      </c>
      <c r="M1726">
        <v>32.9855810005931</v>
      </c>
      <c r="N1726">
        <v>51.058390856377699</v>
      </c>
      <c r="O1726">
        <v>49.661217040570897</v>
      </c>
      <c r="P1726">
        <v>-0.12089835199959</v>
      </c>
      <c r="Q1726">
        <v>0.271932496287143</v>
      </c>
      <c r="R1726">
        <v>0.97904003666078399</v>
      </c>
      <c r="S1726" t="s">
        <v>8128</v>
      </c>
      <c r="T1726" t="s">
        <v>12802</v>
      </c>
      <c r="U1726" t="s">
        <v>12802</v>
      </c>
      <c r="V1726" t="s">
        <v>12802</v>
      </c>
      <c r="W1726" t="s">
        <v>14488</v>
      </c>
      <c r="X1726">
        <v>21</v>
      </c>
      <c r="Y1726" t="s">
        <v>20795</v>
      </c>
      <c r="Z1726" t="s">
        <v>27044</v>
      </c>
      <c r="AA1726">
        <v>0.58731650857551376</v>
      </c>
      <c r="AB1726" t="str">
        <f>HYPERLINK("Melting_Curves/meltCurve_O75475_PSIP1.pdf", "Melting_Curves/meltCurve_O75475_PSIP1.pdf")</f>
        <v>Melting_Curves/meltCurve_O75475_PSIP1.pdf</v>
      </c>
    </row>
    <row r="1727" spans="1:28" x14ac:dyDescent="0.25">
      <c r="A1727" t="s">
        <v>1731</v>
      </c>
      <c r="B1727">
        <v>0.99542014353169495</v>
      </c>
      <c r="C1727">
        <v>1.0453221547623699</v>
      </c>
      <c r="D1727">
        <v>0.99382149580457302</v>
      </c>
      <c r="E1727">
        <v>0.90036272808500595</v>
      </c>
      <c r="F1727">
        <v>0.64436087877118797</v>
      </c>
      <c r="G1727">
        <v>0.38025470582250998</v>
      </c>
      <c r="H1727">
        <v>0.241071646051362</v>
      </c>
      <c r="I1727">
        <v>0.19664560998056699</v>
      </c>
      <c r="J1727">
        <v>0.177857536667761</v>
      </c>
      <c r="K1727">
        <v>0.26891096450718699</v>
      </c>
      <c r="L1727">
        <v>1186.7612628884499</v>
      </c>
      <c r="M1727">
        <v>23.426672551008799</v>
      </c>
      <c r="N1727">
        <v>51.833877660612998</v>
      </c>
      <c r="O1727">
        <v>50.293762304600797</v>
      </c>
      <c r="P1727">
        <v>-9.2456509562018702E-2</v>
      </c>
      <c r="Q1727">
        <v>0.206049692486902</v>
      </c>
      <c r="R1727">
        <v>0.99347629183572195</v>
      </c>
      <c r="S1727" t="s">
        <v>8129</v>
      </c>
      <c r="T1727" t="s">
        <v>12802</v>
      </c>
      <c r="U1727" t="s">
        <v>12802</v>
      </c>
      <c r="V1727" t="s">
        <v>12802</v>
      </c>
      <c r="W1727" t="s">
        <v>14489</v>
      </c>
      <c r="X1727">
        <v>16</v>
      </c>
      <c r="Y1727" t="s">
        <v>20795</v>
      </c>
      <c r="Z1727" t="s">
        <v>27045</v>
      </c>
      <c r="AA1727">
        <v>0.57540503136540744</v>
      </c>
      <c r="AB1727" t="str">
        <f>HYPERLINK("Melting_Curves/meltCurve_O75475_3_PSIP1.pdf", "Melting_Curves/meltCurve_O75475_3_PSIP1.pdf")</f>
        <v>Melting_Curves/meltCurve_O75475_3_PSIP1.pdf</v>
      </c>
    </row>
    <row r="1728" spans="1:28" x14ac:dyDescent="0.25">
      <c r="A1728" t="s">
        <v>1732</v>
      </c>
      <c r="B1728">
        <v>0.99542014353169495</v>
      </c>
      <c r="C1728">
        <v>0.82835888784105405</v>
      </c>
      <c r="D1728">
        <v>1.02663559419012</v>
      </c>
      <c r="E1728">
        <v>0.57093588154149899</v>
      </c>
      <c r="F1728">
        <v>0.34656804151305098</v>
      </c>
      <c r="G1728">
        <v>0.14138766404779099</v>
      </c>
      <c r="H1728">
        <v>9.1720256254418403E-2</v>
      </c>
      <c r="I1728">
        <v>5.6536861611987198E-2</v>
      </c>
      <c r="J1728">
        <v>6.42374611119053E-2</v>
      </c>
      <c r="K1728">
        <v>4.60544494237504E-2</v>
      </c>
      <c r="L1728">
        <v>936.38137528835102</v>
      </c>
      <c r="M1728">
        <v>19.625957994301601</v>
      </c>
      <c r="N1728">
        <v>47.981688686247402</v>
      </c>
      <c r="O1728">
        <v>47.224297099364598</v>
      </c>
      <c r="P1728">
        <v>-9.8463291285558502E-2</v>
      </c>
      <c r="Q1728">
        <v>5.2337198263364401E-2</v>
      </c>
      <c r="R1728">
        <v>0.97001364594529904</v>
      </c>
      <c r="S1728" t="s">
        <v>8130</v>
      </c>
      <c r="T1728" t="s">
        <v>12802</v>
      </c>
      <c r="U1728" t="s">
        <v>12802</v>
      </c>
      <c r="V1728" t="s">
        <v>12802</v>
      </c>
      <c r="W1728" t="s">
        <v>14490</v>
      </c>
      <c r="X1728">
        <v>10</v>
      </c>
      <c r="Y1728" t="s">
        <v>20796</v>
      </c>
      <c r="Z1728" t="s">
        <v>27046</v>
      </c>
      <c r="AA1728">
        <v>0.40358950460853438</v>
      </c>
      <c r="AB1728" t="str">
        <f>HYPERLINK("Melting_Curves/meltCurve_O75477_ERLIN1.pdf", "Melting_Curves/meltCurve_O75477_ERLIN1.pdf")</f>
        <v>Melting_Curves/meltCurve_O75477_ERLIN1.pdf</v>
      </c>
    </row>
    <row r="1729" spans="1:28" x14ac:dyDescent="0.25">
      <c r="A1729" t="s">
        <v>1733</v>
      </c>
      <c r="B1729">
        <v>0.99542014353169495</v>
      </c>
      <c r="C1729">
        <v>0.94641098140885205</v>
      </c>
      <c r="D1729">
        <v>0.86855672171480502</v>
      </c>
      <c r="E1729">
        <v>0.74035752185553705</v>
      </c>
      <c r="F1729">
        <v>0.59573039763809399</v>
      </c>
      <c r="G1729">
        <v>0.331986567642993</v>
      </c>
      <c r="H1729">
        <v>0.193829795168628</v>
      </c>
      <c r="I1729">
        <v>0.108983363612409</v>
      </c>
      <c r="J1729">
        <v>9.2151550010324199E-2</v>
      </c>
      <c r="K1729">
        <v>9.3320075823452198E-2</v>
      </c>
      <c r="L1729">
        <v>602.38949423668805</v>
      </c>
      <c r="M1729">
        <v>11.847142700314</v>
      </c>
      <c r="N1729">
        <v>50.941645880304499</v>
      </c>
      <c r="O1729">
        <v>49.462994281166502</v>
      </c>
      <c r="P1729">
        <v>-5.9240767890606498E-2</v>
      </c>
      <c r="Q1729">
        <v>1.09062779841266E-2</v>
      </c>
      <c r="R1729">
        <v>0.99511973801803499</v>
      </c>
      <c r="S1729" t="s">
        <v>8131</v>
      </c>
      <c r="T1729" t="s">
        <v>12802</v>
      </c>
      <c r="U1729" t="s">
        <v>12802</v>
      </c>
      <c r="V1729" t="s">
        <v>12802</v>
      </c>
      <c r="W1729" t="s">
        <v>14491</v>
      </c>
      <c r="X1729">
        <v>14</v>
      </c>
      <c r="Y1729" t="s">
        <v>20797</v>
      </c>
      <c r="Z1729" t="s">
        <v>27047</v>
      </c>
      <c r="AA1729">
        <v>0.49383774437062561</v>
      </c>
      <c r="AB1729" t="str">
        <f>HYPERLINK("Melting_Curves/meltCurve_O75489_NDUFS3.pdf", "Melting_Curves/meltCurve_O75489_NDUFS3.pdf")</f>
        <v>Melting_Curves/meltCurve_O75489_NDUFS3.pdf</v>
      </c>
    </row>
    <row r="1730" spans="1:28" x14ac:dyDescent="0.25">
      <c r="A1730" t="s">
        <v>1734</v>
      </c>
      <c r="B1730">
        <v>0.99542014353169495</v>
      </c>
      <c r="C1730">
        <v>0.98774017850808604</v>
      </c>
      <c r="D1730">
        <v>0.91975588183388302</v>
      </c>
      <c r="E1730">
        <v>0.83203813442616503</v>
      </c>
      <c r="F1730">
        <v>0.63549962840375596</v>
      </c>
      <c r="G1730">
        <v>0.42265730660821399</v>
      </c>
      <c r="H1730">
        <v>0.16004810564393701</v>
      </c>
      <c r="I1730">
        <v>0.10933487378720499</v>
      </c>
      <c r="J1730">
        <v>0.14753896711893699</v>
      </c>
      <c r="K1730">
        <v>0.241319310104327</v>
      </c>
      <c r="L1730">
        <v>897.39074704028997</v>
      </c>
      <c r="M1730">
        <v>17.642669612958699</v>
      </c>
      <c r="N1730">
        <v>51.7633762412582</v>
      </c>
      <c r="O1730">
        <v>50.224801943078504</v>
      </c>
      <c r="P1730">
        <v>-7.6238896758278898E-2</v>
      </c>
      <c r="Q1730">
        <v>0.13190483932201699</v>
      </c>
      <c r="R1730">
        <v>0.97952145858537398</v>
      </c>
      <c r="S1730" t="s">
        <v>8132</v>
      </c>
      <c r="T1730" t="s">
        <v>12802</v>
      </c>
      <c r="U1730" t="s">
        <v>12802</v>
      </c>
      <c r="V1730" t="s">
        <v>12802</v>
      </c>
      <c r="W1730" t="s">
        <v>14492</v>
      </c>
      <c r="X1730">
        <v>4</v>
      </c>
      <c r="Y1730" t="s">
        <v>20798</v>
      </c>
      <c r="Z1730" t="s">
        <v>27048</v>
      </c>
      <c r="AA1730">
        <v>0.54702818187816615</v>
      </c>
      <c r="AB1730" t="str">
        <f>HYPERLINK("Melting_Curves/meltCurve_O75503_CLN5.pdf", "Melting_Curves/meltCurve_O75503_CLN5.pdf")</f>
        <v>Melting_Curves/meltCurve_O75503_CLN5.pdf</v>
      </c>
    </row>
    <row r="1731" spans="1:28" x14ac:dyDescent="0.25">
      <c r="A1731" t="s">
        <v>1735</v>
      </c>
      <c r="B1731">
        <v>0.99542014353169495</v>
      </c>
      <c r="C1731">
        <v>1.0616998759626399</v>
      </c>
      <c r="D1731">
        <v>0.88624990939832504</v>
      </c>
      <c r="E1731">
        <v>0.93516848733535896</v>
      </c>
      <c r="F1731">
        <v>0.76593255876578004</v>
      </c>
      <c r="G1731">
        <v>0.70068986993818605</v>
      </c>
      <c r="H1731">
        <v>0.51986717087852397</v>
      </c>
      <c r="I1731">
        <v>0.50201190054007905</v>
      </c>
      <c r="J1731">
        <v>0.67820446725309103</v>
      </c>
      <c r="K1731">
        <v>0.81713384597373095</v>
      </c>
      <c r="L1731">
        <v>1254.6531929734001</v>
      </c>
      <c r="M1731">
        <v>25.628126761949499</v>
      </c>
      <c r="O1731">
        <v>48.660933933403903</v>
      </c>
      <c r="P1731">
        <v>-4.8016696171524501E-2</v>
      </c>
      <c r="Q1731">
        <v>0.63532109097965705</v>
      </c>
      <c r="R1731">
        <v>0.73971492622226398</v>
      </c>
      <c r="S1731" t="s">
        <v>8133</v>
      </c>
      <c r="T1731" t="s">
        <v>12802</v>
      </c>
      <c r="U1731" t="s">
        <v>12802</v>
      </c>
      <c r="V1731" t="s">
        <v>12802</v>
      </c>
      <c r="W1731" t="s">
        <v>14493</v>
      </c>
      <c r="X1731">
        <v>5</v>
      </c>
      <c r="Y1731" t="s">
        <v>20799</v>
      </c>
      <c r="Z1731" t="s">
        <v>27049</v>
      </c>
      <c r="AA1731">
        <v>0.78365969022984427</v>
      </c>
      <c r="AB1731" t="str">
        <f>HYPERLINK("Melting_Curves/meltCurve_O75506_HSBP1.pdf", "Melting_Curves/meltCurve_O75506_HSBP1.pdf")</f>
        <v>Melting_Curves/meltCurve_O75506_HSBP1.pdf</v>
      </c>
    </row>
    <row r="1732" spans="1:28" x14ac:dyDescent="0.25">
      <c r="A1732" t="s">
        <v>1736</v>
      </c>
      <c r="B1732">
        <v>0.99542014353169495</v>
      </c>
      <c r="C1732">
        <v>0.97017870193471301</v>
      </c>
      <c r="D1732">
        <v>0.92340689756927596</v>
      </c>
      <c r="E1732">
        <v>0.85980377925009699</v>
      </c>
      <c r="F1732">
        <v>0.66362497987152502</v>
      </c>
      <c r="G1732">
        <v>0.42176580250517498</v>
      </c>
      <c r="H1732">
        <v>0.22127772862685099</v>
      </c>
      <c r="I1732">
        <v>9.6014514352055796E-2</v>
      </c>
      <c r="J1732">
        <v>5.8534034406429E-2</v>
      </c>
      <c r="K1732">
        <v>6.1498980368881698E-2</v>
      </c>
      <c r="L1732">
        <v>752.31278815220003</v>
      </c>
      <c r="M1732">
        <v>14.342111023532199</v>
      </c>
      <c r="N1732">
        <v>52.454815386040998</v>
      </c>
      <c r="O1732">
        <v>51.4666577655832</v>
      </c>
      <c r="P1732">
        <v>-6.9675410137976304E-2</v>
      </c>
      <c r="Q1732">
        <v>0</v>
      </c>
      <c r="R1732">
        <v>0.99805243007224398</v>
      </c>
      <c r="S1732" t="s">
        <v>8134</v>
      </c>
      <c r="T1732" t="s">
        <v>12802</v>
      </c>
      <c r="U1732" t="s">
        <v>12802</v>
      </c>
      <c r="V1732" t="s">
        <v>12802</v>
      </c>
      <c r="W1732" t="s">
        <v>14494</v>
      </c>
      <c r="X1732">
        <v>18</v>
      </c>
      <c r="Y1732" t="s">
        <v>20800</v>
      </c>
      <c r="Z1732" t="s">
        <v>27050</v>
      </c>
      <c r="AA1732">
        <v>0.53463076692940492</v>
      </c>
      <c r="AB1732" t="str">
        <f>HYPERLINK("Melting_Curves/meltCurve_O75521_2_ECI2.pdf", "Melting_Curves/meltCurve_O75521_2_ECI2.pdf")</f>
        <v>Melting_Curves/meltCurve_O75521_2_ECI2.pdf</v>
      </c>
    </row>
    <row r="1733" spans="1:28" x14ac:dyDescent="0.25">
      <c r="A1733" t="s">
        <v>1737</v>
      </c>
      <c r="B1733">
        <v>0.99542014353169495</v>
      </c>
      <c r="C1733">
        <v>0.94631448335530899</v>
      </c>
      <c r="D1733">
        <v>0.84483382329978096</v>
      </c>
      <c r="E1733">
        <v>0.72329558623344303</v>
      </c>
      <c r="F1733">
        <v>0.56297204122869604</v>
      </c>
      <c r="G1733">
        <v>0.32315310165959299</v>
      </c>
      <c r="H1733">
        <v>0.13112713542193399</v>
      </c>
      <c r="I1733">
        <v>8.9793436304025601E-2</v>
      </c>
      <c r="J1733">
        <v>0.10958437666824999</v>
      </c>
      <c r="K1733">
        <v>0.11119544695381101</v>
      </c>
      <c r="L1733">
        <v>624.08342613960497</v>
      </c>
      <c r="M1733">
        <v>12.459208817448101</v>
      </c>
      <c r="N1733">
        <v>50.336952176115901</v>
      </c>
      <c r="O1733">
        <v>48.8522423372197</v>
      </c>
      <c r="P1733">
        <v>-6.1883425763187297E-2</v>
      </c>
      <c r="Q1733">
        <v>2.9628840754628301E-2</v>
      </c>
      <c r="R1733">
        <v>0.98992750395492402</v>
      </c>
      <c r="S1733" t="s">
        <v>8135</v>
      </c>
      <c r="T1733" t="s">
        <v>12802</v>
      </c>
      <c r="U1733" t="s">
        <v>12802</v>
      </c>
      <c r="V1733" t="s">
        <v>12802</v>
      </c>
      <c r="W1733" t="s">
        <v>14495</v>
      </c>
      <c r="X1733">
        <v>9</v>
      </c>
      <c r="Y1733" t="s">
        <v>20801</v>
      </c>
      <c r="Z1733" t="s">
        <v>27051</v>
      </c>
      <c r="AA1733">
        <v>0.47887184980527281</v>
      </c>
      <c r="AB1733" t="str">
        <f>HYPERLINK("Melting_Curves/meltCurve_O75528_TADA3.pdf", "Melting_Curves/meltCurve_O75528_TADA3.pdf")</f>
        <v>Melting_Curves/meltCurve_O75528_TADA3.pdf</v>
      </c>
    </row>
    <row r="1734" spans="1:28" x14ac:dyDescent="0.25">
      <c r="A1734" t="s">
        <v>1738</v>
      </c>
      <c r="B1734">
        <v>0.99542014353169495</v>
      </c>
      <c r="C1734">
        <v>0.99474826753152401</v>
      </c>
      <c r="D1734">
        <v>0.96023519408730496</v>
      </c>
      <c r="E1734">
        <v>0.92889748203304701</v>
      </c>
      <c r="F1734">
        <v>0.80848574696004505</v>
      </c>
      <c r="G1734">
        <v>0.175590938671423</v>
      </c>
      <c r="H1734">
        <v>0.10263773990034999</v>
      </c>
      <c r="I1734">
        <v>6.5829287794222799E-2</v>
      </c>
      <c r="J1734">
        <v>5.9949955597508001E-2</v>
      </c>
      <c r="K1734">
        <v>5.4677786388526099E-2</v>
      </c>
      <c r="L1734">
        <v>2443.41469101538</v>
      </c>
      <c r="M1734">
        <v>47.361792774745297</v>
      </c>
      <c r="N1734">
        <v>51.7477830898804</v>
      </c>
      <c r="O1734">
        <v>51.498703012969898</v>
      </c>
      <c r="P1734">
        <v>-0.21449724359016401</v>
      </c>
      <c r="Q1734">
        <v>6.70694197707596E-2</v>
      </c>
      <c r="R1734">
        <v>0.99616860939179996</v>
      </c>
      <c r="S1734" t="s">
        <v>8136</v>
      </c>
      <c r="T1734" t="s">
        <v>12802</v>
      </c>
      <c r="U1734" t="s">
        <v>12802</v>
      </c>
      <c r="V1734" t="s">
        <v>12802</v>
      </c>
      <c r="W1734" t="s">
        <v>14496</v>
      </c>
      <c r="X1734">
        <v>8</v>
      </c>
      <c r="Y1734" t="s">
        <v>20802</v>
      </c>
      <c r="Z1734" t="s">
        <v>27052</v>
      </c>
      <c r="AA1734">
        <v>0.52316422201184176</v>
      </c>
      <c r="AB1734" t="str">
        <f>HYPERLINK("Melting_Curves/meltCurve_O75530_3_EED.pdf", "Melting_Curves/meltCurve_O75530_3_EED.pdf")</f>
        <v>Melting_Curves/meltCurve_O75530_3_EED.pdf</v>
      </c>
    </row>
    <row r="1735" spans="1:28" x14ac:dyDescent="0.25">
      <c r="A1735" t="s">
        <v>1739</v>
      </c>
      <c r="B1735">
        <v>0.99542014353169495</v>
      </c>
      <c r="C1735">
        <v>0.87903876834857597</v>
      </c>
      <c r="D1735">
        <v>1.15588311486138</v>
      </c>
      <c r="E1735">
        <v>3.97066950255785</v>
      </c>
      <c r="F1735">
        <v>3.7198034291718902</v>
      </c>
      <c r="G1735">
        <v>2.7148708024472201</v>
      </c>
      <c r="H1735">
        <v>0.87923436308700897</v>
      </c>
      <c r="I1735">
        <v>0.33171644733244199</v>
      </c>
      <c r="J1735">
        <v>0.36173873217014801</v>
      </c>
      <c r="K1735">
        <v>0.40624806810831599</v>
      </c>
      <c r="L1735">
        <v>14432.987349851101</v>
      </c>
      <c r="M1735">
        <v>250</v>
      </c>
      <c r="N1735">
        <v>58.038630275062602</v>
      </c>
      <c r="O1735">
        <v>57.728245651073003</v>
      </c>
      <c r="P1735">
        <v>-0.68579128236806597</v>
      </c>
      <c r="Q1735">
        <v>0.366567456765588</v>
      </c>
      <c r="R1735">
        <v>-9.7964568253348094E-2</v>
      </c>
      <c r="S1735" t="s">
        <v>8137</v>
      </c>
      <c r="T1735" t="s">
        <v>12802</v>
      </c>
      <c r="U1735" t="s">
        <v>12802</v>
      </c>
      <c r="V1735" t="s">
        <v>12802</v>
      </c>
      <c r="W1735" t="s">
        <v>14497</v>
      </c>
      <c r="X1735">
        <v>9</v>
      </c>
      <c r="Y1735" t="s">
        <v>20803</v>
      </c>
      <c r="Z1735" t="s">
        <v>27053</v>
      </c>
      <c r="AA1735">
        <v>0.8043746831191686</v>
      </c>
      <c r="AB1735" t="str">
        <f>HYPERLINK("Melting_Curves/meltCurve_O75531_BANF1.pdf", "Melting_Curves/meltCurve_O75531_BANF1.pdf")</f>
        <v>Melting_Curves/meltCurve_O75531_BANF1.pdf</v>
      </c>
    </row>
    <row r="1736" spans="1:28" x14ac:dyDescent="0.25">
      <c r="A1736" t="s">
        <v>1740</v>
      </c>
      <c r="B1736">
        <v>0.99542014353169495</v>
      </c>
      <c r="C1736">
        <v>0.78741406766840305</v>
      </c>
      <c r="D1736">
        <v>0.84749648911820397</v>
      </c>
      <c r="E1736">
        <v>0.471673009672056</v>
      </c>
      <c r="F1736">
        <v>0.19591145348009101</v>
      </c>
      <c r="G1736">
        <v>9.01021791404059E-2</v>
      </c>
      <c r="H1736">
        <v>5.3282156903738498E-2</v>
      </c>
      <c r="I1736">
        <v>3.8062737563777101E-2</v>
      </c>
      <c r="J1736">
        <v>4.6736757326371003E-2</v>
      </c>
      <c r="K1736">
        <v>5.6041868477006603E-2</v>
      </c>
      <c r="L1736">
        <v>776.61478583576297</v>
      </c>
      <c r="M1736">
        <v>16.861661656900701</v>
      </c>
      <c r="N1736">
        <v>46.209661380443599</v>
      </c>
      <c r="O1736">
        <v>45.424841617271802</v>
      </c>
      <c r="P1736">
        <v>-9.0307886502129897E-2</v>
      </c>
      <c r="Q1736">
        <v>2.6914677344899999E-2</v>
      </c>
      <c r="R1736">
        <v>0.97865462485151</v>
      </c>
      <c r="S1736" t="s">
        <v>8138</v>
      </c>
      <c r="T1736" t="s">
        <v>12802</v>
      </c>
      <c r="U1736" t="s">
        <v>12802</v>
      </c>
      <c r="V1736" t="s">
        <v>12802</v>
      </c>
      <c r="W1736" t="s">
        <v>14498</v>
      </c>
      <c r="X1736">
        <v>44</v>
      </c>
      <c r="Y1736" t="s">
        <v>20804</v>
      </c>
      <c r="Z1736" t="s">
        <v>27054</v>
      </c>
      <c r="AA1736">
        <v>0.33860721832323531</v>
      </c>
      <c r="AB1736" t="str">
        <f>HYPERLINK("Melting_Curves/meltCurve_O75533_SF3B1.pdf", "Melting_Curves/meltCurve_O75533_SF3B1.pdf")</f>
        <v>Melting_Curves/meltCurve_O75533_SF3B1.pdf</v>
      </c>
    </row>
    <row r="1737" spans="1:28" x14ac:dyDescent="0.25">
      <c r="A1737" t="s">
        <v>1741</v>
      </c>
      <c r="B1737">
        <v>0.99542014353169495</v>
      </c>
      <c r="C1737">
        <v>0.91999518125616497</v>
      </c>
      <c r="D1737">
        <v>0.84252676540136795</v>
      </c>
      <c r="E1737">
        <v>0.31939089875860399</v>
      </c>
      <c r="F1737">
        <v>0.126874213108053</v>
      </c>
      <c r="G1737">
        <v>7.3269737957294107E-2</v>
      </c>
      <c r="H1737">
        <v>5.0514114925790103E-2</v>
      </c>
      <c r="I1737">
        <v>3.6121310625113798E-2</v>
      </c>
      <c r="J1737">
        <v>4.16543707632894E-2</v>
      </c>
      <c r="K1737">
        <v>4.0921382029133799E-2</v>
      </c>
      <c r="L1737">
        <v>1255.6176866957301</v>
      </c>
      <c r="M1737">
        <v>27.766173136327101</v>
      </c>
      <c r="N1737">
        <v>45.384988665383801</v>
      </c>
      <c r="O1737">
        <v>44.988523049500898</v>
      </c>
      <c r="P1737">
        <v>-0.14693827111903199</v>
      </c>
      <c r="Q1737">
        <v>4.7693606805086303E-2</v>
      </c>
      <c r="R1737">
        <v>0.99648693778759201</v>
      </c>
      <c r="S1737" t="s">
        <v>8139</v>
      </c>
      <c r="T1737" t="s">
        <v>12802</v>
      </c>
      <c r="U1737" t="s">
        <v>12802</v>
      </c>
      <c r="V1737" t="s">
        <v>12802</v>
      </c>
      <c r="W1737" t="s">
        <v>14499</v>
      </c>
      <c r="X1737">
        <v>37</v>
      </c>
      <c r="Y1737" t="s">
        <v>20805</v>
      </c>
      <c r="Z1737" t="s">
        <v>27055</v>
      </c>
      <c r="AA1737">
        <v>0.31495451691929149</v>
      </c>
      <c r="AB1737" t="str">
        <f>HYPERLINK("Melting_Curves/meltCurve_O75534_CSDE1.pdf", "Melting_Curves/meltCurve_O75534_CSDE1.pdf")</f>
        <v>Melting_Curves/meltCurve_O75534_CSDE1.pdf</v>
      </c>
    </row>
    <row r="1738" spans="1:28" x14ac:dyDescent="0.25">
      <c r="A1738" t="s">
        <v>1742</v>
      </c>
      <c r="B1738">
        <v>0.99542014353169495</v>
      </c>
      <c r="C1738">
        <v>0.93745199721788197</v>
      </c>
      <c r="D1738">
        <v>0.78406325404365396</v>
      </c>
      <c r="E1738">
        <v>0.70108234873773201</v>
      </c>
      <c r="F1738">
        <v>0.48860455672693998</v>
      </c>
      <c r="G1738">
        <v>0.37743979356006802</v>
      </c>
      <c r="H1738">
        <v>0.28213249207958702</v>
      </c>
      <c r="I1738">
        <v>0.229164492405003</v>
      </c>
      <c r="J1738">
        <v>0.321385942144018</v>
      </c>
      <c r="K1738">
        <v>0.33544111145040401</v>
      </c>
      <c r="L1738">
        <v>630.600253042286</v>
      </c>
      <c r="M1738">
        <v>13.4205380322968</v>
      </c>
      <c r="N1738">
        <v>49.795298945030503</v>
      </c>
      <c r="O1738">
        <v>45.981224344093398</v>
      </c>
      <c r="P1738">
        <v>-5.3610955687616299E-2</v>
      </c>
      <c r="Q1738">
        <v>0.26539078363253599</v>
      </c>
      <c r="R1738">
        <v>0.97784281886838997</v>
      </c>
      <c r="S1738" t="s">
        <v>8140</v>
      </c>
      <c r="T1738" t="s">
        <v>12802</v>
      </c>
      <c r="U1738" t="s">
        <v>12802</v>
      </c>
      <c r="V1738" t="s">
        <v>12802</v>
      </c>
      <c r="W1738" t="s">
        <v>14500</v>
      </c>
      <c r="X1738">
        <v>3</v>
      </c>
      <c r="Y1738" t="s">
        <v>20806</v>
      </c>
      <c r="Z1738" t="s">
        <v>27056</v>
      </c>
      <c r="AA1738">
        <v>0.5300502919988751</v>
      </c>
      <c r="AB1738" t="str">
        <f>HYPERLINK("Melting_Curves/meltCurve_O75554_WBP4.pdf", "Melting_Curves/meltCurve_O75554_WBP4.pdf")</f>
        <v>Melting_Curves/meltCurve_O75554_WBP4.pdf</v>
      </c>
    </row>
    <row r="1739" spans="1:28" x14ac:dyDescent="0.25">
      <c r="A1739" t="s">
        <v>1743</v>
      </c>
      <c r="B1739">
        <v>0.99542014353169495</v>
      </c>
      <c r="C1739">
        <v>1.03472801054706</v>
      </c>
      <c r="D1739">
        <v>0.86745163503616995</v>
      </c>
      <c r="E1739">
        <v>0.65427676833181303</v>
      </c>
      <c r="F1739">
        <v>0.28526651236303702</v>
      </c>
      <c r="G1739">
        <v>0.13425896650171901</v>
      </c>
      <c r="H1739">
        <v>8.8637251782646906E-2</v>
      </c>
      <c r="I1739">
        <v>5.3500890335168097E-2</v>
      </c>
      <c r="J1739">
        <v>6.3453064824954802E-2</v>
      </c>
      <c r="K1739">
        <v>5.9003089495423197E-2</v>
      </c>
      <c r="L1739">
        <v>986.29926368992699</v>
      </c>
      <c r="M1739">
        <v>20.7067279041676</v>
      </c>
      <c r="N1739">
        <v>47.8961368077264</v>
      </c>
      <c r="O1739">
        <v>47.1942545466719</v>
      </c>
      <c r="P1739">
        <v>-0.10376958781779499</v>
      </c>
      <c r="Q1739">
        <v>5.3990682497905403E-2</v>
      </c>
      <c r="R1739">
        <v>0.99674372774456099</v>
      </c>
      <c r="S1739" t="s">
        <v>8141</v>
      </c>
      <c r="T1739" t="s">
        <v>12802</v>
      </c>
      <c r="U1739" t="s">
        <v>12802</v>
      </c>
      <c r="V1739" t="s">
        <v>12802</v>
      </c>
      <c r="W1739" t="s">
        <v>14501</v>
      </c>
      <c r="X1739">
        <v>3</v>
      </c>
      <c r="Y1739" t="s">
        <v>20807</v>
      </c>
      <c r="Z1739" t="s">
        <v>27057</v>
      </c>
      <c r="AA1739">
        <v>0.40086109828894179</v>
      </c>
      <c r="AB1739" t="str">
        <f>HYPERLINK("Melting_Curves/meltCurve_O75570_MTRF1.pdf", "Melting_Curves/meltCurve_O75570_MTRF1.pdf")</f>
        <v>Melting_Curves/meltCurve_O75570_MTRF1.pdf</v>
      </c>
    </row>
    <row r="1740" spans="1:28" x14ac:dyDescent="0.25">
      <c r="A1740" t="s">
        <v>1744</v>
      </c>
      <c r="B1740">
        <v>0.99542014353169495</v>
      </c>
      <c r="C1740">
        <v>0.97019631564826103</v>
      </c>
      <c r="D1740">
        <v>0.87501668400815902</v>
      </c>
      <c r="E1740">
        <v>0.74465978594329496</v>
      </c>
      <c r="F1740">
        <v>0.54731803947567503</v>
      </c>
      <c r="G1740">
        <v>0.33047746122142002</v>
      </c>
      <c r="H1740">
        <v>0.17396295173283399</v>
      </c>
      <c r="I1740">
        <v>0.104414063785113</v>
      </c>
      <c r="J1740">
        <v>0.115681484987293</v>
      </c>
      <c r="K1740">
        <v>0.107067188724132</v>
      </c>
      <c r="L1740">
        <v>661.56206383436904</v>
      </c>
      <c r="M1740">
        <v>13.190711116123</v>
      </c>
      <c r="N1740">
        <v>50.559079104502402</v>
      </c>
      <c r="O1740">
        <v>49.042955361595403</v>
      </c>
      <c r="P1740">
        <v>-6.3876533231438007E-2</v>
      </c>
      <c r="Q1740">
        <v>5.0188851848561797E-2</v>
      </c>
      <c r="R1740">
        <v>0.99690998443895495</v>
      </c>
      <c r="S1740" t="s">
        <v>8142</v>
      </c>
      <c r="T1740" t="s">
        <v>12802</v>
      </c>
      <c r="U1740" t="s">
        <v>12802</v>
      </c>
      <c r="V1740" t="s">
        <v>12802</v>
      </c>
      <c r="W1740" t="s">
        <v>14502</v>
      </c>
      <c r="X1740">
        <v>3</v>
      </c>
      <c r="Y1740" t="s">
        <v>20808</v>
      </c>
      <c r="Z1740" t="s">
        <v>27058</v>
      </c>
      <c r="AA1740">
        <v>0.49012170561188678</v>
      </c>
      <c r="AB1740" t="str">
        <f>HYPERLINK("Melting_Curves/meltCurve_O75600_GCAT.pdf", "Melting_Curves/meltCurve_O75600_GCAT.pdf")</f>
        <v>Melting_Curves/meltCurve_O75600_GCAT.pdf</v>
      </c>
    </row>
    <row r="1741" spans="1:28" x14ac:dyDescent="0.25">
      <c r="A1741" t="s">
        <v>1745</v>
      </c>
      <c r="B1741">
        <v>0.99542014353169495</v>
      </c>
      <c r="C1741">
        <v>0.98334457240371798</v>
      </c>
      <c r="D1741">
        <v>1.12146855935358</v>
      </c>
      <c r="E1741">
        <v>1.01834714259295</v>
      </c>
      <c r="F1741">
        <v>0.84507187688594299</v>
      </c>
      <c r="G1741">
        <v>0.59278445676643399</v>
      </c>
      <c r="H1741">
        <v>0.30499147577129898</v>
      </c>
      <c r="I1741">
        <v>0.27718752097383997</v>
      </c>
      <c r="J1741">
        <v>0.42332860406970602</v>
      </c>
      <c r="K1741">
        <v>0.40218427613390301</v>
      </c>
      <c r="L1741">
        <v>1743.49795662266</v>
      </c>
      <c r="M1741">
        <v>33.225552767376598</v>
      </c>
      <c r="N1741">
        <v>54.429839275395501</v>
      </c>
      <c r="O1741">
        <v>52.285617302394499</v>
      </c>
      <c r="P1741">
        <v>-0.103513277095352</v>
      </c>
      <c r="Q1741">
        <v>0.34842536150458198</v>
      </c>
      <c r="R1741">
        <v>0.95938359399405304</v>
      </c>
      <c r="S1741" t="s">
        <v>8143</v>
      </c>
      <c r="T1741" t="s">
        <v>12802</v>
      </c>
      <c r="U1741" t="s">
        <v>12802</v>
      </c>
      <c r="V1741" t="s">
        <v>12802</v>
      </c>
      <c r="W1741" t="s">
        <v>14503</v>
      </c>
      <c r="X1741">
        <v>3</v>
      </c>
      <c r="Y1741" t="s">
        <v>20809</v>
      </c>
      <c r="Z1741" t="s">
        <v>27059</v>
      </c>
      <c r="AA1741">
        <v>0.68791584614992873</v>
      </c>
      <c r="AB1741" t="str">
        <f>HYPERLINK("Melting_Curves/meltCurve_O75607_NPM3.pdf", "Melting_Curves/meltCurve_O75607_NPM3.pdf")</f>
        <v>Melting_Curves/meltCurve_O75607_NPM3.pdf</v>
      </c>
    </row>
    <row r="1742" spans="1:28" x14ac:dyDescent="0.25">
      <c r="A1742" t="s">
        <v>1746</v>
      </c>
      <c r="B1742">
        <v>0.99542014353169495</v>
      </c>
      <c r="C1742">
        <v>1.07075856995693</v>
      </c>
      <c r="D1742">
        <v>0.98058322262841002</v>
      </c>
      <c r="E1742">
        <v>1.0342118447261099</v>
      </c>
      <c r="F1742">
        <v>0.892045557862859</v>
      </c>
      <c r="G1742">
        <v>0.71884823179341395</v>
      </c>
      <c r="H1742">
        <v>0.23541014254162099</v>
      </c>
      <c r="I1742">
        <v>8.3795350766234497E-2</v>
      </c>
      <c r="J1742">
        <v>8.4503495116391797E-2</v>
      </c>
      <c r="K1742">
        <v>8.4699401841775296E-2</v>
      </c>
      <c r="L1742">
        <v>1842.26370120051</v>
      </c>
      <c r="M1742">
        <v>33.521569615237503</v>
      </c>
      <c r="N1742">
        <v>55.199776901352301</v>
      </c>
      <c r="O1742">
        <v>54.7630872589666</v>
      </c>
      <c r="P1742">
        <v>-0.142564405908265</v>
      </c>
      <c r="Q1742">
        <v>6.8392839566968899E-2</v>
      </c>
      <c r="R1742">
        <v>0.99250918608345096</v>
      </c>
      <c r="S1742" t="s">
        <v>8144</v>
      </c>
      <c r="T1742" t="s">
        <v>12802</v>
      </c>
      <c r="U1742" t="s">
        <v>12802</v>
      </c>
      <c r="V1742" t="s">
        <v>12802</v>
      </c>
      <c r="W1742" t="s">
        <v>14504</v>
      </c>
      <c r="X1742">
        <v>8</v>
      </c>
      <c r="Y1742" t="s">
        <v>20810</v>
      </c>
      <c r="Z1742" t="s">
        <v>27060</v>
      </c>
      <c r="AA1742">
        <v>0.6309013236376082</v>
      </c>
      <c r="AB1742" t="str">
        <f>HYPERLINK("Melting_Curves/meltCurve_O75608_2_LYPLA1.pdf", "Melting_Curves/meltCurve_O75608_2_LYPLA1.pdf")</f>
        <v>Melting_Curves/meltCurve_O75608_2_LYPLA1.pdf</v>
      </c>
    </row>
    <row r="1743" spans="1:28" x14ac:dyDescent="0.25">
      <c r="A1743" t="s">
        <v>1747</v>
      </c>
      <c r="B1743">
        <v>0.99542014353169495</v>
      </c>
      <c r="C1743">
        <v>0.9697972652197</v>
      </c>
      <c r="D1743">
        <v>0.746279784959612</v>
      </c>
      <c r="E1743">
        <v>0.46169207864808898</v>
      </c>
      <c r="F1743">
        <v>0.133082729674983</v>
      </c>
      <c r="G1743">
        <v>8.7449483370641096E-2</v>
      </c>
      <c r="H1743">
        <v>6.4464076697015496E-2</v>
      </c>
      <c r="I1743">
        <v>3.8585795374850199E-2</v>
      </c>
      <c r="J1743">
        <v>2.7467029937695699E-2</v>
      </c>
      <c r="K1743">
        <v>3.2813759719233802E-2</v>
      </c>
      <c r="L1743">
        <v>891.33254693193396</v>
      </c>
      <c r="M1743">
        <v>19.506299899091101</v>
      </c>
      <c r="N1743">
        <v>45.842010483378701</v>
      </c>
      <c r="O1743">
        <v>45.222456757826897</v>
      </c>
      <c r="P1743">
        <v>-0.104560837628079</v>
      </c>
      <c r="Q1743">
        <v>3.0399304555596598E-2</v>
      </c>
      <c r="R1743">
        <v>0.996519009871082</v>
      </c>
      <c r="S1743" t="s">
        <v>8145</v>
      </c>
      <c r="T1743" t="s">
        <v>12802</v>
      </c>
      <c r="U1743" t="s">
        <v>12802</v>
      </c>
      <c r="V1743" t="s">
        <v>12802</v>
      </c>
      <c r="W1743" t="s">
        <v>14505</v>
      </c>
      <c r="X1743">
        <v>6</v>
      </c>
      <c r="Y1743" t="s">
        <v>20811</v>
      </c>
      <c r="Z1743" t="s">
        <v>27061</v>
      </c>
      <c r="AA1743">
        <v>0.32475919579120671</v>
      </c>
      <c r="AB1743" t="str">
        <f>HYPERLINK("Melting_Curves/meltCurve_O75616_ERAL1.pdf", "Melting_Curves/meltCurve_O75616_ERAL1.pdf")</f>
        <v>Melting_Curves/meltCurve_O75616_ERAL1.pdf</v>
      </c>
    </row>
    <row r="1744" spans="1:28" x14ac:dyDescent="0.25">
      <c r="A1744" t="s">
        <v>1748</v>
      </c>
      <c r="B1744">
        <v>0.99542014353169495</v>
      </c>
      <c r="C1744">
        <v>1.06278963217491</v>
      </c>
      <c r="D1744">
        <v>1.2435708953464</v>
      </c>
      <c r="E1744">
        <v>1.3210675222759301</v>
      </c>
      <c r="F1744">
        <v>1.3324573365416801</v>
      </c>
      <c r="G1744">
        <v>0.87649296035190405</v>
      </c>
      <c r="H1744">
        <v>0.64094721880321603</v>
      </c>
      <c r="I1744">
        <v>0.363651391188545</v>
      </c>
      <c r="J1744">
        <v>0.33203905587384602</v>
      </c>
      <c r="K1744">
        <v>0.29228052118822301</v>
      </c>
      <c r="L1744">
        <v>2069.8427640478999</v>
      </c>
      <c r="M1744">
        <v>36.186836802016899</v>
      </c>
      <c r="N1744">
        <v>58.7061495953361</v>
      </c>
      <c r="O1744">
        <v>57.024939299147498</v>
      </c>
      <c r="P1744">
        <v>-0.11064600764014999</v>
      </c>
      <c r="Q1744">
        <v>0.30255718302759199</v>
      </c>
      <c r="R1744">
        <v>0.81504846251106999</v>
      </c>
      <c r="S1744" t="s">
        <v>8146</v>
      </c>
      <c r="T1744" t="s">
        <v>12802</v>
      </c>
      <c r="U1744" t="s">
        <v>12802</v>
      </c>
      <c r="V1744" t="s">
        <v>12802</v>
      </c>
      <c r="W1744" t="s">
        <v>14506</v>
      </c>
      <c r="X1744">
        <v>2</v>
      </c>
      <c r="Y1744" t="s">
        <v>20812</v>
      </c>
      <c r="Z1744" t="s">
        <v>27062</v>
      </c>
      <c r="AA1744">
        <v>0.77524630034687136</v>
      </c>
      <c r="AB1744" t="str">
        <f>HYPERLINK("Melting_Curves/meltCurve_O75629_CREG1.pdf", "Melting_Curves/meltCurve_O75629_CREG1.pdf")</f>
        <v>Melting_Curves/meltCurve_O75629_CREG1.pdf</v>
      </c>
    </row>
    <row r="1745" spans="1:28" x14ac:dyDescent="0.25">
      <c r="A1745" t="s">
        <v>1749</v>
      </c>
      <c r="B1745">
        <v>0.99542014353169495</v>
      </c>
      <c r="C1745">
        <v>0.91703234069285899</v>
      </c>
      <c r="D1745">
        <v>0.91564286584769905</v>
      </c>
      <c r="E1745">
        <v>0.86509006675954703</v>
      </c>
      <c r="F1745">
        <v>0.912670933847749</v>
      </c>
      <c r="G1745">
        <v>0.47755414564697002</v>
      </c>
      <c r="H1745">
        <v>0.139424317077155</v>
      </c>
      <c r="I1745">
        <v>8.6240391268605304E-2</v>
      </c>
      <c r="J1745">
        <v>4.4949338955209597E-2</v>
      </c>
      <c r="K1745">
        <v>5.18116373454812E-2</v>
      </c>
      <c r="L1745">
        <v>1659.3847215789399</v>
      </c>
      <c r="M1745">
        <v>31.0334440348451</v>
      </c>
      <c r="N1745">
        <v>53.6478965202637</v>
      </c>
      <c r="O1745">
        <v>53.2502951025429</v>
      </c>
      <c r="P1745">
        <v>-0.13860547617226501</v>
      </c>
      <c r="Q1745">
        <v>4.8672735444630098E-2</v>
      </c>
      <c r="R1745">
        <v>0.98068459692424903</v>
      </c>
      <c r="S1745" t="s">
        <v>8147</v>
      </c>
      <c r="T1745" t="s">
        <v>12802</v>
      </c>
      <c r="U1745" t="s">
        <v>12802</v>
      </c>
      <c r="V1745" t="s">
        <v>12802</v>
      </c>
      <c r="W1745" t="s">
        <v>14507</v>
      </c>
      <c r="X1745">
        <v>1</v>
      </c>
      <c r="Y1745" t="s">
        <v>20813</v>
      </c>
      <c r="Z1745" t="s">
        <v>27063</v>
      </c>
      <c r="AA1745">
        <v>0.5766788517898972</v>
      </c>
      <c r="AB1745" t="str">
        <f>HYPERLINK("Melting_Curves/meltCurve_O75635_2_SERPINB7.pdf", "Melting_Curves/meltCurve_O75635_2_SERPINB7.pdf")</f>
        <v>Melting_Curves/meltCurve_O75635_2_SERPINB7.pdf</v>
      </c>
    </row>
    <row r="1746" spans="1:28" x14ac:dyDescent="0.25">
      <c r="A1746" t="s">
        <v>1750</v>
      </c>
      <c r="B1746">
        <v>0.99542014353169495</v>
      </c>
      <c r="C1746">
        <v>0.90217189753280502</v>
      </c>
      <c r="D1746">
        <v>0.90692560931787602</v>
      </c>
      <c r="E1746">
        <v>0.73608731889776902</v>
      </c>
      <c r="F1746">
        <v>0.61412758197735895</v>
      </c>
      <c r="G1746">
        <v>0.40602317753029199</v>
      </c>
      <c r="H1746">
        <v>9.2114486419795E-2</v>
      </c>
      <c r="I1746">
        <v>5.2867684695044097E-2</v>
      </c>
      <c r="J1746">
        <v>5.3475572180070999E-2</v>
      </c>
      <c r="K1746">
        <v>5.2768274426849303E-2</v>
      </c>
      <c r="L1746">
        <v>694.79337412877396</v>
      </c>
      <c r="M1746">
        <v>13.599549340622399</v>
      </c>
      <c r="N1746">
        <v>51.089441493146403</v>
      </c>
      <c r="O1746">
        <v>50.022737836521898</v>
      </c>
      <c r="P1746">
        <v>-6.7976911264080397E-2</v>
      </c>
      <c r="Q1746">
        <v>0</v>
      </c>
      <c r="R1746">
        <v>0.98050656899868605</v>
      </c>
      <c r="S1746" t="s">
        <v>8148</v>
      </c>
      <c r="T1746" t="s">
        <v>12802</v>
      </c>
      <c r="U1746" t="s">
        <v>12802</v>
      </c>
      <c r="V1746" t="s">
        <v>12802</v>
      </c>
      <c r="W1746" t="s">
        <v>14508</v>
      </c>
      <c r="X1746">
        <v>46</v>
      </c>
      <c r="Y1746" t="s">
        <v>20814</v>
      </c>
      <c r="Z1746" t="s">
        <v>27064</v>
      </c>
      <c r="AA1746">
        <v>0.49226330677887192</v>
      </c>
      <c r="AB1746" t="str">
        <f>HYPERLINK("Melting_Curves/meltCurve_O75643_SNRNP200.pdf", "Melting_Curves/meltCurve_O75643_SNRNP200.pdf")</f>
        <v>Melting_Curves/meltCurve_O75643_SNRNP200.pdf</v>
      </c>
    </row>
    <row r="1747" spans="1:28" x14ac:dyDescent="0.25">
      <c r="A1747" t="s">
        <v>1751</v>
      </c>
      <c r="B1747">
        <v>0.99542014353169495</v>
      </c>
      <c r="C1747">
        <v>0.99447900648474297</v>
      </c>
      <c r="D1747">
        <v>0.90668956334004702</v>
      </c>
      <c r="E1747">
        <v>0.79469404937586297</v>
      </c>
      <c r="F1747">
        <v>0.50149663735059402</v>
      </c>
      <c r="G1747">
        <v>0.17057328481973899</v>
      </c>
      <c r="H1747">
        <v>8.57892467851223E-2</v>
      </c>
      <c r="I1747">
        <v>6.3083623840960501E-2</v>
      </c>
      <c r="J1747">
        <v>9.3187647471427798E-2</v>
      </c>
      <c r="K1747">
        <v>7.8452221552803E-2</v>
      </c>
      <c r="L1747">
        <v>1037.34621871178</v>
      </c>
      <c r="M1747">
        <v>20.939851349391301</v>
      </c>
      <c r="N1747">
        <v>49.826410611203599</v>
      </c>
      <c r="O1747">
        <v>49.0941618214705</v>
      </c>
      <c r="P1747">
        <v>-0.10057392686666899</v>
      </c>
      <c r="Q1747">
        <v>5.6830240053815297E-2</v>
      </c>
      <c r="R1747">
        <v>0.99502208341876097</v>
      </c>
      <c r="S1747" t="s">
        <v>8149</v>
      </c>
      <c r="T1747" t="s">
        <v>12802</v>
      </c>
      <c r="U1747" t="s">
        <v>12802</v>
      </c>
      <c r="V1747" t="s">
        <v>12802</v>
      </c>
      <c r="W1747" t="s">
        <v>14509</v>
      </c>
      <c r="X1747">
        <v>4</v>
      </c>
      <c r="Y1747" t="s">
        <v>20815</v>
      </c>
      <c r="Z1747" t="s">
        <v>27065</v>
      </c>
      <c r="AA1747">
        <v>0.4624962659439788</v>
      </c>
      <c r="AB1747" t="str">
        <f>HYPERLINK("Melting_Curves/meltCurve_O75648_TRMU.pdf", "Melting_Curves/meltCurve_O75648_TRMU.pdf")</f>
        <v>Melting_Curves/meltCurve_O75648_TRMU.pdf</v>
      </c>
    </row>
    <row r="1748" spans="1:28" x14ac:dyDescent="0.25">
      <c r="A1748" t="s">
        <v>1752</v>
      </c>
      <c r="B1748">
        <v>0.99542014353169495</v>
      </c>
      <c r="C1748">
        <v>1.05192873603645</v>
      </c>
      <c r="D1748">
        <v>1.0487570186491799</v>
      </c>
      <c r="E1748">
        <v>0.85052440372263904</v>
      </c>
      <c r="F1748">
        <v>0.337380835424613</v>
      </c>
      <c r="G1748">
        <v>0.112921406310105</v>
      </c>
      <c r="H1748">
        <v>5.7895000135521901E-2</v>
      </c>
      <c r="I1748">
        <v>3.9933943781094897E-2</v>
      </c>
      <c r="J1748">
        <v>3.6895612620241901E-2</v>
      </c>
      <c r="K1748">
        <v>4.0208795768347003E-2</v>
      </c>
      <c r="L1748">
        <v>1626.86149423447</v>
      </c>
      <c r="M1748">
        <v>33.201036170441597</v>
      </c>
      <c r="N1748">
        <v>49.141244643401599</v>
      </c>
      <c r="O1748">
        <v>48.823591535859798</v>
      </c>
      <c r="P1748">
        <v>-0.162286057760122</v>
      </c>
      <c r="Q1748">
        <v>4.5409066929084599E-2</v>
      </c>
      <c r="R1748">
        <v>0.99655456242089302</v>
      </c>
      <c r="S1748" t="s">
        <v>8150</v>
      </c>
      <c r="T1748" t="s">
        <v>12802</v>
      </c>
      <c r="U1748" t="s">
        <v>12802</v>
      </c>
      <c r="V1748" t="s">
        <v>12802</v>
      </c>
      <c r="W1748" t="s">
        <v>14510</v>
      </c>
      <c r="X1748">
        <v>10</v>
      </c>
      <c r="Y1748" t="s">
        <v>20816</v>
      </c>
      <c r="Z1748" t="s">
        <v>27066</v>
      </c>
      <c r="AA1748">
        <v>0.43195687448566211</v>
      </c>
      <c r="AB1748" t="str">
        <f>HYPERLINK("Melting_Curves/meltCurve_O75663_TIPRL.pdf", "Melting_Curves/meltCurve_O75663_TIPRL.pdf")</f>
        <v>Melting_Curves/meltCurve_O75663_TIPRL.pdf</v>
      </c>
    </row>
    <row r="1749" spans="1:28" x14ac:dyDescent="0.25">
      <c r="A1749" t="s">
        <v>1753</v>
      </c>
      <c r="B1749">
        <v>0.99542014353169495</v>
      </c>
      <c r="C1749">
        <v>1.0027943182263701</v>
      </c>
      <c r="D1749">
        <v>0.90008350567860795</v>
      </c>
      <c r="E1749">
        <v>0.82274768789348096</v>
      </c>
      <c r="F1749">
        <v>0.60763036806016502</v>
      </c>
      <c r="G1749">
        <v>0.18277881809177099</v>
      </c>
      <c r="H1749">
        <v>0.11274255437519801</v>
      </c>
      <c r="I1749">
        <v>7.1750637027870601E-2</v>
      </c>
      <c r="J1749">
        <v>0.10985413642705801</v>
      </c>
      <c r="K1749">
        <v>7.7422415962024593E-2</v>
      </c>
      <c r="L1749">
        <v>1109.4865295903901</v>
      </c>
      <c r="M1749">
        <v>22.062557633423001</v>
      </c>
      <c r="N1749">
        <v>50.607329135778201</v>
      </c>
      <c r="O1749">
        <v>49.880532027070402</v>
      </c>
      <c r="P1749">
        <v>-0.103398521096153</v>
      </c>
      <c r="Q1749">
        <v>6.4939010932494198E-2</v>
      </c>
      <c r="R1749">
        <v>0.98866046856461098</v>
      </c>
      <c r="S1749" t="s">
        <v>8151</v>
      </c>
      <c r="T1749" t="s">
        <v>12802</v>
      </c>
      <c r="U1749" t="s">
        <v>12802</v>
      </c>
      <c r="V1749" t="s">
        <v>12802</v>
      </c>
      <c r="W1749" t="s">
        <v>14511</v>
      </c>
      <c r="X1749">
        <v>15</v>
      </c>
      <c r="Y1749" t="s">
        <v>20817</v>
      </c>
      <c r="Z1749" t="s">
        <v>27067</v>
      </c>
      <c r="AA1749">
        <v>0.48945487420043032</v>
      </c>
      <c r="AB1749" t="str">
        <f>HYPERLINK("Melting_Curves/meltCurve_O75688_PPM1B.pdf", "Melting_Curves/meltCurve_O75688_PPM1B.pdf")</f>
        <v>Melting_Curves/meltCurve_O75688_PPM1B.pdf</v>
      </c>
    </row>
    <row r="1750" spans="1:28" x14ac:dyDescent="0.25">
      <c r="A1750" t="s">
        <v>1754</v>
      </c>
      <c r="B1750">
        <v>0.99542014353169495</v>
      </c>
      <c r="C1750">
        <v>0.94629908245370098</v>
      </c>
      <c r="D1750">
        <v>1.19144012813278</v>
      </c>
      <c r="E1750">
        <v>0.55196888238185404</v>
      </c>
      <c r="F1750">
        <v>0.27458241162684699</v>
      </c>
      <c r="G1750">
        <v>0.14626966286752599</v>
      </c>
      <c r="H1750">
        <v>0.101012211094385</v>
      </c>
      <c r="I1750">
        <v>7.0863194469897195E-2</v>
      </c>
      <c r="J1750">
        <v>7.2328900877462701E-2</v>
      </c>
      <c r="K1750">
        <v>8.3641908245289304E-2</v>
      </c>
      <c r="L1750">
        <v>1822.8532171315801</v>
      </c>
      <c r="M1750">
        <v>38.890336149012803</v>
      </c>
      <c r="N1750">
        <v>47.1701496180183</v>
      </c>
      <c r="O1750">
        <v>46.748208444840003</v>
      </c>
      <c r="P1750">
        <v>-0.18529046711159899</v>
      </c>
      <c r="Q1750">
        <v>0.10908695855082901</v>
      </c>
      <c r="R1750">
        <v>0.96157650003650996</v>
      </c>
      <c r="S1750" t="s">
        <v>8152</v>
      </c>
      <c r="T1750" t="s">
        <v>12802</v>
      </c>
      <c r="U1750" t="s">
        <v>12802</v>
      </c>
      <c r="V1750" t="s">
        <v>12802</v>
      </c>
      <c r="W1750" t="s">
        <v>14512</v>
      </c>
      <c r="X1750">
        <v>18</v>
      </c>
      <c r="Y1750" t="s">
        <v>20818</v>
      </c>
      <c r="Z1750" t="s">
        <v>27068</v>
      </c>
      <c r="AA1750">
        <v>0.40530157957827129</v>
      </c>
      <c r="AB1750" t="str">
        <f>HYPERLINK("Melting_Curves/meltCurve_O75691_UTP20.pdf", "Melting_Curves/meltCurve_O75691_UTP20.pdf")</f>
        <v>Melting_Curves/meltCurve_O75691_UTP20.pdf</v>
      </c>
    </row>
    <row r="1751" spans="1:28" x14ac:dyDescent="0.25">
      <c r="A1751" t="s">
        <v>1755</v>
      </c>
      <c r="B1751">
        <v>0.99542014353169495</v>
      </c>
      <c r="C1751">
        <v>1.0340191052949299</v>
      </c>
      <c r="D1751">
        <v>1.0141871397042901</v>
      </c>
      <c r="E1751">
        <v>0.95455525077838999</v>
      </c>
      <c r="F1751">
        <v>0.78303439733941005</v>
      </c>
      <c r="G1751">
        <v>0.21048284849787699</v>
      </c>
      <c r="H1751">
        <v>0.264010908752569</v>
      </c>
      <c r="I1751">
        <v>0.148479169734378</v>
      </c>
      <c r="J1751">
        <v>0.13656797415716601</v>
      </c>
      <c r="K1751">
        <v>0.18736686812882999</v>
      </c>
      <c r="L1751">
        <v>3040.7653216253202</v>
      </c>
      <c r="M1751">
        <v>59.566706191016699</v>
      </c>
      <c r="N1751">
        <v>51.438501068156597</v>
      </c>
      <c r="O1751">
        <v>50.9906287023259</v>
      </c>
      <c r="P1751">
        <v>-0.23893508635981001</v>
      </c>
      <c r="Q1751">
        <v>0.18186209275795401</v>
      </c>
      <c r="R1751">
        <v>0.99142824685435205</v>
      </c>
      <c r="S1751" t="s">
        <v>8153</v>
      </c>
      <c r="T1751" t="s">
        <v>12802</v>
      </c>
      <c r="U1751" t="s">
        <v>12802</v>
      </c>
      <c r="V1751" t="s">
        <v>12802</v>
      </c>
      <c r="W1751" t="s">
        <v>14513</v>
      </c>
      <c r="X1751">
        <v>2</v>
      </c>
      <c r="Y1751" t="s">
        <v>20819</v>
      </c>
      <c r="Z1751" t="s">
        <v>27069</v>
      </c>
      <c r="AA1751">
        <v>0.5662665156383534</v>
      </c>
      <c r="AB1751" t="str">
        <f>HYPERLINK("Melting_Curves/meltCurve_O75695_RP2.pdf", "Melting_Curves/meltCurve_O75695_RP2.pdf")</f>
        <v>Melting_Curves/meltCurve_O75695_RP2.pdf</v>
      </c>
    </row>
    <row r="1752" spans="1:28" x14ac:dyDescent="0.25">
      <c r="A1752" t="s">
        <v>1756</v>
      </c>
      <c r="B1752">
        <v>0.99542014353169495</v>
      </c>
      <c r="C1752">
        <v>0.907450166045915</v>
      </c>
      <c r="D1752">
        <v>0.96159480868617198</v>
      </c>
      <c r="E1752">
        <v>0.60801695910923304</v>
      </c>
      <c r="F1752">
        <v>0.21995309580820199</v>
      </c>
      <c r="G1752">
        <v>0.109186904869669</v>
      </c>
      <c r="H1752">
        <v>7.1607893719573601E-2</v>
      </c>
      <c r="I1752">
        <v>5.0412485899781201E-2</v>
      </c>
      <c r="J1752">
        <v>5.7156019670113897E-2</v>
      </c>
      <c r="K1752">
        <v>5.5777345583565001E-2</v>
      </c>
      <c r="L1752">
        <v>1239.0188267082799</v>
      </c>
      <c r="M1752">
        <v>26.228503765938999</v>
      </c>
      <c r="N1752">
        <v>47.462661246128697</v>
      </c>
      <c r="O1752">
        <v>46.967368636088899</v>
      </c>
      <c r="P1752">
        <v>-0.13150952673768401</v>
      </c>
      <c r="Q1752">
        <v>5.8034459490526998E-2</v>
      </c>
      <c r="R1752">
        <v>0.99460580456595604</v>
      </c>
      <c r="S1752" t="s">
        <v>8154</v>
      </c>
      <c r="T1752" t="s">
        <v>12802</v>
      </c>
      <c r="U1752" t="s">
        <v>12802</v>
      </c>
      <c r="V1752" t="s">
        <v>12802</v>
      </c>
      <c r="W1752" t="s">
        <v>14514</v>
      </c>
      <c r="X1752">
        <v>30</v>
      </c>
      <c r="Y1752" t="s">
        <v>20820</v>
      </c>
      <c r="Z1752" t="s">
        <v>27070</v>
      </c>
      <c r="AA1752">
        <v>0.38674966016438939</v>
      </c>
      <c r="AB1752" t="str">
        <f>HYPERLINK("Melting_Curves/meltCurve_O75717_WDHD1.pdf", "Melting_Curves/meltCurve_O75717_WDHD1.pdf")</f>
        <v>Melting_Curves/meltCurve_O75717_WDHD1.pdf</v>
      </c>
    </row>
    <row r="1753" spans="1:28" x14ac:dyDescent="0.25">
      <c r="A1753" t="s">
        <v>1757</v>
      </c>
      <c r="B1753">
        <v>0.99542014353169495</v>
      </c>
      <c r="C1753">
        <v>0.85658770292108199</v>
      </c>
      <c r="D1753">
        <v>0.87150902996583701</v>
      </c>
      <c r="E1753">
        <v>0.64018239423094103</v>
      </c>
      <c r="F1753">
        <v>0.52624378435036601</v>
      </c>
      <c r="G1753">
        <v>0.29082453754550502</v>
      </c>
      <c r="H1753">
        <v>0.234692235342499</v>
      </c>
      <c r="I1753">
        <v>0.14047427358863099</v>
      </c>
      <c r="J1753">
        <v>0.16523094856419601</v>
      </c>
      <c r="K1753">
        <v>9.3496002159100297E-2</v>
      </c>
      <c r="L1753">
        <v>508.53442945307199</v>
      </c>
      <c r="M1753">
        <v>10.3022105601967</v>
      </c>
      <c r="N1753">
        <v>49.8238577710976</v>
      </c>
      <c r="O1753">
        <v>47.610344664344503</v>
      </c>
      <c r="P1753">
        <v>-5.1653760833096203E-2</v>
      </c>
      <c r="Q1753">
        <v>4.5569049747882499E-2</v>
      </c>
      <c r="R1753">
        <v>0.98738979599469401</v>
      </c>
      <c r="S1753" t="s">
        <v>8155</v>
      </c>
      <c r="T1753" t="s">
        <v>12802</v>
      </c>
      <c r="U1753" t="s">
        <v>12802</v>
      </c>
      <c r="V1753" t="s">
        <v>12802</v>
      </c>
      <c r="W1753" t="s">
        <v>14515</v>
      </c>
      <c r="X1753">
        <v>18</v>
      </c>
      <c r="Y1753" t="s">
        <v>20821</v>
      </c>
      <c r="Z1753" t="s">
        <v>27071</v>
      </c>
      <c r="AA1753">
        <v>0.47212284191900811</v>
      </c>
      <c r="AB1753" t="str">
        <f>HYPERLINK("Melting_Curves/meltCurve_O75746_SLC25A12.pdf", "Melting_Curves/meltCurve_O75746_SLC25A12.pdf")</f>
        <v>Melting_Curves/meltCurve_O75746_SLC25A12.pdf</v>
      </c>
    </row>
    <row r="1754" spans="1:28" x14ac:dyDescent="0.25">
      <c r="A1754" t="s">
        <v>1758</v>
      </c>
      <c r="B1754">
        <v>0.99542014353169495</v>
      </c>
      <c r="C1754">
        <v>0.92999062347378902</v>
      </c>
      <c r="D1754">
        <v>1.02133882869649</v>
      </c>
      <c r="E1754">
        <v>0.84671269815962003</v>
      </c>
      <c r="F1754">
        <v>0.73625468399991101</v>
      </c>
      <c r="G1754">
        <v>0.49123055002921301</v>
      </c>
      <c r="H1754">
        <v>0.376382018644839</v>
      </c>
      <c r="I1754">
        <v>0.374663647788266</v>
      </c>
      <c r="J1754">
        <v>0.44049485881262601</v>
      </c>
      <c r="K1754">
        <v>0.68513739751290603</v>
      </c>
      <c r="L1754">
        <v>1280.7586845657499</v>
      </c>
      <c r="M1754">
        <v>25.9299144670454</v>
      </c>
      <c r="N1754">
        <v>55.010153772322496</v>
      </c>
      <c r="O1754">
        <v>49.102116994957498</v>
      </c>
      <c r="P1754">
        <v>-7.0685417978474593E-2</v>
      </c>
      <c r="Q1754">
        <v>0.464593086293279</v>
      </c>
      <c r="R1754">
        <v>0.86015617641693398</v>
      </c>
      <c r="S1754" t="s">
        <v>8156</v>
      </c>
      <c r="T1754" t="s">
        <v>12802</v>
      </c>
      <c r="U1754" t="s">
        <v>12802</v>
      </c>
      <c r="V1754" t="s">
        <v>12802</v>
      </c>
      <c r="W1754" t="s">
        <v>14516</v>
      </c>
      <c r="X1754">
        <v>2</v>
      </c>
      <c r="Y1754" t="s">
        <v>20822</v>
      </c>
      <c r="Z1754" t="s">
        <v>27072</v>
      </c>
      <c r="AA1754">
        <v>0.69010352068455605</v>
      </c>
      <c r="AB1754" t="str">
        <f>HYPERLINK("Melting_Curves/meltCurve_O75781_PALM.pdf", "Melting_Curves/meltCurve_O75781_PALM.pdf")</f>
        <v>Melting_Curves/meltCurve_O75781_PALM.pdf</v>
      </c>
    </row>
    <row r="1755" spans="1:28" x14ac:dyDescent="0.25">
      <c r="A1755" t="s">
        <v>1759</v>
      </c>
      <c r="B1755">
        <v>0.99542014353169495</v>
      </c>
      <c r="C1755">
        <v>0.98198352324099103</v>
      </c>
      <c r="D1755">
        <v>0.83757993875842696</v>
      </c>
      <c r="E1755">
        <v>0.50467317638301301</v>
      </c>
      <c r="F1755">
        <v>0.192034406880805</v>
      </c>
      <c r="G1755">
        <v>9.6138954308662594E-2</v>
      </c>
      <c r="H1755">
        <v>5.2583792670401301E-2</v>
      </c>
      <c r="I1755">
        <v>3.8570536415271799E-2</v>
      </c>
      <c r="J1755">
        <v>4.1131239769603901E-2</v>
      </c>
      <c r="K1755">
        <v>4.7879472759351803E-2</v>
      </c>
      <c r="L1755">
        <v>980.08764597643403</v>
      </c>
      <c r="M1755">
        <v>21.1246631453505</v>
      </c>
      <c r="N1755">
        <v>46.574686927966901</v>
      </c>
      <c r="O1755">
        <v>45.985674302230301</v>
      </c>
      <c r="P1755">
        <v>-0.11036252276752299</v>
      </c>
      <c r="Q1755">
        <v>3.9045408469054799E-2</v>
      </c>
      <c r="R1755">
        <v>0.99965797220016805</v>
      </c>
      <c r="S1755" t="s">
        <v>8157</v>
      </c>
      <c r="T1755" t="s">
        <v>12802</v>
      </c>
      <c r="U1755" t="s">
        <v>12802</v>
      </c>
      <c r="V1755" t="s">
        <v>12802</v>
      </c>
      <c r="W1755" t="s">
        <v>14517</v>
      </c>
      <c r="X1755">
        <v>10</v>
      </c>
      <c r="Y1755" t="s">
        <v>20823</v>
      </c>
      <c r="Z1755" t="s">
        <v>27073</v>
      </c>
      <c r="AA1755">
        <v>0.35125514437232741</v>
      </c>
      <c r="AB1755" t="str">
        <f>HYPERLINK("Melting_Curves/meltCurve_O75791_GRAP2.pdf", "Melting_Curves/meltCurve_O75791_GRAP2.pdf")</f>
        <v>Melting_Curves/meltCurve_O75791_GRAP2.pdf</v>
      </c>
    </row>
    <row r="1756" spans="1:28" x14ac:dyDescent="0.25">
      <c r="A1756" t="s">
        <v>1760</v>
      </c>
      <c r="B1756">
        <v>0.99542014353169495</v>
      </c>
      <c r="C1756">
        <v>1.0023218657983399</v>
      </c>
      <c r="D1756">
        <v>0.945855921953346</v>
      </c>
      <c r="E1756">
        <v>0.75087593211765402</v>
      </c>
      <c r="F1756">
        <v>0.32699202047908899</v>
      </c>
      <c r="G1756">
        <v>0.17038113406644601</v>
      </c>
      <c r="H1756">
        <v>0.112462451464153</v>
      </c>
      <c r="I1756">
        <v>7.1974219936245198E-2</v>
      </c>
      <c r="J1756">
        <v>6.50564276868658E-2</v>
      </c>
      <c r="K1756">
        <v>8.9509888084117806E-2</v>
      </c>
      <c r="L1756">
        <v>1191.46257860786</v>
      </c>
      <c r="M1756">
        <v>24.643918870174002</v>
      </c>
      <c r="N1756">
        <v>48.692801085928103</v>
      </c>
      <c r="O1756">
        <v>48.032148401964797</v>
      </c>
      <c r="P1756">
        <v>-0.117975898736184</v>
      </c>
      <c r="Q1756">
        <v>8.0250981093045806E-2</v>
      </c>
      <c r="R1756">
        <v>0.99882094398949095</v>
      </c>
      <c r="S1756" t="s">
        <v>8158</v>
      </c>
      <c r="T1756" t="s">
        <v>12802</v>
      </c>
      <c r="U1756" t="s">
        <v>12802</v>
      </c>
      <c r="V1756" t="s">
        <v>12802</v>
      </c>
      <c r="W1756" t="s">
        <v>14518</v>
      </c>
      <c r="X1756">
        <v>11</v>
      </c>
      <c r="Y1756" t="s">
        <v>20824</v>
      </c>
      <c r="Z1756" t="s">
        <v>27074</v>
      </c>
      <c r="AA1756">
        <v>0.43623660147407572</v>
      </c>
      <c r="AB1756" t="str">
        <f>HYPERLINK("Melting_Curves/meltCurve_O75792_RNASEH2A.pdf", "Melting_Curves/meltCurve_O75792_RNASEH2A.pdf")</f>
        <v>Melting_Curves/meltCurve_O75792_RNASEH2A.pdf</v>
      </c>
    </row>
    <row r="1757" spans="1:28" x14ac:dyDescent="0.25">
      <c r="A1757" t="s">
        <v>1761</v>
      </c>
      <c r="B1757">
        <v>0.99542014353169495</v>
      </c>
      <c r="C1757">
        <v>0.90476311587540204</v>
      </c>
      <c r="D1757">
        <v>0.82892364231930404</v>
      </c>
      <c r="E1757">
        <v>0.73662273981709203</v>
      </c>
      <c r="F1757">
        <v>0.47325260244230799</v>
      </c>
      <c r="G1757">
        <v>0.22020719947096801</v>
      </c>
      <c r="H1757">
        <v>7.0419293873409394E-2</v>
      </c>
      <c r="I1757">
        <v>4.3816945467332703E-2</v>
      </c>
      <c r="J1757">
        <v>4.99979250202712E-2</v>
      </c>
      <c r="K1757">
        <v>5.01632476421629E-2</v>
      </c>
      <c r="L1757">
        <v>695.75550158986198</v>
      </c>
      <c r="M1757">
        <v>14.0993437645224</v>
      </c>
      <c r="N1757">
        <v>49.346683311168</v>
      </c>
      <c r="O1757">
        <v>48.3857896466832</v>
      </c>
      <c r="P1757">
        <v>-7.2857955899210194E-2</v>
      </c>
      <c r="Q1757">
        <v>0</v>
      </c>
      <c r="R1757">
        <v>0.98995255203787302</v>
      </c>
      <c r="S1757" t="s">
        <v>8159</v>
      </c>
      <c r="T1757" t="s">
        <v>12802</v>
      </c>
      <c r="U1757" t="s">
        <v>12802</v>
      </c>
      <c r="V1757" t="s">
        <v>12802</v>
      </c>
      <c r="W1757" t="s">
        <v>14519</v>
      </c>
      <c r="X1757">
        <v>14</v>
      </c>
      <c r="Y1757" t="s">
        <v>20825</v>
      </c>
      <c r="Z1757" t="s">
        <v>27075</v>
      </c>
      <c r="AA1757">
        <v>0.43493597950215479</v>
      </c>
      <c r="AB1757" t="str">
        <f>HYPERLINK("Melting_Curves/meltCurve_O75794_CDC123.pdf", "Melting_Curves/meltCurve_O75794_CDC123.pdf")</f>
        <v>Melting_Curves/meltCurve_O75794_CDC123.pdf</v>
      </c>
    </row>
    <row r="1758" spans="1:28" x14ac:dyDescent="0.25">
      <c r="A1758" t="s">
        <v>1762</v>
      </c>
      <c r="B1758">
        <v>0.99542014353169495</v>
      </c>
      <c r="C1758">
        <v>1.0485937862780701</v>
      </c>
      <c r="D1758">
        <v>1.0277759368098001</v>
      </c>
      <c r="E1758">
        <v>0.862414585099609</v>
      </c>
      <c r="F1758">
        <v>0.381392188966379</v>
      </c>
      <c r="G1758">
        <v>0.32937664506480402</v>
      </c>
      <c r="H1758">
        <v>0.154631339467596</v>
      </c>
      <c r="I1758">
        <v>0.13611035906461599</v>
      </c>
      <c r="J1758">
        <v>0.12483096938996401</v>
      </c>
      <c r="K1758">
        <v>0.37445740629428098</v>
      </c>
      <c r="L1758">
        <v>1732.3430227214101</v>
      </c>
      <c r="M1758">
        <v>35.678217475082398</v>
      </c>
      <c r="N1758">
        <v>49.3328454952347</v>
      </c>
      <c r="O1758">
        <v>48.402847230256</v>
      </c>
      <c r="P1758">
        <v>-0.144622021305822</v>
      </c>
      <c r="Q1758">
        <v>0.21519661116677699</v>
      </c>
      <c r="R1758">
        <v>0.95947679825757903</v>
      </c>
      <c r="S1758" t="s">
        <v>8160</v>
      </c>
      <c r="T1758" t="s">
        <v>12802</v>
      </c>
      <c r="U1758" t="s">
        <v>12802</v>
      </c>
      <c r="V1758" t="s">
        <v>12802</v>
      </c>
      <c r="W1758" t="s">
        <v>14520</v>
      </c>
      <c r="X1758">
        <v>6</v>
      </c>
      <c r="Y1758" t="s">
        <v>20826</v>
      </c>
      <c r="Z1758" t="s">
        <v>27076</v>
      </c>
      <c r="AA1758">
        <v>0.52078293529432851</v>
      </c>
      <c r="AB1758" t="str">
        <f>HYPERLINK("Melting_Curves/meltCurve_O75808_SOLH.pdf", "Melting_Curves/meltCurve_O75808_SOLH.pdf")</f>
        <v>Melting_Curves/meltCurve_O75808_SOLH.pdf</v>
      </c>
    </row>
    <row r="1759" spans="1:28" x14ac:dyDescent="0.25">
      <c r="A1759" t="s">
        <v>1763</v>
      </c>
      <c r="B1759">
        <v>0.99542014353169495</v>
      </c>
      <c r="C1759">
        <v>0.95436671351212798</v>
      </c>
      <c r="D1759">
        <v>0.91243670237850805</v>
      </c>
      <c r="E1759">
        <v>0.82027702469113695</v>
      </c>
      <c r="F1759">
        <v>0.70874230569687102</v>
      </c>
      <c r="G1759">
        <v>0.62359874075862798</v>
      </c>
      <c r="H1759">
        <v>0.40161428226852097</v>
      </c>
      <c r="I1759">
        <v>0.21866932137807399</v>
      </c>
      <c r="J1759">
        <v>0.187676583657022</v>
      </c>
      <c r="K1759">
        <v>0.14708412944150701</v>
      </c>
      <c r="L1759">
        <v>541.89115910384896</v>
      </c>
      <c r="M1759">
        <v>9.8661395473901692</v>
      </c>
      <c r="N1759">
        <v>54.924334620341803</v>
      </c>
      <c r="O1759">
        <v>52.810684187300502</v>
      </c>
      <c r="P1759">
        <v>-4.6729155254596699E-2</v>
      </c>
      <c r="Q1759">
        <v>0</v>
      </c>
      <c r="R1759">
        <v>0.98941467576335396</v>
      </c>
      <c r="S1759" t="s">
        <v>8161</v>
      </c>
      <c r="T1759" t="s">
        <v>12802</v>
      </c>
      <c r="U1759" t="s">
        <v>12802</v>
      </c>
      <c r="V1759" t="s">
        <v>12802</v>
      </c>
      <c r="W1759" t="s">
        <v>14521</v>
      </c>
      <c r="X1759">
        <v>3</v>
      </c>
      <c r="Y1759" t="s">
        <v>20827</v>
      </c>
      <c r="Z1759" t="s">
        <v>27077</v>
      </c>
      <c r="AA1759">
        <v>0.60985824926289356</v>
      </c>
      <c r="AB1759" t="str">
        <f>HYPERLINK("Melting_Curves/meltCurve_O75818_2_RPP40.pdf", "Melting_Curves/meltCurve_O75818_2_RPP40.pdf")</f>
        <v>Melting_Curves/meltCurve_O75818_2_RPP40.pdf</v>
      </c>
    </row>
    <row r="1760" spans="1:28" x14ac:dyDescent="0.25">
      <c r="A1760" t="s">
        <v>1764</v>
      </c>
      <c r="B1760">
        <v>0.99542014353169495</v>
      </c>
      <c r="C1760">
        <v>0.92374049680047299</v>
      </c>
      <c r="D1760">
        <v>0.96825463513941401</v>
      </c>
      <c r="E1760">
        <v>0.64744238239446905</v>
      </c>
      <c r="F1760">
        <v>0.300690584901042</v>
      </c>
      <c r="G1760">
        <v>0.16531036819862699</v>
      </c>
      <c r="H1760">
        <v>8.7225969116497104E-2</v>
      </c>
      <c r="I1760">
        <v>6.05110362933668E-2</v>
      </c>
      <c r="J1760">
        <v>7.2040781469675894E-2</v>
      </c>
      <c r="K1760">
        <v>8.7352351143421297E-2</v>
      </c>
      <c r="L1760">
        <v>1070.9275929201201</v>
      </c>
      <c r="M1760">
        <v>22.436684229983399</v>
      </c>
      <c r="N1760">
        <v>48.070104763409198</v>
      </c>
      <c r="O1760">
        <v>47.356779982957903</v>
      </c>
      <c r="P1760">
        <v>-0.10978016525052001</v>
      </c>
      <c r="Q1760">
        <v>7.3173608214270006E-2</v>
      </c>
      <c r="R1760">
        <v>0.99513573437862701</v>
      </c>
      <c r="S1760" t="s">
        <v>8162</v>
      </c>
      <c r="T1760" t="s">
        <v>12802</v>
      </c>
      <c r="U1760" t="s">
        <v>12802</v>
      </c>
      <c r="V1760" t="s">
        <v>12802</v>
      </c>
      <c r="W1760" t="s">
        <v>14522</v>
      </c>
      <c r="X1760">
        <v>16</v>
      </c>
      <c r="Y1760" t="s">
        <v>20828</v>
      </c>
      <c r="Z1760" t="s">
        <v>27078</v>
      </c>
      <c r="AA1760">
        <v>0.41444171058148022</v>
      </c>
      <c r="AB1760" t="str">
        <f>HYPERLINK("Melting_Curves/meltCurve_O75821_EIF3G.pdf", "Melting_Curves/meltCurve_O75821_EIF3G.pdf")</f>
        <v>Melting_Curves/meltCurve_O75821_EIF3G.pdf</v>
      </c>
    </row>
    <row r="1761" spans="1:28" x14ac:dyDescent="0.25">
      <c r="A1761" t="s">
        <v>1765</v>
      </c>
      <c r="B1761">
        <v>0.99542014353169495</v>
      </c>
      <c r="C1761">
        <v>1.0242410755693201</v>
      </c>
      <c r="D1761">
        <v>0.97558485198550304</v>
      </c>
      <c r="E1761">
        <v>1.005630246792</v>
      </c>
      <c r="F1761">
        <v>0.80638569821624395</v>
      </c>
      <c r="G1761">
        <v>0.416405616649836</v>
      </c>
      <c r="H1761">
        <v>0.11256397672188601</v>
      </c>
      <c r="I1761">
        <v>7.6051369217926004E-2</v>
      </c>
      <c r="J1761">
        <v>8.1750020990302597E-2</v>
      </c>
      <c r="K1761">
        <v>9.4427257141286997E-2</v>
      </c>
      <c r="L1761">
        <v>1573.20888681171</v>
      </c>
      <c r="M1761">
        <v>29.868443071690301</v>
      </c>
      <c r="N1761">
        <v>52.942456301483801</v>
      </c>
      <c r="O1761">
        <v>52.436858431843199</v>
      </c>
      <c r="P1761">
        <v>-0.132301195421554</v>
      </c>
      <c r="Q1761">
        <v>7.0937402915937101E-2</v>
      </c>
      <c r="R1761">
        <v>0.99756114228687798</v>
      </c>
      <c r="S1761" t="s">
        <v>8163</v>
      </c>
      <c r="T1761" t="s">
        <v>12802</v>
      </c>
      <c r="U1761" t="s">
        <v>12802</v>
      </c>
      <c r="V1761" t="s">
        <v>12802</v>
      </c>
      <c r="W1761" t="s">
        <v>14523</v>
      </c>
      <c r="X1761">
        <v>18</v>
      </c>
      <c r="Y1761" t="s">
        <v>20829</v>
      </c>
      <c r="Z1761" t="s">
        <v>27079</v>
      </c>
      <c r="AA1761">
        <v>0.56220596160826575</v>
      </c>
      <c r="AB1761" t="str">
        <f>HYPERLINK("Melting_Curves/meltCurve_O75822_EIF3J.pdf", "Melting_Curves/meltCurve_O75822_EIF3J.pdf")</f>
        <v>Melting_Curves/meltCurve_O75822_EIF3J.pdf</v>
      </c>
    </row>
    <row r="1762" spans="1:28" x14ac:dyDescent="0.25">
      <c r="A1762" t="s">
        <v>1766</v>
      </c>
      <c r="B1762">
        <v>0.99542014353169495</v>
      </c>
      <c r="C1762">
        <v>1.09138528657366</v>
      </c>
      <c r="D1762">
        <v>0.90029341077024805</v>
      </c>
      <c r="E1762">
        <v>0.92762545363347104</v>
      </c>
      <c r="F1762">
        <v>0.71843945651989205</v>
      </c>
      <c r="G1762">
        <v>0.59655972357317599</v>
      </c>
      <c r="H1762">
        <v>0.183126946690716</v>
      </c>
      <c r="I1762">
        <v>5.7924568692230401E-2</v>
      </c>
      <c r="J1762">
        <v>4.81207745455789E-2</v>
      </c>
      <c r="K1762">
        <v>8.2704537031301803E-2</v>
      </c>
      <c r="L1762">
        <v>952.22527154655495</v>
      </c>
      <c r="M1762">
        <v>17.727062361604101</v>
      </c>
      <c r="N1762">
        <v>53.715909037297997</v>
      </c>
      <c r="O1762">
        <v>53.046321567652001</v>
      </c>
      <c r="P1762">
        <v>-8.3549563362381798E-2</v>
      </c>
      <c r="Q1762">
        <v>0</v>
      </c>
      <c r="R1762">
        <v>0.97581128774557802</v>
      </c>
      <c r="S1762" t="s">
        <v>8164</v>
      </c>
      <c r="T1762" t="s">
        <v>12802</v>
      </c>
      <c r="U1762" t="s">
        <v>12802</v>
      </c>
      <c r="V1762" t="s">
        <v>12802</v>
      </c>
      <c r="W1762" t="s">
        <v>14524</v>
      </c>
      <c r="X1762">
        <v>4</v>
      </c>
      <c r="Y1762" t="s">
        <v>20830</v>
      </c>
      <c r="Z1762" t="s">
        <v>27080</v>
      </c>
      <c r="AA1762">
        <v>0.57142021640450802</v>
      </c>
      <c r="AB1762" t="str">
        <f>HYPERLINK("Melting_Curves/meltCurve_O75828_CBR3.pdf", "Melting_Curves/meltCurve_O75828_CBR3.pdf")</f>
        <v>Melting_Curves/meltCurve_O75828_CBR3.pdf</v>
      </c>
    </row>
    <row r="1763" spans="1:28" x14ac:dyDescent="0.25">
      <c r="A1763" t="s">
        <v>1767</v>
      </c>
      <c r="B1763">
        <v>0.99542014353169495</v>
      </c>
      <c r="C1763">
        <v>0.84763249248816297</v>
      </c>
      <c r="D1763">
        <v>0.81741654410598397</v>
      </c>
      <c r="E1763">
        <v>0.64859799939087803</v>
      </c>
      <c r="F1763">
        <v>0.56087794193266005</v>
      </c>
      <c r="G1763">
        <v>0.32502078944873802</v>
      </c>
      <c r="H1763">
        <v>0.22046341248553</v>
      </c>
      <c r="I1763">
        <v>0.119386933838252</v>
      </c>
      <c r="J1763">
        <v>9.6356123681116901E-2</v>
      </c>
      <c r="K1763">
        <v>7.8221182053679505E-2</v>
      </c>
      <c r="L1763">
        <v>474.09849043755202</v>
      </c>
      <c r="M1763">
        <v>9.4898484343398106</v>
      </c>
      <c r="N1763">
        <v>49.958486564552501</v>
      </c>
      <c r="O1763">
        <v>47.890944948499801</v>
      </c>
      <c r="P1763">
        <v>-4.9568266611613301E-2</v>
      </c>
      <c r="Q1763">
        <v>0</v>
      </c>
      <c r="R1763">
        <v>0.98834946316663197</v>
      </c>
      <c r="S1763" t="s">
        <v>8165</v>
      </c>
      <c r="T1763" t="s">
        <v>12802</v>
      </c>
      <c r="U1763" t="s">
        <v>12802</v>
      </c>
      <c r="V1763" t="s">
        <v>12802</v>
      </c>
      <c r="W1763" t="s">
        <v>14525</v>
      </c>
      <c r="X1763">
        <v>11</v>
      </c>
      <c r="Y1763" t="s">
        <v>20831</v>
      </c>
      <c r="Z1763" t="s">
        <v>27081</v>
      </c>
      <c r="AA1763">
        <v>0.46770933662304098</v>
      </c>
      <c r="AB1763" t="str">
        <f>HYPERLINK("Melting_Curves/meltCurve_O75844_ZMPSTE24.pdf", "Melting_Curves/meltCurve_O75844_ZMPSTE24.pdf")</f>
        <v>Melting_Curves/meltCurve_O75844_ZMPSTE24.pdf</v>
      </c>
    </row>
    <row r="1764" spans="1:28" x14ac:dyDescent="0.25">
      <c r="A1764" t="s">
        <v>1768</v>
      </c>
      <c r="B1764">
        <v>0.99542014353169495</v>
      </c>
      <c r="C1764">
        <v>1.01817094070126</v>
      </c>
      <c r="D1764">
        <v>0.94994154462968805</v>
      </c>
      <c r="E1764">
        <v>0.91302101725984497</v>
      </c>
      <c r="F1764">
        <v>0.78290635415889898</v>
      </c>
      <c r="G1764">
        <v>0.68150264747719502</v>
      </c>
      <c r="H1764">
        <v>0.38123253760987502</v>
      </c>
      <c r="I1764">
        <v>9.2794913569437504E-2</v>
      </c>
      <c r="J1764">
        <v>5.7479892599641001E-2</v>
      </c>
      <c r="K1764">
        <v>6.0088006035498E-2</v>
      </c>
      <c r="L1764">
        <v>952.95077061675397</v>
      </c>
      <c r="M1764">
        <v>17.2322017073392</v>
      </c>
      <c r="N1764">
        <v>55.300582875714703</v>
      </c>
      <c r="O1764">
        <v>54.571966913068998</v>
      </c>
      <c r="P1764">
        <v>-7.8947178874976404E-2</v>
      </c>
      <c r="Q1764">
        <v>0</v>
      </c>
      <c r="R1764">
        <v>0.98584995182300295</v>
      </c>
      <c r="S1764" t="s">
        <v>8166</v>
      </c>
      <c r="T1764" t="s">
        <v>12802</v>
      </c>
      <c r="U1764" t="s">
        <v>12802</v>
      </c>
      <c r="V1764" t="s">
        <v>12802</v>
      </c>
      <c r="W1764" t="s">
        <v>14526</v>
      </c>
      <c r="X1764">
        <v>30</v>
      </c>
      <c r="Y1764" t="s">
        <v>20832</v>
      </c>
      <c r="Z1764" t="s">
        <v>27082</v>
      </c>
      <c r="AA1764">
        <v>0.62255473857027399</v>
      </c>
      <c r="AB1764" t="str">
        <f>HYPERLINK("Melting_Curves/meltCurve_O75874_IDH1.pdf", "Melting_Curves/meltCurve_O75874_IDH1.pdf")</f>
        <v>Melting_Curves/meltCurve_O75874_IDH1.pdf</v>
      </c>
    </row>
    <row r="1765" spans="1:28" x14ac:dyDescent="0.25">
      <c r="A1765" t="s">
        <v>1769</v>
      </c>
      <c r="B1765">
        <v>0.99542014353169495</v>
      </c>
      <c r="C1765">
        <v>0.93879234661913902</v>
      </c>
      <c r="D1765">
        <v>0.99825298695360598</v>
      </c>
      <c r="E1765">
        <v>0.77898117370064901</v>
      </c>
      <c r="F1765">
        <v>0.68330989710440504</v>
      </c>
      <c r="G1765">
        <v>0.35411909852581602</v>
      </c>
      <c r="H1765">
        <v>0.23774594887356701</v>
      </c>
      <c r="I1765">
        <v>0.170734645658838</v>
      </c>
      <c r="J1765">
        <v>0.182413787325304</v>
      </c>
      <c r="K1765">
        <v>9.1571804818753696E-2</v>
      </c>
      <c r="L1765">
        <v>777.83322095953804</v>
      </c>
      <c r="M1765">
        <v>15.174649901807999</v>
      </c>
      <c r="N1765">
        <v>51.992711124870702</v>
      </c>
      <c r="O1765">
        <v>50.393263533452703</v>
      </c>
      <c r="P1765">
        <v>-6.80293554624741E-2</v>
      </c>
      <c r="Q1765">
        <v>9.6416638994465606E-2</v>
      </c>
      <c r="R1765">
        <v>0.98689002209076304</v>
      </c>
      <c r="S1765" t="s">
        <v>8167</v>
      </c>
      <c r="T1765" t="s">
        <v>12802</v>
      </c>
      <c r="U1765" t="s">
        <v>12802</v>
      </c>
      <c r="V1765" t="s">
        <v>12802</v>
      </c>
      <c r="W1765" t="s">
        <v>14527</v>
      </c>
      <c r="X1765">
        <v>2</v>
      </c>
      <c r="Y1765" t="s">
        <v>20833</v>
      </c>
      <c r="Z1765" t="s">
        <v>27083</v>
      </c>
      <c r="AA1765">
        <v>0.54359687844748106</v>
      </c>
      <c r="AB1765" t="str">
        <f>HYPERLINK("Melting_Curves/meltCurve_O75882_3_ATRN.pdf", "Melting_Curves/meltCurve_O75882_3_ATRN.pdf")</f>
        <v>Melting_Curves/meltCurve_O75882_3_ATRN.pdf</v>
      </c>
    </row>
    <row r="1766" spans="1:28" x14ac:dyDescent="0.25">
      <c r="A1766" t="s">
        <v>1770</v>
      </c>
      <c r="B1766">
        <v>0.99542014353169495</v>
      </c>
      <c r="C1766">
        <v>0.92298025588732802</v>
      </c>
      <c r="D1766">
        <v>0.81734791201279</v>
      </c>
      <c r="E1766">
        <v>0.71965350142676998</v>
      </c>
      <c r="F1766">
        <v>0.24075519881608501</v>
      </c>
      <c r="G1766">
        <v>0.101856286384052</v>
      </c>
      <c r="H1766">
        <v>6.5839246560506007E-2</v>
      </c>
      <c r="I1766">
        <v>6.6762501829484705E-2</v>
      </c>
      <c r="J1766">
        <v>6.7069708698073993E-2</v>
      </c>
      <c r="K1766">
        <v>4.4576528996680097E-2</v>
      </c>
      <c r="L1766">
        <v>1006.74445456961</v>
      </c>
      <c r="M1766">
        <v>21.1117414387863</v>
      </c>
      <c r="N1766">
        <v>47.887077546908401</v>
      </c>
      <c r="O1766">
        <v>47.264823844874897</v>
      </c>
      <c r="P1766">
        <v>-0.106944287981005</v>
      </c>
      <c r="Q1766">
        <v>4.2321047570093001E-2</v>
      </c>
      <c r="R1766">
        <v>0.98429129474839405</v>
      </c>
      <c r="S1766" t="s">
        <v>8168</v>
      </c>
      <c r="T1766" t="s">
        <v>12802</v>
      </c>
      <c r="U1766" t="s">
        <v>12802</v>
      </c>
      <c r="V1766" t="s">
        <v>12802</v>
      </c>
      <c r="W1766" t="s">
        <v>14528</v>
      </c>
      <c r="X1766">
        <v>9</v>
      </c>
      <c r="Y1766" t="s">
        <v>20834</v>
      </c>
      <c r="Z1766" t="s">
        <v>27084</v>
      </c>
      <c r="AA1766">
        <v>0.39478660874590948</v>
      </c>
      <c r="AB1766" t="str">
        <f>HYPERLINK("Melting_Curves/meltCurve_O75886_STAM2.pdf", "Melting_Curves/meltCurve_O75886_STAM2.pdf")</f>
        <v>Melting_Curves/meltCurve_O75886_STAM2.pdf</v>
      </c>
    </row>
    <row r="1767" spans="1:28" x14ac:dyDescent="0.25">
      <c r="A1767" t="s">
        <v>1771</v>
      </c>
      <c r="B1767">
        <v>0.99542014353169495</v>
      </c>
      <c r="C1767">
        <v>0.94473302335491205</v>
      </c>
      <c r="D1767">
        <v>0.82757138741651903</v>
      </c>
      <c r="E1767">
        <v>0.80952144819956695</v>
      </c>
      <c r="F1767">
        <v>0.61382776478475698</v>
      </c>
      <c r="G1767">
        <v>0.38175263786027502</v>
      </c>
      <c r="H1767">
        <v>0.15764257719896599</v>
      </c>
      <c r="I1767">
        <v>7.00151344956082E-2</v>
      </c>
      <c r="J1767">
        <v>3.4907645521451001E-2</v>
      </c>
      <c r="K1767">
        <v>0</v>
      </c>
      <c r="L1767">
        <v>711.70280235981897</v>
      </c>
      <c r="M1767">
        <v>13.8605646177424</v>
      </c>
      <c r="N1767">
        <v>51.347316948897102</v>
      </c>
      <c r="O1767">
        <v>50.313899427318098</v>
      </c>
      <c r="P1767">
        <v>-6.8879932161887397E-2</v>
      </c>
      <c r="Q1767">
        <v>0</v>
      </c>
      <c r="R1767">
        <v>0.98638647920279598</v>
      </c>
      <c r="S1767" t="s">
        <v>8169</v>
      </c>
      <c r="T1767" t="s">
        <v>12802</v>
      </c>
      <c r="U1767" t="s">
        <v>12802</v>
      </c>
      <c r="V1767" t="s">
        <v>12802</v>
      </c>
      <c r="W1767" t="s">
        <v>14529</v>
      </c>
      <c r="X1767">
        <v>3</v>
      </c>
      <c r="Y1767" t="s">
        <v>20835</v>
      </c>
      <c r="Z1767" t="s">
        <v>27085</v>
      </c>
      <c r="AA1767">
        <v>0.50002809619605193</v>
      </c>
      <c r="AB1767" t="str">
        <f>HYPERLINK("Melting_Curves/meltCurve_O75896_TUSC2.pdf", "Melting_Curves/meltCurve_O75896_TUSC2.pdf")</f>
        <v>Melting_Curves/meltCurve_O75896_TUSC2.pdf</v>
      </c>
    </row>
    <row r="1768" spans="1:28" x14ac:dyDescent="0.25">
      <c r="A1768" t="s">
        <v>1772</v>
      </c>
      <c r="B1768">
        <v>0.99542014353169495</v>
      </c>
      <c r="C1768">
        <v>0.99684697640992204</v>
      </c>
      <c r="D1768">
        <v>0.92826714773907804</v>
      </c>
      <c r="E1768">
        <v>0.82072314294113202</v>
      </c>
      <c r="F1768">
        <v>0.73767238947662805</v>
      </c>
      <c r="G1768">
        <v>0.59807122644169797</v>
      </c>
      <c r="H1768">
        <v>0.27796759043997399</v>
      </c>
      <c r="I1768">
        <v>9.7581605478376202E-2</v>
      </c>
      <c r="J1768">
        <v>6.4526488597674E-2</v>
      </c>
      <c r="K1768">
        <v>7.5733516308597607E-2</v>
      </c>
      <c r="L1768">
        <v>767.70914598009404</v>
      </c>
      <c r="M1768">
        <v>14.241471103303899</v>
      </c>
      <c r="N1768">
        <v>53.906590177666601</v>
      </c>
      <c r="O1768">
        <v>52.877119563626202</v>
      </c>
      <c r="P1768">
        <v>-6.7341195792946298E-2</v>
      </c>
      <c r="Q1768">
        <v>0</v>
      </c>
      <c r="R1768">
        <v>0.98373426669644304</v>
      </c>
      <c r="S1768" t="s">
        <v>8170</v>
      </c>
      <c r="T1768" t="s">
        <v>12802</v>
      </c>
      <c r="U1768" t="s">
        <v>12802</v>
      </c>
      <c r="V1768" t="s">
        <v>12802</v>
      </c>
      <c r="W1768" t="s">
        <v>14530</v>
      </c>
      <c r="X1768">
        <v>4</v>
      </c>
      <c r="Y1768" t="s">
        <v>20836</v>
      </c>
      <c r="Z1768" t="s">
        <v>27086</v>
      </c>
      <c r="AA1768">
        <v>0.5805156829467214</v>
      </c>
      <c r="AB1768" t="str">
        <f>HYPERLINK("Melting_Curves/meltCurve_O75909_CCNK.pdf", "Melting_Curves/meltCurve_O75909_CCNK.pdf")</f>
        <v>Melting_Curves/meltCurve_O75909_CCNK.pdf</v>
      </c>
    </row>
    <row r="1769" spans="1:28" x14ac:dyDescent="0.25">
      <c r="A1769" t="s">
        <v>1773</v>
      </c>
      <c r="B1769">
        <v>0.99542014353169495</v>
      </c>
      <c r="C1769">
        <v>1.0045671765614399</v>
      </c>
      <c r="D1769">
        <v>1.0304960175276101</v>
      </c>
      <c r="E1769">
        <v>0.93719904752935801</v>
      </c>
      <c r="F1769">
        <v>0.737373158513288</v>
      </c>
      <c r="G1769">
        <v>0.57407513993204295</v>
      </c>
      <c r="H1769">
        <v>0.29041854013386698</v>
      </c>
      <c r="I1769">
        <v>0.110070807406166</v>
      </c>
      <c r="J1769">
        <v>0.13097427169998699</v>
      </c>
      <c r="K1769">
        <v>0.124327223763951</v>
      </c>
      <c r="L1769">
        <v>933.81324437047101</v>
      </c>
      <c r="M1769">
        <v>17.401658468080701</v>
      </c>
      <c r="N1769">
        <v>54.109003507573703</v>
      </c>
      <c r="O1769">
        <v>52.968693310084198</v>
      </c>
      <c r="P1769">
        <v>-7.6640875387055399E-2</v>
      </c>
      <c r="Q1769">
        <v>6.6907742790282998E-2</v>
      </c>
      <c r="R1769">
        <v>0.99211506700077801</v>
      </c>
      <c r="S1769" t="s">
        <v>8171</v>
      </c>
      <c r="T1769" t="s">
        <v>12802</v>
      </c>
      <c r="U1769" t="s">
        <v>12802</v>
      </c>
      <c r="V1769" t="s">
        <v>12802</v>
      </c>
      <c r="W1769" t="s">
        <v>14531</v>
      </c>
      <c r="X1769">
        <v>6</v>
      </c>
      <c r="Y1769" t="s">
        <v>20837</v>
      </c>
      <c r="Z1769" t="s">
        <v>27087</v>
      </c>
      <c r="AA1769">
        <v>0.59875432277709772</v>
      </c>
      <c r="AB1769" t="str">
        <f>HYPERLINK("Melting_Curves/meltCurve_O75911_DHRS3.pdf", "Melting_Curves/meltCurve_O75911_DHRS3.pdf")</f>
        <v>Melting_Curves/meltCurve_O75911_DHRS3.pdf</v>
      </c>
    </row>
    <row r="1770" spans="1:28" x14ac:dyDescent="0.25">
      <c r="A1770" t="s">
        <v>1774</v>
      </c>
      <c r="B1770">
        <v>0.99542014353169495</v>
      </c>
      <c r="C1770">
        <v>1.0903400970849599</v>
      </c>
      <c r="D1770">
        <v>1.0329025488227299</v>
      </c>
      <c r="E1770">
        <v>0.94458864456877401</v>
      </c>
      <c r="F1770">
        <v>0.84821166068166598</v>
      </c>
      <c r="G1770">
        <v>0.670301747429072</v>
      </c>
      <c r="H1770">
        <v>0.46209233807582401</v>
      </c>
      <c r="I1770">
        <v>0.38429245836708298</v>
      </c>
      <c r="J1770">
        <v>0.43241925858505098</v>
      </c>
      <c r="K1770">
        <v>0.475030496035798</v>
      </c>
      <c r="L1770">
        <v>1265.2814093566799</v>
      </c>
      <c r="M1770">
        <v>24.0298513282542</v>
      </c>
      <c r="N1770">
        <v>56.946010314605999</v>
      </c>
      <c r="O1770">
        <v>52.293998138445602</v>
      </c>
      <c r="P1770">
        <v>-6.6832254442204697E-2</v>
      </c>
      <c r="Q1770">
        <v>0.41824539324347998</v>
      </c>
      <c r="R1770">
        <v>0.97371064672658403</v>
      </c>
      <c r="S1770" t="s">
        <v>8172</v>
      </c>
      <c r="T1770" t="s">
        <v>12802</v>
      </c>
      <c r="U1770" t="s">
        <v>12802</v>
      </c>
      <c r="V1770" t="s">
        <v>12802</v>
      </c>
      <c r="W1770" t="s">
        <v>14532</v>
      </c>
      <c r="X1770">
        <v>8</v>
      </c>
      <c r="Y1770" t="s">
        <v>20838</v>
      </c>
      <c r="Z1770" t="s">
        <v>27088</v>
      </c>
      <c r="AA1770">
        <v>0.72733078982698418</v>
      </c>
      <c r="AB1770" t="str">
        <f>HYPERLINK("Melting_Curves/meltCurve_O75915_ARL6IP5.pdf", "Melting_Curves/meltCurve_O75915_ARL6IP5.pdf")</f>
        <v>Melting_Curves/meltCurve_O75915_ARL6IP5.pdf</v>
      </c>
    </row>
    <row r="1771" spans="1:28" x14ac:dyDescent="0.25">
      <c r="A1771" t="s">
        <v>1775</v>
      </c>
      <c r="B1771">
        <v>0.99542014353169495</v>
      </c>
      <c r="C1771">
        <v>0.87599716534284999</v>
      </c>
      <c r="D1771">
        <v>0.66969679740425803</v>
      </c>
      <c r="E1771">
        <v>0.29692540906407699</v>
      </c>
      <c r="F1771">
        <v>0.11766006214837101</v>
      </c>
      <c r="G1771">
        <v>6.4541561944115797E-2</v>
      </c>
      <c r="H1771">
        <v>4.1513099008429498E-2</v>
      </c>
      <c r="I1771">
        <v>3.0244673006477901E-2</v>
      </c>
      <c r="J1771">
        <v>2.9701428246378801E-2</v>
      </c>
      <c r="K1771">
        <v>1.6098509057715499E-2</v>
      </c>
      <c r="L1771">
        <v>845.22552002563202</v>
      </c>
      <c r="M1771">
        <v>19.047765297957</v>
      </c>
      <c r="N1771">
        <v>44.489744990068701</v>
      </c>
      <c r="O1771">
        <v>43.893586384688099</v>
      </c>
      <c r="P1771">
        <v>-0.105869741488979</v>
      </c>
      <c r="Q1771">
        <v>2.4175452963945899E-2</v>
      </c>
      <c r="R1771">
        <v>0.99914741795088902</v>
      </c>
      <c r="S1771" t="s">
        <v>8173</v>
      </c>
      <c r="T1771" t="s">
        <v>12802</v>
      </c>
      <c r="U1771" t="s">
        <v>12802</v>
      </c>
      <c r="V1771" t="s">
        <v>12802</v>
      </c>
      <c r="W1771" t="s">
        <v>14533</v>
      </c>
      <c r="X1771">
        <v>2</v>
      </c>
      <c r="Y1771" t="s">
        <v>20839</v>
      </c>
      <c r="Z1771" t="s">
        <v>27089</v>
      </c>
      <c r="AA1771">
        <v>0.27841208982648141</v>
      </c>
      <c r="AB1771" t="str">
        <f>HYPERLINK("Melting_Curves/meltCurve_O75928_2_PIAS2.pdf", "Melting_Curves/meltCurve_O75928_2_PIAS2.pdf")</f>
        <v>Melting_Curves/meltCurve_O75928_2_PIAS2.pdf</v>
      </c>
    </row>
    <row r="1772" spans="1:28" x14ac:dyDescent="0.25">
      <c r="A1772" t="s">
        <v>1776</v>
      </c>
      <c r="B1772">
        <v>0.99542014353169495</v>
      </c>
      <c r="C1772">
        <v>0.83595480740044703</v>
      </c>
      <c r="D1772">
        <v>0.80789641184698202</v>
      </c>
      <c r="E1772">
        <v>0.49134806128441399</v>
      </c>
      <c r="F1772">
        <v>0.39788042042731198</v>
      </c>
      <c r="G1772">
        <v>0.20686678015962201</v>
      </c>
      <c r="H1772">
        <v>0.123709640539285</v>
      </c>
      <c r="I1772">
        <v>6.8729960023850803E-2</v>
      </c>
      <c r="J1772">
        <v>6.3751690586950696E-2</v>
      </c>
      <c r="K1772">
        <v>7.6290509059453698E-2</v>
      </c>
      <c r="L1772">
        <v>536.26641958776895</v>
      </c>
      <c r="M1772">
        <v>11.364482618232801</v>
      </c>
      <c r="N1772">
        <v>47.359309231562698</v>
      </c>
      <c r="O1772">
        <v>45.797681493936501</v>
      </c>
      <c r="P1772">
        <v>-6.0804702426460099E-2</v>
      </c>
      <c r="Q1772">
        <v>2.0145168782811699E-2</v>
      </c>
      <c r="R1772">
        <v>0.98844935833313896</v>
      </c>
      <c r="S1772" t="s">
        <v>8174</v>
      </c>
      <c r="T1772" t="s">
        <v>12802</v>
      </c>
      <c r="U1772" t="s">
        <v>12802</v>
      </c>
      <c r="V1772" t="s">
        <v>12802</v>
      </c>
      <c r="W1772" t="s">
        <v>14534</v>
      </c>
      <c r="X1772">
        <v>12</v>
      </c>
      <c r="Y1772" t="s">
        <v>20840</v>
      </c>
      <c r="Z1772" t="s">
        <v>27090</v>
      </c>
      <c r="AA1772">
        <v>0.38759852082751889</v>
      </c>
      <c r="AB1772" t="str">
        <f>HYPERLINK("Melting_Curves/meltCurve_O75934_BCAS2.pdf", "Melting_Curves/meltCurve_O75934_BCAS2.pdf")</f>
        <v>Melting_Curves/meltCurve_O75934_BCAS2.pdf</v>
      </c>
    </row>
    <row r="1773" spans="1:28" x14ac:dyDescent="0.25">
      <c r="A1773" t="s">
        <v>1777</v>
      </c>
      <c r="B1773">
        <v>0.99542014353169495</v>
      </c>
      <c r="C1773">
        <v>0.94737789431237596</v>
      </c>
      <c r="D1773">
        <v>1.00607912361661</v>
      </c>
      <c r="E1773">
        <v>0.84262505521797904</v>
      </c>
      <c r="F1773">
        <v>0.384356402174509</v>
      </c>
      <c r="G1773">
        <v>0.134655752531775</v>
      </c>
      <c r="H1773">
        <v>6.8480116596471297E-2</v>
      </c>
      <c r="I1773">
        <v>4.9922100682836701E-2</v>
      </c>
      <c r="J1773">
        <v>6.0591194309120001E-2</v>
      </c>
      <c r="K1773">
        <v>6.7360464602202103E-2</v>
      </c>
      <c r="L1773">
        <v>1452.4843094992</v>
      </c>
      <c r="M1773">
        <v>29.558447591448601</v>
      </c>
      <c r="N1773">
        <v>49.348176211486603</v>
      </c>
      <c r="O1773">
        <v>48.916128742380202</v>
      </c>
      <c r="P1773">
        <v>-0.14218899260117401</v>
      </c>
      <c r="Q1773">
        <v>5.8775070864158299E-2</v>
      </c>
      <c r="R1773">
        <v>0.99803397395557802</v>
      </c>
      <c r="S1773" t="s">
        <v>8175</v>
      </c>
      <c r="T1773" t="s">
        <v>12802</v>
      </c>
      <c r="U1773" t="s">
        <v>12802</v>
      </c>
      <c r="V1773" t="s">
        <v>12802</v>
      </c>
      <c r="W1773" t="s">
        <v>14535</v>
      </c>
      <c r="X1773">
        <v>9</v>
      </c>
      <c r="Y1773" t="s">
        <v>20841</v>
      </c>
      <c r="Z1773" t="s">
        <v>27091</v>
      </c>
      <c r="AA1773">
        <v>0.44550013360406671</v>
      </c>
      <c r="AB1773" t="str">
        <f>HYPERLINK("Melting_Curves/meltCurve_O75935_3_DCTN3.pdf", "Melting_Curves/meltCurve_O75935_3_DCTN3.pdf")</f>
        <v>Melting_Curves/meltCurve_O75935_3_DCTN3.pdf</v>
      </c>
    </row>
    <row r="1774" spans="1:28" x14ac:dyDescent="0.25">
      <c r="A1774" t="s">
        <v>1778</v>
      </c>
      <c r="B1774">
        <v>0.99542014353169495</v>
      </c>
      <c r="C1774">
        <v>1.0255524940833201</v>
      </c>
      <c r="D1774">
        <v>0.95036028033179398</v>
      </c>
      <c r="E1774">
        <v>0.89911257253624999</v>
      </c>
      <c r="F1774">
        <v>0.62530651470321896</v>
      </c>
      <c r="G1774">
        <v>0.26824355107159398</v>
      </c>
      <c r="H1774">
        <v>0.11629238066351801</v>
      </c>
      <c r="I1774">
        <v>8.2803030499570399E-2</v>
      </c>
      <c r="J1774">
        <v>0.11762159854446801</v>
      </c>
      <c r="K1774">
        <v>0.16327000047715001</v>
      </c>
      <c r="L1774">
        <v>1341.99534018857</v>
      </c>
      <c r="M1774">
        <v>26.474831136623099</v>
      </c>
      <c r="N1774">
        <v>51.160939045859799</v>
      </c>
      <c r="O1774">
        <v>50.4029241220126</v>
      </c>
      <c r="P1774">
        <v>-0.117102834604546</v>
      </c>
      <c r="Q1774">
        <v>0.108245573789348</v>
      </c>
      <c r="R1774">
        <v>0.99462275214667795</v>
      </c>
      <c r="S1774" t="s">
        <v>8176</v>
      </c>
      <c r="T1774" t="s">
        <v>12802</v>
      </c>
      <c r="U1774" t="s">
        <v>12802</v>
      </c>
      <c r="V1774" t="s">
        <v>12802</v>
      </c>
      <c r="W1774" t="s">
        <v>14536</v>
      </c>
      <c r="X1774">
        <v>18</v>
      </c>
      <c r="Y1774" t="s">
        <v>20842</v>
      </c>
      <c r="Z1774" t="s">
        <v>27092</v>
      </c>
      <c r="AA1774">
        <v>0.5222107167827057</v>
      </c>
      <c r="AB1774" t="str">
        <f>HYPERLINK("Melting_Curves/meltCurve_O75937_DNAJC8.pdf", "Melting_Curves/meltCurve_O75937_DNAJC8.pdf")</f>
        <v>Melting_Curves/meltCurve_O75937_DNAJC8.pdf</v>
      </c>
    </row>
    <row r="1775" spans="1:28" x14ac:dyDescent="0.25">
      <c r="A1775" t="s">
        <v>1779</v>
      </c>
      <c r="B1775">
        <v>0.99542014353169495</v>
      </c>
      <c r="C1775">
        <v>0.92862761038087804</v>
      </c>
      <c r="D1775">
        <v>0.97025251868728501</v>
      </c>
      <c r="E1775">
        <v>0.91025063224843805</v>
      </c>
      <c r="F1775">
        <v>0.86544577453931903</v>
      </c>
      <c r="G1775">
        <v>0.95847283443571296</v>
      </c>
      <c r="H1775">
        <v>0.78458378168911302</v>
      </c>
      <c r="I1775">
        <v>0.67989768424414498</v>
      </c>
      <c r="J1775">
        <v>1.0309530953857799</v>
      </c>
      <c r="K1775">
        <v>1.3349780416688899</v>
      </c>
      <c r="L1775">
        <v>15000</v>
      </c>
      <c r="M1775">
        <v>231.724196786736</v>
      </c>
      <c r="O1775">
        <v>64.727304907450602</v>
      </c>
      <c r="P1775">
        <v>0.29992354254963799</v>
      </c>
      <c r="Q1775">
        <v>1.33510945891678</v>
      </c>
      <c r="R1775">
        <v>0.31460751247760899</v>
      </c>
      <c r="S1775" t="s">
        <v>8177</v>
      </c>
      <c r="T1775" t="s">
        <v>12802</v>
      </c>
      <c r="U1775" t="s">
        <v>12802</v>
      </c>
      <c r="V1775" t="s">
        <v>12802</v>
      </c>
      <c r="W1775" t="s">
        <v>14537</v>
      </c>
      <c r="X1775">
        <v>9</v>
      </c>
      <c r="Y1775" t="s">
        <v>20843</v>
      </c>
      <c r="Z1775" t="s">
        <v>27093</v>
      </c>
      <c r="AA1775">
        <v>1.025289872702654</v>
      </c>
      <c r="AB1775" t="str">
        <f>HYPERLINK("Melting_Curves/meltCurve_O75940_SMNDC1.pdf", "Melting_Curves/meltCurve_O75940_SMNDC1.pdf")</f>
        <v>Melting_Curves/meltCurve_O75940_SMNDC1.pdf</v>
      </c>
    </row>
    <row r="1776" spans="1:28" x14ac:dyDescent="0.25">
      <c r="A1776" t="s">
        <v>1780</v>
      </c>
      <c r="B1776">
        <v>0.99542014353169495</v>
      </c>
      <c r="C1776">
        <v>0.84355526124467695</v>
      </c>
      <c r="D1776">
        <v>0.76609861295662696</v>
      </c>
      <c r="E1776">
        <v>0.46664292151337</v>
      </c>
      <c r="F1776">
        <v>0.27999100538635102</v>
      </c>
      <c r="G1776">
        <v>0.182254459258123</v>
      </c>
      <c r="H1776">
        <v>9.7054932097454499E-2</v>
      </c>
      <c r="I1776">
        <v>5.3542027738542101E-2</v>
      </c>
      <c r="J1776">
        <v>6.1547622691044301E-2</v>
      </c>
      <c r="K1776">
        <v>6.7720885778309398E-2</v>
      </c>
      <c r="L1776">
        <v>609.80041080861497</v>
      </c>
      <c r="M1776">
        <v>13.2320498883638</v>
      </c>
      <c r="N1776">
        <v>46.362409517667302</v>
      </c>
      <c r="O1776">
        <v>45.070651960095901</v>
      </c>
      <c r="P1776">
        <v>-7.0615306751448406E-2</v>
      </c>
      <c r="Q1776">
        <v>3.8046542057056099E-2</v>
      </c>
      <c r="R1776">
        <v>0.99517550618824302</v>
      </c>
      <c r="S1776" t="s">
        <v>8178</v>
      </c>
      <c r="T1776" t="s">
        <v>12802</v>
      </c>
      <c r="U1776" t="s">
        <v>12802</v>
      </c>
      <c r="V1776" t="s">
        <v>12802</v>
      </c>
      <c r="W1776" t="s">
        <v>14538</v>
      </c>
      <c r="X1776">
        <v>3</v>
      </c>
      <c r="Y1776" t="s">
        <v>20844</v>
      </c>
      <c r="Z1776" t="s">
        <v>27094</v>
      </c>
      <c r="AA1776">
        <v>0.35723508610141391</v>
      </c>
      <c r="AB1776" t="str">
        <f>HYPERLINK("Melting_Curves/meltCurve_O75943_4_RAD17.pdf", "Melting_Curves/meltCurve_O75943_4_RAD17.pdf")</f>
        <v>Melting_Curves/meltCurve_O75943_4_RAD17.pdf</v>
      </c>
    </row>
    <row r="1777" spans="1:28" x14ac:dyDescent="0.25">
      <c r="A1777" t="s">
        <v>1781</v>
      </c>
      <c r="B1777">
        <v>0.99542014353169495</v>
      </c>
      <c r="C1777">
        <v>0.80458240642812695</v>
      </c>
      <c r="D1777">
        <v>0.88755060498260796</v>
      </c>
      <c r="E1777">
        <v>0.63130005494135499</v>
      </c>
      <c r="F1777">
        <v>0.487461154664174</v>
      </c>
      <c r="G1777">
        <v>0.230917259887224</v>
      </c>
      <c r="H1777">
        <v>0.21464674639980799</v>
      </c>
      <c r="I1777">
        <v>0.19661118651547599</v>
      </c>
      <c r="J1777">
        <v>0.27960498804328499</v>
      </c>
      <c r="K1777">
        <v>0.25860160338308602</v>
      </c>
      <c r="L1777">
        <v>682.02135833969305</v>
      </c>
      <c r="M1777">
        <v>14.5077027702623</v>
      </c>
      <c r="N1777">
        <v>48.772657988365197</v>
      </c>
      <c r="O1777">
        <v>46.144832393971697</v>
      </c>
      <c r="P1777">
        <v>-6.2576965695990097E-2</v>
      </c>
      <c r="Q1777">
        <v>0.20393390597775801</v>
      </c>
      <c r="R1777">
        <v>0.95233549809461804</v>
      </c>
      <c r="S1777" t="s">
        <v>8179</v>
      </c>
      <c r="T1777" t="s">
        <v>12802</v>
      </c>
      <c r="U1777" t="s">
        <v>12802</v>
      </c>
      <c r="V1777" t="s">
        <v>12802</v>
      </c>
      <c r="W1777" t="s">
        <v>14539</v>
      </c>
      <c r="X1777">
        <v>11</v>
      </c>
      <c r="Y1777" t="s">
        <v>20845</v>
      </c>
      <c r="Z1777" t="s">
        <v>27095</v>
      </c>
      <c r="AA1777">
        <v>0.48859194899428898</v>
      </c>
      <c r="AB1777" t="str">
        <f>HYPERLINK("Melting_Curves/meltCurve_O75947_ATP5H.pdf", "Melting_Curves/meltCurve_O75947_ATP5H.pdf")</f>
        <v>Melting_Curves/meltCurve_O75947_ATP5H.pdf</v>
      </c>
    </row>
    <row r="1778" spans="1:28" x14ac:dyDescent="0.25">
      <c r="A1778" t="s">
        <v>1782</v>
      </c>
      <c r="B1778">
        <v>0.99542014353169495</v>
      </c>
      <c r="C1778">
        <v>0.80411844826479195</v>
      </c>
      <c r="D1778">
        <v>1.0373773667835999</v>
      </c>
      <c r="E1778">
        <v>0.64824811914170399</v>
      </c>
      <c r="F1778">
        <v>0.51906032689868697</v>
      </c>
      <c r="G1778">
        <v>0.27695986167868702</v>
      </c>
      <c r="H1778">
        <v>8.1205244777232094E-2</v>
      </c>
      <c r="I1778">
        <v>4.1712470049804502E-2</v>
      </c>
      <c r="J1778">
        <v>3.4685242362800003E-2</v>
      </c>
      <c r="K1778">
        <v>3.8080161794049702E-2</v>
      </c>
      <c r="L1778">
        <v>721.17493538977601</v>
      </c>
      <c r="M1778">
        <v>14.481012590401701</v>
      </c>
      <c r="N1778">
        <v>49.801428374554398</v>
      </c>
      <c r="O1778">
        <v>48.880595981646898</v>
      </c>
      <c r="P1778">
        <v>-7.4071784773228705E-2</v>
      </c>
      <c r="Q1778">
        <v>0</v>
      </c>
      <c r="R1778">
        <v>0.96112202171496297</v>
      </c>
      <c r="S1778" t="s">
        <v>8180</v>
      </c>
      <c r="T1778" t="s">
        <v>12802</v>
      </c>
      <c r="U1778" t="s">
        <v>12802</v>
      </c>
      <c r="V1778" t="s">
        <v>12802</v>
      </c>
      <c r="W1778" t="s">
        <v>14540</v>
      </c>
      <c r="X1778">
        <v>26</v>
      </c>
      <c r="Y1778" t="s">
        <v>20846</v>
      </c>
      <c r="Z1778" t="s">
        <v>27096</v>
      </c>
      <c r="AA1778">
        <v>0.4488512479152304</v>
      </c>
      <c r="AB1778" t="str">
        <f>HYPERLINK("Melting_Curves/meltCurve_O75955_FLOT1.pdf", "Melting_Curves/meltCurve_O75955_FLOT1.pdf")</f>
        <v>Melting_Curves/meltCurve_O75955_FLOT1.pdf</v>
      </c>
    </row>
    <row r="1779" spans="1:28" x14ac:dyDescent="0.25">
      <c r="A1779" t="s">
        <v>1783</v>
      </c>
      <c r="B1779">
        <v>0.99542014353169495</v>
      </c>
      <c r="C1779">
        <v>0.86775372041155996</v>
      </c>
      <c r="D1779">
        <v>1.02603863195849</v>
      </c>
      <c r="E1779">
        <v>0.67860955705667902</v>
      </c>
      <c r="F1779">
        <v>0.55559189889599403</v>
      </c>
      <c r="G1779">
        <v>0.30724734114761898</v>
      </c>
      <c r="H1779">
        <v>0.239751041293149</v>
      </c>
      <c r="I1779">
        <v>0.186964983299339</v>
      </c>
      <c r="J1779">
        <v>0.21217651973052001</v>
      </c>
      <c r="K1779">
        <v>0.102083627036575</v>
      </c>
      <c r="L1779">
        <v>721.08215824829199</v>
      </c>
      <c r="M1779">
        <v>14.596113472964101</v>
      </c>
      <c r="N1779">
        <v>50.467497662818197</v>
      </c>
      <c r="O1779">
        <v>48.502812674051199</v>
      </c>
      <c r="P1779">
        <v>-6.52673985874309E-2</v>
      </c>
      <c r="Q1779">
        <v>0.13256449161393799</v>
      </c>
      <c r="R1779">
        <v>0.96812708601526998</v>
      </c>
      <c r="S1779" t="s">
        <v>8181</v>
      </c>
      <c r="T1779" t="s">
        <v>12802</v>
      </c>
      <c r="U1779" t="s">
        <v>12802</v>
      </c>
      <c r="V1779" t="s">
        <v>12802</v>
      </c>
      <c r="W1779" t="s">
        <v>14541</v>
      </c>
      <c r="X1779">
        <v>5</v>
      </c>
      <c r="Y1779" t="s">
        <v>20847</v>
      </c>
      <c r="Z1779" t="s">
        <v>27097</v>
      </c>
      <c r="AA1779">
        <v>0.51040798324583403</v>
      </c>
      <c r="AB1779" t="str">
        <f>HYPERLINK("Melting_Curves/meltCurve_O75964_ATP5L.pdf", "Melting_Curves/meltCurve_O75964_ATP5L.pdf")</f>
        <v>Melting_Curves/meltCurve_O75964_ATP5L.pdf</v>
      </c>
    </row>
    <row r="1780" spans="1:28" x14ac:dyDescent="0.25">
      <c r="A1780" t="s">
        <v>1784</v>
      </c>
      <c r="B1780">
        <v>0.99542014353169495</v>
      </c>
      <c r="C1780">
        <v>0.93034259305752898</v>
      </c>
      <c r="D1780">
        <v>0.92372463232505198</v>
      </c>
      <c r="E1780">
        <v>0.78107057088201104</v>
      </c>
      <c r="F1780">
        <v>0.54943683461169901</v>
      </c>
      <c r="G1780">
        <v>0.23484340076919899</v>
      </c>
      <c r="H1780">
        <v>0.10742900118130499</v>
      </c>
      <c r="I1780">
        <v>7.2975208294008803E-2</v>
      </c>
      <c r="J1780">
        <v>9.31139903220677E-2</v>
      </c>
      <c r="K1780">
        <v>8.8588276262739102E-2</v>
      </c>
      <c r="L1780">
        <v>890.39442422006698</v>
      </c>
      <c r="M1780">
        <v>17.826801220646999</v>
      </c>
      <c r="N1780">
        <v>50.266117620575599</v>
      </c>
      <c r="O1780">
        <v>49.331163479927199</v>
      </c>
      <c r="P1780">
        <v>-8.55126787992668E-2</v>
      </c>
      <c r="Q1780">
        <v>5.3509693363504897E-2</v>
      </c>
      <c r="R1780">
        <v>0.99352605832658003</v>
      </c>
      <c r="S1780" t="s">
        <v>8182</v>
      </c>
      <c r="T1780" t="s">
        <v>12802</v>
      </c>
      <c r="U1780" t="s">
        <v>12802</v>
      </c>
      <c r="V1780" t="s">
        <v>12802</v>
      </c>
      <c r="W1780" t="s">
        <v>14542</v>
      </c>
      <c r="X1780">
        <v>12</v>
      </c>
      <c r="Y1780" t="s">
        <v>20848</v>
      </c>
      <c r="Z1780" t="s">
        <v>27098</v>
      </c>
      <c r="AA1780">
        <v>0.47714276983402271</v>
      </c>
      <c r="AB1780" t="str">
        <f>HYPERLINK("Melting_Curves/meltCurve_O75976_CPD.pdf", "Melting_Curves/meltCurve_O75976_CPD.pdf")</f>
        <v>Melting_Curves/meltCurve_O75976_CPD.pdf</v>
      </c>
    </row>
    <row r="1781" spans="1:28" x14ac:dyDescent="0.25">
      <c r="A1781" t="s">
        <v>1785</v>
      </c>
      <c r="B1781">
        <v>0.99542014353169495</v>
      </c>
      <c r="C1781">
        <v>1.0198840082898299</v>
      </c>
      <c r="D1781">
        <v>0.94506464489845698</v>
      </c>
      <c r="E1781">
        <v>0.90534927397904597</v>
      </c>
      <c r="F1781">
        <v>0.40287491436107098</v>
      </c>
      <c r="G1781">
        <v>0.15241904134123399</v>
      </c>
      <c r="H1781">
        <v>0.100291738012108</v>
      </c>
      <c r="I1781">
        <v>6.7474871433003902E-2</v>
      </c>
      <c r="J1781">
        <v>4.9249806000127502E-2</v>
      </c>
      <c r="K1781">
        <v>5.8671747623330099E-2</v>
      </c>
      <c r="L1781">
        <v>1604.01682979149</v>
      </c>
      <c r="M1781">
        <v>32.4659163779042</v>
      </c>
      <c r="N1781">
        <v>49.633484296951202</v>
      </c>
      <c r="O1781">
        <v>49.219866560944297</v>
      </c>
      <c r="P1781">
        <v>-0.15351146723272099</v>
      </c>
      <c r="Q1781">
        <v>6.9081910347392805E-2</v>
      </c>
      <c r="R1781">
        <v>0.997235269078938</v>
      </c>
      <c r="S1781" t="s">
        <v>8183</v>
      </c>
      <c r="T1781" t="s">
        <v>12802</v>
      </c>
      <c r="U1781" t="s">
        <v>12802</v>
      </c>
      <c r="V1781" t="s">
        <v>12802</v>
      </c>
      <c r="W1781" t="s">
        <v>14543</v>
      </c>
      <c r="X1781">
        <v>18</v>
      </c>
      <c r="Y1781" t="s">
        <v>20849</v>
      </c>
      <c r="Z1781" t="s">
        <v>27099</v>
      </c>
      <c r="AA1781">
        <v>0.45888450849530832</v>
      </c>
      <c r="AB1781" t="str">
        <f>HYPERLINK("Melting_Curves/meltCurve_O76003_GLRX3.pdf", "Melting_Curves/meltCurve_O76003_GLRX3.pdf")</f>
        <v>Melting_Curves/meltCurve_O76003_GLRX3.pdf</v>
      </c>
    </row>
    <row r="1782" spans="1:28" x14ac:dyDescent="0.25">
      <c r="A1782" t="s">
        <v>1786</v>
      </c>
      <c r="B1782">
        <v>0.99542014353169495</v>
      </c>
      <c r="C1782">
        <v>1.00828755110971</v>
      </c>
      <c r="D1782">
        <v>0.92329470913887401</v>
      </c>
      <c r="E1782">
        <v>0.76782186905295802</v>
      </c>
      <c r="F1782">
        <v>0.58620159229661095</v>
      </c>
      <c r="G1782">
        <v>0.44754036872577602</v>
      </c>
      <c r="H1782">
        <v>0.223616366911913</v>
      </c>
      <c r="I1782">
        <v>8.5003484309526006E-2</v>
      </c>
      <c r="J1782">
        <v>5.9120771095535797E-2</v>
      </c>
      <c r="K1782">
        <v>6.0478248301635E-2</v>
      </c>
      <c r="L1782">
        <v>650.05122880401404</v>
      </c>
      <c r="M1782">
        <v>12.5529761296253</v>
      </c>
      <c r="N1782">
        <v>51.784630340124998</v>
      </c>
      <c r="O1782">
        <v>50.523150626245297</v>
      </c>
      <c r="P1782">
        <v>-6.2127548513313799E-2</v>
      </c>
      <c r="Q1782">
        <v>0</v>
      </c>
      <c r="R1782">
        <v>0.99362230429438003</v>
      </c>
      <c r="S1782" t="s">
        <v>8184</v>
      </c>
      <c r="T1782" t="s">
        <v>12802</v>
      </c>
      <c r="U1782" t="s">
        <v>12802</v>
      </c>
      <c r="V1782" t="s">
        <v>12802</v>
      </c>
      <c r="W1782" t="s">
        <v>14544</v>
      </c>
      <c r="X1782">
        <v>22</v>
      </c>
      <c r="Y1782" t="s">
        <v>20850</v>
      </c>
      <c r="Z1782" t="s">
        <v>27100</v>
      </c>
      <c r="AA1782">
        <v>0.51616640296544847</v>
      </c>
      <c r="AB1782" t="str">
        <f>HYPERLINK("Melting_Curves/meltCurve_O76031_CLPX.pdf", "Melting_Curves/meltCurve_O76031_CLPX.pdf")</f>
        <v>Melting_Curves/meltCurve_O76031_CLPX.pdf</v>
      </c>
    </row>
    <row r="1783" spans="1:28" x14ac:dyDescent="0.25">
      <c r="A1783" t="s">
        <v>1787</v>
      </c>
      <c r="B1783">
        <v>0.99542014353169495</v>
      </c>
      <c r="C1783">
        <v>0.92429027443734302</v>
      </c>
      <c r="D1783">
        <v>0.93577395759215798</v>
      </c>
      <c r="E1783">
        <v>0.74884203084975198</v>
      </c>
      <c r="F1783">
        <v>0.47979230971540898</v>
      </c>
      <c r="G1783">
        <v>0.37703369803840198</v>
      </c>
      <c r="H1783">
        <v>0.26172700955175199</v>
      </c>
      <c r="I1783">
        <v>0.22801677717270299</v>
      </c>
      <c r="J1783">
        <v>0.25187246655634099</v>
      </c>
      <c r="K1783">
        <v>0.38947466346661103</v>
      </c>
      <c r="L1783">
        <v>962.37315539929898</v>
      </c>
      <c r="M1783">
        <v>20.074803405865801</v>
      </c>
      <c r="N1783">
        <v>49.960487872980401</v>
      </c>
      <c r="O1783">
        <v>47.4712531083822</v>
      </c>
      <c r="P1783">
        <v>-7.6328681664793105E-2</v>
      </c>
      <c r="Q1783">
        <v>0.27803986031860101</v>
      </c>
      <c r="R1783">
        <v>0.97337970728324197</v>
      </c>
      <c r="S1783" t="s">
        <v>8185</v>
      </c>
      <c r="T1783" t="s">
        <v>12802</v>
      </c>
      <c r="U1783" t="s">
        <v>12802</v>
      </c>
      <c r="V1783" t="s">
        <v>12802</v>
      </c>
      <c r="W1783" t="s">
        <v>14545</v>
      </c>
      <c r="X1783">
        <v>5</v>
      </c>
      <c r="Y1783" t="s">
        <v>20851</v>
      </c>
      <c r="Z1783" t="s">
        <v>27101</v>
      </c>
      <c r="AA1783">
        <v>0.55071568661821568</v>
      </c>
      <c r="AB1783" t="str">
        <f>HYPERLINK("Melting_Curves/meltCurve_O76041_2_NEBL.pdf", "Melting_Curves/meltCurve_O76041_2_NEBL.pdf")</f>
        <v>Melting_Curves/meltCurve_O76041_2_NEBL.pdf</v>
      </c>
    </row>
    <row r="1784" spans="1:28" x14ac:dyDescent="0.25">
      <c r="A1784" t="s">
        <v>1788</v>
      </c>
      <c r="B1784">
        <v>0.99542014353169495</v>
      </c>
      <c r="C1784">
        <v>1.03333190431883</v>
      </c>
      <c r="D1784">
        <v>1.05728099074369</v>
      </c>
      <c r="E1784">
        <v>0.97861329844646305</v>
      </c>
      <c r="F1784">
        <v>0.85313484153655705</v>
      </c>
      <c r="G1784">
        <v>0.71442367696869202</v>
      </c>
      <c r="H1784">
        <v>0.63020598426138597</v>
      </c>
      <c r="I1784">
        <v>0.62357422801213003</v>
      </c>
      <c r="J1784">
        <v>0.96579529596182301</v>
      </c>
      <c r="K1784">
        <v>1.3203635333085799</v>
      </c>
      <c r="L1784">
        <v>4537.9542407146801</v>
      </c>
      <c r="M1784">
        <v>95.592258227769605</v>
      </c>
      <c r="O1784">
        <v>47.451220815364003</v>
      </c>
      <c r="P1784">
        <v>-7.4985822638472199E-2</v>
      </c>
      <c r="Q1784">
        <v>0.85111059879912498</v>
      </c>
      <c r="R1784">
        <v>0.15338674852811901</v>
      </c>
      <c r="S1784" t="s">
        <v>8186</v>
      </c>
      <c r="T1784" t="s">
        <v>12802</v>
      </c>
      <c r="U1784" t="s">
        <v>12802</v>
      </c>
      <c r="V1784" t="s">
        <v>12802</v>
      </c>
      <c r="W1784" t="s">
        <v>14546</v>
      </c>
      <c r="X1784">
        <v>15</v>
      </c>
      <c r="Y1784" t="s">
        <v>20852</v>
      </c>
      <c r="Z1784" t="s">
        <v>27102</v>
      </c>
      <c r="AA1784">
        <v>0.90316780249186868</v>
      </c>
      <c r="AB1784" t="str">
        <f>HYPERLINK("Melting_Curves/meltCurve_O76070_SNCG.pdf", "Melting_Curves/meltCurve_O76070_SNCG.pdf")</f>
        <v>Melting_Curves/meltCurve_O76070_SNCG.pdf</v>
      </c>
    </row>
    <row r="1785" spans="1:28" x14ac:dyDescent="0.25">
      <c r="A1785" t="s">
        <v>1789</v>
      </c>
      <c r="B1785">
        <v>0.99542014353169495</v>
      </c>
      <c r="C1785">
        <v>0.99029480483138299</v>
      </c>
      <c r="D1785">
        <v>0.96631729798475097</v>
      </c>
      <c r="E1785">
        <v>0.94464047185979805</v>
      </c>
      <c r="F1785">
        <v>0.73532181347938896</v>
      </c>
      <c r="G1785">
        <v>0.626923543358479</v>
      </c>
      <c r="H1785">
        <v>0.28701713107455901</v>
      </c>
      <c r="I1785">
        <v>0.166182916861736</v>
      </c>
      <c r="J1785">
        <v>0.105888627745827</v>
      </c>
      <c r="K1785">
        <v>5.7265758946092003E-2</v>
      </c>
      <c r="L1785">
        <v>818.11027855416899</v>
      </c>
      <c r="M1785">
        <v>14.9777732049115</v>
      </c>
      <c r="N1785">
        <v>54.621623086542002</v>
      </c>
      <c r="O1785">
        <v>53.675693177045702</v>
      </c>
      <c r="P1785">
        <v>-6.9767614911988601E-2</v>
      </c>
      <c r="Q1785">
        <v>0</v>
      </c>
      <c r="R1785">
        <v>0.99289026346550802</v>
      </c>
      <c r="S1785" t="s">
        <v>8187</v>
      </c>
      <c r="T1785" t="s">
        <v>12802</v>
      </c>
      <c r="U1785" t="s">
        <v>12802</v>
      </c>
      <c r="V1785" t="s">
        <v>12802</v>
      </c>
      <c r="W1785" t="s">
        <v>14547</v>
      </c>
      <c r="X1785">
        <v>10</v>
      </c>
      <c r="Y1785" t="s">
        <v>20853</v>
      </c>
      <c r="Z1785" t="s">
        <v>27103</v>
      </c>
      <c r="AA1785">
        <v>0.60235142949590803</v>
      </c>
      <c r="AB1785" t="str">
        <f>HYPERLINK("Melting_Curves/meltCurve_O76071_CIAO1.pdf", "Melting_Curves/meltCurve_O76071_CIAO1.pdf")</f>
        <v>Melting_Curves/meltCurve_O76071_CIAO1.pdf</v>
      </c>
    </row>
    <row r="1786" spans="1:28" x14ac:dyDescent="0.25">
      <c r="A1786" t="s">
        <v>1790</v>
      </c>
      <c r="B1786">
        <v>0.99542014353169495</v>
      </c>
      <c r="C1786">
        <v>0.977743610207222</v>
      </c>
      <c r="D1786">
        <v>1.0264708549281401</v>
      </c>
      <c r="E1786">
        <v>0.80340819683518405</v>
      </c>
      <c r="F1786">
        <v>0.56516497435013602</v>
      </c>
      <c r="G1786">
        <v>0.35840746002044399</v>
      </c>
      <c r="H1786">
        <v>8.4764051970912302E-2</v>
      </c>
      <c r="I1786">
        <v>2.2882213230842899E-2</v>
      </c>
      <c r="J1786">
        <v>1.91568959417684E-2</v>
      </c>
      <c r="K1786">
        <v>0</v>
      </c>
      <c r="L1786">
        <v>896.26664243070798</v>
      </c>
      <c r="M1786">
        <v>17.5384059042952</v>
      </c>
      <c r="N1786">
        <v>51.103084935755703</v>
      </c>
      <c r="O1786">
        <v>50.452581645639597</v>
      </c>
      <c r="P1786">
        <v>-8.6910131849395E-2</v>
      </c>
      <c r="Q1786">
        <v>0</v>
      </c>
      <c r="R1786">
        <v>0.99236053256138101</v>
      </c>
      <c r="S1786" t="s">
        <v>8188</v>
      </c>
      <c r="T1786" t="s">
        <v>12802</v>
      </c>
      <c r="U1786" t="s">
        <v>12802</v>
      </c>
      <c r="V1786" t="s">
        <v>12802</v>
      </c>
      <c r="W1786" t="s">
        <v>14548</v>
      </c>
      <c r="X1786">
        <v>1</v>
      </c>
      <c r="Y1786" t="s">
        <v>20854</v>
      </c>
      <c r="Z1786" t="s">
        <v>27104</v>
      </c>
      <c r="AA1786">
        <v>0.4862022978223014</v>
      </c>
      <c r="AB1786" t="str">
        <f>HYPERLINK("Melting_Curves/meltCurve_O76075_2_DFFB.pdf", "Melting_Curves/meltCurve_O76075_2_DFFB.pdf")</f>
        <v>Melting_Curves/meltCurve_O76075_2_DFFB.pdf</v>
      </c>
    </row>
    <row r="1787" spans="1:28" x14ac:dyDescent="0.25">
      <c r="A1787" t="s">
        <v>1791</v>
      </c>
      <c r="B1787">
        <v>0.99542014353169495</v>
      </c>
      <c r="C1787">
        <v>1.0919006592376499</v>
      </c>
      <c r="D1787">
        <v>1.12183310318489</v>
      </c>
      <c r="E1787">
        <v>1.2009012918283599</v>
      </c>
      <c r="F1787">
        <v>0.99854340951111198</v>
      </c>
      <c r="G1787">
        <v>0.76606764724841603</v>
      </c>
      <c r="H1787">
        <v>0.63274764168197295</v>
      </c>
      <c r="I1787">
        <v>0.56701163311450797</v>
      </c>
      <c r="J1787">
        <v>0.68821988039928905</v>
      </c>
      <c r="K1787">
        <v>0.87062822662363304</v>
      </c>
      <c r="L1787">
        <v>13389.8062599684</v>
      </c>
      <c r="M1787">
        <v>250</v>
      </c>
      <c r="O1787">
        <v>53.555797619348503</v>
      </c>
      <c r="P1787">
        <v>-0.36217852364646602</v>
      </c>
      <c r="Q1787">
        <v>0.68965184501677901</v>
      </c>
      <c r="R1787">
        <v>0.73983777089663705</v>
      </c>
      <c r="S1787" t="s">
        <v>8189</v>
      </c>
      <c r="T1787" t="s">
        <v>12802</v>
      </c>
      <c r="U1787" t="s">
        <v>12802</v>
      </c>
      <c r="V1787" t="s">
        <v>12802</v>
      </c>
      <c r="W1787" t="s">
        <v>14549</v>
      </c>
      <c r="X1787">
        <v>7</v>
      </c>
      <c r="Y1787" t="s">
        <v>20855</v>
      </c>
      <c r="Z1787" t="s">
        <v>27105</v>
      </c>
      <c r="AA1787">
        <v>0.86098518101568478</v>
      </c>
      <c r="AB1787" t="str">
        <f>HYPERLINK("Melting_Curves/meltCurve_O76080_ZFAND5.pdf", "Melting_Curves/meltCurve_O76080_ZFAND5.pdf")</f>
        <v>Melting_Curves/meltCurve_O76080_ZFAND5.pdf</v>
      </c>
    </row>
    <row r="1788" spans="1:28" x14ac:dyDescent="0.25">
      <c r="A1788" t="s">
        <v>1792</v>
      </c>
      <c r="B1788">
        <v>0.99542014353169495</v>
      </c>
      <c r="C1788">
        <v>0.79025997259127001</v>
      </c>
      <c r="D1788">
        <v>0.85519606903884104</v>
      </c>
      <c r="E1788">
        <v>0.52917702466050598</v>
      </c>
      <c r="F1788">
        <v>0.14377098763580601</v>
      </c>
      <c r="G1788">
        <v>8.41284794688439E-2</v>
      </c>
      <c r="H1788">
        <v>6.2191499359123298E-2</v>
      </c>
      <c r="I1788">
        <v>4.30676140080299E-2</v>
      </c>
      <c r="J1788">
        <v>4.9234665144688397E-2</v>
      </c>
      <c r="K1788">
        <v>4.5121301933239398E-2</v>
      </c>
      <c r="L1788">
        <v>883.24067968295901</v>
      </c>
      <c r="M1788">
        <v>19.082405461436</v>
      </c>
      <c r="N1788">
        <v>46.437277442871199</v>
      </c>
      <c r="O1788">
        <v>45.786281445459501</v>
      </c>
      <c r="P1788">
        <v>-0.101048898734047</v>
      </c>
      <c r="Q1788">
        <v>3.0211986929000002E-2</v>
      </c>
      <c r="R1788">
        <v>0.97383847785863897</v>
      </c>
      <c r="S1788" t="s">
        <v>8190</v>
      </c>
      <c r="T1788" t="s">
        <v>12802</v>
      </c>
      <c r="U1788" t="s">
        <v>12802</v>
      </c>
      <c r="V1788" t="s">
        <v>12802</v>
      </c>
      <c r="W1788" t="s">
        <v>14550</v>
      </c>
      <c r="X1788">
        <v>23</v>
      </c>
      <c r="Y1788" t="s">
        <v>20856</v>
      </c>
      <c r="Z1788" t="s">
        <v>27106</v>
      </c>
      <c r="AA1788">
        <v>0.34430786180471412</v>
      </c>
      <c r="AB1788" t="str">
        <f>HYPERLINK("Melting_Curves/meltCurve_O76094_SRP72.pdf", "Melting_Curves/meltCurve_O76094_SRP72.pdf")</f>
        <v>Melting_Curves/meltCurve_O76094_SRP72.pdf</v>
      </c>
    </row>
    <row r="1789" spans="1:28" x14ac:dyDescent="0.25">
      <c r="A1789" t="s">
        <v>1793</v>
      </c>
      <c r="B1789">
        <v>0.99542014353169495</v>
      </c>
      <c r="C1789">
        <v>0.87961280844136003</v>
      </c>
      <c r="D1789">
        <v>1.13231635760575</v>
      </c>
      <c r="E1789">
        <v>0.86855488414159199</v>
      </c>
      <c r="F1789">
        <v>0.86431418675605098</v>
      </c>
      <c r="G1789">
        <v>0.49522380945613997</v>
      </c>
      <c r="H1789">
        <v>0.40449101463046699</v>
      </c>
      <c r="I1789">
        <v>0.35131307154971098</v>
      </c>
      <c r="J1789">
        <v>0.37221930520549601</v>
      </c>
      <c r="K1789">
        <v>0.43015680954312402</v>
      </c>
      <c r="L1789">
        <v>1790.6107091255999</v>
      </c>
      <c r="M1789">
        <v>34.625609602685401</v>
      </c>
      <c r="N1789">
        <v>53.9612595330467</v>
      </c>
      <c r="O1789">
        <v>51.541902093536798</v>
      </c>
      <c r="P1789">
        <v>-0.103823860492386</v>
      </c>
      <c r="Q1789">
        <v>0.38181486125054798</v>
      </c>
      <c r="R1789">
        <v>0.93598848881902696</v>
      </c>
      <c r="S1789" t="s">
        <v>8191</v>
      </c>
      <c r="T1789" t="s">
        <v>12802</v>
      </c>
      <c r="U1789" t="s">
        <v>12802</v>
      </c>
      <c r="V1789" t="s">
        <v>12802</v>
      </c>
      <c r="W1789" t="s">
        <v>14551</v>
      </c>
      <c r="X1789">
        <v>2</v>
      </c>
      <c r="Y1789" t="s">
        <v>20857</v>
      </c>
      <c r="Z1789" t="s">
        <v>27107</v>
      </c>
      <c r="AA1789">
        <v>0.6879412299998876</v>
      </c>
      <c r="AB1789" t="str">
        <f>HYPERLINK("Melting_Curves/meltCurve_O76095_2_JTB.pdf", "Melting_Curves/meltCurve_O76095_2_JTB.pdf")</f>
        <v>Melting_Curves/meltCurve_O76095_2_JTB.pdf</v>
      </c>
    </row>
    <row r="1790" spans="1:28" x14ac:dyDescent="0.25">
      <c r="A1790" t="s">
        <v>1794</v>
      </c>
      <c r="B1790">
        <v>0.99542014353169495</v>
      </c>
      <c r="C1790">
        <v>0.89770511360850702</v>
      </c>
      <c r="D1790">
        <v>0.87930301460818605</v>
      </c>
      <c r="E1790">
        <v>0.48772000700412699</v>
      </c>
      <c r="F1790">
        <v>0.172420796057172</v>
      </c>
      <c r="G1790">
        <v>8.0875705618091404E-2</v>
      </c>
      <c r="H1790">
        <v>4.4211927668653901E-2</v>
      </c>
      <c r="I1790">
        <v>3.6249257846191499E-2</v>
      </c>
      <c r="J1790">
        <v>2.5309588114668598E-2</v>
      </c>
      <c r="K1790">
        <v>2.7419072920702298E-2</v>
      </c>
      <c r="L1790">
        <v>1011.80117905212</v>
      </c>
      <c r="M1790">
        <v>21.812339111007699</v>
      </c>
      <c r="N1790">
        <v>46.5064848343157</v>
      </c>
      <c r="O1790">
        <v>46.002050591666197</v>
      </c>
      <c r="P1790">
        <v>-0.115303186838355</v>
      </c>
      <c r="Q1790">
        <v>2.7328759197728199E-2</v>
      </c>
      <c r="R1790">
        <v>0.99566123035666199</v>
      </c>
      <c r="S1790" t="s">
        <v>8192</v>
      </c>
      <c r="T1790" t="s">
        <v>12802</v>
      </c>
      <c r="U1790" t="s">
        <v>12802</v>
      </c>
      <c r="V1790" t="s">
        <v>12802</v>
      </c>
      <c r="W1790" t="s">
        <v>14552</v>
      </c>
      <c r="X1790">
        <v>12</v>
      </c>
      <c r="Y1790" t="s">
        <v>20858</v>
      </c>
      <c r="Z1790" t="s">
        <v>27108</v>
      </c>
      <c r="AA1790">
        <v>0.34234709541186231</v>
      </c>
      <c r="AB1790" t="str">
        <f>HYPERLINK("Melting_Curves/meltCurve_O94762_RECQL5.pdf", "Melting_Curves/meltCurve_O94762_RECQL5.pdf")</f>
        <v>Melting_Curves/meltCurve_O94762_RECQL5.pdf</v>
      </c>
    </row>
    <row r="1791" spans="1:28" x14ac:dyDescent="0.25">
      <c r="A1791" t="s">
        <v>1795</v>
      </c>
      <c r="B1791">
        <v>0.99542014353169495</v>
      </c>
      <c r="C1791">
        <v>0.86014138441480403</v>
      </c>
      <c r="D1791">
        <v>0.97856637974164495</v>
      </c>
      <c r="E1791">
        <v>0.79427279045218402</v>
      </c>
      <c r="F1791">
        <v>0.59686351688850003</v>
      </c>
      <c r="G1791">
        <v>0.45865240906460297</v>
      </c>
      <c r="H1791">
        <v>0.32343356200803802</v>
      </c>
      <c r="I1791">
        <v>0.11987050432997701</v>
      </c>
      <c r="J1791">
        <v>0.12627540923503</v>
      </c>
      <c r="K1791">
        <v>0.15550509202684601</v>
      </c>
      <c r="L1791">
        <v>579.31948760393198</v>
      </c>
      <c r="M1791">
        <v>11.1095298608129</v>
      </c>
      <c r="N1791">
        <v>52.466899967816403</v>
      </c>
      <c r="O1791">
        <v>50.542119398124598</v>
      </c>
      <c r="P1791">
        <v>-5.3165119740596997E-2</v>
      </c>
      <c r="Q1791">
        <v>3.2828410869471102E-2</v>
      </c>
      <c r="R1791">
        <v>0.97698459958473105</v>
      </c>
      <c r="S1791" t="s">
        <v>8193</v>
      </c>
      <c r="T1791" t="s">
        <v>12802</v>
      </c>
      <c r="U1791" t="s">
        <v>12802</v>
      </c>
      <c r="V1791" t="s">
        <v>12802</v>
      </c>
      <c r="W1791" t="s">
        <v>14553</v>
      </c>
      <c r="X1791">
        <v>8</v>
      </c>
      <c r="Y1791" t="s">
        <v>20859</v>
      </c>
      <c r="Z1791" t="s">
        <v>27109</v>
      </c>
      <c r="AA1791">
        <v>0.54497534493003197</v>
      </c>
      <c r="AB1791" t="str">
        <f>HYPERLINK("Melting_Curves/meltCurve_O94763_URI1.pdf", "Melting_Curves/meltCurve_O94763_URI1.pdf")</f>
        <v>Melting_Curves/meltCurve_O94763_URI1.pdf</v>
      </c>
    </row>
    <row r="1792" spans="1:28" x14ac:dyDescent="0.25">
      <c r="A1792" t="s">
        <v>1796</v>
      </c>
      <c r="B1792">
        <v>0.99542014353169495</v>
      </c>
      <c r="C1792">
        <v>0.96505763010923795</v>
      </c>
      <c r="D1792">
        <v>0.92884636019359301</v>
      </c>
      <c r="E1792">
        <v>0.68944679351606697</v>
      </c>
      <c r="F1792">
        <v>0.43775078336204798</v>
      </c>
      <c r="G1792">
        <v>0.172217662613288</v>
      </c>
      <c r="H1792">
        <v>0.104700590987749</v>
      </c>
      <c r="I1792">
        <v>7.2130659460299396E-2</v>
      </c>
      <c r="J1792">
        <v>7.0466734043856102E-2</v>
      </c>
      <c r="K1792">
        <v>0.100060442197639</v>
      </c>
      <c r="L1792">
        <v>887.99878840292899</v>
      </c>
      <c r="M1792">
        <v>18.2542317812579</v>
      </c>
      <c r="N1792">
        <v>48.9986359476001</v>
      </c>
      <c r="O1792">
        <v>48.073649942465103</v>
      </c>
      <c r="P1792">
        <v>-8.9092292479531002E-2</v>
      </c>
      <c r="Q1792">
        <v>6.1523528888123402E-2</v>
      </c>
      <c r="R1792">
        <v>0.99710457923308704</v>
      </c>
      <c r="S1792" t="s">
        <v>8194</v>
      </c>
      <c r="T1792" t="s">
        <v>12802</v>
      </c>
      <c r="U1792" t="s">
        <v>12802</v>
      </c>
      <c r="V1792" t="s">
        <v>12802</v>
      </c>
      <c r="W1792" t="s">
        <v>14554</v>
      </c>
      <c r="X1792">
        <v>7</v>
      </c>
      <c r="Y1792" t="s">
        <v>20860</v>
      </c>
      <c r="Z1792" t="s">
        <v>27110</v>
      </c>
      <c r="AA1792">
        <v>0.44043119778482992</v>
      </c>
      <c r="AB1792" t="str">
        <f>HYPERLINK("Melting_Curves/meltCurve_O94766_B3GAT3.pdf", "Melting_Curves/meltCurve_O94766_B3GAT3.pdf")</f>
        <v>Melting_Curves/meltCurve_O94766_B3GAT3.pdf</v>
      </c>
    </row>
    <row r="1793" spans="1:28" x14ac:dyDescent="0.25">
      <c r="A1793" t="s">
        <v>1797</v>
      </c>
      <c r="B1793">
        <v>0.99542014353169495</v>
      </c>
      <c r="C1793">
        <v>0.743299797788048</v>
      </c>
      <c r="D1793">
        <v>0.73973510327332603</v>
      </c>
      <c r="E1793">
        <v>0.32666829789970903</v>
      </c>
      <c r="F1793">
        <v>0.152429771070104</v>
      </c>
      <c r="G1793">
        <v>6.7831800289661806E-2</v>
      </c>
      <c r="H1793">
        <v>4.1672552031739099E-2</v>
      </c>
      <c r="I1793">
        <v>3.41466464114994E-2</v>
      </c>
      <c r="J1793">
        <v>3.2020824635178503E-2</v>
      </c>
      <c r="K1793">
        <v>3.5544723281513702E-2</v>
      </c>
      <c r="L1793">
        <v>680.91974597677199</v>
      </c>
      <c r="M1793">
        <v>15.2558386394957</v>
      </c>
      <c r="N1793">
        <v>44.715077008287501</v>
      </c>
      <c r="O1793">
        <v>43.887580310476999</v>
      </c>
      <c r="P1793">
        <v>-8.5716839518154203E-2</v>
      </c>
      <c r="Q1793">
        <v>1.37420956869156E-2</v>
      </c>
      <c r="R1793">
        <v>0.97919040302723404</v>
      </c>
      <c r="S1793" t="s">
        <v>8195</v>
      </c>
      <c r="T1793" t="s">
        <v>12802</v>
      </c>
      <c r="U1793" t="s">
        <v>12802</v>
      </c>
      <c r="V1793" t="s">
        <v>12802</v>
      </c>
      <c r="W1793" t="s">
        <v>14555</v>
      </c>
      <c r="X1793">
        <v>27</v>
      </c>
      <c r="Y1793" t="s">
        <v>20861</v>
      </c>
      <c r="Z1793" t="s">
        <v>27111</v>
      </c>
      <c r="AA1793">
        <v>0.28768141344877052</v>
      </c>
      <c r="AB1793" t="str">
        <f>HYPERLINK("Melting_Curves/meltCurve_O94776_MTA2.pdf", "Melting_Curves/meltCurve_O94776_MTA2.pdf")</f>
        <v>Melting_Curves/meltCurve_O94776_MTA2.pdf</v>
      </c>
    </row>
    <row r="1794" spans="1:28" x14ac:dyDescent="0.25">
      <c r="A1794" t="s">
        <v>1798</v>
      </c>
      <c r="B1794">
        <v>0.99542014353169495</v>
      </c>
      <c r="C1794">
        <v>0.88962707786668205</v>
      </c>
      <c r="D1794">
        <v>0.85905737043851305</v>
      </c>
      <c r="E1794">
        <v>0.52523181293453503</v>
      </c>
      <c r="F1794">
        <v>0.16931999604773401</v>
      </c>
      <c r="G1794">
        <v>9.0138347871903002E-2</v>
      </c>
      <c r="H1794">
        <v>7.8823553417753003E-2</v>
      </c>
      <c r="I1794">
        <v>6.4145162227848204E-2</v>
      </c>
      <c r="J1794">
        <v>6.22488994370246E-2</v>
      </c>
      <c r="K1794">
        <v>6.9886096832382005E-2</v>
      </c>
      <c r="L1794">
        <v>1020.05150832556</v>
      </c>
      <c r="M1794">
        <v>22.014454434944899</v>
      </c>
      <c r="N1794">
        <v>46.591876221130001</v>
      </c>
      <c r="O1794">
        <v>45.958279261778301</v>
      </c>
      <c r="P1794">
        <v>-0.11292468940098201</v>
      </c>
      <c r="Q1794">
        <v>5.70361532873319E-2</v>
      </c>
      <c r="R1794">
        <v>0.99342727782140305</v>
      </c>
      <c r="S1794" t="s">
        <v>8196</v>
      </c>
      <c r="T1794" t="s">
        <v>12802</v>
      </c>
      <c r="U1794" t="s">
        <v>12802</v>
      </c>
      <c r="V1794" t="s">
        <v>12802</v>
      </c>
      <c r="W1794" t="s">
        <v>14556</v>
      </c>
      <c r="X1794">
        <v>5</v>
      </c>
      <c r="Y1794" t="s">
        <v>20862</v>
      </c>
      <c r="Z1794" t="s">
        <v>27112</v>
      </c>
      <c r="AA1794">
        <v>0.36063180564853509</v>
      </c>
      <c r="AB1794" t="str">
        <f>HYPERLINK("Melting_Curves/meltCurve_O94782_USP1.pdf", "Melting_Curves/meltCurve_O94782_USP1.pdf")</f>
        <v>Melting_Curves/meltCurve_O94782_USP1.pdf</v>
      </c>
    </row>
    <row r="1795" spans="1:28" x14ac:dyDescent="0.25">
      <c r="A1795" t="s">
        <v>1799</v>
      </c>
      <c r="B1795">
        <v>0.99542014353169495</v>
      </c>
      <c r="C1795">
        <v>0.91009253470136997</v>
      </c>
      <c r="D1795">
        <v>0.93116123608795698</v>
      </c>
      <c r="E1795">
        <v>0.80733829201079998</v>
      </c>
      <c r="F1795">
        <v>0.75477368018179603</v>
      </c>
      <c r="G1795">
        <v>0.543950107806213</v>
      </c>
      <c r="H1795">
        <v>0.43244024475153597</v>
      </c>
      <c r="I1795">
        <v>0.36590077597764198</v>
      </c>
      <c r="J1795">
        <v>0.31280489788851601</v>
      </c>
      <c r="K1795">
        <v>0.138584282165475</v>
      </c>
      <c r="L1795">
        <v>446.69219365625003</v>
      </c>
      <c r="M1795">
        <v>8.0031546165942995</v>
      </c>
      <c r="N1795">
        <v>55.8145150318541</v>
      </c>
      <c r="O1795">
        <v>52.653068924741497</v>
      </c>
      <c r="P1795">
        <v>-3.8042373200618602E-2</v>
      </c>
      <c r="Q1795">
        <v>0</v>
      </c>
      <c r="R1795">
        <v>0.98165572959978398</v>
      </c>
      <c r="S1795" t="s">
        <v>8197</v>
      </c>
      <c r="T1795" t="s">
        <v>12802</v>
      </c>
      <c r="U1795" t="s">
        <v>12802</v>
      </c>
      <c r="V1795" t="s">
        <v>12802</v>
      </c>
      <c r="W1795" t="s">
        <v>14557</v>
      </c>
      <c r="X1795">
        <v>29</v>
      </c>
      <c r="Y1795" t="s">
        <v>20863</v>
      </c>
      <c r="Z1795" t="s">
        <v>27113</v>
      </c>
      <c r="AA1795">
        <v>0.62707673798471919</v>
      </c>
      <c r="AB1795" t="str">
        <f>HYPERLINK("Melting_Curves/meltCurve_O94788_ALDH1A2.pdf", "Melting_Curves/meltCurve_O94788_ALDH1A2.pdf")</f>
        <v>Melting_Curves/meltCurve_O94788_ALDH1A2.pdf</v>
      </c>
    </row>
    <row r="1796" spans="1:28" x14ac:dyDescent="0.25">
      <c r="A1796" t="s">
        <v>1800</v>
      </c>
      <c r="B1796">
        <v>0.99542014353169495</v>
      </c>
      <c r="C1796">
        <v>0.93871598586696603</v>
      </c>
      <c r="D1796">
        <v>0.89682720408137795</v>
      </c>
      <c r="E1796">
        <v>0.49194364120767903</v>
      </c>
      <c r="F1796">
        <v>0.289598622311531</v>
      </c>
      <c r="G1796">
        <v>0.165476392827029</v>
      </c>
      <c r="H1796">
        <v>0.115405409176965</v>
      </c>
      <c r="I1796">
        <v>7.5471542279514706E-2</v>
      </c>
      <c r="J1796">
        <v>0.11216123791466601</v>
      </c>
      <c r="K1796">
        <v>7.76322346091389E-2</v>
      </c>
      <c r="L1796">
        <v>923.09327311050299</v>
      </c>
      <c r="M1796">
        <v>19.8583813110695</v>
      </c>
      <c r="N1796">
        <v>46.966326306048103</v>
      </c>
      <c r="O1796">
        <v>46.020116732225702</v>
      </c>
      <c r="P1796">
        <v>-9.7927478928519801E-2</v>
      </c>
      <c r="Q1796">
        <v>9.2275388975607206E-2</v>
      </c>
      <c r="R1796">
        <v>0.99465736643492997</v>
      </c>
      <c r="S1796" t="s">
        <v>8198</v>
      </c>
      <c r="T1796" t="s">
        <v>12802</v>
      </c>
      <c r="U1796" t="s">
        <v>12802</v>
      </c>
      <c r="V1796" t="s">
        <v>12802</v>
      </c>
      <c r="W1796" t="s">
        <v>14558</v>
      </c>
      <c r="X1796">
        <v>4</v>
      </c>
      <c r="Y1796" t="s">
        <v>20864</v>
      </c>
      <c r="Z1796" t="s">
        <v>27114</v>
      </c>
      <c r="AA1796">
        <v>0.39127010519137873</v>
      </c>
      <c r="AB1796" t="str">
        <f>HYPERLINK("Melting_Curves/meltCurve_O94804_STK10.pdf", "Melting_Curves/meltCurve_O94804_STK10.pdf")</f>
        <v>Melting_Curves/meltCurve_O94804_STK10.pdf</v>
      </c>
    </row>
    <row r="1797" spans="1:28" x14ac:dyDescent="0.25">
      <c r="A1797" t="s">
        <v>1801</v>
      </c>
      <c r="B1797">
        <v>0.99542014353169495</v>
      </c>
      <c r="C1797">
        <v>0.85388876380016998</v>
      </c>
      <c r="D1797">
        <v>0.96364082558239506</v>
      </c>
      <c r="E1797">
        <v>0.52699049363994399</v>
      </c>
      <c r="F1797">
        <v>0.157646519927262</v>
      </c>
      <c r="G1797">
        <v>6.9370187215580706E-2</v>
      </c>
      <c r="H1797">
        <v>3.4174342549865698E-2</v>
      </c>
      <c r="I1797">
        <v>2.29393984499131E-2</v>
      </c>
      <c r="J1797">
        <v>2.7928096889499501E-2</v>
      </c>
      <c r="K1797">
        <v>2.7450741472400099E-2</v>
      </c>
      <c r="L1797">
        <v>1303.40101572189</v>
      </c>
      <c r="M1797">
        <v>27.8764051074299</v>
      </c>
      <c r="N1797">
        <v>46.859723744164398</v>
      </c>
      <c r="O1797">
        <v>46.517795324143698</v>
      </c>
      <c r="P1797">
        <v>-0.14535242664304401</v>
      </c>
      <c r="Q1797">
        <v>2.9800949595185301E-2</v>
      </c>
      <c r="R1797">
        <v>0.98675465901944104</v>
      </c>
      <c r="S1797" t="s">
        <v>8199</v>
      </c>
      <c r="T1797" t="s">
        <v>12802</v>
      </c>
      <c r="U1797" t="s">
        <v>12802</v>
      </c>
      <c r="V1797" t="s">
        <v>12802</v>
      </c>
      <c r="W1797" t="s">
        <v>14559</v>
      </c>
      <c r="X1797">
        <v>13</v>
      </c>
      <c r="Y1797" t="s">
        <v>20865</v>
      </c>
      <c r="Z1797" t="s">
        <v>27115</v>
      </c>
      <c r="AA1797">
        <v>0.35183689588604189</v>
      </c>
      <c r="AB1797" t="str">
        <f>HYPERLINK("Melting_Curves/meltCurve_O94822_LTN1.pdf", "Melting_Curves/meltCurve_O94822_LTN1.pdf")</f>
        <v>Melting_Curves/meltCurve_O94822_LTN1.pdf</v>
      </c>
    </row>
    <row r="1798" spans="1:28" x14ac:dyDescent="0.25">
      <c r="A1798" t="s">
        <v>1802</v>
      </c>
      <c r="B1798">
        <v>0.99542014353169495</v>
      </c>
      <c r="C1798">
        <v>0.94105335277393498</v>
      </c>
      <c r="D1798">
        <v>1.0357706796616</v>
      </c>
      <c r="E1798">
        <v>0.84975540674239602</v>
      </c>
      <c r="F1798">
        <v>0.38934531674369999</v>
      </c>
      <c r="G1798">
        <v>9.1190672885323107E-2</v>
      </c>
      <c r="H1798">
        <v>5.8228605363866197E-2</v>
      </c>
      <c r="I1798">
        <v>3.7882678565234001E-2</v>
      </c>
      <c r="J1798">
        <v>3.6408044036009099E-2</v>
      </c>
      <c r="K1798">
        <v>3.4550989791679303E-2</v>
      </c>
      <c r="L1798">
        <v>1528.40324460646</v>
      </c>
      <c r="M1798">
        <v>31.021900483702598</v>
      </c>
      <c r="N1798">
        <v>49.387989375401403</v>
      </c>
      <c r="O1798">
        <v>49.065159334509197</v>
      </c>
      <c r="P1798">
        <v>-0.152352210944359</v>
      </c>
      <c r="Q1798">
        <v>3.61465721347147E-2</v>
      </c>
      <c r="R1798">
        <v>0.99677988123283801</v>
      </c>
      <c r="S1798" t="s">
        <v>8200</v>
      </c>
      <c r="T1798" t="s">
        <v>12802</v>
      </c>
      <c r="U1798" t="s">
        <v>12802</v>
      </c>
      <c r="V1798" t="s">
        <v>12802</v>
      </c>
      <c r="W1798" t="s">
        <v>14560</v>
      </c>
      <c r="X1798">
        <v>31</v>
      </c>
      <c r="Y1798" t="s">
        <v>20866</v>
      </c>
      <c r="Z1798" t="s">
        <v>27116</v>
      </c>
      <c r="AA1798">
        <v>0.43577953614779452</v>
      </c>
      <c r="AB1798" t="str">
        <f>HYPERLINK("Melting_Curves/meltCurve_O94826_TOMM70A.pdf", "Melting_Curves/meltCurve_O94826_TOMM70A.pdf")</f>
        <v>Melting_Curves/meltCurve_O94826_TOMM70A.pdf</v>
      </c>
    </row>
    <row r="1799" spans="1:28" x14ac:dyDescent="0.25">
      <c r="A1799" t="s">
        <v>1803</v>
      </c>
      <c r="B1799">
        <v>0.99542014353169495</v>
      </c>
      <c r="C1799">
        <v>0.96521386723187297</v>
      </c>
      <c r="D1799">
        <v>0.88660694435107301</v>
      </c>
      <c r="E1799">
        <v>0.59806983647329104</v>
      </c>
      <c r="F1799">
        <v>0.25247160466628199</v>
      </c>
      <c r="G1799">
        <v>0.18550960608441699</v>
      </c>
      <c r="H1799">
        <v>0.12599848616235201</v>
      </c>
      <c r="I1799">
        <v>7.7544005001549302E-2</v>
      </c>
      <c r="J1799">
        <v>5.2048075825570701E-2</v>
      </c>
      <c r="K1799">
        <v>7.3016531781662397E-2</v>
      </c>
      <c r="L1799">
        <v>936.66682466010798</v>
      </c>
      <c r="M1799">
        <v>19.876399072616199</v>
      </c>
      <c r="N1799">
        <v>47.511961233100401</v>
      </c>
      <c r="O1799">
        <v>46.655346244924097</v>
      </c>
      <c r="P1799">
        <v>-9.8542555550366701E-2</v>
      </c>
      <c r="Q1799">
        <v>7.4805514240905605E-2</v>
      </c>
      <c r="R1799">
        <v>0.99697005603964195</v>
      </c>
      <c r="S1799" t="s">
        <v>8201</v>
      </c>
      <c r="T1799" t="s">
        <v>12802</v>
      </c>
      <c r="U1799" t="s">
        <v>12802</v>
      </c>
      <c r="V1799" t="s">
        <v>12802</v>
      </c>
      <c r="W1799" t="s">
        <v>14561</v>
      </c>
      <c r="X1799">
        <v>4</v>
      </c>
      <c r="Y1799" t="s">
        <v>20867</v>
      </c>
      <c r="Z1799" t="s">
        <v>27117</v>
      </c>
      <c r="AA1799">
        <v>0.39930994044442408</v>
      </c>
      <c r="AB1799" t="str">
        <f>HYPERLINK("Melting_Curves/meltCurve_O94829_IPO13.pdf", "Melting_Curves/meltCurve_O94829_IPO13.pdf")</f>
        <v>Melting_Curves/meltCurve_O94829_IPO13.pdf</v>
      </c>
    </row>
    <row r="1800" spans="1:28" x14ac:dyDescent="0.25">
      <c r="A1800" t="s">
        <v>1804</v>
      </c>
      <c r="B1800">
        <v>0.99542014353169495</v>
      </c>
      <c r="C1800">
        <v>1.00567731399931</v>
      </c>
      <c r="D1800">
        <v>1.1421010196433901</v>
      </c>
      <c r="E1800">
        <v>0.89334239482581901</v>
      </c>
      <c r="F1800">
        <v>0.668431344055884</v>
      </c>
      <c r="G1800">
        <v>0.428597158837702</v>
      </c>
      <c r="H1800">
        <v>0.22891313068251701</v>
      </c>
      <c r="I1800">
        <v>8.7553455259404597E-2</v>
      </c>
      <c r="J1800">
        <v>7.6350558737046104E-2</v>
      </c>
      <c r="K1800">
        <v>3.36307062661561E-2</v>
      </c>
      <c r="L1800">
        <v>922.92533828667001</v>
      </c>
      <c r="M1800">
        <v>17.557700560333501</v>
      </c>
      <c r="N1800">
        <v>52.720979646390198</v>
      </c>
      <c r="O1800">
        <v>51.897604428762598</v>
      </c>
      <c r="P1800">
        <v>-8.2446079538799594E-2</v>
      </c>
      <c r="Q1800">
        <v>2.5266172123398201E-2</v>
      </c>
      <c r="R1800">
        <v>0.98315954852892995</v>
      </c>
      <c r="S1800" t="s">
        <v>8202</v>
      </c>
      <c r="T1800" t="s">
        <v>12802</v>
      </c>
      <c r="U1800" t="s">
        <v>12802</v>
      </c>
      <c r="V1800" t="s">
        <v>12802</v>
      </c>
      <c r="W1800" t="s">
        <v>14562</v>
      </c>
      <c r="X1800">
        <v>8</v>
      </c>
      <c r="Y1800" t="s">
        <v>20868</v>
      </c>
      <c r="Z1800" t="s">
        <v>27118</v>
      </c>
      <c r="AA1800">
        <v>0.54593011118971124</v>
      </c>
      <c r="AB1800" t="str">
        <f>HYPERLINK("Melting_Curves/meltCurve_O94830_DDHD2.pdf", "Melting_Curves/meltCurve_O94830_DDHD2.pdf")</f>
        <v>Melting_Curves/meltCurve_O94830_DDHD2.pdf</v>
      </c>
    </row>
    <row r="1801" spans="1:28" x14ac:dyDescent="0.25">
      <c r="A1801" t="s">
        <v>1805</v>
      </c>
      <c r="B1801">
        <v>0.99542014353169495</v>
      </c>
      <c r="C1801">
        <v>0.89445515913260398</v>
      </c>
      <c r="D1801">
        <v>0.87404329282358695</v>
      </c>
      <c r="E1801">
        <v>0.63757235549375502</v>
      </c>
      <c r="F1801">
        <v>0.417286061145693</v>
      </c>
      <c r="G1801">
        <v>0.14995260201598801</v>
      </c>
      <c r="H1801">
        <v>0.168226958740334</v>
      </c>
      <c r="I1801">
        <v>0.104776500966312</v>
      </c>
      <c r="J1801">
        <v>7.7156564908225103E-2</v>
      </c>
      <c r="K1801">
        <v>0.114119845321074</v>
      </c>
      <c r="L1801">
        <v>734.12555615299095</v>
      </c>
      <c r="M1801">
        <v>15.3253829518339</v>
      </c>
      <c r="N1801">
        <v>48.409189721010897</v>
      </c>
      <c r="O1801">
        <v>47.109193159912699</v>
      </c>
      <c r="P1801">
        <v>-7.5310411882831801E-2</v>
      </c>
      <c r="Q1801">
        <v>7.4089502764875304E-2</v>
      </c>
      <c r="R1801">
        <v>0.99020584879582296</v>
      </c>
      <c r="S1801" t="s">
        <v>8203</v>
      </c>
      <c r="T1801" t="s">
        <v>12802</v>
      </c>
      <c r="U1801" t="s">
        <v>12802</v>
      </c>
      <c r="V1801" t="s">
        <v>12802</v>
      </c>
      <c r="W1801" t="s">
        <v>14563</v>
      </c>
      <c r="X1801">
        <v>15</v>
      </c>
      <c r="Y1801" t="s">
        <v>20869</v>
      </c>
      <c r="Z1801" t="s">
        <v>27119</v>
      </c>
      <c r="AA1801">
        <v>0.4302869305783365</v>
      </c>
      <c r="AB1801" t="str">
        <f>HYPERLINK("Melting_Curves/meltCurve_O94832_MYO1D.pdf", "Melting_Curves/meltCurve_O94832_MYO1D.pdf")</f>
        <v>Melting_Curves/meltCurve_O94832_MYO1D.pdf</v>
      </c>
    </row>
    <row r="1802" spans="1:28" x14ac:dyDescent="0.25">
      <c r="A1802" t="s">
        <v>1806</v>
      </c>
      <c r="B1802">
        <v>0.99542014353169495</v>
      </c>
      <c r="C1802">
        <v>0.92684057985735102</v>
      </c>
      <c r="D1802">
        <v>0.85552328051286097</v>
      </c>
      <c r="E1802">
        <v>0.70351120113673005</v>
      </c>
      <c r="F1802">
        <v>0.24057960068748499</v>
      </c>
      <c r="G1802">
        <v>0.111642450201653</v>
      </c>
      <c r="H1802">
        <v>6.9940599426209796E-2</v>
      </c>
      <c r="I1802">
        <v>5.5818516687244302E-2</v>
      </c>
      <c r="J1802">
        <v>4.7236363584870301E-2</v>
      </c>
      <c r="K1802">
        <v>6.6680524200444499E-2</v>
      </c>
      <c r="L1802">
        <v>1074.7189867489899</v>
      </c>
      <c r="M1802">
        <v>22.5354036340382</v>
      </c>
      <c r="N1802">
        <v>47.901082588528297</v>
      </c>
      <c r="O1802">
        <v>47.319475174842303</v>
      </c>
      <c r="P1802">
        <v>-0.11344088701091599</v>
      </c>
      <c r="Q1802">
        <v>4.7213963794612401E-2</v>
      </c>
      <c r="R1802">
        <v>0.99079939457155997</v>
      </c>
      <c r="S1802" t="s">
        <v>8204</v>
      </c>
      <c r="T1802" t="s">
        <v>12802</v>
      </c>
      <c r="U1802" t="s">
        <v>12802</v>
      </c>
      <c r="V1802" t="s">
        <v>12802</v>
      </c>
      <c r="W1802" t="s">
        <v>14564</v>
      </c>
      <c r="X1802">
        <v>8</v>
      </c>
      <c r="Y1802" t="s">
        <v>20870</v>
      </c>
      <c r="Z1802" t="s">
        <v>27120</v>
      </c>
      <c r="AA1802">
        <v>0.39665335723151462</v>
      </c>
      <c r="AB1802" t="str">
        <f>HYPERLINK("Melting_Curves/meltCurve_O94851_5_MICAL2.pdf", "Melting_Curves/meltCurve_O94851_5_MICAL2.pdf")</f>
        <v>Melting_Curves/meltCurve_O94851_5_MICAL2.pdf</v>
      </c>
    </row>
    <row r="1803" spans="1:28" x14ac:dyDescent="0.25">
      <c r="A1803" t="s">
        <v>1807</v>
      </c>
      <c r="B1803">
        <v>0.99542014353169495</v>
      </c>
      <c r="C1803">
        <v>1.2817056634266699</v>
      </c>
      <c r="D1803">
        <v>0.84658966335428099</v>
      </c>
      <c r="E1803">
        <v>0.54346098827202705</v>
      </c>
      <c r="F1803">
        <v>0.21693362773960401</v>
      </c>
      <c r="G1803">
        <v>0.22816319151588399</v>
      </c>
      <c r="H1803">
        <v>0.115093182557469</v>
      </c>
      <c r="I1803">
        <v>8.2111745291490096E-2</v>
      </c>
      <c r="J1803">
        <v>0</v>
      </c>
      <c r="K1803">
        <v>0.150194355639132</v>
      </c>
      <c r="L1803">
        <v>1172.70994966584</v>
      </c>
      <c r="M1803">
        <v>25.193493772710902</v>
      </c>
      <c r="N1803">
        <v>46.9833702601723</v>
      </c>
      <c r="O1803">
        <v>46.257821869089</v>
      </c>
      <c r="P1803">
        <v>-0.121989373785511</v>
      </c>
      <c r="Q1803">
        <v>0.104071997500283</v>
      </c>
      <c r="R1803">
        <v>0.937294131545793</v>
      </c>
      <c r="S1803" t="s">
        <v>8205</v>
      </c>
      <c r="T1803" t="s">
        <v>12802</v>
      </c>
      <c r="U1803" t="s">
        <v>12802</v>
      </c>
      <c r="V1803" t="s">
        <v>12802</v>
      </c>
      <c r="W1803" t="s">
        <v>14565</v>
      </c>
      <c r="X1803">
        <v>1</v>
      </c>
      <c r="Y1803" t="s">
        <v>20871</v>
      </c>
      <c r="Z1803" t="s">
        <v>27121</v>
      </c>
      <c r="AA1803">
        <v>0.39658024971333439</v>
      </c>
      <c r="AB1803" t="str">
        <f>HYPERLINK("Melting_Curves/meltCurve_O94854_2_KIAA0754.pdf", "Melting_Curves/meltCurve_O94854_2_KIAA0754.pdf")</f>
        <v>Melting_Curves/meltCurve_O94854_2_KIAA0754.pdf</v>
      </c>
    </row>
    <row r="1804" spans="1:28" x14ac:dyDescent="0.25">
      <c r="A1804" t="s">
        <v>1808</v>
      </c>
      <c r="B1804">
        <v>0.99542014353169495</v>
      </c>
      <c r="C1804">
        <v>1.02112871528904</v>
      </c>
      <c r="D1804">
        <v>0.92313625254840204</v>
      </c>
      <c r="E1804">
        <v>0.84576195990360703</v>
      </c>
      <c r="F1804">
        <v>0.41248213304800802</v>
      </c>
      <c r="G1804">
        <v>0.142185541405871</v>
      </c>
      <c r="H1804">
        <v>7.3345544416095698E-2</v>
      </c>
      <c r="I1804">
        <v>6.5986777681043399E-2</v>
      </c>
      <c r="J1804">
        <v>5.1281932574680902E-2</v>
      </c>
      <c r="K1804">
        <v>6.16183374662337E-2</v>
      </c>
      <c r="L1804">
        <v>1311.88440217384</v>
      </c>
      <c r="M1804">
        <v>26.619178752027398</v>
      </c>
      <c r="N1804">
        <v>49.4988235876489</v>
      </c>
      <c r="O1804">
        <v>49.007809291859402</v>
      </c>
      <c r="P1804">
        <v>-0.12836523137974501</v>
      </c>
      <c r="Q1804">
        <v>5.46916749411131E-2</v>
      </c>
      <c r="R1804">
        <v>0.99752030719928597</v>
      </c>
      <c r="S1804" t="s">
        <v>8206</v>
      </c>
      <c r="T1804" t="s">
        <v>12802</v>
      </c>
      <c r="U1804" t="s">
        <v>12802</v>
      </c>
      <c r="V1804" t="s">
        <v>12802</v>
      </c>
      <c r="W1804" t="s">
        <v>14566</v>
      </c>
      <c r="X1804">
        <v>12</v>
      </c>
      <c r="Y1804" t="s">
        <v>20872</v>
      </c>
      <c r="Z1804" t="s">
        <v>27122</v>
      </c>
      <c r="AA1804">
        <v>0.44900184529926168</v>
      </c>
      <c r="AB1804" t="str">
        <f>HYPERLINK("Melting_Curves/meltCurve_O94855_SEC24D.pdf", "Melting_Curves/meltCurve_O94855_SEC24D.pdf")</f>
        <v>Melting_Curves/meltCurve_O94855_SEC24D.pdf</v>
      </c>
    </row>
    <row r="1805" spans="1:28" x14ac:dyDescent="0.25">
      <c r="A1805" t="s">
        <v>1809</v>
      </c>
      <c r="B1805">
        <v>0.99542014353169495</v>
      </c>
      <c r="C1805">
        <v>0.96651902165071102</v>
      </c>
      <c r="D1805">
        <v>0.84695929227781896</v>
      </c>
      <c r="E1805">
        <v>0.56793931962021404</v>
      </c>
      <c r="F1805">
        <v>0.32526412398645599</v>
      </c>
      <c r="G1805">
        <v>0.235031981510372</v>
      </c>
      <c r="H1805">
        <v>0.19138371140966301</v>
      </c>
      <c r="I1805">
        <v>0.16265243304188001</v>
      </c>
      <c r="J1805">
        <v>0.242324861889227</v>
      </c>
      <c r="K1805">
        <v>0.27118646702066801</v>
      </c>
      <c r="L1805">
        <v>985.24477569149997</v>
      </c>
      <c r="M1805">
        <v>21.394471419157</v>
      </c>
      <c r="N1805">
        <v>47.261638879165403</v>
      </c>
      <c r="O1805">
        <v>45.654698369061201</v>
      </c>
      <c r="P1805">
        <v>-9.2447235318016893E-2</v>
      </c>
      <c r="Q1805">
        <v>0.21090913748471199</v>
      </c>
      <c r="R1805">
        <v>0.99161510477265902</v>
      </c>
      <c r="S1805" t="s">
        <v>8207</v>
      </c>
      <c r="T1805" t="s">
        <v>12802</v>
      </c>
      <c r="U1805" t="s">
        <v>12802</v>
      </c>
      <c r="V1805" t="s">
        <v>12802</v>
      </c>
      <c r="W1805" t="s">
        <v>14567</v>
      </c>
      <c r="X1805">
        <v>4</v>
      </c>
      <c r="Y1805" t="s">
        <v>20873</v>
      </c>
      <c r="Z1805" t="s">
        <v>27123</v>
      </c>
      <c r="AA1805">
        <v>0.45798333442328798</v>
      </c>
      <c r="AB1805" t="str">
        <f>HYPERLINK("Melting_Curves/meltCurve_O94864_2_SUPT7L.pdf", "Melting_Curves/meltCurve_O94864_2_SUPT7L.pdf")</f>
        <v>Melting_Curves/meltCurve_O94864_2_SUPT7L.pdf</v>
      </c>
    </row>
    <row r="1806" spans="1:28" x14ac:dyDescent="0.25">
      <c r="A1806" t="s">
        <v>1810</v>
      </c>
      <c r="B1806">
        <v>0.99542014353169495</v>
      </c>
      <c r="C1806">
        <v>0.97705293285905004</v>
      </c>
      <c r="D1806">
        <v>1.02840002548542</v>
      </c>
      <c r="E1806">
        <v>0.72442201963003106</v>
      </c>
      <c r="F1806">
        <v>0.20688207259442901</v>
      </c>
      <c r="G1806">
        <v>9.8705186400497705E-2</v>
      </c>
      <c r="H1806">
        <v>5.8547487764550897E-2</v>
      </c>
      <c r="I1806">
        <v>4.0912901756323498E-2</v>
      </c>
      <c r="J1806">
        <v>4.2648740212733703E-2</v>
      </c>
      <c r="K1806">
        <v>4.4165435677020103E-2</v>
      </c>
      <c r="L1806">
        <v>1662.78006819953</v>
      </c>
      <c r="M1806">
        <v>34.754331734673997</v>
      </c>
      <c r="N1806">
        <v>47.9953065043564</v>
      </c>
      <c r="O1806">
        <v>47.686255310498701</v>
      </c>
      <c r="P1806">
        <v>-0.17273831506451601</v>
      </c>
      <c r="Q1806">
        <v>5.1949820810592198E-2</v>
      </c>
      <c r="R1806">
        <v>0.997912510452303</v>
      </c>
      <c r="S1806" t="s">
        <v>8208</v>
      </c>
      <c r="T1806" t="s">
        <v>12802</v>
      </c>
      <c r="U1806" t="s">
        <v>12802</v>
      </c>
      <c r="V1806" t="s">
        <v>12802</v>
      </c>
      <c r="W1806" t="s">
        <v>14568</v>
      </c>
      <c r="X1806">
        <v>22</v>
      </c>
      <c r="Y1806" t="s">
        <v>20874</v>
      </c>
      <c r="Z1806" t="s">
        <v>27124</v>
      </c>
      <c r="AA1806">
        <v>0.39879565858315458</v>
      </c>
      <c r="AB1806" t="str">
        <f>HYPERLINK("Melting_Curves/meltCurve_O94874_UFL1.pdf", "Melting_Curves/meltCurve_O94874_UFL1.pdf")</f>
        <v>Melting_Curves/meltCurve_O94874_UFL1.pdf</v>
      </c>
    </row>
    <row r="1807" spans="1:28" x14ac:dyDescent="0.25">
      <c r="A1807" t="s">
        <v>1811</v>
      </c>
      <c r="B1807">
        <v>0.99542014353169495</v>
      </c>
      <c r="C1807">
        <v>0.94797961332095004</v>
      </c>
      <c r="D1807">
        <v>0.929116306093689</v>
      </c>
      <c r="E1807">
        <v>0.68621223995633696</v>
      </c>
      <c r="F1807">
        <v>0.50806127061848005</v>
      </c>
      <c r="G1807">
        <v>0.39581533894020998</v>
      </c>
      <c r="H1807">
        <v>0.27270225249069802</v>
      </c>
      <c r="I1807">
        <v>0.23811386838381299</v>
      </c>
      <c r="J1807">
        <v>0.36114917083304299</v>
      </c>
      <c r="K1807">
        <v>0.41805898430043498</v>
      </c>
      <c r="L1807">
        <v>920.64613585929203</v>
      </c>
      <c r="M1807">
        <v>19.503767111179101</v>
      </c>
      <c r="N1807">
        <v>49.837650888166401</v>
      </c>
      <c r="O1807">
        <v>46.715669565535698</v>
      </c>
      <c r="P1807">
        <v>-7.0805281147666599E-2</v>
      </c>
      <c r="Q1807">
        <v>0.321649562746254</v>
      </c>
      <c r="R1807">
        <v>0.96600890820607899</v>
      </c>
      <c r="S1807" t="s">
        <v>8209</v>
      </c>
      <c r="T1807" t="s">
        <v>12802</v>
      </c>
      <c r="U1807" t="s">
        <v>12802</v>
      </c>
      <c r="V1807" t="s">
        <v>12802</v>
      </c>
      <c r="W1807" t="s">
        <v>14569</v>
      </c>
      <c r="X1807">
        <v>4</v>
      </c>
      <c r="Y1807" t="s">
        <v>20875</v>
      </c>
      <c r="Z1807" t="s">
        <v>27125</v>
      </c>
      <c r="AA1807">
        <v>0.56169823401452901</v>
      </c>
      <c r="AB1807" t="str">
        <f>HYPERLINK("Melting_Curves/meltCurve_O94880_PHF14.pdf", "Melting_Curves/meltCurve_O94880_PHF14.pdf")</f>
        <v>Melting_Curves/meltCurve_O94880_PHF14.pdf</v>
      </c>
    </row>
    <row r="1808" spans="1:28" x14ac:dyDescent="0.25">
      <c r="A1808" t="s">
        <v>1812</v>
      </c>
      <c r="B1808">
        <v>0.99542014353169495</v>
      </c>
      <c r="C1808">
        <v>0.94451442892098803</v>
      </c>
      <c r="D1808">
        <v>1.0697610600209499</v>
      </c>
      <c r="E1808">
        <v>1.0214437805479699</v>
      </c>
      <c r="F1808">
        <v>0.602258843438226</v>
      </c>
      <c r="G1808">
        <v>0.38118318647362598</v>
      </c>
      <c r="H1808">
        <v>0.21890092941407799</v>
      </c>
      <c r="I1808">
        <v>0.14811903425179301</v>
      </c>
      <c r="J1808">
        <v>0.15371324780100701</v>
      </c>
      <c r="K1808">
        <v>0.109673792429724</v>
      </c>
      <c r="L1808">
        <v>1264.37092844787</v>
      </c>
      <c r="M1808">
        <v>24.711287412058901</v>
      </c>
      <c r="N1808">
        <v>51.862429846286702</v>
      </c>
      <c r="O1808">
        <v>50.834181866328699</v>
      </c>
      <c r="P1808">
        <v>-0.104365188712121</v>
      </c>
      <c r="Q1808">
        <v>0.14124357391072301</v>
      </c>
      <c r="R1808">
        <v>0.98282826646237598</v>
      </c>
      <c r="S1808" t="s">
        <v>8210</v>
      </c>
      <c r="T1808" t="s">
        <v>12802</v>
      </c>
      <c r="U1808" t="s">
        <v>12802</v>
      </c>
      <c r="V1808" t="s">
        <v>12802</v>
      </c>
      <c r="W1808" t="s">
        <v>14570</v>
      </c>
      <c r="X1808">
        <v>2</v>
      </c>
      <c r="Y1808" t="s">
        <v>20876</v>
      </c>
      <c r="Z1808" t="s">
        <v>27126</v>
      </c>
      <c r="AA1808">
        <v>0.55448920359535603</v>
      </c>
      <c r="AB1808" t="str">
        <f>HYPERLINK("Melting_Curves/meltCurve_O94885_SASH1.pdf", "Melting_Curves/meltCurve_O94885_SASH1.pdf")</f>
        <v>Melting_Curves/meltCurve_O94885_SASH1.pdf</v>
      </c>
    </row>
    <row r="1809" spans="1:28" x14ac:dyDescent="0.25">
      <c r="A1809" t="s">
        <v>1813</v>
      </c>
      <c r="B1809">
        <v>0.99542014353169495</v>
      </c>
      <c r="C1809">
        <v>0.85288018621974604</v>
      </c>
      <c r="D1809">
        <v>0.82050561827325097</v>
      </c>
      <c r="E1809">
        <v>0.60427108741521196</v>
      </c>
      <c r="F1809">
        <v>0.53773994171893402</v>
      </c>
      <c r="G1809">
        <v>0.30472734677625102</v>
      </c>
      <c r="H1809">
        <v>0.166471805589363</v>
      </c>
      <c r="I1809">
        <v>0.11392280992670301</v>
      </c>
      <c r="J1809">
        <v>0.126110629987228</v>
      </c>
      <c r="K1809">
        <v>6.9369235027769094E-2</v>
      </c>
      <c r="L1809">
        <v>475.01878402095798</v>
      </c>
      <c r="M1809">
        <v>9.6161452722373593</v>
      </c>
      <c r="N1809">
        <v>49.398039188910701</v>
      </c>
      <c r="O1809">
        <v>47.403528932668301</v>
      </c>
      <c r="P1809">
        <v>-5.0742933126704401E-2</v>
      </c>
      <c r="Q1809">
        <v>0</v>
      </c>
      <c r="R1809">
        <v>0.98668810455317302</v>
      </c>
      <c r="S1809" t="s">
        <v>8211</v>
      </c>
      <c r="T1809" t="s">
        <v>12802</v>
      </c>
      <c r="U1809" t="s">
        <v>12802</v>
      </c>
      <c r="V1809" t="s">
        <v>12802</v>
      </c>
      <c r="W1809" t="s">
        <v>14571</v>
      </c>
      <c r="X1809">
        <v>2</v>
      </c>
      <c r="Y1809" t="s">
        <v>20877</v>
      </c>
      <c r="Z1809" t="s">
        <v>27127</v>
      </c>
      <c r="AA1809">
        <v>0.45062885695838562</v>
      </c>
      <c r="AB1809" t="str">
        <f>HYPERLINK("Melting_Curves/meltCurve_O94886_TMEM63A.pdf", "Melting_Curves/meltCurve_O94886_TMEM63A.pdf")</f>
        <v>Melting_Curves/meltCurve_O94886_TMEM63A.pdf</v>
      </c>
    </row>
    <row r="1810" spans="1:28" x14ac:dyDescent="0.25">
      <c r="A1810" t="s">
        <v>1814</v>
      </c>
      <c r="B1810">
        <v>0.99542014353169495</v>
      </c>
      <c r="C1810">
        <v>1.0558944800002801</v>
      </c>
      <c r="D1810">
        <v>0.974058970747817</v>
      </c>
      <c r="E1810">
        <v>0.89181374366493404</v>
      </c>
      <c r="F1810">
        <v>0.66749240387820796</v>
      </c>
      <c r="G1810">
        <v>0.32351857483871099</v>
      </c>
      <c r="H1810">
        <v>9.4377137319322194E-2</v>
      </c>
      <c r="I1810">
        <v>5.1452311597358399E-2</v>
      </c>
      <c r="J1810">
        <v>4.65790056355476E-2</v>
      </c>
      <c r="K1810">
        <v>4.4877826500734602E-2</v>
      </c>
      <c r="L1810">
        <v>1121.70405081796</v>
      </c>
      <c r="M1810">
        <v>21.724141518956401</v>
      </c>
      <c r="N1810">
        <v>51.751903389317498</v>
      </c>
      <c r="O1810">
        <v>51.202438210034003</v>
      </c>
      <c r="P1810">
        <v>-0.103511072044941</v>
      </c>
      <c r="Q1810">
        <v>2.4146515600653201E-2</v>
      </c>
      <c r="R1810">
        <v>0.99694776026465803</v>
      </c>
      <c r="S1810" t="s">
        <v>8212</v>
      </c>
      <c r="T1810" t="s">
        <v>12802</v>
      </c>
      <c r="U1810" t="s">
        <v>12802</v>
      </c>
      <c r="V1810" t="s">
        <v>12802</v>
      </c>
      <c r="W1810" t="s">
        <v>14572</v>
      </c>
      <c r="X1810">
        <v>16</v>
      </c>
      <c r="Y1810" t="s">
        <v>20878</v>
      </c>
      <c r="Z1810" t="s">
        <v>27128</v>
      </c>
      <c r="AA1810">
        <v>0.51122940334086087</v>
      </c>
      <c r="AB1810" t="str">
        <f>HYPERLINK("Melting_Curves/meltCurve_O94888_UBXN7.pdf", "Melting_Curves/meltCurve_O94888_UBXN7.pdf")</f>
        <v>Melting_Curves/meltCurve_O94888_UBXN7.pdf</v>
      </c>
    </row>
    <row r="1811" spans="1:28" x14ac:dyDescent="0.25">
      <c r="A1811" t="s">
        <v>1815</v>
      </c>
      <c r="B1811">
        <v>0.99542014353169495</v>
      </c>
      <c r="C1811">
        <v>0.95496773607143903</v>
      </c>
      <c r="D1811">
        <v>0.85639470239512305</v>
      </c>
      <c r="E1811">
        <v>0.53642843677753804</v>
      </c>
      <c r="F1811">
        <v>0.39427052825284198</v>
      </c>
      <c r="G1811">
        <v>0.112734357459817</v>
      </c>
      <c r="H1811">
        <v>0.10254522982711101</v>
      </c>
      <c r="I1811">
        <v>5.8260390272147897E-2</v>
      </c>
      <c r="J1811">
        <v>4.2936075645913202E-2</v>
      </c>
      <c r="K1811">
        <v>4.0906019898615101E-2</v>
      </c>
      <c r="L1811">
        <v>721.57924729659101</v>
      </c>
      <c r="M1811">
        <v>15.181477911228701</v>
      </c>
      <c r="N1811">
        <v>47.688064242826002</v>
      </c>
      <c r="O1811">
        <v>46.728439807032103</v>
      </c>
      <c r="P1811">
        <v>-7.9239568492379606E-2</v>
      </c>
      <c r="Q1811">
        <v>2.4499788366957698E-2</v>
      </c>
      <c r="R1811">
        <v>0.99251564441621298</v>
      </c>
      <c r="S1811" t="s">
        <v>8213</v>
      </c>
      <c r="T1811" t="s">
        <v>12802</v>
      </c>
      <c r="U1811" t="s">
        <v>12802</v>
      </c>
      <c r="V1811" t="s">
        <v>12802</v>
      </c>
      <c r="W1811" t="s">
        <v>14573</v>
      </c>
      <c r="X1811">
        <v>4</v>
      </c>
      <c r="Y1811" t="s">
        <v>20879</v>
      </c>
      <c r="Z1811" t="s">
        <v>27129</v>
      </c>
      <c r="AA1811">
        <v>0.3881655336682287</v>
      </c>
      <c r="AB1811" t="str">
        <f>HYPERLINK("Melting_Curves/meltCurve_O94889_KLHL18.pdf", "Melting_Curves/meltCurve_O94889_KLHL18.pdf")</f>
        <v>Melting_Curves/meltCurve_O94889_KLHL18.pdf</v>
      </c>
    </row>
    <row r="1812" spans="1:28" x14ac:dyDescent="0.25">
      <c r="A1812" t="s">
        <v>1816</v>
      </c>
      <c r="B1812">
        <v>0.99542014353169495</v>
      </c>
      <c r="C1812">
        <v>0.97678342779699501</v>
      </c>
      <c r="D1812">
        <v>0.97053197999989704</v>
      </c>
      <c r="E1812">
        <v>0.71544931858829597</v>
      </c>
      <c r="F1812">
        <v>0.43409277275601199</v>
      </c>
      <c r="G1812">
        <v>0.21873976563057901</v>
      </c>
      <c r="H1812">
        <v>0.16479767051098901</v>
      </c>
      <c r="I1812">
        <v>0.15688821044089701</v>
      </c>
      <c r="J1812">
        <v>0.15136855487902501</v>
      </c>
      <c r="K1812">
        <v>0.21477652799432301</v>
      </c>
      <c r="L1812">
        <v>1081.17729087358</v>
      </c>
      <c r="M1812">
        <v>22.4218578417968</v>
      </c>
      <c r="N1812">
        <v>49.080611935966601</v>
      </c>
      <c r="O1812">
        <v>47.841145610777502</v>
      </c>
      <c r="P1812">
        <v>-9.8122004473074995E-2</v>
      </c>
      <c r="Q1812">
        <v>0.16257217590862</v>
      </c>
      <c r="R1812">
        <v>0.995533782634484</v>
      </c>
      <c r="S1812" t="s">
        <v>8214</v>
      </c>
      <c r="T1812" t="s">
        <v>12802</v>
      </c>
      <c r="U1812" t="s">
        <v>12802</v>
      </c>
      <c r="V1812" t="s">
        <v>12802</v>
      </c>
      <c r="W1812" t="s">
        <v>14574</v>
      </c>
      <c r="X1812">
        <v>6</v>
      </c>
      <c r="Y1812" t="s">
        <v>20880</v>
      </c>
      <c r="Z1812" t="s">
        <v>27130</v>
      </c>
      <c r="AA1812">
        <v>0.48461920084863003</v>
      </c>
      <c r="AB1812" t="str">
        <f>HYPERLINK("Melting_Curves/meltCurve_O94898_LRIG2.pdf", "Melting_Curves/meltCurve_O94898_LRIG2.pdf")</f>
        <v>Melting_Curves/meltCurve_O94898_LRIG2.pdf</v>
      </c>
    </row>
    <row r="1813" spans="1:28" x14ac:dyDescent="0.25">
      <c r="A1813" t="s">
        <v>1817</v>
      </c>
      <c r="B1813">
        <v>0.99542014353169495</v>
      </c>
      <c r="C1813">
        <v>1.0173371904044599</v>
      </c>
      <c r="D1813">
        <v>0.93569962786996697</v>
      </c>
      <c r="E1813">
        <v>0.84959455738548295</v>
      </c>
      <c r="F1813">
        <v>0.48485466616008899</v>
      </c>
      <c r="G1813">
        <v>0.262162691542557</v>
      </c>
      <c r="H1813">
        <v>0.10573382670211399</v>
      </c>
      <c r="I1813">
        <v>7.3841733182850894E-2</v>
      </c>
      <c r="J1813">
        <v>6.3187944288085204E-2</v>
      </c>
      <c r="K1813">
        <v>7.1886500096418504E-2</v>
      </c>
      <c r="L1813">
        <v>1019.78254233123</v>
      </c>
      <c r="M1813">
        <v>20.401511590356002</v>
      </c>
      <c r="N1813">
        <v>50.281506680548397</v>
      </c>
      <c r="O1813">
        <v>49.5128163846272</v>
      </c>
      <c r="P1813">
        <v>-9.7188152036473796E-2</v>
      </c>
      <c r="Q1813">
        <v>5.6557293331668597E-2</v>
      </c>
      <c r="R1813">
        <v>0.99772021797295696</v>
      </c>
      <c r="S1813" t="s">
        <v>8215</v>
      </c>
      <c r="T1813" t="s">
        <v>12802</v>
      </c>
      <c r="U1813" t="s">
        <v>12802</v>
      </c>
      <c r="V1813" t="s">
        <v>12802</v>
      </c>
      <c r="W1813" t="s">
        <v>14575</v>
      </c>
      <c r="X1813">
        <v>11</v>
      </c>
      <c r="Y1813" t="s">
        <v>20881</v>
      </c>
      <c r="Z1813" t="s">
        <v>27131</v>
      </c>
      <c r="AA1813">
        <v>0.4769283708047018</v>
      </c>
      <c r="AB1813" t="str">
        <f>HYPERLINK("Melting_Curves/meltCurve_O94903_PROSC.pdf", "Melting_Curves/meltCurve_O94903_PROSC.pdf")</f>
        <v>Melting_Curves/meltCurve_O94903_PROSC.pdf</v>
      </c>
    </row>
    <row r="1814" spans="1:28" x14ac:dyDescent="0.25">
      <c r="A1814" t="s">
        <v>1818</v>
      </c>
      <c r="B1814">
        <v>0.99542014353169495</v>
      </c>
      <c r="C1814">
        <v>0.70613649115827104</v>
      </c>
      <c r="D1814">
        <v>0.96083204050455395</v>
      </c>
      <c r="E1814">
        <v>0.47575918878092999</v>
      </c>
      <c r="F1814">
        <v>0.24259376485730899</v>
      </c>
      <c r="G1814">
        <v>7.1466699960752597E-2</v>
      </c>
      <c r="H1814">
        <v>4.22346915646351E-2</v>
      </c>
      <c r="I1814">
        <v>3.1759739911372702E-2</v>
      </c>
      <c r="J1814">
        <v>3.1650407637121201E-2</v>
      </c>
      <c r="K1814">
        <v>3.3155267143337899E-2</v>
      </c>
      <c r="L1814">
        <v>835.51998942505099</v>
      </c>
      <c r="M1814">
        <v>17.909093350841498</v>
      </c>
      <c r="N1814">
        <v>46.7310887974878</v>
      </c>
      <c r="O1814">
        <v>46.083373566155998</v>
      </c>
      <c r="P1814">
        <v>-9.573563988547E-2</v>
      </c>
      <c r="Q1814">
        <v>1.4668293673604799E-2</v>
      </c>
      <c r="R1814">
        <v>0.94135797200099203</v>
      </c>
      <c r="S1814" t="s">
        <v>8216</v>
      </c>
      <c r="T1814" t="s">
        <v>12802</v>
      </c>
      <c r="U1814" t="s">
        <v>12802</v>
      </c>
      <c r="V1814" t="s">
        <v>12802</v>
      </c>
      <c r="W1814" t="s">
        <v>14576</v>
      </c>
      <c r="X1814">
        <v>14</v>
      </c>
      <c r="Y1814" t="s">
        <v>20882</v>
      </c>
      <c r="Z1814" t="s">
        <v>27132</v>
      </c>
      <c r="AA1814">
        <v>0.34773174360046599</v>
      </c>
      <c r="AB1814" t="str">
        <f>HYPERLINK("Melting_Curves/meltCurve_O94905_ERLIN2.pdf", "Melting_Curves/meltCurve_O94905_ERLIN2.pdf")</f>
        <v>Melting_Curves/meltCurve_O94905_ERLIN2.pdf</v>
      </c>
    </row>
    <row r="1815" spans="1:28" x14ac:dyDescent="0.25">
      <c r="A1815" t="s">
        <v>1819</v>
      </c>
      <c r="B1815">
        <v>0.99542014353169495</v>
      </c>
      <c r="C1815">
        <v>0.88005422604226602</v>
      </c>
      <c r="D1815">
        <v>0.51145563374999403</v>
      </c>
      <c r="E1815">
        <v>0.266482486630226</v>
      </c>
      <c r="F1815">
        <v>0.19859767346665599</v>
      </c>
      <c r="G1815">
        <v>0.141478931735213</v>
      </c>
      <c r="H1815">
        <v>0.102410189900766</v>
      </c>
      <c r="I1815">
        <v>3.86034043059496E-2</v>
      </c>
      <c r="J1815">
        <v>4.4189626170968999E-2</v>
      </c>
      <c r="K1815">
        <v>5.1634638860559703E-2</v>
      </c>
      <c r="L1815">
        <v>800.64420863477994</v>
      </c>
      <c r="M1815">
        <v>18.520367126140702</v>
      </c>
      <c r="N1815">
        <v>43.613585249184602</v>
      </c>
      <c r="O1815">
        <v>42.735915170225603</v>
      </c>
      <c r="P1815">
        <v>-0.10021297631222401</v>
      </c>
      <c r="Q1815">
        <v>7.5071348773303306E-2</v>
      </c>
      <c r="R1815">
        <v>0.98738735238122799</v>
      </c>
      <c r="S1815" t="s">
        <v>8217</v>
      </c>
      <c r="T1815" t="s">
        <v>12802</v>
      </c>
      <c r="U1815" t="s">
        <v>12802</v>
      </c>
      <c r="V1815" t="s">
        <v>12802</v>
      </c>
      <c r="W1815" t="s">
        <v>14577</v>
      </c>
      <c r="X1815">
        <v>9</v>
      </c>
      <c r="Y1815" t="s">
        <v>20883</v>
      </c>
      <c r="Z1815" t="s">
        <v>27133</v>
      </c>
      <c r="AA1815">
        <v>0.28231314408664049</v>
      </c>
      <c r="AB1815" t="str">
        <f>HYPERLINK("Melting_Curves/meltCurve_O94906_2_PRPF6.pdf", "Melting_Curves/meltCurve_O94906_2_PRPF6.pdf")</f>
        <v>Melting_Curves/meltCurve_O94906_2_PRPF6.pdf</v>
      </c>
    </row>
    <row r="1816" spans="1:28" x14ac:dyDescent="0.25">
      <c r="A1816" t="s">
        <v>1820</v>
      </c>
      <c r="B1816">
        <v>0.99542014353169495</v>
      </c>
      <c r="C1816">
        <v>0.95536703489277497</v>
      </c>
      <c r="D1816">
        <v>0.83569386551636904</v>
      </c>
      <c r="E1816">
        <v>0.32039696886757701</v>
      </c>
      <c r="F1816">
        <v>0.193685997639646</v>
      </c>
      <c r="G1816">
        <v>0.13372630843281</v>
      </c>
      <c r="H1816">
        <v>8.7270118043232495E-2</v>
      </c>
      <c r="I1816">
        <v>5.4821881459175499E-2</v>
      </c>
      <c r="J1816">
        <v>6.3649771398656199E-2</v>
      </c>
      <c r="K1816">
        <v>5.4478169362970903E-2</v>
      </c>
      <c r="L1816">
        <v>1214.02951118235</v>
      </c>
      <c r="M1816">
        <v>26.900428466560399</v>
      </c>
      <c r="N1816">
        <v>45.431831751343204</v>
      </c>
      <c r="O1816">
        <v>44.8832975978018</v>
      </c>
      <c r="P1816">
        <v>-0.137594171701096</v>
      </c>
      <c r="Q1816">
        <v>8.1707102231869E-2</v>
      </c>
      <c r="R1816">
        <v>0.99367635112550001</v>
      </c>
      <c r="S1816" t="s">
        <v>8218</v>
      </c>
      <c r="T1816" t="s">
        <v>12802</v>
      </c>
      <c r="U1816" t="s">
        <v>12802</v>
      </c>
      <c r="V1816" t="s">
        <v>12802</v>
      </c>
      <c r="W1816" t="s">
        <v>14578</v>
      </c>
      <c r="X1816">
        <v>13</v>
      </c>
      <c r="Y1816" t="s">
        <v>20884</v>
      </c>
      <c r="Z1816" t="s">
        <v>27134</v>
      </c>
      <c r="AA1816">
        <v>0.33705389119548967</v>
      </c>
      <c r="AB1816" t="str">
        <f>HYPERLINK("Melting_Curves/meltCurve_O94913_PCF11.pdf", "Melting_Curves/meltCurve_O94913_PCF11.pdf")</f>
        <v>Melting_Curves/meltCurve_O94913_PCF11.pdf</v>
      </c>
    </row>
    <row r="1817" spans="1:28" x14ac:dyDescent="0.25">
      <c r="A1817" t="s">
        <v>1821</v>
      </c>
      <c r="B1817">
        <v>0.99542014353169495</v>
      </c>
      <c r="C1817">
        <v>0.94601994104155696</v>
      </c>
      <c r="D1817">
        <v>0.95025482083387502</v>
      </c>
      <c r="E1817">
        <v>0.47453061242363398</v>
      </c>
      <c r="F1817">
        <v>0.31628796799925202</v>
      </c>
      <c r="G1817">
        <v>0.17541396533442499</v>
      </c>
      <c r="H1817">
        <v>0.236111650865693</v>
      </c>
      <c r="I1817">
        <v>0.20020967217299299</v>
      </c>
      <c r="J1817">
        <v>7.8609372372045502E-2</v>
      </c>
      <c r="K1817">
        <v>0.10014661610864101</v>
      </c>
      <c r="L1817">
        <v>1160.4419391389699</v>
      </c>
      <c r="M1817">
        <v>25.138870756270499</v>
      </c>
      <c r="N1817">
        <v>46.867839302319403</v>
      </c>
      <c r="O1817">
        <v>45.872132654122296</v>
      </c>
      <c r="P1817">
        <v>-0.11539726921655501</v>
      </c>
      <c r="Q1817">
        <v>0.15772690024511099</v>
      </c>
      <c r="R1817">
        <v>0.97698352562536195</v>
      </c>
      <c r="S1817" t="s">
        <v>8219</v>
      </c>
      <c r="T1817" t="s">
        <v>12802</v>
      </c>
      <c r="U1817" t="s">
        <v>12802</v>
      </c>
      <c r="V1817" t="s">
        <v>12802</v>
      </c>
      <c r="W1817" t="s">
        <v>14579</v>
      </c>
      <c r="X1817">
        <v>7</v>
      </c>
      <c r="Y1817" t="s">
        <v>20885</v>
      </c>
      <c r="Z1817" t="s">
        <v>27135</v>
      </c>
      <c r="AA1817">
        <v>0.42185050292257048</v>
      </c>
      <c r="AB1817" t="str">
        <f>HYPERLINK("Melting_Curves/meltCurve_O94916_NFAT5.pdf", "Melting_Curves/meltCurve_O94916_NFAT5.pdf")</f>
        <v>Melting_Curves/meltCurve_O94916_NFAT5.pdf</v>
      </c>
    </row>
    <row r="1818" spans="1:28" x14ac:dyDescent="0.25">
      <c r="A1818" t="s">
        <v>1822</v>
      </c>
      <c r="B1818">
        <v>0.99542014353169495</v>
      </c>
      <c r="C1818">
        <v>0.73121430317841496</v>
      </c>
      <c r="D1818">
        <v>0.76373873340389598</v>
      </c>
      <c r="E1818">
        <v>0.554686390245822</v>
      </c>
      <c r="F1818">
        <v>0.593532832799048</v>
      </c>
      <c r="G1818">
        <v>0.36746824208307</v>
      </c>
      <c r="H1818">
        <v>0.29447133437832901</v>
      </c>
      <c r="I1818">
        <v>0.12614935609925701</v>
      </c>
      <c r="J1818">
        <v>5.3971669687602003E-2</v>
      </c>
      <c r="K1818">
        <v>5.7297398811698499E-2</v>
      </c>
      <c r="L1818">
        <v>387.56376939271303</v>
      </c>
      <c r="M1818">
        <v>7.8672408654505004</v>
      </c>
      <c r="N1818">
        <v>49.262981873418298</v>
      </c>
      <c r="O1818">
        <v>46.384595075341899</v>
      </c>
      <c r="P1818">
        <v>-4.2453274634442803E-2</v>
      </c>
      <c r="Q1818">
        <v>0</v>
      </c>
      <c r="R1818">
        <v>0.93932028411672697</v>
      </c>
      <c r="S1818" t="s">
        <v>8220</v>
      </c>
      <c r="T1818" t="s">
        <v>12802</v>
      </c>
      <c r="U1818" t="s">
        <v>12802</v>
      </c>
      <c r="V1818" t="s">
        <v>12802</v>
      </c>
      <c r="W1818" t="s">
        <v>14580</v>
      </c>
      <c r="X1818">
        <v>4</v>
      </c>
      <c r="Y1818" t="s">
        <v>20886</v>
      </c>
      <c r="Z1818" t="s">
        <v>27136</v>
      </c>
      <c r="AA1818">
        <v>0.45433063787126637</v>
      </c>
      <c r="AB1818" t="str">
        <f>HYPERLINK("Melting_Curves/meltCurve_O94919_ENDOD1.pdf", "Melting_Curves/meltCurve_O94919_ENDOD1.pdf")</f>
        <v>Melting_Curves/meltCurve_O94919_ENDOD1.pdf</v>
      </c>
    </row>
    <row r="1819" spans="1:28" x14ac:dyDescent="0.25">
      <c r="A1819" t="s">
        <v>1823</v>
      </c>
      <c r="B1819">
        <v>0.99542014353169495</v>
      </c>
      <c r="C1819">
        <v>0.95100764045601904</v>
      </c>
      <c r="D1819">
        <v>0.92967426050823099</v>
      </c>
      <c r="E1819">
        <v>0.75325317868104902</v>
      </c>
      <c r="F1819">
        <v>0.16363006444796199</v>
      </c>
      <c r="G1819">
        <v>8.2062673306134704E-2</v>
      </c>
      <c r="H1819">
        <v>4.9377690859499702E-2</v>
      </c>
      <c r="I1819">
        <v>3.47082325950707E-2</v>
      </c>
      <c r="J1819">
        <v>3.9604517452259701E-2</v>
      </c>
      <c r="K1819">
        <v>4.30621218606781E-2</v>
      </c>
      <c r="L1819">
        <v>1840.4137407001299</v>
      </c>
      <c r="M1819">
        <v>38.494114901137202</v>
      </c>
      <c r="N1819">
        <v>47.927340918292501</v>
      </c>
      <c r="O1819">
        <v>47.681793167129101</v>
      </c>
      <c r="P1819">
        <v>-0.19277001501275501</v>
      </c>
      <c r="Q1819">
        <v>4.4883064766278798E-2</v>
      </c>
      <c r="R1819">
        <v>0.99613396013474598</v>
      </c>
      <c r="S1819" t="s">
        <v>8221</v>
      </c>
      <c r="T1819" t="s">
        <v>12802</v>
      </c>
      <c r="U1819" t="s">
        <v>12802</v>
      </c>
      <c r="V1819" t="s">
        <v>12802</v>
      </c>
      <c r="W1819" t="s">
        <v>14581</v>
      </c>
      <c r="X1819">
        <v>19</v>
      </c>
      <c r="Y1819" t="s">
        <v>20887</v>
      </c>
      <c r="Z1819" t="s">
        <v>27137</v>
      </c>
      <c r="AA1819">
        <v>0.39246247721185051</v>
      </c>
      <c r="AB1819" t="str">
        <f>HYPERLINK("Melting_Curves/meltCurve_O94925_3_GLS.pdf", "Melting_Curves/meltCurve_O94925_3_GLS.pdf")</f>
        <v>Melting_Curves/meltCurve_O94925_3_GLS.pdf</v>
      </c>
    </row>
    <row r="1820" spans="1:28" x14ac:dyDescent="0.25">
      <c r="A1820" t="s">
        <v>1824</v>
      </c>
      <c r="B1820">
        <v>0.99542014353169495</v>
      </c>
      <c r="C1820">
        <v>0.89772064338930402</v>
      </c>
      <c r="D1820">
        <v>0.93019742002509198</v>
      </c>
      <c r="E1820">
        <v>0.36573499254266201</v>
      </c>
      <c r="F1820">
        <v>0.17795456612100399</v>
      </c>
      <c r="G1820">
        <v>6.7841856477177706E-2</v>
      </c>
      <c r="H1820">
        <v>6.8859080387870003E-2</v>
      </c>
      <c r="I1820">
        <v>3.6908204464629897E-2</v>
      </c>
      <c r="J1820">
        <v>5.4919690910716003E-2</v>
      </c>
      <c r="K1820">
        <v>2.9085104433070899E-2</v>
      </c>
      <c r="L1820">
        <v>1400.4927207430901</v>
      </c>
      <c r="M1820">
        <v>30.6172219662792</v>
      </c>
      <c r="N1820">
        <v>45.925138828561899</v>
      </c>
      <c r="O1820">
        <v>45.548161736691398</v>
      </c>
      <c r="P1820">
        <v>-0.15839170602001101</v>
      </c>
      <c r="Q1820">
        <v>5.74701505909994E-2</v>
      </c>
      <c r="R1820">
        <v>0.98886515925152196</v>
      </c>
      <c r="S1820" t="s">
        <v>8222</v>
      </c>
      <c r="T1820" t="s">
        <v>12802</v>
      </c>
      <c r="U1820" t="s">
        <v>12802</v>
      </c>
      <c r="V1820" t="s">
        <v>12802</v>
      </c>
      <c r="W1820" t="s">
        <v>14582</v>
      </c>
      <c r="X1820">
        <v>5</v>
      </c>
      <c r="Y1820" t="s">
        <v>20888</v>
      </c>
      <c r="Z1820" t="s">
        <v>27138</v>
      </c>
      <c r="AA1820">
        <v>0.33725792265884119</v>
      </c>
      <c r="AB1820" t="str">
        <f>HYPERLINK("Melting_Curves/meltCurve_O94927_HAUS5.pdf", "Melting_Curves/meltCurve_O94927_HAUS5.pdf")</f>
        <v>Melting_Curves/meltCurve_O94927_HAUS5.pdf</v>
      </c>
    </row>
    <row r="1821" spans="1:28" x14ac:dyDescent="0.25">
      <c r="A1821" t="s">
        <v>1825</v>
      </c>
      <c r="B1821">
        <v>0.99542014353169495</v>
      </c>
      <c r="C1821">
        <v>1.04088497457386</v>
      </c>
      <c r="D1821">
        <v>0.97560448993927995</v>
      </c>
      <c r="E1821">
        <v>0.816164319762815</v>
      </c>
      <c r="F1821">
        <v>0.51467937339946801</v>
      </c>
      <c r="G1821">
        <v>0.15804008536790101</v>
      </c>
      <c r="H1821">
        <v>6.9733667184960005E-2</v>
      </c>
      <c r="I1821">
        <v>5.2795258103218702E-2</v>
      </c>
      <c r="J1821">
        <v>4.3174671893688801E-2</v>
      </c>
      <c r="K1821">
        <v>5.2882853824037498E-2</v>
      </c>
      <c r="L1821">
        <v>1163.73946869263</v>
      </c>
      <c r="M1821">
        <v>23.323412288535799</v>
      </c>
      <c r="N1821">
        <v>50.054415312698602</v>
      </c>
      <c r="O1821">
        <v>49.533305650143397</v>
      </c>
      <c r="P1821">
        <v>-0.113523658610353</v>
      </c>
      <c r="Q1821">
        <v>3.5629556064753501E-2</v>
      </c>
      <c r="R1821">
        <v>0.99729951522099503</v>
      </c>
      <c r="S1821" t="s">
        <v>8223</v>
      </c>
      <c r="T1821" t="s">
        <v>12802</v>
      </c>
      <c r="U1821" t="s">
        <v>12802</v>
      </c>
      <c r="V1821" t="s">
        <v>12802</v>
      </c>
      <c r="W1821" t="s">
        <v>14583</v>
      </c>
      <c r="X1821">
        <v>25</v>
      </c>
      <c r="Y1821" t="s">
        <v>20889</v>
      </c>
      <c r="Z1821" t="s">
        <v>27139</v>
      </c>
      <c r="AA1821">
        <v>0.45977875820828218</v>
      </c>
      <c r="AB1821" t="str">
        <f>HYPERLINK("Melting_Curves/meltCurve_O94966_7_USP19.pdf", "Melting_Curves/meltCurve_O94966_7_USP19.pdf")</f>
        <v>Melting_Curves/meltCurve_O94966_7_USP19.pdf</v>
      </c>
    </row>
    <row r="1822" spans="1:28" x14ac:dyDescent="0.25">
      <c r="A1822" t="s">
        <v>1826</v>
      </c>
      <c r="B1822">
        <v>0.99542014353169495</v>
      </c>
      <c r="C1822">
        <v>0.94994693129792696</v>
      </c>
      <c r="D1822">
        <v>0.99137344469347499</v>
      </c>
      <c r="E1822">
        <v>0.80021649129401096</v>
      </c>
      <c r="F1822">
        <v>0.56670013939179098</v>
      </c>
      <c r="G1822">
        <v>0.354670643239268</v>
      </c>
      <c r="H1822">
        <v>0.207600441577654</v>
      </c>
      <c r="I1822">
        <v>0.10625908028343201</v>
      </c>
      <c r="J1822">
        <v>0.153199045016605</v>
      </c>
      <c r="K1822">
        <v>0.13831313140455201</v>
      </c>
      <c r="L1822">
        <v>846.53056814091201</v>
      </c>
      <c r="M1822">
        <v>16.8030289777207</v>
      </c>
      <c r="N1822">
        <v>51.1242682561642</v>
      </c>
      <c r="O1822">
        <v>49.682309728226201</v>
      </c>
      <c r="P1822">
        <v>-7.5379540252453206E-2</v>
      </c>
      <c r="Q1822">
        <v>0.10854470282159701</v>
      </c>
      <c r="R1822">
        <v>0.99482092263219801</v>
      </c>
      <c r="S1822" t="s">
        <v>8224</v>
      </c>
      <c r="T1822" t="s">
        <v>12802</v>
      </c>
      <c r="U1822" t="s">
        <v>12802</v>
      </c>
      <c r="V1822" t="s">
        <v>12802</v>
      </c>
      <c r="W1822" t="s">
        <v>14584</v>
      </c>
      <c r="X1822">
        <v>1</v>
      </c>
      <c r="Y1822" t="s">
        <v>20890</v>
      </c>
      <c r="Z1822" t="s">
        <v>27140</v>
      </c>
      <c r="AA1822">
        <v>0.52169576447574406</v>
      </c>
      <c r="AB1822" t="str">
        <f>HYPERLINK("Melting_Curves/meltCurve_O94967_2_WDR47.pdf", "Melting_Curves/meltCurve_O94967_2_WDR47.pdf")</f>
        <v>Melting_Curves/meltCurve_O94967_2_WDR47.pdf</v>
      </c>
    </row>
    <row r="1823" spans="1:28" x14ac:dyDescent="0.25">
      <c r="A1823" t="s">
        <v>1827</v>
      </c>
      <c r="B1823">
        <v>0.99542014353169495</v>
      </c>
      <c r="C1823">
        <v>1.00337578520943</v>
      </c>
      <c r="D1823">
        <v>0.99276854006711202</v>
      </c>
      <c r="E1823">
        <v>0.82815370014092804</v>
      </c>
      <c r="F1823">
        <v>0.68773453315058497</v>
      </c>
      <c r="G1823">
        <v>0.35322508174517098</v>
      </c>
      <c r="H1823">
        <v>0.13790852758307101</v>
      </c>
      <c r="I1823">
        <v>9.6861913745068307E-2</v>
      </c>
      <c r="J1823">
        <v>8.7034118112951003E-2</v>
      </c>
      <c r="K1823">
        <v>8.1616163148675605E-2</v>
      </c>
      <c r="L1823">
        <v>972.94677056793205</v>
      </c>
      <c r="M1823">
        <v>18.859811546387999</v>
      </c>
      <c r="N1823">
        <v>51.894926867337396</v>
      </c>
      <c r="O1823">
        <v>51.018881923755103</v>
      </c>
      <c r="P1823">
        <v>-8.7547756331602694E-2</v>
      </c>
      <c r="Q1823">
        <v>5.2715165082437399E-2</v>
      </c>
      <c r="R1823">
        <v>0.99518392174571502</v>
      </c>
      <c r="S1823" t="s">
        <v>8225</v>
      </c>
      <c r="T1823" t="s">
        <v>12802</v>
      </c>
      <c r="U1823" t="s">
        <v>12802</v>
      </c>
      <c r="V1823" t="s">
        <v>12802</v>
      </c>
      <c r="W1823" t="s">
        <v>14585</v>
      </c>
      <c r="X1823">
        <v>16</v>
      </c>
      <c r="Y1823" t="s">
        <v>20891</v>
      </c>
      <c r="Z1823" t="s">
        <v>27141</v>
      </c>
      <c r="AA1823">
        <v>0.52686867000928139</v>
      </c>
      <c r="AB1823" t="str">
        <f>HYPERLINK("Melting_Curves/meltCurve_O94973_AP2A2.pdf", "Melting_Curves/meltCurve_O94973_AP2A2.pdf")</f>
        <v>Melting_Curves/meltCurve_O94973_AP2A2.pdf</v>
      </c>
    </row>
    <row r="1824" spans="1:28" x14ac:dyDescent="0.25">
      <c r="A1824" t="s">
        <v>1828</v>
      </c>
      <c r="B1824">
        <v>0.99542014353169495</v>
      </c>
      <c r="C1824">
        <v>1.01798964759321</v>
      </c>
      <c r="D1824">
        <v>0.98552915135882802</v>
      </c>
      <c r="E1824">
        <v>0.76436049285289198</v>
      </c>
      <c r="F1824">
        <v>0.74562521663901604</v>
      </c>
      <c r="G1824">
        <v>0.34519504086389002</v>
      </c>
      <c r="H1824">
        <v>9.9515458430446305E-2</v>
      </c>
      <c r="I1824">
        <v>0.103697546260673</v>
      </c>
      <c r="J1824">
        <v>0.15090666986017301</v>
      </c>
      <c r="K1824">
        <v>0.110057520897771</v>
      </c>
      <c r="L1824">
        <v>1021.9875089654799</v>
      </c>
      <c r="M1824">
        <v>19.865564319402399</v>
      </c>
      <c r="N1824">
        <v>51.9001329145689</v>
      </c>
      <c r="O1824">
        <v>50.932381328656703</v>
      </c>
      <c r="P1824">
        <v>-8.97206339396312E-2</v>
      </c>
      <c r="Q1824">
        <v>7.9908789586223994E-2</v>
      </c>
      <c r="R1824">
        <v>0.97472621067255205</v>
      </c>
      <c r="S1824" t="s">
        <v>8226</v>
      </c>
      <c r="T1824" t="s">
        <v>12802</v>
      </c>
      <c r="U1824" t="s">
        <v>12802</v>
      </c>
      <c r="V1824" t="s">
        <v>12802</v>
      </c>
      <c r="W1824" t="s">
        <v>14586</v>
      </c>
      <c r="X1824">
        <v>16</v>
      </c>
      <c r="Y1824" t="s">
        <v>20891</v>
      </c>
      <c r="Z1824" t="s">
        <v>27142</v>
      </c>
      <c r="AA1824">
        <v>0.53505668423669206</v>
      </c>
      <c r="AB1824" t="str">
        <f>HYPERLINK("Melting_Curves/meltCurve_O94973_2_AP2A2.pdf", "Melting_Curves/meltCurve_O94973_2_AP2A2.pdf")</f>
        <v>Melting_Curves/meltCurve_O94973_2_AP2A2.pdf</v>
      </c>
    </row>
    <row r="1825" spans="1:28" x14ac:dyDescent="0.25">
      <c r="A1825" t="s">
        <v>1829</v>
      </c>
      <c r="B1825">
        <v>0.99542014353169495</v>
      </c>
      <c r="C1825">
        <v>0.99474765667950504</v>
      </c>
      <c r="D1825">
        <v>0.94811126045993899</v>
      </c>
      <c r="E1825">
        <v>0.95413202123567697</v>
      </c>
      <c r="F1825">
        <v>0.87502478450450305</v>
      </c>
      <c r="G1825">
        <v>0.69201252468075003</v>
      </c>
      <c r="H1825">
        <v>0.53024677144947296</v>
      </c>
      <c r="I1825">
        <v>0.49118861127826802</v>
      </c>
      <c r="J1825">
        <v>0.71675238064906599</v>
      </c>
      <c r="K1825">
        <v>0.88242351594616997</v>
      </c>
      <c r="L1825">
        <v>2295.7867601090702</v>
      </c>
      <c r="M1825">
        <v>45.219651919934101</v>
      </c>
      <c r="O1825">
        <v>50.670677931675399</v>
      </c>
      <c r="P1825">
        <v>-7.64675427352208E-2</v>
      </c>
      <c r="Q1825">
        <v>0.65725898988940201</v>
      </c>
      <c r="R1825">
        <v>0.67872230490625696</v>
      </c>
      <c r="S1825" t="s">
        <v>8227</v>
      </c>
      <c r="T1825" t="s">
        <v>12802</v>
      </c>
      <c r="U1825" t="s">
        <v>12802</v>
      </c>
      <c r="V1825" t="s">
        <v>12802</v>
      </c>
      <c r="W1825" t="s">
        <v>14587</v>
      </c>
      <c r="X1825">
        <v>16</v>
      </c>
      <c r="Y1825" t="s">
        <v>20892</v>
      </c>
      <c r="Z1825" t="s">
        <v>27143</v>
      </c>
      <c r="AA1825">
        <v>0.81551251827638704</v>
      </c>
      <c r="AB1825" t="str">
        <f>HYPERLINK("Melting_Curves/meltCurve_O94992_HEXIM1.pdf", "Melting_Curves/meltCurve_O94992_HEXIM1.pdf")</f>
        <v>Melting_Curves/meltCurve_O94992_HEXIM1.pdf</v>
      </c>
    </row>
    <row r="1826" spans="1:28" x14ac:dyDescent="0.25">
      <c r="A1826" t="s">
        <v>1830</v>
      </c>
      <c r="B1826">
        <v>0.99542014353169495</v>
      </c>
      <c r="C1826">
        <v>0.98677895945515104</v>
      </c>
      <c r="D1826">
        <v>0.95575869247893497</v>
      </c>
      <c r="E1826">
        <v>0.764380591275715</v>
      </c>
      <c r="F1826">
        <v>0.55798636468164797</v>
      </c>
      <c r="G1826">
        <v>0.344927304519002</v>
      </c>
      <c r="H1826">
        <v>0.20321628368045999</v>
      </c>
      <c r="I1826">
        <v>9.1520001442325194E-2</v>
      </c>
      <c r="J1826">
        <v>0.118646756490822</v>
      </c>
      <c r="K1826">
        <v>9.9031240482895896E-2</v>
      </c>
      <c r="L1826">
        <v>744.05788871071604</v>
      </c>
      <c r="M1826">
        <v>14.735351250610099</v>
      </c>
      <c r="N1826">
        <v>50.963145353933903</v>
      </c>
      <c r="O1826">
        <v>49.592114684488102</v>
      </c>
      <c r="P1826">
        <v>-6.9585936358247405E-2</v>
      </c>
      <c r="Q1826">
        <v>6.3330023446942704E-2</v>
      </c>
      <c r="R1826">
        <v>0.99753351229366605</v>
      </c>
      <c r="S1826" t="s">
        <v>8228</v>
      </c>
      <c r="T1826" t="s">
        <v>12802</v>
      </c>
      <c r="U1826" t="s">
        <v>12802</v>
      </c>
      <c r="V1826" t="s">
        <v>12802</v>
      </c>
      <c r="W1826" t="s">
        <v>14588</v>
      </c>
      <c r="X1826">
        <v>11</v>
      </c>
      <c r="Y1826" t="s">
        <v>20893</v>
      </c>
      <c r="Z1826" t="s">
        <v>27144</v>
      </c>
      <c r="AA1826">
        <v>0.5043867900811958</v>
      </c>
      <c r="AB1826" t="str">
        <f>HYPERLINK("Melting_Curves/meltCurve_O95067_CCNB2.pdf", "Melting_Curves/meltCurve_O95067_CCNB2.pdf")</f>
        <v>Melting_Curves/meltCurve_O95067_CCNB2.pdf</v>
      </c>
    </row>
    <row r="1827" spans="1:28" x14ac:dyDescent="0.25">
      <c r="A1827" t="s">
        <v>1831</v>
      </c>
      <c r="B1827">
        <v>0.99542014353169495</v>
      </c>
      <c r="C1827">
        <v>1.0127407475441299</v>
      </c>
      <c r="D1827">
        <v>0.94993066218979905</v>
      </c>
      <c r="E1827">
        <v>0.44124184448263698</v>
      </c>
      <c r="F1827">
        <v>0.164866605933642</v>
      </c>
      <c r="G1827">
        <v>8.8228379774015001E-2</v>
      </c>
      <c r="H1827">
        <v>5.9123726958866897E-2</v>
      </c>
      <c r="I1827">
        <v>3.3641832674103603E-2</v>
      </c>
      <c r="J1827">
        <v>3.5492600045857303E-2</v>
      </c>
      <c r="K1827">
        <v>3.1314740977243898E-2</v>
      </c>
      <c r="L1827">
        <v>1448.4595335920801</v>
      </c>
      <c r="M1827">
        <v>31.340725907726998</v>
      </c>
      <c r="N1827">
        <v>46.378994699500197</v>
      </c>
      <c r="O1827">
        <v>46.0295874069785</v>
      </c>
      <c r="P1827">
        <v>-0.16137252960915199</v>
      </c>
      <c r="Q1827">
        <v>5.1984917297873898E-2</v>
      </c>
      <c r="R1827">
        <v>0.99684915116231199</v>
      </c>
      <c r="S1827" t="s">
        <v>8229</v>
      </c>
      <c r="T1827" t="s">
        <v>12802</v>
      </c>
      <c r="U1827" t="s">
        <v>12802</v>
      </c>
      <c r="V1827" t="s">
        <v>12802</v>
      </c>
      <c r="W1827" t="s">
        <v>14589</v>
      </c>
      <c r="X1827">
        <v>4</v>
      </c>
      <c r="Y1827" t="s">
        <v>20894</v>
      </c>
      <c r="Z1827" t="s">
        <v>27145</v>
      </c>
      <c r="AA1827">
        <v>0.3481996453160191</v>
      </c>
      <c r="AB1827" t="str">
        <f>HYPERLINK("Melting_Curves/meltCurve_O95081_AGFG2.pdf", "Melting_Curves/meltCurve_O95081_AGFG2.pdf")</f>
        <v>Melting_Curves/meltCurve_O95081_AGFG2.pdf</v>
      </c>
    </row>
    <row r="1828" spans="1:28" x14ac:dyDescent="0.25">
      <c r="A1828" t="s">
        <v>1832</v>
      </c>
      <c r="B1828">
        <v>0.99542014353169495</v>
      </c>
      <c r="C1828">
        <v>1.05168335501335</v>
      </c>
      <c r="D1828">
        <v>1.0075146543845099</v>
      </c>
      <c r="E1828">
        <v>0.59809056311522502</v>
      </c>
      <c r="F1828">
        <v>0.15454796790174299</v>
      </c>
      <c r="G1828">
        <v>8.9101570952854203E-2</v>
      </c>
      <c r="H1828">
        <v>5.8731106825818002E-2</v>
      </c>
      <c r="I1828">
        <v>4.2233644709956497E-2</v>
      </c>
      <c r="J1828">
        <v>5.4189212851050002E-2</v>
      </c>
      <c r="K1828">
        <v>8.12786856638643E-2</v>
      </c>
      <c r="L1828">
        <v>1789.6489046566901</v>
      </c>
      <c r="M1828">
        <v>38.084308151973403</v>
      </c>
      <c r="N1828">
        <v>47.165298176276799</v>
      </c>
      <c r="O1828">
        <v>46.862763573917</v>
      </c>
      <c r="P1828">
        <v>-0.18988878072907001</v>
      </c>
      <c r="Q1828">
        <v>6.5369333471207006E-2</v>
      </c>
      <c r="R1828">
        <v>0.99697558504052397</v>
      </c>
      <c r="S1828" t="s">
        <v>8230</v>
      </c>
      <c r="T1828" t="s">
        <v>12802</v>
      </c>
      <c r="U1828" t="s">
        <v>12802</v>
      </c>
      <c r="V1828" t="s">
        <v>12802</v>
      </c>
      <c r="W1828" t="s">
        <v>14590</v>
      </c>
      <c r="X1828">
        <v>11</v>
      </c>
      <c r="Y1828" t="s">
        <v>20895</v>
      </c>
      <c r="Z1828" t="s">
        <v>27146</v>
      </c>
      <c r="AA1828">
        <v>0.38000920053011139</v>
      </c>
      <c r="AB1828" t="str">
        <f>HYPERLINK("Melting_Curves/meltCurve_O95104_3_SCAF4.pdf", "Melting_Curves/meltCurve_O95104_3_SCAF4.pdf")</f>
        <v>Melting_Curves/meltCurve_O95104_3_SCAF4.pdf</v>
      </c>
    </row>
    <row r="1829" spans="1:28" x14ac:dyDescent="0.25">
      <c r="A1829" t="s">
        <v>1833</v>
      </c>
      <c r="B1829">
        <v>0.99542014353169495</v>
      </c>
      <c r="C1829">
        <v>0.97423724306487403</v>
      </c>
      <c r="D1829">
        <v>0.95351802089028204</v>
      </c>
      <c r="E1829">
        <v>0.85382524562480699</v>
      </c>
      <c r="F1829">
        <v>0.70029938762733401</v>
      </c>
      <c r="G1829">
        <v>0.48301866041472102</v>
      </c>
      <c r="H1829">
        <v>0.386985638339223</v>
      </c>
      <c r="I1829">
        <v>0.36852678339278899</v>
      </c>
      <c r="J1829">
        <v>0.58152880979233101</v>
      </c>
      <c r="K1829">
        <v>0.65217818941884098</v>
      </c>
      <c r="L1829">
        <v>1273.2784860122499</v>
      </c>
      <c r="M1829">
        <v>26.167435226099101</v>
      </c>
      <c r="N1829">
        <v>57.505181523407003</v>
      </c>
      <c r="O1829">
        <v>48.377382660729403</v>
      </c>
      <c r="P1829">
        <v>-6.8820800703486895E-2</v>
      </c>
      <c r="Q1829">
        <v>0.491072348623941</v>
      </c>
      <c r="R1829">
        <v>0.86700784747875204</v>
      </c>
      <c r="S1829" t="s">
        <v>8231</v>
      </c>
      <c r="T1829" t="s">
        <v>12802</v>
      </c>
      <c r="U1829" t="s">
        <v>12802</v>
      </c>
      <c r="V1829" t="s">
        <v>12802</v>
      </c>
      <c r="W1829" t="s">
        <v>14591</v>
      </c>
      <c r="X1829">
        <v>8</v>
      </c>
      <c r="Y1829" t="s">
        <v>20896</v>
      </c>
      <c r="Z1829" t="s">
        <v>27147</v>
      </c>
      <c r="AA1829">
        <v>0.69285921056712996</v>
      </c>
      <c r="AB1829" t="str">
        <f>HYPERLINK("Melting_Curves/meltCurve_O95139_NDUFB6.pdf", "Melting_Curves/meltCurve_O95139_NDUFB6.pdf")</f>
        <v>Melting_Curves/meltCurve_O95139_NDUFB6.pdf</v>
      </c>
    </row>
    <row r="1830" spans="1:28" x14ac:dyDescent="0.25">
      <c r="A1830" t="s">
        <v>1834</v>
      </c>
      <c r="B1830">
        <v>0.99542014353169495</v>
      </c>
      <c r="C1830">
        <v>1.0061956136677701</v>
      </c>
      <c r="D1830">
        <v>0.99880596402589605</v>
      </c>
      <c r="E1830">
        <v>0.83287572390450204</v>
      </c>
      <c r="F1830">
        <v>0.46827594951708701</v>
      </c>
      <c r="G1830">
        <v>0.16008314249259101</v>
      </c>
      <c r="H1830">
        <v>8.9596837241419605E-2</v>
      </c>
      <c r="I1830">
        <v>6.3573809999042302E-2</v>
      </c>
      <c r="J1830">
        <v>8.7068599138872799E-2</v>
      </c>
      <c r="K1830">
        <v>6.9433190489352301E-2</v>
      </c>
      <c r="L1830">
        <v>1283.02682389546</v>
      </c>
      <c r="M1830">
        <v>25.8962491206198</v>
      </c>
      <c r="N1830">
        <v>49.820080693173999</v>
      </c>
      <c r="O1830">
        <v>49.252276268598997</v>
      </c>
      <c r="P1830">
        <v>-0.12268896554558301</v>
      </c>
      <c r="Q1830">
        <v>6.6638549703537095E-2</v>
      </c>
      <c r="R1830">
        <v>0.99919102068159704</v>
      </c>
      <c r="S1830" t="s">
        <v>8232</v>
      </c>
      <c r="T1830" t="s">
        <v>12802</v>
      </c>
      <c r="U1830" t="s">
        <v>12802</v>
      </c>
      <c r="V1830" t="s">
        <v>12802</v>
      </c>
      <c r="W1830" t="s">
        <v>14592</v>
      </c>
      <c r="X1830">
        <v>21</v>
      </c>
      <c r="Y1830" t="s">
        <v>20897</v>
      </c>
      <c r="Z1830" t="s">
        <v>27148</v>
      </c>
      <c r="AA1830">
        <v>0.46452244864887221</v>
      </c>
      <c r="AB1830" t="str">
        <f>HYPERLINK("Melting_Curves/meltCurve_O95140_MFN2.pdf", "Melting_Curves/meltCurve_O95140_MFN2.pdf")</f>
        <v>Melting_Curves/meltCurve_O95140_MFN2.pdf</v>
      </c>
    </row>
    <row r="1831" spans="1:28" x14ac:dyDescent="0.25">
      <c r="A1831" t="s">
        <v>1835</v>
      </c>
      <c r="B1831">
        <v>0.99542014353169495</v>
      </c>
      <c r="C1831">
        <v>0.95669447639934602</v>
      </c>
      <c r="D1831">
        <v>0.959830288582457</v>
      </c>
      <c r="E1831">
        <v>0.78337861946693699</v>
      </c>
      <c r="F1831">
        <v>0.33765686840819797</v>
      </c>
      <c r="G1831">
        <v>0.13824201868480099</v>
      </c>
      <c r="H1831">
        <v>8.9093342209426593E-2</v>
      </c>
      <c r="I1831">
        <v>6.3659632105672104E-2</v>
      </c>
      <c r="J1831">
        <v>6.9472518634036098E-2</v>
      </c>
      <c r="K1831">
        <v>6.8237911392995995E-2</v>
      </c>
      <c r="L1831">
        <v>1301.9716605771901</v>
      </c>
      <c r="M1831">
        <v>26.795469308757099</v>
      </c>
      <c r="N1831">
        <v>48.854857843319301</v>
      </c>
      <c r="O1831">
        <v>48.321040032912101</v>
      </c>
      <c r="P1831">
        <v>-0.129236467038263</v>
      </c>
      <c r="Q1831">
        <v>6.7786174390571996E-2</v>
      </c>
      <c r="R1831">
        <v>0.99869990112429596</v>
      </c>
      <c r="S1831" t="s">
        <v>8233</v>
      </c>
      <c r="T1831" t="s">
        <v>12802</v>
      </c>
      <c r="U1831" t="s">
        <v>12802</v>
      </c>
      <c r="V1831" t="s">
        <v>12802</v>
      </c>
      <c r="W1831" t="s">
        <v>14593</v>
      </c>
      <c r="X1831">
        <v>26</v>
      </c>
      <c r="Y1831" t="s">
        <v>20898</v>
      </c>
      <c r="Z1831" t="s">
        <v>27149</v>
      </c>
      <c r="AA1831">
        <v>0.4348963366441983</v>
      </c>
      <c r="AB1831" t="str">
        <f>HYPERLINK("Melting_Curves/meltCurve_O95155_2_UBE4B.pdf", "Melting_Curves/meltCurve_O95155_2_UBE4B.pdf")</f>
        <v>Melting_Curves/meltCurve_O95155_2_UBE4B.pdf</v>
      </c>
    </row>
    <row r="1832" spans="1:28" x14ac:dyDescent="0.25">
      <c r="A1832" t="s">
        <v>1836</v>
      </c>
      <c r="B1832">
        <v>0.99542014353169495</v>
      </c>
      <c r="C1832">
        <v>0.98607596304448297</v>
      </c>
      <c r="D1832">
        <v>1.1469518498393401</v>
      </c>
      <c r="E1832">
        <v>0.92009403565291503</v>
      </c>
      <c r="F1832">
        <v>0.68469393480231899</v>
      </c>
      <c r="G1832">
        <v>0.25132621202290301</v>
      </c>
      <c r="H1832">
        <v>9.7790574432551999E-2</v>
      </c>
      <c r="I1832">
        <v>5.6113725322878102E-2</v>
      </c>
      <c r="J1832">
        <v>4.7694689278692498E-2</v>
      </c>
      <c r="K1832">
        <v>5.1328703514894901E-2</v>
      </c>
      <c r="L1832">
        <v>1464.35341319231</v>
      </c>
      <c r="M1832">
        <v>28.496452227947799</v>
      </c>
      <c r="N1832">
        <v>51.567827994412497</v>
      </c>
      <c r="O1832">
        <v>51.1361529253249</v>
      </c>
      <c r="P1832">
        <v>-0.132701045352939</v>
      </c>
      <c r="Q1832">
        <v>4.7493120082725201E-2</v>
      </c>
      <c r="R1832">
        <v>0.98758785986477904</v>
      </c>
      <c r="S1832" t="s">
        <v>8234</v>
      </c>
      <c r="T1832" t="s">
        <v>12802</v>
      </c>
      <c r="U1832" t="s">
        <v>12802</v>
      </c>
      <c r="V1832" t="s">
        <v>12802</v>
      </c>
      <c r="W1832" t="s">
        <v>14594</v>
      </c>
      <c r="X1832">
        <v>6</v>
      </c>
      <c r="Y1832" t="s">
        <v>20899</v>
      </c>
      <c r="Z1832" t="s">
        <v>27150</v>
      </c>
      <c r="AA1832">
        <v>0.51087744474486729</v>
      </c>
      <c r="AB1832" t="str">
        <f>HYPERLINK("Melting_Curves/meltCurve_O95159_ZFPL1.pdf", "Melting_Curves/meltCurve_O95159_ZFPL1.pdf")</f>
        <v>Melting_Curves/meltCurve_O95159_ZFPL1.pdf</v>
      </c>
    </row>
    <row r="1833" spans="1:28" x14ac:dyDescent="0.25">
      <c r="A1833" t="s">
        <v>1837</v>
      </c>
      <c r="B1833">
        <v>0.99542014353169495</v>
      </c>
      <c r="C1833">
        <v>0.83037330635783202</v>
      </c>
      <c r="D1833">
        <v>0.85892872010246402</v>
      </c>
      <c r="E1833">
        <v>0.62497765858570398</v>
      </c>
      <c r="F1833">
        <v>0.49978615812639599</v>
      </c>
      <c r="G1833">
        <v>0.239773753957463</v>
      </c>
      <c r="H1833">
        <v>0.15373011197672901</v>
      </c>
      <c r="I1833">
        <v>5.8031274889466702E-2</v>
      </c>
      <c r="J1833">
        <v>4.8870990875869602E-2</v>
      </c>
      <c r="K1833">
        <v>4.7076635873571998E-2</v>
      </c>
      <c r="L1833">
        <v>559.03543640929399</v>
      </c>
      <c r="M1833">
        <v>11.405365977135</v>
      </c>
      <c r="N1833">
        <v>49.015121512445702</v>
      </c>
      <c r="O1833">
        <v>47.580875321174602</v>
      </c>
      <c r="P1833">
        <v>-5.9943793750711502E-2</v>
      </c>
      <c r="Q1833">
        <v>0</v>
      </c>
      <c r="R1833">
        <v>0.98518593959203804</v>
      </c>
      <c r="S1833" t="s">
        <v>8235</v>
      </c>
      <c r="T1833" t="s">
        <v>12802</v>
      </c>
      <c r="U1833" t="s">
        <v>12802</v>
      </c>
      <c r="V1833" t="s">
        <v>12802</v>
      </c>
      <c r="W1833" t="s">
        <v>14595</v>
      </c>
      <c r="X1833">
        <v>26</v>
      </c>
      <c r="Y1833" t="s">
        <v>20900</v>
      </c>
      <c r="Z1833" t="s">
        <v>27151</v>
      </c>
      <c r="AA1833">
        <v>0.43221568298448909</v>
      </c>
      <c r="AB1833" t="str">
        <f>HYPERLINK("Melting_Curves/meltCurve_O95163_IKBKAP.pdf", "Melting_Curves/meltCurve_O95163_IKBKAP.pdf")</f>
        <v>Melting_Curves/meltCurve_O95163_IKBKAP.pdf</v>
      </c>
    </row>
    <row r="1834" spans="1:28" x14ac:dyDescent="0.25">
      <c r="A1834" t="s">
        <v>1838</v>
      </c>
      <c r="B1834">
        <v>0.99542014353169495</v>
      </c>
      <c r="C1834">
        <v>0.92871845376976103</v>
      </c>
      <c r="D1834">
        <v>1.0109579301551099</v>
      </c>
      <c r="E1834">
        <v>0.74153998001802002</v>
      </c>
      <c r="F1834">
        <v>0.52940604657607704</v>
      </c>
      <c r="G1834">
        <v>0.28490824522810299</v>
      </c>
      <c r="H1834">
        <v>0.30072214157847499</v>
      </c>
      <c r="I1834">
        <v>0.37858686894513399</v>
      </c>
      <c r="J1834">
        <v>0.75151552577819203</v>
      </c>
      <c r="K1834">
        <v>0.74560413981115503</v>
      </c>
      <c r="L1834">
        <v>2579.5551017950802</v>
      </c>
      <c r="M1834">
        <v>55.395648431236097</v>
      </c>
      <c r="N1834">
        <v>51.219492466367299</v>
      </c>
      <c r="O1834">
        <v>46.505457458690003</v>
      </c>
      <c r="P1834">
        <v>-0.14986643753538501</v>
      </c>
      <c r="Q1834">
        <v>0.49674001789126698</v>
      </c>
      <c r="R1834">
        <v>0.66923966528189605</v>
      </c>
      <c r="S1834" t="s">
        <v>8236</v>
      </c>
      <c r="T1834" t="s">
        <v>12802</v>
      </c>
      <c r="U1834" t="s">
        <v>12802</v>
      </c>
      <c r="V1834" t="s">
        <v>12802</v>
      </c>
      <c r="W1834" t="s">
        <v>14596</v>
      </c>
      <c r="X1834">
        <v>2</v>
      </c>
      <c r="Y1834" t="s">
        <v>20901</v>
      </c>
      <c r="Z1834" t="s">
        <v>27152</v>
      </c>
      <c r="AA1834">
        <v>0.65805453609391285</v>
      </c>
      <c r="AB1834" t="str">
        <f>HYPERLINK("Melting_Curves/meltCurve_O95167_NDUFA3.pdf", "Melting_Curves/meltCurve_O95167_NDUFA3.pdf")</f>
        <v>Melting_Curves/meltCurve_O95167_NDUFA3.pdf</v>
      </c>
    </row>
    <row r="1835" spans="1:28" x14ac:dyDescent="0.25">
      <c r="A1835" t="s">
        <v>1839</v>
      </c>
      <c r="B1835">
        <v>0.99542014353169495</v>
      </c>
      <c r="C1835">
        <v>0.67113598340093905</v>
      </c>
      <c r="D1835">
        <v>0.88630636663655105</v>
      </c>
      <c r="E1835">
        <v>0.540211357354899</v>
      </c>
      <c r="F1835">
        <v>0.46132439333981301</v>
      </c>
      <c r="G1835">
        <v>0.17125682470671999</v>
      </c>
      <c r="H1835">
        <v>6.2169538031947198E-2</v>
      </c>
      <c r="I1835">
        <v>3.5148488020499899E-2</v>
      </c>
      <c r="J1835">
        <v>3.5739259781932702E-2</v>
      </c>
      <c r="K1835">
        <v>2.3346963164045099E-2</v>
      </c>
      <c r="L1835">
        <v>545.28534031523202</v>
      </c>
      <c r="M1835">
        <v>11.443458045245499</v>
      </c>
      <c r="N1835">
        <v>47.650398694159698</v>
      </c>
      <c r="O1835">
        <v>46.2649237777145</v>
      </c>
      <c r="P1835">
        <v>-6.18545109954661E-2</v>
      </c>
      <c r="Q1835">
        <v>0</v>
      </c>
      <c r="R1835">
        <v>0.93212547278525704</v>
      </c>
      <c r="S1835" t="s">
        <v>8237</v>
      </c>
      <c r="T1835" t="s">
        <v>12802</v>
      </c>
      <c r="U1835" t="s">
        <v>12802</v>
      </c>
      <c r="V1835" t="s">
        <v>12802</v>
      </c>
      <c r="W1835" t="s">
        <v>14597</v>
      </c>
      <c r="X1835">
        <v>6</v>
      </c>
      <c r="Y1835" t="s">
        <v>20902</v>
      </c>
      <c r="Z1835" t="s">
        <v>27153</v>
      </c>
      <c r="AA1835">
        <v>0.38918767528193088</v>
      </c>
      <c r="AB1835" t="str">
        <f>HYPERLINK("Melting_Curves/meltCurve_O95168_NDUFB4.pdf", "Melting_Curves/meltCurve_O95168_NDUFB4.pdf")</f>
        <v>Melting_Curves/meltCurve_O95168_NDUFB4.pdf</v>
      </c>
    </row>
    <row r="1836" spans="1:28" x14ac:dyDescent="0.25">
      <c r="A1836" t="s">
        <v>1840</v>
      </c>
      <c r="B1836">
        <v>0.99542014353169495</v>
      </c>
      <c r="C1836">
        <v>0.94486025621800795</v>
      </c>
      <c r="D1836">
        <v>1.03430076410715</v>
      </c>
      <c r="E1836">
        <v>0.78444539603963004</v>
      </c>
      <c r="F1836">
        <v>0.67816567481027701</v>
      </c>
      <c r="G1836">
        <v>0.42654281182936699</v>
      </c>
      <c r="H1836">
        <v>0.29441933146177601</v>
      </c>
      <c r="I1836">
        <v>0.220527312159085</v>
      </c>
      <c r="J1836">
        <v>0.27102650573449499</v>
      </c>
      <c r="K1836">
        <v>0.32194973228914198</v>
      </c>
      <c r="L1836">
        <v>913.39819278899904</v>
      </c>
      <c r="M1836">
        <v>18.172647225514101</v>
      </c>
      <c r="N1836">
        <v>52.2660162139966</v>
      </c>
      <c r="O1836">
        <v>49.665491408446599</v>
      </c>
      <c r="P1836">
        <v>-6.8528610996257205E-2</v>
      </c>
      <c r="Q1836">
        <v>0.25088637773994499</v>
      </c>
      <c r="R1836">
        <v>0.97637034043219495</v>
      </c>
      <c r="S1836" t="s">
        <v>8238</v>
      </c>
      <c r="T1836" t="s">
        <v>12802</v>
      </c>
      <c r="U1836" t="s">
        <v>12802</v>
      </c>
      <c r="V1836" t="s">
        <v>12802</v>
      </c>
      <c r="W1836" t="s">
        <v>14598</v>
      </c>
      <c r="X1836">
        <v>2</v>
      </c>
      <c r="Y1836" t="s">
        <v>20903</v>
      </c>
      <c r="Z1836" t="s">
        <v>27154</v>
      </c>
      <c r="AA1836">
        <v>0.59363161029441536</v>
      </c>
      <c r="AB1836" t="str">
        <f>HYPERLINK("Melting_Curves/meltCurve_O95182_NDUFA7.pdf", "Melting_Curves/meltCurve_O95182_NDUFA7.pdf")</f>
        <v>Melting_Curves/meltCurve_O95182_NDUFA7.pdf</v>
      </c>
    </row>
    <row r="1837" spans="1:28" x14ac:dyDescent="0.25">
      <c r="A1837" t="s">
        <v>1841</v>
      </c>
      <c r="B1837">
        <v>0.99542014353169495</v>
      </c>
      <c r="C1837">
        <v>1.01715226062014</v>
      </c>
      <c r="D1837">
        <v>1.03957504032993</v>
      </c>
      <c r="E1837">
        <v>0.97523840514451199</v>
      </c>
      <c r="F1837">
        <v>0.752303190078073</v>
      </c>
      <c r="G1837">
        <v>0.56550736982400096</v>
      </c>
      <c r="H1837">
        <v>0.42922144423432701</v>
      </c>
      <c r="I1837">
        <v>0.327251068104981</v>
      </c>
      <c r="J1837">
        <v>0.42036661080286197</v>
      </c>
      <c r="K1837">
        <v>0.43006604843698998</v>
      </c>
      <c r="L1837">
        <v>1289.3344027882399</v>
      </c>
      <c r="M1837">
        <v>25.1337239328981</v>
      </c>
      <c r="N1837">
        <v>54.625808327498497</v>
      </c>
      <c r="O1837">
        <v>50.977538024841103</v>
      </c>
      <c r="P1837">
        <v>-7.4966065227308601E-2</v>
      </c>
      <c r="Q1837">
        <v>0.39180757702917701</v>
      </c>
      <c r="R1837">
        <v>0.98447386418128202</v>
      </c>
      <c r="S1837" t="s">
        <v>8239</v>
      </c>
      <c r="T1837" t="s">
        <v>12802</v>
      </c>
      <c r="U1837" t="s">
        <v>12802</v>
      </c>
      <c r="V1837" t="s">
        <v>12802</v>
      </c>
      <c r="W1837" t="s">
        <v>14599</v>
      </c>
      <c r="X1837">
        <v>11</v>
      </c>
      <c r="Y1837" t="s">
        <v>20904</v>
      </c>
      <c r="Z1837" t="s">
        <v>27155</v>
      </c>
      <c r="AA1837">
        <v>0.68701490337435156</v>
      </c>
      <c r="AB1837" t="str">
        <f>HYPERLINK("Melting_Curves/meltCurve_O95197_2_RTN3.pdf", "Melting_Curves/meltCurve_O95197_2_RTN3.pdf")</f>
        <v>Melting_Curves/meltCurve_O95197_2_RTN3.pdf</v>
      </c>
    </row>
    <row r="1838" spans="1:28" x14ac:dyDescent="0.25">
      <c r="A1838" t="s">
        <v>1842</v>
      </c>
      <c r="B1838">
        <v>0.99542014353169495</v>
      </c>
      <c r="C1838">
        <v>1.0283922722752401</v>
      </c>
      <c r="D1838">
        <v>0.92886362396755795</v>
      </c>
      <c r="E1838">
        <v>0.92922385884242198</v>
      </c>
      <c r="F1838">
        <v>0.734529621004401</v>
      </c>
      <c r="G1838">
        <v>0.38788013608799998</v>
      </c>
      <c r="H1838">
        <v>0.117081122865903</v>
      </c>
      <c r="I1838">
        <v>5.9264797449555401E-2</v>
      </c>
      <c r="J1838">
        <v>5.0271454608743202E-2</v>
      </c>
      <c r="K1838">
        <v>5.58331169661275E-2</v>
      </c>
      <c r="L1838">
        <v>1183.50911186387</v>
      </c>
      <c r="M1838">
        <v>22.6131527332481</v>
      </c>
      <c r="N1838">
        <v>52.482175161392199</v>
      </c>
      <c r="O1838">
        <v>51.9330588582216</v>
      </c>
      <c r="P1838">
        <v>-0.10556342163599899</v>
      </c>
      <c r="Q1838">
        <v>3.0277343958907601E-2</v>
      </c>
      <c r="R1838">
        <v>0.99598442915686602</v>
      </c>
      <c r="S1838" t="s">
        <v>8240</v>
      </c>
      <c r="T1838" t="s">
        <v>12802</v>
      </c>
      <c r="U1838" t="s">
        <v>12802</v>
      </c>
      <c r="V1838" t="s">
        <v>12802</v>
      </c>
      <c r="W1838" t="s">
        <v>14600</v>
      </c>
      <c r="X1838">
        <v>29</v>
      </c>
      <c r="Y1838" t="s">
        <v>20905</v>
      </c>
      <c r="Z1838" t="s">
        <v>27156</v>
      </c>
      <c r="AA1838">
        <v>0.53625314700137194</v>
      </c>
      <c r="AB1838" t="str">
        <f>HYPERLINK("Melting_Curves/meltCurve_O95202_LETM1.pdf", "Melting_Curves/meltCurve_O95202_LETM1.pdf")</f>
        <v>Melting_Curves/meltCurve_O95202_LETM1.pdf</v>
      </c>
    </row>
    <row r="1839" spans="1:28" x14ac:dyDescent="0.25">
      <c r="A1839" t="s">
        <v>1843</v>
      </c>
      <c r="B1839">
        <v>0.99542014353169495</v>
      </c>
      <c r="C1839">
        <v>0.99114528426559501</v>
      </c>
      <c r="D1839">
        <v>0.83649167612767805</v>
      </c>
      <c r="E1839">
        <v>0.81495766050031704</v>
      </c>
      <c r="F1839">
        <v>0.68753618018337104</v>
      </c>
      <c r="G1839">
        <v>0.65677335329886499</v>
      </c>
      <c r="H1839">
        <v>0.51838431831325305</v>
      </c>
      <c r="I1839">
        <v>0.521671847619534</v>
      </c>
      <c r="J1839">
        <v>0.875485634239762</v>
      </c>
      <c r="K1839">
        <v>1.1329662599488599</v>
      </c>
      <c r="L1839">
        <v>1263.04619775626</v>
      </c>
      <c r="M1839">
        <v>29.5674284936721</v>
      </c>
      <c r="O1839">
        <v>42.523514430173499</v>
      </c>
      <c r="P1839">
        <v>-4.5418678988174997E-2</v>
      </c>
      <c r="Q1839">
        <v>0.73871946340349603</v>
      </c>
      <c r="R1839">
        <v>0.259075414870376</v>
      </c>
      <c r="S1839" t="s">
        <v>8241</v>
      </c>
      <c r="T1839" t="s">
        <v>12802</v>
      </c>
      <c r="U1839" t="s">
        <v>12802</v>
      </c>
      <c r="V1839" t="s">
        <v>12802</v>
      </c>
      <c r="W1839" t="s">
        <v>14601</v>
      </c>
      <c r="X1839">
        <v>18</v>
      </c>
      <c r="Y1839" t="s">
        <v>20906</v>
      </c>
      <c r="Z1839" t="s">
        <v>27157</v>
      </c>
      <c r="AA1839">
        <v>0.79002941027872831</v>
      </c>
      <c r="AB1839" t="str">
        <f>HYPERLINK("Melting_Curves/meltCurve_O95218_2_ZRANB2.pdf", "Melting_Curves/meltCurve_O95218_2_ZRANB2.pdf")</f>
        <v>Melting_Curves/meltCurve_O95218_2_ZRANB2.pdf</v>
      </c>
    </row>
    <row r="1840" spans="1:28" x14ac:dyDescent="0.25">
      <c r="A1840" t="s">
        <v>1844</v>
      </c>
      <c r="B1840">
        <v>0.99542014353169495</v>
      </c>
      <c r="C1840">
        <v>0.95525726523894805</v>
      </c>
      <c r="D1840">
        <v>0.83080887790206503</v>
      </c>
      <c r="E1840">
        <v>0.57905612621445701</v>
      </c>
      <c r="F1840">
        <v>0.30842202425829401</v>
      </c>
      <c r="G1840">
        <v>0.178535469687575</v>
      </c>
      <c r="H1840">
        <v>0.112659665984834</v>
      </c>
      <c r="I1840">
        <v>7.7867391998331495E-2</v>
      </c>
      <c r="J1840">
        <v>9.7867009703071398E-2</v>
      </c>
      <c r="K1840">
        <v>9.9944801497869495E-2</v>
      </c>
      <c r="L1840">
        <v>792.94665227431994</v>
      </c>
      <c r="M1840">
        <v>16.881232798873501</v>
      </c>
      <c r="N1840">
        <v>47.455521791542601</v>
      </c>
      <c r="O1840">
        <v>46.327781395437498</v>
      </c>
      <c r="P1840">
        <v>-8.3905487287606606E-2</v>
      </c>
      <c r="Q1840">
        <v>7.8998830071645307E-2</v>
      </c>
      <c r="R1840">
        <v>0.99926987091534503</v>
      </c>
      <c r="S1840" t="s">
        <v>8242</v>
      </c>
      <c r="T1840" t="s">
        <v>12802</v>
      </c>
      <c r="U1840" t="s">
        <v>12802</v>
      </c>
      <c r="V1840" t="s">
        <v>12802</v>
      </c>
      <c r="W1840" t="s">
        <v>14602</v>
      </c>
      <c r="X1840">
        <v>8</v>
      </c>
      <c r="Y1840" t="s">
        <v>20907</v>
      </c>
      <c r="Z1840" t="s">
        <v>27158</v>
      </c>
      <c r="AA1840">
        <v>0.40184128296768429</v>
      </c>
      <c r="AB1840" t="str">
        <f>HYPERLINK("Melting_Curves/meltCurve_O95229_ZWINT.pdf", "Melting_Curves/meltCurve_O95229_ZWINT.pdf")</f>
        <v>Melting_Curves/meltCurve_O95229_ZWINT.pdf</v>
      </c>
    </row>
    <row r="1841" spans="1:28" x14ac:dyDescent="0.25">
      <c r="A1841" t="s">
        <v>1845</v>
      </c>
      <c r="B1841">
        <v>0.99542014353169495</v>
      </c>
      <c r="C1841">
        <v>1.1378995208348699</v>
      </c>
      <c r="D1841">
        <v>1.0802623999511101</v>
      </c>
      <c r="E1841">
        <v>1.15467343240569</v>
      </c>
      <c r="F1841">
        <v>1.0041363968445101</v>
      </c>
      <c r="G1841">
        <v>0.60327166455280401</v>
      </c>
      <c r="H1841">
        <v>6.8530414963142605E-2</v>
      </c>
      <c r="I1841">
        <v>2.4039254217682899E-2</v>
      </c>
      <c r="J1841">
        <v>1.27822661383E-2</v>
      </c>
      <c r="K1841">
        <v>1.52978191509042E-2</v>
      </c>
      <c r="L1841">
        <v>2972.68154677132</v>
      </c>
      <c r="M1841">
        <v>54.8572826252868</v>
      </c>
      <c r="N1841">
        <v>54.226525606300903</v>
      </c>
      <c r="O1841">
        <v>54.117500973521601</v>
      </c>
      <c r="P1841">
        <v>-0.248745162042076</v>
      </c>
      <c r="Q1841">
        <v>1.84378297477449E-2</v>
      </c>
      <c r="R1841">
        <v>0.97964324581925299</v>
      </c>
      <c r="S1841" t="s">
        <v>8243</v>
      </c>
      <c r="T1841" t="s">
        <v>12802</v>
      </c>
      <c r="U1841" t="s">
        <v>12802</v>
      </c>
      <c r="V1841" t="s">
        <v>12802</v>
      </c>
      <c r="W1841" t="s">
        <v>14603</v>
      </c>
      <c r="X1841">
        <v>1</v>
      </c>
      <c r="Y1841" t="s">
        <v>20908</v>
      </c>
      <c r="Z1841" t="s">
        <v>27159</v>
      </c>
      <c r="AA1841">
        <v>0.58279816713061872</v>
      </c>
      <c r="AB1841" t="str">
        <f>HYPERLINK("Melting_Curves/meltCurve_O95231_VENTX.pdf", "Melting_Curves/meltCurve_O95231_VENTX.pdf")</f>
        <v>Melting_Curves/meltCurve_O95231_VENTX.pdf</v>
      </c>
    </row>
    <row r="1842" spans="1:28" x14ac:dyDescent="0.25">
      <c r="A1842" t="s">
        <v>1846</v>
      </c>
      <c r="B1842">
        <v>0.99542014353169495</v>
      </c>
      <c r="C1842">
        <v>1.0703061742300799</v>
      </c>
      <c r="D1842">
        <v>0.99634105595098099</v>
      </c>
      <c r="E1842">
        <v>0.97954544352226902</v>
      </c>
      <c r="F1842">
        <v>0.76743380712479004</v>
      </c>
      <c r="G1842">
        <v>0.481107352502051</v>
      </c>
      <c r="H1842">
        <v>0.15645988054711699</v>
      </c>
      <c r="I1842">
        <v>6.9761316012747598E-2</v>
      </c>
      <c r="J1842">
        <v>6.2753482645980393E-2</v>
      </c>
      <c r="K1842">
        <v>5.3910355894070297E-2</v>
      </c>
      <c r="L1842">
        <v>1210.6078670003801</v>
      </c>
      <c r="M1842">
        <v>22.788378407135198</v>
      </c>
      <c r="N1842">
        <v>53.287321961663402</v>
      </c>
      <c r="O1842">
        <v>52.719902720926498</v>
      </c>
      <c r="P1842">
        <v>-0.104418575786659</v>
      </c>
      <c r="Q1842">
        <v>3.3747786197493003E-2</v>
      </c>
      <c r="R1842">
        <v>0.99523491480814796</v>
      </c>
      <c r="S1842" t="s">
        <v>8244</v>
      </c>
      <c r="T1842" t="s">
        <v>12802</v>
      </c>
      <c r="U1842" t="s">
        <v>12802</v>
      </c>
      <c r="V1842" t="s">
        <v>12802</v>
      </c>
      <c r="W1842" t="s">
        <v>14604</v>
      </c>
      <c r="X1842">
        <v>21</v>
      </c>
      <c r="Y1842" t="s">
        <v>20909</v>
      </c>
      <c r="Z1842" t="s">
        <v>27160</v>
      </c>
      <c r="AA1842">
        <v>0.56301883836265965</v>
      </c>
      <c r="AB1842" t="str">
        <f>HYPERLINK("Melting_Curves/meltCurve_O95232_LUC7L3.pdf", "Melting_Curves/meltCurve_O95232_LUC7L3.pdf")</f>
        <v>Melting_Curves/meltCurve_O95232_LUC7L3.pdf</v>
      </c>
    </row>
    <row r="1843" spans="1:28" x14ac:dyDescent="0.25">
      <c r="A1843" t="s">
        <v>1847</v>
      </c>
      <c r="B1843">
        <v>0.99542014353169495</v>
      </c>
      <c r="C1843">
        <v>0.90150544933527099</v>
      </c>
      <c r="D1843">
        <v>1.0018095984053501</v>
      </c>
      <c r="E1843">
        <v>0.28736659102602902</v>
      </c>
      <c r="F1843">
        <v>0.16760306592561999</v>
      </c>
      <c r="G1843">
        <v>9.5129257877745704E-2</v>
      </c>
      <c r="H1843">
        <v>6.1895520340536601E-2</v>
      </c>
      <c r="I1843">
        <v>4.3378969514572902E-2</v>
      </c>
      <c r="J1843">
        <v>4.7395998426052403E-2</v>
      </c>
      <c r="K1843">
        <v>4.7066611981459103E-2</v>
      </c>
      <c r="L1843">
        <v>2971.9424612303501</v>
      </c>
      <c r="M1843">
        <v>64.974174425758903</v>
      </c>
      <c r="N1843">
        <v>45.857084534739201</v>
      </c>
      <c r="O1843">
        <v>45.697100544029198</v>
      </c>
      <c r="P1843">
        <v>-0.32837041947677298</v>
      </c>
      <c r="Q1843">
        <v>7.6213295776493106E-2</v>
      </c>
      <c r="R1843">
        <v>0.98683760165790502</v>
      </c>
      <c r="S1843" t="s">
        <v>8245</v>
      </c>
      <c r="T1843" t="s">
        <v>12802</v>
      </c>
      <c r="U1843" t="s">
        <v>12802</v>
      </c>
      <c r="V1843" t="s">
        <v>12802</v>
      </c>
      <c r="W1843" t="s">
        <v>14605</v>
      </c>
      <c r="X1843">
        <v>36</v>
      </c>
      <c r="Y1843" t="s">
        <v>20910</v>
      </c>
      <c r="Z1843" t="s">
        <v>27161</v>
      </c>
      <c r="AA1843">
        <v>0.34645562827588289</v>
      </c>
      <c r="AB1843" t="str">
        <f>HYPERLINK("Melting_Curves/meltCurve_O95239_KIF4A.pdf", "Melting_Curves/meltCurve_O95239_KIF4A.pdf")</f>
        <v>Melting_Curves/meltCurve_O95239_KIF4A.pdf</v>
      </c>
    </row>
    <row r="1844" spans="1:28" x14ac:dyDescent="0.25">
      <c r="A1844" t="s">
        <v>1848</v>
      </c>
      <c r="B1844">
        <v>0.99542014353169495</v>
      </c>
      <c r="C1844">
        <v>0.89129463414838705</v>
      </c>
      <c r="D1844">
        <v>0.82132333010499703</v>
      </c>
      <c r="E1844">
        <v>0.28330638107086098</v>
      </c>
      <c r="F1844">
        <v>0.190896604231658</v>
      </c>
      <c r="G1844">
        <v>7.6106101582225305E-2</v>
      </c>
      <c r="H1844">
        <v>6.4225181426991004E-2</v>
      </c>
      <c r="I1844">
        <v>3.6730009870003098E-2</v>
      </c>
      <c r="J1844">
        <v>3.1541795184097603E-2</v>
      </c>
      <c r="K1844">
        <v>1.2952016383085E-2</v>
      </c>
      <c r="L1844">
        <v>1060.76697189218</v>
      </c>
      <c r="M1844">
        <v>23.549179401715001</v>
      </c>
      <c r="N1844">
        <v>45.224692998243398</v>
      </c>
      <c r="O1844">
        <v>44.723708366298197</v>
      </c>
      <c r="P1844">
        <v>-0.12575223607813499</v>
      </c>
      <c r="Q1844">
        <v>4.4720880813861899E-2</v>
      </c>
      <c r="R1844">
        <v>0.98788914077521905</v>
      </c>
      <c r="S1844" t="s">
        <v>8246</v>
      </c>
      <c r="T1844" t="s">
        <v>12802</v>
      </c>
      <c r="U1844" t="s">
        <v>12802</v>
      </c>
      <c r="V1844" t="s">
        <v>12802</v>
      </c>
      <c r="W1844" t="s">
        <v>14606</v>
      </c>
      <c r="X1844">
        <v>2</v>
      </c>
      <c r="Y1844" t="s">
        <v>20911</v>
      </c>
      <c r="Z1844" t="s">
        <v>27162</v>
      </c>
      <c r="AA1844">
        <v>0.30978122016341209</v>
      </c>
      <c r="AB1844" t="str">
        <f>HYPERLINK("Melting_Curves/meltCurve_O95251_2_KAT7.pdf", "Melting_Curves/meltCurve_O95251_2_KAT7.pdf")</f>
        <v>Melting_Curves/meltCurve_O95251_2_KAT7.pdf</v>
      </c>
    </row>
    <row r="1845" spans="1:28" x14ac:dyDescent="0.25">
      <c r="A1845" t="s">
        <v>1849</v>
      </c>
      <c r="B1845">
        <v>0.99542014353169495</v>
      </c>
      <c r="C1845">
        <v>0.93893053810994898</v>
      </c>
      <c r="D1845">
        <v>0.89724204825215603</v>
      </c>
      <c r="E1845">
        <v>0.64806543244430503</v>
      </c>
      <c r="F1845">
        <v>0.25912131128574101</v>
      </c>
      <c r="G1845">
        <v>0.123828973627701</v>
      </c>
      <c r="H1845">
        <v>7.6146658187829105E-2</v>
      </c>
      <c r="I1845">
        <v>4.9939896805241801E-2</v>
      </c>
      <c r="J1845">
        <v>5.94574304984197E-2</v>
      </c>
      <c r="K1845">
        <v>5.5844365649063699E-2</v>
      </c>
      <c r="L1845">
        <v>1026.5005427666199</v>
      </c>
      <c r="M1845">
        <v>21.596119209715901</v>
      </c>
      <c r="N1845">
        <v>47.764426643359201</v>
      </c>
      <c r="O1845">
        <v>47.129791607753397</v>
      </c>
      <c r="P1845">
        <v>-0.108838722674862</v>
      </c>
      <c r="Q1845">
        <v>4.9936140978015298E-2</v>
      </c>
      <c r="R1845">
        <v>0.99778704413948904</v>
      </c>
      <c r="S1845" t="s">
        <v>8247</v>
      </c>
      <c r="T1845" t="s">
        <v>12802</v>
      </c>
      <c r="U1845" t="s">
        <v>12802</v>
      </c>
      <c r="V1845" t="s">
        <v>12802</v>
      </c>
      <c r="W1845" t="s">
        <v>14607</v>
      </c>
      <c r="X1845">
        <v>4</v>
      </c>
      <c r="Y1845" t="s">
        <v>20912</v>
      </c>
      <c r="Z1845" t="s">
        <v>27163</v>
      </c>
      <c r="AA1845">
        <v>0.39420019574422471</v>
      </c>
      <c r="AB1845" t="str">
        <f>HYPERLINK("Melting_Curves/meltCurve_O95273_CCNDBP1.pdf", "Melting_Curves/meltCurve_O95273_CCNDBP1.pdf")</f>
        <v>Melting_Curves/meltCurve_O95273_CCNDBP1.pdf</v>
      </c>
    </row>
    <row r="1846" spans="1:28" x14ac:dyDescent="0.25">
      <c r="A1846" t="s">
        <v>1850</v>
      </c>
      <c r="B1846">
        <v>0.99542014353169495</v>
      </c>
      <c r="C1846">
        <v>0.92558270628253103</v>
      </c>
      <c r="D1846">
        <v>1.0673210981652299</v>
      </c>
      <c r="E1846">
        <v>0.83748087352989897</v>
      </c>
      <c r="F1846">
        <v>0.73525303507154605</v>
      </c>
      <c r="G1846">
        <v>0.36166869091119902</v>
      </c>
      <c r="H1846">
        <v>0.183152509252095</v>
      </c>
      <c r="I1846">
        <v>8.5018889994834604E-2</v>
      </c>
      <c r="J1846">
        <v>9.2445480820169706E-2</v>
      </c>
      <c r="K1846">
        <v>9.9435170787174801E-2</v>
      </c>
      <c r="L1846">
        <v>1060.5043752607201</v>
      </c>
      <c r="M1846">
        <v>20.419544449972101</v>
      </c>
      <c r="N1846">
        <v>52.310387321891803</v>
      </c>
      <c r="O1846">
        <v>51.445341392528398</v>
      </c>
      <c r="P1846">
        <v>-9.2482028824263401E-2</v>
      </c>
      <c r="Q1846">
        <v>6.8024931171729294E-2</v>
      </c>
      <c r="R1846">
        <v>0.98588052147831295</v>
      </c>
      <c r="S1846" t="s">
        <v>8248</v>
      </c>
      <c r="T1846" t="s">
        <v>12802</v>
      </c>
      <c r="U1846" t="s">
        <v>12802</v>
      </c>
      <c r="V1846" t="s">
        <v>12802</v>
      </c>
      <c r="W1846" t="s">
        <v>14608</v>
      </c>
      <c r="X1846">
        <v>13</v>
      </c>
      <c r="Y1846" t="s">
        <v>20913</v>
      </c>
      <c r="Z1846" t="s">
        <v>27164</v>
      </c>
      <c r="AA1846">
        <v>0.54367640486255764</v>
      </c>
      <c r="AB1846" t="str">
        <f>HYPERLINK("Melting_Curves/meltCurve_O95292_VAPB.pdf", "Melting_Curves/meltCurve_O95292_VAPB.pdf")</f>
        <v>Melting_Curves/meltCurve_O95292_VAPB.pdf</v>
      </c>
    </row>
    <row r="1847" spans="1:28" x14ac:dyDescent="0.25">
      <c r="A1847" t="s">
        <v>1851</v>
      </c>
      <c r="B1847">
        <v>0.99542014353169495</v>
      </c>
      <c r="C1847">
        <v>0.955599664077044</v>
      </c>
      <c r="D1847">
        <v>0.91002273797079603</v>
      </c>
      <c r="E1847">
        <v>0.89195232292904503</v>
      </c>
      <c r="F1847">
        <v>0.70088913158440003</v>
      </c>
      <c r="G1847">
        <v>0.56522683243447303</v>
      </c>
      <c r="H1847">
        <v>0.29081459634490803</v>
      </c>
      <c r="I1847">
        <v>0.146500925625101</v>
      </c>
      <c r="J1847">
        <v>0.15002245704077999</v>
      </c>
      <c r="K1847">
        <v>0.16178381938676301</v>
      </c>
      <c r="L1847">
        <v>726.88075298474303</v>
      </c>
      <c r="M1847">
        <v>13.6373509422271</v>
      </c>
      <c r="N1847">
        <v>53.830919526066801</v>
      </c>
      <c r="O1847">
        <v>52.193806631593702</v>
      </c>
      <c r="P1847">
        <v>-6.1224730473972602E-2</v>
      </c>
      <c r="Q1847">
        <v>6.2843414405012094E-2</v>
      </c>
      <c r="R1847">
        <v>0.98719460519216595</v>
      </c>
      <c r="S1847" t="s">
        <v>8249</v>
      </c>
      <c r="T1847" t="s">
        <v>12802</v>
      </c>
      <c r="U1847" t="s">
        <v>12802</v>
      </c>
      <c r="V1847" t="s">
        <v>12802</v>
      </c>
      <c r="W1847" t="s">
        <v>14609</v>
      </c>
      <c r="X1847">
        <v>8</v>
      </c>
      <c r="Y1847" t="s">
        <v>20914</v>
      </c>
      <c r="Z1847" t="s">
        <v>27165</v>
      </c>
      <c r="AA1847">
        <v>0.58964486019741513</v>
      </c>
      <c r="AB1847" t="str">
        <f>HYPERLINK("Melting_Curves/meltCurve_O95295_SNAPIN.pdf", "Melting_Curves/meltCurve_O95295_SNAPIN.pdf")</f>
        <v>Melting_Curves/meltCurve_O95295_SNAPIN.pdf</v>
      </c>
    </row>
    <row r="1848" spans="1:28" x14ac:dyDescent="0.25">
      <c r="A1848" t="s">
        <v>1852</v>
      </c>
      <c r="B1848">
        <v>0.99542014353169495</v>
      </c>
      <c r="C1848">
        <v>0.93910964862680002</v>
      </c>
      <c r="D1848">
        <v>0.95815704044060301</v>
      </c>
      <c r="E1848">
        <v>0.88338016170004796</v>
      </c>
      <c r="F1848">
        <v>0.78174844567226398</v>
      </c>
      <c r="G1848">
        <v>0.65333726886240995</v>
      </c>
      <c r="H1848">
        <v>0.52603494930753802</v>
      </c>
      <c r="I1848">
        <v>0.39394116908273402</v>
      </c>
      <c r="J1848">
        <v>0.44083123726800599</v>
      </c>
      <c r="K1848">
        <v>0.43692211943607101</v>
      </c>
      <c r="L1848">
        <v>667.70398560637</v>
      </c>
      <c r="M1848">
        <v>12.7413719502145</v>
      </c>
      <c r="N1848">
        <v>58.574051606496603</v>
      </c>
      <c r="O1848">
        <v>51.163833184133999</v>
      </c>
      <c r="P1848">
        <v>-3.9270551307145803E-2</v>
      </c>
      <c r="Q1848">
        <v>0.36934634927096099</v>
      </c>
      <c r="R1848">
        <v>0.98340897197180999</v>
      </c>
      <c r="S1848" t="s">
        <v>8250</v>
      </c>
      <c r="T1848" t="s">
        <v>12802</v>
      </c>
      <c r="U1848" t="s">
        <v>12802</v>
      </c>
      <c r="V1848" t="s">
        <v>12802</v>
      </c>
      <c r="W1848" t="s">
        <v>14610</v>
      </c>
      <c r="X1848">
        <v>6</v>
      </c>
      <c r="Y1848" t="s">
        <v>20915</v>
      </c>
      <c r="Z1848" t="s">
        <v>27166</v>
      </c>
      <c r="AA1848">
        <v>0.706884473999006</v>
      </c>
      <c r="AB1848" t="str">
        <f>HYPERLINK("Melting_Curves/meltCurve_O95297_2_MPZL1.pdf", "Melting_Curves/meltCurve_O95297_2_MPZL1.pdf")</f>
        <v>Melting_Curves/meltCurve_O95297_2_MPZL1.pdf</v>
      </c>
    </row>
    <row r="1849" spans="1:28" x14ac:dyDescent="0.25">
      <c r="A1849" t="s">
        <v>1853</v>
      </c>
      <c r="B1849">
        <v>0.99542014353169495</v>
      </c>
      <c r="C1849">
        <v>0.82369089874784496</v>
      </c>
      <c r="D1849">
        <v>1.0520232081053</v>
      </c>
      <c r="E1849">
        <v>0.91955770932575498</v>
      </c>
      <c r="F1849">
        <v>0.78760951311892502</v>
      </c>
      <c r="G1849">
        <v>0.454608459404026</v>
      </c>
      <c r="H1849">
        <v>0.35403910594078603</v>
      </c>
      <c r="I1849">
        <v>0.30948482344238099</v>
      </c>
      <c r="J1849">
        <v>0.37924938480349901</v>
      </c>
      <c r="K1849">
        <v>0.215841403798675</v>
      </c>
      <c r="L1849">
        <v>1309.5847918413399</v>
      </c>
      <c r="M1849">
        <v>25.394451457773101</v>
      </c>
      <c r="N1849">
        <v>53.436786509331398</v>
      </c>
      <c r="O1849">
        <v>51.253126334963198</v>
      </c>
      <c r="P1849">
        <v>-8.7438059521344605E-2</v>
      </c>
      <c r="Q1849">
        <v>0.29411092622539198</v>
      </c>
      <c r="R1849">
        <v>0.94514143310783805</v>
      </c>
      <c r="S1849" t="s">
        <v>8251</v>
      </c>
      <c r="T1849" t="s">
        <v>12802</v>
      </c>
      <c r="U1849" t="s">
        <v>12802</v>
      </c>
      <c r="V1849" t="s">
        <v>12802</v>
      </c>
      <c r="W1849" t="s">
        <v>14611</v>
      </c>
      <c r="X1849">
        <v>5</v>
      </c>
      <c r="Y1849" t="s">
        <v>20916</v>
      </c>
      <c r="Z1849" t="s">
        <v>27167</v>
      </c>
      <c r="AA1849">
        <v>0.64300144899888723</v>
      </c>
      <c r="AB1849" t="str">
        <f>HYPERLINK("Melting_Curves/meltCurve_O95298_2_NDUFC2.pdf", "Melting_Curves/meltCurve_O95298_2_NDUFC2.pdf")</f>
        <v>Melting_Curves/meltCurve_O95298_2_NDUFC2.pdf</v>
      </c>
    </row>
    <row r="1850" spans="1:28" x14ac:dyDescent="0.25">
      <c r="A1850" t="s">
        <v>1854</v>
      </c>
      <c r="B1850">
        <v>0.99542014353169495</v>
      </c>
      <c r="C1850">
        <v>1.0430785872018</v>
      </c>
      <c r="D1850">
        <v>0.844382044067857</v>
      </c>
      <c r="E1850">
        <v>0.68004178538918703</v>
      </c>
      <c r="F1850">
        <v>0.41235650285137498</v>
      </c>
      <c r="G1850">
        <v>0.23405731775609401</v>
      </c>
      <c r="H1850">
        <v>0.15682286706156201</v>
      </c>
      <c r="I1850">
        <v>9.3896585914277103E-2</v>
      </c>
      <c r="J1850">
        <v>0.102425652431683</v>
      </c>
      <c r="K1850">
        <v>0.11370883681216901</v>
      </c>
      <c r="L1850">
        <v>775.75017664327595</v>
      </c>
      <c r="M1850">
        <v>16.063835782778199</v>
      </c>
      <c r="N1850">
        <v>48.867951222573403</v>
      </c>
      <c r="O1850">
        <v>47.561944917127398</v>
      </c>
      <c r="P1850">
        <v>-7.7157270402954795E-2</v>
      </c>
      <c r="Q1850">
        <v>8.62792912167753E-2</v>
      </c>
      <c r="R1850">
        <v>0.99386194303889597</v>
      </c>
      <c r="S1850" t="s">
        <v>8252</v>
      </c>
      <c r="T1850" t="s">
        <v>12802</v>
      </c>
      <c r="U1850" t="s">
        <v>12802</v>
      </c>
      <c r="V1850" t="s">
        <v>12802</v>
      </c>
      <c r="W1850" t="s">
        <v>14612</v>
      </c>
      <c r="X1850">
        <v>6</v>
      </c>
      <c r="Y1850" t="s">
        <v>20917</v>
      </c>
      <c r="Z1850" t="s">
        <v>27168</v>
      </c>
      <c r="AA1850">
        <v>0.44801250356327837</v>
      </c>
      <c r="AB1850" t="str">
        <f>HYPERLINK("Melting_Curves/meltCurve_O95302_FKBP9.pdf", "Melting_Curves/meltCurve_O95302_FKBP9.pdf")</f>
        <v>Melting_Curves/meltCurve_O95302_FKBP9.pdf</v>
      </c>
    </row>
    <row r="1851" spans="1:28" x14ac:dyDescent="0.25">
      <c r="A1851" t="s">
        <v>1855</v>
      </c>
      <c r="B1851">
        <v>0.99542014353169495</v>
      </c>
      <c r="C1851">
        <v>1.0126375255512701</v>
      </c>
      <c r="D1851">
        <v>0.91405251548995503</v>
      </c>
      <c r="E1851">
        <v>0.94635464876557995</v>
      </c>
      <c r="F1851">
        <v>0.80848068079269597</v>
      </c>
      <c r="G1851">
        <v>0.67733330298110705</v>
      </c>
      <c r="H1851">
        <v>0.47482458030210101</v>
      </c>
      <c r="I1851">
        <v>0.355485817653799</v>
      </c>
      <c r="J1851">
        <v>0.27658236516284401</v>
      </c>
      <c r="K1851">
        <v>0.15356505562794301</v>
      </c>
      <c r="L1851">
        <v>600.49711232636105</v>
      </c>
      <c r="M1851">
        <v>10.474847044879899</v>
      </c>
      <c r="N1851">
        <v>57.327530416920901</v>
      </c>
      <c r="O1851">
        <v>55.356329286328801</v>
      </c>
      <c r="P1851">
        <v>-4.7325718589093999E-2</v>
      </c>
      <c r="Q1851">
        <v>0</v>
      </c>
      <c r="R1851">
        <v>0.992754044679656</v>
      </c>
      <c r="S1851" t="s">
        <v>8253</v>
      </c>
      <c r="T1851" t="s">
        <v>12802</v>
      </c>
      <c r="U1851" t="s">
        <v>12802</v>
      </c>
      <c r="V1851" t="s">
        <v>12802</v>
      </c>
      <c r="W1851" t="s">
        <v>14613</v>
      </c>
      <c r="X1851">
        <v>13</v>
      </c>
      <c r="Y1851" t="s">
        <v>20918</v>
      </c>
      <c r="Z1851" t="s">
        <v>27169</v>
      </c>
      <c r="AA1851">
        <v>0.67609090249418158</v>
      </c>
      <c r="AB1851" t="str">
        <f>HYPERLINK("Melting_Curves/meltCurve_O95336_PGLS.pdf", "Melting_Curves/meltCurve_O95336_PGLS.pdf")</f>
        <v>Melting_Curves/meltCurve_O95336_PGLS.pdf</v>
      </c>
    </row>
    <row r="1852" spans="1:28" x14ac:dyDescent="0.25">
      <c r="A1852" t="s">
        <v>1856</v>
      </c>
      <c r="B1852">
        <v>0.99542014353169495</v>
      </c>
      <c r="C1852">
        <v>0.85225522434315604</v>
      </c>
      <c r="D1852">
        <v>0.98749846707891498</v>
      </c>
      <c r="E1852">
        <v>0.63819220369091001</v>
      </c>
      <c r="F1852">
        <v>0.27418029216905898</v>
      </c>
      <c r="G1852">
        <v>0.11401367583419</v>
      </c>
      <c r="H1852">
        <v>7.1913805024877098E-2</v>
      </c>
      <c r="I1852">
        <v>5.09052723654283E-2</v>
      </c>
      <c r="J1852">
        <v>5.4159193132717602E-2</v>
      </c>
      <c r="K1852">
        <v>5.8821195656352902E-2</v>
      </c>
      <c r="L1852">
        <v>1141.42589247305</v>
      </c>
      <c r="M1852">
        <v>23.955148455301501</v>
      </c>
      <c r="N1852">
        <v>47.876194761814901</v>
      </c>
      <c r="O1852">
        <v>47.320131948150198</v>
      </c>
      <c r="P1852">
        <v>-0.11974589395336301</v>
      </c>
      <c r="Q1852">
        <v>5.3848243912937903E-2</v>
      </c>
      <c r="R1852">
        <v>0.985271620118509</v>
      </c>
      <c r="S1852" t="s">
        <v>8254</v>
      </c>
      <c r="T1852" t="s">
        <v>12802</v>
      </c>
      <c r="U1852" t="s">
        <v>12802</v>
      </c>
      <c r="V1852" t="s">
        <v>12802</v>
      </c>
      <c r="W1852" t="s">
        <v>14614</v>
      </c>
      <c r="X1852">
        <v>53</v>
      </c>
      <c r="Y1852" t="s">
        <v>20919</v>
      </c>
      <c r="Z1852" t="s">
        <v>27170</v>
      </c>
      <c r="AA1852">
        <v>0.39841449354537428</v>
      </c>
      <c r="AB1852" t="str">
        <f>HYPERLINK("Melting_Curves/meltCurve_O95347_SMC2.pdf", "Melting_Curves/meltCurve_O95347_SMC2.pdf")</f>
        <v>Melting_Curves/meltCurve_O95347_SMC2.pdf</v>
      </c>
    </row>
    <row r="1853" spans="1:28" x14ac:dyDescent="0.25">
      <c r="A1853" t="s">
        <v>1857</v>
      </c>
      <c r="B1853">
        <v>0.99542014353169495</v>
      </c>
      <c r="C1853">
        <v>0.94916253983922805</v>
      </c>
      <c r="D1853">
        <v>0.97011798411796502</v>
      </c>
      <c r="E1853">
        <v>0.84280150994294301</v>
      </c>
      <c r="F1853">
        <v>0.51151730863168599</v>
      </c>
      <c r="G1853">
        <v>0.150764922369511</v>
      </c>
      <c r="H1853">
        <v>9.2093807450215601E-2</v>
      </c>
      <c r="I1853">
        <v>6.6431696965201403E-2</v>
      </c>
      <c r="J1853">
        <v>8.6999221185034906E-2</v>
      </c>
      <c r="K1853">
        <v>8.6252873915510203E-2</v>
      </c>
      <c r="L1853">
        <v>1293.53755726756</v>
      </c>
      <c r="M1853">
        <v>25.986749292136899</v>
      </c>
      <c r="N1853">
        <v>50.060258001242303</v>
      </c>
      <c r="O1853">
        <v>49.484855126220701</v>
      </c>
      <c r="P1853">
        <v>-0.122305920490981</v>
      </c>
      <c r="Q1853">
        <v>6.84143452697938E-2</v>
      </c>
      <c r="R1853">
        <v>0.99639371659003295</v>
      </c>
      <c r="S1853" t="s">
        <v>8255</v>
      </c>
      <c r="T1853" t="s">
        <v>12802</v>
      </c>
      <c r="U1853" t="s">
        <v>12802</v>
      </c>
      <c r="V1853" t="s">
        <v>12802</v>
      </c>
      <c r="W1853" t="s">
        <v>14615</v>
      </c>
      <c r="X1853">
        <v>13</v>
      </c>
      <c r="Y1853" t="s">
        <v>20920</v>
      </c>
      <c r="Z1853" t="s">
        <v>27171</v>
      </c>
      <c r="AA1853">
        <v>0.47271481688185291</v>
      </c>
      <c r="AB1853" t="str">
        <f>HYPERLINK("Melting_Curves/meltCurve_O95352_ATG7.pdf", "Melting_Curves/meltCurve_O95352_ATG7.pdf")</f>
        <v>Melting_Curves/meltCurve_O95352_ATG7.pdf</v>
      </c>
    </row>
    <row r="1854" spans="1:28" x14ac:dyDescent="0.25">
      <c r="A1854" t="s">
        <v>1858</v>
      </c>
      <c r="B1854">
        <v>0.99542014353169495</v>
      </c>
      <c r="C1854">
        <v>0.94565714304673298</v>
      </c>
      <c r="D1854">
        <v>0.91903125805139896</v>
      </c>
      <c r="E1854">
        <v>0.710802589110339</v>
      </c>
      <c r="F1854">
        <v>0.31893574164526101</v>
      </c>
      <c r="G1854">
        <v>0.17302938030522999</v>
      </c>
      <c r="H1854">
        <v>9.5005019245178596E-2</v>
      </c>
      <c r="I1854">
        <v>9.0073530227199397E-2</v>
      </c>
      <c r="J1854">
        <v>7.4732387856933702E-2</v>
      </c>
      <c r="K1854">
        <v>6.3518561727314807E-2</v>
      </c>
      <c r="L1854">
        <v>1027.0813812259501</v>
      </c>
      <c r="M1854">
        <v>21.349684297972299</v>
      </c>
      <c r="N1854">
        <v>48.451702332889397</v>
      </c>
      <c r="O1854">
        <v>47.691453608372797</v>
      </c>
      <c r="P1854">
        <v>-0.10404460219962</v>
      </c>
      <c r="Q1854">
        <v>7.0353470102530194E-2</v>
      </c>
      <c r="R1854">
        <v>0.99771213759071897</v>
      </c>
      <c r="S1854" t="s">
        <v>8256</v>
      </c>
      <c r="T1854" t="s">
        <v>12802</v>
      </c>
      <c r="U1854" t="s">
        <v>12802</v>
      </c>
      <c r="V1854" t="s">
        <v>12802</v>
      </c>
      <c r="W1854" t="s">
        <v>14616</v>
      </c>
      <c r="X1854">
        <v>4</v>
      </c>
      <c r="Y1854" t="s">
        <v>20921</v>
      </c>
      <c r="Z1854" t="s">
        <v>27172</v>
      </c>
      <c r="AA1854">
        <v>0.4253492314064683</v>
      </c>
      <c r="AB1854" t="str">
        <f>HYPERLINK("Melting_Curves/meltCurve_O95363_FARS2.pdf", "Melting_Curves/meltCurve_O95363_FARS2.pdf")</f>
        <v>Melting_Curves/meltCurve_O95363_FARS2.pdf</v>
      </c>
    </row>
    <row r="1855" spans="1:28" x14ac:dyDescent="0.25">
      <c r="A1855" t="s">
        <v>1859</v>
      </c>
      <c r="B1855">
        <v>0.99542014353169495</v>
      </c>
      <c r="C1855">
        <v>0.95148284164981101</v>
      </c>
      <c r="D1855">
        <v>1.0355741275988199</v>
      </c>
      <c r="E1855">
        <v>0.83854596124291803</v>
      </c>
      <c r="F1855">
        <v>0.61010180390912405</v>
      </c>
      <c r="G1855">
        <v>0.38983398679220899</v>
      </c>
      <c r="H1855">
        <v>0.25865658853544399</v>
      </c>
      <c r="I1855">
        <v>0.22327113962715101</v>
      </c>
      <c r="J1855">
        <v>0.17645550934354801</v>
      </c>
      <c r="K1855">
        <v>0.23911291344282601</v>
      </c>
      <c r="L1855">
        <v>981.76523301710597</v>
      </c>
      <c r="M1855">
        <v>19.503631745039598</v>
      </c>
      <c r="N1855">
        <v>51.682499583241601</v>
      </c>
      <c r="O1855">
        <v>49.817328719864697</v>
      </c>
      <c r="P1855">
        <v>-7.8399887804109003E-2</v>
      </c>
      <c r="Q1855">
        <v>0.199014270202552</v>
      </c>
      <c r="R1855">
        <v>0.99202696652118205</v>
      </c>
      <c r="S1855" t="s">
        <v>8257</v>
      </c>
      <c r="T1855" t="s">
        <v>12802</v>
      </c>
      <c r="U1855" t="s">
        <v>12802</v>
      </c>
      <c r="V1855" t="s">
        <v>12802</v>
      </c>
      <c r="W1855" t="s">
        <v>14617</v>
      </c>
      <c r="X1855">
        <v>3</v>
      </c>
      <c r="Y1855" t="s">
        <v>20922</v>
      </c>
      <c r="Z1855" t="s">
        <v>27173</v>
      </c>
      <c r="AA1855">
        <v>0.56611880344802756</v>
      </c>
      <c r="AB1855" t="str">
        <f>HYPERLINK("Melting_Curves/meltCurve_O95365_ZBTB7A.pdf", "Melting_Curves/meltCurve_O95365_ZBTB7A.pdf")</f>
        <v>Melting_Curves/meltCurve_O95365_ZBTB7A.pdf</v>
      </c>
    </row>
    <row r="1856" spans="1:28" x14ac:dyDescent="0.25">
      <c r="A1856" t="s">
        <v>1860</v>
      </c>
      <c r="B1856">
        <v>0.99542014353169495</v>
      </c>
      <c r="C1856">
        <v>1.0541329389263201</v>
      </c>
      <c r="D1856">
        <v>1.0631093866805199</v>
      </c>
      <c r="E1856">
        <v>0.955187830160802</v>
      </c>
      <c r="F1856">
        <v>0.66024003175855395</v>
      </c>
      <c r="G1856">
        <v>0.39289705985644502</v>
      </c>
      <c r="H1856">
        <v>0.12947040566128701</v>
      </c>
      <c r="I1856">
        <v>6.7969631172025105E-2</v>
      </c>
      <c r="J1856">
        <v>7.1214025696216904E-2</v>
      </c>
      <c r="K1856">
        <v>6.6174838267491695E-2</v>
      </c>
      <c r="L1856">
        <v>1153.03685699583</v>
      </c>
      <c r="M1856">
        <v>22.193288085365101</v>
      </c>
      <c r="N1856">
        <v>52.199123689565198</v>
      </c>
      <c r="O1856">
        <v>51.537976680966501</v>
      </c>
      <c r="P1856">
        <v>-0.10233609153510299</v>
      </c>
      <c r="Q1856">
        <v>4.9427236784897299E-2</v>
      </c>
      <c r="R1856">
        <v>0.99267124128890005</v>
      </c>
      <c r="S1856" t="s">
        <v>8258</v>
      </c>
      <c r="T1856" t="s">
        <v>12802</v>
      </c>
      <c r="U1856" t="s">
        <v>12802</v>
      </c>
      <c r="V1856" t="s">
        <v>12802</v>
      </c>
      <c r="W1856" t="s">
        <v>14618</v>
      </c>
      <c r="X1856">
        <v>11</v>
      </c>
      <c r="Y1856" t="s">
        <v>20923</v>
      </c>
      <c r="Z1856" t="s">
        <v>27174</v>
      </c>
      <c r="AA1856">
        <v>0.53363386825139925</v>
      </c>
      <c r="AB1856" t="str">
        <f>HYPERLINK("Melting_Curves/meltCurve_O95372_LYPLA2.pdf", "Melting_Curves/meltCurve_O95372_LYPLA2.pdf")</f>
        <v>Melting_Curves/meltCurve_O95372_LYPLA2.pdf</v>
      </c>
    </row>
    <row r="1857" spans="1:28" x14ac:dyDescent="0.25">
      <c r="A1857" t="s">
        <v>1861</v>
      </c>
      <c r="B1857">
        <v>0.99542014353169495</v>
      </c>
      <c r="C1857">
        <v>0.34419422129646299</v>
      </c>
      <c r="D1857">
        <v>0.652106448569853</v>
      </c>
      <c r="E1857">
        <v>0.52378418512806502</v>
      </c>
      <c r="F1857">
        <v>0.222010418833232</v>
      </c>
      <c r="G1857">
        <v>7.37939696541796E-2</v>
      </c>
      <c r="H1857">
        <v>3.6264982088352299E-2</v>
      </c>
      <c r="I1857">
        <v>2.02608000770854E-2</v>
      </c>
      <c r="J1857">
        <v>1.8330922017852101E-2</v>
      </c>
      <c r="K1857">
        <v>1.63047547452864E-2</v>
      </c>
      <c r="L1857">
        <v>395.997464556826</v>
      </c>
      <c r="M1857">
        <v>9.1163042147581805</v>
      </c>
      <c r="N1857">
        <v>43.438381162930199</v>
      </c>
      <c r="O1857">
        <v>41.501238589840703</v>
      </c>
      <c r="P1857">
        <v>-5.4953815180662301E-2</v>
      </c>
      <c r="Q1857">
        <v>0</v>
      </c>
      <c r="R1857">
        <v>0.796833472930908</v>
      </c>
      <c r="S1857" t="s">
        <v>8259</v>
      </c>
      <c r="T1857" t="s">
        <v>12802</v>
      </c>
      <c r="U1857" t="s">
        <v>12802</v>
      </c>
      <c r="V1857" t="s">
        <v>12802</v>
      </c>
      <c r="W1857" t="s">
        <v>14619</v>
      </c>
      <c r="X1857">
        <v>26</v>
      </c>
      <c r="Y1857" t="s">
        <v>20924</v>
      </c>
      <c r="Z1857" t="s">
        <v>27175</v>
      </c>
      <c r="AA1857">
        <v>0.27936464892655649</v>
      </c>
      <c r="AB1857" t="str">
        <f>HYPERLINK("Melting_Curves/meltCurve_O95373_IPO7.pdf", "Melting_Curves/meltCurve_O95373_IPO7.pdf")</f>
        <v>Melting_Curves/meltCurve_O95373_IPO7.pdf</v>
      </c>
    </row>
    <row r="1858" spans="1:28" x14ac:dyDescent="0.25">
      <c r="A1858" t="s">
        <v>1862</v>
      </c>
      <c r="B1858">
        <v>0.99542014353169495</v>
      </c>
      <c r="C1858">
        <v>0.99850699648124697</v>
      </c>
      <c r="D1858">
        <v>0.95805589059285801</v>
      </c>
      <c r="E1858">
        <v>0.91863558979217497</v>
      </c>
      <c r="F1858">
        <v>0.77702357575147796</v>
      </c>
      <c r="G1858">
        <v>0.41774786380995599</v>
      </c>
      <c r="H1858">
        <v>8.5473676958327194E-2</v>
      </c>
      <c r="I1858">
        <v>5.7709512500769902E-2</v>
      </c>
      <c r="J1858">
        <v>4.8411561126464699E-2</v>
      </c>
      <c r="K1858">
        <v>5.2929468964744597E-2</v>
      </c>
      <c r="L1858">
        <v>1309.45590184036</v>
      </c>
      <c r="M1858">
        <v>24.868312510849201</v>
      </c>
      <c r="N1858">
        <v>52.774771172807199</v>
      </c>
      <c r="O1858">
        <v>52.318666404436797</v>
      </c>
      <c r="P1858">
        <v>-0.11558759449916001</v>
      </c>
      <c r="Q1858">
        <v>2.7307698777507501E-2</v>
      </c>
      <c r="R1858">
        <v>0.99558514880409299</v>
      </c>
      <c r="S1858" t="s">
        <v>8260</v>
      </c>
      <c r="T1858" t="s">
        <v>12802</v>
      </c>
      <c r="U1858" t="s">
        <v>12802</v>
      </c>
      <c r="V1858" t="s">
        <v>12802</v>
      </c>
      <c r="W1858" t="s">
        <v>14620</v>
      </c>
      <c r="X1858">
        <v>20</v>
      </c>
      <c r="Y1858" t="s">
        <v>20925</v>
      </c>
      <c r="Z1858" t="s">
        <v>27176</v>
      </c>
      <c r="AA1858">
        <v>0.5436011020460304</v>
      </c>
      <c r="AB1858" t="str">
        <f>HYPERLINK("Melting_Curves/meltCurve_O95376_ARIH2.pdf", "Melting_Curves/meltCurve_O95376_ARIH2.pdf")</f>
        <v>Melting_Curves/meltCurve_O95376_ARIH2.pdf</v>
      </c>
    </row>
    <row r="1859" spans="1:28" x14ac:dyDescent="0.25">
      <c r="A1859" t="s">
        <v>1863</v>
      </c>
      <c r="B1859">
        <v>0.99542014353169495</v>
      </c>
      <c r="C1859">
        <v>0.77629420730872001</v>
      </c>
      <c r="D1859">
        <v>0.56992050536786099</v>
      </c>
      <c r="E1859">
        <v>0.36161778352391999</v>
      </c>
      <c r="F1859">
        <v>0.28084284288663097</v>
      </c>
      <c r="G1859">
        <v>0.135485837462541</v>
      </c>
      <c r="H1859">
        <v>0.103432248288892</v>
      </c>
      <c r="I1859">
        <v>5.6818439192343098E-2</v>
      </c>
      <c r="J1859">
        <v>6.0347528792396597E-2</v>
      </c>
      <c r="K1859">
        <v>4.2053965286425903E-2</v>
      </c>
      <c r="L1859">
        <v>531.92268511867803</v>
      </c>
      <c r="M1859">
        <v>12.0251957088681</v>
      </c>
      <c r="N1859">
        <v>44.531750508972202</v>
      </c>
      <c r="O1859">
        <v>43.064014082745203</v>
      </c>
      <c r="P1859">
        <v>-6.7129439295596394E-2</v>
      </c>
      <c r="Q1859">
        <v>3.8627942238213697E-2</v>
      </c>
      <c r="R1859">
        <v>0.98874435108935399</v>
      </c>
      <c r="S1859" t="s">
        <v>8261</v>
      </c>
      <c r="T1859" t="s">
        <v>12802</v>
      </c>
      <c r="U1859" t="s">
        <v>12802</v>
      </c>
      <c r="V1859" t="s">
        <v>12802</v>
      </c>
      <c r="W1859" t="s">
        <v>14621</v>
      </c>
      <c r="X1859">
        <v>3</v>
      </c>
      <c r="Y1859" t="s">
        <v>20926</v>
      </c>
      <c r="Z1859" t="s">
        <v>27177</v>
      </c>
      <c r="AA1859">
        <v>0.3069016050465338</v>
      </c>
      <c r="AB1859" t="str">
        <f>HYPERLINK("Melting_Curves/meltCurve_O95391_SLU7.pdf", "Melting_Curves/meltCurve_O95391_SLU7.pdf")</f>
        <v>Melting_Curves/meltCurve_O95391_SLU7.pdf</v>
      </c>
    </row>
    <row r="1860" spans="1:28" x14ac:dyDescent="0.25">
      <c r="A1860" t="s">
        <v>1864</v>
      </c>
      <c r="B1860">
        <v>0.99542014353169495</v>
      </c>
      <c r="C1860">
        <v>0.95742316115395498</v>
      </c>
      <c r="D1860">
        <v>0.985508485602133</v>
      </c>
      <c r="E1860">
        <v>0.882274546362811</v>
      </c>
      <c r="F1860">
        <v>0.50043891036430999</v>
      </c>
      <c r="G1860">
        <v>0.126272823456623</v>
      </c>
      <c r="H1860">
        <v>7.7761937253567295E-2</v>
      </c>
      <c r="I1860">
        <v>5.5453667707485201E-2</v>
      </c>
      <c r="J1860">
        <v>3.6500127527104097E-2</v>
      </c>
      <c r="K1860">
        <v>3.1973124131909003E-2</v>
      </c>
      <c r="L1860">
        <v>1436.4911985420999</v>
      </c>
      <c r="M1860">
        <v>28.745976731689399</v>
      </c>
      <c r="N1860">
        <v>50.113443894327702</v>
      </c>
      <c r="O1860">
        <v>49.731940335789403</v>
      </c>
      <c r="P1860">
        <v>-0.13887132348211001</v>
      </c>
      <c r="Q1860">
        <v>3.8990798672758002E-2</v>
      </c>
      <c r="R1860">
        <v>0.99827770892088197</v>
      </c>
      <c r="S1860" t="s">
        <v>8262</v>
      </c>
      <c r="T1860" t="s">
        <v>12802</v>
      </c>
      <c r="U1860" t="s">
        <v>12802</v>
      </c>
      <c r="V1860" t="s">
        <v>12802</v>
      </c>
      <c r="W1860" t="s">
        <v>14622</v>
      </c>
      <c r="X1860">
        <v>19</v>
      </c>
      <c r="Y1860" t="s">
        <v>19514</v>
      </c>
      <c r="Z1860" t="s">
        <v>27178</v>
      </c>
      <c r="AA1860">
        <v>0.46093884858512407</v>
      </c>
      <c r="AB1860" t="str">
        <f>HYPERLINK("Melting_Curves/meltCurve_O95394_PGM3.pdf", "Melting_Curves/meltCurve_O95394_PGM3.pdf")</f>
        <v>Melting_Curves/meltCurve_O95394_PGM3.pdf</v>
      </c>
    </row>
    <row r="1861" spans="1:28" x14ac:dyDescent="0.25">
      <c r="A1861" t="s">
        <v>1865</v>
      </c>
      <c r="B1861">
        <v>0.99542014353169495</v>
      </c>
      <c r="C1861">
        <v>1.0386139430159</v>
      </c>
      <c r="D1861">
        <v>0.968340725420479</v>
      </c>
      <c r="E1861">
        <v>0.79032108263416601</v>
      </c>
      <c r="F1861">
        <v>0.43898082177118602</v>
      </c>
      <c r="G1861">
        <v>0.272510145897428</v>
      </c>
      <c r="H1861">
        <v>0.16416968920161501</v>
      </c>
      <c r="I1861">
        <v>0.12291527853541701</v>
      </c>
      <c r="J1861">
        <v>0.13412643455350801</v>
      </c>
      <c r="K1861">
        <v>0.117337674699697</v>
      </c>
      <c r="L1861">
        <v>1041.8222011504599</v>
      </c>
      <c r="M1861">
        <v>21.2244359708044</v>
      </c>
      <c r="N1861">
        <v>49.749185997340902</v>
      </c>
      <c r="O1861">
        <v>48.656439784560298</v>
      </c>
      <c r="P1861">
        <v>-9.5617640101087004E-2</v>
      </c>
      <c r="Q1861">
        <v>0.12321884048463901</v>
      </c>
      <c r="R1861">
        <v>0.99727773321263002</v>
      </c>
      <c r="S1861" t="s">
        <v>8263</v>
      </c>
      <c r="T1861" t="s">
        <v>12802</v>
      </c>
      <c r="U1861" t="s">
        <v>12802</v>
      </c>
      <c r="V1861" t="s">
        <v>12802</v>
      </c>
      <c r="W1861" t="s">
        <v>14623</v>
      </c>
      <c r="X1861">
        <v>10</v>
      </c>
      <c r="Y1861" t="s">
        <v>20927</v>
      </c>
      <c r="Z1861" t="s">
        <v>27179</v>
      </c>
      <c r="AA1861">
        <v>0.48680138847217358</v>
      </c>
      <c r="AB1861" t="str">
        <f>HYPERLINK("Melting_Curves/meltCurve_O95396_MOCS3.pdf", "Melting_Curves/meltCurve_O95396_MOCS3.pdf")</f>
        <v>Melting_Curves/meltCurve_O95396_MOCS3.pdf</v>
      </c>
    </row>
    <row r="1862" spans="1:28" x14ac:dyDescent="0.25">
      <c r="A1862" t="s">
        <v>1866</v>
      </c>
      <c r="B1862">
        <v>0.99542014353169495</v>
      </c>
      <c r="C1862">
        <v>0.91093570517737299</v>
      </c>
      <c r="D1862">
        <v>0.85866527523682001</v>
      </c>
      <c r="E1862">
        <v>0.63816987547408499</v>
      </c>
      <c r="F1862">
        <v>0.35940369399438898</v>
      </c>
      <c r="G1862">
        <v>0.31261513439134803</v>
      </c>
      <c r="H1862">
        <v>0.20520231209610501</v>
      </c>
      <c r="I1862">
        <v>0.152873212526865</v>
      </c>
      <c r="J1862">
        <v>0.19876089811786299</v>
      </c>
      <c r="K1862">
        <v>0.30063677921405002</v>
      </c>
      <c r="L1862">
        <v>814.810071347487</v>
      </c>
      <c r="M1862">
        <v>17.4350590288626</v>
      </c>
      <c r="N1862">
        <v>48.2002959446313</v>
      </c>
      <c r="O1862">
        <v>46.132195760832602</v>
      </c>
      <c r="P1862">
        <v>-7.5042416379299898E-2</v>
      </c>
      <c r="Q1862">
        <v>0.20581217745275701</v>
      </c>
      <c r="R1862">
        <v>0.98007069496921795</v>
      </c>
      <c r="S1862" t="s">
        <v>8264</v>
      </c>
      <c r="T1862" t="s">
        <v>12802</v>
      </c>
      <c r="U1862" t="s">
        <v>12802</v>
      </c>
      <c r="V1862" t="s">
        <v>12802</v>
      </c>
      <c r="W1862" t="s">
        <v>14624</v>
      </c>
      <c r="X1862">
        <v>6</v>
      </c>
      <c r="Y1862" t="s">
        <v>20928</v>
      </c>
      <c r="Z1862" t="s">
        <v>27180</v>
      </c>
      <c r="AA1862">
        <v>0.47707495521512311</v>
      </c>
      <c r="AB1862" t="str">
        <f>HYPERLINK("Melting_Curves/meltCurve_O95400_CD2BP2.pdf", "Melting_Curves/meltCurve_O95400_CD2BP2.pdf")</f>
        <v>Melting_Curves/meltCurve_O95400_CD2BP2.pdf</v>
      </c>
    </row>
    <row r="1863" spans="1:28" x14ac:dyDescent="0.25">
      <c r="A1863" t="s">
        <v>1867</v>
      </c>
      <c r="B1863">
        <v>0.99542014353169495</v>
      </c>
      <c r="C1863">
        <v>1.05571961565999</v>
      </c>
      <c r="D1863">
        <v>0.89854209255485296</v>
      </c>
      <c r="E1863">
        <v>0.73354088002516404</v>
      </c>
      <c r="F1863">
        <v>0.74096505386817202</v>
      </c>
      <c r="G1863">
        <v>0.53084116391542602</v>
      </c>
      <c r="H1863">
        <v>0.27529171444387601</v>
      </c>
      <c r="I1863">
        <v>0.19054487851304799</v>
      </c>
      <c r="J1863">
        <v>0.25668305633238098</v>
      </c>
      <c r="K1863">
        <v>0.34672245064412999</v>
      </c>
      <c r="L1863">
        <v>684.75256880163101</v>
      </c>
      <c r="M1863">
        <v>13.408995706127</v>
      </c>
      <c r="N1863">
        <v>53.224285586659903</v>
      </c>
      <c r="O1863">
        <v>49.970988664821597</v>
      </c>
      <c r="P1863">
        <v>-5.3026999149213397E-2</v>
      </c>
      <c r="Q1863">
        <v>0.20966587748243001</v>
      </c>
      <c r="R1863">
        <v>0.94194622352438895</v>
      </c>
      <c r="S1863" t="s">
        <v>8265</v>
      </c>
      <c r="T1863" t="s">
        <v>12802</v>
      </c>
      <c r="U1863" t="s">
        <v>12802</v>
      </c>
      <c r="V1863" t="s">
        <v>12802</v>
      </c>
      <c r="W1863" t="s">
        <v>14625</v>
      </c>
      <c r="X1863">
        <v>2</v>
      </c>
      <c r="Y1863" t="s">
        <v>20929</v>
      </c>
      <c r="Z1863" t="s">
        <v>27181</v>
      </c>
      <c r="AA1863">
        <v>0.59843543506512664</v>
      </c>
      <c r="AB1863" t="str">
        <f>HYPERLINK("Melting_Curves/meltCurve_O95402_MED26.pdf", "Melting_Curves/meltCurve_O95402_MED26.pdf")</f>
        <v>Melting_Curves/meltCurve_O95402_MED26.pdf</v>
      </c>
    </row>
    <row r="1864" spans="1:28" x14ac:dyDescent="0.25">
      <c r="A1864" t="s">
        <v>1868</v>
      </c>
      <c r="B1864">
        <v>0.99542014353169495</v>
      </c>
      <c r="C1864">
        <v>0.90504474830933901</v>
      </c>
      <c r="D1864">
        <v>0.99119082537349801</v>
      </c>
      <c r="E1864">
        <v>0.76776624329201104</v>
      </c>
      <c r="F1864">
        <v>0.40521645261087402</v>
      </c>
      <c r="G1864">
        <v>0.13970618742684199</v>
      </c>
      <c r="H1864">
        <v>9.0807617046295405E-2</v>
      </c>
      <c r="I1864">
        <v>7.3273470876470695E-2</v>
      </c>
      <c r="J1864">
        <v>8.0008123710813298E-2</v>
      </c>
      <c r="K1864">
        <v>0.116057522017805</v>
      </c>
      <c r="L1864">
        <v>1210.86306346418</v>
      </c>
      <c r="M1864">
        <v>24.816253418227699</v>
      </c>
      <c r="N1864">
        <v>49.135933754349402</v>
      </c>
      <c r="O1864">
        <v>48.479615889833298</v>
      </c>
      <c r="P1864">
        <v>-0.11780187397757901</v>
      </c>
      <c r="Q1864">
        <v>7.9488674551073002E-2</v>
      </c>
      <c r="R1864">
        <v>0.99241758940206204</v>
      </c>
      <c r="S1864" t="s">
        <v>8266</v>
      </c>
      <c r="T1864" t="s">
        <v>12802</v>
      </c>
      <c r="U1864" t="s">
        <v>12802</v>
      </c>
      <c r="V1864" t="s">
        <v>12802</v>
      </c>
      <c r="W1864" t="s">
        <v>14626</v>
      </c>
      <c r="X1864">
        <v>3</v>
      </c>
      <c r="Y1864" t="s">
        <v>20930</v>
      </c>
      <c r="Z1864" t="s">
        <v>27182</v>
      </c>
      <c r="AA1864">
        <v>0.44939350715483461</v>
      </c>
      <c r="AB1864" t="str">
        <f>HYPERLINK("Melting_Curves/meltCurve_O95405_2_ZFYVE9.pdf", "Melting_Curves/meltCurve_O95405_2_ZFYVE9.pdf")</f>
        <v>Melting_Curves/meltCurve_O95405_2_ZFYVE9.pdf</v>
      </c>
    </row>
    <row r="1865" spans="1:28" x14ac:dyDescent="0.25">
      <c r="A1865" t="s">
        <v>1869</v>
      </c>
      <c r="B1865">
        <v>0.99542014353169495</v>
      </c>
      <c r="C1865">
        <v>0.97388012991589801</v>
      </c>
      <c r="D1865">
        <v>0.94113240565121403</v>
      </c>
      <c r="E1865">
        <v>0.82802134256757198</v>
      </c>
      <c r="F1865">
        <v>0.54988226374393401</v>
      </c>
      <c r="G1865">
        <v>0.37228700837645901</v>
      </c>
      <c r="H1865">
        <v>0.118860673197333</v>
      </c>
      <c r="I1865">
        <v>4.8589669594015998E-2</v>
      </c>
      <c r="J1865">
        <v>6.4183327159439196E-2</v>
      </c>
      <c r="K1865">
        <v>0.11493466811194999</v>
      </c>
      <c r="L1865">
        <v>840.75763584034405</v>
      </c>
      <c r="M1865">
        <v>16.5437348149187</v>
      </c>
      <c r="N1865">
        <v>51.073685338253398</v>
      </c>
      <c r="O1865">
        <v>50.0951685501051</v>
      </c>
      <c r="P1865">
        <v>-7.9314267191308296E-2</v>
      </c>
      <c r="Q1865">
        <v>3.9397377362412701E-2</v>
      </c>
      <c r="R1865">
        <v>0.99185311993254099</v>
      </c>
      <c r="S1865" t="s">
        <v>8267</v>
      </c>
      <c r="T1865" t="s">
        <v>12802</v>
      </c>
      <c r="U1865" t="s">
        <v>12802</v>
      </c>
      <c r="V1865" t="s">
        <v>12802</v>
      </c>
      <c r="W1865" t="s">
        <v>14627</v>
      </c>
      <c r="X1865">
        <v>7</v>
      </c>
      <c r="Y1865" t="s">
        <v>20931</v>
      </c>
      <c r="Z1865" t="s">
        <v>27183</v>
      </c>
      <c r="AA1865">
        <v>0.49891325964751021</v>
      </c>
      <c r="AB1865" t="str">
        <f>HYPERLINK("Melting_Curves/meltCurve_O95429_2_BAG4.pdf", "Melting_Curves/meltCurve_O95429_2_BAG4.pdf")</f>
        <v>Melting_Curves/meltCurve_O95429_2_BAG4.pdf</v>
      </c>
    </row>
    <row r="1866" spans="1:28" x14ac:dyDescent="0.25">
      <c r="A1866" t="s">
        <v>1870</v>
      </c>
      <c r="B1866">
        <v>0.99542014353169495</v>
      </c>
      <c r="C1866">
        <v>0.95704374138234605</v>
      </c>
      <c r="D1866">
        <v>0.95064786129087597</v>
      </c>
      <c r="E1866">
        <v>0.85692905007917397</v>
      </c>
      <c r="F1866">
        <v>0.498980154612989</v>
      </c>
      <c r="G1866">
        <v>0.15897478068129201</v>
      </c>
      <c r="H1866">
        <v>8.9257937108103397E-2</v>
      </c>
      <c r="I1866">
        <v>5.6620774240761597E-2</v>
      </c>
      <c r="J1866">
        <v>5.8131740663073299E-2</v>
      </c>
      <c r="K1866">
        <v>5.4774982338053002E-2</v>
      </c>
      <c r="L1866">
        <v>1249.0199925565701</v>
      </c>
      <c r="M1866">
        <v>25.046870373410002</v>
      </c>
      <c r="N1866">
        <v>50.074691379375899</v>
      </c>
      <c r="O1866">
        <v>49.552688567694503</v>
      </c>
      <c r="P1866">
        <v>-0.12014092236577099</v>
      </c>
      <c r="Q1866">
        <v>4.9266253913918402E-2</v>
      </c>
      <c r="R1866">
        <v>0.99787909131990304</v>
      </c>
      <c r="S1866" t="s">
        <v>8268</v>
      </c>
      <c r="T1866" t="s">
        <v>12802</v>
      </c>
      <c r="U1866" t="s">
        <v>12802</v>
      </c>
      <c r="V1866" t="s">
        <v>12802</v>
      </c>
      <c r="W1866" t="s">
        <v>14628</v>
      </c>
      <c r="X1866">
        <v>20</v>
      </c>
      <c r="Y1866" t="s">
        <v>20932</v>
      </c>
      <c r="Z1866" t="s">
        <v>27184</v>
      </c>
      <c r="AA1866">
        <v>0.46531861901741428</v>
      </c>
      <c r="AB1866" t="str">
        <f>HYPERLINK("Melting_Curves/meltCurve_O95433_AHSA1.pdf", "Melting_Curves/meltCurve_O95433_AHSA1.pdf")</f>
        <v>Melting_Curves/meltCurve_O95433_AHSA1.pdf</v>
      </c>
    </row>
    <row r="1867" spans="1:28" x14ac:dyDescent="0.25">
      <c r="A1867" t="s">
        <v>1871</v>
      </c>
      <c r="B1867">
        <v>0.99542014353169495</v>
      </c>
      <c r="C1867">
        <v>1.1040350600750599</v>
      </c>
      <c r="D1867">
        <v>1.2885252842991</v>
      </c>
      <c r="E1867">
        <v>1.1630130653973301</v>
      </c>
      <c r="F1867">
        <v>0.58948368708933396</v>
      </c>
      <c r="G1867">
        <v>0.18085293546304401</v>
      </c>
      <c r="H1867">
        <v>0.10172933162148901</v>
      </c>
      <c r="I1867">
        <v>6.2505779909051595E-2</v>
      </c>
      <c r="J1867">
        <v>5.6730421243694699E-2</v>
      </c>
      <c r="K1867">
        <v>7.1636899249301306E-2</v>
      </c>
      <c r="L1867">
        <v>2887.8687953633098</v>
      </c>
      <c r="M1867">
        <v>57.267709079642202</v>
      </c>
      <c r="N1867">
        <v>50.599372783503497</v>
      </c>
      <c r="O1867">
        <v>50.366146262014603</v>
      </c>
      <c r="P1867">
        <v>-0.25913589366066297</v>
      </c>
      <c r="Q1867">
        <v>8.8374959776669093E-2</v>
      </c>
      <c r="R1867">
        <v>0.94731166139114997</v>
      </c>
      <c r="S1867" t="s">
        <v>8269</v>
      </c>
      <c r="T1867" t="s">
        <v>12802</v>
      </c>
      <c r="U1867" t="s">
        <v>12802</v>
      </c>
      <c r="V1867" t="s">
        <v>12802</v>
      </c>
      <c r="W1867" t="s">
        <v>14629</v>
      </c>
      <c r="X1867">
        <v>11</v>
      </c>
      <c r="Y1867" t="s">
        <v>20933</v>
      </c>
      <c r="Z1867" t="s">
        <v>27185</v>
      </c>
      <c r="AA1867">
        <v>0.49794754740242941</v>
      </c>
      <c r="AB1867" t="str">
        <f>HYPERLINK("Melting_Curves/meltCurve_O95453_2_PARN.pdf", "Melting_Curves/meltCurve_O95453_2_PARN.pdf")</f>
        <v>Melting_Curves/meltCurve_O95453_2_PARN.pdf</v>
      </c>
    </row>
    <row r="1868" spans="1:28" x14ac:dyDescent="0.25">
      <c r="A1868" t="s">
        <v>1872</v>
      </c>
      <c r="B1868">
        <v>0.99542014353169495</v>
      </c>
      <c r="C1868">
        <v>0.97972248351564895</v>
      </c>
      <c r="D1868">
        <v>0.99696365502001005</v>
      </c>
      <c r="E1868">
        <v>0.97443770798649398</v>
      </c>
      <c r="F1868">
        <v>0.78553940396024502</v>
      </c>
      <c r="G1868">
        <v>0.446200303989231</v>
      </c>
      <c r="H1868">
        <v>0.30331461916841501</v>
      </c>
      <c r="I1868">
        <v>0.146532301921354</v>
      </c>
      <c r="J1868">
        <v>0.17745053535892799</v>
      </c>
      <c r="K1868">
        <v>0.34182069572989099</v>
      </c>
      <c r="L1868">
        <v>1456.3641022511399</v>
      </c>
      <c r="M1868">
        <v>28.014142008407301</v>
      </c>
      <c r="N1868">
        <v>53.122613398656704</v>
      </c>
      <c r="O1868">
        <v>51.724004786735598</v>
      </c>
      <c r="P1868">
        <v>-0.104894272732363</v>
      </c>
      <c r="Q1868">
        <v>0.22531906014803799</v>
      </c>
      <c r="R1868">
        <v>0.97873440002235201</v>
      </c>
      <c r="S1868" t="s">
        <v>8270</v>
      </c>
      <c r="T1868" t="s">
        <v>12802</v>
      </c>
      <c r="U1868" t="s">
        <v>12802</v>
      </c>
      <c r="V1868" t="s">
        <v>12802</v>
      </c>
      <c r="W1868" t="s">
        <v>14630</v>
      </c>
      <c r="X1868">
        <v>1</v>
      </c>
      <c r="Y1868" t="s">
        <v>20934</v>
      </c>
      <c r="Z1868" t="s">
        <v>27186</v>
      </c>
      <c r="AA1868">
        <v>0.61788296922431019</v>
      </c>
      <c r="AB1868" t="str">
        <f>HYPERLINK("Melting_Curves/meltCurve_O95455_TGDS.pdf", "Melting_Curves/meltCurve_O95455_TGDS.pdf")</f>
        <v>Melting_Curves/meltCurve_O95455_TGDS.pdf</v>
      </c>
    </row>
    <row r="1869" spans="1:28" x14ac:dyDescent="0.25">
      <c r="A1869" t="s">
        <v>1873</v>
      </c>
      <c r="B1869">
        <v>0.99542014353169495</v>
      </c>
      <c r="C1869">
        <v>0.94170025351474695</v>
      </c>
      <c r="D1869">
        <v>1.0091433991990699</v>
      </c>
      <c r="E1869">
        <v>0.95527915804336605</v>
      </c>
      <c r="F1869">
        <v>0.87524689968527203</v>
      </c>
      <c r="G1869">
        <v>0.72577616200268702</v>
      </c>
      <c r="H1869">
        <v>0.48556416720019602</v>
      </c>
      <c r="I1869">
        <v>0.20090464641720701</v>
      </c>
      <c r="J1869">
        <v>9.7825724859679594E-2</v>
      </c>
      <c r="K1869">
        <v>6.9176377144237897E-2</v>
      </c>
      <c r="L1869">
        <v>993.12973849032699</v>
      </c>
      <c r="M1869">
        <v>17.504177816414099</v>
      </c>
      <c r="N1869">
        <v>56.736725883079899</v>
      </c>
      <c r="O1869">
        <v>56.011747238231102</v>
      </c>
      <c r="P1869">
        <v>-7.8131559701002107E-2</v>
      </c>
      <c r="Q1869">
        <v>0</v>
      </c>
      <c r="R1869">
        <v>0.99445235070521398</v>
      </c>
      <c r="S1869" t="s">
        <v>8271</v>
      </c>
      <c r="T1869" t="s">
        <v>12802</v>
      </c>
      <c r="U1869" t="s">
        <v>12802</v>
      </c>
      <c r="V1869" t="s">
        <v>12802</v>
      </c>
      <c r="W1869" t="s">
        <v>14631</v>
      </c>
      <c r="X1869">
        <v>15</v>
      </c>
      <c r="Y1869" t="s">
        <v>20935</v>
      </c>
      <c r="Z1869" t="s">
        <v>27187</v>
      </c>
      <c r="AA1869">
        <v>0.667486077647238</v>
      </c>
      <c r="AB1869" t="str">
        <f>HYPERLINK("Melting_Curves/meltCurve_O95456_2_PSMG1.pdf", "Melting_Curves/meltCurve_O95456_2_PSMG1.pdf")</f>
        <v>Melting_Curves/meltCurve_O95456_2_PSMG1.pdf</v>
      </c>
    </row>
    <row r="1870" spans="1:28" x14ac:dyDescent="0.25">
      <c r="A1870" t="s">
        <v>1874</v>
      </c>
      <c r="B1870">
        <v>0.99542014353169495</v>
      </c>
      <c r="C1870">
        <v>0.92026564942704903</v>
      </c>
      <c r="D1870">
        <v>0.56929135243245499</v>
      </c>
      <c r="E1870">
        <v>0.23387640948676999</v>
      </c>
      <c r="F1870">
        <v>0.129852712419632</v>
      </c>
      <c r="G1870">
        <v>8.1532342454615506E-2</v>
      </c>
      <c r="H1870">
        <v>6.8752271185259395E-2</v>
      </c>
      <c r="I1870">
        <v>5.2766492835678303E-2</v>
      </c>
      <c r="J1870">
        <v>0.101634155518901</v>
      </c>
      <c r="K1870">
        <v>4.0338118256129298E-2</v>
      </c>
      <c r="L1870">
        <v>1024.5950245608699</v>
      </c>
      <c r="M1870">
        <v>23.6013929504991</v>
      </c>
      <c r="N1870">
        <v>43.695290137903399</v>
      </c>
      <c r="O1870">
        <v>43.104416610663499</v>
      </c>
      <c r="P1870">
        <v>-0.12719188679007701</v>
      </c>
      <c r="Q1870">
        <v>7.0827820496479593E-2</v>
      </c>
      <c r="R1870">
        <v>0.99689526860205602</v>
      </c>
      <c r="S1870" t="s">
        <v>8272</v>
      </c>
      <c r="T1870" t="s">
        <v>12802</v>
      </c>
      <c r="U1870" t="s">
        <v>12802</v>
      </c>
      <c r="V1870" t="s">
        <v>12802</v>
      </c>
      <c r="W1870" t="s">
        <v>14632</v>
      </c>
      <c r="X1870">
        <v>12</v>
      </c>
      <c r="Y1870" t="s">
        <v>20936</v>
      </c>
      <c r="Z1870" t="s">
        <v>27188</v>
      </c>
      <c r="AA1870">
        <v>0.27819118843309482</v>
      </c>
      <c r="AB1870" t="str">
        <f>HYPERLINK("Melting_Curves/meltCurve_O95466_2_FMNL1.pdf", "Melting_Curves/meltCurve_O95466_2_FMNL1.pdf")</f>
        <v>Melting_Curves/meltCurve_O95466_2_FMNL1.pdf</v>
      </c>
    </row>
    <row r="1871" spans="1:28" x14ac:dyDescent="0.25">
      <c r="A1871" t="s">
        <v>1875</v>
      </c>
      <c r="B1871">
        <v>0.99542014353169495</v>
      </c>
      <c r="C1871">
        <v>0.96199004880822103</v>
      </c>
      <c r="D1871">
        <v>0.97402321348526499</v>
      </c>
      <c r="E1871">
        <v>0.87443683901036695</v>
      </c>
      <c r="F1871">
        <v>0.69264332418402597</v>
      </c>
      <c r="G1871">
        <v>0.40205341791875998</v>
      </c>
      <c r="H1871">
        <v>0.17044665175621901</v>
      </c>
      <c r="I1871">
        <v>0.134165240516463</v>
      </c>
      <c r="J1871">
        <v>0.111706477916322</v>
      </c>
      <c r="K1871">
        <v>0.10654596055879501</v>
      </c>
      <c r="L1871">
        <v>976.78940112995201</v>
      </c>
      <c r="M1871">
        <v>18.848131607217098</v>
      </c>
      <c r="N1871">
        <v>52.3164382380197</v>
      </c>
      <c r="O1871">
        <v>51.251401648416298</v>
      </c>
      <c r="P1871">
        <v>-8.4472866733000904E-2</v>
      </c>
      <c r="Q1871">
        <v>8.1251173041191393E-2</v>
      </c>
      <c r="R1871">
        <v>0.997096238354787</v>
      </c>
      <c r="S1871" t="s">
        <v>8273</v>
      </c>
      <c r="T1871" t="s">
        <v>12802</v>
      </c>
      <c r="U1871" t="s">
        <v>12802</v>
      </c>
      <c r="V1871" t="s">
        <v>12802</v>
      </c>
      <c r="W1871" t="s">
        <v>14633</v>
      </c>
      <c r="X1871">
        <v>5</v>
      </c>
      <c r="Y1871" t="s">
        <v>20937</v>
      </c>
      <c r="Z1871" t="s">
        <v>27189</v>
      </c>
      <c r="AA1871">
        <v>0.54828818177604222</v>
      </c>
      <c r="AB1871" t="str">
        <f>HYPERLINK("Melting_Curves/meltCurve_O95470_SGPL1.pdf", "Melting_Curves/meltCurve_O95470_SGPL1.pdf")</f>
        <v>Melting_Curves/meltCurve_O95470_SGPL1.pdf</v>
      </c>
    </row>
    <row r="1872" spans="1:28" x14ac:dyDescent="0.25">
      <c r="A1872" t="s">
        <v>1876</v>
      </c>
      <c r="B1872">
        <v>0.99542014353169495</v>
      </c>
      <c r="C1872">
        <v>0.95156968694437105</v>
      </c>
      <c r="D1872">
        <v>0.896832929276693</v>
      </c>
      <c r="E1872">
        <v>0.69916532204445203</v>
      </c>
      <c r="F1872">
        <v>0.23953028036944801</v>
      </c>
      <c r="G1872">
        <v>0.13282772398901199</v>
      </c>
      <c r="H1872">
        <v>6.9712281687330194E-2</v>
      </c>
      <c r="I1872">
        <v>5.4217026425126401E-2</v>
      </c>
      <c r="J1872">
        <v>5.5942293054275997E-2</v>
      </c>
      <c r="K1872">
        <v>5.7365293618350001E-2</v>
      </c>
      <c r="L1872">
        <v>1171.7095225371299</v>
      </c>
      <c r="M1872">
        <v>24.541981669575399</v>
      </c>
      <c r="N1872">
        <v>47.9694516645894</v>
      </c>
      <c r="O1872">
        <v>47.429479299297803</v>
      </c>
      <c r="P1872">
        <v>-0.122288434679079</v>
      </c>
      <c r="Q1872">
        <v>5.46824696379574E-2</v>
      </c>
      <c r="R1872">
        <v>0.99587172160531201</v>
      </c>
      <c r="S1872" t="s">
        <v>8274</v>
      </c>
      <c r="T1872" t="s">
        <v>12802</v>
      </c>
      <c r="U1872" t="s">
        <v>12802</v>
      </c>
      <c r="V1872" t="s">
        <v>12802</v>
      </c>
      <c r="W1872" t="s">
        <v>14634</v>
      </c>
      <c r="X1872">
        <v>10</v>
      </c>
      <c r="Y1872" t="s">
        <v>20938</v>
      </c>
      <c r="Z1872" t="s">
        <v>27190</v>
      </c>
      <c r="AA1872">
        <v>0.40152841776281839</v>
      </c>
      <c r="AB1872" t="str">
        <f>HYPERLINK("Melting_Curves/meltCurve_O95486_SEC24A.pdf", "Melting_Curves/meltCurve_O95486_SEC24A.pdf")</f>
        <v>Melting_Curves/meltCurve_O95486_SEC24A.pdf</v>
      </c>
    </row>
    <row r="1873" spans="1:28" x14ac:dyDescent="0.25">
      <c r="A1873" t="s">
        <v>1877</v>
      </c>
      <c r="B1873">
        <v>0.99542014353169495</v>
      </c>
      <c r="C1873">
        <v>0.89380988001142003</v>
      </c>
      <c r="D1873">
        <v>0.92759601851237505</v>
      </c>
      <c r="E1873">
        <v>0.51578640837131695</v>
      </c>
      <c r="F1873">
        <v>0.22575136989105901</v>
      </c>
      <c r="G1873">
        <v>0.12216387293497701</v>
      </c>
      <c r="H1873">
        <v>8.6005062726257006E-2</v>
      </c>
      <c r="I1873">
        <v>7.3704044381505199E-2</v>
      </c>
      <c r="J1873">
        <v>7.5400630266248506E-2</v>
      </c>
      <c r="K1873">
        <v>9.6473584528517106E-2</v>
      </c>
      <c r="L1873">
        <v>1116.1937177344801</v>
      </c>
      <c r="M1873">
        <v>23.9915042898077</v>
      </c>
      <c r="N1873">
        <v>46.872064748070002</v>
      </c>
      <c r="O1873">
        <v>46.204920784976103</v>
      </c>
      <c r="P1873">
        <v>-0.11923560052848001</v>
      </c>
      <c r="Q1873">
        <v>8.1477490796496396E-2</v>
      </c>
      <c r="R1873">
        <v>0.99256509426314998</v>
      </c>
      <c r="S1873" t="s">
        <v>8275</v>
      </c>
      <c r="T1873" t="s">
        <v>12802</v>
      </c>
      <c r="U1873" t="s">
        <v>12802</v>
      </c>
      <c r="V1873" t="s">
        <v>12802</v>
      </c>
      <c r="W1873" t="s">
        <v>14635</v>
      </c>
      <c r="X1873">
        <v>13</v>
      </c>
      <c r="Y1873" t="s">
        <v>20939</v>
      </c>
      <c r="Z1873" t="s">
        <v>27191</v>
      </c>
      <c r="AA1873">
        <v>0.38142400295875228</v>
      </c>
      <c r="AB1873" t="str">
        <f>HYPERLINK("Melting_Curves/meltCurve_O95487_2_SEC24B.pdf", "Melting_Curves/meltCurve_O95487_2_SEC24B.pdf")</f>
        <v>Melting_Curves/meltCurve_O95487_2_SEC24B.pdf</v>
      </c>
    </row>
    <row r="1874" spans="1:28" x14ac:dyDescent="0.25">
      <c r="A1874" t="s">
        <v>1878</v>
      </c>
      <c r="B1874">
        <v>0.99542014353169495</v>
      </c>
      <c r="C1874">
        <v>0.97981782273166296</v>
      </c>
      <c r="D1874">
        <v>1.01030744277651</v>
      </c>
      <c r="E1874">
        <v>0.88618368618535903</v>
      </c>
      <c r="F1874">
        <v>0.66933629968159003</v>
      </c>
      <c r="G1874">
        <v>0.34354271807493802</v>
      </c>
      <c r="H1874">
        <v>0.27500439096101198</v>
      </c>
      <c r="I1874">
        <v>0.32637486089108297</v>
      </c>
      <c r="J1874">
        <v>0.41444718615326198</v>
      </c>
      <c r="K1874">
        <v>0.59424266821579896</v>
      </c>
      <c r="L1874">
        <v>1834.6724448930499</v>
      </c>
      <c r="M1874">
        <v>36.973988354207798</v>
      </c>
      <c r="N1874">
        <v>51.712489173863901</v>
      </c>
      <c r="O1874">
        <v>49.476144731292301</v>
      </c>
      <c r="P1874">
        <v>-0.11434798438447601</v>
      </c>
      <c r="Q1874">
        <v>0.387950137640586</v>
      </c>
      <c r="R1874">
        <v>0.91029145213170104</v>
      </c>
      <c r="S1874" t="s">
        <v>8276</v>
      </c>
      <c r="T1874" t="s">
        <v>12802</v>
      </c>
      <c r="U1874" t="s">
        <v>12802</v>
      </c>
      <c r="V1874" t="s">
        <v>12802</v>
      </c>
      <c r="W1874" t="s">
        <v>14636</v>
      </c>
      <c r="X1874">
        <v>5</v>
      </c>
      <c r="Y1874" t="s">
        <v>20940</v>
      </c>
      <c r="Z1874" t="s">
        <v>27192</v>
      </c>
      <c r="AA1874">
        <v>0.64788965321286984</v>
      </c>
      <c r="AB1874" t="str">
        <f>HYPERLINK("Melting_Curves/meltCurve_O95544_NADK.pdf", "Melting_Curves/meltCurve_O95544_NADK.pdf")</f>
        <v>Melting_Curves/meltCurve_O95544_NADK.pdf</v>
      </c>
    </row>
    <row r="1875" spans="1:28" x14ac:dyDescent="0.25">
      <c r="A1875" t="s">
        <v>1879</v>
      </c>
      <c r="B1875">
        <v>0.99542014353169495</v>
      </c>
      <c r="C1875">
        <v>0.99413651796199898</v>
      </c>
      <c r="D1875">
        <v>0.85226020264636904</v>
      </c>
      <c r="E1875">
        <v>0.67073642992378901</v>
      </c>
      <c r="F1875">
        <v>0.35748861333050602</v>
      </c>
      <c r="G1875">
        <v>0.130899409099137</v>
      </c>
      <c r="H1875">
        <v>6.3661909470351205E-2</v>
      </c>
      <c r="I1875">
        <v>4.45214579099334E-2</v>
      </c>
      <c r="J1875">
        <v>5.0385516000105303E-2</v>
      </c>
      <c r="K1875">
        <v>4.5595850687591803E-2</v>
      </c>
      <c r="L1875">
        <v>852.13432776321702</v>
      </c>
      <c r="M1875">
        <v>17.696135213296898</v>
      </c>
      <c r="N1875">
        <v>48.292978298614997</v>
      </c>
      <c r="O1875">
        <v>47.551396474821701</v>
      </c>
      <c r="P1875">
        <v>-9.0727076696075604E-2</v>
      </c>
      <c r="Q1875">
        <v>2.48782537974277E-2</v>
      </c>
      <c r="R1875">
        <v>0.99739725841126803</v>
      </c>
      <c r="S1875" t="s">
        <v>8277</v>
      </c>
      <c r="T1875" t="s">
        <v>12802</v>
      </c>
      <c r="U1875" t="s">
        <v>12802</v>
      </c>
      <c r="V1875" t="s">
        <v>12802</v>
      </c>
      <c r="W1875" t="s">
        <v>14637</v>
      </c>
      <c r="X1875">
        <v>10</v>
      </c>
      <c r="Y1875" t="s">
        <v>20941</v>
      </c>
      <c r="Z1875" t="s">
        <v>27193</v>
      </c>
      <c r="AA1875">
        <v>0.40348133249029938</v>
      </c>
      <c r="AB1875" t="str">
        <f>HYPERLINK("Melting_Curves/meltCurve_O95551_TDP2.pdf", "Melting_Curves/meltCurve_O95551_TDP2.pdf")</f>
        <v>Melting_Curves/meltCurve_O95551_TDP2.pdf</v>
      </c>
    </row>
    <row r="1876" spans="1:28" x14ac:dyDescent="0.25">
      <c r="A1876" t="s">
        <v>1880</v>
      </c>
      <c r="B1876">
        <v>0.99542014353169495</v>
      </c>
      <c r="C1876">
        <v>1.0070938837024199</v>
      </c>
      <c r="D1876">
        <v>0.90391795730582003</v>
      </c>
      <c r="E1876">
        <v>0.86264094543118797</v>
      </c>
      <c r="F1876">
        <v>0.72373642847531505</v>
      </c>
      <c r="G1876">
        <v>0.52867999072363303</v>
      </c>
      <c r="H1876">
        <v>0.347732254150595</v>
      </c>
      <c r="I1876">
        <v>0.28348526900542298</v>
      </c>
      <c r="J1876">
        <v>0.23913908391423899</v>
      </c>
      <c r="K1876">
        <v>0.118294491381749</v>
      </c>
      <c r="L1876">
        <v>573.74872006585701</v>
      </c>
      <c r="M1876">
        <v>10.6123115365389</v>
      </c>
      <c r="N1876">
        <v>54.544466204550197</v>
      </c>
      <c r="O1876">
        <v>52.250662870099703</v>
      </c>
      <c r="P1876">
        <v>-4.8531015959533699E-2</v>
      </c>
      <c r="Q1876">
        <v>4.4582895417212803E-2</v>
      </c>
      <c r="R1876">
        <v>0.99315902062540495</v>
      </c>
      <c r="S1876" t="s">
        <v>8278</v>
      </c>
      <c r="T1876" t="s">
        <v>12802</v>
      </c>
      <c r="U1876" t="s">
        <v>12802</v>
      </c>
      <c r="V1876" t="s">
        <v>12802</v>
      </c>
      <c r="W1876" t="s">
        <v>14638</v>
      </c>
      <c r="X1876">
        <v>7</v>
      </c>
      <c r="Y1876" t="s">
        <v>20942</v>
      </c>
      <c r="Z1876" t="s">
        <v>27194</v>
      </c>
      <c r="AA1876">
        <v>0.60485688215218858</v>
      </c>
      <c r="AB1876" t="str">
        <f>HYPERLINK("Melting_Curves/meltCurve_O95571_ETHE1.pdf", "Melting_Curves/meltCurve_O95571_ETHE1.pdf")</f>
        <v>Melting_Curves/meltCurve_O95571_ETHE1.pdf</v>
      </c>
    </row>
    <row r="1877" spans="1:28" x14ac:dyDescent="0.25">
      <c r="A1877" t="s">
        <v>1881</v>
      </c>
      <c r="B1877">
        <v>0.99542014353169495</v>
      </c>
      <c r="C1877">
        <v>0.96489180406665798</v>
      </c>
      <c r="D1877">
        <v>0.93804246708412897</v>
      </c>
      <c r="E1877">
        <v>0.845638722375611</v>
      </c>
      <c r="F1877">
        <v>0.50379027116110298</v>
      </c>
      <c r="G1877">
        <v>0.12332860927914301</v>
      </c>
      <c r="H1877">
        <v>6.7952911842846894E-2</v>
      </c>
      <c r="I1877">
        <v>4.6487069707851603E-2</v>
      </c>
      <c r="J1877">
        <v>4.7482960419353903E-2</v>
      </c>
      <c r="K1877">
        <v>5.3358951292409397E-2</v>
      </c>
      <c r="L1877">
        <v>1282.2564473918201</v>
      </c>
      <c r="M1877">
        <v>25.7278908744121</v>
      </c>
      <c r="N1877">
        <v>49.9896837110904</v>
      </c>
      <c r="O1877">
        <v>49.540982560479897</v>
      </c>
      <c r="P1877">
        <v>-0.124993724709309</v>
      </c>
      <c r="Q1877">
        <v>3.7272445914628499E-2</v>
      </c>
      <c r="R1877">
        <v>0.99629853127990398</v>
      </c>
      <c r="S1877" t="s">
        <v>8279</v>
      </c>
      <c r="T1877" t="s">
        <v>12802</v>
      </c>
      <c r="U1877" t="s">
        <v>12802</v>
      </c>
      <c r="V1877" t="s">
        <v>12802</v>
      </c>
      <c r="W1877" t="s">
        <v>14639</v>
      </c>
      <c r="X1877">
        <v>28</v>
      </c>
      <c r="Y1877" t="s">
        <v>20943</v>
      </c>
      <c r="Z1877" t="s">
        <v>27195</v>
      </c>
      <c r="AA1877">
        <v>0.45724719809355657</v>
      </c>
      <c r="AB1877" t="str">
        <f>HYPERLINK("Melting_Curves/meltCurve_O95573_ACSL3.pdf", "Melting_Curves/meltCurve_O95573_ACSL3.pdf")</f>
        <v>Melting_Curves/meltCurve_O95573_ACSL3.pdf</v>
      </c>
    </row>
    <row r="1878" spans="1:28" x14ac:dyDescent="0.25">
      <c r="A1878" t="s">
        <v>1882</v>
      </c>
      <c r="B1878">
        <v>0.99542014353169495</v>
      </c>
      <c r="C1878">
        <v>0.87028647567585105</v>
      </c>
      <c r="D1878">
        <v>0.85415412048016703</v>
      </c>
      <c r="E1878">
        <v>0.59556716999550896</v>
      </c>
      <c r="F1878">
        <v>0.53793188846644202</v>
      </c>
      <c r="G1878">
        <v>0.34273136435477702</v>
      </c>
      <c r="H1878">
        <v>0.44050338073954298</v>
      </c>
      <c r="I1878">
        <v>0.38844228302901501</v>
      </c>
      <c r="J1878">
        <v>7.4860850459002898E-2</v>
      </c>
      <c r="K1878">
        <v>5.5209877051831099E-2</v>
      </c>
      <c r="L1878">
        <v>376.711271865257</v>
      </c>
      <c r="M1878">
        <v>7.3516792453752204</v>
      </c>
      <c r="N1878">
        <v>51.241527026428102</v>
      </c>
      <c r="O1878">
        <v>47.859196701102</v>
      </c>
      <c r="P1878">
        <v>-3.8462084101972299E-2</v>
      </c>
      <c r="Q1878">
        <v>0</v>
      </c>
      <c r="R1878">
        <v>0.91645410504249103</v>
      </c>
      <c r="S1878" t="s">
        <v>8280</v>
      </c>
      <c r="T1878" t="s">
        <v>12802</v>
      </c>
      <c r="U1878" t="s">
        <v>12802</v>
      </c>
      <c r="V1878" t="s">
        <v>12802</v>
      </c>
      <c r="W1878" t="s">
        <v>14640</v>
      </c>
      <c r="X1878">
        <v>20</v>
      </c>
      <c r="Y1878" t="s">
        <v>20944</v>
      </c>
      <c r="Z1878" t="s">
        <v>27196</v>
      </c>
      <c r="AA1878">
        <v>0.50906144224645133</v>
      </c>
      <c r="AB1878" t="str">
        <f>HYPERLINK("Melting_Curves/meltCurve_O95602_POLR1A.pdf", "Melting_Curves/meltCurve_O95602_POLR1A.pdf")</f>
        <v>Melting_Curves/meltCurve_O95602_POLR1A.pdf</v>
      </c>
    </row>
    <row r="1879" spans="1:28" x14ac:dyDescent="0.25">
      <c r="A1879" t="s">
        <v>1883</v>
      </c>
      <c r="B1879">
        <v>0.99542014353169495</v>
      </c>
      <c r="C1879">
        <v>0.69548155714578297</v>
      </c>
      <c r="D1879">
        <v>0.70007829849032899</v>
      </c>
      <c r="E1879">
        <v>0.48817497815311101</v>
      </c>
      <c r="F1879">
        <v>0.45088031916251398</v>
      </c>
      <c r="G1879">
        <v>0.273020899425646</v>
      </c>
      <c r="H1879">
        <v>0.21201131908229401</v>
      </c>
      <c r="I1879">
        <v>0.14100212487588501</v>
      </c>
      <c r="J1879">
        <v>0.17929081501487501</v>
      </c>
      <c r="K1879">
        <v>0.219796746367278</v>
      </c>
      <c r="L1879">
        <v>414.85315678534101</v>
      </c>
      <c r="M1879">
        <v>9.1456668698566492</v>
      </c>
      <c r="N1879">
        <v>46.800491343773302</v>
      </c>
      <c r="O1879">
        <v>43.349816614969598</v>
      </c>
      <c r="P1879">
        <v>-4.6307214233632203E-2</v>
      </c>
      <c r="Q1879">
        <v>0.12262783768680199</v>
      </c>
      <c r="R1879">
        <v>0.95282834693447604</v>
      </c>
      <c r="S1879" t="s">
        <v>8281</v>
      </c>
      <c r="T1879" t="s">
        <v>12802</v>
      </c>
      <c r="U1879" t="s">
        <v>12802</v>
      </c>
      <c r="V1879" t="s">
        <v>12802</v>
      </c>
      <c r="W1879" t="s">
        <v>14641</v>
      </c>
      <c r="X1879">
        <v>6</v>
      </c>
      <c r="Y1879" t="s">
        <v>20945</v>
      </c>
      <c r="Z1879" t="s">
        <v>27197</v>
      </c>
      <c r="AA1879">
        <v>0.41569024507902391</v>
      </c>
      <c r="AB1879" t="str">
        <f>HYPERLINK("Melting_Curves/meltCurve_O95613_2_PCNT.pdf", "Melting_Curves/meltCurve_O95613_2_PCNT.pdf")</f>
        <v>Melting_Curves/meltCurve_O95613_2_PCNT.pdf</v>
      </c>
    </row>
    <row r="1880" spans="1:28" x14ac:dyDescent="0.25">
      <c r="A1880" t="s">
        <v>1884</v>
      </c>
      <c r="B1880">
        <v>0.99542014353169495</v>
      </c>
      <c r="C1880">
        <v>0.94418825225467196</v>
      </c>
      <c r="D1880">
        <v>0.83984768294577306</v>
      </c>
      <c r="E1880">
        <v>0.81596464692326198</v>
      </c>
      <c r="F1880">
        <v>0.888756849633483</v>
      </c>
      <c r="G1880">
        <v>0.39619836869342601</v>
      </c>
      <c r="H1880">
        <v>0.14008849190275999</v>
      </c>
      <c r="I1880">
        <v>6.6416824158162899E-2</v>
      </c>
      <c r="J1880">
        <v>6.4222877068079706E-2</v>
      </c>
      <c r="K1880">
        <v>4.9602252296218001E-2</v>
      </c>
      <c r="L1880">
        <v>1526.21617109146</v>
      </c>
      <c r="M1880">
        <v>28.8394181911213</v>
      </c>
      <c r="N1880">
        <v>53.110494124722301</v>
      </c>
      <c r="O1880">
        <v>52.668673381374603</v>
      </c>
      <c r="P1880">
        <v>-0.13020531280320399</v>
      </c>
      <c r="Q1880">
        <v>4.8844768764225298E-2</v>
      </c>
      <c r="R1880">
        <v>0.96132707108894599</v>
      </c>
      <c r="S1880" t="s">
        <v>8282</v>
      </c>
      <c r="T1880" t="s">
        <v>12802</v>
      </c>
      <c r="U1880" t="s">
        <v>12802</v>
      </c>
      <c r="V1880" t="s">
        <v>12802</v>
      </c>
      <c r="W1880" t="s">
        <v>14642</v>
      </c>
      <c r="X1880">
        <v>2</v>
      </c>
      <c r="Y1880" t="s">
        <v>20946</v>
      </c>
      <c r="Z1880" t="s">
        <v>27198</v>
      </c>
      <c r="AA1880">
        <v>0.56014081271204896</v>
      </c>
      <c r="AB1880" t="str">
        <f>HYPERLINK("Melting_Curves/meltCurve_O95619_YEATS4.pdf", "Melting_Curves/meltCurve_O95619_YEATS4.pdf")</f>
        <v>Melting_Curves/meltCurve_O95619_YEATS4.pdf</v>
      </c>
    </row>
    <row r="1881" spans="1:28" x14ac:dyDescent="0.25">
      <c r="A1881" t="s">
        <v>1885</v>
      </c>
      <c r="B1881">
        <v>0.99542014353169495</v>
      </c>
      <c r="C1881">
        <v>0.92915346161103896</v>
      </c>
      <c r="D1881">
        <v>0.89372262673474301</v>
      </c>
      <c r="E1881">
        <v>0.81794320615194105</v>
      </c>
      <c r="F1881">
        <v>0.71253070862838896</v>
      </c>
      <c r="G1881">
        <v>0.56979690148005802</v>
      </c>
      <c r="H1881">
        <v>0.39891264462618797</v>
      </c>
      <c r="I1881">
        <v>0.248986842246708</v>
      </c>
      <c r="J1881">
        <v>0.155780384763474</v>
      </c>
      <c r="K1881">
        <v>0.13072189950242899</v>
      </c>
      <c r="L1881">
        <v>528.93279064484</v>
      </c>
      <c r="M1881">
        <v>9.6967728287249795</v>
      </c>
      <c r="N1881">
        <v>54.547301420332097</v>
      </c>
      <c r="O1881">
        <v>52.378985457896697</v>
      </c>
      <c r="P1881">
        <v>-4.6307114158844399E-2</v>
      </c>
      <c r="Q1881">
        <v>0</v>
      </c>
      <c r="R1881">
        <v>0.99281863566441497</v>
      </c>
      <c r="S1881" t="s">
        <v>8283</v>
      </c>
      <c r="T1881" t="s">
        <v>12802</v>
      </c>
      <c r="U1881" t="s">
        <v>12802</v>
      </c>
      <c r="V1881" t="s">
        <v>12802</v>
      </c>
      <c r="W1881" t="s">
        <v>14643</v>
      </c>
      <c r="X1881">
        <v>6</v>
      </c>
      <c r="Y1881" t="s">
        <v>20947</v>
      </c>
      <c r="Z1881" t="s">
        <v>27199</v>
      </c>
      <c r="AA1881">
        <v>0.59920573105028674</v>
      </c>
      <c r="AB1881" t="str">
        <f>HYPERLINK("Melting_Curves/meltCurve_O95620_DUS4L.pdf", "Melting_Curves/meltCurve_O95620_DUS4L.pdf")</f>
        <v>Melting_Curves/meltCurve_O95620_DUS4L.pdf</v>
      </c>
    </row>
    <row r="1882" spans="1:28" x14ac:dyDescent="0.25">
      <c r="A1882" t="s">
        <v>1886</v>
      </c>
      <c r="B1882">
        <v>0.99542014353169495</v>
      </c>
      <c r="C1882">
        <v>1.1251934994543999</v>
      </c>
      <c r="D1882">
        <v>0.99312875402220901</v>
      </c>
      <c r="E1882">
        <v>0.92294804244470297</v>
      </c>
      <c r="F1882">
        <v>0.73621969858914404</v>
      </c>
      <c r="G1882">
        <v>0.52056324133537402</v>
      </c>
      <c r="H1882">
        <v>0.18710713617881999</v>
      </c>
      <c r="I1882">
        <v>0.10830307617648401</v>
      </c>
      <c r="J1882">
        <v>0.101229690686034</v>
      </c>
      <c r="K1882">
        <v>7.3250885798560206E-2</v>
      </c>
      <c r="L1882">
        <v>1011.54573611511</v>
      </c>
      <c r="M1882">
        <v>19.0381869984557</v>
      </c>
      <c r="N1882">
        <v>53.4063675637655</v>
      </c>
      <c r="O1882">
        <v>52.556656943799403</v>
      </c>
      <c r="P1882">
        <v>-8.6351486537809302E-2</v>
      </c>
      <c r="Q1882">
        <v>4.6512990800845103E-2</v>
      </c>
      <c r="R1882">
        <v>0.98622348271311999</v>
      </c>
      <c r="S1882" t="s">
        <v>8284</v>
      </c>
      <c r="T1882" t="s">
        <v>12802</v>
      </c>
      <c r="U1882" t="s">
        <v>12802</v>
      </c>
      <c r="V1882" t="s">
        <v>12802</v>
      </c>
      <c r="W1882" t="s">
        <v>14644</v>
      </c>
      <c r="X1882">
        <v>8</v>
      </c>
      <c r="Y1882" t="s">
        <v>20948</v>
      </c>
      <c r="Z1882" t="s">
        <v>27200</v>
      </c>
      <c r="AA1882">
        <v>0.57205338525210447</v>
      </c>
      <c r="AB1882" t="str">
        <f>HYPERLINK("Melting_Curves/meltCurve_O95628_3_CNOT4.pdf", "Melting_Curves/meltCurve_O95628_3_CNOT4.pdf")</f>
        <v>Melting_Curves/meltCurve_O95628_3_CNOT4.pdf</v>
      </c>
    </row>
    <row r="1883" spans="1:28" x14ac:dyDescent="0.25">
      <c r="A1883" t="s">
        <v>1887</v>
      </c>
      <c r="B1883">
        <v>0.99542014353169495</v>
      </c>
      <c r="C1883">
        <v>0.99751646302083896</v>
      </c>
      <c r="D1883">
        <v>0.92629413340233002</v>
      </c>
      <c r="E1883">
        <v>0.59292120059915898</v>
      </c>
      <c r="F1883">
        <v>0.30566071456285498</v>
      </c>
      <c r="G1883">
        <v>0.165363243233489</v>
      </c>
      <c r="H1883">
        <v>0.109130958037679</v>
      </c>
      <c r="I1883">
        <v>8.4802017036609501E-2</v>
      </c>
      <c r="J1883">
        <v>0.13048947053498</v>
      </c>
      <c r="K1883">
        <v>0.100768775215027</v>
      </c>
      <c r="L1883">
        <v>1046.1757227293899</v>
      </c>
      <c r="M1883">
        <v>22.176555648735398</v>
      </c>
      <c r="N1883">
        <v>47.671084330804902</v>
      </c>
      <c r="O1883">
        <v>46.796280005612303</v>
      </c>
      <c r="P1883">
        <v>-0.106265368674705</v>
      </c>
      <c r="Q1883">
        <v>0.10306783188100301</v>
      </c>
      <c r="R1883">
        <v>0.99818027058127001</v>
      </c>
      <c r="S1883" t="s">
        <v>8285</v>
      </c>
      <c r="T1883" t="s">
        <v>12802</v>
      </c>
      <c r="U1883" t="s">
        <v>12802</v>
      </c>
      <c r="V1883" t="s">
        <v>12802</v>
      </c>
      <c r="W1883" t="s">
        <v>14645</v>
      </c>
      <c r="X1883">
        <v>12</v>
      </c>
      <c r="Y1883" t="s">
        <v>20949</v>
      </c>
      <c r="Z1883" t="s">
        <v>27201</v>
      </c>
      <c r="AA1883">
        <v>0.4168637295629713</v>
      </c>
      <c r="AB1883" t="str">
        <f>HYPERLINK("Melting_Curves/meltCurve_O95630_STAMBP.pdf", "Melting_Curves/meltCurve_O95630_STAMBP.pdf")</f>
        <v>Melting_Curves/meltCurve_O95630_STAMBP.pdf</v>
      </c>
    </row>
    <row r="1884" spans="1:28" x14ac:dyDescent="0.25">
      <c r="A1884" t="s">
        <v>1888</v>
      </c>
      <c r="B1884">
        <v>0.99542014353169495</v>
      </c>
      <c r="C1884">
        <v>0.95818936910296704</v>
      </c>
      <c r="D1884">
        <v>1.0104600070144001</v>
      </c>
      <c r="E1884">
        <v>0.79583520684942599</v>
      </c>
      <c r="F1884">
        <v>0.33593197165175198</v>
      </c>
      <c r="G1884">
        <v>0.15574486611916299</v>
      </c>
      <c r="H1884">
        <v>8.8977714285216405E-2</v>
      </c>
      <c r="I1884">
        <v>7.2855517954051596E-2</v>
      </c>
      <c r="J1884">
        <v>8.8668900267042494E-2</v>
      </c>
      <c r="K1884">
        <v>0.108322281877507</v>
      </c>
      <c r="L1884">
        <v>1451.6244356893801</v>
      </c>
      <c r="M1884">
        <v>29.891029116722802</v>
      </c>
      <c r="N1884">
        <v>48.889986261973199</v>
      </c>
      <c r="O1884">
        <v>48.348075234963503</v>
      </c>
      <c r="P1884">
        <v>-0.14059331423074301</v>
      </c>
      <c r="Q1884">
        <v>9.0379769645075006E-2</v>
      </c>
      <c r="R1884">
        <v>0.99771613627414302</v>
      </c>
      <c r="S1884" t="s">
        <v>8286</v>
      </c>
      <c r="T1884" t="s">
        <v>12802</v>
      </c>
      <c r="U1884" t="s">
        <v>12802</v>
      </c>
      <c r="V1884" t="s">
        <v>12802</v>
      </c>
      <c r="W1884" t="s">
        <v>14646</v>
      </c>
      <c r="X1884">
        <v>9</v>
      </c>
      <c r="Y1884" t="s">
        <v>20950</v>
      </c>
      <c r="Z1884" t="s">
        <v>27202</v>
      </c>
      <c r="AA1884">
        <v>0.44648790617907769</v>
      </c>
      <c r="AB1884" t="str">
        <f>HYPERLINK("Melting_Curves/meltCurve_O95671_2_ASMTL.pdf", "Melting_Curves/meltCurve_O95671_2_ASMTL.pdf")</f>
        <v>Melting_Curves/meltCurve_O95671_2_ASMTL.pdf</v>
      </c>
    </row>
    <row r="1885" spans="1:28" x14ac:dyDescent="0.25">
      <c r="A1885" t="s">
        <v>1889</v>
      </c>
      <c r="B1885">
        <v>0.99542014353169495</v>
      </c>
      <c r="C1885">
        <v>0.97472746915441799</v>
      </c>
      <c r="D1885">
        <v>0.96683995780532295</v>
      </c>
      <c r="E1885">
        <v>0.82805229941507796</v>
      </c>
      <c r="F1885">
        <v>0.403587322425215</v>
      </c>
      <c r="G1885">
        <v>0.22155629285155001</v>
      </c>
      <c r="H1885">
        <v>0.156837923237855</v>
      </c>
      <c r="I1885">
        <v>0.114781978551086</v>
      </c>
      <c r="J1885">
        <v>0.14620351618856101</v>
      </c>
      <c r="K1885">
        <v>0.135976453030348</v>
      </c>
      <c r="L1885">
        <v>1324.9254613355599</v>
      </c>
      <c r="M1885">
        <v>27.121835645336901</v>
      </c>
      <c r="N1885">
        <v>49.429642344632001</v>
      </c>
      <c r="O1885">
        <v>48.587640713289503</v>
      </c>
      <c r="P1885">
        <v>-0.120567675257231</v>
      </c>
      <c r="Q1885">
        <v>0.136040879810128</v>
      </c>
      <c r="R1885">
        <v>0.99846356158691296</v>
      </c>
      <c r="S1885" t="s">
        <v>8287</v>
      </c>
      <c r="T1885" t="s">
        <v>12802</v>
      </c>
      <c r="U1885" t="s">
        <v>12802</v>
      </c>
      <c r="V1885" t="s">
        <v>12802</v>
      </c>
      <c r="W1885" t="s">
        <v>14647</v>
      </c>
      <c r="X1885">
        <v>8</v>
      </c>
      <c r="Y1885" t="s">
        <v>20951</v>
      </c>
      <c r="Z1885" t="s">
        <v>27203</v>
      </c>
      <c r="AA1885">
        <v>0.48367987284443531</v>
      </c>
      <c r="AB1885" t="str">
        <f>HYPERLINK("Melting_Curves/meltCurve_O95684_FGFR1OP.pdf", "Melting_Curves/meltCurve_O95684_FGFR1OP.pdf")</f>
        <v>Melting_Curves/meltCurve_O95684_FGFR1OP.pdf</v>
      </c>
    </row>
    <row r="1886" spans="1:28" x14ac:dyDescent="0.25">
      <c r="A1886" t="s">
        <v>1890</v>
      </c>
      <c r="B1886">
        <v>0.99542014353169495</v>
      </c>
      <c r="C1886">
        <v>0.993384746750546</v>
      </c>
      <c r="D1886">
        <v>0.95439216607926602</v>
      </c>
      <c r="E1886">
        <v>0.83687428326844304</v>
      </c>
      <c r="F1886">
        <v>0.63423406106442604</v>
      </c>
      <c r="G1886">
        <v>0.48110467869129803</v>
      </c>
      <c r="H1886">
        <v>0.37741117213975001</v>
      </c>
      <c r="I1886">
        <v>0.36192041242270001</v>
      </c>
      <c r="J1886">
        <v>0.60042665507096205</v>
      </c>
      <c r="K1886">
        <v>0.78904048762690404</v>
      </c>
      <c r="L1886">
        <v>1466.37608277907</v>
      </c>
      <c r="M1886">
        <v>30.7859696797059</v>
      </c>
      <c r="O1886">
        <v>47.431683167126401</v>
      </c>
      <c r="P1886">
        <v>-7.7318711125160602E-2</v>
      </c>
      <c r="Q1886">
        <v>0.52350559732866797</v>
      </c>
      <c r="R1886">
        <v>0.762265194490784</v>
      </c>
      <c r="S1886" t="s">
        <v>8288</v>
      </c>
      <c r="T1886" t="s">
        <v>12802</v>
      </c>
      <c r="U1886" t="s">
        <v>12802</v>
      </c>
      <c r="V1886" t="s">
        <v>12802</v>
      </c>
      <c r="W1886" t="s">
        <v>14648</v>
      </c>
      <c r="X1886">
        <v>24</v>
      </c>
      <c r="Y1886" t="s">
        <v>20952</v>
      </c>
      <c r="Z1886" t="s">
        <v>27204</v>
      </c>
      <c r="AA1886">
        <v>0.69502462850689839</v>
      </c>
      <c r="AB1886" t="str">
        <f>HYPERLINK("Melting_Curves/meltCurve_O95721_SNAP29.pdf", "Melting_Curves/meltCurve_O95721_SNAP29.pdf")</f>
        <v>Melting_Curves/meltCurve_O95721_SNAP29.pdf</v>
      </c>
    </row>
    <row r="1887" spans="1:28" x14ac:dyDescent="0.25">
      <c r="A1887" t="s">
        <v>1891</v>
      </c>
      <c r="B1887">
        <v>0.99542014353169495</v>
      </c>
      <c r="C1887">
        <v>1.00474023657108</v>
      </c>
      <c r="D1887">
        <v>0.79410606058549704</v>
      </c>
      <c r="E1887">
        <v>0.63826884759109304</v>
      </c>
      <c r="F1887">
        <v>0.15543722673480201</v>
      </c>
      <c r="G1887">
        <v>7.6452399725113293E-2</v>
      </c>
      <c r="H1887">
        <v>4.5641567523766101E-2</v>
      </c>
      <c r="I1887">
        <v>3.3054649189323701E-2</v>
      </c>
      <c r="J1887">
        <v>3.9686781945893E-2</v>
      </c>
      <c r="K1887">
        <v>3.8042196678179298E-2</v>
      </c>
      <c r="L1887">
        <v>1034.14937267973</v>
      </c>
      <c r="M1887">
        <v>21.994260356155699</v>
      </c>
      <c r="N1887">
        <v>47.125998496742703</v>
      </c>
      <c r="O1887">
        <v>46.635540815781603</v>
      </c>
      <c r="P1887">
        <v>-0.115037447888979</v>
      </c>
      <c r="Q1887">
        <v>2.4342963074903499E-2</v>
      </c>
      <c r="R1887">
        <v>0.98760214261782098</v>
      </c>
      <c r="S1887" t="s">
        <v>8289</v>
      </c>
      <c r="T1887" t="s">
        <v>12802</v>
      </c>
      <c r="U1887" t="s">
        <v>12802</v>
      </c>
      <c r="V1887" t="s">
        <v>12802</v>
      </c>
      <c r="W1887" t="s">
        <v>14649</v>
      </c>
      <c r="X1887">
        <v>15</v>
      </c>
      <c r="Y1887" t="s">
        <v>20953</v>
      </c>
      <c r="Z1887" t="s">
        <v>27205</v>
      </c>
      <c r="AA1887">
        <v>0.36077149740071679</v>
      </c>
      <c r="AB1887" t="str">
        <f>HYPERLINK("Melting_Curves/meltCurve_O95747_OXSR1.pdf", "Melting_Curves/meltCurve_O95747_OXSR1.pdf")</f>
        <v>Melting_Curves/meltCurve_O95747_OXSR1.pdf</v>
      </c>
    </row>
    <row r="1888" spans="1:28" x14ac:dyDescent="0.25">
      <c r="A1888" t="s">
        <v>1892</v>
      </c>
      <c r="B1888">
        <v>0.99542014353169495</v>
      </c>
      <c r="C1888">
        <v>0.91517113313700305</v>
      </c>
      <c r="D1888">
        <v>0.97472855227913302</v>
      </c>
      <c r="E1888">
        <v>0.81647189804749998</v>
      </c>
      <c r="F1888">
        <v>0.76154781737522403</v>
      </c>
      <c r="G1888">
        <v>0.59137412154144098</v>
      </c>
      <c r="H1888">
        <v>0.53361112016873302</v>
      </c>
      <c r="I1888">
        <v>0.40912586477396301</v>
      </c>
      <c r="J1888">
        <v>0.17716370448351501</v>
      </c>
      <c r="K1888">
        <v>8.19142168116678E-2</v>
      </c>
      <c r="L1888">
        <v>540.15396053684105</v>
      </c>
      <c r="M1888">
        <v>9.5857073403290105</v>
      </c>
      <c r="N1888">
        <v>56.349920765490403</v>
      </c>
      <c r="O1888">
        <v>54.0612085085681</v>
      </c>
      <c r="P1888">
        <v>-4.4353367656323098E-2</v>
      </c>
      <c r="Q1888">
        <v>0</v>
      </c>
      <c r="R1888">
        <v>0.96234433306290601</v>
      </c>
      <c r="S1888" t="s">
        <v>8290</v>
      </c>
      <c r="T1888" t="s">
        <v>12802</v>
      </c>
      <c r="U1888" t="s">
        <v>12802</v>
      </c>
      <c r="V1888" t="s">
        <v>12802</v>
      </c>
      <c r="W1888" t="s">
        <v>14650</v>
      </c>
      <c r="X1888">
        <v>9</v>
      </c>
      <c r="Y1888" t="s">
        <v>20954</v>
      </c>
      <c r="Z1888" t="s">
        <v>27206</v>
      </c>
      <c r="AA1888">
        <v>0.64737945448168099</v>
      </c>
      <c r="AB1888" t="str">
        <f>HYPERLINK("Melting_Curves/meltCurve_O95749_GGPS1.pdf", "Melting_Curves/meltCurve_O95749_GGPS1.pdf")</f>
        <v>Melting_Curves/meltCurve_O95749_GGPS1.pdf</v>
      </c>
    </row>
    <row r="1889" spans="1:28" x14ac:dyDescent="0.25">
      <c r="A1889" t="s">
        <v>1893</v>
      </c>
      <c r="B1889">
        <v>0.99542014353169495</v>
      </c>
      <c r="C1889">
        <v>0.94410978164591297</v>
      </c>
      <c r="D1889">
        <v>0.85100389781835395</v>
      </c>
      <c r="E1889">
        <v>0.43555093475233803</v>
      </c>
      <c r="F1889">
        <v>0.31419167016738597</v>
      </c>
      <c r="G1889">
        <v>0.159157500041061</v>
      </c>
      <c r="H1889">
        <v>0.14439648717046</v>
      </c>
      <c r="I1889">
        <v>7.7733818855152501E-2</v>
      </c>
      <c r="J1889">
        <v>8.3857909870799996E-2</v>
      </c>
      <c r="K1889">
        <v>0.119108312614622</v>
      </c>
      <c r="L1889">
        <v>855.95105665157303</v>
      </c>
      <c r="M1889">
        <v>18.608278034981499</v>
      </c>
      <c r="N1889">
        <v>46.569400129228697</v>
      </c>
      <c r="O1889">
        <v>45.477050762348803</v>
      </c>
      <c r="P1889">
        <v>-9.1864628167803802E-2</v>
      </c>
      <c r="Q1889">
        <v>0.10200151099355501</v>
      </c>
      <c r="R1889">
        <v>0.99116527990993497</v>
      </c>
      <c r="S1889" t="s">
        <v>8291</v>
      </c>
      <c r="T1889" t="s">
        <v>12802</v>
      </c>
      <c r="U1889" t="s">
        <v>12802</v>
      </c>
      <c r="V1889" t="s">
        <v>12802</v>
      </c>
      <c r="W1889" t="s">
        <v>14651</v>
      </c>
      <c r="X1889">
        <v>10</v>
      </c>
      <c r="Y1889" t="s">
        <v>20955</v>
      </c>
      <c r="Z1889" t="s">
        <v>27207</v>
      </c>
      <c r="AA1889">
        <v>0.38493321660538349</v>
      </c>
      <c r="AB1889" t="str">
        <f>HYPERLINK("Melting_Curves/meltCurve_O95758_1_PTBP3.pdf", "Melting_Curves/meltCurve_O95758_1_PTBP3.pdf")</f>
        <v>Melting_Curves/meltCurve_O95758_1_PTBP3.pdf</v>
      </c>
    </row>
    <row r="1890" spans="1:28" x14ac:dyDescent="0.25">
      <c r="A1890" t="s">
        <v>1894</v>
      </c>
      <c r="B1890">
        <v>0.99542014353169495</v>
      </c>
      <c r="C1890">
        <v>1.0514885511615399</v>
      </c>
      <c r="D1890">
        <v>1.04676501911808</v>
      </c>
      <c r="E1890">
        <v>0.99073741054148501</v>
      </c>
      <c r="F1890">
        <v>0.90363454436134605</v>
      </c>
      <c r="G1890">
        <v>0.68022470757761799</v>
      </c>
      <c r="H1890">
        <v>0.51249164646256296</v>
      </c>
      <c r="I1890">
        <v>0.46122316067893598</v>
      </c>
      <c r="J1890">
        <v>0.63098309619943105</v>
      </c>
      <c r="K1890">
        <v>0.76512547943831</v>
      </c>
      <c r="L1890">
        <v>2201.75022223927</v>
      </c>
      <c r="M1890">
        <v>42.5897977464682</v>
      </c>
      <c r="O1890">
        <v>51.583085492443999</v>
      </c>
      <c r="P1890">
        <v>-8.3574928147404401E-2</v>
      </c>
      <c r="Q1890">
        <v>0.59511009975627904</v>
      </c>
      <c r="R1890">
        <v>0.86367281501212601</v>
      </c>
      <c r="S1890" t="s">
        <v>8292</v>
      </c>
      <c r="T1890" t="s">
        <v>12802</v>
      </c>
      <c r="U1890" t="s">
        <v>12802</v>
      </c>
      <c r="V1890" t="s">
        <v>12802</v>
      </c>
      <c r="W1890" t="s">
        <v>14652</v>
      </c>
      <c r="X1890">
        <v>8</v>
      </c>
      <c r="Y1890" t="s">
        <v>20956</v>
      </c>
      <c r="Z1890" t="s">
        <v>27208</v>
      </c>
      <c r="AA1890">
        <v>0.79473456321790081</v>
      </c>
      <c r="AB1890" t="str">
        <f>HYPERLINK("Melting_Curves/meltCurve_O95777_NAA38.pdf", "Melting_Curves/meltCurve_O95777_NAA38.pdf")</f>
        <v>Melting_Curves/meltCurve_O95777_NAA38.pdf</v>
      </c>
    </row>
    <row r="1891" spans="1:28" x14ac:dyDescent="0.25">
      <c r="A1891" t="s">
        <v>1895</v>
      </c>
      <c r="B1891">
        <v>0.99542014353169495</v>
      </c>
      <c r="C1891">
        <v>0.92177027587068605</v>
      </c>
      <c r="D1891">
        <v>0.915935167909537</v>
      </c>
      <c r="E1891">
        <v>0.72281473725890899</v>
      </c>
      <c r="F1891">
        <v>0.53516654218860404</v>
      </c>
      <c r="G1891">
        <v>0.26602385960724401</v>
      </c>
      <c r="H1891">
        <v>0.119960299894124</v>
      </c>
      <c r="I1891">
        <v>7.5614522581489194E-2</v>
      </c>
      <c r="J1891">
        <v>5.7841244305072703E-2</v>
      </c>
      <c r="K1891">
        <v>6.3549458329767605E-2</v>
      </c>
      <c r="L1891">
        <v>705.28028432682299</v>
      </c>
      <c r="M1891">
        <v>14.099249972590499</v>
      </c>
      <c r="N1891">
        <v>50.105428703728698</v>
      </c>
      <c r="O1891">
        <v>49.048496537494401</v>
      </c>
      <c r="P1891">
        <v>-7.1044718439246701E-2</v>
      </c>
      <c r="Q1891">
        <v>1.1525261619897699E-2</v>
      </c>
      <c r="R1891">
        <v>0.99532658059027301</v>
      </c>
      <c r="S1891" t="s">
        <v>8293</v>
      </c>
      <c r="T1891" t="s">
        <v>12802</v>
      </c>
      <c r="U1891" t="s">
        <v>12802</v>
      </c>
      <c r="V1891" t="s">
        <v>12802</v>
      </c>
      <c r="W1891" t="s">
        <v>14653</v>
      </c>
      <c r="X1891">
        <v>28</v>
      </c>
      <c r="Y1891" t="s">
        <v>20957</v>
      </c>
      <c r="Z1891" t="s">
        <v>27209</v>
      </c>
      <c r="AA1891">
        <v>0.46313172389873869</v>
      </c>
      <c r="AB1891" t="str">
        <f>HYPERLINK("Melting_Curves/meltCurve_O95782_2_AP2A1.pdf", "Melting_Curves/meltCurve_O95782_2_AP2A1.pdf")</f>
        <v>Melting_Curves/meltCurve_O95782_2_AP2A1.pdf</v>
      </c>
    </row>
    <row r="1892" spans="1:28" x14ac:dyDescent="0.25">
      <c r="A1892" t="s">
        <v>1896</v>
      </c>
      <c r="B1892">
        <v>0.99542014353169495</v>
      </c>
      <c r="C1892">
        <v>0.93718193283163798</v>
      </c>
      <c r="D1892">
        <v>0.97678803750832299</v>
      </c>
      <c r="E1892">
        <v>0.78919899266746796</v>
      </c>
      <c r="F1892">
        <v>0.23366342508555901</v>
      </c>
      <c r="G1892">
        <v>0.102677943015931</v>
      </c>
      <c r="H1892">
        <v>5.6192859454746398E-2</v>
      </c>
      <c r="I1892">
        <v>4.6996833208134997E-2</v>
      </c>
      <c r="J1892">
        <v>5.4544551642331497E-2</v>
      </c>
      <c r="K1892">
        <v>5.7631843968298402E-2</v>
      </c>
      <c r="L1892">
        <v>1709.7221196442999</v>
      </c>
      <c r="M1892">
        <v>35.473879544092298</v>
      </c>
      <c r="N1892">
        <v>48.361984102926598</v>
      </c>
      <c r="O1892">
        <v>48.044255115990403</v>
      </c>
      <c r="P1892">
        <v>-0.174049253863685</v>
      </c>
      <c r="Q1892">
        <v>5.7104668051214398E-2</v>
      </c>
      <c r="R1892">
        <v>0.99724003203465295</v>
      </c>
      <c r="S1892" t="s">
        <v>8294</v>
      </c>
      <c r="T1892" t="s">
        <v>12802</v>
      </c>
      <c r="U1892" t="s">
        <v>12802</v>
      </c>
      <c r="V1892" t="s">
        <v>12802</v>
      </c>
      <c r="W1892" t="s">
        <v>14654</v>
      </c>
      <c r="X1892">
        <v>21</v>
      </c>
      <c r="Y1892" t="s">
        <v>20958</v>
      </c>
      <c r="Z1892" t="s">
        <v>27210</v>
      </c>
      <c r="AA1892">
        <v>0.41301470521292799</v>
      </c>
      <c r="AB1892" t="str">
        <f>HYPERLINK("Melting_Curves/meltCurve_O95801_TTC4.pdf", "Melting_Curves/meltCurve_O95801_TTC4.pdf")</f>
        <v>Melting_Curves/meltCurve_O95801_TTC4.pdf</v>
      </c>
    </row>
    <row r="1893" spans="1:28" x14ac:dyDescent="0.25">
      <c r="A1893" t="s">
        <v>1897</v>
      </c>
      <c r="B1893">
        <v>0.99542014353169495</v>
      </c>
      <c r="C1893">
        <v>0.96888733271365801</v>
      </c>
      <c r="D1893">
        <v>0.97645799626178498</v>
      </c>
      <c r="E1893">
        <v>0.91995975154320797</v>
      </c>
      <c r="F1893">
        <v>0.79101179639661401</v>
      </c>
      <c r="G1893">
        <v>0.62844489434328299</v>
      </c>
      <c r="H1893">
        <v>0.44976246653567598</v>
      </c>
      <c r="I1893">
        <v>0.32156036384037001</v>
      </c>
      <c r="J1893">
        <v>0.37448489084533498</v>
      </c>
      <c r="K1893">
        <v>0.35285835020572198</v>
      </c>
      <c r="L1893">
        <v>884.76160686147296</v>
      </c>
      <c r="M1893">
        <v>16.769546278707601</v>
      </c>
      <c r="N1893">
        <v>56.076970982357302</v>
      </c>
      <c r="O1893">
        <v>52.026894096454598</v>
      </c>
      <c r="P1893">
        <v>-5.5236531504387301E-2</v>
      </c>
      <c r="Q1893">
        <v>0.31456763152440298</v>
      </c>
      <c r="R1893">
        <v>0.99152107269856504</v>
      </c>
      <c r="S1893" t="s">
        <v>8295</v>
      </c>
      <c r="T1893" t="s">
        <v>12802</v>
      </c>
      <c r="U1893" t="s">
        <v>12802</v>
      </c>
      <c r="V1893" t="s">
        <v>12802</v>
      </c>
      <c r="W1893" t="s">
        <v>14655</v>
      </c>
      <c r="X1893">
        <v>2</v>
      </c>
      <c r="Y1893" t="s">
        <v>20959</v>
      </c>
      <c r="Z1893" t="s">
        <v>27211</v>
      </c>
      <c r="AA1893">
        <v>0.68566582144810662</v>
      </c>
      <c r="AB1893" t="str">
        <f>HYPERLINK("Melting_Curves/meltCurve_O95807_TMEM50A.pdf", "Melting_Curves/meltCurve_O95807_TMEM50A.pdf")</f>
        <v>Melting_Curves/meltCurve_O95807_TMEM50A.pdf</v>
      </c>
    </row>
    <row r="1894" spans="1:28" x14ac:dyDescent="0.25">
      <c r="A1894" t="s">
        <v>1898</v>
      </c>
      <c r="B1894">
        <v>0.99542014353169495</v>
      </c>
      <c r="C1894">
        <v>0.94285724969434204</v>
      </c>
      <c r="D1894">
        <v>0.91294752040579696</v>
      </c>
      <c r="E1894">
        <v>0.68538603864803305</v>
      </c>
      <c r="F1894">
        <v>0.43376595492678199</v>
      </c>
      <c r="G1894">
        <v>0.25673708001470602</v>
      </c>
      <c r="H1894">
        <v>0.19406024821499901</v>
      </c>
      <c r="I1894">
        <v>0.17816743504509799</v>
      </c>
      <c r="J1894">
        <v>0.29471525783776098</v>
      </c>
      <c r="K1894">
        <v>0.38607773557432201</v>
      </c>
      <c r="L1894">
        <v>1080.7674503020201</v>
      </c>
      <c r="M1894">
        <v>22.901237780317501</v>
      </c>
      <c r="N1894">
        <v>48.708220048290997</v>
      </c>
      <c r="O1894">
        <v>46.8371144646541</v>
      </c>
      <c r="P1894">
        <v>-9.1091126249363594E-2</v>
      </c>
      <c r="Q1894">
        <v>0.25482379063625099</v>
      </c>
      <c r="R1894">
        <v>0.96318945662776601</v>
      </c>
      <c r="S1894" t="s">
        <v>8296</v>
      </c>
      <c r="T1894" t="s">
        <v>12802</v>
      </c>
      <c r="U1894" t="s">
        <v>12802</v>
      </c>
      <c r="V1894" t="s">
        <v>12802</v>
      </c>
      <c r="W1894" t="s">
        <v>14656</v>
      </c>
      <c r="X1894">
        <v>10</v>
      </c>
      <c r="Y1894" t="s">
        <v>20960</v>
      </c>
      <c r="Z1894" t="s">
        <v>27212</v>
      </c>
      <c r="AA1894">
        <v>0.51547510681218378</v>
      </c>
      <c r="AB1894" t="str">
        <f>HYPERLINK("Melting_Curves/meltCurve_O95810_SDPR.pdf", "Melting_Curves/meltCurve_O95810_SDPR.pdf")</f>
        <v>Melting_Curves/meltCurve_O95810_SDPR.pdf</v>
      </c>
    </row>
    <row r="1895" spans="1:28" x14ac:dyDescent="0.25">
      <c r="A1895" t="s">
        <v>1899</v>
      </c>
      <c r="B1895">
        <v>0.99542014353169495</v>
      </c>
      <c r="C1895">
        <v>0.97950844700474504</v>
      </c>
      <c r="D1895">
        <v>0.98626206671732597</v>
      </c>
      <c r="E1895">
        <v>0.88985389708698903</v>
      </c>
      <c r="F1895">
        <v>0.68673868460322995</v>
      </c>
      <c r="G1895">
        <v>0.43992286788811003</v>
      </c>
      <c r="H1895">
        <v>0.16044877895446999</v>
      </c>
      <c r="I1895">
        <v>9.0618107408209095E-2</v>
      </c>
      <c r="J1895">
        <v>0.109237838589541</v>
      </c>
      <c r="K1895">
        <v>0.134247885191073</v>
      </c>
      <c r="L1895">
        <v>1013.40331274842</v>
      </c>
      <c r="M1895">
        <v>19.4895402858082</v>
      </c>
      <c r="N1895">
        <v>52.462271527932998</v>
      </c>
      <c r="O1895">
        <v>51.459144689297297</v>
      </c>
      <c r="P1895">
        <v>-8.7177221913156203E-2</v>
      </c>
      <c r="Q1895">
        <v>7.9320808891369499E-2</v>
      </c>
      <c r="R1895">
        <v>0.99417892333936697</v>
      </c>
      <c r="S1895" t="s">
        <v>8297</v>
      </c>
      <c r="T1895" t="s">
        <v>12802</v>
      </c>
      <c r="U1895" t="s">
        <v>12802</v>
      </c>
      <c r="V1895" t="s">
        <v>12802</v>
      </c>
      <c r="W1895" t="s">
        <v>14657</v>
      </c>
      <c r="X1895">
        <v>9</v>
      </c>
      <c r="Y1895" t="s">
        <v>20961</v>
      </c>
      <c r="Z1895" t="s">
        <v>27213</v>
      </c>
      <c r="AA1895">
        <v>0.5519537417274305</v>
      </c>
      <c r="AB1895" t="str">
        <f>HYPERLINK("Melting_Curves/meltCurve_O95816_BAG2.pdf", "Melting_Curves/meltCurve_O95816_BAG2.pdf")</f>
        <v>Melting_Curves/meltCurve_O95816_BAG2.pdf</v>
      </c>
    </row>
    <row r="1896" spans="1:28" x14ac:dyDescent="0.25">
      <c r="A1896" t="s">
        <v>1900</v>
      </c>
      <c r="B1896">
        <v>0.99542014353169495</v>
      </c>
      <c r="C1896">
        <v>1.0111489507639</v>
      </c>
      <c r="D1896">
        <v>0.95321864203456597</v>
      </c>
      <c r="E1896">
        <v>0.88320675765860501</v>
      </c>
      <c r="F1896">
        <v>0.74361213057223496</v>
      </c>
      <c r="G1896">
        <v>0.56410804572715001</v>
      </c>
      <c r="H1896">
        <v>0.4446767310677</v>
      </c>
      <c r="I1896">
        <v>0.32204366976170501</v>
      </c>
      <c r="J1896">
        <v>0.55974610019595505</v>
      </c>
      <c r="K1896">
        <v>0.78773764063031904</v>
      </c>
      <c r="L1896">
        <v>1298.08029442527</v>
      </c>
      <c r="M1896">
        <v>26.369947881688699</v>
      </c>
      <c r="O1896">
        <v>48.945269070455304</v>
      </c>
      <c r="P1896">
        <v>-6.3579728360072293E-2</v>
      </c>
      <c r="Q1896">
        <v>0.52796373007699204</v>
      </c>
      <c r="R1896">
        <v>0.76508251600041399</v>
      </c>
      <c r="S1896" t="s">
        <v>8298</v>
      </c>
      <c r="T1896" t="s">
        <v>12802</v>
      </c>
      <c r="U1896" t="s">
        <v>12802</v>
      </c>
      <c r="V1896" t="s">
        <v>12802</v>
      </c>
      <c r="W1896" t="s">
        <v>14658</v>
      </c>
      <c r="X1896">
        <v>23</v>
      </c>
      <c r="Y1896" t="s">
        <v>20962</v>
      </c>
      <c r="Z1896" t="s">
        <v>27214</v>
      </c>
      <c r="AA1896">
        <v>0.72401763551165976</v>
      </c>
      <c r="AB1896" t="str">
        <f>HYPERLINK("Melting_Curves/meltCurve_O95817_BAG3.pdf", "Melting_Curves/meltCurve_O95817_BAG3.pdf")</f>
        <v>Melting_Curves/meltCurve_O95817_BAG3.pdf</v>
      </c>
    </row>
    <row r="1897" spans="1:28" x14ac:dyDescent="0.25">
      <c r="A1897" t="s">
        <v>1901</v>
      </c>
      <c r="B1897">
        <v>0.99542014353169495</v>
      </c>
      <c r="C1897">
        <v>1.0010004233254399</v>
      </c>
      <c r="D1897">
        <v>0.98767187022942304</v>
      </c>
      <c r="E1897">
        <v>0.88559229132193695</v>
      </c>
      <c r="F1897">
        <v>0.774796536871726</v>
      </c>
      <c r="G1897">
        <v>0.70660605485556605</v>
      </c>
      <c r="H1897">
        <v>0.40424572353891602</v>
      </c>
      <c r="I1897">
        <v>0.12932686597850701</v>
      </c>
      <c r="J1897">
        <v>5.3797573189441499E-2</v>
      </c>
      <c r="K1897">
        <v>5.2489304350561997E-2</v>
      </c>
      <c r="L1897">
        <v>922.40119267711395</v>
      </c>
      <c r="M1897">
        <v>16.603217999572198</v>
      </c>
      <c r="N1897">
        <v>55.555568350552399</v>
      </c>
      <c r="O1897">
        <v>54.768408958980402</v>
      </c>
      <c r="P1897">
        <v>-7.5793438044867101E-2</v>
      </c>
      <c r="Q1897">
        <v>0</v>
      </c>
      <c r="R1897">
        <v>0.98351761664253501</v>
      </c>
      <c r="S1897" t="s">
        <v>8299</v>
      </c>
      <c r="T1897" t="s">
        <v>12802</v>
      </c>
      <c r="U1897" t="s">
        <v>12802</v>
      </c>
      <c r="V1897" t="s">
        <v>12802</v>
      </c>
      <c r="W1897" t="s">
        <v>14659</v>
      </c>
      <c r="X1897">
        <v>11</v>
      </c>
      <c r="Y1897" t="s">
        <v>20963</v>
      </c>
      <c r="Z1897" t="s">
        <v>27215</v>
      </c>
      <c r="AA1897">
        <v>0.63084488364254676</v>
      </c>
      <c r="AB1897" t="str">
        <f>HYPERLINK("Melting_Curves/meltCurve_O95825_CRYZL1.pdf", "Melting_Curves/meltCurve_O95825_CRYZL1.pdf")</f>
        <v>Melting_Curves/meltCurve_O95825_CRYZL1.pdf</v>
      </c>
    </row>
    <row r="1898" spans="1:28" x14ac:dyDescent="0.25">
      <c r="A1898" t="s">
        <v>1902</v>
      </c>
      <c r="B1898">
        <v>0.99542014353169495</v>
      </c>
      <c r="C1898">
        <v>0.89402080651308302</v>
      </c>
      <c r="D1898">
        <v>0.88814273144988598</v>
      </c>
      <c r="E1898">
        <v>0.83552920668435005</v>
      </c>
      <c r="F1898">
        <v>0.726812735580456</v>
      </c>
      <c r="G1898">
        <v>0.57548358611275896</v>
      </c>
      <c r="H1898">
        <v>0.40257616589590001</v>
      </c>
      <c r="I1898">
        <v>0.313382318499483</v>
      </c>
      <c r="J1898">
        <v>0.179892008149378</v>
      </c>
      <c r="K1898">
        <v>0.101001304048942</v>
      </c>
      <c r="L1898">
        <v>517.21851455008095</v>
      </c>
      <c r="M1898">
        <v>9.4156089485582708</v>
      </c>
      <c r="N1898">
        <v>54.932029997808698</v>
      </c>
      <c r="O1898">
        <v>52.6251337518394</v>
      </c>
      <c r="P1898">
        <v>-4.4756994072479503E-2</v>
      </c>
      <c r="Q1898">
        <v>0</v>
      </c>
      <c r="R1898">
        <v>0.98545461359137498</v>
      </c>
      <c r="S1898" t="s">
        <v>8300</v>
      </c>
      <c r="T1898" t="s">
        <v>12802</v>
      </c>
      <c r="U1898" t="s">
        <v>12802</v>
      </c>
      <c r="V1898" t="s">
        <v>12802</v>
      </c>
      <c r="W1898" t="s">
        <v>14660</v>
      </c>
      <c r="X1898">
        <v>26</v>
      </c>
      <c r="Y1898" t="s">
        <v>20964</v>
      </c>
      <c r="Z1898" t="s">
        <v>27216</v>
      </c>
      <c r="AA1898">
        <v>0.60920018752140292</v>
      </c>
      <c r="AB1898" t="str">
        <f>HYPERLINK("Melting_Curves/meltCurve_O95831_3_AIFM1.pdf", "Melting_Curves/meltCurve_O95831_3_AIFM1.pdf")</f>
        <v>Melting_Curves/meltCurve_O95831_3_AIFM1.pdf</v>
      </c>
    </row>
    <row r="1899" spans="1:28" x14ac:dyDescent="0.25">
      <c r="A1899" t="s">
        <v>1903</v>
      </c>
      <c r="B1899">
        <v>0.99542014353169495</v>
      </c>
      <c r="C1899">
        <v>1.0539503531893999</v>
      </c>
      <c r="D1899">
        <v>0.98747598047599505</v>
      </c>
      <c r="E1899">
        <v>0.87346178584907497</v>
      </c>
      <c r="F1899">
        <v>0.69102521225463798</v>
      </c>
      <c r="G1899">
        <v>0.34262675724641001</v>
      </c>
      <c r="H1899">
        <v>0.15652535381728999</v>
      </c>
      <c r="I1899">
        <v>0.102301929008628</v>
      </c>
      <c r="J1899">
        <v>0.10787345732654501</v>
      </c>
      <c r="K1899">
        <v>0.10445157349999</v>
      </c>
      <c r="L1899">
        <v>1111.8201641600699</v>
      </c>
      <c r="M1899">
        <v>21.587432541325001</v>
      </c>
      <c r="N1899">
        <v>51.946665244590903</v>
      </c>
      <c r="O1899">
        <v>51.067272820424598</v>
      </c>
      <c r="P1899">
        <v>-9.67889531400042E-2</v>
      </c>
      <c r="Q1899">
        <v>8.4165486463380804E-2</v>
      </c>
      <c r="R1899">
        <v>0.99605963774436401</v>
      </c>
      <c r="S1899" t="s">
        <v>8301</v>
      </c>
      <c r="T1899" t="s">
        <v>12802</v>
      </c>
      <c r="U1899" t="s">
        <v>12802</v>
      </c>
      <c r="V1899" t="s">
        <v>12802</v>
      </c>
      <c r="W1899" t="s">
        <v>14661</v>
      </c>
      <c r="X1899">
        <v>13</v>
      </c>
      <c r="Y1899" t="s">
        <v>20965</v>
      </c>
      <c r="Z1899" t="s">
        <v>27217</v>
      </c>
      <c r="AA1899">
        <v>0.53741688157395273</v>
      </c>
      <c r="AB1899" t="str">
        <f>HYPERLINK("Melting_Curves/meltCurve_O95834_EML2.pdf", "Melting_Curves/meltCurve_O95834_EML2.pdf")</f>
        <v>Melting_Curves/meltCurve_O95834_EML2.pdf</v>
      </c>
    </row>
    <row r="1900" spans="1:28" x14ac:dyDescent="0.25">
      <c r="A1900" t="s">
        <v>1904</v>
      </c>
      <c r="B1900">
        <v>0.99542014353169495</v>
      </c>
      <c r="C1900">
        <v>0.81539540246297104</v>
      </c>
      <c r="D1900">
        <v>0.45313351745584801</v>
      </c>
      <c r="E1900">
        <v>0.214522517897172</v>
      </c>
      <c r="F1900">
        <v>0.12668634365201401</v>
      </c>
      <c r="G1900">
        <v>8.2332759344560899E-2</v>
      </c>
      <c r="H1900">
        <v>5.7204377742821999E-2</v>
      </c>
      <c r="I1900">
        <v>4.5929959240818601E-2</v>
      </c>
      <c r="J1900">
        <v>5.6222294179532901E-2</v>
      </c>
      <c r="K1900">
        <v>6.8719495780257295E-2</v>
      </c>
      <c r="L1900">
        <v>885.72963130936898</v>
      </c>
      <c r="M1900">
        <v>20.836621332235602</v>
      </c>
      <c r="N1900">
        <v>42.792464995237502</v>
      </c>
      <c r="O1900">
        <v>42.122590472718301</v>
      </c>
      <c r="P1900">
        <v>-0.11567998505992701</v>
      </c>
      <c r="Q1900">
        <v>6.4607339601442201E-2</v>
      </c>
      <c r="R1900">
        <v>0.99669494704318795</v>
      </c>
      <c r="S1900" t="s">
        <v>8302</v>
      </c>
      <c r="T1900" t="s">
        <v>12802</v>
      </c>
      <c r="U1900" t="s">
        <v>12802</v>
      </c>
      <c r="V1900" t="s">
        <v>12802</v>
      </c>
      <c r="W1900" t="s">
        <v>14662</v>
      </c>
      <c r="X1900">
        <v>6</v>
      </c>
      <c r="Y1900" t="s">
        <v>20966</v>
      </c>
      <c r="Z1900" t="s">
        <v>27218</v>
      </c>
      <c r="AA1900">
        <v>0.24861105559254679</v>
      </c>
      <c r="AB1900" t="str">
        <f>HYPERLINK("Melting_Curves/meltCurve_O95835_LATS1.pdf", "Melting_Curves/meltCurve_O95835_LATS1.pdf")</f>
        <v>Melting_Curves/meltCurve_O95835_LATS1.pdf</v>
      </c>
    </row>
    <row r="1901" spans="1:28" x14ac:dyDescent="0.25">
      <c r="A1901" t="s">
        <v>1905</v>
      </c>
      <c r="B1901">
        <v>0.99542014353169495</v>
      </c>
      <c r="C1901">
        <v>1.11309605828506</v>
      </c>
      <c r="D1901">
        <v>0.992942115511387</v>
      </c>
      <c r="E1901">
        <v>0.94797766282736695</v>
      </c>
      <c r="F1901">
        <v>0.65336636551119298</v>
      </c>
      <c r="G1901">
        <v>0.49351313785156897</v>
      </c>
      <c r="H1901">
        <v>0.30699205209318903</v>
      </c>
      <c r="I1901">
        <v>0.42526008320880498</v>
      </c>
      <c r="J1901">
        <v>0.69535390044599799</v>
      </c>
      <c r="K1901">
        <v>0.91139334157238805</v>
      </c>
      <c r="L1901">
        <v>2429.9144226425101</v>
      </c>
      <c r="M1901">
        <v>49.960839612788099</v>
      </c>
      <c r="O1901">
        <v>48.558654619412302</v>
      </c>
      <c r="P1901">
        <v>-0.111253947557049</v>
      </c>
      <c r="Q1901">
        <v>0.56747430772681096</v>
      </c>
      <c r="R1901">
        <v>0.65250910162142595</v>
      </c>
      <c r="S1901" t="s">
        <v>8303</v>
      </c>
      <c r="T1901" t="s">
        <v>12802</v>
      </c>
      <c r="U1901" t="s">
        <v>12802</v>
      </c>
      <c r="V1901" t="s">
        <v>12802</v>
      </c>
      <c r="W1901" t="s">
        <v>14663</v>
      </c>
      <c r="X1901">
        <v>3</v>
      </c>
      <c r="Y1901" t="s">
        <v>20967</v>
      </c>
      <c r="Z1901" t="s">
        <v>27219</v>
      </c>
      <c r="AA1901">
        <v>0.73617145851374588</v>
      </c>
      <c r="AB1901" t="str">
        <f>HYPERLINK("Melting_Curves/meltCurve_O95857_TSPAN13.pdf", "Melting_Curves/meltCurve_O95857_TSPAN13.pdf")</f>
        <v>Melting_Curves/meltCurve_O95857_TSPAN13.pdf</v>
      </c>
    </row>
    <row r="1902" spans="1:28" x14ac:dyDescent="0.25">
      <c r="A1902" t="s">
        <v>1906</v>
      </c>
      <c r="B1902">
        <v>0.99542014353169495</v>
      </c>
      <c r="C1902">
        <v>1.02552108628376</v>
      </c>
      <c r="D1902">
        <v>0.93164782521785605</v>
      </c>
      <c r="E1902">
        <v>0.90580379502180197</v>
      </c>
      <c r="F1902">
        <v>0.74043752751877201</v>
      </c>
      <c r="G1902">
        <v>0.66615531664667504</v>
      </c>
      <c r="H1902">
        <v>0.30371547999077197</v>
      </c>
      <c r="I1902">
        <v>6.0469829800815E-2</v>
      </c>
      <c r="J1902">
        <v>3.7139367725999302E-2</v>
      </c>
      <c r="K1902">
        <v>4.2431586827474298E-2</v>
      </c>
      <c r="L1902">
        <v>958.29737525321696</v>
      </c>
      <c r="M1902">
        <v>17.547680650510699</v>
      </c>
      <c r="N1902">
        <v>54.611057823971002</v>
      </c>
      <c r="O1902">
        <v>53.916626369275299</v>
      </c>
      <c r="P1902">
        <v>-8.1369324552983305E-2</v>
      </c>
      <c r="Q1902">
        <v>0</v>
      </c>
      <c r="R1902">
        <v>0.98043961760325105</v>
      </c>
      <c r="S1902" t="s">
        <v>8304</v>
      </c>
      <c r="T1902" t="s">
        <v>12802</v>
      </c>
      <c r="U1902" t="s">
        <v>12802</v>
      </c>
      <c r="V1902" t="s">
        <v>12802</v>
      </c>
      <c r="W1902" t="s">
        <v>14664</v>
      </c>
      <c r="X1902">
        <v>9</v>
      </c>
      <c r="Y1902" t="s">
        <v>20968</v>
      </c>
      <c r="Z1902" t="s">
        <v>27220</v>
      </c>
      <c r="AA1902">
        <v>0.60040572189028085</v>
      </c>
      <c r="AB1902" t="str">
        <f>HYPERLINK("Melting_Curves/meltCurve_O95865_DDAH2.pdf", "Melting_Curves/meltCurve_O95865_DDAH2.pdf")</f>
        <v>Melting_Curves/meltCurve_O95865_DDAH2.pdf</v>
      </c>
    </row>
    <row r="1903" spans="1:28" x14ac:dyDescent="0.25">
      <c r="A1903" t="s">
        <v>1907</v>
      </c>
      <c r="B1903">
        <v>0.99542014353169495</v>
      </c>
      <c r="C1903">
        <v>1.0536556884547399</v>
      </c>
      <c r="D1903">
        <v>1.1780476954047701</v>
      </c>
      <c r="E1903">
        <v>0.94163572151716701</v>
      </c>
      <c r="F1903">
        <v>0.88854699503819901</v>
      </c>
      <c r="G1903">
        <v>0.55924843872128804</v>
      </c>
      <c r="H1903">
        <v>0.57422975586619496</v>
      </c>
      <c r="I1903">
        <v>0.464766467571673</v>
      </c>
      <c r="J1903">
        <v>0.52880979850736798</v>
      </c>
      <c r="K1903">
        <v>0.67222605014312398</v>
      </c>
      <c r="L1903">
        <v>4477.3973825191997</v>
      </c>
      <c r="M1903">
        <v>88.1104832964906</v>
      </c>
      <c r="O1903">
        <v>50.789557593036399</v>
      </c>
      <c r="P1903">
        <v>-0.19117465952533599</v>
      </c>
      <c r="Q1903">
        <v>0.55920452913959495</v>
      </c>
      <c r="R1903">
        <v>0.89554715591146505</v>
      </c>
      <c r="S1903" t="s">
        <v>8305</v>
      </c>
      <c r="T1903" t="s">
        <v>12802</v>
      </c>
      <c r="U1903" t="s">
        <v>12802</v>
      </c>
      <c r="V1903" t="s">
        <v>12802</v>
      </c>
      <c r="W1903" t="s">
        <v>14665</v>
      </c>
      <c r="X1903">
        <v>1</v>
      </c>
      <c r="Y1903" t="s">
        <v>20969</v>
      </c>
      <c r="Z1903" t="s">
        <v>27221</v>
      </c>
      <c r="AA1903">
        <v>0.76251834421682652</v>
      </c>
      <c r="AB1903" t="str">
        <f>HYPERLINK("Melting_Curves/meltCurve_O95873_C6orf47.pdf", "Melting_Curves/meltCurve_O95873_C6orf47.pdf")</f>
        <v>Melting_Curves/meltCurve_O95873_C6orf47.pdf</v>
      </c>
    </row>
    <row r="1904" spans="1:28" x14ac:dyDescent="0.25">
      <c r="A1904" t="s">
        <v>1908</v>
      </c>
      <c r="B1904">
        <v>0.99542014353169495</v>
      </c>
      <c r="C1904">
        <v>1.0198543389108501</v>
      </c>
      <c r="D1904">
        <v>0.93625524001992899</v>
      </c>
      <c r="E1904">
        <v>0.83101722790524601</v>
      </c>
      <c r="F1904">
        <v>0.51337258982183098</v>
      </c>
      <c r="G1904">
        <v>0.27875259613172498</v>
      </c>
      <c r="H1904">
        <v>0.150082346689831</v>
      </c>
      <c r="I1904">
        <v>0.10450914433651801</v>
      </c>
      <c r="J1904">
        <v>0.14030098247099601</v>
      </c>
      <c r="K1904">
        <v>0.16833472264969801</v>
      </c>
      <c r="L1904">
        <v>1058.6981367763201</v>
      </c>
      <c r="M1904">
        <v>21.321430257299699</v>
      </c>
      <c r="N1904">
        <v>50.335893918017298</v>
      </c>
      <c r="O1904">
        <v>49.223557769057997</v>
      </c>
      <c r="P1904">
        <v>-9.4711579420990094E-2</v>
      </c>
      <c r="Q1904">
        <v>0.12540104433973101</v>
      </c>
      <c r="R1904">
        <v>0.99614887721142997</v>
      </c>
      <c r="S1904" t="s">
        <v>8306</v>
      </c>
      <c r="T1904" t="s">
        <v>12802</v>
      </c>
      <c r="U1904" t="s">
        <v>12802</v>
      </c>
      <c r="V1904" t="s">
        <v>12802</v>
      </c>
      <c r="W1904" t="s">
        <v>14666</v>
      </c>
      <c r="X1904">
        <v>8</v>
      </c>
      <c r="Y1904" t="s">
        <v>20970</v>
      </c>
      <c r="Z1904" t="s">
        <v>27222</v>
      </c>
      <c r="AA1904">
        <v>0.5045824255842597</v>
      </c>
      <c r="AB1904" t="str">
        <f>HYPERLINK("Melting_Curves/meltCurve_O95881_TXNDC12.pdf", "Melting_Curves/meltCurve_O95881_TXNDC12.pdf")</f>
        <v>Melting_Curves/meltCurve_O95881_TXNDC12.pdf</v>
      </c>
    </row>
    <row r="1905" spans="1:28" x14ac:dyDescent="0.25">
      <c r="A1905" t="s">
        <v>1909</v>
      </c>
      <c r="B1905">
        <v>0.99542014353169495</v>
      </c>
      <c r="C1905">
        <v>1.0059924141305201</v>
      </c>
      <c r="D1905">
        <v>0.90371529409008</v>
      </c>
      <c r="E1905">
        <v>0.52622873887849397</v>
      </c>
      <c r="F1905">
        <v>0.202551189880147</v>
      </c>
      <c r="G1905">
        <v>0.103599374821151</v>
      </c>
      <c r="H1905">
        <v>7.0376088162146397E-2</v>
      </c>
      <c r="I1905">
        <v>4.6506933106409402E-2</v>
      </c>
      <c r="J1905">
        <v>5.0674620078518799E-2</v>
      </c>
      <c r="K1905">
        <v>3.9437612247361302E-2</v>
      </c>
      <c r="L1905">
        <v>1134.72493706619</v>
      </c>
      <c r="M1905">
        <v>24.3077727540391</v>
      </c>
      <c r="N1905">
        <v>46.892481996990199</v>
      </c>
      <c r="O1905">
        <v>46.369055615061299</v>
      </c>
      <c r="P1905">
        <v>-0.124271299211101</v>
      </c>
      <c r="Q1905">
        <v>5.1783533546498901E-2</v>
      </c>
      <c r="R1905">
        <v>0.99925413774257599</v>
      </c>
      <c r="S1905" t="s">
        <v>8307</v>
      </c>
      <c r="T1905" t="s">
        <v>12802</v>
      </c>
      <c r="U1905" t="s">
        <v>12802</v>
      </c>
      <c r="V1905" t="s">
        <v>12802</v>
      </c>
      <c r="W1905" t="s">
        <v>14667</v>
      </c>
      <c r="X1905">
        <v>11</v>
      </c>
      <c r="Y1905" t="s">
        <v>20971</v>
      </c>
      <c r="Z1905" t="s">
        <v>27223</v>
      </c>
      <c r="AA1905">
        <v>0.36618141244162672</v>
      </c>
      <c r="AB1905" t="str">
        <f>HYPERLINK("Melting_Curves/meltCurve_O95905_ECD.pdf", "Melting_Curves/meltCurve_O95905_ECD.pdf")</f>
        <v>Melting_Curves/meltCurve_O95905_ECD.pdf</v>
      </c>
    </row>
    <row r="1906" spans="1:28" x14ac:dyDescent="0.25">
      <c r="A1906" t="s">
        <v>1910</v>
      </c>
      <c r="B1906">
        <v>0.99542014353169495</v>
      </c>
      <c r="C1906">
        <v>0.97756959481451899</v>
      </c>
      <c r="D1906">
        <v>0.84411138976068301</v>
      </c>
      <c r="E1906">
        <v>0.70821485015724495</v>
      </c>
      <c r="F1906">
        <v>0.59049820434978895</v>
      </c>
      <c r="G1906">
        <v>0.57682158215009705</v>
      </c>
      <c r="H1906">
        <v>0.596033694398031</v>
      </c>
      <c r="I1906">
        <v>0.56329108550021501</v>
      </c>
      <c r="J1906">
        <v>0.80787415480472702</v>
      </c>
      <c r="K1906">
        <v>1.03513328544019</v>
      </c>
      <c r="L1906">
        <v>1817.4107431412999</v>
      </c>
      <c r="M1906">
        <v>42.342507149910503</v>
      </c>
      <c r="O1906">
        <v>42.826252761538903</v>
      </c>
      <c r="P1906">
        <v>-7.5294020011590898E-2</v>
      </c>
      <c r="Q1906">
        <v>0.69538358869905303</v>
      </c>
      <c r="R1906">
        <v>0.43063654790848599</v>
      </c>
      <c r="S1906" t="s">
        <v>8308</v>
      </c>
      <c r="T1906" t="s">
        <v>12802</v>
      </c>
      <c r="U1906" t="s">
        <v>12802</v>
      </c>
      <c r="V1906" t="s">
        <v>12802</v>
      </c>
      <c r="W1906" t="s">
        <v>14668</v>
      </c>
      <c r="X1906">
        <v>6</v>
      </c>
      <c r="Y1906" t="s">
        <v>20972</v>
      </c>
      <c r="Z1906" t="s">
        <v>27224</v>
      </c>
      <c r="AA1906">
        <v>0.75632578720695898</v>
      </c>
      <c r="AB1906" t="str">
        <f>HYPERLINK("Melting_Curves/meltCurve_O95926_SYF2.pdf", "Melting_Curves/meltCurve_O95926_SYF2.pdf")</f>
        <v>Melting_Curves/meltCurve_O95926_SYF2.pdf</v>
      </c>
    </row>
    <row r="1907" spans="1:28" x14ac:dyDescent="0.25">
      <c r="A1907" t="s">
        <v>1911</v>
      </c>
      <c r="B1907">
        <v>0.99542014353169495</v>
      </c>
      <c r="C1907">
        <v>0.80656262743165197</v>
      </c>
      <c r="D1907">
        <v>0.75648656040166795</v>
      </c>
      <c r="E1907">
        <v>0.36271498743921798</v>
      </c>
      <c r="F1907">
        <v>0.21192571506292801</v>
      </c>
      <c r="G1907">
        <v>0.11578799145728</v>
      </c>
      <c r="H1907">
        <v>9.7840402284375697E-2</v>
      </c>
      <c r="I1907">
        <v>6.6024358597448096E-2</v>
      </c>
      <c r="J1907">
        <v>7.9928367914185103E-2</v>
      </c>
      <c r="K1907">
        <v>5.8035433647568697E-2</v>
      </c>
      <c r="L1907">
        <v>713.67846765144895</v>
      </c>
      <c r="M1907">
        <v>15.8937169858613</v>
      </c>
      <c r="N1907">
        <v>45.260197812425197</v>
      </c>
      <c r="O1907">
        <v>44.210359957148</v>
      </c>
      <c r="P1907">
        <v>-8.4587189096239995E-2</v>
      </c>
      <c r="Q1907">
        <v>5.8916267025468698E-2</v>
      </c>
      <c r="R1907">
        <v>0.98852351347864098</v>
      </c>
      <c r="S1907" t="s">
        <v>8309</v>
      </c>
      <c r="T1907" t="s">
        <v>12802</v>
      </c>
      <c r="U1907" t="s">
        <v>12802</v>
      </c>
      <c r="V1907" t="s">
        <v>12802</v>
      </c>
      <c r="W1907" t="s">
        <v>14669</v>
      </c>
      <c r="X1907">
        <v>10</v>
      </c>
      <c r="Y1907" t="s">
        <v>20973</v>
      </c>
      <c r="Z1907" t="s">
        <v>27225</v>
      </c>
      <c r="AA1907">
        <v>0.32682128141165051</v>
      </c>
      <c r="AB1907" t="str">
        <f>HYPERLINK("Melting_Curves/meltCurve_O95983_2_MBD3.pdf", "Melting_Curves/meltCurve_O95983_2_MBD3.pdf")</f>
        <v>Melting_Curves/meltCurve_O95983_2_MBD3.pdf</v>
      </c>
    </row>
    <row r="1908" spans="1:28" x14ac:dyDescent="0.25">
      <c r="A1908" t="s">
        <v>1912</v>
      </c>
      <c r="B1908">
        <v>0.99542014353169495</v>
      </c>
      <c r="C1908">
        <v>0.990002391086508</v>
      </c>
      <c r="D1908">
        <v>0.93666417349637199</v>
      </c>
      <c r="E1908">
        <v>0.73797361024812302</v>
      </c>
      <c r="F1908">
        <v>0.40630260872778601</v>
      </c>
      <c r="G1908">
        <v>0.187592159814404</v>
      </c>
      <c r="H1908">
        <v>9.5483658523153103E-2</v>
      </c>
      <c r="I1908">
        <v>7.5655002695446796E-2</v>
      </c>
      <c r="J1908">
        <v>8.8639685446139801E-2</v>
      </c>
      <c r="K1908">
        <v>0.10353540739012</v>
      </c>
      <c r="L1908">
        <v>1014.8453076567901</v>
      </c>
      <c r="M1908">
        <v>20.842393829386499</v>
      </c>
      <c r="N1908">
        <v>49.0838139603634</v>
      </c>
      <c r="O1908">
        <v>48.2498102115552</v>
      </c>
      <c r="P1908">
        <v>-9.9707365393683398E-2</v>
      </c>
      <c r="Q1908">
        <v>7.6741670603656303E-2</v>
      </c>
      <c r="R1908">
        <v>0.99912334302564898</v>
      </c>
      <c r="S1908" t="s">
        <v>8310</v>
      </c>
      <c r="T1908" t="s">
        <v>12802</v>
      </c>
      <c r="U1908" t="s">
        <v>12802</v>
      </c>
      <c r="V1908" t="s">
        <v>12802</v>
      </c>
      <c r="W1908" t="s">
        <v>14670</v>
      </c>
      <c r="X1908">
        <v>13</v>
      </c>
      <c r="Y1908" t="s">
        <v>20974</v>
      </c>
      <c r="Z1908" t="s">
        <v>27226</v>
      </c>
      <c r="AA1908">
        <v>0.44780683600913618</v>
      </c>
      <c r="AB1908" t="str">
        <f>HYPERLINK("Melting_Curves/meltCurve_O95985_TOP3B.pdf", "Melting_Curves/meltCurve_O95985_TOP3B.pdf")</f>
        <v>Melting_Curves/meltCurve_O95985_TOP3B.pdf</v>
      </c>
    </row>
    <row r="1909" spans="1:28" x14ac:dyDescent="0.25">
      <c r="A1909" t="s">
        <v>1913</v>
      </c>
      <c r="B1909">
        <v>0.99542014353169495</v>
      </c>
      <c r="C1909">
        <v>1.03067038932522</v>
      </c>
      <c r="D1909">
        <v>0.95233002452142101</v>
      </c>
      <c r="E1909">
        <v>0.92158631923205403</v>
      </c>
      <c r="F1909">
        <v>0.73185862358423504</v>
      </c>
      <c r="G1909">
        <v>0.57344225051744402</v>
      </c>
      <c r="H1909">
        <v>0.33755103831022298</v>
      </c>
      <c r="I1909">
        <v>0.13194247834622599</v>
      </c>
      <c r="J1909">
        <v>8.3961519209395097E-2</v>
      </c>
      <c r="K1909">
        <v>8.9549684738758697E-2</v>
      </c>
      <c r="L1909">
        <v>778.16278737653204</v>
      </c>
      <c r="M1909">
        <v>14.309995177831601</v>
      </c>
      <c r="N1909">
        <v>54.3789693180561</v>
      </c>
      <c r="O1909">
        <v>53.350089489375399</v>
      </c>
      <c r="P1909">
        <v>-6.7065180235980806E-2</v>
      </c>
      <c r="Q1909">
        <v>0</v>
      </c>
      <c r="R1909">
        <v>0.99455566216388303</v>
      </c>
      <c r="S1909" t="s">
        <v>8311</v>
      </c>
      <c r="T1909" t="s">
        <v>12802</v>
      </c>
      <c r="U1909" t="s">
        <v>12802</v>
      </c>
      <c r="V1909" t="s">
        <v>12802</v>
      </c>
      <c r="W1909" t="s">
        <v>14671</v>
      </c>
      <c r="X1909">
        <v>11</v>
      </c>
      <c r="Y1909" t="s">
        <v>20975</v>
      </c>
      <c r="Z1909" t="s">
        <v>27227</v>
      </c>
      <c r="AA1909">
        <v>0.59516354752648271</v>
      </c>
      <c r="AB1909" t="str">
        <f>HYPERLINK("Melting_Curves/meltCurve_O95989_NUDT3.pdf", "Melting_Curves/meltCurve_O95989_NUDT3.pdf")</f>
        <v>Melting_Curves/meltCurve_O95989_NUDT3.pdf</v>
      </c>
    </row>
    <row r="1910" spans="1:28" x14ac:dyDescent="0.25">
      <c r="A1910" t="s">
        <v>1914</v>
      </c>
      <c r="B1910">
        <v>0.99542014353169495</v>
      </c>
      <c r="C1910">
        <v>0.98541429758138799</v>
      </c>
      <c r="D1910">
        <v>0.86529385168767303</v>
      </c>
      <c r="E1910">
        <v>0.73805086015343302</v>
      </c>
      <c r="F1910">
        <v>0.54021576377287805</v>
      </c>
      <c r="G1910">
        <v>0.39737869279193</v>
      </c>
      <c r="H1910">
        <v>0.20289572411265699</v>
      </c>
      <c r="I1910">
        <v>0.109046109231414</v>
      </c>
      <c r="J1910">
        <v>0.14060507328712499</v>
      </c>
      <c r="K1910">
        <v>0.15106281022790899</v>
      </c>
      <c r="L1910">
        <v>618.89091026643405</v>
      </c>
      <c r="M1910">
        <v>12.3258792040778</v>
      </c>
      <c r="N1910">
        <v>50.838596453118498</v>
      </c>
      <c r="O1910">
        <v>48.943951135061099</v>
      </c>
      <c r="P1910">
        <v>-5.8526486289180703E-2</v>
      </c>
      <c r="Q1910">
        <v>7.0607408185509701E-2</v>
      </c>
      <c r="R1910">
        <v>0.99220690553384505</v>
      </c>
      <c r="S1910" t="s">
        <v>8312</v>
      </c>
      <c r="T1910" t="s">
        <v>12802</v>
      </c>
      <c r="U1910" t="s">
        <v>12802</v>
      </c>
      <c r="V1910" t="s">
        <v>12802</v>
      </c>
      <c r="W1910" t="s">
        <v>14672</v>
      </c>
      <c r="X1910">
        <v>3</v>
      </c>
      <c r="Y1910" t="s">
        <v>20976</v>
      </c>
      <c r="Z1910" t="s">
        <v>27228</v>
      </c>
      <c r="AA1910">
        <v>0.50474485990399265</v>
      </c>
      <c r="AB1910" t="str">
        <f>HYPERLINK("Melting_Curves/meltCurve_O95997_PTTG1.pdf", "Melting_Curves/meltCurve_O95997_PTTG1.pdf")</f>
        <v>Melting_Curves/meltCurve_O95997_PTTG1.pdf</v>
      </c>
    </row>
    <row r="1911" spans="1:28" x14ac:dyDescent="0.25">
      <c r="A1911" t="s">
        <v>1915</v>
      </c>
      <c r="B1911">
        <v>0.99542014353169495</v>
      </c>
      <c r="C1911">
        <v>1.07840546797153</v>
      </c>
      <c r="D1911">
        <v>0.89811748585818996</v>
      </c>
      <c r="E1911">
        <v>0.57832539565132401</v>
      </c>
      <c r="F1911">
        <v>0.27347501887854597</v>
      </c>
      <c r="G1911">
        <v>0.1292427703989</v>
      </c>
      <c r="H1911">
        <v>8.2864181266828901E-2</v>
      </c>
      <c r="I1911">
        <v>5.6564594783976199E-2</v>
      </c>
      <c r="J1911">
        <v>6.9587252875190297E-2</v>
      </c>
      <c r="K1911">
        <v>9.2504172378266594E-2</v>
      </c>
      <c r="L1911">
        <v>1071.5737047818</v>
      </c>
      <c r="M1911">
        <v>22.748148304000701</v>
      </c>
      <c r="N1911">
        <v>47.433595439373498</v>
      </c>
      <c r="O1911">
        <v>46.746476705442198</v>
      </c>
      <c r="P1911">
        <v>-0.112814893495809</v>
      </c>
      <c r="Q1911">
        <v>7.2698886596185605E-2</v>
      </c>
      <c r="R1911">
        <v>0.99362304103645605</v>
      </c>
      <c r="S1911" t="s">
        <v>8313</v>
      </c>
      <c r="T1911" t="s">
        <v>12802</v>
      </c>
      <c r="U1911" t="s">
        <v>12802</v>
      </c>
      <c r="V1911" t="s">
        <v>12802</v>
      </c>
      <c r="W1911" t="s">
        <v>14673</v>
      </c>
      <c r="X1911">
        <v>10</v>
      </c>
      <c r="Y1911" t="s">
        <v>20977</v>
      </c>
      <c r="Z1911" t="s">
        <v>27229</v>
      </c>
      <c r="AA1911">
        <v>0.39449531189952342</v>
      </c>
      <c r="AB1911" t="str">
        <f>HYPERLINK("Melting_Curves/meltCurve_O95999_BCL10.pdf", "Melting_Curves/meltCurve_O95999_BCL10.pdf")</f>
        <v>Melting_Curves/meltCurve_O95999_BCL10.pdf</v>
      </c>
    </row>
    <row r="1912" spans="1:28" x14ac:dyDescent="0.25">
      <c r="A1912" t="s">
        <v>1916</v>
      </c>
      <c r="B1912">
        <v>0.99542014353169495</v>
      </c>
      <c r="C1912">
        <v>0.80541950692164899</v>
      </c>
      <c r="D1912">
        <v>0.84747961981386899</v>
      </c>
      <c r="E1912">
        <v>0.60953107753101499</v>
      </c>
      <c r="F1912">
        <v>0.44719419206653199</v>
      </c>
      <c r="G1912">
        <v>0.23603126681498299</v>
      </c>
      <c r="H1912">
        <v>0.12571644324336501</v>
      </c>
      <c r="I1912">
        <v>0.100172444840474</v>
      </c>
      <c r="J1912">
        <v>0.111448784586881</v>
      </c>
      <c r="K1912">
        <v>9.3086929449084296E-2</v>
      </c>
      <c r="L1912">
        <v>536.86505713543602</v>
      </c>
      <c r="M1912">
        <v>11.129485399557501</v>
      </c>
      <c r="N1912">
        <v>48.492496317771703</v>
      </c>
      <c r="O1912">
        <v>46.759295472847</v>
      </c>
      <c r="P1912">
        <v>-5.7835309072033998E-2</v>
      </c>
      <c r="Q1912">
        <v>2.83589453782012E-2</v>
      </c>
      <c r="R1912">
        <v>0.98224005363830302</v>
      </c>
      <c r="S1912" t="s">
        <v>8314</v>
      </c>
      <c r="T1912" t="s">
        <v>12802</v>
      </c>
      <c r="U1912" t="s">
        <v>12802</v>
      </c>
      <c r="V1912" t="s">
        <v>12802</v>
      </c>
      <c r="W1912" t="s">
        <v>14674</v>
      </c>
      <c r="X1912">
        <v>12</v>
      </c>
      <c r="Y1912" t="s">
        <v>20978</v>
      </c>
      <c r="Z1912" t="s">
        <v>27230</v>
      </c>
      <c r="AA1912">
        <v>0.42571754748475971</v>
      </c>
      <c r="AB1912" t="str">
        <f>HYPERLINK("Melting_Curves/meltCurve_O96000_NDUFB10.pdf", "Melting_Curves/meltCurve_O96000_NDUFB10.pdf")</f>
        <v>Melting_Curves/meltCurve_O96000_NDUFB10.pdf</v>
      </c>
    </row>
    <row r="1913" spans="1:28" x14ac:dyDescent="0.25">
      <c r="A1913" t="s">
        <v>1917</v>
      </c>
      <c r="B1913">
        <v>0.99542014353169495</v>
      </c>
      <c r="C1913">
        <v>0.99551702830384603</v>
      </c>
      <c r="D1913">
        <v>0.95166421271978496</v>
      </c>
      <c r="E1913">
        <v>0.92943522213976004</v>
      </c>
      <c r="F1913">
        <v>0.72845383933561902</v>
      </c>
      <c r="G1913">
        <v>0.54381425504321901</v>
      </c>
      <c r="H1913">
        <v>0.37402382520946198</v>
      </c>
      <c r="I1913">
        <v>0.30924323144698201</v>
      </c>
      <c r="J1913">
        <v>0.47737305653154</v>
      </c>
      <c r="K1913">
        <v>0.56683558653669597</v>
      </c>
      <c r="L1913">
        <v>1394.0453734108801</v>
      </c>
      <c r="M1913">
        <v>27.7152115770742</v>
      </c>
      <c r="N1913">
        <v>54.238368639977402</v>
      </c>
      <c r="O1913">
        <v>50.0392361670159</v>
      </c>
      <c r="P1913">
        <v>-7.8483054965054602E-2</v>
      </c>
      <c r="Q1913">
        <v>0.433206848532736</v>
      </c>
      <c r="R1913">
        <v>0.929775358657982</v>
      </c>
      <c r="S1913" t="s">
        <v>8315</v>
      </c>
      <c r="T1913" t="s">
        <v>12802</v>
      </c>
      <c r="U1913" t="s">
        <v>12802</v>
      </c>
      <c r="V1913" t="s">
        <v>12802</v>
      </c>
      <c r="W1913" t="s">
        <v>14675</v>
      </c>
      <c r="X1913">
        <v>7</v>
      </c>
      <c r="Y1913" t="s">
        <v>20979</v>
      </c>
      <c r="Z1913" t="s">
        <v>27231</v>
      </c>
      <c r="AA1913">
        <v>0.68854455557177896</v>
      </c>
      <c r="AB1913" t="str">
        <f>HYPERLINK("Melting_Curves/meltCurve_O96007_MOCS2.pdf", "Melting_Curves/meltCurve_O96007_MOCS2.pdf")</f>
        <v>Melting_Curves/meltCurve_O96007_MOCS2.pdf</v>
      </c>
    </row>
    <row r="1914" spans="1:28" x14ac:dyDescent="0.25">
      <c r="A1914" t="s">
        <v>1918</v>
      </c>
      <c r="B1914">
        <v>0.99542014353169495</v>
      </c>
      <c r="C1914">
        <v>0.83216732602005195</v>
      </c>
      <c r="D1914">
        <v>0.858389585959352</v>
      </c>
      <c r="E1914">
        <v>0.63422270803164105</v>
      </c>
      <c r="F1914">
        <v>0.58369943430492399</v>
      </c>
      <c r="G1914">
        <v>0.33240091361714502</v>
      </c>
      <c r="H1914">
        <v>0.283784832391133</v>
      </c>
      <c r="I1914">
        <v>0.21141055292807401</v>
      </c>
      <c r="J1914">
        <v>0.28931837168528202</v>
      </c>
      <c r="K1914">
        <v>0.29517357149671902</v>
      </c>
      <c r="L1914">
        <v>532.25380761993404</v>
      </c>
      <c r="M1914">
        <v>11.1614287797877</v>
      </c>
      <c r="N1914">
        <v>50.169816928810299</v>
      </c>
      <c r="O1914">
        <v>46.232909890327399</v>
      </c>
      <c r="P1914">
        <v>-4.7561654545982997E-2</v>
      </c>
      <c r="Q1914">
        <v>0.21221069442225199</v>
      </c>
      <c r="R1914">
        <v>0.96043924849887596</v>
      </c>
      <c r="S1914" t="s">
        <v>8316</v>
      </c>
      <c r="T1914" t="s">
        <v>12802</v>
      </c>
      <c r="U1914" t="s">
        <v>12802</v>
      </c>
      <c r="V1914" t="s">
        <v>12802</v>
      </c>
      <c r="W1914" t="s">
        <v>14676</v>
      </c>
      <c r="X1914">
        <v>12</v>
      </c>
      <c r="Y1914" t="s">
        <v>20980</v>
      </c>
      <c r="Z1914" t="s">
        <v>27232</v>
      </c>
      <c r="AA1914">
        <v>0.52069727564102397</v>
      </c>
      <c r="AB1914" t="str">
        <f>HYPERLINK("Melting_Curves/meltCurve_O96008_TOMM40.pdf", "Melting_Curves/meltCurve_O96008_TOMM40.pdf")</f>
        <v>Melting_Curves/meltCurve_O96008_TOMM40.pdf</v>
      </c>
    </row>
    <row r="1915" spans="1:28" x14ac:dyDescent="0.25">
      <c r="A1915" t="s">
        <v>1919</v>
      </c>
      <c r="B1915">
        <v>0.99542014353169495</v>
      </c>
      <c r="C1915">
        <v>1.0285699457933899</v>
      </c>
      <c r="D1915">
        <v>1.0540684083801699</v>
      </c>
      <c r="E1915">
        <v>0.84498647803338101</v>
      </c>
      <c r="F1915">
        <v>0.80428559996328397</v>
      </c>
      <c r="G1915">
        <v>0.53139883035884805</v>
      </c>
      <c r="H1915">
        <v>0.45874588217067802</v>
      </c>
      <c r="I1915">
        <v>0.43008246745515599</v>
      </c>
      <c r="J1915">
        <v>0.48156459797594497</v>
      </c>
      <c r="K1915">
        <v>0.577524012095599</v>
      </c>
      <c r="L1915">
        <v>1237.8449891784901</v>
      </c>
      <c r="M1915">
        <v>24.632075723089802</v>
      </c>
      <c r="N1915">
        <v>57.496219116360798</v>
      </c>
      <c r="O1915">
        <v>49.925670555437399</v>
      </c>
      <c r="P1915">
        <v>-6.4442954516268997E-2</v>
      </c>
      <c r="Q1915">
        <v>0.47754109499660602</v>
      </c>
      <c r="R1915">
        <v>0.94387012554418004</v>
      </c>
      <c r="S1915" t="s">
        <v>8317</v>
      </c>
      <c r="T1915" t="s">
        <v>12802</v>
      </c>
      <c r="U1915" t="s">
        <v>12802</v>
      </c>
      <c r="V1915" t="s">
        <v>12802</v>
      </c>
      <c r="W1915" t="s">
        <v>14677</v>
      </c>
      <c r="X1915">
        <v>7</v>
      </c>
      <c r="Y1915" t="s">
        <v>20981</v>
      </c>
      <c r="Z1915" t="s">
        <v>27233</v>
      </c>
      <c r="AA1915">
        <v>0.71306367216618272</v>
      </c>
      <c r="AB1915" t="str">
        <f>HYPERLINK("Melting_Curves/meltCurve_O96011_2_PEX11B.pdf", "Melting_Curves/meltCurve_O96011_2_PEX11B.pdf")</f>
        <v>Melting_Curves/meltCurve_O96011_2_PEX11B.pdf</v>
      </c>
    </row>
    <row r="1916" spans="1:28" x14ac:dyDescent="0.25">
      <c r="A1916" t="s">
        <v>1920</v>
      </c>
      <c r="B1916">
        <v>0.99542014353169495</v>
      </c>
      <c r="C1916">
        <v>1.0129705404227201</v>
      </c>
      <c r="D1916">
        <v>0.93349317482056104</v>
      </c>
      <c r="E1916">
        <v>0.87354714268502198</v>
      </c>
      <c r="F1916">
        <v>0.62820939043587598</v>
      </c>
      <c r="G1916">
        <v>0.26255187061048801</v>
      </c>
      <c r="H1916">
        <v>8.1421341124761598E-2</v>
      </c>
      <c r="I1916">
        <v>5.2236365094201001E-2</v>
      </c>
      <c r="J1916">
        <v>6.1047854268667101E-2</v>
      </c>
      <c r="K1916">
        <v>6.3151152973534505E-2</v>
      </c>
      <c r="L1916">
        <v>1145.1275405635099</v>
      </c>
      <c r="M1916">
        <v>22.452882683110499</v>
      </c>
      <c r="N1916">
        <v>51.1829013107699</v>
      </c>
      <c r="O1916">
        <v>50.601958155969697</v>
      </c>
      <c r="P1916">
        <v>-0.10668537190208099</v>
      </c>
      <c r="Q1916">
        <v>3.8274374154807202E-2</v>
      </c>
      <c r="R1916">
        <v>0.996624092347833</v>
      </c>
      <c r="S1916" t="s">
        <v>8318</v>
      </c>
      <c r="T1916" t="s">
        <v>12802</v>
      </c>
      <c r="U1916" t="s">
        <v>12802</v>
      </c>
      <c r="V1916" t="s">
        <v>12802</v>
      </c>
      <c r="W1916" t="s">
        <v>14678</v>
      </c>
      <c r="X1916">
        <v>13</v>
      </c>
      <c r="Y1916" t="s">
        <v>20982</v>
      </c>
      <c r="Z1916" t="s">
        <v>27234</v>
      </c>
      <c r="AA1916">
        <v>0.49743945934480061</v>
      </c>
      <c r="AB1916" t="str">
        <f>HYPERLINK("Melting_Curves/meltCurve_O96013_PAK4.pdf", "Melting_Curves/meltCurve_O96013_PAK4.pdf")</f>
        <v>Melting_Curves/meltCurve_O96013_PAK4.pdf</v>
      </c>
    </row>
    <row r="1917" spans="1:28" x14ac:dyDescent="0.25">
      <c r="A1917" t="s">
        <v>1921</v>
      </c>
      <c r="B1917">
        <v>0.99542014353169495</v>
      </c>
      <c r="C1917">
        <v>1.0333595311586701</v>
      </c>
      <c r="D1917">
        <v>0.93707050293298499</v>
      </c>
      <c r="E1917">
        <v>0.89787520404355503</v>
      </c>
      <c r="F1917">
        <v>0.60724867281088901</v>
      </c>
      <c r="G1917">
        <v>0.30940723433546402</v>
      </c>
      <c r="H1917">
        <v>9.548603054259E-2</v>
      </c>
      <c r="I1917">
        <v>5.6145866467736401E-2</v>
      </c>
      <c r="J1917">
        <v>6.4682712308531398E-2</v>
      </c>
      <c r="K1917">
        <v>5.9175995936409799E-2</v>
      </c>
      <c r="L1917">
        <v>1079.25241424861</v>
      </c>
      <c r="M1917">
        <v>21.104698235391002</v>
      </c>
      <c r="N1917">
        <v>51.332421593579198</v>
      </c>
      <c r="O1917">
        <v>50.685528107990997</v>
      </c>
      <c r="P1917">
        <v>-0.10010076288070401</v>
      </c>
      <c r="Q1917">
        <v>3.8408138769370201E-2</v>
      </c>
      <c r="R1917">
        <v>0.99679950676770901</v>
      </c>
      <c r="S1917" t="s">
        <v>8319</v>
      </c>
      <c r="T1917" t="s">
        <v>12802</v>
      </c>
      <c r="U1917" t="s">
        <v>12802</v>
      </c>
      <c r="V1917" t="s">
        <v>12802</v>
      </c>
      <c r="W1917" t="s">
        <v>14679</v>
      </c>
      <c r="X1917">
        <v>17</v>
      </c>
      <c r="Y1917" t="s">
        <v>20983</v>
      </c>
      <c r="Z1917" t="s">
        <v>27235</v>
      </c>
      <c r="AA1917">
        <v>0.50306106753371227</v>
      </c>
      <c r="AB1917" t="str">
        <f>HYPERLINK("Melting_Curves/meltCurve_O96017_CHEK2.pdf", "Melting_Curves/meltCurve_O96017_CHEK2.pdf")</f>
        <v>Melting_Curves/meltCurve_O96017_CHEK2.pdf</v>
      </c>
    </row>
    <row r="1918" spans="1:28" x14ac:dyDescent="0.25">
      <c r="A1918" t="s">
        <v>1922</v>
      </c>
      <c r="B1918">
        <v>0.99542014353169495</v>
      </c>
      <c r="C1918">
        <v>0.96313380659192105</v>
      </c>
      <c r="D1918">
        <v>0.872284815363635</v>
      </c>
      <c r="E1918">
        <v>0.68681095732900199</v>
      </c>
      <c r="F1918">
        <v>0.48759782920324701</v>
      </c>
      <c r="G1918">
        <v>0.207977300146716</v>
      </c>
      <c r="H1918">
        <v>0.102456843420992</v>
      </c>
      <c r="I1918">
        <v>6.2947531402787499E-2</v>
      </c>
      <c r="J1918">
        <v>5.6757712108935501E-2</v>
      </c>
      <c r="K1918">
        <v>5.27280522698872E-2</v>
      </c>
      <c r="L1918">
        <v>710.31216777551106</v>
      </c>
      <c r="M1918">
        <v>14.4205474999234</v>
      </c>
      <c r="N1918">
        <v>49.342554825747797</v>
      </c>
      <c r="O1918">
        <v>48.338755886209</v>
      </c>
      <c r="P1918">
        <v>-7.3667737242611206E-2</v>
      </c>
      <c r="Q1918">
        <v>1.23568805441695E-2</v>
      </c>
      <c r="R1918">
        <v>0.99665608486708901</v>
      </c>
      <c r="S1918" t="s">
        <v>8320</v>
      </c>
      <c r="T1918" t="s">
        <v>12802</v>
      </c>
      <c r="U1918" t="s">
        <v>12802</v>
      </c>
      <c r="V1918" t="s">
        <v>12802</v>
      </c>
      <c r="W1918" t="s">
        <v>14680</v>
      </c>
      <c r="X1918">
        <v>19</v>
      </c>
      <c r="Y1918" t="s">
        <v>20984</v>
      </c>
      <c r="Z1918" t="s">
        <v>27236</v>
      </c>
      <c r="AA1918">
        <v>0.43827665204216087</v>
      </c>
      <c r="AB1918" t="str">
        <f>HYPERLINK("Melting_Curves/meltCurve_O96019_ACTL6A.pdf", "Melting_Curves/meltCurve_O96019_ACTL6A.pdf")</f>
        <v>Melting_Curves/meltCurve_O96019_ACTL6A.pdf</v>
      </c>
    </row>
    <row r="1919" spans="1:28" x14ac:dyDescent="0.25">
      <c r="A1919" t="s">
        <v>1923</v>
      </c>
      <c r="B1919">
        <v>0.99542014353169495</v>
      </c>
      <c r="C1919">
        <v>1.0959865042666601</v>
      </c>
      <c r="D1919">
        <v>0.96606574627151398</v>
      </c>
      <c r="E1919">
        <v>0.95691581375970702</v>
      </c>
      <c r="F1919">
        <v>0.68664777661877496</v>
      </c>
      <c r="G1919">
        <v>0.40181623116752202</v>
      </c>
      <c r="H1919">
        <v>0.158509910227951</v>
      </c>
      <c r="I1919">
        <v>7.0461841627366503E-2</v>
      </c>
      <c r="J1919">
        <v>8.6127932316960296E-2</v>
      </c>
      <c r="K1919">
        <v>7.6055867146463493E-2</v>
      </c>
      <c r="L1919">
        <v>1123.45835389073</v>
      </c>
      <c r="M1919">
        <v>21.555526059332198</v>
      </c>
      <c r="N1919">
        <v>52.4124197350394</v>
      </c>
      <c r="O1919">
        <v>51.676921300636202</v>
      </c>
      <c r="P1919">
        <v>-9.8360671345849998E-2</v>
      </c>
      <c r="Q1919">
        <v>5.6788741711574602E-2</v>
      </c>
      <c r="R1919">
        <v>0.99225120603876404</v>
      </c>
      <c r="S1919" t="s">
        <v>8321</v>
      </c>
      <c r="T1919" t="s">
        <v>12802</v>
      </c>
      <c r="U1919" t="s">
        <v>12802</v>
      </c>
      <c r="V1919" t="s">
        <v>12802</v>
      </c>
      <c r="W1919" t="s">
        <v>14681</v>
      </c>
      <c r="X1919">
        <v>6</v>
      </c>
      <c r="Y1919" t="s">
        <v>20979</v>
      </c>
      <c r="Z1919" t="s">
        <v>27237</v>
      </c>
      <c r="AA1919">
        <v>0.54292652543304898</v>
      </c>
      <c r="AB1919" t="str">
        <f>HYPERLINK("Melting_Curves/meltCurve_O96033_MOCS2.pdf", "Melting_Curves/meltCurve_O96033_MOCS2.pdf")</f>
        <v>Melting_Curves/meltCurve_O96033_MOCS2.pdf</v>
      </c>
    </row>
    <row r="1920" spans="1:28" x14ac:dyDescent="0.25">
      <c r="A1920" t="s">
        <v>1924</v>
      </c>
      <c r="B1920">
        <v>0.99542014353169495</v>
      </c>
      <c r="C1920">
        <v>0.91112040747231104</v>
      </c>
      <c r="D1920">
        <v>0.90465840991504798</v>
      </c>
      <c r="E1920">
        <v>0.84221279436666197</v>
      </c>
      <c r="F1920">
        <v>0.62608589890259503</v>
      </c>
      <c r="G1920">
        <v>0.494603004103712</v>
      </c>
      <c r="H1920">
        <v>0.36097167401085201</v>
      </c>
      <c r="I1920">
        <v>0.357527497502935</v>
      </c>
      <c r="J1920">
        <v>0.39340467444862498</v>
      </c>
      <c r="K1920">
        <v>0.25999202105535502</v>
      </c>
      <c r="L1920">
        <v>625.67617020118405</v>
      </c>
      <c r="M1920">
        <v>12.4760787789522</v>
      </c>
      <c r="N1920">
        <v>53.625732633024597</v>
      </c>
      <c r="O1920">
        <v>48.913907484074102</v>
      </c>
      <c r="P1920">
        <v>-4.6095226102984298E-2</v>
      </c>
      <c r="Q1920">
        <v>0.27726320108039298</v>
      </c>
      <c r="R1920">
        <v>0.97828131863395595</v>
      </c>
      <c r="S1920" t="s">
        <v>8322</v>
      </c>
      <c r="T1920" t="s">
        <v>12802</v>
      </c>
      <c r="U1920" t="s">
        <v>12802</v>
      </c>
      <c r="V1920" t="s">
        <v>12802</v>
      </c>
      <c r="W1920" t="s">
        <v>14682</v>
      </c>
      <c r="X1920">
        <v>26</v>
      </c>
      <c r="Y1920" t="s">
        <v>20985</v>
      </c>
      <c r="Z1920" t="s">
        <v>27238</v>
      </c>
      <c r="AA1920">
        <v>0.61320444944189034</v>
      </c>
      <c r="AB1920" t="str">
        <f>HYPERLINK("Melting_Curves/meltCurve_P00338_LDHA.pdf", "Melting_Curves/meltCurve_P00338_LDHA.pdf")</f>
        <v>Melting_Curves/meltCurve_P00338_LDHA.pdf</v>
      </c>
    </row>
    <row r="1921" spans="1:28" x14ac:dyDescent="0.25">
      <c r="A1921" t="s">
        <v>1925</v>
      </c>
      <c r="B1921">
        <v>0.99542014353169495</v>
      </c>
      <c r="C1921">
        <v>0.91781140877344602</v>
      </c>
      <c r="D1921">
        <v>0.95469100047081201</v>
      </c>
      <c r="E1921">
        <v>0.83403467143019405</v>
      </c>
      <c r="F1921">
        <v>0.70786505371545305</v>
      </c>
      <c r="G1921">
        <v>0.47679876692135698</v>
      </c>
      <c r="H1921">
        <v>0.334511804736566</v>
      </c>
      <c r="I1921">
        <v>0.26806033873094698</v>
      </c>
      <c r="J1921">
        <v>0.29711196400927498</v>
      </c>
      <c r="K1921">
        <v>0.23264664940409399</v>
      </c>
      <c r="L1921">
        <v>724.45313729924601</v>
      </c>
      <c r="M1921">
        <v>14.0937749790933</v>
      </c>
      <c r="N1921">
        <v>53.479663992719303</v>
      </c>
      <c r="O1921">
        <v>50.400685455913496</v>
      </c>
      <c r="P1921">
        <v>-5.5179968947247103E-2</v>
      </c>
      <c r="Q1921">
        <v>0.21078639015852499</v>
      </c>
      <c r="R1921">
        <v>0.989585405996948</v>
      </c>
      <c r="S1921" t="s">
        <v>8323</v>
      </c>
      <c r="T1921" t="s">
        <v>12802</v>
      </c>
      <c r="U1921" t="s">
        <v>12802</v>
      </c>
      <c r="V1921" t="s">
        <v>12802</v>
      </c>
      <c r="W1921" t="s">
        <v>14683</v>
      </c>
      <c r="X1921">
        <v>23</v>
      </c>
      <c r="Y1921" t="s">
        <v>20986</v>
      </c>
      <c r="Z1921" t="s">
        <v>27239</v>
      </c>
      <c r="AA1921">
        <v>0.60648099909007669</v>
      </c>
      <c r="AB1921" t="str">
        <f>HYPERLINK("Melting_Curves/meltCurve_P00352_ALDH1A1.pdf", "Melting_Curves/meltCurve_P00352_ALDH1A1.pdf")</f>
        <v>Melting_Curves/meltCurve_P00352_ALDH1A1.pdf</v>
      </c>
    </row>
    <row r="1922" spans="1:28" x14ac:dyDescent="0.25">
      <c r="A1922" t="s">
        <v>1926</v>
      </c>
      <c r="B1922">
        <v>0.99542014353169495</v>
      </c>
      <c r="C1922">
        <v>0.83245092192759096</v>
      </c>
      <c r="D1922">
        <v>0.88059131386039602</v>
      </c>
      <c r="E1922">
        <v>0.71984119339007302</v>
      </c>
      <c r="F1922">
        <v>0.65406359516638701</v>
      </c>
      <c r="G1922">
        <v>0.40780838774864497</v>
      </c>
      <c r="H1922">
        <v>0.369438084815503</v>
      </c>
      <c r="I1922">
        <v>0.26527387887769599</v>
      </c>
      <c r="J1922">
        <v>8.5236742090474701E-2</v>
      </c>
      <c r="K1922">
        <v>8.9858864115294396E-2</v>
      </c>
      <c r="L1922">
        <v>455.71827649140403</v>
      </c>
      <c r="M1922">
        <v>8.7067878784937101</v>
      </c>
      <c r="N1922">
        <v>52.340574126604302</v>
      </c>
      <c r="O1922">
        <v>49.799497473099798</v>
      </c>
      <c r="P1922">
        <v>-4.3745190468418398E-2</v>
      </c>
      <c r="Q1922">
        <v>0</v>
      </c>
      <c r="R1922">
        <v>0.96932839830075102</v>
      </c>
      <c r="S1922" t="s">
        <v>8324</v>
      </c>
      <c r="T1922" t="s">
        <v>12802</v>
      </c>
      <c r="U1922" t="s">
        <v>12802</v>
      </c>
      <c r="V1922" t="s">
        <v>12802</v>
      </c>
      <c r="W1922" t="s">
        <v>14684</v>
      </c>
      <c r="X1922">
        <v>22</v>
      </c>
      <c r="Y1922" t="s">
        <v>20987</v>
      </c>
      <c r="Z1922" t="s">
        <v>27240</v>
      </c>
      <c r="AA1922">
        <v>0.53752893025333681</v>
      </c>
      <c r="AB1922" t="str">
        <f>HYPERLINK("Melting_Curves/meltCurve_P00367_GLUD1.pdf", "Melting_Curves/meltCurve_P00367_GLUD1.pdf")</f>
        <v>Melting_Curves/meltCurve_P00367_GLUD1.pdf</v>
      </c>
    </row>
    <row r="1923" spans="1:28" x14ac:dyDescent="0.25">
      <c r="A1923" t="s">
        <v>1927</v>
      </c>
      <c r="B1923">
        <v>0.99542014353169495</v>
      </c>
      <c r="C1923">
        <v>0.90305436316411902</v>
      </c>
      <c r="D1923">
        <v>0.71967213609983705</v>
      </c>
      <c r="E1923">
        <v>0.41735548363213898</v>
      </c>
      <c r="F1923">
        <v>0.129108507078701</v>
      </c>
      <c r="G1923">
        <v>7.8377127027451504E-2</v>
      </c>
      <c r="H1923">
        <v>4.3258190694876998E-2</v>
      </c>
      <c r="I1923">
        <v>2.8951480670719901E-2</v>
      </c>
      <c r="J1923">
        <v>2.9723851893378801E-2</v>
      </c>
      <c r="K1923">
        <v>2.9481982300374601E-2</v>
      </c>
      <c r="L1923">
        <v>810.94552678657499</v>
      </c>
      <c r="M1923">
        <v>17.9074587434033</v>
      </c>
      <c r="N1923">
        <v>45.388704641032497</v>
      </c>
      <c r="O1923">
        <v>44.731947173513497</v>
      </c>
      <c r="P1923">
        <v>-9.8087625807531803E-2</v>
      </c>
      <c r="Q1923">
        <v>1.9977182862123698E-2</v>
      </c>
      <c r="R1923">
        <v>0.99807990271619695</v>
      </c>
      <c r="S1923" t="s">
        <v>8325</v>
      </c>
      <c r="T1923" t="s">
        <v>12802</v>
      </c>
      <c r="U1923" t="s">
        <v>12802</v>
      </c>
      <c r="V1923" t="s">
        <v>12802</v>
      </c>
      <c r="W1923" t="s">
        <v>14685</v>
      </c>
      <c r="X1923">
        <v>11</v>
      </c>
      <c r="Y1923" t="s">
        <v>20988</v>
      </c>
      <c r="Z1923" t="s">
        <v>27241</v>
      </c>
      <c r="AA1923">
        <v>0.30678919610333988</v>
      </c>
      <c r="AB1923" t="str">
        <f>HYPERLINK("Melting_Curves/meltCurve_P00374_DHFR.pdf", "Melting_Curves/meltCurve_P00374_DHFR.pdf")</f>
        <v>Melting_Curves/meltCurve_P00374_DHFR.pdf</v>
      </c>
    </row>
    <row r="1924" spans="1:28" x14ac:dyDescent="0.25">
      <c r="A1924" t="s">
        <v>1928</v>
      </c>
      <c r="B1924">
        <v>0.99542014353169495</v>
      </c>
      <c r="C1924">
        <v>0.94426001774255997</v>
      </c>
      <c r="D1924">
        <v>0.93016721967976901</v>
      </c>
      <c r="E1924">
        <v>0.85177325790385705</v>
      </c>
      <c r="F1924">
        <v>0.71155504250892898</v>
      </c>
      <c r="G1924">
        <v>0.61482561377485501</v>
      </c>
      <c r="H1924">
        <v>0.41952315335727203</v>
      </c>
      <c r="I1924">
        <v>0.17848829198909999</v>
      </c>
      <c r="J1924">
        <v>6.3273258997360096E-2</v>
      </c>
      <c r="K1924">
        <v>6.3644462761815901E-2</v>
      </c>
      <c r="L1924">
        <v>683.73150735154502</v>
      </c>
      <c r="M1924">
        <v>12.5062237693084</v>
      </c>
      <c r="N1924">
        <v>54.671299681997297</v>
      </c>
      <c r="O1924">
        <v>53.3299234590935</v>
      </c>
      <c r="P1924">
        <v>-5.8638712593756401E-2</v>
      </c>
      <c r="Q1924">
        <v>0</v>
      </c>
      <c r="R1924">
        <v>0.98144556435189101</v>
      </c>
      <c r="S1924" t="s">
        <v>8326</v>
      </c>
      <c r="T1924" t="s">
        <v>12802</v>
      </c>
      <c r="U1924" t="s">
        <v>12802</v>
      </c>
      <c r="V1924" t="s">
        <v>12802</v>
      </c>
      <c r="W1924" t="s">
        <v>14686</v>
      </c>
      <c r="X1924">
        <v>11</v>
      </c>
      <c r="Y1924" t="s">
        <v>20989</v>
      </c>
      <c r="Z1924" t="s">
        <v>27242</v>
      </c>
      <c r="AA1924">
        <v>0.60458501693337818</v>
      </c>
      <c r="AB1924" t="str">
        <f>HYPERLINK("Melting_Curves/meltCurve_P00387_2_CYB5R3.pdf", "Melting_Curves/meltCurve_P00387_2_CYB5R3.pdf")</f>
        <v>Melting_Curves/meltCurve_P00387_2_CYB5R3.pdf</v>
      </c>
    </row>
    <row r="1925" spans="1:28" x14ac:dyDescent="0.25">
      <c r="A1925" t="s">
        <v>1929</v>
      </c>
      <c r="B1925">
        <v>0.99542014353169495</v>
      </c>
      <c r="C1925">
        <v>0.96606837584903105</v>
      </c>
      <c r="D1925">
        <v>1.00334364262136</v>
      </c>
      <c r="E1925">
        <v>1.1383656862871201</v>
      </c>
      <c r="F1925">
        <v>0.861820173714545</v>
      </c>
      <c r="G1925">
        <v>0.63572419526193302</v>
      </c>
      <c r="H1925">
        <v>0.32094528896910601</v>
      </c>
      <c r="I1925">
        <v>0.30291370688674002</v>
      </c>
      <c r="J1925">
        <v>0.35054996858967302</v>
      </c>
      <c r="K1925">
        <v>0.29345158051701298</v>
      </c>
      <c r="L1925">
        <v>1734.0027821113299</v>
      </c>
      <c r="M1925">
        <v>32.5108515903758</v>
      </c>
      <c r="N1925">
        <v>54.8974901949681</v>
      </c>
      <c r="O1925">
        <v>53.135539357332704</v>
      </c>
      <c r="P1925">
        <v>-0.106818982474453</v>
      </c>
      <c r="Q1925">
        <v>0.30166611213135602</v>
      </c>
      <c r="R1925">
        <v>0.97096772038122203</v>
      </c>
      <c r="S1925" t="s">
        <v>8327</v>
      </c>
      <c r="T1925" t="s">
        <v>12802</v>
      </c>
      <c r="U1925" t="s">
        <v>12802</v>
      </c>
      <c r="V1925" t="s">
        <v>12802</v>
      </c>
      <c r="W1925" t="s">
        <v>14687</v>
      </c>
      <c r="X1925">
        <v>9</v>
      </c>
      <c r="Y1925" t="s">
        <v>20990</v>
      </c>
      <c r="Z1925" t="s">
        <v>27243</v>
      </c>
      <c r="AA1925">
        <v>0.68576511241307636</v>
      </c>
      <c r="AB1925" t="str">
        <f>HYPERLINK("Melting_Curves/meltCurve_P00390_5_GSR.pdf", "Melting_Curves/meltCurve_P00390_5_GSR.pdf")</f>
        <v>Melting_Curves/meltCurve_P00390_5_GSR.pdf</v>
      </c>
    </row>
    <row r="1926" spans="1:28" x14ac:dyDescent="0.25">
      <c r="A1926" t="s">
        <v>1930</v>
      </c>
      <c r="B1926">
        <v>0.99542014353169495</v>
      </c>
      <c r="C1926">
        <v>0.97056913670745903</v>
      </c>
      <c r="D1926">
        <v>0.85951466933422804</v>
      </c>
      <c r="E1926">
        <v>0.68331086315964795</v>
      </c>
      <c r="F1926">
        <v>0.57707640468617705</v>
      </c>
      <c r="G1926">
        <v>0.297811349795435</v>
      </c>
      <c r="H1926">
        <v>0.275344044132523</v>
      </c>
      <c r="I1926">
        <v>0.18362603730427099</v>
      </c>
      <c r="J1926">
        <v>0.18576004429865201</v>
      </c>
      <c r="K1926">
        <v>8.3727778207957099E-2</v>
      </c>
      <c r="L1926">
        <v>556.59768701882501</v>
      </c>
      <c r="M1926">
        <v>11.147949750954799</v>
      </c>
      <c r="N1926">
        <v>50.642551621867298</v>
      </c>
      <c r="O1926">
        <v>48.402461547143702</v>
      </c>
      <c r="P1926">
        <v>-5.3407679541392701E-2</v>
      </c>
      <c r="Q1926">
        <v>7.2749667201305102E-2</v>
      </c>
      <c r="R1926">
        <v>0.98868815610139404</v>
      </c>
      <c r="S1926" t="s">
        <v>8328</v>
      </c>
      <c r="T1926" t="s">
        <v>12802</v>
      </c>
      <c r="U1926" t="s">
        <v>12802</v>
      </c>
      <c r="V1926" t="s">
        <v>12802</v>
      </c>
      <c r="W1926" t="s">
        <v>14688</v>
      </c>
      <c r="X1926">
        <v>3</v>
      </c>
      <c r="Y1926" t="s">
        <v>20991</v>
      </c>
      <c r="Z1926" t="s">
        <v>27244</v>
      </c>
      <c r="AA1926">
        <v>0.50069145025257911</v>
      </c>
      <c r="AB1926" t="str">
        <f>HYPERLINK("Melting_Curves/meltCurve_P00403_MT_CO2.pdf", "Melting_Curves/meltCurve_P00403_MT_CO2.pdf")</f>
        <v>Melting_Curves/meltCurve_P00403_MT_CO2.pdf</v>
      </c>
    </row>
    <row r="1927" spans="1:28" x14ac:dyDescent="0.25">
      <c r="A1927" t="s">
        <v>1931</v>
      </c>
      <c r="B1927">
        <v>0.99542014353169495</v>
      </c>
      <c r="C1927">
        <v>1.0859300046219</v>
      </c>
      <c r="D1927">
        <v>1.17890318335544</v>
      </c>
      <c r="E1927">
        <v>1.6378351207317701</v>
      </c>
      <c r="F1927">
        <v>1.4760816150665099</v>
      </c>
      <c r="G1927">
        <v>0.94437187443342696</v>
      </c>
      <c r="H1927">
        <v>0.66286923431935396</v>
      </c>
      <c r="I1927">
        <v>0.45282033912981201</v>
      </c>
      <c r="J1927">
        <v>0.57586447525292495</v>
      </c>
      <c r="K1927">
        <v>0.63068088814021295</v>
      </c>
      <c r="L1927">
        <v>3362.3037126406298</v>
      </c>
      <c r="M1927">
        <v>59.873398907450799</v>
      </c>
      <c r="O1927">
        <v>56.094351449634097</v>
      </c>
      <c r="P1927">
        <v>-0.118782188619933</v>
      </c>
      <c r="Q1927">
        <v>0.55486034351498803</v>
      </c>
      <c r="R1927">
        <v>0.503438571689237</v>
      </c>
      <c r="S1927" t="s">
        <v>8329</v>
      </c>
      <c r="T1927" t="s">
        <v>12802</v>
      </c>
      <c r="U1927" t="s">
        <v>12802</v>
      </c>
      <c r="V1927" t="s">
        <v>12802</v>
      </c>
      <c r="W1927" t="s">
        <v>14689</v>
      </c>
      <c r="X1927">
        <v>14</v>
      </c>
      <c r="Y1927" t="s">
        <v>20992</v>
      </c>
      <c r="Z1927" t="s">
        <v>27245</v>
      </c>
      <c r="AA1927">
        <v>0.83987640823266152</v>
      </c>
      <c r="AB1927" t="str">
        <f>HYPERLINK("Melting_Curves/meltCurve_P00441_SOD1.pdf", "Melting_Curves/meltCurve_P00441_SOD1.pdf")</f>
        <v>Melting_Curves/meltCurve_P00441_SOD1.pdf</v>
      </c>
    </row>
    <row r="1928" spans="1:28" x14ac:dyDescent="0.25">
      <c r="A1928" t="s">
        <v>1932</v>
      </c>
      <c r="B1928">
        <v>0.99542014353169495</v>
      </c>
      <c r="C1928">
        <v>0.98059881491077105</v>
      </c>
      <c r="D1928">
        <v>0.93342693087977202</v>
      </c>
      <c r="E1928">
        <v>0.87763271230229301</v>
      </c>
      <c r="F1928">
        <v>0.63390208681601601</v>
      </c>
      <c r="G1928">
        <v>0.419354332388298</v>
      </c>
      <c r="H1928">
        <v>0.378439720223474</v>
      </c>
      <c r="I1928">
        <v>0.43802675057762502</v>
      </c>
      <c r="J1928">
        <v>0.67419275886607999</v>
      </c>
      <c r="K1928">
        <v>0.82685008998637199</v>
      </c>
      <c r="L1928">
        <v>1878.7316195225701</v>
      </c>
      <c r="M1928">
        <v>39.324044292613202</v>
      </c>
      <c r="O1928">
        <v>47.652618502557502</v>
      </c>
      <c r="P1928">
        <v>-9.2707911114618402E-2</v>
      </c>
      <c r="Q1928">
        <v>0.55062986198517105</v>
      </c>
      <c r="R1928">
        <v>0.69792544065380202</v>
      </c>
      <c r="S1928" t="s">
        <v>8330</v>
      </c>
      <c r="T1928" t="s">
        <v>12802</v>
      </c>
      <c r="U1928" t="s">
        <v>12802</v>
      </c>
      <c r="V1928" t="s">
        <v>12802</v>
      </c>
      <c r="W1928" t="s">
        <v>14690</v>
      </c>
      <c r="X1928">
        <v>9</v>
      </c>
      <c r="Y1928" t="s">
        <v>20993</v>
      </c>
      <c r="Z1928" t="s">
        <v>27246</v>
      </c>
      <c r="AA1928">
        <v>0.71357430767221586</v>
      </c>
      <c r="AB1928" t="str">
        <f>HYPERLINK("Melting_Curves/meltCurve_P00491_PNP.pdf", "Melting_Curves/meltCurve_P00491_PNP.pdf")</f>
        <v>Melting_Curves/meltCurve_P00491_PNP.pdf</v>
      </c>
    </row>
    <row r="1929" spans="1:28" x14ac:dyDescent="0.25">
      <c r="A1929" t="s">
        <v>1933</v>
      </c>
      <c r="B1929">
        <v>0.99542014353169495</v>
      </c>
      <c r="C1929">
        <v>1.0076595223401901</v>
      </c>
      <c r="D1929">
        <v>0.96188808411604598</v>
      </c>
      <c r="E1929">
        <v>0.91752916979773302</v>
      </c>
      <c r="F1929">
        <v>0.743725909864974</v>
      </c>
      <c r="G1929">
        <v>0.605642925289957</v>
      </c>
      <c r="H1929">
        <v>0.45562382130752099</v>
      </c>
      <c r="I1929">
        <v>0.48709556245935098</v>
      </c>
      <c r="J1929">
        <v>0.80551784805141202</v>
      </c>
      <c r="K1929">
        <v>1.0970960089047499</v>
      </c>
      <c r="L1929">
        <v>2006.6966308134399</v>
      </c>
      <c r="M1929">
        <v>42.031379739541102</v>
      </c>
      <c r="O1929">
        <v>47.635116779415704</v>
      </c>
      <c r="P1929">
        <v>-6.7822016831037502E-2</v>
      </c>
      <c r="Q1929">
        <v>0.69254352394257201</v>
      </c>
      <c r="R1929">
        <v>0.390084842485178</v>
      </c>
      <c r="S1929" t="s">
        <v>8331</v>
      </c>
      <c r="T1929" t="s">
        <v>12802</v>
      </c>
      <c r="U1929" t="s">
        <v>12802</v>
      </c>
      <c r="V1929" t="s">
        <v>12802</v>
      </c>
      <c r="W1929" t="s">
        <v>14691</v>
      </c>
      <c r="X1929">
        <v>15</v>
      </c>
      <c r="Y1929" t="s">
        <v>20994</v>
      </c>
      <c r="Z1929" t="s">
        <v>27247</v>
      </c>
      <c r="AA1929">
        <v>0.80356017716768136</v>
      </c>
      <c r="AB1929" t="str">
        <f>HYPERLINK("Melting_Curves/meltCurve_P00492_HPRT1.pdf", "Melting_Curves/meltCurve_P00492_HPRT1.pdf")</f>
        <v>Melting_Curves/meltCurve_P00492_HPRT1.pdf</v>
      </c>
    </row>
    <row r="1930" spans="1:28" x14ac:dyDescent="0.25">
      <c r="A1930" t="s">
        <v>1934</v>
      </c>
      <c r="B1930">
        <v>0.99542014353169495</v>
      </c>
      <c r="C1930">
        <v>0.95339027498068396</v>
      </c>
      <c r="D1930">
        <v>0.86832680476338897</v>
      </c>
      <c r="E1930">
        <v>1.13001317320084</v>
      </c>
      <c r="F1930">
        <v>0.574635282721501</v>
      </c>
      <c r="G1930">
        <v>0.33488513915072399</v>
      </c>
      <c r="H1930">
        <v>0.20101297833508</v>
      </c>
      <c r="I1930">
        <v>0.80497178693333904</v>
      </c>
      <c r="J1930">
        <v>0.41339966745228501</v>
      </c>
      <c r="K1930">
        <v>1.24739358864144</v>
      </c>
      <c r="L1930">
        <v>12128.209722007899</v>
      </c>
      <c r="M1930">
        <v>250</v>
      </c>
      <c r="O1930">
        <v>48.509734883016598</v>
      </c>
      <c r="P1930">
        <v>-0.52046745159633701</v>
      </c>
      <c r="Q1930">
        <v>0.59603619511925698</v>
      </c>
      <c r="R1930">
        <v>0.32417764590561898</v>
      </c>
      <c r="S1930" t="s">
        <v>8332</v>
      </c>
      <c r="T1930" t="s">
        <v>12802</v>
      </c>
      <c r="U1930" t="s">
        <v>12802</v>
      </c>
      <c r="V1930" t="s">
        <v>12802</v>
      </c>
      <c r="W1930" t="s">
        <v>14692</v>
      </c>
      <c r="X1930">
        <v>17</v>
      </c>
      <c r="Y1930" t="s">
        <v>20995</v>
      </c>
      <c r="Z1930" t="s">
        <v>27248</v>
      </c>
      <c r="AA1930">
        <v>0.75109626171189992</v>
      </c>
      <c r="AB1930" t="str">
        <f>HYPERLINK("Melting_Curves/meltCurve_P00505_GOT2.pdf", "Melting_Curves/meltCurve_P00505_GOT2.pdf")</f>
        <v>Melting_Curves/meltCurve_P00505_GOT2.pdf</v>
      </c>
    </row>
    <row r="1931" spans="1:28" x14ac:dyDescent="0.25">
      <c r="A1931" t="s">
        <v>1935</v>
      </c>
      <c r="B1931">
        <v>0.99542014353169495</v>
      </c>
      <c r="C1931">
        <v>0.87435659256806797</v>
      </c>
      <c r="D1931">
        <v>0.79277397512544201</v>
      </c>
      <c r="E1931">
        <v>0.52950226337172202</v>
      </c>
      <c r="F1931">
        <v>0.205258934680046</v>
      </c>
      <c r="G1931">
        <v>0.11774856581248599</v>
      </c>
      <c r="H1931">
        <v>6.8105527392330806E-2</v>
      </c>
      <c r="I1931">
        <v>4.8552492337869603E-2</v>
      </c>
      <c r="J1931">
        <v>6.6545021837939602E-2</v>
      </c>
      <c r="K1931">
        <v>5.73702278025571E-2</v>
      </c>
      <c r="L1931">
        <v>769.87442598934103</v>
      </c>
      <c r="M1931">
        <v>16.643278848956399</v>
      </c>
      <c r="N1931">
        <v>46.482752463504497</v>
      </c>
      <c r="O1931">
        <v>45.6050411678535</v>
      </c>
      <c r="P1931">
        <v>-8.7705265631538395E-2</v>
      </c>
      <c r="Q1931">
        <v>3.87630681237673E-2</v>
      </c>
      <c r="R1931">
        <v>0.99419799361024297</v>
      </c>
      <c r="S1931" t="s">
        <v>8333</v>
      </c>
      <c r="T1931" t="s">
        <v>12802</v>
      </c>
      <c r="U1931" t="s">
        <v>12802</v>
      </c>
      <c r="V1931" t="s">
        <v>12802</v>
      </c>
      <c r="W1931" t="s">
        <v>14693</v>
      </c>
      <c r="X1931">
        <v>8</v>
      </c>
      <c r="Y1931" t="s">
        <v>20996</v>
      </c>
      <c r="Z1931" t="s">
        <v>27249</v>
      </c>
      <c r="AA1931">
        <v>0.3534486886863466</v>
      </c>
      <c r="AB1931" t="str">
        <f>HYPERLINK("Melting_Curves/meltCurve_P00519_ABL1.pdf", "Melting_Curves/meltCurve_P00519_ABL1.pdf")</f>
        <v>Melting_Curves/meltCurve_P00519_ABL1.pdf</v>
      </c>
    </row>
    <row r="1932" spans="1:28" x14ac:dyDescent="0.25">
      <c r="A1932" t="s">
        <v>1936</v>
      </c>
      <c r="B1932">
        <v>0.99542014353169495</v>
      </c>
      <c r="C1932">
        <v>1.0433564834998601</v>
      </c>
      <c r="D1932">
        <v>0.99156343216767295</v>
      </c>
      <c r="E1932">
        <v>1.0217473261111101</v>
      </c>
      <c r="F1932">
        <v>0.89764617860954499</v>
      </c>
      <c r="G1932">
        <v>0.76819532975916904</v>
      </c>
      <c r="H1932">
        <v>0.11034788849499</v>
      </c>
      <c r="I1932">
        <v>4.89330689930179E-2</v>
      </c>
      <c r="J1932">
        <v>3.4548059594647497E-2</v>
      </c>
      <c r="K1932">
        <v>3.9871834548379698E-2</v>
      </c>
      <c r="L1932">
        <v>2982.1703258575299</v>
      </c>
      <c r="M1932">
        <v>54.320833942961997</v>
      </c>
      <c r="N1932">
        <v>54.977215323726199</v>
      </c>
      <c r="O1932">
        <v>54.824949386437801</v>
      </c>
      <c r="P1932">
        <v>-0.23851312191817101</v>
      </c>
      <c r="Q1932">
        <v>3.70942155301974E-2</v>
      </c>
      <c r="R1932">
        <v>0.99395481618416603</v>
      </c>
      <c r="S1932" t="s">
        <v>8334</v>
      </c>
      <c r="T1932" t="s">
        <v>12802</v>
      </c>
      <c r="U1932" t="s">
        <v>12802</v>
      </c>
      <c r="V1932" t="s">
        <v>12802</v>
      </c>
      <c r="W1932" t="s">
        <v>14694</v>
      </c>
      <c r="X1932">
        <v>41</v>
      </c>
      <c r="Y1932" t="s">
        <v>20997</v>
      </c>
      <c r="Z1932" t="s">
        <v>27250</v>
      </c>
      <c r="AA1932">
        <v>0.61357344318409024</v>
      </c>
      <c r="AB1932" t="str">
        <f>HYPERLINK("Melting_Curves/meltCurve_P00558_PGK1.pdf", "Melting_Curves/meltCurve_P00558_PGK1.pdf")</f>
        <v>Melting_Curves/meltCurve_P00558_PGK1.pdf</v>
      </c>
    </row>
    <row r="1933" spans="1:28" x14ac:dyDescent="0.25">
      <c r="A1933" t="s">
        <v>1937</v>
      </c>
      <c r="B1933">
        <v>0.99542014353169495</v>
      </c>
      <c r="C1933">
        <v>0.91959362325076299</v>
      </c>
      <c r="D1933">
        <v>0.83417947518600299</v>
      </c>
      <c r="E1933">
        <v>0.76286274373229002</v>
      </c>
      <c r="F1933">
        <v>0.62957718434989596</v>
      </c>
      <c r="G1933">
        <v>0.430786296321849</v>
      </c>
      <c r="H1933">
        <v>0.20968512813451301</v>
      </c>
      <c r="I1933">
        <v>0.16539680760147199</v>
      </c>
      <c r="J1933">
        <v>0.22061047923531699</v>
      </c>
      <c r="K1933">
        <v>0.185572720604956</v>
      </c>
      <c r="L1933">
        <v>555.11328164185397</v>
      </c>
      <c r="M1933">
        <v>10.941268265562201</v>
      </c>
      <c r="N1933">
        <v>51.699014275396699</v>
      </c>
      <c r="O1933">
        <v>49.129205352855003</v>
      </c>
      <c r="P1933">
        <v>-5.0559268232018499E-2</v>
      </c>
      <c r="Q1933">
        <v>9.2214391797658807E-2</v>
      </c>
      <c r="R1933">
        <v>0.97904767376314705</v>
      </c>
      <c r="S1933" t="s">
        <v>8335</v>
      </c>
      <c r="T1933" t="s">
        <v>12802</v>
      </c>
      <c r="U1933" t="s">
        <v>12802</v>
      </c>
      <c r="V1933" t="s">
        <v>12802</v>
      </c>
      <c r="W1933" t="s">
        <v>14695</v>
      </c>
      <c r="X1933">
        <v>2</v>
      </c>
      <c r="Y1933" t="s">
        <v>20998</v>
      </c>
      <c r="Z1933" t="s">
        <v>27251</v>
      </c>
      <c r="AA1933">
        <v>0.53426160482137164</v>
      </c>
      <c r="AB1933" t="str">
        <f>HYPERLINK("Melting_Curves/meltCurve_P01034_CST3.pdf", "Melting_Curves/meltCurve_P01034_CST3.pdf")</f>
        <v>Melting_Curves/meltCurve_P01034_CST3.pdf</v>
      </c>
    </row>
    <row r="1934" spans="1:28" x14ac:dyDescent="0.25">
      <c r="A1934" t="s">
        <v>1938</v>
      </c>
      <c r="B1934">
        <v>0.99542014353169495</v>
      </c>
      <c r="C1934">
        <v>0.96987026293165002</v>
      </c>
      <c r="D1934">
        <v>0.92124872699607097</v>
      </c>
      <c r="E1934">
        <v>0.87610732846348605</v>
      </c>
      <c r="F1934">
        <v>0.75986297214862897</v>
      </c>
      <c r="G1934">
        <v>0.66559372190623101</v>
      </c>
      <c r="H1934">
        <v>0.50003249669563399</v>
      </c>
      <c r="I1934">
        <v>0.44377158041201398</v>
      </c>
      <c r="J1934">
        <v>0.54915903787154097</v>
      </c>
      <c r="K1934">
        <v>0.29746782618693801</v>
      </c>
      <c r="L1934">
        <v>471.07848179523</v>
      </c>
      <c r="M1934">
        <v>8.6294776561807307</v>
      </c>
      <c r="N1934">
        <v>59.436999819617803</v>
      </c>
      <c r="O1934">
        <v>51.895325774742702</v>
      </c>
      <c r="P1934">
        <v>-3.1094982812943799E-2</v>
      </c>
      <c r="Q1934">
        <v>0.252649152299466</v>
      </c>
      <c r="R1934">
        <v>0.94753286034117401</v>
      </c>
      <c r="S1934" t="s">
        <v>8336</v>
      </c>
      <c r="T1934" t="s">
        <v>12802</v>
      </c>
      <c r="U1934" t="s">
        <v>12802</v>
      </c>
      <c r="V1934" t="s">
        <v>12802</v>
      </c>
      <c r="W1934" t="s">
        <v>14696</v>
      </c>
      <c r="X1934">
        <v>12</v>
      </c>
      <c r="Y1934" t="s">
        <v>20999</v>
      </c>
      <c r="Z1934" t="s">
        <v>27252</v>
      </c>
      <c r="AA1934">
        <v>0.69973225929721916</v>
      </c>
      <c r="AB1934" t="str">
        <f>HYPERLINK("Melting_Curves/meltCurve_P01111_NRAS.pdf", "Melting_Curves/meltCurve_P01111_NRAS.pdf")</f>
        <v>Melting_Curves/meltCurve_P01111_NRAS.pdf</v>
      </c>
    </row>
    <row r="1935" spans="1:28" x14ac:dyDescent="0.25">
      <c r="A1935" t="s">
        <v>1939</v>
      </c>
      <c r="B1935">
        <v>0.99542014353169495</v>
      </c>
      <c r="C1935">
        <v>0.85557740481112798</v>
      </c>
      <c r="D1935">
        <v>0.87010560969095396</v>
      </c>
      <c r="E1935">
        <v>0.78005576897775797</v>
      </c>
      <c r="F1935">
        <v>0.654179460448017</v>
      </c>
      <c r="G1935">
        <v>0.51246612178964501</v>
      </c>
      <c r="H1935">
        <v>0.40557550455985503</v>
      </c>
      <c r="I1935">
        <v>0.346929701006222</v>
      </c>
      <c r="J1935">
        <v>0.46400171756105002</v>
      </c>
      <c r="K1935">
        <v>0.31857536868977698</v>
      </c>
      <c r="L1935">
        <v>452.658287036562</v>
      </c>
      <c r="M1935">
        <v>9.0846866109276601</v>
      </c>
      <c r="N1935">
        <v>54.820409370248903</v>
      </c>
      <c r="O1935">
        <v>47.590168382406503</v>
      </c>
      <c r="P1935">
        <v>-3.43159947861102E-2</v>
      </c>
      <c r="Q1935">
        <v>0.28144581291672599</v>
      </c>
      <c r="R1935">
        <v>0.95712127340314801</v>
      </c>
      <c r="S1935" t="s">
        <v>8337</v>
      </c>
      <c r="T1935" t="s">
        <v>12802</v>
      </c>
      <c r="U1935" t="s">
        <v>12802</v>
      </c>
      <c r="V1935" t="s">
        <v>12802</v>
      </c>
      <c r="W1935" t="s">
        <v>14697</v>
      </c>
      <c r="X1935">
        <v>12</v>
      </c>
      <c r="Y1935" t="s">
        <v>21000</v>
      </c>
      <c r="Z1935" t="s">
        <v>27253</v>
      </c>
      <c r="AA1935">
        <v>0.61575440041883356</v>
      </c>
      <c r="AB1935" t="str">
        <f>HYPERLINK("Melting_Curves/meltCurve_P01112_HRAS.pdf", "Melting_Curves/meltCurve_P01112_HRAS.pdf")</f>
        <v>Melting_Curves/meltCurve_P01112_HRAS.pdf</v>
      </c>
    </row>
    <row r="1936" spans="1:28" x14ac:dyDescent="0.25">
      <c r="A1936" t="s">
        <v>1940</v>
      </c>
      <c r="B1936">
        <v>0.99542014353169495</v>
      </c>
      <c r="C1936">
        <v>0.87300959205719897</v>
      </c>
      <c r="D1936">
        <v>0.81877189710421805</v>
      </c>
      <c r="E1936">
        <v>0.70113137414208304</v>
      </c>
      <c r="F1936">
        <v>0.64037648852064699</v>
      </c>
      <c r="G1936">
        <v>0.42696754766801098</v>
      </c>
      <c r="H1936">
        <v>0.32517410437803601</v>
      </c>
      <c r="I1936">
        <v>0.285982231232776</v>
      </c>
      <c r="J1936">
        <v>0.23259240432525699</v>
      </c>
      <c r="K1936">
        <v>0.100451923277585</v>
      </c>
      <c r="L1936">
        <v>392.832726093811</v>
      </c>
      <c r="M1936">
        <v>7.5014828742475101</v>
      </c>
      <c r="N1936">
        <v>52.367342900532201</v>
      </c>
      <c r="O1936">
        <v>49.033370158978997</v>
      </c>
      <c r="P1936">
        <v>-3.8301784946144002E-2</v>
      </c>
      <c r="Q1936">
        <v>0</v>
      </c>
      <c r="R1936">
        <v>0.98385600962322095</v>
      </c>
      <c r="S1936" t="s">
        <v>8338</v>
      </c>
      <c r="T1936" t="s">
        <v>12802</v>
      </c>
      <c r="U1936" t="s">
        <v>12802</v>
      </c>
      <c r="V1936" t="s">
        <v>12802</v>
      </c>
      <c r="W1936" t="s">
        <v>14698</v>
      </c>
      <c r="X1936">
        <v>8</v>
      </c>
      <c r="Y1936" t="s">
        <v>21001</v>
      </c>
      <c r="Z1936" t="s">
        <v>27254</v>
      </c>
      <c r="AA1936">
        <v>0.53826526323937829</v>
      </c>
      <c r="AB1936" t="str">
        <f>HYPERLINK("Melting_Curves/meltCurve_P01116_KRAS.pdf", "Melting_Curves/meltCurve_P01116_KRAS.pdf")</f>
        <v>Melting_Curves/meltCurve_P01116_KRAS.pdf</v>
      </c>
    </row>
    <row r="1937" spans="1:28" x14ac:dyDescent="0.25">
      <c r="A1937" t="s">
        <v>1941</v>
      </c>
      <c r="B1937">
        <v>0.99542014353169495</v>
      </c>
      <c r="C1937">
        <v>0.972329868062901</v>
      </c>
      <c r="D1937">
        <v>0.92065547953686799</v>
      </c>
      <c r="E1937">
        <v>0.710941690777529</v>
      </c>
      <c r="F1937">
        <v>0.555960975051774</v>
      </c>
      <c r="G1937">
        <v>0.41714633488991298</v>
      </c>
      <c r="H1937">
        <v>0.33874424656699997</v>
      </c>
      <c r="I1937">
        <v>0.31498052101894303</v>
      </c>
      <c r="J1937">
        <v>0.41516916744271898</v>
      </c>
      <c r="K1937">
        <v>0.27014169112279601</v>
      </c>
      <c r="L1937">
        <v>768.89379957216704</v>
      </c>
      <c r="M1937">
        <v>16.057113585972701</v>
      </c>
      <c r="N1937">
        <v>51.0630339261103</v>
      </c>
      <c r="O1937">
        <v>47.160719069450003</v>
      </c>
      <c r="P1937">
        <v>-5.8230729660792499E-2</v>
      </c>
      <c r="Q1937">
        <v>0.315944440823136</v>
      </c>
      <c r="R1937">
        <v>0.98303674261743201</v>
      </c>
      <c r="S1937" t="s">
        <v>8339</v>
      </c>
      <c r="T1937" t="s">
        <v>12802</v>
      </c>
      <c r="U1937" t="s">
        <v>12802</v>
      </c>
      <c r="V1937" t="s">
        <v>12802</v>
      </c>
      <c r="W1937" t="s">
        <v>14699</v>
      </c>
      <c r="X1937">
        <v>9</v>
      </c>
      <c r="Y1937" t="s">
        <v>21001</v>
      </c>
      <c r="Z1937" t="s">
        <v>27255</v>
      </c>
      <c r="AA1937">
        <v>0.57757153960688301</v>
      </c>
      <c r="AB1937" t="str">
        <f>HYPERLINK("Melting_Curves/meltCurve_P01116_2_KRAS.pdf", "Melting_Curves/meltCurve_P01116_2_KRAS.pdf")</f>
        <v>Melting_Curves/meltCurve_P01116_2_KRAS.pdf</v>
      </c>
    </row>
    <row r="1938" spans="1:28" x14ac:dyDescent="0.25">
      <c r="A1938" t="s">
        <v>1942</v>
      </c>
      <c r="B1938">
        <v>0.99542014353169495</v>
      </c>
      <c r="C1938">
        <v>0.91850381196495401</v>
      </c>
      <c r="D1938">
        <v>0.98033386826352598</v>
      </c>
      <c r="E1938">
        <v>0.90794024308349297</v>
      </c>
      <c r="F1938">
        <v>0.72896199947475504</v>
      </c>
      <c r="G1938">
        <v>0.56710580331306604</v>
      </c>
      <c r="H1938">
        <v>0.30266162339846298</v>
      </c>
      <c r="I1938">
        <v>0.19753944458006201</v>
      </c>
      <c r="J1938">
        <v>0.18858416937937</v>
      </c>
      <c r="K1938">
        <v>0.116392298840861</v>
      </c>
      <c r="L1938">
        <v>763.505115964796</v>
      </c>
      <c r="M1938">
        <v>14.232419486642</v>
      </c>
      <c r="N1938">
        <v>54.248803200687199</v>
      </c>
      <c r="O1938">
        <v>52.619743627181798</v>
      </c>
      <c r="P1938">
        <v>-6.2677571576525398E-2</v>
      </c>
      <c r="Q1938">
        <v>7.3195238331873094E-2</v>
      </c>
      <c r="R1938">
        <v>0.99140978347764896</v>
      </c>
      <c r="S1938" t="s">
        <v>8340</v>
      </c>
      <c r="T1938" t="s">
        <v>12802</v>
      </c>
      <c r="U1938" t="s">
        <v>12802</v>
      </c>
      <c r="V1938" t="s">
        <v>12802</v>
      </c>
      <c r="W1938" t="s">
        <v>14700</v>
      </c>
      <c r="X1938">
        <v>14</v>
      </c>
      <c r="Y1938" t="s">
        <v>21002</v>
      </c>
      <c r="Z1938" t="s">
        <v>27256</v>
      </c>
      <c r="AA1938">
        <v>0.60366228509638209</v>
      </c>
      <c r="AB1938" t="str">
        <f>HYPERLINK("Melting_Curves/meltCurve_P01137_TGFB1.pdf", "Melting_Curves/meltCurve_P01137_TGFB1.pdf")</f>
        <v>Melting_Curves/meltCurve_P01137_TGFB1.pdf</v>
      </c>
    </row>
    <row r="1939" spans="1:28" x14ac:dyDescent="0.25">
      <c r="A1939" t="s">
        <v>1943</v>
      </c>
      <c r="B1939">
        <v>0.99542014353169495</v>
      </c>
      <c r="C1939">
        <v>1.04671114020692</v>
      </c>
      <c r="D1939">
        <v>1.0196824023172999</v>
      </c>
      <c r="E1939">
        <v>0.95826070128366103</v>
      </c>
      <c r="F1939">
        <v>0.78889769393704201</v>
      </c>
      <c r="G1939">
        <v>0.63489758682744402</v>
      </c>
      <c r="H1939">
        <v>0.51608910667375996</v>
      </c>
      <c r="I1939">
        <v>0.44272182968656798</v>
      </c>
      <c r="J1939">
        <v>0.66905512005968104</v>
      </c>
      <c r="K1939">
        <v>0.64716308529274202</v>
      </c>
      <c r="L1939">
        <v>1663.3838841315701</v>
      </c>
      <c r="M1939">
        <v>33.108249510733799</v>
      </c>
      <c r="O1939">
        <v>50.058552546253203</v>
      </c>
      <c r="P1939">
        <v>-7.0869411035222596E-2</v>
      </c>
      <c r="Q1939">
        <v>0.57139338284457697</v>
      </c>
      <c r="R1939">
        <v>0.91114862800338503</v>
      </c>
      <c r="S1939" t="s">
        <v>8341</v>
      </c>
      <c r="T1939" t="s">
        <v>12802</v>
      </c>
      <c r="U1939" t="s">
        <v>12802</v>
      </c>
      <c r="V1939" t="s">
        <v>12802</v>
      </c>
      <c r="W1939" t="s">
        <v>14701</v>
      </c>
      <c r="X1939">
        <v>9</v>
      </c>
      <c r="Y1939" t="s">
        <v>21003</v>
      </c>
      <c r="Z1939" t="s">
        <v>27257</v>
      </c>
      <c r="AA1939">
        <v>0.76273440602507847</v>
      </c>
      <c r="AB1939" t="str">
        <f>HYPERLINK("Melting_Curves/meltCurve_P02008_HBZ.pdf", "Melting_Curves/meltCurve_P02008_HBZ.pdf")</f>
        <v>Melting_Curves/meltCurve_P02008_HBZ.pdf</v>
      </c>
    </row>
    <row r="1940" spans="1:28" x14ac:dyDescent="0.25">
      <c r="A1940" t="s">
        <v>1944</v>
      </c>
      <c r="B1940">
        <v>0.99542014353169495</v>
      </c>
      <c r="C1940">
        <v>1.0485300732790499</v>
      </c>
      <c r="D1940">
        <v>0.97743317159555398</v>
      </c>
      <c r="E1940">
        <v>0.93061647185836505</v>
      </c>
      <c r="F1940">
        <v>0.76329944766825297</v>
      </c>
      <c r="G1940">
        <v>0.59561019325031495</v>
      </c>
      <c r="H1940">
        <v>0.433466998601298</v>
      </c>
      <c r="I1940">
        <v>0.42769293109107398</v>
      </c>
      <c r="J1940">
        <v>0.59037798658176099</v>
      </c>
      <c r="K1940">
        <v>0.59248090437202605</v>
      </c>
      <c r="L1940">
        <v>1456.68946525909</v>
      </c>
      <c r="M1940">
        <v>29.0338971958885</v>
      </c>
      <c r="O1940">
        <v>49.935819161289501</v>
      </c>
      <c r="P1940">
        <v>-7.0785025415657399E-2</v>
      </c>
      <c r="Q1940">
        <v>0.51302686396045605</v>
      </c>
      <c r="R1940">
        <v>0.93702205309291597</v>
      </c>
      <c r="S1940" t="s">
        <v>8342</v>
      </c>
      <c r="T1940" t="s">
        <v>12802</v>
      </c>
      <c r="U1940" t="s">
        <v>12802</v>
      </c>
      <c r="V1940" t="s">
        <v>12802</v>
      </c>
      <c r="W1940" t="s">
        <v>14702</v>
      </c>
      <c r="X1940">
        <v>10</v>
      </c>
      <c r="Y1940" t="s">
        <v>21004</v>
      </c>
      <c r="Z1940" t="s">
        <v>27258</v>
      </c>
      <c r="AA1940">
        <v>0.73003633649716348</v>
      </c>
      <c r="AB1940" t="str">
        <f>HYPERLINK("Melting_Curves/meltCurve_P02042_HBD.pdf", "Melting_Curves/meltCurve_P02042_HBD.pdf")</f>
        <v>Melting_Curves/meltCurve_P02042_HBD.pdf</v>
      </c>
    </row>
    <row r="1941" spans="1:28" x14ac:dyDescent="0.25">
      <c r="A1941" t="s">
        <v>1945</v>
      </c>
      <c r="B1941">
        <v>0.99542014353169495</v>
      </c>
      <c r="C1941">
        <v>1.0408650086906499</v>
      </c>
      <c r="D1941">
        <v>0.93459666511131601</v>
      </c>
      <c r="E1941">
        <v>0.98135688421065603</v>
      </c>
      <c r="F1941">
        <v>0.77984394918858002</v>
      </c>
      <c r="G1941">
        <v>0.76994484180677503</v>
      </c>
      <c r="H1941">
        <v>0.55404454879199605</v>
      </c>
      <c r="I1941">
        <v>0.50572560365275598</v>
      </c>
      <c r="J1941">
        <v>0.72179344000303303</v>
      </c>
      <c r="K1941">
        <v>0.63226423296207801</v>
      </c>
      <c r="L1941">
        <v>1137.0829640260899</v>
      </c>
      <c r="M1941">
        <v>22.4882231829767</v>
      </c>
      <c r="O1941">
        <v>50.168763581913801</v>
      </c>
      <c r="P1941">
        <v>-4.3947269468288599E-2</v>
      </c>
      <c r="Q1941">
        <v>0.60784196954555503</v>
      </c>
      <c r="R1941">
        <v>0.86158383734531796</v>
      </c>
      <c r="S1941" t="s">
        <v>8343</v>
      </c>
      <c r="T1941" t="s">
        <v>12802</v>
      </c>
      <c r="U1941" t="s">
        <v>12802</v>
      </c>
      <c r="V1941" t="s">
        <v>12802</v>
      </c>
      <c r="W1941" t="s">
        <v>14703</v>
      </c>
      <c r="X1941">
        <v>14</v>
      </c>
      <c r="Y1941" t="s">
        <v>19201</v>
      </c>
      <c r="Z1941" t="s">
        <v>27259</v>
      </c>
      <c r="AA1941">
        <v>0.78933516990554153</v>
      </c>
      <c r="AB1941" t="str">
        <f>HYPERLINK("Melting_Curves/meltCurve_P02100_HBE1.pdf", "Melting_Curves/meltCurve_P02100_HBE1.pdf")</f>
        <v>Melting_Curves/meltCurve_P02100_HBE1.pdf</v>
      </c>
    </row>
    <row r="1942" spans="1:28" x14ac:dyDescent="0.25">
      <c r="A1942" t="s">
        <v>1946</v>
      </c>
      <c r="B1942">
        <v>0.99542014353169495</v>
      </c>
      <c r="C1942">
        <v>0.98463634553755797</v>
      </c>
      <c r="D1942">
        <v>0.99901569173959304</v>
      </c>
      <c r="E1942">
        <v>1.0357506174820901</v>
      </c>
      <c r="F1942">
        <v>1.2628371359594199</v>
      </c>
      <c r="G1942">
        <v>0.75931991330881199</v>
      </c>
      <c r="H1942">
        <v>0.215271548509193</v>
      </c>
      <c r="I1942">
        <v>9.5387151531736894E-2</v>
      </c>
      <c r="J1942">
        <v>9.2618402901163799E-2</v>
      </c>
      <c r="K1942">
        <v>0.113726120771046</v>
      </c>
      <c r="L1942">
        <v>2911.0513116304601</v>
      </c>
      <c r="M1942">
        <v>52.986163473164503</v>
      </c>
      <c r="N1942">
        <v>55.187005368974503</v>
      </c>
      <c r="O1942">
        <v>54.861751750094697</v>
      </c>
      <c r="P1942">
        <v>-0.215951397596331</v>
      </c>
      <c r="Q1942">
        <v>0.105618312758124</v>
      </c>
      <c r="R1942">
        <v>0.96200436703907599</v>
      </c>
      <c r="S1942" t="s">
        <v>8344</v>
      </c>
      <c r="T1942" t="s">
        <v>12802</v>
      </c>
      <c r="U1942" t="s">
        <v>12802</v>
      </c>
      <c r="V1942" t="s">
        <v>12802</v>
      </c>
      <c r="W1942" t="s">
        <v>14704</v>
      </c>
      <c r="X1942">
        <v>77</v>
      </c>
      <c r="Y1942" t="s">
        <v>21005</v>
      </c>
      <c r="Z1942" t="s">
        <v>27260</v>
      </c>
      <c r="AA1942">
        <v>0.64237914757149273</v>
      </c>
      <c r="AB1942" t="str">
        <f>HYPERLINK("Melting_Curves/meltCurve_P02545_LMNA.pdf", "Melting_Curves/meltCurve_P02545_LMNA.pdf")</f>
        <v>Melting_Curves/meltCurve_P02545_LMNA.pdf</v>
      </c>
    </row>
    <row r="1943" spans="1:28" x14ac:dyDescent="0.25">
      <c r="A1943" t="s">
        <v>1947</v>
      </c>
      <c r="B1943">
        <v>0.99542014353169495</v>
      </c>
      <c r="C1943">
        <v>0.91508930485067996</v>
      </c>
      <c r="D1943">
        <v>0.99081194015114005</v>
      </c>
      <c r="E1943">
        <v>0.75956423432315601</v>
      </c>
      <c r="F1943">
        <v>0.615785574299617</v>
      </c>
      <c r="G1943">
        <v>0.37497464856238</v>
      </c>
      <c r="H1943">
        <v>0.24112267769616599</v>
      </c>
      <c r="I1943">
        <v>0.19092803995493601</v>
      </c>
      <c r="J1943">
        <v>0.191830880957332</v>
      </c>
      <c r="K1943">
        <v>0.26804316138502798</v>
      </c>
      <c r="L1943">
        <v>827.58079954938103</v>
      </c>
      <c r="M1943">
        <v>16.597811656168901</v>
      </c>
      <c r="N1943">
        <v>51.336512986928803</v>
      </c>
      <c r="O1943">
        <v>49.153917914235201</v>
      </c>
      <c r="P1943">
        <v>-6.8407189186334899E-2</v>
      </c>
      <c r="Q1943">
        <v>0.18971172309106701</v>
      </c>
      <c r="R1943">
        <v>0.98227925905019997</v>
      </c>
      <c r="S1943" t="s">
        <v>8345</v>
      </c>
      <c r="T1943" t="s">
        <v>12802</v>
      </c>
      <c r="U1943" t="s">
        <v>12802</v>
      </c>
      <c r="V1943" t="s">
        <v>12802</v>
      </c>
      <c r="W1943" t="s">
        <v>14705</v>
      </c>
      <c r="X1943">
        <v>75</v>
      </c>
      <c r="Y1943" t="s">
        <v>21005</v>
      </c>
      <c r="Z1943" t="s">
        <v>27261</v>
      </c>
      <c r="AA1943">
        <v>0.55166147706719981</v>
      </c>
      <c r="AB1943" t="str">
        <f>HYPERLINK("Melting_Curves/meltCurve_P02545_2_LMNA.pdf", "Melting_Curves/meltCurve_P02545_2_LMNA.pdf")</f>
        <v>Melting_Curves/meltCurve_P02545_2_LMNA.pdf</v>
      </c>
    </row>
    <row r="1944" spans="1:28" x14ac:dyDescent="0.25">
      <c r="A1944" t="s">
        <v>1948</v>
      </c>
      <c r="B1944">
        <v>0.99542014353169495</v>
      </c>
      <c r="C1944">
        <v>0.87292931630906201</v>
      </c>
      <c r="D1944">
        <v>0.808785745437266</v>
      </c>
      <c r="E1944">
        <v>0.37234332091457301</v>
      </c>
      <c r="F1944">
        <v>0.176465833263554</v>
      </c>
      <c r="G1944">
        <v>0.102643323472123</v>
      </c>
      <c r="H1944">
        <v>6.0701261103495101E-2</v>
      </c>
      <c r="I1944">
        <v>4.0369522280649599E-2</v>
      </c>
      <c r="J1944">
        <v>4.24780059868239E-2</v>
      </c>
      <c r="K1944">
        <v>4.4457412569311197E-2</v>
      </c>
      <c r="L1944">
        <v>891.21134386485301</v>
      </c>
      <c r="M1944">
        <v>19.636489006205402</v>
      </c>
      <c r="N1944">
        <v>45.596192493919197</v>
      </c>
      <c r="O1944">
        <v>44.922637237909399</v>
      </c>
      <c r="P1944">
        <v>-0.10454298312362199</v>
      </c>
      <c r="Q1944">
        <v>4.3376337664106097E-2</v>
      </c>
      <c r="R1944">
        <v>0.99391398474289805</v>
      </c>
      <c r="S1944" t="s">
        <v>8346</v>
      </c>
      <c r="T1944" t="s">
        <v>12802</v>
      </c>
      <c r="U1944" t="s">
        <v>12802</v>
      </c>
      <c r="V1944" t="s">
        <v>12802</v>
      </c>
      <c r="W1944" t="s">
        <v>14706</v>
      </c>
      <c r="X1944">
        <v>74</v>
      </c>
      <c r="Y1944" t="s">
        <v>21006</v>
      </c>
      <c r="Z1944" t="s">
        <v>27262</v>
      </c>
      <c r="AA1944">
        <v>0.32378513583015139</v>
      </c>
      <c r="AB1944" t="str">
        <f>HYPERLINK("Melting_Curves/meltCurve_P02549_SPTA1.pdf", "Melting_Curves/meltCurve_P02549_SPTA1.pdf")</f>
        <v>Melting_Curves/meltCurve_P02549_SPTA1.pdf</v>
      </c>
    </row>
    <row r="1945" spans="1:28" x14ac:dyDescent="0.25">
      <c r="A1945" t="s">
        <v>1949</v>
      </c>
      <c r="B1945">
        <v>0.99542014353169495</v>
      </c>
      <c r="C1945">
        <v>1.06429638269501</v>
      </c>
      <c r="D1945">
        <v>1.04332312660058</v>
      </c>
      <c r="E1945">
        <v>0.97731557495425503</v>
      </c>
      <c r="F1945">
        <v>0.73954219978694502</v>
      </c>
      <c r="G1945">
        <v>0.45733416610689998</v>
      </c>
      <c r="H1945">
        <v>0.242887025144265</v>
      </c>
      <c r="I1945">
        <v>0.17975627349818901</v>
      </c>
      <c r="J1945">
        <v>0.237831269279766</v>
      </c>
      <c r="K1945">
        <v>0.288272850398896</v>
      </c>
      <c r="L1945">
        <v>1414.1619749998599</v>
      </c>
      <c r="M1945">
        <v>27.359904046517499</v>
      </c>
      <c r="N1945">
        <v>52.852821760046602</v>
      </c>
      <c r="O1945">
        <v>51.413629071567698</v>
      </c>
      <c r="P1945">
        <v>-0.102906207344602</v>
      </c>
      <c r="Q1945">
        <v>0.22649849403769601</v>
      </c>
      <c r="R1945">
        <v>0.98725905567370398</v>
      </c>
      <c r="S1945" t="s">
        <v>8347</v>
      </c>
      <c r="T1945" t="s">
        <v>12802</v>
      </c>
      <c r="U1945" t="s">
        <v>12802</v>
      </c>
      <c r="V1945" t="s">
        <v>12802</v>
      </c>
      <c r="W1945" t="s">
        <v>14707</v>
      </c>
      <c r="X1945">
        <v>10</v>
      </c>
      <c r="Y1945" t="s">
        <v>21007</v>
      </c>
      <c r="Z1945" t="s">
        <v>27263</v>
      </c>
      <c r="AA1945">
        <v>0.6109845498821691</v>
      </c>
      <c r="AB1945" t="str">
        <f>HYPERLINK("Melting_Curves/meltCurve_P02649_APOE.pdf", "Melting_Curves/meltCurve_P02649_APOE.pdf")</f>
        <v>Melting_Curves/meltCurve_P02649_APOE.pdf</v>
      </c>
    </row>
    <row r="1946" spans="1:28" x14ac:dyDescent="0.25">
      <c r="A1946" t="s">
        <v>1950</v>
      </c>
      <c r="B1946">
        <v>0.99542014353169495</v>
      </c>
      <c r="C1946">
        <v>0.80562264865121402</v>
      </c>
      <c r="D1946">
        <v>0.84881487475157502</v>
      </c>
      <c r="E1946">
        <v>0.65922790625952299</v>
      </c>
      <c r="F1946">
        <v>0.58480322661319895</v>
      </c>
      <c r="G1946">
        <v>0.27361343941499899</v>
      </c>
      <c r="H1946">
        <v>0.223005505886784</v>
      </c>
      <c r="I1946">
        <v>0.131769650283037</v>
      </c>
      <c r="J1946">
        <v>2.4520443611579901E-2</v>
      </c>
      <c r="K1946">
        <v>5.1351811138374802E-2</v>
      </c>
      <c r="L1946">
        <v>513.33576029491098</v>
      </c>
      <c r="M1946">
        <v>10.284473799089801</v>
      </c>
      <c r="N1946">
        <v>49.913659548423702</v>
      </c>
      <c r="O1946">
        <v>48.136997884282501</v>
      </c>
      <c r="P1946">
        <v>-5.3435856096593001E-2</v>
      </c>
      <c r="Q1946">
        <v>0</v>
      </c>
      <c r="R1946">
        <v>0.97113496501609398</v>
      </c>
      <c r="S1946" t="s">
        <v>8348</v>
      </c>
      <c r="T1946" t="s">
        <v>12802</v>
      </c>
      <c r="U1946" t="s">
        <v>12802</v>
      </c>
      <c r="V1946" t="s">
        <v>12802</v>
      </c>
      <c r="W1946" t="s">
        <v>14708</v>
      </c>
      <c r="X1946">
        <v>1</v>
      </c>
      <c r="Y1946" t="s">
        <v>21008</v>
      </c>
      <c r="Z1946" t="s">
        <v>27264</v>
      </c>
      <c r="AA1946">
        <v>0.46375031763426122</v>
      </c>
      <c r="AB1946" t="str">
        <f>HYPERLINK("Melting_Curves/meltCurve_P02730_SLC4A1.pdf", "Melting_Curves/meltCurve_P02730_SLC4A1.pdf")</f>
        <v>Melting_Curves/meltCurve_P02730_SLC4A1.pdf</v>
      </c>
    </row>
    <row r="1947" spans="1:28" x14ac:dyDescent="0.25">
      <c r="A1947" t="s">
        <v>1951</v>
      </c>
      <c r="B1947">
        <v>0.99542014353169495</v>
      </c>
      <c r="C1947">
        <v>0.96771399439008399</v>
      </c>
      <c r="D1947">
        <v>0.95570155532913104</v>
      </c>
      <c r="E1947">
        <v>0.87124682903224404</v>
      </c>
      <c r="F1947">
        <v>0.74186934808285598</v>
      </c>
      <c r="G1947">
        <v>0.48850372180775697</v>
      </c>
      <c r="H1947">
        <v>0.35446170102564001</v>
      </c>
      <c r="I1947">
        <v>0.30564782412409702</v>
      </c>
      <c r="J1947">
        <v>0.38584518918852101</v>
      </c>
      <c r="K1947">
        <v>0.32388189288012398</v>
      </c>
      <c r="L1947">
        <v>988.75091984004496</v>
      </c>
      <c r="M1947">
        <v>19.419132994709301</v>
      </c>
      <c r="N1947">
        <v>53.684677546408402</v>
      </c>
      <c r="O1947">
        <v>50.385605359679502</v>
      </c>
      <c r="P1947">
        <v>-6.5877275497309096E-2</v>
      </c>
      <c r="Q1947">
        <v>0.31631448114622501</v>
      </c>
      <c r="R1947">
        <v>0.98780811246534495</v>
      </c>
      <c r="S1947" t="s">
        <v>8349</v>
      </c>
      <c r="T1947" t="s">
        <v>12802</v>
      </c>
      <c r="U1947" t="s">
        <v>12802</v>
      </c>
      <c r="V1947" t="s">
        <v>12802</v>
      </c>
      <c r="W1947" t="s">
        <v>14709</v>
      </c>
      <c r="X1947">
        <v>48</v>
      </c>
      <c r="Y1947" t="s">
        <v>21009</v>
      </c>
      <c r="Z1947" t="s">
        <v>27265</v>
      </c>
      <c r="AA1947">
        <v>0.6428674296273782</v>
      </c>
      <c r="AB1947" t="str">
        <f>HYPERLINK("Melting_Curves/meltCurve_P02786_TFRC.pdf", "Melting_Curves/meltCurve_P02786_TFRC.pdf")</f>
        <v>Melting_Curves/meltCurve_P02786_TFRC.pdf</v>
      </c>
    </row>
    <row r="1948" spans="1:28" x14ac:dyDescent="0.25">
      <c r="A1948" t="s">
        <v>1952</v>
      </c>
      <c r="B1948">
        <v>0.99542014353169495</v>
      </c>
      <c r="C1948">
        <v>0.87528057704450901</v>
      </c>
      <c r="D1948">
        <v>0.94118903523476305</v>
      </c>
      <c r="E1948">
        <v>0.91269156625676395</v>
      </c>
      <c r="F1948">
        <v>0.65868897282832695</v>
      </c>
      <c r="G1948">
        <v>0.430507349879377</v>
      </c>
      <c r="H1948">
        <v>0.44076131302021299</v>
      </c>
      <c r="I1948">
        <v>0.51434603978469695</v>
      </c>
      <c r="J1948">
        <v>0.68198320454489303</v>
      </c>
      <c r="K1948">
        <v>0.71394446628897901</v>
      </c>
      <c r="L1948">
        <v>2006.4799157759001</v>
      </c>
      <c r="M1948">
        <v>41.551444506884899</v>
      </c>
      <c r="O1948">
        <v>48.177607224758397</v>
      </c>
      <c r="P1948">
        <v>-9.50733867071102E-2</v>
      </c>
      <c r="Q1948">
        <v>0.55906224610515498</v>
      </c>
      <c r="R1948">
        <v>0.765320656188759</v>
      </c>
      <c r="S1948" t="s">
        <v>8350</v>
      </c>
      <c r="T1948" t="s">
        <v>12802</v>
      </c>
      <c r="U1948" t="s">
        <v>12802</v>
      </c>
      <c r="V1948" t="s">
        <v>12802</v>
      </c>
      <c r="W1948" t="s">
        <v>14710</v>
      </c>
      <c r="X1948">
        <v>2</v>
      </c>
      <c r="Y1948" t="s">
        <v>21010</v>
      </c>
      <c r="Z1948" t="s">
        <v>27266</v>
      </c>
      <c r="AA1948">
        <v>0.72635105695868196</v>
      </c>
      <c r="AB1948" t="str">
        <f>HYPERLINK("Melting_Curves/meltCurve_P02792_FTL.pdf", "Melting_Curves/meltCurve_P02792_FTL.pdf")</f>
        <v>Melting_Curves/meltCurve_P02792_FTL.pdf</v>
      </c>
    </row>
    <row r="1949" spans="1:28" x14ac:dyDescent="0.25">
      <c r="A1949" t="s">
        <v>1953</v>
      </c>
      <c r="B1949">
        <v>0.99542014353169495</v>
      </c>
      <c r="C1949">
        <v>1.0279248186816501</v>
      </c>
      <c r="D1949">
        <v>0.84385075500725903</v>
      </c>
      <c r="E1949">
        <v>0.76456876833974496</v>
      </c>
      <c r="F1949">
        <v>0.52226493076248304</v>
      </c>
      <c r="G1949">
        <v>0.292197844508086</v>
      </c>
      <c r="H1949">
        <v>0.24808759667060001</v>
      </c>
      <c r="I1949">
        <v>0.25689380765729702</v>
      </c>
      <c r="J1949">
        <v>0.28596374188423401</v>
      </c>
      <c r="K1949">
        <v>0.38970272121445099</v>
      </c>
      <c r="L1949">
        <v>957.35582957231099</v>
      </c>
      <c r="M1949">
        <v>19.991009170514399</v>
      </c>
      <c r="N1949">
        <v>49.931256321282</v>
      </c>
      <c r="O1949">
        <v>47.4178443974956</v>
      </c>
      <c r="P1949">
        <v>-7.5969422849443094E-2</v>
      </c>
      <c r="Q1949">
        <v>0.27923827749633101</v>
      </c>
      <c r="R1949">
        <v>0.96527429434021195</v>
      </c>
      <c r="S1949" t="s">
        <v>8351</v>
      </c>
      <c r="T1949" t="s">
        <v>12802</v>
      </c>
      <c r="U1949" t="s">
        <v>12802</v>
      </c>
      <c r="V1949" t="s">
        <v>12802</v>
      </c>
      <c r="W1949" t="s">
        <v>14711</v>
      </c>
      <c r="X1949">
        <v>2</v>
      </c>
      <c r="Y1949" t="s">
        <v>21011</v>
      </c>
      <c r="Z1949" t="s">
        <v>27267</v>
      </c>
      <c r="AA1949">
        <v>0.55033247199614377</v>
      </c>
      <c r="AB1949" t="str">
        <f>HYPERLINK("Melting_Curves/meltCurve_P02794_FTH1.pdf", "Melting_Curves/meltCurve_P02794_FTH1.pdf")</f>
        <v>Melting_Curves/meltCurve_P02794_FTH1.pdf</v>
      </c>
    </row>
    <row r="1950" spans="1:28" x14ac:dyDescent="0.25">
      <c r="A1950" t="s">
        <v>1954</v>
      </c>
      <c r="B1950">
        <v>0.99542014353169495</v>
      </c>
      <c r="C1950">
        <v>0.81321096627047895</v>
      </c>
      <c r="D1950">
        <v>1.0444515345730301</v>
      </c>
      <c r="E1950">
        <v>0.68730744927676102</v>
      </c>
      <c r="F1950">
        <v>0.54772673669191396</v>
      </c>
      <c r="G1950">
        <v>0.24500737979746501</v>
      </c>
      <c r="H1950">
        <v>0.26392522947074698</v>
      </c>
      <c r="I1950">
        <v>0.209339501006611</v>
      </c>
      <c r="J1950">
        <v>0.264204780409801</v>
      </c>
      <c r="K1950">
        <v>0.18513245053463701</v>
      </c>
      <c r="L1950">
        <v>915.00452446134705</v>
      </c>
      <c r="M1950">
        <v>18.861159207636</v>
      </c>
      <c r="N1950">
        <v>49.916110880993998</v>
      </c>
      <c r="O1950">
        <v>47.977161231592703</v>
      </c>
      <c r="P1950">
        <v>-7.8059724242196302E-2</v>
      </c>
      <c r="Q1950">
        <v>0.205789986508633</v>
      </c>
      <c r="R1950">
        <v>0.94307802986409905</v>
      </c>
      <c r="S1950" t="s">
        <v>8352</v>
      </c>
      <c r="T1950" t="s">
        <v>12802</v>
      </c>
      <c r="U1950" t="s">
        <v>12802</v>
      </c>
      <c r="V1950" t="s">
        <v>12802</v>
      </c>
      <c r="W1950" t="s">
        <v>14712</v>
      </c>
      <c r="X1950">
        <v>2</v>
      </c>
      <c r="Y1950" t="s">
        <v>21012</v>
      </c>
      <c r="Z1950" t="s">
        <v>27268</v>
      </c>
      <c r="AA1950">
        <v>0.52221310256850595</v>
      </c>
      <c r="AB1950" t="str">
        <f>HYPERLINK("Melting_Curves/meltCurve_P03928_MT_ATP8.pdf", "Melting_Curves/meltCurve_P03928_MT_ATP8.pdf")</f>
        <v>Melting_Curves/meltCurve_P03928_MT_ATP8.pdf</v>
      </c>
    </row>
    <row r="1951" spans="1:28" x14ac:dyDescent="0.25">
      <c r="A1951" t="s">
        <v>1955</v>
      </c>
      <c r="B1951">
        <v>0.99542014353169495</v>
      </c>
      <c r="C1951">
        <v>0.80328001702635099</v>
      </c>
      <c r="D1951">
        <v>0.81486899737881502</v>
      </c>
      <c r="E1951">
        <v>0.576824741258395</v>
      </c>
      <c r="F1951">
        <v>0.39998199819587099</v>
      </c>
      <c r="G1951">
        <v>0.177120801257625</v>
      </c>
      <c r="H1951">
        <v>0.138421693363768</v>
      </c>
      <c r="I1951">
        <v>9.1661015282142405E-2</v>
      </c>
      <c r="J1951">
        <v>0.11376053161770799</v>
      </c>
      <c r="K1951">
        <v>9.3871954309769107E-2</v>
      </c>
      <c r="L1951">
        <v>554.90858926792203</v>
      </c>
      <c r="M1951">
        <v>11.7270808392755</v>
      </c>
      <c r="N1951">
        <v>47.697540239425201</v>
      </c>
      <c r="O1951">
        <v>46.0054666935726</v>
      </c>
      <c r="P1951">
        <v>-6.0907799187340302E-2</v>
      </c>
      <c r="Q1951">
        <v>4.4483945076681797E-2</v>
      </c>
      <c r="R1951">
        <v>0.98350567154733404</v>
      </c>
      <c r="S1951" t="s">
        <v>8353</v>
      </c>
      <c r="T1951" t="s">
        <v>12802</v>
      </c>
      <c r="U1951" t="s">
        <v>12802</v>
      </c>
      <c r="V1951" t="s">
        <v>12802</v>
      </c>
      <c r="W1951" t="s">
        <v>14713</v>
      </c>
      <c r="X1951">
        <v>5</v>
      </c>
      <c r="Y1951" t="s">
        <v>21013</v>
      </c>
      <c r="Z1951" t="s">
        <v>27269</v>
      </c>
      <c r="AA1951">
        <v>0.4051726182008899</v>
      </c>
      <c r="AB1951" t="str">
        <f>HYPERLINK("Melting_Curves/meltCurve_P04035_HMGCR.pdf", "Melting_Curves/meltCurve_P04035_HMGCR.pdf")</f>
        <v>Melting_Curves/meltCurve_P04035_HMGCR.pdf</v>
      </c>
    </row>
    <row r="1952" spans="1:28" x14ac:dyDescent="0.25">
      <c r="A1952" t="s">
        <v>1956</v>
      </c>
      <c r="B1952">
        <v>0.99542014353169495</v>
      </c>
      <c r="C1952">
        <v>0.89505923170086699</v>
      </c>
      <c r="D1952">
        <v>0.93386653546857201</v>
      </c>
      <c r="E1952">
        <v>0.82669388338291605</v>
      </c>
      <c r="F1952">
        <v>0.67346865970649805</v>
      </c>
      <c r="G1952">
        <v>0.40035254228619699</v>
      </c>
      <c r="H1952">
        <v>0.329301660145635</v>
      </c>
      <c r="I1952">
        <v>0.32570784669088998</v>
      </c>
      <c r="J1952">
        <v>0.30304844718150697</v>
      </c>
      <c r="K1952">
        <v>0.16671930569162999</v>
      </c>
      <c r="L1952">
        <v>661.72356141094303</v>
      </c>
      <c r="M1952">
        <v>13.0098964330538</v>
      </c>
      <c r="N1952">
        <v>52.887686812181002</v>
      </c>
      <c r="O1952">
        <v>49.706351094665301</v>
      </c>
      <c r="P1952">
        <v>-5.2609078963819597E-2</v>
      </c>
      <c r="Q1952">
        <v>0.19613649764247101</v>
      </c>
      <c r="R1952">
        <v>0.97488464606984304</v>
      </c>
      <c r="S1952" t="s">
        <v>8354</v>
      </c>
      <c r="T1952" t="s">
        <v>12802</v>
      </c>
      <c r="U1952" t="s">
        <v>12802</v>
      </c>
      <c r="V1952" t="s">
        <v>12802</v>
      </c>
      <c r="W1952" t="s">
        <v>14714</v>
      </c>
      <c r="X1952">
        <v>30</v>
      </c>
      <c r="Y1952" t="s">
        <v>21014</v>
      </c>
      <c r="Z1952" t="s">
        <v>27270</v>
      </c>
      <c r="AA1952">
        <v>0.58699984980262476</v>
      </c>
      <c r="AB1952" t="str">
        <f>HYPERLINK("Melting_Curves/meltCurve_P04040_CAT.pdf", "Melting_Curves/meltCurve_P04040_CAT.pdf")</f>
        <v>Melting_Curves/meltCurve_P04040_CAT.pdf</v>
      </c>
    </row>
    <row r="1953" spans="1:28" x14ac:dyDescent="0.25">
      <c r="A1953" t="s">
        <v>1957</v>
      </c>
      <c r="B1953">
        <v>0.99542014353169495</v>
      </c>
      <c r="C1953">
        <v>0.787659480971446</v>
      </c>
      <c r="D1953">
        <v>0.78569917292080604</v>
      </c>
      <c r="E1953">
        <v>0.69889058820491501</v>
      </c>
      <c r="F1953">
        <v>0.49041375240075902</v>
      </c>
      <c r="G1953">
        <v>0.42849163502091098</v>
      </c>
      <c r="H1953">
        <v>0.24449920068463701</v>
      </c>
      <c r="I1953">
        <v>0.18439145167591101</v>
      </c>
      <c r="J1953">
        <v>9.0833628836621993E-2</v>
      </c>
      <c r="K1953">
        <v>7.6196408814922303E-2</v>
      </c>
      <c r="L1953">
        <v>418.37030108629398</v>
      </c>
      <c r="M1953">
        <v>8.3373262656407103</v>
      </c>
      <c r="N1953">
        <v>50.180390928749198</v>
      </c>
      <c r="O1953">
        <v>47.542337445355798</v>
      </c>
      <c r="P1953">
        <v>-4.3884067368692402E-2</v>
      </c>
      <c r="Q1953">
        <v>0</v>
      </c>
      <c r="R1953">
        <v>0.97514539429976699</v>
      </c>
      <c r="S1953" t="s">
        <v>8355</v>
      </c>
      <c r="T1953" t="s">
        <v>12802</v>
      </c>
      <c r="U1953" t="s">
        <v>12802</v>
      </c>
      <c r="V1953" t="s">
        <v>12802</v>
      </c>
      <c r="W1953" t="s">
        <v>14715</v>
      </c>
      <c r="X1953">
        <v>4</v>
      </c>
      <c r="Y1953" t="s">
        <v>21015</v>
      </c>
      <c r="Z1953" t="s">
        <v>27271</v>
      </c>
      <c r="AA1953">
        <v>0.47794139803959168</v>
      </c>
      <c r="AB1953" t="str">
        <f>HYPERLINK("Melting_Curves/meltCurve_P04066_FUCA1.pdf", "Melting_Curves/meltCurve_P04066_FUCA1.pdf")</f>
        <v>Melting_Curves/meltCurve_P04066_FUCA1.pdf</v>
      </c>
    </row>
    <row r="1954" spans="1:28" x14ac:dyDescent="0.25">
      <c r="A1954" t="s">
        <v>1958</v>
      </c>
      <c r="B1954">
        <v>0.99542014353169495</v>
      </c>
      <c r="C1954">
        <v>0.91943868798432105</v>
      </c>
      <c r="D1954">
        <v>0.95146191106391398</v>
      </c>
      <c r="E1954">
        <v>0.85121850127448495</v>
      </c>
      <c r="F1954">
        <v>0.71815018755249005</v>
      </c>
      <c r="G1954">
        <v>0.57132980417444701</v>
      </c>
      <c r="H1954">
        <v>0.48516280063416201</v>
      </c>
      <c r="I1954">
        <v>0.43320129575799099</v>
      </c>
      <c r="J1954">
        <v>0.49665737665092002</v>
      </c>
      <c r="K1954">
        <v>0.21860455447437799</v>
      </c>
      <c r="L1954">
        <v>432.361054006968</v>
      </c>
      <c r="M1954">
        <v>7.89679894168437</v>
      </c>
      <c r="N1954">
        <v>57.613605846444301</v>
      </c>
      <c r="O1954">
        <v>51.574017375596902</v>
      </c>
      <c r="P1954">
        <v>-3.2106252961025802E-2</v>
      </c>
      <c r="Q1954">
        <v>0.16225039796929</v>
      </c>
      <c r="R1954">
        <v>0.94455809553327796</v>
      </c>
      <c r="S1954" t="s">
        <v>8356</v>
      </c>
      <c r="T1954" t="s">
        <v>12802</v>
      </c>
      <c r="U1954" t="s">
        <v>12802</v>
      </c>
      <c r="V1954" t="s">
        <v>12802</v>
      </c>
      <c r="W1954" t="s">
        <v>14716</v>
      </c>
      <c r="X1954">
        <v>44</v>
      </c>
      <c r="Y1954" t="s">
        <v>20124</v>
      </c>
      <c r="Z1954" t="s">
        <v>27272</v>
      </c>
      <c r="AA1954">
        <v>0.66499704472747012</v>
      </c>
      <c r="AB1954" t="str">
        <f>HYPERLINK("Melting_Curves/meltCurve_P04075_ALDOA.pdf", "Melting_Curves/meltCurve_P04075_ALDOA.pdf")</f>
        <v>Melting_Curves/meltCurve_P04075_ALDOA.pdf</v>
      </c>
    </row>
    <row r="1955" spans="1:28" x14ac:dyDescent="0.25">
      <c r="A1955" t="s">
        <v>1959</v>
      </c>
      <c r="B1955">
        <v>0.99542014353169495</v>
      </c>
      <c r="C1955">
        <v>0.97487560243267202</v>
      </c>
      <c r="D1955">
        <v>1.067778814955</v>
      </c>
      <c r="E1955">
        <v>1.28766684525214</v>
      </c>
      <c r="F1955">
        <v>0.99057197544350795</v>
      </c>
      <c r="G1955">
        <v>0.48596932066547999</v>
      </c>
      <c r="H1955">
        <v>0.197811587582189</v>
      </c>
      <c r="I1955">
        <v>9.8655351454338E-2</v>
      </c>
      <c r="J1955">
        <v>0.114016454888088</v>
      </c>
      <c r="K1955">
        <v>0.13994401011170299</v>
      </c>
      <c r="L1955">
        <v>2773.0168319785898</v>
      </c>
      <c r="M1955">
        <v>51.873627979350701</v>
      </c>
      <c r="N1955">
        <v>53.7692390344492</v>
      </c>
      <c r="O1955">
        <v>53.377892184003699</v>
      </c>
      <c r="P1955">
        <v>-0.21137324269768701</v>
      </c>
      <c r="Q1955">
        <v>0.129989532996724</v>
      </c>
      <c r="R1955">
        <v>0.95404046388105401</v>
      </c>
      <c r="S1955" t="s">
        <v>8357</v>
      </c>
      <c r="T1955" t="s">
        <v>12802</v>
      </c>
      <c r="U1955" t="s">
        <v>12802</v>
      </c>
      <c r="V1955" t="s">
        <v>12802</v>
      </c>
      <c r="W1955" t="s">
        <v>14717</v>
      </c>
      <c r="X1955">
        <v>5</v>
      </c>
      <c r="Y1955" t="s">
        <v>21016</v>
      </c>
      <c r="Z1955" t="s">
        <v>27273</v>
      </c>
      <c r="AA1955">
        <v>0.60915675480189779</v>
      </c>
      <c r="AB1955" t="str">
        <f>HYPERLINK("Melting_Curves/meltCurve_P04080_CSTB.pdf", "Melting_Curves/meltCurve_P04080_CSTB.pdf")</f>
        <v>Melting_Curves/meltCurve_P04080_CSTB.pdf</v>
      </c>
    </row>
    <row r="1956" spans="1:28" x14ac:dyDescent="0.25">
      <c r="A1956" t="s">
        <v>1960</v>
      </c>
      <c r="B1956">
        <v>0.99542014353169495</v>
      </c>
      <c r="C1956">
        <v>1.0049319547706199</v>
      </c>
      <c r="D1956">
        <v>0.91442965438936297</v>
      </c>
      <c r="E1956">
        <v>0.82005522903549599</v>
      </c>
      <c r="F1956">
        <v>0.13868301505698699</v>
      </c>
      <c r="G1956">
        <v>8.3679109440919802E-2</v>
      </c>
      <c r="H1956">
        <v>4.8177495430202603E-2</v>
      </c>
      <c r="I1956">
        <v>3.2485439237113299E-2</v>
      </c>
      <c r="J1956">
        <v>3.1901327419968602E-2</v>
      </c>
      <c r="K1956">
        <v>3.3926929572624401E-2</v>
      </c>
      <c r="L1956">
        <v>2303.2709517694102</v>
      </c>
      <c r="M1956">
        <v>48.000869941010997</v>
      </c>
      <c r="N1956">
        <v>48.075436444456301</v>
      </c>
      <c r="O1956">
        <v>47.9008585364368</v>
      </c>
      <c r="P1956">
        <v>-0.239586410865477</v>
      </c>
      <c r="Q1956">
        <v>4.3651636848203397E-2</v>
      </c>
      <c r="R1956">
        <v>0.99546430058119195</v>
      </c>
      <c r="S1956" t="s">
        <v>8358</v>
      </c>
      <c r="T1956" t="s">
        <v>12802</v>
      </c>
      <c r="U1956" t="s">
        <v>12802</v>
      </c>
      <c r="V1956" t="s">
        <v>12802</v>
      </c>
      <c r="W1956" t="s">
        <v>14718</v>
      </c>
      <c r="X1956">
        <v>37</v>
      </c>
      <c r="Y1956" t="s">
        <v>21017</v>
      </c>
      <c r="Z1956" t="s">
        <v>27274</v>
      </c>
      <c r="AA1956">
        <v>0.39599810136927022</v>
      </c>
      <c r="AB1956" t="str">
        <f>HYPERLINK("Melting_Curves/meltCurve_P04083_ANXA1.pdf", "Melting_Curves/meltCurve_P04083_ANXA1.pdf")</f>
        <v>Melting_Curves/meltCurve_P04083_ANXA1.pdf</v>
      </c>
    </row>
    <row r="1957" spans="1:28" x14ac:dyDescent="0.25">
      <c r="A1957" t="s">
        <v>1961</v>
      </c>
      <c r="B1957">
        <v>0.99542014353169495</v>
      </c>
      <c r="C1957">
        <v>0.90460694622842897</v>
      </c>
      <c r="D1957">
        <v>0.84901598905807996</v>
      </c>
      <c r="E1957">
        <v>0.793742483446084</v>
      </c>
      <c r="F1957">
        <v>0.63588373796927</v>
      </c>
      <c r="G1957">
        <v>0.41150011278725501</v>
      </c>
      <c r="H1957">
        <v>0.40392068349191101</v>
      </c>
      <c r="I1957">
        <v>0.377098396976845</v>
      </c>
      <c r="J1957">
        <v>0.64837803761270796</v>
      </c>
      <c r="K1957">
        <v>0.90447783439221396</v>
      </c>
      <c r="L1957">
        <v>875.49255567715397</v>
      </c>
      <c r="M1957">
        <v>19.347677071659099</v>
      </c>
      <c r="O1957">
        <v>44.775430818035403</v>
      </c>
      <c r="P1957">
        <v>-4.79951364147784E-2</v>
      </c>
      <c r="Q1957">
        <v>0.55572481742711499</v>
      </c>
      <c r="R1957">
        <v>0.53218181284486998</v>
      </c>
      <c r="S1957" t="s">
        <v>8359</v>
      </c>
      <c r="T1957" t="s">
        <v>12802</v>
      </c>
      <c r="U1957" t="s">
        <v>12802</v>
      </c>
      <c r="V1957" t="s">
        <v>12802</v>
      </c>
      <c r="W1957" t="s">
        <v>14719</v>
      </c>
      <c r="X1957">
        <v>9</v>
      </c>
      <c r="Y1957" t="s">
        <v>21018</v>
      </c>
      <c r="Z1957" t="s">
        <v>27275</v>
      </c>
      <c r="AA1957">
        <v>0.68415001435716649</v>
      </c>
      <c r="AB1957" t="str">
        <f>HYPERLINK("Melting_Curves/meltCurve_P04114_APOB.pdf", "Melting_Curves/meltCurve_P04114_APOB.pdf")</f>
        <v>Melting_Curves/meltCurve_P04114_APOB.pdf</v>
      </c>
    </row>
    <row r="1958" spans="1:28" x14ac:dyDescent="0.25">
      <c r="A1958" t="s">
        <v>1962</v>
      </c>
      <c r="B1958">
        <v>0.99542014353169495</v>
      </c>
      <c r="C1958">
        <v>0.95068332133882305</v>
      </c>
      <c r="D1958">
        <v>0.71730809829117503</v>
      </c>
      <c r="E1958">
        <v>0.394343054055245</v>
      </c>
      <c r="F1958">
        <v>0.31863604003838603</v>
      </c>
      <c r="G1958">
        <v>0.21629824560484601</v>
      </c>
      <c r="H1958">
        <v>0.192165075245044</v>
      </c>
      <c r="I1958">
        <v>0.13604022745807701</v>
      </c>
      <c r="J1958">
        <v>0.177361548793732</v>
      </c>
      <c r="K1958">
        <v>0.24071999465202301</v>
      </c>
      <c r="L1958">
        <v>894.46699187605702</v>
      </c>
      <c r="M1958">
        <v>20.138425925166999</v>
      </c>
      <c r="N1958">
        <v>45.507582424159899</v>
      </c>
      <c r="O1958">
        <v>43.984927025856102</v>
      </c>
      <c r="P1958">
        <v>-9.2538493347185793E-2</v>
      </c>
      <c r="Q1958">
        <v>0.191561452034827</v>
      </c>
      <c r="R1958">
        <v>0.98925000131068297</v>
      </c>
      <c r="S1958" t="s">
        <v>8360</v>
      </c>
      <c r="T1958" t="s">
        <v>12802</v>
      </c>
      <c r="U1958" t="s">
        <v>12802</v>
      </c>
      <c r="V1958" t="s">
        <v>12802</v>
      </c>
      <c r="W1958" t="s">
        <v>14720</v>
      </c>
      <c r="X1958">
        <v>2</v>
      </c>
      <c r="Y1958" t="s">
        <v>21019</v>
      </c>
      <c r="Z1958" t="s">
        <v>27276</v>
      </c>
      <c r="AA1958">
        <v>0.40196165730879829</v>
      </c>
      <c r="AB1958" t="str">
        <f>HYPERLINK("Melting_Curves/meltCurve_P04150_7_NR3C1.pdf", "Melting_Curves/meltCurve_P04150_7_NR3C1.pdf")</f>
        <v>Melting_Curves/meltCurve_P04150_7_NR3C1.pdf</v>
      </c>
    </row>
    <row r="1959" spans="1:28" x14ac:dyDescent="0.25">
      <c r="A1959" t="s">
        <v>1963</v>
      </c>
      <c r="B1959">
        <v>0.99542014353169495</v>
      </c>
      <c r="C1959">
        <v>0.91466223557507098</v>
      </c>
      <c r="D1959">
        <v>0.987067132229413</v>
      </c>
      <c r="E1959">
        <v>0.87413690608609695</v>
      </c>
      <c r="F1959">
        <v>0.71512747719310799</v>
      </c>
      <c r="G1959">
        <v>0.36416095434910001</v>
      </c>
      <c r="H1959">
        <v>0.12547758016083699</v>
      </c>
      <c r="I1959">
        <v>7.24186819163814E-2</v>
      </c>
      <c r="J1959">
        <v>8.24247386518588E-2</v>
      </c>
      <c r="K1959">
        <v>7.8062940193303704E-2</v>
      </c>
      <c r="L1959">
        <v>1104.96648671306</v>
      </c>
      <c r="M1959">
        <v>21.286927962980801</v>
      </c>
      <c r="N1959">
        <v>52.167571267723503</v>
      </c>
      <c r="O1959">
        <v>51.456630837568497</v>
      </c>
      <c r="P1959">
        <v>-9.8231312529698397E-2</v>
      </c>
      <c r="Q1959">
        <v>5.0210752031147401E-2</v>
      </c>
      <c r="R1959">
        <v>0.99202175316817198</v>
      </c>
      <c r="S1959" t="s">
        <v>8361</v>
      </c>
      <c r="T1959" t="s">
        <v>12802</v>
      </c>
      <c r="U1959" t="s">
        <v>12802</v>
      </c>
      <c r="V1959" t="s">
        <v>12802</v>
      </c>
      <c r="W1959" t="s">
        <v>14721</v>
      </c>
      <c r="X1959">
        <v>24</v>
      </c>
      <c r="Y1959" t="s">
        <v>21020</v>
      </c>
      <c r="Z1959" t="s">
        <v>27277</v>
      </c>
      <c r="AA1959">
        <v>0.53331058763723793</v>
      </c>
      <c r="AB1959" t="str">
        <f>HYPERLINK("Melting_Curves/meltCurve_P04181_OAT.pdf", "Melting_Curves/meltCurve_P04181_OAT.pdf")</f>
        <v>Melting_Curves/meltCurve_P04181_OAT.pdf</v>
      </c>
    </row>
    <row r="1960" spans="1:28" x14ac:dyDescent="0.25">
      <c r="A1960" t="s">
        <v>1964</v>
      </c>
      <c r="B1960">
        <v>0.99542014353169495</v>
      </c>
      <c r="C1960">
        <v>0.97390578923512705</v>
      </c>
      <c r="D1960">
        <v>0.99273568457957795</v>
      </c>
      <c r="E1960">
        <v>0.94238908500754504</v>
      </c>
      <c r="F1960">
        <v>0.77896696031023704</v>
      </c>
      <c r="G1960">
        <v>0.61226308567786603</v>
      </c>
      <c r="H1960">
        <v>0.46915202563825797</v>
      </c>
      <c r="I1960">
        <v>0.44033624186846398</v>
      </c>
      <c r="J1960">
        <v>0.63172342266526504</v>
      </c>
      <c r="K1960">
        <v>0.77335021029449402</v>
      </c>
      <c r="L1960">
        <v>1784.76306287685</v>
      </c>
      <c r="M1960">
        <v>35.766515452849099</v>
      </c>
      <c r="O1960">
        <v>49.745175116050603</v>
      </c>
      <c r="P1960">
        <v>-7.5559064253230293E-2</v>
      </c>
      <c r="Q1960">
        <v>0.57964189952112699</v>
      </c>
      <c r="R1960">
        <v>0.82024127679874004</v>
      </c>
      <c r="S1960" t="s">
        <v>8362</v>
      </c>
      <c r="T1960" t="s">
        <v>12802</v>
      </c>
      <c r="U1960" t="s">
        <v>12802</v>
      </c>
      <c r="V1960" t="s">
        <v>12802</v>
      </c>
      <c r="W1960" t="s">
        <v>14722</v>
      </c>
      <c r="X1960">
        <v>17</v>
      </c>
      <c r="Y1960" t="s">
        <v>20398</v>
      </c>
      <c r="Z1960" t="s">
        <v>27278</v>
      </c>
      <c r="AA1960">
        <v>0.76221530793029224</v>
      </c>
      <c r="AB1960" t="str">
        <f>HYPERLINK("Melting_Curves/meltCurve_P04183_TK1.pdf", "Melting_Curves/meltCurve_P04183_TK1.pdf")</f>
        <v>Melting_Curves/meltCurve_P04183_TK1.pdf</v>
      </c>
    </row>
    <row r="1961" spans="1:28" x14ac:dyDescent="0.25">
      <c r="A1961" t="s">
        <v>1965</v>
      </c>
      <c r="B1961">
        <v>0.99542014353169495</v>
      </c>
      <c r="C1961">
        <v>1.04102832527677</v>
      </c>
      <c r="D1961">
        <v>0.93365534813401196</v>
      </c>
      <c r="E1961">
        <v>0.97189829007101802</v>
      </c>
      <c r="F1961">
        <v>0.87942831654328901</v>
      </c>
      <c r="G1961">
        <v>0.72527255925663703</v>
      </c>
      <c r="H1961">
        <v>0.60927663629906803</v>
      </c>
      <c r="I1961">
        <v>0.559709831567198</v>
      </c>
      <c r="J1961">
        <v>0.82277452649150395</v>
      </c>
      <c r="K1961">
        <v>0.53862497324054703</v>
      </c>
      <c r="L1961">
        <v>1502.7430999861199</v>
      </c>
      <c r="M1961">
        <v>29.214949463898598</v>
      </c>
      <c r="O1961">
        <v>51.198275453988103</v>
      </c>
      <c r="P1961">
        <v>-5.2744024301832497E-2</v>
      </c>
      <c r="Q1961">
        <v>0.63027374382747803</v>
      </c>
      <c r="R1961">
        <v>0.81647037757710095</v>
      </c>
      <c r="S1961" t="s">
        <v>8363</v>
      </c>
      <c r="T1961" t="s">
        <v>12802</v>
      </c>
      <c r="U1961" t="s">
        <v>12802</v>
      </c>
      <c r="V1961" t="s">
        <v>12802</v>
      </c>
      <c r="W1961" t="s">
        <v>14723</v>
      </c>
      <c r="X1961">
        <v>35</v>
      </c>
      <c r="Y1961" t="s">
        <v>21021</v>
      </c>
      <c r="Z1961" t="s">
        <v>27279</v>
      </c>
      <c r="AA1961">
        <v>0.81064296244319534</v>
      </c>
      <c r="AB1961" t="str">
        <f>HYPERLINK("Melting_Curves/meltCurve_P04406_GAPDH.pdf", "Melting_Curves/meltCurve_P04406_GAPDH.pdf")</f>
        <v>Melting_Curves/meltCurve_P04406_GAPDH.pdf</v>
      </c>
    </row>
    <row r="1962" spans="1:28" x14ac:dyDescent="0.25">
      <c r="A1962" t="s">
        <v>1966</v>
      </c>
      <c r="B1962">
        <v>0.99542014353169495</v>
      </c>
      <c r="C1962">
        <v>0.93416043235589596</v>
      </c>
      <c r="D1962">
        <v>0.951028547406507</v>
      </c>
      <c r="E1962">
        <v>0.90122890126681199</v>
      </c>
      <c r="F1962">
        <v>0.78975863195851104</v>
      </c>
      <c r="G1962">
        <v>0.50852580035726302</v>
      </c>
      <c r="H1962">
        <v>0.65261642221407501</v>
      </c>
      <c r="I1962">
        <v>0.67977379162896501</v>
      </c>
      <c r="J1962">
        <v>0.88662976809094995</v>
      </c>
      <c r="K1962">
        <v>0.65578193367260695</v>
      </c>
      <c r="L1962">
        <v>1591.5006430855501</v>
      </c>
      <c r="M1962">
        <v>33.2319595956399</v>
      </c>
      <c r="O1962">
        <v>47.718246112466801</v>
      </c>
      <c r="P1962">
        <v>-5.5152834005478699E-2</v>
      </c>
      <c r="Q1962">
        <v>0.68322240776134302</v>
      </c>
      <c r="R1962">
        <v>0.64307167817326105</v>
      </c>
      <c r="S1962" t="s">
        <v>8364</v>
      </c>
      <c r="T1962" t="s">
        <v>12802</v>
      </c>
      <c r="U1962" t="s">
        <v>12802</v>
      </c>
      <c r="V1962" t="s">
        <v>12802</v>
      </c>
      <c r="W1962" t="s">
        <v>14724</v>
      </c>
      <c r="X1962">
        <v>33</v>
      </c>
      <c r="Y1962" t="s">
        <v>21021</v>
      </c>
      <c r="Z1962" t="s">
        <v>27280</v>
      </c>
      <c r="AA1962">
        <v>0.79974353292912581</v>
      </c>
      <c r="AB1962" t="str">
        <f>HYPERLINK("Melting_Curves/meltCurve_P04406_2_GAPDH.pdf", "Melting_Curves/meltCurve_P04406_2_GAPDH.pdf")</f>
        <v>Melting_Curves/meltCurve_P04406_2_GAPDH.pdf</v>
      </c>
    </row>
    <row r="1963" spans="1:28" x14ac:dyDescent="0.25">
      <c r="A1963" t="s">
        <v>1967</v>
      </c>
      <c r="B1963">
        <v>0.99542014353169495</v>
      </c>
      <c r="C1963">
        <v>0.88715786571382105</v>
      </c>
      <c r="D1963">
        <v>0.91820779416470599</v>
      </c>
      <c r="E1963">
        <v>0.781991409033165</v>
      </c>
      <c r="F1963">
        <v>0.67292783777179199</v>
      </c>
      <c r="G1963">
        <v>0.45432204276785898</v>
      </c>
      <c r="H1963">
        <v>0.22545932916789299</v>
      </c>
      <c r="I1963">
        <v>8.0846619263207603E-2</v>
      </c>
      <c r="J1963">
        <v>7.3245403990530603E-2</v>
      </c>
      <c r="K1963">
        <v>7.7164961874406204E-2</v>
      </c>
      <c r="L1963">
        <v>660.156289949148</v>
      </c>
      <c r="M1963">
        <v>12.6236701809704</v>
      </c>
      <c r="N1963">
        <v>52.295115483484601</v>
      </c>
      <c r="O1963">
        <v>51.034860193784603</v>
      </c>
      <c r="P1963">
        <v>-6.1850714362652201E-2</v>
      </c>
      <c r="Q1963">
        <v>0</v>
      </c>
      <c r="R1963">
        <v>0.98506731485087395</v>
      </c>
      <c r="S1963" t="s">
        <v>8365</v>
      </c>
      <c r="T1963" t="s">
        <v>12802</v>
      </c>
      <c r="U1963" t="s">
        <v>12802</v>
      </c>
      <c r="V1963" t="s">
        <v>12802</v>
      </c>
      <c r="W1963" t="s">
        <v>14725</v>
      </c>
      <c r="X1963">
        <v>12</v>
      </c>
      <c r="Y1963" t="s">
        <v>21022</v>
      </c>
      <c r="Z1963" t="s">
        <v>27281</v>
      </c>
      <c r="AA1963">
        <v>0.53198081984410517</v>
      </c>
      <c r="AB1963" t="str">
        <f>HYPERLINK("Melting_Curves/meltCurve_P04424_2_ASL.pdf", "Melting_Curves/meltCurve_P04424_2_ASL.pdf")</f>
        <v>Melting_Curves/meltCurve_P04424_2_ASL.pdf</v>
      </c>
    </row>
    <row r="1964" spans="1:28" x14ac:dyDescent="0.25">
      <c r="A1964" t="s">
        <v>1968</v>
      </c>
      <c r="B1964">
        <v>0.99542014353169495</v>
      </c>
      <c r="C1964">
        <v>1.00956026185435</v>
      </c>
      <c r="D1964">
        <v>0.96162794389875395</v>
      </c>
      <c r="E1964">
        <v>0.931014117697198</v>
      </c>
      <c r="F1964">
        <v>0.79654010422461496</v>
      </c>
      <c r="G1964">
        <v>0.66910862070634103</v>
      </c>
      <c r="H1964">
        <v>0.38772662564322002</v>
      </c>
      <c r="I1964">
        <v>0.29578055387032498</v>
      </c>
      <c r="J1964">
        <v>0.177366110231506</v>
      </c>
      <c r="K1964">
        <v>9.5640122209228601E-2</v>
      </c>
      <c r="L1964">
        <v>706.41873668836899</v>
      </c>
      <c r="M1964">
        <v>12.5904593653714</v>
      </c>
      <c r="N1964">
        <v>56.107463431007197</v>
      </c>
      <c r="O1964">
        <v>54.748476910186199</v>
      </c>
      <c r="P1964">
        <v>-5.7503784781229902E-2</v>
      </c>
      <c r="Q1964">
        <v>0</v>
      </c>
      <c r="R1964">
        <v>0.99551725884224196</v>
      </c>
      <c r="S1964" t="s">
        <v>8366</v>
      </c>
      <c r="T1964" t="s">
        <v>12802</v>
      </c>
      <c r="U1964" t="s">
        <v>12802</v>
      </c>
      <c r="V1964" t="s">
        <v>12802</v>
      </c>
      <c r="W1964" t="s">
        <v>14726</v>
      </c>
      <c r="X1964">
        <v>12</v>
      </c>
      <c r="Y1964" t="s">
        <v>21023</v>
      </c>
      <c r="Z1964" t="s">
        <v>27282</v>
      </c>
      <c r="AA1964">
        <v>0.64684919105523464</v>
      </c>
      <c r="AB1964" t="str">
        <f>HYPERLINK("Melting_Curves/meltCurve_P04632_CAPNS1.pdf", "Melting_Curves/meltCurve_P04632_CAPNS1.pdf")</f>
        <v>Melting_Curves/meltCurve_P04632_CAPNS1.pdf</v>
      </c>
    </row>
    <row r="1965" spans="1:28" x14ac:dyDescent="0.25">
      <c r="A1965" t="s">
        <v>1969</v>
      </c>
      <c r="B1965">
        <v>0.99542014353169495</v>
      </c>
      <c r="C1965">
        <v>0.93156653558643598</v>
      </c>
      <c r="D1965">
        <v>0.76648875052684196</v>
      </c>
      <c r="E1965">
        <v>0.39188594991650599</v>
      </c>
      <c r="F1965">
        <v>0.17614842838942699</v>
      </c>
      <c r="G1965">
        <v>0.10176873931538299</v>
      </c>
      <c r="H1965">
        <v>5.7278429994716398E-2</v>
      </c>
      <c r="I1965">
        <v>5.0740076775512601E-2</v>
      </c>
      <c r="J1965">
        <v>6.8099263373484403E-2</v>
      </c>
      <c r="K1965">
        <v>0.183618779134609</v>
      </c>
      <c r="L1965">
        <v>981.13055665946194</v>
      </c>
      <c r="M1965">
        <v>21.760755967184998</v>
      </c>
      <c r="N1965">
        <v>45.4774151007203</v>
      </c>
      <c r="O1965">
        <v>44.711569815373799</v>
      </c>
      <c r="P1965">
        <v>-0.111312715027823</v>
      </c>
      <c r="Q1965">
        <v>8.5169587038158398E-2</v>
      </c>
      <c r="R1965">
        <v>0.989949972094332</v>
      </c>
      <c r="S1965" t="s">
        <v>8367</v>
      </c>
      <c r="T1965" t="s">
        <v>12802</v>
      </c>
      <c r="U1965" t="s">
        <v>12802</v>
      </c>
      <c r="V1965" t="s">
        <v>12802</v>
      </c>
      <c r="W1965" t="s">
        <v>14727</v>
      </c>
      <c r="X1965">
        <v>17</v>
      </c>
      <c r="Y1965" t="s">
        <v>21024</v>
      </c>
      <c r="Z1965" t="s">
        <v>27283</v>
      </c>
      <c r="AA1965">
        <v>0.34184044694530752</v>
      </c>
      <c r="AB1965" t="str">
        <f>HYPERLINK("Melting_Curves/meltCurve_P04792_HSPB1.pdf", "Melting_Curves/meltCurve_P04792_HSPB1.pdf")</f>
        <v>Melting_Curves/meltCurve_P04792_HSPB1.pdf</v>
      </c>
    </row>
    <row r="1966" spans="1:28" x14ac:dyDescent="0.25">
      <c r="A1966" t="s">
        <v>1970</v>
      </c>
      <c r="B1966">
        <v>0.99542014353169495</v>
      </c>
      <c r="C1966">
        <v>1.03075691529978</v>
      </c>
      <c r="D1966">
        <v>0.95267233249350902</v>
      </c>
      <c r="E1966">
        <v>0.76345237337725402</v>
      </c>
      <c r="F1966">
        <v>0.243065947431823</v>
      </c>
      <c r="G1966">
        <v>0.13543258277474701</v>
      </c>
      <c r="H1966">
        <v>8.2518913222809201E-2</v>
      </c>
      <c r="I1966">
        <v>5.4251265649748102E-2</v>
      </c>
      <c r="J1966">
        <v>5.18043172439039E-2</v>
      </c>
      <c r="K1966">
        <v>5.9059133852055599E-2</v>
      </c>
      <c r="L1966">
        <v>1529.4254381558401</v>
      </c>
      <c r="M1966">
        <v>31.8026171003504</v>
      </c>
      <c r="N1966">
        <v>48.307872000366501</v>
      </c>
      <c r="O1966">
        <v>47.902233325637098</v>
      </c>
      <c r="P1966">
        <v>-0.154944518477907</v>
      </c>
      <c r="Q1966">
        <v>6.6473088139532205E-2</v>
      </c>
      <c r="R1966">
        <v>0.997568631038666</v>
      </c>
      <c r="S1966" t="s">
        <v>8368</v>
      </c>
      <c r="T1966" t="s">
        <v>12802</v>
      </c>
      <c r="U1966" t="s">
        <v>12802</v>
      </c>
      <c r="V1966" t="s">
        <v>12802</v>
      </c>
      <c r="W1966" t="s">
        <v>14728</v>
      </c>
      <c r="X1966">
        <v>19</v>
      </c>
      <c r="Y1966" t="s">
        <v>21025</v>
      </c>
      <c r="Z1966" t="s">
        <v>27284</v>
      </c>
      <c r="AA1966">
        <v>0.41652922074353499</v>
      </c>
      <c r="AB1966" t="str">
        <f>HYPERLINK("Melting_Curves/meltCurve_P04818_TYMS.pdf", "Melting_Curves/meltCurve_P04818_TYMS.pdf")</f>
        <v>Melting_Curves/meltCurve_P04818_TYMS.pdf</v>
      </c>
    </row>
    <row r="1967" spans="1:28" x14ac:dyDescent="0.25">
      <c r="A1967" t="s">
        <v>1971</v>
      </c>
      <c r="B1967">
        <v>0.99542014353169495</v>
      </c>
      <c r="C1967">
        <v>0.851482345242904</v>
      </c>
      <c r="D1967">
        <v>0.91265468378732895</v>
      </c>
      <c r="E1967">
        <v>0.71132776806646103</v>
      </c>
      <c r="F1967">
        <v>0.74494089524123197</v>
      </c>
      <c r="G1967">
        <v>0.54720027059853704</v>
      </c>
      <c r="H1967">
        <v>0.116369830786099</v>
      </c>
      <c r="I1967">
        <v>6.0626803461794401E-2</v>
      </c>
      <c r="J1967">
        <v>5.36971869586471E-2</v>
      </c>
      <c r="K1967">
        <v>5.3835839356664299E-2</v>
      </c>
      <c r="L1967">
        <v>733.58260134509806</v>
      </c>
      <c r="M1967">
        <v>13.9615619581418</v>
      </c>
      <c r="N1967">
        <v>52.543017929224803</v>
      </c>
      <c r="O1967">
        <v>51.500305678596099</v>
      </c>
      <c r="P1967">
        <v>-6.7783268247953402E-2</v>
      </c>
      <c r="Q1967">
        <v>0</v>
      </c>
      <c r="R1967">
        <v>0.93906228888000698</v>
      </c>
      <c r="S1967" t="s">
        <v>8369</v>
      </c>
      <c r="T1967" t="s">
        <v>12802</v>
      </c>
      <c r="U1967" t="s">
        <v>12802</v>
      </c>
      <c r="V1967" t="s">
        <v>12802</v>
      </c>
      <c r="W1967" t="s">
        <v>14729</v>
      </c>
      <c r="X1967">
        <v>36</v>
      </c>
      <c r="Y1967" t="s">
        <v>21026</v>
      </c>
      <c r="Z1967" t="s">
        <v>27285</v>
      </c>
      <c r="AA1967">
        <v>0.53793806461504334</v>
      </c>
      <c r="AB1967" t="str">
        <f>HYPERLINK("Melting_Curves/meltCurve_P04843_RPN1.pdf", "Melting_Curves/meltCurve_P04843_RPN1.pdf")</f>
        <v>Melting_Curves/meltCurve_P04843_RPN1.pdf</v>
      </c>
    </row>
    <row r="1968" spans="1:28" x14ac:dyDescent="0.25">
      <c r="A1968" t="s">
        <v>1972</v>
      </c>
      <c r="B1968">
        <v>0.99542014353169495</v>
      </c>
      <c r="C1968">
        <v>0.90709049140800402</v>
      </c>
      <c r="D1968">
        <v>0.94211194841311596</v>
      </c>
      <c r="E1968">
        <v>0.76715675035560105</v>
      </c>
      <c r="F1968">
        <v>0.66854400585033602</v>
      </c>
      <c r="G1968">
        <v>0.254770653705093</v>
      </c>
      <c r="H1968">
        <v>8.9975736779304094E-2</v>
      </c>
      <c r="I1968">
        <v>6.1003660902069302E-2</v>
      </c>
      <c r="J1968">
        <v>6.6158644617047499E-2</v>
      </c>
      <c r="K1968">
        <v>6.4826812158448502E-2</v>
      </c>
      <c r="L1968">
        <v>890.38116923910002</v>
      </c>
      <c r="M1968">
        <v>17.4858346474876</v>
      </c>
      <c r="N1968">
        <v>51.032948451545799</v>
      </c>
      <c r="O1968">
        <v>50.268174183816299</v>
      </c>
      <c r="P1968">
        <v>-8.5318947566235204E-2</v>
      </c>
      <c r="Q1968">
        <v>1.8957040913751898E-2</v>
      </c>
      <c r="R1968">
        <v>0.98148840773028601</v>
      </c>
      <c r="S1968" t="s">
        <v>8370</v>
      </c>
      <c r="T1968" t="s">
        <v>12802</v>
      </c>
      <c r="U1968" t="s">
        <v>12802</v>
      </c>
      <c r="V1968" t="s">
        <v>12802</v>
      </c>
      <c r="W1968" t="s">
        <v>14730</v>
      </c>
      <c r="X1968">
        <v>17</v>
      </c>
      <c r="Y1968" t="s">
        <v>21027</v>
      </c>
      <c r="Z1968" t="s">
        <v>27286</v>
      </c>
      <c r="AA1968">
        <v>0.49009921465644568</v>
      </c>
      <c r="AB1968" t="str">
        <f>HYPERLINK("Melting_Curves/meltCurve_P04844_2_RPN2.pdf", "Melting_Curves/meltCurve_P04844_2_RPN2.pdf")</f>
        <v>Melting_Curves/meltCurve_P04844_2_RPN2.pdf</v>
      </c>
    </row>
    <row r="1969" spans="1:28" x14ac:dyDescent="0.25">
      <c r="A1969" t="s">
        <v>1973</v>
      </c>
      <c r="B1969">
        <v>0.99542014353169495</v>
      </c>
      <c r="C1969">
        <v>0.935310977806322</v>
      </c>
      <c r="D1969">
        <v>0.88959333602526602</v>
      </c>
      <c r="E1969">
        <v>0.81269261630852496</v>
      </c>
      <c r="F1969">
        <v>0.69671683421354902</v>
      </c>
      <c r="G1969">
        <v>0.41677613052615903</v>
      </c>
      <c r="H1969">
        <v>0.11061969747188</v>
      </c>
      <c r="I1969">
        <v>7.5019835335742302E-2</v>
      </c>
      <c r="J1969">
        <v>6.8124646797810703E-2</v>
      </c>
      <c r="K1969">
        <v>7.1648286098467906E-2</v>
      </c>
      <c r="L1969">
        <v>792.25112233470895</v>
      </c>
      <c r="M1969">
        <v>15.2139149517456</v>
      </c>
      <c r="N1969">
        <v>52.074107014988599</v>
      </c>
      <c r="O1969">
        <v>51.199291210723999</v>
      </c>
      <c r="P1969">
        <v>-7.4294824405135601E-2</v>
      </c>
      <c r="Q1969">
        <v>0</v>
      </c>
      <c r="R1969">
        <v>0.98299974325988704</v>
      </c>
      <c r="S1969" t="s">
        <v>8371</v>
      </c>
      <c r="T1969" t="s">
        <v>12802</v>
      </c>
      <c r="U1969" t="s">
        <v>12802</v>
      </c>
      <c r="V1969" t="s">
        <v>12802</v>
      </c>
      <c r="W1969" t="s">
        <v>14731</v>
      </c>
      <c r="X1969">
        <v>18</v>
      </c>
      <c r="Y1969" t="s">
        <v>21028</v>
      </c>
      <c r="Z1969" t="s">
        <v>27287</v>
      </c>
      <c r="AA1969">
        <v>0.52121362265625304</v>
      </c>
      <c r="AB1969" t="str">
        <f>HYPERLINK("Melting_Curves/meltCurve_P04899_GNAI2.pdf", "Melting_Curves/meltCurve_P04899_GNAI2.pdf")</f>
        <v>Melting_Curves/meltCurve_P04899_GNAI2.pdf</v>
      </c>
    </row>
    <row r="1970" spans="1:28" x14ac:dyDescent="0.25">
      <c r="A1970" t="s">
        <v>1974</v>
      </c>
      <c r="B1970">
        <v>0.99542014353169495</v>
      </c>
      <c r="C1970">
        <v>0.92511768144221196</v>
      </c>
      <c r="D1970">
        <v>0.89830604314435303</v>
      </c>
      <c r="E1970">
        <v>0.71028217819442896</v>
      </c>
      <c r="F1970">
        <v>0.50548646831650501</v>
      </c>
      <c r="G1970">
        <v>0.23066898545609801</v>
      </c>
      <c r="H1970">
        <v>0.11557251612262499</v>
      </c>
      <c r="I1970">
        <v>7.2397914383297804E-2</v>
      </c>
      <c r="J1970">
        <v>0.100166314651989</v>
      </c>
      <c r="K1970">
        <v>0.12488024426335199</v>
      </c>
      <c r="L1970">
        <v>768.89220333307196</v>
      </c>
      <c r="M1970">
        <v>15.6410776289285</v>
      </c>
      <c r="N1970">
        <v>49.581039540524301</v>
      </c>
      <c r="O1970">
        <v>48.376007775666999</v>
      </c>
      <c r="P1970">
        <v>-7.5793872553067604E-2</v>
      </c>
      <c r="Q1970">
        <v>6.2394560190903899E-2</v>
      </c>
      <c r="R1970">
        <v>0.99180776453143604</v>
      </c>
      <c r="S1970" t="s">
        <v>8372</v>
      </c>
      <c r="T1970" t="s">
        <v>12802</v>
      </c>
      <c r="U1970" t="s">
        <v>12802</v>
      </c>
      <c r="V1970" t="s">
        <v>12802</v>
      </c>
      <c r="W1970" t="s">
        <v>14732</v>
      </c>
      <c r="X1970">
        <v>15</v>
      </c>
      <c r="Y1970" t="s">
        <v>21029</v>
      </c>
      <c r="Z1970" t="s">
        <v>27288</v>
      </c>
      <c r="AA1970">
        <v>0.46119903750418462</v>
      </c>
      <c r="AB1970" t="str">
        <f>HYPERLINK("Melting_Curves/meltCurve_P04920_2_SLC4A2.pdf", "Melting_Curves/meltCurve_P04920_2_SLC4A2.pdf")</f>
        <v>Melting_Curves/meltCurve_P04920_2_SLC4A2.pdf</v>
      </c>
    </row>
    <row r="1971" spans="1:28" x14ac:dyDescent="0.25">
      <c r="A1971" t="s">
        <v>1975</v>
      </c>
      <c r="B1971">
        <v>0.99542014353169495</v>
      </c>
      <c r="C1971">
        <v>1.35434251095252</v>
      </c>
      <c r="D1971">
        <v>0.99627344310066501</v>
      </c>
      <c r="E1971">
        <v>1.17417640170839</v>
      </c>
      <c r="F1971">
        <v>0.73554753756816704</v>
      </c>
      <c r="G1971">
        <v>1.0375024561403501</v>
      </c>
      <c r="H1971">
        <v>0.64210351694495504</v>
      </c>
      <c r="I1971">
        <v>0.95129905821157001</v>
      </c>
      <c r="J1971">
        <v>0.96154328089114605</v>
      </c>
      <c r="K1971">
        <v>1.58106704956602</v>
      </c>
      <c r="L1971">
        <v>15000</v>
      </c>
      <c r="M1971">
        <v>229.28179915961201</v>
      </c>
      <c r="O1971">
        <v>65.416700629635002</v>
      </c>
      <c r="P1971">
        <v>0.43811786103688599</v>
      </c>
      <c r="Q1971">
        <v>1.5</v>
      </c>
      <c r="R1971">
        <v>0.459762031791073</v>
      </c>
      <c r="S1971" t="s">
        <v>8373</v>
      </c>
      <c r="T1971" t="s">
        <v>12802</v>
      </c>
      <c r="U1971" t="s">
        <v>12802</v>
      </c>
      <c r="V1971" t="s">
        <v>12802</v>
      </c>
      <c r="W1971" t="s">
        <v>14733</v>
      </c>
      <c r="X1971">
        <v>1</v>
      </c>
      <c r="Y1971" t="s">
        <v>21030</v>
      </c>
      <c r="Z1971" t="s">
        <v>27289</v>
      </c>
      <c r="AA1971">
        <v>1.0262597694846021</v>
      </c>
      <c r="AB1971" t="str">
        <f>HYPERLINK("Melting_Curves/meltCurve_P04921_2_GYPC.pdf", "Melting_Curves/meltCurve_P04921_2_GYPC.pdf")</f>
        <v>Melting_Curves/meltCurve_P04921_2_GYPC.pdf</v>
      </c>
    </row>
    <row r="1972" spans="1:28" x14ac:dyDescent="0.25">
      <c r="A1972" t="s">
        <v>1976</v>
      </c>
      <c r="B1972">
        <v>0.99542014353169495</v>
      </c>
      <c r="C1972">
        <v>0.96306175108000003</v>
      </c>
      <c r="D1972">
        <v>0.94826827376211198</v>
      </c>
      <c r="E1972">
        <v>0.81408073044066098</v>
      </c>
      <c r="F1972">
        <v>0.73741789949696901</v>
      </c>
      <c r="G1972">
        <v>0.53137293787420004</v>
      </c>
      <c r="H1972">
        <v>0.41412996096972199</v>
      </c>
      <c r="I1972">
        <v>0.197596547943167</v>
      </c>
      <c r="J1972">
        <v>8.0092134748802293E-2</v>
      </c>
      <c r="K1972">
        <v>6.92626529670229E-2</v>
      </c>
      <c r="L1972">
        <v>639.66520296721603</v>
      </c>
      <c r="M1972">
        <v>11.7849858145385</v>
      </c>
      <c r="N1972">
        <v>54.277968518818199</v>
      </c>
      <c r="O1972">
        <v>52.785857615238697</v>
      </c>
      <c r="P1972">
        <v>-5.5829503212803999E-2</v>
      </c>
      <c r="Q1972">
        <v>0</v>
      </c>
      <c r="R1972">
        <v>0.98852320709738495</v>
      </c>
      <c r="S1972" t="s">
        <v>8374</v>
      </c>
      <c r="T1972" t="s">
        <v>12802</v>
      </c>
      <c r="U1972" t="s">
        <v>12802</v>
      </c>
      <c r="V1972" t="s">
        <v>12802</v>
      </c>
      <c r="W1972" t="s">
        <v>14734</v>
      </c>
      <c r="X1972">
        <v>59</v>
      </c>
      <c r="Y1972" t="s">
        <v>21031</v>
      </c>
      <c r="Z1972" t="s">
        <v>27290</v>
      </c>
      <c r="AA1972">
        <v>0.59287614414512535</v>
      </c>
      <c r="AB1972" t="str">
        <f>HYPERLINK("Melting_Curves/meltCurve_P05023_4_ATP1A1.pdf", "Melting_Curves/meltCurve_P05023_4_ATP1A1.pdf")</f>
        <v>Melting_Curves/meltCurve_P05023_4_ATP1A1.pdf</v>
      </c>
    </row>
    <row r="1973" spans="1:28" x14ac:dyDescent="0.25">
      <c r="A1973" t="s">
        <v>1977</v>
      </c>
      <c r="B1973">
        <v>0.99542014353169495</v>
      </c>
      <c r="C1973">
        <v>0.87792791016180105</v>
      </c>
      <c r="D1973">
        <v>0.95315185476433295</v>
      </c>
      <c r="E1973">
        <v>0.78368415507104305</v>
      </c>
      <c r="F1973">
        <v>0.69091322526196797</v>
      </c>
      <c r="G1973">
        <v>0.428591373453588</v>
      </c>
      <c r="H1973">
        <v>0.191539638398976</v>
      </c>
      <c r="I1973">
        <v>0.120236836839675</v>
      </c>
      <c r="J1973">
        <v>0.12308625303370101</v>
      </c>
      <c r="K1973">
        <v>0.13301139270287199</v>
      </c>
      <c r="L1973">
        <v>710.36567640967303</v>
      </c>
      <c r="M1973">
        <v>13.698153229301299</v>
      </c>
      <c r="N1973">
        <v>52.245129944453097</v>
      </c>
      <c r="O1973">
        <v>50.790747666960101</v>
      </c>
      <c r="P1973">
        <v>-6.4183783406041597E-2</v>
      </c>
      <c r="Q1973">
        <v>4.8200903577512499E-2</v>
      </c>
      <c r="R1973">
        <v>0.97997665001688705</v>
      </c>
      <c r="S1973" t="s">
        <v>8375</v>
      </c>
      <c r="T1973" t="s">
        <v>12802</v>
      </c>
      <c r="U1973" t="s">
        <v>12802</v>
      </c>
      <c r="V1973" t="s">
        <v>12802</v>
      </c>
      <c r="W1973" t="s">
        <v>14735</v>
      </c>
      <c r="X1973">
        <v>12</v>
      </c>
      <c r="Y1973" t="s">
        <v>21032</v>
      </c>
      <c r="Z1973" t="s">
        <v>27291</v>
      </c>
      <c r="AA1973">
        <v>0.5399093018892055</v>
      </c>
      <c r="AB1973" t="str">
        <f>HYPERLINK("Melting_Curves/meltCurve_P05091_ALDH2.pdf", "Melting_Curves/meltCurve_P05091_ALDH2.pdf")</f>
        <v>Melting_Curves/meltCurve_P05091_ALDH2.pdf</v>
      </c>
    </row>
    <row r="1974" spans="1:28" x14ac:dyDescent="0.25">
      <c r="A1974" t="s">
        <v>1978</v>
      </c>
      <c r="B1974">
        <v>0.99542014353169495</v>
      </c>
      <c r="C1974">
        <v>1.1517718099960099</v>
      </c>
      <c r="D1974">
        <v>0.87447314066590998</v>
      </c>
      <c r="E1974">
        <v>0.670352743774425</v>
      </c>
      <c r="F1974">
        <v>0.56439385664788899</v>
      </c>
      <c r="G1974">
        <v>0.56451767844649903</v>
      </c>
      <c r="H1974">
        <v>0.45373129758856601</v>
      </c>
      <c r="I1974">
        <v>0.366431711831185</v>
      </c>
      <c r="J1974">
        <v>0.95680611197737497</v>
      </c>
      <c r="K1974">
        <v>1.49348602075644</v>
      </c>
      <c r="L1974">
        <v>10757.724138747701</v>
      </c>
      <c r="M1974">
        <v>250</v>
      </c>
      <c r="O1974">
        <v>43.028142312627899</v>
      </c>
      <c r="P1974">
        <v>-0.40054361903060498</v>
      </c>
      <c r="Q1974">
        <v>0.72424563132211905</v>
      </c>
      <c r="R1974">
        <v>0.16587610683593901</v>
      </c>
      <c r="S1974" t="s">
        <v>8376</v>
      </c>
      <c r="T1974" t="s">
        <v>12802</v>
      </c>
      <c r="U1974" t="s">
        <v>12802</v>
      </c>
      <c r="V1974" t="s">
        <v>12802</v>
      </c>
      <c r="W1974" t="s">
        <v>14736</v>
      </c>
      <c r="X1974">
        <v>6</v>
      </c>
      <c r="Y1974" t="s">
        <v>21033</v>
      </c>
      <c r="Z1974" t="s">
        <v>27292</v>
      </c>
      <c r="AA1974">
        <v>0.77970132496266709</v>
      </c>
      <c r="AB1974" t="str">
        <f>HYPERLINK("Melting_Curves/meltCurve_P05114_HMGN1.pdf", "Melting_Curves/meltCurve_P05114_HMGN1.pdf")</f>
        <v>Melting_Curves/meltCurve_P05114_HMGN1.pdf</v>
      </c>
    </row>
    <row r="1975" spans="1:28" x14ac:dyDescent="0.25">
      <c r="A1975" t="s">
        <v>1979</v>
      </c>
      <c r="B1975">
        <v>0.99542014353169495</v>
      </c>
      <c r="C1975">
        <v>0.92296884694733805</v>
      </c>
      <c r="D1975">
        <v>0.86500702051859701</v>
      </c>
      <c r="E1975">
        <v>0.71998726968650695</v>
      </c>
      <c r="F1975">
        <v>0.58286316396382598</v>
      </c>
      <c r="G1975">
        <v>0.36137225823048402</v>
      </c>
      <c r="H1975">
        <v>0.31735593892320102</v>
      </c>
      <c r="I1975">
        <v>0.25908111866230998</v>
      </c>
      <c r="J1975">
        <v>0.38938353525857</v>
      </c>
      <c r="K1975">
        <v>0.43052375794405301</v>
      </c>
      <c r="L1975">
        <v>750.65090137849995</v>
      </c>
      <c r="M1975">
        <v>15.850200568139201</v>
      </c>
      <c r="N1975">
        <v>50.808226639402903</v>
      </c>
      <c r="O1975">
        <v>46.624458354202098</v>
      </c>
      <c r="P1975">
        <v>-5.6987733225580497E-2</v>
      </c>
      <c r="Q1975">
        <v>0.32952118912362799</v>
      </c>
      <c r="R1975">
        <v>0.95332780596898303</v>
      </c>
      <c r="S1975" t="s">
        <v>8377</v>
      </c>
      <c r="T1975" t="s">
        <v>12802</v>
      </c>
      <c r="U1975" t="s">
        <v>12802</v>
      </c>
      <c r="V1975" t="s">
        <v>12802</v>
      </c>
      <c r="W1975" t="s">
        <v>14737</v>
      </c>
      <c r="X1975">
        <v>24</v>
      </c>
      <c r="Y1975" t="s">
        <v>21034</v>
      </c>
      <c r="Z1975" t="s">
        <v>27293</v>
      </c>
      <c r="AA1975">
        <v>0.57461858421568168</v>
      </c>
      <c r="AB1975" t="str">
        <f>HYPERLINK("Melting_Curves/meltCurve_P05141_SLC25A5.pdf", "Melting_Curves/meltCurve_P05141_SLC25A5.pdf")</f>
        <v>Melting_Curves/meltCurve_P05141_SLC25A5.pdf</v>
      </c>
    </row>
    <row r="1976" spans="1:28" x14ac:dyDescent="0.25">
      <c r="A1976" t="s">
        <v>1980</v>
      </c>
      <c r="B1976">
        <v>0.99542014353169495</v>
      </c>
      <c r="C1976">
        <v>1.1352257293427801</v>
      </c>
      <c r="D1976">
        <v>0.89039764258377596</v>
      </c>
      <c r="E1976">
        <v>0.73327779649333802</v>
      </c>
      <c r="F1976">
        <v>0.229899857710575</v>
      </c>
      <c r="G1976">
        <v>0.123422917299227</v>
      </c>
      <c r="H1976">
        <v>8.6826919666354002E-2</v>
      </c>
      <c r="I1976">
        <v>5.9247045270084397E-2</v>
      </c>
      <c r="J1976">
        <v>7.5704958034511494E-2</v>
      </c>
      <c r="K1976">
        <v>7.5911756848862796E-2</v>
      </c>
      <c r="L1976">
        <v>1448.5989170820801</v>
      </c>
      <c r="M1976">
        <v>30.296799679477399</v>
      </c>
      <c r="N1976">
        <v>48.067351682143297</v>
      </c>
      <c r="O1976">
        <v>47.606738403446002</v>
      </c>
      <c r="P1976">
        <v>-0.14734263075811399</v>
      </c>
      <c r="Q1976">
        <v>7.3901189634804104E-2</v>
      </c>
      <c r="R1976">
        <v>0.98473589905007497</v>
      </c>
      <c r="S1976" t="s">
        <v>8378</v>
      </c>
      <c r="T1976" t="s">
        <v>12802</v>
      </c>
      <c r="U1976" t="s">
        <v>12802</v>
      </c>
      <c r="V1976" t="s">
        <v>12802</v>
      </c>
      <c r="W1976" t="s">
        <v>14738</v>
      </c>
      <c r="X1976">
        <v>3</v>
      </c>
      <c r="Y1976" t="s">
        <v>21035</v>
      </c>
      <c r="Z1976" t="s">
        <v>27294</v>
      </c>
      <c r="AA1976">
        <v>0.41307505302796399</v>
      </c>
      <c r="AB1976" t="str">
        <f>HYPERLINK("Melting_Curves/meltCurve_P05161_ISG15.pdf", "Melting_Curves/meltCurve_P05161_ISG15.pdf")</f>
        <v>Melting_Curves/meltCurve_P05161_ISG15.pdf</v>
      </c>
    </row>
    <row r="1977" spans="1:28" x14ac:dyDescent="0.25">
      <c r="A1977" t="s">
        <v>1981</v>
      </c>
      <c r="B1977">
        <v>0.99542014353169495</v>
      </c>
      <c r="C1977">
        <v>0.89930762520332597</v>
      </c>
      <c r="D1977">
        <v>0.86000901575525501</v>
      </c>
      <c r="E1977">
        <v>0.67661046401006397</v>
      </c>
      <c r="F1977">
        <v>0.49397016864872501</v>
      </c>
      <c r="G1977">
        <v>0.22649189934293901</v>
      </c>
      <c r="H1977">
        <v>0.12981403209394299</v>
      </c>
      <c r="I1977">
        <v>0.122359344326777</v>
      </c>
      <c r="J1977">
        <v>0.10157390292329301</v>
      </c>
      <c r="K1977">
        <v>0.13920286587536801</v>
      </c>
      <c r="L1977">
        <v>672.07756364883005</v>
      </c>
      <c r="M1977">
        <v>13.8123548861494</v>
      </c>
      <c r="N1977">
        <v>49.2109881126961</v>
      </c>
      <c r="O1977">
        <v>47.671791909705</v>
      </c>
      <c r="P1977">
        <v>-6.7234693051307498E-2</v>
      </c>
      <c r="Q1977">
        <v>7.1917230893382603E-2</v>
      </c>
      <c r="R1977">
        <v>0.98973452385009097</v>
      </c>
      <c r="S1977" t="s">
        <v>8379</v>
      </c>
      <c r="T1977" t="s">
        <v>12802</v>
      </c>
      <c r="U1977" t="s">
        <v>12802</v>
      </c>
      <c r="V1977" t="s">
        <v>12802</v>
      </c>
      <c r="W1977" t="s">
        <v>14739</v>
      </c>
      <c r="X1977">
        <v>4</v>
      </c>
      <c r="Y1977" t="s">
        <v>21036</v>
      </c>
      <c r="Z1977" t="s">
        <v>27295</v>
      </c>
      <c r="AA1977">
        <v>0.45547495355214701</v>
      </c>
      <c r="AB1977" t="str">
        <f>HYPERLINK("Melting_Curves/meltCurve_P05165_3_PCCA.pdf", "Melting_Curves/meltCurve_P05165_3_PCCA.pdf")</f>
        <v>Melting_Curves/meltCurve_P05165_3_PCCA.pdf</v>
      </c>
    </row>
    <row r="1978" spans="1:28" x14ac:dyDescent="0.25">
      <c r="A1978" t="s">
        <v>1982</v>
      </c>
      <c r="B1978">
        <v>0.99542014353169495</v>
      </c>
      <c r="C1978">
        <v>1.02680061451829</v>
      </c>
      <c r="D1978">
        <v>1.0471829304745901</v>
      </c>
      <c r="E1978">
        <v>1.02923924902665</v>
      </c>
      <c r="F1978">
        <v>0.81059201864017705</v>
      </c>
      <c r="G1978">
        <v>0.56263738152138898</v>
      </c>
      <c r="H1978">
        <v>0.18772914645115699</v>
      </c>
      <c r="I1978">
        <v>7.1564716613351106E-2</v>
      </c>
      <c r="J1978">
        <v>6.4391601904122103E-2</v>
      </c>
      <c r="K1978">
        <v>7.2426913155022102E-2</v>
      </c>
      <c r="L1978">
        <v>1336.6032122496399</v>
      </c>
      <c r="M1978">
        <v>24.830824254423799</v>
      </c>
      <c r="N1978">
        <v>54.023365903283199</v>
      </c>
      <c r="O1978">
        <v>53.482904389397099</v>
      </c>
      <c r="P1978">
        <v>-0.111095732807115</v>
      </c>
      <c r="Q1978">
        <v>4.28605500166983E-2</v>
      </c>
      <c r="R1978">
        <v>0.99365394711615596</v>
      </c>
      <c r="S1978" t="s">
        <v>8380</v>
      </c>
      <c r="T1978" t="s">
        <v>12802</v>
      </c>
      <c r="U1978" t="s">
        <v>12802</v>
      </c>
      <c r="V1978" t="s">
        <v>12802</v>
      </c>
      <c r="W1978" t="s">
        <v>14740</v>
      </c>
      <c r="X1978">
        <v>37</v>
      </c>
      <c r="Y1978" t="s">
        <v>21037</v>
      </c>
      <c r="Z1978" t="s">
        <v>27296</v>
      </c>
      <c r="AA1978">
        <v>0.58823841565096069</v>
      </c>
      <c r="AB1978" t="str">
        <f>HYPERLINK("Melting_Curves/meltCurve_P05198_EIF2S1.pdf", "Melting_Curves/meltCurve_P05198_EIF2S1.pdf")</f>
        <v>Melting_Curves/meltCurve_P05198_EIF2S1.pdf</v>
      </c>
    </row>
    <row r="1979" spans="1:28" x14ac:dyDescent="0.25">
      <c r="A1979" t="s">
        <v>1983</v>
      </c>
      <c r="B1979">
        <v>0.99542014353169495</v>
      </c>
      <c r="C1979">
        <v>1.1682596860177901</v>
      </c>
      <c r="D1979">
        <v>1.0443265027265001</v>
      </c>
      <c r="E1979">
        <v>1.1728735757576501</v>
      </c>
      <c r="F1979">
        <v>0.95174211657581098</v>
      </c>
      <c r="G1979">
        <v>0.77730428800516205</v>
      </c>
      <c r="H1979">
        <v>0.57940024847235805</v>
      </c>
      <c r="I1979">
        <v>0.50764342935097095</v>
      </c>
      <c r="J1979">
        <v>0.87054240929953397</v>
      </c>
      <c r="K1979">
        <v>1.41741156060159</v>
      </c>
      <c r="L1979">
        <v>12596.262117464201</v>
      </c>
      <c r="M1979">
        <v>250</v>
      </c>
      <c r="O1979">
        <v>50.381807935156502</v>
      </c>
      <c r="P1979">
        <v>-0.210318424495612</v>
      </c>
      <c r="Q1979">
        <v>0.83046038583165804</v>
      </c>
      <c r="R1979">
        <v>0.17174802205251999</v>
      </c>
      <c r="S1979" t="s">
        <v>8381</v>
      </c>
      <c r="T1979" t="s">
        <v>12802</v>
      </c>
      <c r="U1979" t="s">
        <v>12802</v>
      </c>
      <c r="V1979" t="s">
        <v>12802</v>
      </c>
      <c r="W1979" t="s">
        <v>14741</v>
      </c>
      <c r="X1979">
        <v>9</v>
      </c>
      <c r="Y1979" t="s">
        <v>21038</v>
      </c>
      <c r="Z1979" t="s">
        <v>27297</v>
      </c>
      <c r="AA1979">
        <v>0.90611857580809063</v>
      </c>
      <c r="AB1979" t="str">
        <f>HYPERLINK("Melting_Curves/meltCurve_P05204_HMGN2.pdf", "Melting_Curves/meltCurve_P05204_HMGN2.pdf")</f>
        <v>Melting_Curves/meltCurve_P05204_HMGN2.pdf</v>
      </c>
    </row>
    <row r="1980" spans="1:28" x14ac:dyDescent="0.25">
      <c r="A1980" t="s">
        <v>1984</v>
      </c>
      <c r="B1980">
        <v>0.99542014353169495</v>
      </c>
      <c r="C1980">
        <v>0.97732998439471797</v>
      </c>
      <c r="D1980">
        <v>0.92398678844409898</v>
      </c>
      <c r="E1980">
        <v>0.84985075353003603</v>
      </c>
      <c r="F1980">
        <v>0.77818763943676095</v>
      </c>
      <c r="G1980">
        <v>0.56474145382473895</v>
      </c>
      <c r="H1980">
        <v>0.49255480021218101</v>
      </c>
      <c r="I1980">
        <v>0.465394944504952</v>
      </c>
      <c r="J1980">
        <v>0.60714190916322497</v>
      </c>
      <c r="K1980">
        <v>0.63827754556268201</v>
      </c>
      <c r="L1980">
        <v>949.48805390653195</v>
      </c>
      <c r="M1980">
        <v>19.467337015980299</v>
      </c>
      <c r="O1980">
        <v>48.2674781399108</v>
      </c>
      <c r="P1980">
        <v>-4.6172162945855098E-2</v>
      </c>
      <c r="Q1980">
        <v>0.54209799577426698</v>
      </c>
      <c r="R1980">
        <v>0.90566333730998605</v>
      </c>
      <c r="S1980" t="s">
        <v>8382</v>
      </c>
      <c r="T1980" t="s">
        <v>12802</v>
      </c>
      <c r="U1980" t="s">
        <v>12802</v>
      </c>
      <c r="V1980" t="s">
        <v>12802</v>
      </c>
      <c r="W1980" t="s">
        <v>14742</v>
      </c>
      <c r="X1980">
        <v>15</v>
      </c>
      <c r="Y1980" t="s">
        <v>21039</v>
      </c>
      <c r="Z1980" t="s">
        <v>27298</v>
      </c>
      <c r="AA1980">
        <v>0.72813553665363884</v>
      </c>
      <c r="AB1980" t="str">
        <f>HYPERLINK("Melting_Curves/meltCurve_P05362_ICAM1.pdf", "Melting_Curves/meltCurve_P05362_ICAM1.pdf")</f>
        <v>Melting_Curves/meltCurve_P05362_ICAM1.pdf</v>
      </c>
    </row>
    <row r="1981" spans="1:28" x14ac:dyDescent="0.25">
      <c r="A1981" t="s">
        <v>1985</v>
      </c>
      <c r="B1981">
        <v>0.99542014353169495</v>
      </c>
      <c r="C1981">
        <v>1.0690985905285399</v>
      </c>
      <c r="D1981">
        <v>0.83447021595803705</v>
      </c>
      <c r="E1981">
        <v>0.92204647118027006</v>
      </c>
      <c r="F1981">
        <v>0.65321108816925</v>
      </c>
      <c r="G1981">
        <v>0.60539248874698803</v>
      </c>
      <c r="H1981">
        <v>0.56100115679545903</v>
      </c>
      <c r="I1981">
        <v>1.01019804467562</v>
      </c>
      <c r="J1981">
        <v>1.8355169180303901</v>
      </c>
      <c r="K1981">
        <v>2.4013331333268901</v>
      </c>
      <c r="L1981">
        <v>15000</v>
      </c>
      <c r="M1981">
        <v>242.30911990387099</v>
      </c>
      <c r="O1981">
        <v>61.900180307041097</v>
      </c>
      <c r="P1981">
        <v>0.48931424581466199</v>
      </c>
      <c r="Q1981">
        <v>1.5</v>
      </c>
      <c r="R1981">
        <v>0.53657240680931895</v>
      </c>
      <c r="S1981" t="s">
        <v>8383</v>
      </c>
      <c r="T1981" t="s">
        <v>12802</v>
      </c>
      <c r="U1981" t="s">
        <v>12802</v>
      </c>
      <c r="V1981" t="s">
        <v>12802</v>
      </c>
      <c r="W1981" t="s">
        <v>14743</v>
      </c>
      <c r="X1981">
        <v>2</v>
      </c>
      <c r="Y1981" t="s">
        <v>21040</v>
      </c>
      <c r="Z1981" t="s">
        <v>27299</v>
      </c>
      <c r="AA1981">
        <v>1.084868889194482</v>
      </c>
      <c r="AB1981" t="str">
        <f>HYPERLINK("Melting_Curves/meltCurve_P05386_RPLP1.pdf", "Melting_Curves/meltCurve_P05386_RPLP1.pdf")</f>
        <v>Melting_Curves/meltCurve_P05386_RPLP1.pdf</v>
      </c>
    </row>
    <row r="1982" spans="1:28" x14ac:dyDescent="0.25">
      <c r="A1982" t="s">
        <v>1986</v>
      </c>
      <c r="B1982">
        <v>0.99542014353169495</v>
      </c>
      <c r="C1982">
        <v>1.0158815786747999</v>
      </c>
      <c r="D1982">
        <v>0.90461170785987199</v>
      </c>
      <c r="E1982">
        <v>0.87688597853765604</v>
      </c>
      <c r="F1982">
        <v>0.70403574740581198</v>
      </c>
      <c r="G1982">
        <v>0.53525978803738505</v>
      </c>
      <c r="H1982">
        <v>0.71793688349740903</v>
      </c>
      <c r="I1982">
        <v>1.4707175898010001</v>
      </c>
      <c r="J1982">
        <v>4.0137112204324596</v>
      </c>
      <c r="K1982">
        <v>5.4913104057485604</v>
      </c>
      <c r="L1982">
        <v>15000</v>
      </c>
      <c r="M1982">
        <v>248.679009987993</v>
      </c>
      <c r="O1982">
        <v>60.314820595964797</v>
      </c>
      <c r="P1982">
        <v>0.51537708268643601</v>
      </c>
      <c r="Q1982">
        <v>1.5</v>
      </c>
      <c r="R1982">
        <v>0.106585118274393</v>
      </c>
      <c r="S1982" t="s">
        <v>8384</v>
      </c>
      <c r="T1982" t="s">
        <v>12802</v>
      </c>
      <c r="U1982" t="s">
        <v>12802</v>
      </c>
      <c r="V1982" t="s">
        <v>12802</v>
      </c>
      <c r="W1982" t="s">
        <v>14744</v>
      </c>
      <c r="X1982">
        <v>8</v>
      </c>
      <c r="Y1982" t="s">
        <v>21041</v>
      </c>
      <c r="Z1982" t="s">
        <v>27300</v>
      </c>
      <c r="AA1982">
        <v>1.111301144920376</v>
      </c>
      <c r="AB1982" t="str">
        <f>HYPERLINK("Melting_Curves/meltCurve_P05387_RPLP2.pdf", "Melting_Curves/meltCurve_P05387_RPLP2.pdf")</f>
        <v>Melting_Curves/meltCurve_P05387_RPLP2.pdf</v>
      </c>
    </row>
    <row r="1983" spans="1:28" x14ac:dyDescent="0.25">
      <c r="A1983" t="s">
        <v>1987</v>
      </c>
      <c r="B1983">
        <v>0.99542014353169495</v>
      </c>
      <c r="C1983">
        <v>0.985541726802725</v>
      </c>
      <c r="D1983">
        <v>0.90652912705718902</v>
      </c>
      <c r="E1983">
        <v>0.71942912778291601</v>
      </c>
      <c r="F1983">
        <v>0.45526114183669902</v>
      </c>
      <c r="G1983">
        <v>0.292278276590755</v>
      </c>
      <c r="H1983">
        <v>0.18521559412600899</v>
      </c>
      <c r="I1983">
        <v>0.114199175626789</v>
      </c>
      <c r="J1983">
        <v>9.5818623354114105E-2</v>
      </c>
      <c r="K1983">
        <v>9.8640606712729201E-2</v>
      </c>
      <c r="L1983">
        <v>732.17319005250704</v>
      </c>
      <c r="M1983">
        <v>14.8829677668889</v>
      </c>
      <c r="N1983">
        <v>49.746789404003898</v>
      </c>
      <c r="O1983">
        <v>48.332827036669997</v>
      </c>
      <c r="P1983">
        <v>-7.1135409075056097E-2</v>
      </c>
      <c r="Q1983">
        <v>7.6039852453945705E-2</v>
      </c>
      <c r="R1983">
        <v>0.99927854436816599</v>
      </c>
      <c r="S1983" t="s">
        <v>8385</v>
      </c>
      <c r="T1983" t="s">
        <v>12802</v>
      </c>
      <c r="U1983" t="s">
        <v>12802</v>
      </c>
      <c r="V1983" t="s">
        <v>12802</v>
      </c>
      <c r="W1983" t="s">
        <v>14745</v>
      </c>
      <c r="X1983">
        <v>11</v>
      </c>
      <c r="Y1983" t="s">
        <v>21042</v>
      </c>
      <c r="Z1983" t="s">
        <v>27301</v>
      </c>
      <c r="AA1983">
        <v>0.47165697435683118</v>
      </c>
      <c r="AB1983" t="str">
        <f>HYPERLINK("Melting_Curves/meltCurve_P05388_RPLP0.pdf", "Melting_Curves/meltCurve_P05388_RPLP0.pdf")</f>
        <v>Melting_Curves/meltCurve_P05388_RPLP0.pdf</v>
      </c>
    </row>
    <row r="1984" spans="1:28" x14ac:dyDescent="0.25">
      <c r="A1984" t="s">
        <v>1988</v>
      </c>
      <c r="B1984">
        <v>0.99542014353169495</v>
      </c>
      <c r="C1984">
        <v>1.09506977409638</v>
      </c>
      <c r="D1984">
        <v>0.88266555827138504</v>
      </c>
      <c r="E1984">
        <v>0.72529576346810198</v>
      </c>
      <c r="F1984">
        <v>0.560682608348127</v>
      </c>
      <c r="G1984">
        <v>0.359863177401328</v>
      </c>
      <c r="H1984">
        <v>0.24791859968465499</v>
      </c>
      <c r="I1984">
        <v>0.17295872497560899</v>
      </c>
      <c r="J1984">
        <v>0.28686415485188899</v>
      </c>
      <c r="K1984">
        <v>0.41931172022226298</v>
      </c>
      <c r="L1984">
        <v>902.77675217198805</v>
      </c>
      <c r="M1984">
        <v>18.736463605044399</v>
      </c>
      <c r="N1984">
        <v>50.313897673055102</v>
      </c>
      <c r="O1984">
        <v>47.6440737250308</v>
      </c>
      <c r="P1984">
        <v>-7.1390624105288E-2</v>
      </c>
      <c r="Q1984">
        <v>0.27388709801968703</v>
      </c>
      <c r="R1984">
        <v>0.94446074000385505</v>
      </c>
      <c r="S1984" t="s">
        <v>8386</v>
      </c>
      <c r="T1984" t="s">
        <v>12802</v>
      </c>
      <c r="U1984" t="s">
        <v>12802</v>
      </c>
      <c r="V1984" t="s">
        <v>12802</v>
      </c>
      <c r="W1984" t="s">
        <v>14746</v>
      </c>
      <c r="X1984">
        <v>4</v>
      </c>
      <c r="Y1984" t="s">
        <v>21043</v>
      </c>
      <c r="Z1984" t="s">
        <v>27302</v>
      </c>
      <c r="AA1984">
        <v>0.55533284446842968</v>
      </c>
      <c r="AB1984" t="str">
        <f>HYPERLINK("Melting_Curves/meltCurve_P05412_JUN.pdf", "Melting_Curves/meltCurve_P05412_JUN.pdf")</f>
        <v>Melting_Curves/meltCurve_P05412_JUN.pdf</v>
      </c>
    </row>
    <row r="1985" spans="1:28" x14ac:dyDescent="0.25">
      <c r="A1985" t="s">
        <v>1989</v>
      </c>
      <c r="B1985">
        <v>0.99542014353169495</v>
      </c>
      <c r="C1985">
        <v>0.84508223702557195</v>
      </c>
      <c r="D1985">
        <v>0.79438215460641304</v>
      </c>
      <c r="E1985">
        <v>0.41851486317471998</v>
      </c>
      <c r="F1985">
        <v>0.186437789196158</v>
      </c>
      <c r="G1985">
        <v>0.131466502964664</v>
      </c>
      <c r="H1985">
        <v>6.6733172038649993E-2</v>
      </c>
      <c r="I1985">
        <v>3.5859120569256699E-2</v>
      </c>
      <c r="J1985">
        <v>4.2498392401777302E-2</v>
      </c>
      <c r="K1985">
        <v>4.4381524486547898E-2</v>
      </c>
      <c r="L1985">
        <v>758.86626958537499</v>
      </c>
      <c r="M1985">
        <v>16.639254539397601</v>
      </c>
      <c r="N1985">
        <v>45.804588036268001</v>
      </c>
      <c r="O1985">
        <v>44.963524197178103</v>
      </c>
      <c r="P1985">
        <v>-8.9317230339555603E-2</v>
      </c>
      <c r="Q1985">
        <v>3.4632954018083098E-2</v>
      </c>
      <c r="R1985">
        <v>0.99246739864657996</v>
      </c>
      <c r="S1985" t="s">
        <v>8387</v>
      </c>
      <c r="T1985" t="s">
        <v>12802</v>
      </c>
      <c r="U1985" t="s">
        <v>12802</v>
      </c>
      <c r="V1985" t="s">
        <v>12802</v>
      </c>
      <c r="W1985" t="s">
        <v>14747</v>
      </c>
      <c r="X1985">
        <v>6</v>
      </c>
      <c r="Y1985" t="s">
        <v>21044</v>
      </c>
      <c r="Z1985" t="s">
        <v>27303</v>
      </c>
      <c r="AA1985">
        <v>0.32995362067968792</v>
      </c>
      <c r="AB1985" t="str">
        <f>HYPERLINK("Melting_Curves/meltCurve_P05423_POLR3D.pdf", "Melting_Curves/meltCurve_P05423_POLR3D.pdf")</f>
        <v>Melting_Curves/meltCurve_P05423_POLR3D.pdf</v>
      </c>
    </row>
    <row r="1986" spans="1:28" x14ac:dyDescent="0.25">
      <c r="A1986" t="s">
        <v>1990</v>
      </c>
      <c r="B1986">
        <v>0.99542014353169495</v>
      </c>
      <c r="C1986">
        <v>0.94153295165231998</v>
      </c>
      <c r="D1986">
        <v>0.91257960094118895</v>
      </c>
      <c r="E1986">
        <v>0.74373025834330497</v>
      </c>
      <c r="F1986">
        <v>0.42875844678354702</v>
      </c>
      <c r="G1986">
        <v>0.108233890203428</v>
      </c>
      <c r="H1986">
        <v>5.1650841069916902E-2</v>
      </c>
      <c r="I1986">
        <v>3.2240898413625901E-2</v>
      </c>
      <c r="J1986">
        <v>3.4134964444723297E-2</v>
      </c>
      <c r="K1986">
        <v>3.4980278044235501E-2</v>
      </c>
      <c r="L1986">
        <v>983.91005706631404</v>
      </c>
      <c r="M1986">
        <v>20.0647290900698</v>
      </c>
      <c r="N1986">
        <v>49.098493987972603</v>
      </c>
      <c r="O1986">
        <v>48.557514104628503</v>
      </c>
      <c r="P1986">
        <v>-0.102021243037297</v>
      </c>
      <c r="Q1986">
        <v>1.24485959402999E-2</v>
      </c>
      <c r="R1986">
        <v>0.99542314690852496</v>
      </c>
      <c r="S1986" t="s">
        <v>8388</v>
      </c>
      <c r="T1986" t="s">
        <v>12802</v>
      </c>
      <c r="U1986" t="s">
        <v>12802</v>
      </c>
      <c r="V1986" t="s">
        <v>12802</v>
      </c>
      <c r="W1986" t="s">
        <v>14748</v>
      </c>
      <c r="X1986">
        <v>35</v>
      </c>
      <c r="Y1986" t="s">
        <v>21045</v>
      </c>
      <c r="Z1986" t="s">
        <v>27304</v>
      </c>
      <c r="AA1986">
        <v>0.42161541423030191</v>
      </c>
      <c r="AB1986" t="str">
        <f>HYPERLINK("Melting_Curves/meltCurve_P05455_SSB.pdf", "Melting_Curves/meltCurve_P05455_SSB.pdf")</f>
        <v>Melting_Curves/meltCurve_P05455_SSB.pdf</v>
      </c>
    </row>
    <row r="1987" spans="1:28" x14ac:dyDescent="0.25">
      <c r="A1987" t="s">
        <v>1991</v>
      </c>
      <c r="B1987">
        <v>0.99542014353169495</v>
      </c>
      <c r="C1987">
        <v>0.98294163081197405</v>
      </c>
      <c r="D1987">
        <v>1.05140789509487</v>
      </c>
      <c r="E1987">
        <v>0.87688822879828698</v>
      </c>
      <c r="F1987">
        <v>0.68745406435909095</v>
      </c>
      <c r="G1987">
        <v>0.385614852174122</v>
      </c>
      <c r="H1987">
        <v>0.26879070169027203</v>
      </c>
      <c r="I1987">
        <v>0.21662007419083601</v>
      </c>
      <c r="J1987">
        <v>0.29859022685021502</v>
      </c>
      <c r="K1987">
        <v>0.37983687364152802</v>
      </c>
      <c r="L1987">
        <v>1383.05483607928</v>
      </c>
      <c r="M1987">
        <v>27.4459673480556</v>
      </c>
      <c r="N1987">
        <v>51.981416687522099</v>
      </c>
      <c r="O1987">
        <v>50.126647646011001</v>
      </c>
      <c r="P1987">
        <v>-9.8011548107185903E-2</v>
      </c>
      <c r="Q1987">
        <v>0.28398265461093603</v>
      </c>
      <c r="R1987">
        <v>0.97730474888305496</v>
      </c>
      <c r="S1987" t="s">
        <v>8389</v>
      </c>
      <c r="T1987" t="s">
        <v>12802</v>
      </c>
      <c r="U1987" t="s">
        <v>12802</v>
      </c>
      <c r="V1987" t="s">
        <v>12802</v>
      </c>
      <c r="W1987" t="s">
        <v>14749</v>
      </c>
      <c r="X1987">
        <v>29</v>
      </c>
      <c r="Y1987" t="s">
        <v>21046</v>
      </c>
      <c r="Z1987" t="s">
        <v>27305</v>
      </c>
      <c r="AA1987">
        <v>0.60886945446893648</v>
      </c>
      <c r="AB1987" t="str">
        <f>HYPERLINK("Melting_Curves/meltCurve_P05556_ITGB1.pdf", "Melting_Curves/meltCurve_P05556_ITGB1.pdf")</f>
        <v>Melting_Curves/meltCurve_P05556_ITGB1.pdf</v>
      </c>
    </row>
    <row r="1988" spans="1:28" x14ac:dyDescent="0.25">
      <c r="A1988" t="s">
        <v>1992</v>
      </c>
      <c r="B1988">
        <v>0.99542014353169495</v>
      </c>
      <c r="C1988">
        <v>0.96674387915201299</v>
      </c>
      <c r="D1988">
        <v>0.94075169032335404</v>
      </c>
      <c r="E1988">
        <v>0.79444405696593001</v>
      </c>
      <c r="F1988">
        <v>0.32056658199479199</v>
      </c>
      <c r="G1988">
        <v>7.6517245585764407E-2</v>
      </c>
      <c r="H1988">
        <v>5.3077401737001997E-2</v>
      </c>
      <c r="I1988">
        <v>3.4726699761202302E-2</v>
      </c>
      <c r="J1988">
        <v>4.5399179289826098E-2</v>
      </c>
      <c r="K1988">
        <v>3.7529509325434703E-2</v>
      </c>
      <c r="L1988">
        <v>1392.1868306465999</v>
      </c>
      <c r="M1988">
        <v>28.6132058239393</v>
      </c>
      <c r="N1988">
        <v>48.779546557210601</v>
      </c>
      <c r="O1988">
        <v>48.4195975005779</v>
      </c>
      <c r="P1988">
        <v>-0.142548617249496</v>
      </c>
      <c r="Q1988">
        <v>3.51179311535025E-2</v>
      </c>
      <c r="R1988">
        <v>0.99833122723951895</v>
      </c>
      <c r="S1988" t="s">
        <v>8390</v>
      </c>
      <c r="T1988" t="s">
        <v>12802</v>
      </c>
      <c r="U1988" t="s">
        <v>12802</v>
      </c>
      <c r="V1988" t="s">
        <v>12802</v>
      </c>
      <c r="W1988" t="s">
        <v>14750</v>
      </c>
      <c r="X1988">
        <v>37</v>
      </c>
      <c r="Y1988" t="s">
        <v>21047</v>
      </c>
      <c r="Z1988" t="s">
        <v>27306</v>
      </c>
      <c r="AA1988">
        <v>0.41634399258283028</v>
      </c>
      <c r="AB1988" t="str">
        <f>HYPERLINK("Melting_Curves/meltCurve_P05771_2_PRKCB.pdf", "Melting_Curves/meltCurve_P05771_2_PRKCB.pdf")</f>
        <v>Melting_Curves/meltCurve_P05771_2_PRKCB.pdf</v>
      </c>
    </row>
    <row r="1989" spans="1:28" x14ac:dyDescent="0.25">
      <c r="A1989" t="s">
        <v>1993</v>
      </c>
      <c r="B1989">
        <v>0.99542014353169495</v>
      </c>
      <c r="C1989">
        <v>0.86051802525784904</v>
      </c>
      <c r="D1989">
        <v>0.77393734317364005</v>
      </c>
      <c r="E1989">
        <v>0.70287404249476304</v>
      </c>
      <c r="F1989">
        <v>0.31780099511239401</v>
      </c>
      <c r="G1989">
        <v>0.10782749067292099</v>
      </c>
      <c r="H1989">
        <v>7.2413893931331005E-2</v>
      </c>
      <c r="I1989">
        <v>5.7705633135905203E-2</v>
      </c>
      <c r="J1989">
        <v>7.0437191668547894E-2</v>
      </c>
      <c r="K1989">
        <v>7.2044478854770305E-2</v>
      </c>
      <c r="L1989">
        <v>711.57240994473898</v>
      </c>
      <c r="M1989">
        <v>14.9279171673679</v>
      </c>
      <c r="N1989">
        <v>47.8199905435091</v>
      </c>
      <c r="O1989">
        <v>46.836356062462102</v>
      </c>
      <c r="P1989">
        <v>-7.7833652626106503E-2</v>
      </c>
      <c r="Q1989">
        <v>2.3287970344762599E-2</v>
      </c>
      <c r="R1989">
        <v>0.97660279379654902</v>
      </c>
      <c r="S1989" t="s">
        <v>8391</v>
      </c>
      <c r="T1989" t="s">
        <v>12802</v>
      </c>
      <c r="U1989" t="s">
        <v>12802</v>
      </c>
      <c r="V1989" t="s">
        <v>12802</v>
      </c>
      <c r="W1989" t="s">
        <v>14751</v>
      </c>
      <c r="X1989">
        <v>33</v>
      </c>
      <c r="Y1989" t="s">
        <v>21048</v>
      </c>
      <c r="Z1989" t="s">
        <v>27307</v>
      </c>
      <c r="AA1989">
        <v>0.39243073100762932</v>
      </c>
      <c r="AB1989" t="str">
        <f>HYPERLINK("Melting_Curves/meltCurve_P05783_KRT18.pdf", "Melting_Curves/meltCurve_P05783_KRT18.pdf")</f>
        <v>Melting_Curves/meltCurve_P05783_KRT18.pdf</v>
      </c>
    </row>
    <row r="1990" spans="1:28" x14ac:dyDescent="0.25">
      <c r="A1990" t="s">
        <v>1994</v>
      </c>
      <c r="B1990">
        <v>0.99542014353169495</v>
      </c>
      <c r="C1990">
        <v>1.0322560537316701</v>
      </c>
      <c r="D1990">
        <v>0.974753359796935</v>
      </c>
      <c r="E1990">
        <v>0.97132463004198</v>
      </c>
      <c r="F1990">
        <v>0.73032861410467598</v>
      </c>
      <c r="G1990">
        <v>0.33818651547644701</v>
      </c>
      <c r="H1990">
        <v>0.108015194507958</v>
      </c>
      <c r="I1990">
        <v>7.8258614558401204E-2</v>
      </c>
      <c r="J1990">
        <v>9.7631662838405103E-2</v>
      </c>
      <c r="K1990">
        <v>0.104373503698634</v>
      </c>
      <c r="L1990">
        <v>1481.1308755752</v>
      </c>
      <c r="M1990">
        <v>28.5782400062368</v>
      </c>
      <c r="N1990">
        <v>52.155474034506597</v>
      </c>
      <c r="O1990">
        <v>51.575445285843102</v>
      </c>
      <c r="P1990">
        <v>-0.12712567272011599</v>
      </c>
      <c r="Q1990">
        <v>8.2307186181239902E-2</v>
      </c>
      <c r="R1990">
        <v>0.99783385003079905</v>
      </c>
      <c r="S1990" t="s">
        <v>8392</v>
      </c>
      <c r="T1990" t="s">
        <v>12802</v>
      </c>
      <c r="U1990" t="s">
        <v>12802</v>
      </c>
      <c r="V1990" t="s">
        <v>12802</v>
      </c>
      <c r="W1990" t="s">
        <v>14752</v>
      </c>
      <c r="X1990">
        <v>21</v>
      </c>
      <c r="Y1990" t="s">
        <v>21049</v>
      </c>
      <c r="Z1990" t="s">
        <v>27308</v>
      </c>
      <c r="AA1990">
        <v>0.54220901220531348</v>
      </c>
      <c r="AB1990" t="str">
        <f>HYPERLINK("Melting_Curves/meltCurve_P05937_CALB1.pdf", "Melting_Curves/meltCurve_P05937_CALB1.pdf")</f>
        <v>Melting_Curves/meltCurve_P05937_CALB1.pdf</v>
      </c>
    </row>
    <row r="1991" spans="1:28" x14ac:dyDescent="0.25">
      <c r="A1991" t="s">
        <v>1995</v>
      </c>
      <c r="B1991">
        <v>0.99542014353169495</v>
      </c>
      <c r="C1991">
        <v>0.98663836137616201</v>
      </c>
      <c r="D1991">
        <v>0.93432385011740804</v>
      </c>
      <c r="E1991">
        <v>0.88576716858243398</v>
      </c>
      <c r="F1991">
        <v>0.747734173301565</v>
      </c>
      <c r="G1991">
        <v>0.64679330591010298</v>
      </c>
      <c r="H1991">
        <v>0.47679247811205699</v>
      </c>
      <c r="I1991">
        <v>0.40824329585269298</v>
      </c>
      <c r="J1991">
        <v>0.40421128957924801</v>
      </c>
      <c r="K1991">
        <v>0.22602034525137499</v>
      </c>
      <c r="L1991">
        <v>476.57495130220599</v>
      </c>
      <c r="M1991">
        <v>8.4442829958404495</v>
      </c>
      <c r="N1991">
        <v>57.743421533895898</v>
      </c>
      <c r="O1991">
        <v>53.539043681644998</v>
      </c>
      <c r="P1991">
        <v>-3.6036514375603797E-2</v>
      </c>
      <c r="Q1991">
        <v>8.6918309739107399E-2</v>
      </c>
      <c r="R1991">
        <v>0.98556751016309696</v>
      </c>
      <c r="S1991" t="s">
        <v>8393</v>
      </c>
      <c r="T1991" t="s">
        <v>12802</v>
      </c>
      <c r="U1991" t="s">
        <v>12802</v>
      </c>
      <c r="V1991" t="s">
        <v>12802</v>
      </c>
      <c r="W1991" t="s">
        <v>14753</v>
      </c>
      <c r="X1991">
        <v>16</v>
      </c>
      <c r="Y1991" t="s">
        <v>21050</v>
      </c>
      <c r="Z1991" t="s">
        <v>27309</v>
      </c>
      <c r="AA1991">
        <v>0.67560046262151863</v>
      </c>
      <c r="AB1991" t="str">
        <f>HYPERLINK("Melting_Curves/meltCurve_P06132_UROD.pdf", "Melting_Curves/meltCurve_P06132_UROD.pdf")</f>
        <v>Melting_Curves/meltCurve_P06132_UROD.pdf</v>
      </c>
    </row>
    <row r="1992" spans="1:28" x14ac:dyDescent="0.25">
      <c r="A1992" t="s">
        <v>1996</v>
      </c>
      <c r="B1992">
        <v>0.99542014353169495</v>
      </c>
      <c r="C1992">
        <v>0.98838831476756905</v>
      </c>
      <c r="D1992">
        <v>0.87464330095730902</v>
      </c>
      <c r="E1992">
        <v>0.76372801269929702</v>
      </c>
      <c r="F1992">
        <v>0.53003385840330597</v>
      </c>
      <c r="G1992">
        <v>0.41405567880858601</v>
      </c>
      <c r="H1992">
        <v>0.285368021238877</v>
      </c>
      <c r="I1992">
        <v>0.173202286346681</v>
      </c>
      <c r="J1992">
        <v>8.2580894791696502E-2</v>
      </c>
      <c r="K1992">
        <v>8.25127623338167E-2</v>
      </c>
      <c r="L1992">
        <v>536.66392995590604</v>
      </c>
      <c r="M1992">
        <v>10.4061744105847</v>
      </c>
      <c r="N1992">
        <v>51.5716831063393</v>
      </c>
      <c r="O1992">
        <v>49.776252297292203</v>
      </c>
      <c r="P1992">
        <v>-5.2286578748005103E-2</v>
      </c>
      <c r="Q1992">
        <v>0</v>
      </c>
      <c r="R1992">
        <v>0.99537468123042205</v>
      </c>
      <c r="S1992" t="s">
        <v>8394</v>
      </c>
      <c r="T1992" t="s">
        <v>12802</v>
      </c>
      <c r="U1992" t="s">
        <v>12802</v>
      </c>
      <c r="V1992" t="s">
        <v>12802</v>
      </c>
      <c r="W1992" t="s">
        <v>14754</v>
      </c>
      <c r="X1992">
        <v>7</v>
      </c>
      <c r="Y1992" t="s">
        <v>21051</v>
      </c>
      <c r="Z1992" t="s">
        <v>27310</v>
      </c>
      <c r="AA1992">
        <v>0.51336657890071746</v>
      </c>
      <c r="AB1992" t="str">
        <f>HYPERLINK("Melting_Curves/meltCurve_P06280_GLA.pdf", "Melting_Curves/meltCurve_P06280_GLA.pdf")</f>
        <v>Melting_Curves/meltCurve_P06280_GLA.pdf</v>
      </c>
    </row>
    <row r="1993" spans="1:28" x14ac:dyDescent="0.25">
      <c r="A1993" t="s">
        <v>1997</v>
      </c>
      <c r="B1993">
        <v>0.99542014353169495</v>
      </c>
      <c r="C1993">
        <v>0.96399084579971095</v>
      </c>
      <c r="D1993">
        <v>1.00025753508395</v>
      </c>
      <c r="E1993">
        <v>0.93035757202346003</v>
      </c>
      <c r="F1993">
        <v>0.61311659366164695</v>
      </c>
      <c r="G1993">
        <v>0.29918134228909898</v>
      </c>
      <c r="H1993">
        <v>9.7784410425072493E-2</v>
      </c>
      <c r="I1993">
        <v>5.2877753952004503E-2</v>
      </c>
      <c r="J1993">
        <v>4.7619761299458399E-2</v>
      </c>
      <c r="K1993">
        <v>4.8446706690251799E-2</v>
      </c>
      <c r="L1993">
        <v>1182.95005004832</v>
      </c>
      <c r="M1993">
        <v>23.083675664700198</v>
      </c>
      <c r="N1993">
        <v>51.415654150944697</v>
      </c>
      <c r="O1993">
        <v>50.866233468209202</v>
      </c>
      <c r="P1993">
        <v>-0.109298676381861</v>
      </c>
      <c r="Q1993">
        <v>3.6633704369025799E-2</v>
      </c>
      <c r="R1993">
        <v>0.99838026543242397</v>
      </c>
      <c r="S1993" t="s">
        <v>8395</v>
      </c>
      <c r="T1993" t="s">
        <v>12802</v>
      </c>
      <c r="U1993" t="s">
        <v>12802</v>
      </c>
      <c r="V1993" t="s">
        <v>12802</v>
      </c>
      <c r="W1993" t="s">
        <v>14755</v>
      </c>
      <c r="X1993">
        <v>19</v>
      </c>
      <c r="Y1993" t="s">
        <v>21052</v>
      </c>
      <c r="Z1993" t="s">
        <v>27311</v>
      </c>
      <c r="AA1993">
        <v>0.50394729179345943</v>
      </c>
      <c r="AB1993" t="str">
        <f>HYPERLINK("Melting_Curves/meltCurve_P06400_RB1.pdf", "Melting_Curves/meltCurve_P06400_RB1.pdf")</f>
        <v>Melting_Curves/meltCurve_P06400_RB1.pdf</v>
      </c>
    </row>
    <row r="1994" spans="1:28" x14ac:dyDescent="0.25">
      <c r="A1994" t="s">
        <v>1998</v>
      </c>
      <c r="B1994">
        <v>0.99542014353169495</v>
      </c>
      <c r="C1994">
        <v>0.93866212462708698</v>
      </c>
      <c r="D1994">
        <v>0.90221111024932799</v>
      </c>
      <c r="E1994">
        <v>0.73647929453018701</v>
      </c>
      <c r="F1994">
        <v>0.30583376874759199</v>
      </c>
      <c r="G1994">
        <v>0.20925701759441201</v>
      </c>
      <c r="H1994">
        <v>0.13219768626369399</v>
      </c>
      <c r="I1994">
        <v>8.6621992206172602E-2</v>
      </c>
      <c r="J1994">
        <v>8.0762917225524505E-2</v>
      </c>
      <c r="K1994">
        <v>4.7290055430871697E-2</v>
      </c>
      <c r="L1994">
        <v>969.24302471465501</v>
      </c>
      <c r="M1994">
        <v>20.105616277003101</v>
      </c>
      <c r="N1994">
        <v>48.589527059975097</v>
      </c>
      <c r="O1994">
        <v>47.738264762577202</v>
      </c>
      <c r="P1994">
        <v>-9.7598217514413693E-2</v>
      </c>
      <c r="Q1994">
        <v>7.3090486030798402E-2</v>
      </c>
      <c r="R1994">
        <v>0.99271127507322199</v>
      </c>
      <c r="S1994" t="s">
        <v>8396</v>
      </c>
      <c r="T1994" t="s">
        <v>12802</v>
      </c>
      <c r="U1994" t="s">
        <v>12802</v>
      </c>
      <c r="V1994" t="s">
        <v>12802</v>
      </c>
      <c r="W1994" t="s">
        <v>14756</v>
      </c>
      <c r="X1994">
        <v>16</v>
      </c>
      <c r="Y1994" t="s">
        <v>21053</v>
      </c>
      <c r="Z1994" t="s">
        <v>27312</v>
      </c>
      <c r="AA1994">
        <v>0.43143776804986572</v>
      </c>
      <c r="AB1994" t="str">
        <f>HYPERLINK("Melting_Curves/meltCurve_P06493_CDK1.pdf", "Melting_Curves/meltCurve_P06493_CDK1.pdf")</f>
        <v>Melting_Curves/meltCurve_P06493_CDK1.pdf</v>
      </c>
    </row>
    <row r="1995" spans="1:28" x14ac:dyDescent="0.25">
      <c r="A1995" t="s">
        <v>1999</v>
      </c>
      <c r="B1995">
        <v>0.99542014353169495</v>
      </c>
      <c r="C1995">
        <v>0.846767245749102</v>
      </c>
      <c r="D1995">
        <v>0.87886207669073202</v>
      </c>
      <c r="E1995">
        <v>0.67767467798954395</v>
      </c>
      <c r="F1995">
        <v>0.54144711531399103</v>
      </c>
      <c r="G1995">
        <v>0.304921911403566</v>
      </c>
      <c r="H1995">
        <v>0.26576538632286101</v>
      </c>
      <c r="I1995">
        <v>0.260542103954086</v>
      </c>
      <c r="J1995">
        <v>0.41756989298205899</v>
      </c>
      <c r="K1995">
        <v>0.22722200607086501</v>
      </c>
      <c r="L1995">
        <v>654.17595223754699</v>
      </c>
      <c r="M1995">
        <v>13.8246282235776</v>
      </c>
      <c r="N1995">
        <v>49.9301017257457</v>
      </c>
      <c r="O1995">
        <v>46.362450985628698</v>
      </c>
      <c r="P1995">
        <v>-5.5373147942866102E-2</v>
      </c>
      <c r="Q1995">
        <v>0.25730273012211702</v>
      </c>
      <c r="R1995">
        <v>0.94188850045000005</v>
      </c>
      <c r="S1995" t="s">
        <v>8397</v>
      </c>
      <c r="T1995" t="s">
        <v>12802</v>
      </c>
      <c r="U1995" t="s">
        <v>12802</v>
      </c>
      <c r="V1995" t="s">
        <v>12802</v>
      </c>
      <c r="W1995" t="s">
        <v>14757</v>
      </c>
      <c r="X1995">
        <v>26</v>
      </c>
      <c r="Y1995" t="s">
        <v>21054</v>
      </c>
      <c r="Z1995" t="s">
        <v>27313</v>
      </c>
      <c r="AA1995">
        <v>0.53188899822758762</v>
      </c>
      <c r="AB1995" t="str">
        <f>HYPERLINK("Melting_Curves/meltCurve_P06576_ATP5B.pdf", "Melting_Curves/meltCurve_P06576_ATP5B.pdf")</f>
        <v>Melting_Curves/meltCurve_P06576_ATP5B.pdf</v>
      </c>
    </row>
    <row r="1996" spans="1:28" x14ac:dyDescent="0.25">
      <c r="A1996" t="s">
        <v>2000</v>
      </c>
      <c r="B1996">
        <v>0.99542014353169495</v>
      </c>
      <c r="C1996">
        <v>0.97345501766648102</v>
      </c>
      <c r="D1996">
        <v>0.93648456972049099</v>
      </c>
      <c r="E1996">
        <v>0.95146455286782305</v>
      </c>
      <c r="F1996">
        <v>0.80074589862824797</v>
      </c>
      <c r="G1996">
        <v>0.75358161489063902</v>
      </c>
      <c r="H1996">
        <v>0.55453432428369798</v>
      </c>
      <c r="I1996">
        <v>0.51797650868002398</v>
      </c>
      <c r="J1996">
        <v>0.95741699766163801</v>
      </c>
      <c r="K1996">
        <v>0.59087721311637698</v>
      </c>
      <c r="L1996">
        <v>1261.3816276711</v>
      </c>
      <c r="M1996">
        <v>25.438525866964699</v>
      </c>
      <c r="O1996">
        <v>49.282094037288701</v>
      </c>
      <c r="P1996">
        <v>-4.3500342997659702E-2</v>
      </c>
      <c r="Q1996">
        <v>0.66291103931722395</v>
      </c>
      <c r="R1996">
        <v>0.58218756854308895</v>
      </c>
      <c r="S1996" t="s">
        <v>8398</v>
      </c>
      <c r="T1996" t="s">
        <v>12802</v>
      </c>
      <c r="U1996" t="s">
        <v>12802</v>
      </c>
      <c r="V1996" t="s">
        <v>12802</v>
      </c>
      <c r="W1996" t="s">
        <v>14758</v>
      </c>
      <c r="X1996">
        <v>52</v>
      </c>
      <c r="Y1996" t="s">
        <v>21055</v>
      </c>
      <c r="Z1996" t="s">
        <v>27314</v>
      </c>
      <c r="AA1996">
        <v>0.80716292478522178</v>
      </c>
      <c r="AB1996" t="str">
        <f>HYPERLINK("Melting_Curves/meltCurve_P06733_ENO1.pdf", "Melting_Curves/meltCurve_P06733_ENO1.pdf")</f>
        <v>Melting_Curves/meltCurve_P06733_ENO1.pdf</v>
      </c>
    </row>
    <row r="1997" spans="1:28" x14ac:dyDescent="0.25">
      <c r="A1997" t="s">
        <v>2001</v>
      </c>
      <c r="B1997">
        <v>0.99542014353169495</v>
      </c>
      <c r="C1997">
        <v>1.02588139600326</v>
      </c>
      <c r="D1997">
        <v>1.06899495702432</v>
      </c>
      <c r="E1997">
        <v>0.83269673101451103</v>
      </c>
      <c r="F1997">
        <v>0.86272472287189195</v>
      </c>
      <c r="G1997">
        <v>0.46848374617248001</v>
      </c>
      <c r="H1997">
        <v>1.09242437670932</v>
      </c>
      <c r="I1997">
        <v>1.0192254341307301</v>
      </c>
      <c r="J1997">
        <v>0.92559288020346597</v>
      </c>
      <c r="K1997">
        <v>0.87336672688996597</v>
      </c>
      <c r="S1997" t="s">
        <v>8399</v>
      </c>
      <c r="T1997" t="s">
        <v>12802</v>
      </c>
      <c r="U1997" t="s">
        <v>12803</v>
      </c>
      <c r="V1997" t="s">
        <v>12802</v>
      </c>
      <c r="W1997" t="s">
        <v>14759</v>
      </c>
      <c r="X1997">
        <v>37</v>
      </c>
      <c r="Y1997" t="s">
        <v>21055</v>
      </c>
      <c r="Z1997" t="s">
        <v>27315</v>
      </c>
      <c r="AB1997" t="str">
        <f>HYPERLINK("Melting_Curves/meltCurve_P06733_2_ENO1.pdf", "Melting_Curves/meltCurve_P06733_2_ENO1.pdf")</f>
        <v>Melting_Curves/meltCurve_P06733_2_ENO1.pdf</v>
      </c>
    </row>
    <row r="1998" spans="1:28" x14ac:dyDescent="0.25">
      <c r="A1998" t="s">
        <v>2002</v>
      </c>
      <c r="B1998">
        <v>0.99542014353169495</v>
      </c>
      <c r="C1998">
        <v>0.99011321224968996</v>
      </c>
      <c r="D1998">
        <v>0.98684385274856901</v>
      </c>
      <c r="E1998">
        <v>0.926921881182593</v>
      </c>
      <c r="F1998">
        <v>0.79900777205985696</v>
      </c>
      <c r="G1998">
        <v>0.56689265073222905</v>
      </c>
      <c r="H1998">
        <v>0.233516856886225</v>
      </c>
      <c r="I1998">
        <v>6.9098308151108595E-2</v>
      </c>
      <c r="J1998">
        <v>6.0229875092676001E-2</v>
      </c>
      <c r="K1998">
        <v>6.7702601481718194E-2</v>
      </c>
      <c r="L1998">
        <v>1062.86786468537</v>
      </c>
      <c r="M1998">
        <v>19.6762911530667</v>
      </c>
      <c r="N1998">
        <v>54.0991202700774</v>
      </c>
      <c r="O1998">
        <v>53.469020058820902</v>
      </c>
      <c r="P1998">
        <v>-9.0659378165962895E-2</v>
      </c>
      <c r="Q1998">
        <v>1.45907503400899E-2</v>
      </c>
      <c r="R1998">
        <v>0.99620692690787105</v>
      </c>
      <c r="S1998" t="s">
        <v>8400</v>
      </c>
      <c r="T1998" t="s">
        <v>12802</v>
      </c>
      <c r="U1998" t="s">
        <v>12802</v>
      </c>
      <c r="V1998" t="s">
        <v>12802</v>
      </c>
      <c r="W1998" t="s">
        <v>14760</v>
      </c>
      <c r="X1998">
        <v>31</v>
      </c>
      <c r="Y1998" t="s">
        <v>21056</v>
      </c>
      <c r="Z1998" t="s">
        <v>27316</v>
      </c>
      <c r="AA1998">
        <v>0.58572567631586159</v>
      </c>
      <c r="AB1998" t="str">
        <f>HYPERLINK("Melting_Curves/meltCurve_P06744_GPI.pdf", "Melting_Curves/meltCurve_P06744_GPI.pdf")</f>
        <v>Melting_Curves/meltCurve_P06744_GPI.pdf</v>
      </c>
    </row>
    <row r="1999" spans="1:28" x14ac:dyDescent="0.25">
      <c r="A1999" t="s">
        <v>2003</v>
      </c>
      <c r="B1999">
        <v>0.99542014353169495</v>
      </c>
      <c r="C1999">
        <v>0.96770431353234698</v>
      </c>
      <c r="D1999">
        <v>0.88888575420052895</v>
      </c>
      <c r="E1999">
        <v>0.830325575401062</v>
      </c>
      <c r="F1999">
        <v>0.59594476106537797</v>
      </c>
      <c r="G1999">
        <v>0.48055554775397902</v>
      </c>
      <c r="H1999">
        <v>0.25441632928807101</v>
      </c>
      <c r="I1999">
        <v>0.229204615130503</v>
      </c>
      <c r="J1999">
        <v>0.44618031774349398</v>
      </c>
      <c r="K1999">
        <v>0.55927422967907203</v>
      </c>
      <c r="L1999">
        <v>1028.32002422343</v>
      </c>
      <c r="M1999">
        <v>21.2082630881571</v>
      </c>
      <c r="N1999">
        <v>51.893843526120897</v>
      </c>
      <c r="O1999">
        <v>48.061861321202201</v>
      </c>
      <c r="P1999">
        <v>-6.8865970486112899E-2</v>
      </c>
      <c r="Q1999">
        <v>0.37576393172453498</v>
      </c>
      <c r="R1999">
        <v>0.87509007767510205</v>
      </c>
      <c r="S1999" t="s">
        <v>8401</v>
      </c>
      <c r="T1999" t="s">
        <v>12802</v>
      </c>
      <c r="U1999" t="s">
        <v>12802</v>
      </c>
      <c r="V1999" t="s">
        <v>12802</v>
      </c>
      <c r="W1999" t="s">
        <v>14761</v>
      </c>
      <c r="X1999">
        <v>21</v>
      </c>
      <c r="Y1999" t="s">
        <v>21057</v>
      </c>
      <c r="Z1999" t="s">
        <v>27317</v>
      </c>
      <c r="AA1999">
        <v>0.62213751884588087</v>
      </c>
      <c r="AB1999" t="str">
        <f>HYPERLINK("Melting_Curves/meltCurve_P06748_NPM1.pdf", "Melting_Curves/meltCurve_P06748_NPM1.pdf")</f>
        <v>Melting_Curves/meltCurve_P06748_NPM1.pdf</v>
      </c>
    </row>
    <row r="2000" spans="1:28" x14ac:dyDescent="0.25">
      <c r="A2000" t="s">
        <v>2004</v>
      </c>
      <c r="B2000">
        <v>0.99542014353169495</v>
      </c>
      <c r="C2000">
        <v>0.87546525830774302</v>
      </c>
      <c r="D2000">
        <v>0.54823894963095299</v>
      </c>
      <c r="E2000">
        <v>0.42155931899818</v>
      </c>
      <c r="F2000">
        <v>0.21782743157090201</v>
      </c>
      <c r="G2000">
        <v>0.20931356245584101</v>
      </c>
      <c r="H2000">
        <v>0.13224647337220799</v>
      </c>
      <c r="I2000">
        <v>7.8453856024653407E-2</v>
      </c>
      <c r="J2000">
        <v>0.27568532548231101</v>
      </c>
      <c r="K2000">
        <v>0.30212425325631598</v>
      </c>
      <c r="L2000">
        <v>823.70955748660401</v>
      </c>
      <c r="M2000">
        <v>19.1407852989284</v>
      </c>
      <c r="N2000">
        <v>44.187101140807499</v>
      </c>
      <c r="O2000">
        <v>42.572789600400903</v>
      </c>
      <c r="P2000">
        <v>-9.0311875311142098E-2</v>
      </c>
      <c r="Q2000">
        <v>0.196547138334598</v>
      </c>
      <c r="R2000">
        <v>0.94601836297092501</v>
      </c>
      <c r="S2000" t="s">
        <v>8402</v>
      </c>
      <c r="T2000" t="s">
        <v>12802</v>
      </c>
      <c r="U2000" t="s">
        <v>12802</v>
      </c>
      <c r="V2000" t="s">
        <v>12802</v>
      </c>
      <c r="W2000" t="s">
        <v>14762</v>
      </c>
      <c r="X2000">
        <v>18</v>
      </c>
      <c r="Y2000" t="s">
        <v>21057</v>
      </c>
      <c r="Z2000" t="s">
        <v>27318</v>
      </c>
      <c r="AA2000">
        <v>0.37051119916981462</v>
      </c>
      <c r="AB2000" t="str">
        <f>HYPERLINK("Melting_Curves/meltCurve_P06748_3_NPM1.pdf", "Melting_Curves/meltCurve_P06748_3_NPM1.pdf")</f>
        <v>Melting_Curves/meltCurve_P06748_3_NPM1.pdf</v>
      </c>
    </row>
    <row r="2001" spans="1:28" x14ac:dyDescent="0.25">
      <c r="A2001" t="s">
        <v>2005</v>
      </c>
      <c r="B2001">
        <v>0.99542014353169495</v>
      </c>
      <c r="C2001">
        <v>1.05236178187629</v>
      </c>
      <c r="D2001">
        <v>0.99755857155571803</v>
      </c>
      <c r="E2001">
        <v>1.03534790866465</v>
      </c>
      <c r="F2001">
        <v>0.91716301044416604</v>
      </c>
      <c r="G2001">
        <v>0.76308297659985802</v>
      </c>
      <c r="H2001">
        <v>0.624592184974326</v>
      </c>
      <c r="I2001">
        <v>0.59515795715414699</v>
      </c>
      <c r="J2001">
        <v>0.91369618098773997</v>
      </c>
      <c r="K2001">
        <v>1.26825192247546</v>
      </c>
      <c r="L2001">
        <v>12550.823292286001</v>
      </c>
      <c r="M2001">
        <v>250</v>
      </c>
      <c r="O2001">
        <v>50.200080969805299</v>
      </c>
      <c r="P2001">
        <v>-0.20797246944684999</v>
      </c>
      <c r="Q2001">
        <v>0.83295624489603004</v>
      </c>
      <c r="R2001">
        <v>0.20009510493839699</v>
      </c>
      <c r="S2001" t="s">
        <v>8403</v>
      </c>
      <c r="T2001" t="s">
        <v>12802</v>
      </c>
      <c r="U2001" t="s">
        <v>12802</v>
      </c>
      <c r="V2001" t="s">
        <v>12802</v>
      </c>
      <c r="W2001" t="s">
        <v>14763</v>
      </c>
      <c r="X2001">
        <v>46</v>
      </c>
      <c r="Y2001" t="s">
        <v>20237</v>
      </c>
      <c r="Z2001" t="s">
        <v>27319</v>
      </c>
      <c r="AA2001">
        <v>0.90648855147655982</v>
      </c>
      <c r="AB2001" t="str">
        <f>HYPERLINK("Melting_Curves/meltCurve_P06753_2_TPM3.pdf", "Melting_Curves/meltCurve_P06753_2_TPM3.pdf")</f>
        <v>Melting_Curves/meltCurve_P06753_2_TPM3.pdf</v>
      </c>
    </row>
    <row r="2002" spans="1:28" x14ac:dyDescent="0.25">
      <c r="A2002" t="s">
        <v>2006</v>
      </c>
      <c r="B2002">
        <v>0.99542014353169495</v>
      </c>
      <c r="C2002">
        <v>1.0401627010746</v>
      </c>
      <c r="D2002">
        <v>0.98790752109764901</v>
      </c>
      <c r="E2002">
        <v>1.0630350429387401</v>
      </c>
      <c r="F2002">
        <v>1.0090238655442301</v>
      </c>
      <c r="G2002">
        <v>0.77515964937481296</v>
      </c>
      <c r="H2002">
        <v>0.56960987585978295</v>
      </c>
      <c r="I2002">
        <v>0.42406309532279302</v>
      </c>
      <c r="J2002">
        <v>0.67058323296543698</v>
      </c>
      <c r="K2002">
        <v>0.95999778565037697</v>
      </c>
      <c r="L2002">
        <v>13415.8122627177</v>
      </c>
      <c r="M2002">
        <v>250</v>
      </c>
      <c r="O2002">
        <v>53.6598142608795</v>
      </c>
      <c r="P2002">
        <v>-0.400598315230214</v>
      </c>
      <c r="Q2002">
        <v>0.65606349691277599</v>
      </c>
      <c r="R2002">
        <v>0.65044826056102401</v>
      </c>
      <c r="S2002" t="s">
        <v>8404</v>
      </c>
      <c r="T2002" t="s">
        <v>12802</v>
      </c>
      <c r="U2002" t="s">
        <v>12802</v>
      </c>
      <c r="V2002" t="s">
        <v>12802</v>
      </c>
      <c r="W2002" t="s">
        <v>14764</v>
      </c>
      <c r="X2002">
        <v>45</v>
      </c>
      <c r="Y2002" t="s">
        <v>20237</v>
      </c>
      <c r="Z2002" t="s">
        <v>27320</v>
      </c>
      <c r="AA2002">
        <v>0.84713254184310061</v>
      </c>
      <c r="AB2002" t="str">
        <f>HYPERLINK("Melting_Curves/meltCurve_P06753_3_TPM3.pdf", "Melting_Curves/meltCurve_P06753_3_TPM3.pdf")</f>
        <v>Melting_Curves/meltCurve_P06753_3_TPM3.pdf</v>
      </c>
    </row>
    <row r="2003" spans="1:28" x14ac:dyDescent="0.25">
      <c r="A2003" t="s">
        <v>2007</v>
      </c>
      <c r="B2003">
        <v>0.99542014353169495</v>
      </c>
      <c r="C2003">
        <v>1.02281298883024</v>
      </c>
      <c r="D2003">
        <v>1.1173150584732801</v>
      </c>
      <c r="E2003">
        <v>0.92356578045344195</v>
      </c>
      <c r="F2003">
        <v>0.75299364265830104</v>
      </c>
      <c r="G2003">
        <v>0.54257221335449402</v>
      </c>
      <c r="H2003">
        <v>0.41854014787604799</v>
      </c>
      <c r="I2003">
        <v>0.448748325531929</v>
      </c>
      <c r="J2003">
        <v>0.77019531331546898</v>
      </c>
      <c r="K2003">
        <v>1.17010845455115</v>
      </c>
      <c r="L2003">
        <v>2130.4616550976598</v>
      </c>
      <c r="M2003">
        <v>44.174207372288599</v>
      </c>
      <c r="O2003">
        <v>48.130131153154501</v>
      </c>
      <c r="P2003">
        <v>-7.4764915473571905E-2</v>
      </c>
      <c r="Q2003">
        <v>0.67415931788095995</v>
      </c>
      <c r="R2003">
        <v>0.40032099218839801</v>
      </c>
      <c r="S2003" t="s">
        <v>8405</v>
      </c>
      <c r="T2003" t="s">
        <v>12802</v>
      </c>
      <c r="U2003" t="s">
        <v>12802</v>
      </c>
      <c r="V2003" t="s">
        <v>12802</v>
      </c>
      <c r="W2003" t="s">
        <v>14765</v>
      </c>
      <c r="X2003">
        <v>4</v>
      </c>
      <c r="Y2003" t="s">
        <v>21058</v>
      </c>
      <c r="Z2003" t="s">
        <v>27321</v>
      </c>
      <c r="AA2003">
        <v>0.79700690822667897</v>
      </c>
      <c r="AB2003" t="str">
        <f>HYPERLINK("Melting_Curves/meltCurve_P06756_3_ITGAV.pdf", "Melting_Curves/meltCurve_P06756_3_ITGAV.pdf")</f>
        <v>Melting_Curves/meltCurve_P06756_3_ITGAV.pdf</v>
      </c>
    </row>
    <row r="2004" spans="1:28" x14ac:dyDescent="0.25">
      <c r="A2004" t="s">
        <v>2008</v>
      </c>
      <c r="B2004">
        <v>0.99542014353169495</v>
      </c>
      <c r="C2004">
        <v>0.96817398693533996</v>
      </c>
      <c r="D2004">
        <v>0.94251507398412404</v>
      </c>
      <c r="E2004">
        <v>0.85957438558815402</v>
      </c>
      <c r="F2004">
        <v>0.76078263510636501</v>
      </c>
      <c r="G2004">
        <v>0.51130149035786499</v>
      </c>
      <c r="H2004">
        <v>0.40667403434020599</v>
      </c>
      <c r="I2004">
        <v>0.39724157345580902</v>
      </c>
      <c r="J2004">
        <v>0.50968603665094303</v>
      </c>
      <c r="K2004">
        <v>0.35638528473742997</v>
      </c>
      <c r="L2004">
        <v>928.25069323397304</v>
      </c>
      <c r="M2004">
        <v>18.426703813009301</v>
      </c>
      <c r="N2004">
        <v>54.993641663702</v>
      </c>
      <c r="O2004">
        <v>49.793269250378401</v>
      </c>
      <c r="P2004">
        <v>-5.6103646419385998E-2</v>
      </c>
      <c r="Q2004">
        <v>0.39360680736352899</v>
      </c>
      <c r="R2004">
        <v>0.96459041287289204</v>
      </c>
      <c r="S2004" t="s">
        <v>8406</v>
      </c>
      <c r="T2004" t="s">
        <v>12802</v>
      </c>
      <c r="U2004" t="s">
        <v>12802</v>
      </c>
      <c r="V2004" t="s">
        <v>12802</v>
      </c>
      <c r="W2004" t="s">
        <v>14766</v>
      </c>
      <c r="X2004">
        <v>9</v>
      </c>
      <c r="Y2004" t="s">
        <v>21059</v>
      </c>
      <c r="Z2004" t="s">
        <v>27322</v>
      </c>
      <c r="AA2004">
        <v>0.67311398341945383</v>
      </c>
      <c r="AB2004" t="str">
        <f>HYPERLINK("Melting_Curves/meltCurve_P07099_EPHX1.pdf", "Melting_Curves/meltCurve_P07099_EPHX1.pdf")</f>
        <v>Melting_Curves/meltCurve_P07099_EPHX1.pdf</v>
      </c>
    </row>
    <row r="2005" spans="1:28" x14ac:dyDescent="0.25">
      <c r="A2005" t="s">
        <v>2009</v>
      </c>
      <c r="B2005">
        <v>0.99542014353169495</v>
      </c>
      <c r="C2005">
        <v>1.0143369360291199</v>
      </c>
      <c r="D2005">
        <v>1.05326600082213</v>
      </c>
      <c r="E2005">
        <v>1.1074346716482899</v>
      </c>
      <c r="F2005">
        <v>0.90815139057184502</v>
      </c>
      <c r="G2005">
        <v>0.726697362875104</v>
      </c>
      <c r="H2005">
        <v>0.58760891393359105</v>
      </c>
      <c r="I2005">
        <v>0.46694436811838003</v>
      </c>
      <c r="J2005">
        <v>0.67277171281993198</v>
      </c>
      <c r="K2005">
        <v>0.77715133202776399</v>
      </c>
      <c r="L2005">
        <v>2137.0301288713099</v>
      </c>
      <c r="M2005">
        <v>41.096931791758003</v>
      </c>
      <c r="O2005">
        <v>51.8770806527478</v>
      </c>
      <c r="P2005">
        <v>-7.3643175272390005E-2</v>
      </c>
      <c r="Q2005">
        <v>0.62815853576982805</v>
      </c>
      <c r="R2005">
        <v>0.83661291688503603</v>
      </c>
      <c r="S2005" t="s">
        <v>8407</v>
      </c>
      <c r="T2005" t="s">
        <v>12802</v>
      </c>
      <c r="U2005" t="s">
        <v>12802</v>
      </c>
      <c r="V2005" t="s">
        <v>12802</v>
      </c>
      <c r="W2005" t="s">
        <v>14767</v>
      </c>
      <c r="X2005">
        <v>3</v>
      </c>
      <c r="Y2005" t="s">
        <v>21060</v>
      </c>
      <c r="Z2005" t="s">
        <v>27323</v>
      </c>
      <c r="AA2005">
        <v>0.81533925580970046</v>
      </c>
      <c r="AB2005" t="str">
        <f>HYPERLINK("Melting_Curves/meltCurve_P07108_DBI.pdf", "Melting_Curves/meltCurve_P07108_DBI.pdf")</f>
        <v>Melting_Curves/meltCurve_P07108_DBI.pdf</v>
      </c>
    </row>
    <row r="2006" spans="1:28" x14ac:dyDescent="0.25">
      <c r="A2006" t="s">
        <v>2010</v>
      </c>
      <c r="B2006">
        <v>0.99542014353169495</v>
      </c>
      <c r="C2006">
        <v>0.954969560127092</v>
      </c>
      <c r="D2006">
        <v>1.0021358190710701</v>
      </c>
      <c r="E2006">
        <v>0.93670004334864099</v>
      </c>
      <c r="F2006">
        <v>0.83287976849284895</v>
      </c>
      <c r="G2006">
        <v>0.69268255658218802</v>
      </c>
      <c r="H2006">
        <v>0.63009128899342004</v>
      </c>
      <c r="I2006">
        <v>0.59683951712302596</v>
      </c>
      <c r="J2006">
        <v>0.68797133618538597</v>
      </c>
      <c r="K2006">
        <v>0.495849005278511</v>
      </c>
      <c r="L2006">
        <v>889.43757873047502</v>
      </c>
      <c r="M2006">
        <v>17.346487315673201</v>
      </c>
      <c r="O2006">
        <v>50.607903739988402</v>
      </c>
      <c r="P2006">
        <v>-3.6401207459126297E-2</v>
      </c>
      <c r="Q2006">
        <v>0.57522612595829803</v>
      </c>
      <c r="R2006">
        <v>0.93553660105158298</v>
      </c>
      <c r="S2006" t="s">
        <v>8408</v>
      </c>
      <c r="T2006" t="s">
        <v>12802</v>
      </c>
      <c r="U2006" t="s">
        <v>12802</v>
      </c>
      <c r="V2006" t="s">
        <v>12802</v>
      </c>
      <c r="W2006" t="s">
        <v>14768</v>
      </c>
      <c r="X2006">
        <v>25</v>
      </c>
      <c r="Y2006" t="s">
        <v>19428</v>
      </c>
      <c r="Z2006" t="s">
        <v>27324</v>
      </c>
      <c r="AA2006">
        <v>0.78426572281611484</v>
      </c>
      <c r="AB2006" t="str">
        <f>HYPERLINK("Melting_Curves/meltCurve_P07195_LDHB.pdf", "Melting_Curves/meltCurve_P07195_LDHB.pdf")</f>
        <v>Melting_Curves/meltCurve_P07195_LDHB.pdf</v>
      </c>
    </row>
    <row r="2007" spans="1:28" x14ac:dyDescent="0.25">
      <c r="A2007" t="s">
        <v>2011</v>
      </c>
      <c r="B2007">
        <v>0.99542014353169495</v>
      </c>
      <c r="C2007">
        <v>0.98959510389093996</v>
      </c>
      <c r="D2007">
        <v>1.0827585312469701</v>
      </c>
      <c r="E2007">
        <v>1.0084779371092301</v>
      </c>
      <c r="F2007">
        <v>0.81046331668923999</v>
      </c>
      <c r="G2007">
        <v>0.633333912572146</v>
      </c>
      <c r="H2007">
        <v>0.167767494064051</v>
      </c>
      <c r="I2007">
        <v>0.10107982808702</v>
      </c>
      <c r="J2007">
        <v>8.0766124221169203E-2</v>
      </c>
      <c r="K2007">
        <v>7.9332125515497606E-2</v>
      </c>
      <c r="L2007">
        <v>1420.65199313985</v>
      </c>
      <c r="M2007">
        <v>26.242612677513101</v>
      </c>
      <c r="N2007">
        <v>54.3763812825689</v>
      </c>
      <c r="O2007">
        <v>53.823889366798099</v>
      </c>
      <c r="P2007">
        <v>-0.115198535739139</v>
      </c>
      <c r="Q2007">
        <v>5.4916590627470403E-2</v>
      </c>
      <c r="R2007">
        <v>0.98666234217249205</v>
      </c>
      <c r="S2007" t="s">
        <v>8409</v>
      </c>
      <c r="T2007" t="s">
        <v>12802</v>
      </c>
      <c r="U2007" t="s">
        <v>12802</v>
      </c>
      <c r="V2007" t="s">
        <v>12802</v>
      </c>
      <c r="W2007" t="s">
        <v>14769</v>
      </c>
      <c r="X2007">
        <v>8</v>
      </c>
      <c r="Y2007" t="s">
        <v>21061</v>
      </c>
      <c r="Z2007" t="s">
        <v>27325</v>
      </c>
      <c r="AA2007">
        <v>0.60233057266571122</v>
      </c>
      <c r="AB2007" t="str">
        <f>HYPERLINK("Melting_Curves/meltCurve_P07205_PGK2.pdf", "Melting_Curves/meltCurve_P07205_PGK2.pdf")</f>
        <v>Melting_Curves/meltCurve_P07205_PGK2.pdf</v>
      </c>
    </row>
    <row r="2008" spans="1:28" x14ac:dyDescent="0.25">
      <c r="A2008" t="s">
        <v>2012</v>
      </c>
      <c r="B2008">
        <v>0.99542014353169495</v>
      </c>
      <c r="C2008">
        <v>0.91570833874809598</v>
      </c>
      <c r="D2008">
        <v>0.92778788953561397</v>
      </c>
      <c r="E2008">
        <v>0.81697714164387802</v>
      </c>
      <c r="F2008">
        <v>0.53562335570435404</v>
      </c>
      <c r="G2008">
        <v>0.24010336296054899</v>
      </c>
      <c r="H2008">
        <v>0.11497146834230999</v>
      </c>
      <c r="I2008">
        <v>8.2498268959009996E-2</v>
      </c>
      <c r="J2008">
        <v>8.2183980781498397E-2</v>
      </c>
      <c r="K2008">
        <v>0.108699086345464</v>
      </c>
      <c r="L2008">
        <v>969.42525360838999</v>
      </c>
      <c r="M2008">
        <v>19.4033892980171</v>
      </c>
      <c r="N2008">
        <v>50.3417991645195</v>
      </c>
      <c r="O2008">
        <v>49.440045144225103</v>
      </c>
      <c r="P2008">
        <v>-9.1432876907071206E-2</v>
      </c>
      <c r="Q2008">
        <v>6.8146386268378795E-2</v>
      </c>
      <c r="R2008">
        <v>0.99315060219499396</v>
      </c>
      <c r="S2008" t="s">
        <v>8410</v>
      </c>
      <c r="T2008" t="s">
        <v>12802</v>
      </c>
      <c r="U2008" t="s">
        <v>12802</v>
      </c>
      <c r="V2008" t="s">
        <v>12802</v>
      </c>
      <c r="W2008" t="s">
        <v>14770</v>
      </c>
      <c r="X2008">
        <v>9</v>
      </c>
      <c r="Y2008" t="s">
        <v>21062</v>
      </c>
      <c r="Z2008" t="s">
        <v>27326</v>
      </c>
      <c r="AA2008">
        <v>0.48369506316454808</v>
      </c>
      <c r="AB2008" t="str">
        <f>HYPERLINK("Melting_Curves/meltCurve_P07225_PROS1.pdf", "Melting_Curves/meltCurve_P07225_PROS1.pdf")</f>
        <v>Melting_Curves/meltCurve_P07225_PROS1.pdf</v>
      </c>
    </row>
    <row r="2009" spans="1:28" x14ac:dyDescent="0.25">
      <c r="A2009" t="s">
        <v>2013</v>
      </c>
      <c r="B2009">
        <v>0.99542014353169495</v>
      </c>
      <c r="C2009">
        <v>1.0066623931694301</v>
      </c>
      <c r="D2009">
        <v>0.87674080369056295</v>
      </c>
      <c r="E2009">
        <v>0.89411885441323302</v>
      </c>
      <c r="F2009">
        <v>0.74404133371946302</v>
      </c>
      <c r="G2009">
        <v>0.60541143293838295</v>
      </c>
      <c r="H2009">
        <v>0.24096369470413101</v>
      </c>
      <c r="I2009">
        <v>9.9107710468960997E-2</v>
      </c>
      <c r="J2009">
        <v>0.110472698824976</v>
      </c>
      <c r="K2009">
        <v>0.13609196263603399</v>
      </c>
      <c r="L2009">
        <v>852.80733790884199</v>
      </c>
      <c r="M2009">
        <v>15.8721235555877</v>
      </c>
      <c r="N2009">
        <v>54.002357214831299</v>
      </c>
      <c r="O2009">
        <v>52.898696189175297</v>
      </c>
      <c r="P2009">
        <v>-7.2131226738243695E-2</v>
      </c>
      <c r="Q2009">
        <v>3.8480797566702397E-2</v>
      </c>
      <c r="R2009">
        <v>0.97662692502294401</v>
      </c>
      <c r="S2009" t="s">
        <v>8411</v>
      </c>
      <c r="T2009" t="s">
        <v>12802</v>
      </c>
      <c r="U2009" t="s">
        <v>12802</v>
      </c>
      <c r="V2009" t="s">
        <v>12802</v>
      </c>
      <c r="W2009" t="s">
        <v>13849</v>
      </c>
      <c r="X2009">
        <v>44</v>
      </c>
      <c r="Y2009" t="s">
        <v>20166</v>
      </c>
      <c r="Z2009" t="s">
        <v>27327</v>
      </c>
      <c r="AA2009">
        <v>0.5899733106757552</v>
      </c>
      <c r="AB2009" t="str">
        <f>HYPERLINK("Melting_Curves/meltCurve_P07237_P4HB.pdf", "Melting_Curves/meltCurve_P07237_P4HB.pdf")</f>
        <v>Melting_Curves/meltCurve_P07237_P4HB.pdf</v>
      </c>
    </row>
    <row r="2010" spans="1:28" x14ac:dyDescent="0.25">
      <c r="A2010" t="s">
        <v>2014</v>
      </c>
      <c r="B2010">
        <v>0.99542014353169495</v>
      </c>
      <c r="C2010">
        <v>1.0290231249910999</v>
      </c>
      <c r="D2010">
        <v>0.94308774635501202</v>
      </c>
      <c r="E2010">
        <v>0.95335489560304298</v>
      </c>
      <c r="F2010">
        <v>0.80887672561966295</v>
      </c>
      <c r="G2010">
        <v>0.788473626947786</v>
      </c>
      <c r="H2010">
        <v>0.47002215057554098</v>
      </c>
      <c r="I2010">
        <v>0.32834841003141002</v>
      </c>
      <c r="J2010">
        <v>0.17573279116509</v>
      </c>
      <c r="K2010">
        <v>0.158136164444454</v>
      </c>
      <c r="L2010">
        <v>749.61195286703696</v>
      </c>
      <c r="M2010">
        <v>13.042452318877</v>
      </c>
      <c r="N2010">
        <v>57.474770598293603</v>
      </c>
      <c r="O2010">
        <v>56.173947745949299</v>
      </c>
      <c r="P2010">
        <v>-5.8055058782864502E-2</v>
      </c>
      <c r="Q2010">
        <v>0</v>
      </c>
      <c r="R2010">
        <v>0.98560713400029498</v>
      </c>
      <c r="S2010" t="s">
        <v>8412</v>
      </c>
      <c r="T2010" t="s">
        <v>12802</v>
      </c>
      <c r="U2010" t="s">
        <v>12802</v>
      </c>
      <c r="V2010" t="s">
        <v>12802</v>
      </c>
      <c r="W2010" t="s">
        <v>14771</v>
      </c>
      <c r="X2010">
        <v>28</v>
      </c>
      <c r="Y2010" t="s">
        <v>21063</v>
      </c>
      <c r="Z2010" t="s">
        <v>27328</v>
      </c>
      <c r="AA2010">
        <v>0.68647016100155178</v>
      </c>
      <c r="AB2010" t="str">
        <f>HYPERLINK("Melting_Curves/meltCurve_P07339_CTSD.pdf", "Melting_Curves/meltCurve_P07339_CTSD.pdf")</f>
        <v>Melting_Curves/meltCurve_P07339_CTSD.pdf</v>
      </c>
    </row>
    <row r="2011" spans="1:28" x14ac:dyDescent="0.25">
      <c r="A2011" t="s">
        <v>2015</v>
      </c>
      <c r="B2011">
        <v>0.99542014353169495</v>
      </c>
      <c r="C2011">
        <v>0.99305109093221</v>
      </c>
      <c r="D2011">
        <v>0.96117512429212104</v>
      </c>
      <c r="E2011">
        <v>0.981952740183756</v>
      </c>
      <c r="F2011">
        <v>0.78007309718820095</v>
      </c>
      <c r="G2011">
        <v>0.39598674676016898</v>
      </c>
      <c r="H2011">
        <v>6.7723871053209303E-2</v>
      </c>
      <c r="I2011">
        <v>4.7010760196520299E-2</v>
      </c>
      <c r="J2011">
        <v>4.8634795207709997E-2</v>
      </c>
      <c r="K2011">
        <v>5.3256101722465199E-2</v>
      </c>
      <c r="L2011">
        <v>1484.7583876316401</v>
      </c>
      <c r="M2011">
        <v>28.234398426073099</v>
      </c>
      <c r="N2011">
        <v>52.707736610941197</v>
      </c>
      <c r="O2011">
        <v>52.325182730017701</v>
      </c>
      <c r="P2011">
        <v>-0.13067132597602901</v>
      </c>
      <c r="Q2011">
        <v>3.1345495761193103E-2</v>
      </c>
      <c r="R2011">
        <v>0.99699484756001</v>
      </c>
      <c r="S2011" t="s">
        <v>8413</v>
      </c>
      <c r="T2011" t="s">
        <v>12802</v>
      </c>
      <c r="U2011" t="s">
        <v>12802</v>
      </c>
      <c r="V2011" t="s">
        <v>12802</v>
      </c>
      <c r="W2011" t="s">
        <v>14772</v>
      </c>
      <c r="X2011">
        <v>50</v>
      </c>
      <c r="Y2011" t="s">
        <v>20083</v>
      </c>
      <c r="Z2011" t="s">
        <v>27329</v>
      </c>
      <c r="AA2011">
        <v>0.54150745174421389</v>
      </c>
      <c r="AB2011" t="str">
        <f>HYPERLINK("Melting_Curves/meltCurve_P07355_ANXA2.pdf", "Melting_Curves/meltCurve_P07355_ANXA2.pdf")</f>
        <v>Melting_Curves/meltCurve_P07355_ANXA2.pdf</v>
      </c>
    </row>
    <row r="2012" spans="1:28" x14ac:dyDescent="0.25">
      <c r="A2012" t="s">
        <v>2016</v>
      </c>
      <c r="B2012">
        <v>0.99542014353169495</v>
      </c>
      <c r="C2012">
        <v>0.95297048749033098</v>
      </c>
      <c r="D2012">
        <v>0.92200061256922805</v>
      </c>
      <c r="E2012">
        <v>0.88287082951493501</v>
      </c>
      <c r="F2012">
        <v>0.73715525724833397</v>
      </c>
      <c r="G2012">
        <v>0.644192473702632</v>
      </c>
      <c r="H2012">
        <v>0.46758389858468602</v>
      </c>
      <c r="I2012">
        <v>0.38446631548565402</v>
      </c>
      <c r="J2012">
        <v>0.18978926131248</v>
      </c>
      <c r="K2012">
        <v>7.4581470939799402E-2</v>
      </c>
      <c r="L2012">
        <v>575.22865632325102</v>
      </c>
      <c r="M2012">
        <v>10.224104009688499</v>
      </c>
      <c r="N2012">
        <v>56.262031716457997</v>
      </c>
      <c r="O2012">
        <v>54.237069502627399</v>
      </c>
      <c r="P2012">
        <v>-4.7147989120888599E-2</v>
      </c>
      <c r="Q2012">
        <v>0</v>
      </c>
      <c r="R2012">
        <v>0.98046584339980603</v>
      </c>
      <c r="S2012" t="s">
        <v>8414</v>
      </c>
      <c r="T2012" t="s">
        <v>12802</v>
      </c>
      <c r="U2012" t="s">
        <v>12802</v>
      </c>
      <c r="V2012" t="s">
        <v>12802</v>
      </c>
      <c r="W2012" t="s">
        <v>14773</v>
      </c>
      <c r="X2012">
        <v>35</v>
      </c>
      <c r="Y2012" t="s">
        <v>21064</v>
      </c>
      <c r="Z2012" t="s">
        <v>27330</v>
      </c>
      <c r="AA2012">
        <v>0.64703075218206518</v>
      </c>
      <c r="AB2012" t="str">
        <f>HYPERLINK("Melting_Curves/meltCurve_P07384_CAPN1.pdf", "Melting_Curves/meltCurve_P07384_CAPN1.pdf")</f>
        <v>Melting_Curves/meltCurve_P07384_CAPN1.pdf</v>
      </c>
    </row>
    <row r="2013" spans="1:28" x14ac:dyDescent="0.25">
      <c r="A2013" t="s">
        <v>2017</v>
      </c>
      <c r="B2013">
        <v>0.99542014353169495</v>
      </c>
      <c r="C2013">
        <v>0.95069172785903</v>
      </c>
      <c r="D2013">
        <v>0.98431181089266695</v>
      </c>
      <c r="E2013">
        <v>0.89461301423692596</v>
      </c>
      <c r="F2013">
        <v>0.74494380214918798</v>
      </c>
      <c r="G2013">
        <v>0.58022538814096702</v>
      </c>
      <c r="H2013">
        <v>0.35586785538205901</v>
      </c>
      <c r="I2013">
        <v>0.22910300285190599</v>
      </c>
      <c r="J2013">
        <v>0.17673275558099599</v>
      </c>
      <c r="K2013">
        <v>0.156788150261052</v>
      </c>
      <c r="L2013">
        <v>719.47766126948</v>
      </c>
      <c r="M2013">
        <v>13.3119255337058</v>
      </c>
      <c r="N2013">
        <v>54.741360109695798</v>
      </c>
      <c r="O2013">
        <v>52.871613011070302</v>
      </c>
      <c r="P2013">
        <v>-5.8068056279821902E-2</v>
      </c>
      <c r="Q2013">
        <v>7.7621851960487806E-2</v>
      </c>
      <c r="R2013">
        <v>0.99697727531718505</v>
      </c>
      <c r="S2013" t="s">
        <v>8415</v>
      </c>
      <c r="T2013" t="s">
        <v>12802</v>
      </c>
      <c r="U2013" t="s">
        <v>12802</v>
      </c>
      <c r="V2013" t="s">
        <v>12802</v>
      </c>
      <c r="W2013" t="s">
        <v>14774</v>
      </c>
      <c r="X2013">
        <v>24</v>
      </c>
      <c r="Y2013" t="s">
        <v>21065</v>
      </c>
      <c r="Z2013" t="s">
        <v>27331</v>
      </c>
      <c r="AA2013">
        <v>0.61766214433190181</v>
      </c>
      <c r="AB2013" t="str">
        <f>HYPERLINK("Melting_Curves/meltCurve_P07686_HEXB.pdf", "Melting_Curves/meltCurve_P07686_HEXB.pdf")</f>
        <v>Melting_Curves/meltCurve_P07686_HEXB.pdf</v>
      </c>
    </row>
    <row r="2014" spans="1:28" x14ac:dyDescent="0.25">
      <c r="A2014" t="s">
        <v>2018</v>
      </c>
      <c r="B2014">
        <v>0.99542014353169495</v>
      </c>
      <c r="C2014">
        <v>0.91063683303273801</v>
      </c>
      <c r="D2014">
        <v>0.78718205838364896</v>
      </c>
      <c r="E2014">
        <v>0.67977390531091897</v>
      </c>
      <c r="F2014">
        <v>0.47929928727549997</v>
      </c>
      <c r="G2014">
        <v>0.26591451647589798</v>
      </c>
      <c r="H2014">
        <v>0.14337746635557</v>
      </c>
      <c r="I2014">
        <v>8.5083798504327901E-2</v>
      </c>
      <c r="J2014">
        <v>8.9874768329636007E-2</v>
      </c>
      <c r="K2014">
        <v>0.10379623630510899</v>
      </c>
      <c r="L2014">
        <v>553.20234053280797</v>
      </c>
      <c r="M2014">
        <v>11.282870175539999</v>
      </c>
      <c r="N2014">
        <v>49.190818628860498</v>
      </c>
      <c r="O2014">
        <v>47.5658065415914</v>
      </c>
      <c r="P2014">
        <v>-5.8247258277616003E-2</v>
      </c>
      <c r="Q2014">
        <v>1.8075915491519299E-2</v>
      </c>
      <c r="R2014">
        <v>0.99248856229493698</v>
      </c>
      <c r="S2014" t="s">
        <v>8416</v>
      </c>
      <c r="T2014" t="s">
        <v>12802</v>
      </c>
      <c r="U2014" t="s">
        <v>12802</v>
      </c>
      <c r="V2014" t="s">
        <v>12802</v>
      </c>
      <c r="W2014" t="s">
        <v>14775</v>
      </c>
      <c r="X2014">
        <v>6</v>
      </c>
      <c r="Y2014" t="s">
        <v>21066</v>
      </c>
      <c r="Z2014" t="s">
        <v>27332</v>
      </c>
      <c r="AA2014">
        <v>0.44337003769007582</v>
      </c>
      <c r="AB2014" t="str">
        <f>HYPERLINK("Melting_Curves/meltCurve_P07711_CTSL1.pdf", "Melting_Curves/meltCurve_P07711_CTSL1.pdf")</f>
        <v>Melting_Curves/meltCurve_P07711_CTSL1.pdf</v>
      </c>
    </row>
    <row r="2015" spans="1:28" x14ac:dyDescent="0.25">
      <c r="A2015" t="s">
        <v>2019</v>
      </c>
      <c r="B2015">
        <v>0.99542014353169495</v>
      </c>
      <c r="C2015">
        <v>1.0080818264534801</v>
      </c>
      <c r="D2015">
        <v>0.88709375067509399</v>
      </c>
      <c r="E2015">
        <v>0.863578950859478</v>
      </c>
      <c r="F2015">
        <v>0.60693047891068697</v>
      </c>
      <c r="G2015">
        <v>0.32433567878342001</v>
      </c>
      <c r="H2015">
        <v>8.3824736454668994E-2</v>
      </c>
      <c r="I2015">
        <v>5.8820338899521998E-2</v>
      </c>
      <c r="J2015">
        <v>5.6847810194648803E-2</v>
      </c>
      <c r="K2015">
        <v>5.7353773261851003E-2</v>
      </c>
      <c r="L2015">
        <v>935.63401152139397</v>
      </c>
      <c r="M2015">
        <v>18.289136084118802</v>
      </c>
      <c r="N2015">
        <v>51.269414685343797</v>
      </c>
      <c r="O2015">
        <v>50.558064529151302</v>
      </c>
      <c r="P2015">
        <v>-8.8677120180673405E-2</v>
      </c>
      <c r="Q2015">
        <v>1.9497527110387599E-2</v>
      </c>
      <c r="R2015">
        <v>0.99273252122391198</v>
      </c>
      <c r="S2015" t="s">
        <v>8417</v>
      </c>
      <c r="T2015" t="s">
        <v>12802</v>
      </c>
      <c r="U2015" t="s">
        <v>12802</v>
      </c>
      <c r="V2015" t="s">
        <v>12802</v>
      </c>
      <c r="W2015" t="s">
        <v>14776</v>
      </c>
      <c r="X2015">
        <v>17</v>
      </c>
      <c r="Y2015" t="s">
        <v>21067</v>
      </c>
      <c r="Z2015" t="s">
        <v>27333</v>
      </c>
      <c r="AA2015">
        <v>0.49701633549072499</v>
      </c>
      <c r="AB2015" t="str">
        <f>HYPERLINK("Melting_Curves/meltCurve_P07737_PFN1.pdf", "Melting_Curves/meltCurve_P07737_PFN1.pdf")</f>
        <v>Melting_Curves/meltCurve_P07737_PFN1.pdf</v>
      </c>
    </row>
    <row r="2016" spans="1:28" x14ac:dyDescent="0.25">
      <c r="A2016" t="s">
        <v>2020</v>
      </c>
      <c r="B2016">
        <v>0.99542014353169495</v>
      </c>
      <c r="C2016">
        <v>1.0643187657652899</v>
      </c>
      <c r="D2016">
        <v>0.96065863212980895</v>
      </c>
      <c r="E2016">
        <v>0.92130106267450596</v>
      </c>
      <c r="F2016">
        <v>0.82291101182331505</v>
      </c>
      <c r="G2016">
        <v>0.728621582846674</v>
      </c>
      <c r="H2016">
        <v>0.52003716956198998</v>
      </c>
      <c r="I2016">
        <v>0.438941754294704</v>
      </c>
      <c r="J2016">
        <v>0.45114598528685501</v>
      </c>
      <c r="K2016">
        <v>0.24131163926310201</v>
      </c>
      <c r="L2016">
        <v>568.65816661454903</v>
      </c>
      <c r="M2016">
        <v>9.8988998634793308</v>
      </c>
      <c r="N2016">
        <v>59.256220877018002</v>
      </c>
      <c r="O2016">
        <v>55.249565440966599</v>
      </c>
      <c r="P2016">
        <v>-3.8968695920354499E-2</v>
      </c>
      <c r="Q2016">
        <v>0.13044257799074199</v>
      </c>
      <c r="R2016">
        <v>0.97165793608988404</v>
      </c>
      <c r="S2016" t="s">
        <v>8418</v>
      </c>
      <c r="T2016" t="s">
        <v>12802</v>
      </c>
      <c r="U2016" t="s">
        <v>12802</v>
      </c>
      <c r="V2016" t="s">
        <v>12802</v>
      </c>
      <c r="W2016" t="s">
        <v>14777</v>
      </c>
      <c r="X2016">
        <v>12</v>
      </c>
      <c r="Y2016" t="s">
        <v>21068</v>
      </c>
      <c r="Z2016" t="s">
        <v>27334</v>
      </c>
      <c r="AA2016">
        <v>0.71908584728965053</v>
      </c>
      <c r="AB2016" t="str">
        <f>HYPERLINK("Melting_Curves/meltCurve_P07738_BPGM.pdf", "Melting_Curves/meltCurve_P07738_BPGM.pdf")</f>
        <v>Melting_Curves/meltCurve_P07738_BPGM.pdf</v>
      </c>
    </row>
    <row r="2017" spans="1:28" x14ac:dyDescent="0.25">
      <c r="A2017" t="s">
        <v>2021</v>
      </c>
      <c r="B2017">
        <v>0.99542014353169495</v>
      </c>
      <c r="C2017">
        <v>1.02017679271288</v>
      </c>
      <c r="D2017">
        <v>0.89512890745863005</v>
      </c>
      <c r="E2017">
        <v>0.98273963076894</v>
      </c>
      <c r="F2017">
        <v>0.829935639065152</v>
      </c>
      <c r="G2017">
        <v>0.83700456915870802</v>
      </c>
      <c r="H2017">
        <v>0.55526802860801405</v>
      </c>
      <c r="I2017">
        <v>0.43055463072179001</v>
      </c>
      <c r="J2017">
        <v>0.40152120639116701</v>
      </c>
      <c r="K2017">
        <v>0.26398948322286397</v>
      </c>
      <c r="L2017">
        <v>637.05823273816998</v>
      </c>
      <c r="M2017">
        <v>10.848545147598101</v>
      </c>
      <c r="N2017">
        <v>59.8665045944567</v>
      </c>
      <c r="O2017">
        <v>56.833242699189299</v>
      </c>
      <c r="P2017">
        <v>-4.3270407512249497E-2</v>
      </c>
      <c r="Q2017">
        <v>9.3584401275321194E-2</v>
      </c>
      <c r="R2017">
        <v>0.96634861602865996</v>
      </c>
      <c r="S2017" t="s">
        <v>8419</v>
      </c>
      <c r="T2017" t="s">
        <v>12802</v>
      </c>
      <c r="U2017" t="s">
        <v>12802</v>
      </c>
      <c r="V2017" t="s">
        <v>12802</v>
      </c>
      <c r="W2017" t="s">
        <v>14778</v>
      </c>
      <c r="X2017">
        <v>11</v>
      </c>
      <c r="Y2017" t="s">
        <v>21069</v>
      </c>
      <c r="Z2017" t="s">
        <v>27335</v>
      </c>
      <c r="AA2017">
        <v>0.74028024065698839</v>
      </c>
      <c r="AB2017" t="str">
        <f>HYPERLINK("Melting_Curves/meltCurve_P07741_APRT.pdf", "Melting_Curves/meltCurve_P07741_APRT.pdf")</f>
        <v>Melting_Curves/meltCurve_P07741_APRT.pdf</v>
      </c>
    </row>
    <row r="2018" spans="1:28" x14ac:dyDescent="0.25">
      <c r="A2018" t="s">
        <v>2022</v>
      </c>
      <c r="B2018">
        <v>0.99542014353169495</v>
      </c>
      <c r="C2018">
        <v>0.80479860692694105</v>
      </c>
      <c r="D2018">
        <v>0.75702249611815298</v>
      </c>
      <c r="E2018">
        <v>0.27564379003053902</v>
      </c>
      <c r="F2018">
        <v>0.143708234222196</v>
      </c>
      <c r="G2018">
        <v>8.4007572729600494E-2</v>
      </c>
      <c r="H2018">
        <v>5.7788835010166503E-2</v>
      </c>
      <c r="I2018">
        <v>4.7103332933850203E-2</v>
      </c>
      <c r="J2018">
        <v>5.4646043940380598E-2</v>
      </c>
      <c r="K2018">
        <v>4.83470256124236E-2</v>
      </c>
      <c r="L2018">
        <v>866.92040749702198</v>
      </c>
      <c r="M2018">
        <v>19.491957882570802</v>
      </c>
      <c r="N2018">
        <v>44.6947716335387</v>
      </c>
      <c r="O2018">
        <v>44.015599677175302</v>
      </c>
      <c r="P2018">
        <v>-0.105672257642307</v>
      </c>
      <c r="Q2018">
        <v>4.5542550679509797E-2</v>
      </c>
      <c r="R2018">
        <v>0.98435369720959998</v>
      </c>
      <c r="S2018" t="s">
        <v>8420</v>
      </c>
      <c r="T2018" t="s">
        <v>12802</v>
      </c>
      <c r="U2018" t="s">
        <v>12802</v>
      </c>
      <c r="V2018" t="s">
        <v>12802</v>
      </c>
      <c r="W2018" t="s">
        <v>14779</v>
      </c>
      <c r="X2018">
        <v>67</v>
      </c>
      <c r="Y2018" t="s">
        <v>21070</v>
      </c>
      <c r="Z2018" t="s">
        <v>27336</v>
      </c>
      <c r="AA2018">
        <v>0.29674045495906171</v>
      </c>
      <c r="AB2018" t="str">
        <f>HYPERLINK("Melting_Curves/meltCurve_P07814_EPRS.pdf", "Melting_Curves/meltCurve_P07814_EPRS.pdf")</f>
        <v>Melting_Curves/meltCurve_P07814_EPRS.pdf</v>
      </c>
    </row>
    <row r="2019" spans="1:28" x14ac:dyDescent="0.25">
      <c r="A2019" t="s">
        <v>2023</v>
      </c>
      <c r="B2019">
        <v>0.99542014353169495</v>
      </c>
      <c r="C2019">
        <v>0.91293347915807699</v>
      </c>
      <c r="D2019">
        <v>0.99455286712454505</v>
      </c>
      <c r="E2019">
        <v>0.98173333573286503</v>
      </c>
      <c r="F2019">
        <v>0.78475747434074905</v>
      </c>
      <c r="G2019">
        <v>0.56971699902612705</v>
      </c>
      <c r="H2019">
        <v>0.29978430486535601</v>
      </c>
      <c r="I2019">
        <v>0.16484485875369601</v>
      </c>
      <c r="J2019">
        <v>0.20469100996702699</v>
      </c>
      <c r="K2019">
        <v>0.218313559915713</v>
      </c>
      <c r="L2019">
        <v>1156.26380424217</v>
      </c>
      <c r="M2019">
        <v>21.7540478862526</v>
      </c>
      <c r="N2019">
        <v>54.209978253844397</v>
      </c>
      <c r="O2019">
        <v>52.708624455235601</v>
      </c>
      <c r="P2019">
        <v>-8.5330569341150894E-2</v>
      </c>
      <c r="Q2019">
        <v>0.17301781122634899</v>
      </c>
      <c r="R2019">
        <v>0.98706976471165297</v>
      </c>
      <c r="S2019" t="s">
        <v>8421</v>
      </c>
      <c r="T2019" t="s">
        <v>12802</v>
      </c>
      <c r="U2019" t="s">
        <v>12802</v>
      </c>
      <c r="V2019" t="s">
        <v>12802</v>
      </c>
      <c r="W2019" t="s">
        <v>14780</v>
      </c>
      <c r="X2019">
        <v>9</v>
      </c>
      <c r="Y2019" t="s">
        <v>21071</v>
      </c>
      <c r="Z2019" t="s">
        <v>27337</v>
      </c>
      <c r="AA2019">
        <v>0.62740700148251571</v>
      </c>
      <c r="AB2019" t="str">
        <f>HYPERLINK("Melting_Curves/meltCurve_P07858_CTSB.pdf", "Melting_Curves/meltCurve_P07858_CTSB.pdf")</f>
        <v>Melting_Curves/meltCurve_P07858_CTSB.pdf</v>
      </c>
    </row>
    <row r="2020" spans="1:28" x14ac:dyDescent="0.25">
      <c r="A2020" t="s">
        <v>2024</v>
      </c>
      <c r="B2020">
        <v>0.99542014353169495</v>
      </c>
      <c r="C2020">
        <v>0.939418133116668</v>
      </c>
      <c r="D2020">
        <v>0.98628124955909202</v>
      </c>
      <c r="E2020">
        <v>0.90861126991503904</v>
      </c>
      <c r="F2020">
        <v>0.51481253320873999</v>
      </c>
      <c r="G2020">
        <v>9.1180482104476004E-2</v>
      </c>
      <c r="H2020">
        <v>5.3028492057207402E-2</v>
      </c>
      <c r="I2020">
        <v>3.4932171720787303E-2</v>
      </c>
      <c r="J2020">
        <v>3.7837822770470701E-2</v>
      </c>
      <c r="K2020">
        <v>4.0114148466396597E-2</v>
      </c>
      <c r="L2020">
        <v>1715.7108937129201</v>
      </c>
      <c r="M2020">
        <v>34.243052512892</v>
      </c>
      <c r="N2020">
        <v>50.204469488781598</v>
      </c>
      <c r="O2020">
        <v>49.933960753053498</v>
      </c>
      <c r="P2020">
        <v>-0.16575989763822199</v>
      </c>
      <c r="Q2020">
        <v>3.3145044943557397E-2</v>
      </c>
      <c r="R2020">
        <v>0.99711127006529299</v>
      </c>
      <c r="S2020" t="s">
        <v>8422</v>
      </c>
      <c r="T2020" t="s">
        <v>12802</v>
      </c>
      <c r="U2020" t="s">
        <v>12802</v>
      </c>
      <c r="V2020" t="s">
        <v>12802</v>
      </c>
      <c r="W2020" t="s">
        <v>14781</v>
      </c>
      <c r="X2020">
        <v>71</v>
      </c>
      <c r="Y2020" t="s">
        <v>21072</v>
      </c>
      <c r="Z2020" t="s">
        <v>27338</v>
      </c>
      <c r="AA2020">
        <v>0.46003364640998629</v>
      </c>
      <c r="AB2020" t="str">
        <f>HYPERLINK("Melting_Curves/meltCurve_P07900_HSP90AA1.pdf", "Melting_Curves/meltCurve_P07900_HSP90AA1.pdf")</f>
        <v>Melting_Curves/meltCurve_P07900_HSP90AA1.pdf</v>
      </c>
    </row>
    <row r="2021" spans="1:28" x14ac:dyDescent="0.25">
      <c r="A2021" t="s">
        <v>2025</v>
      </c>
      <c r="B2021">
        <v>0.99542014353169495</v>
      </c>
      <c r="C2021">
        <v>1.08024734470982</v>
      </c>
      <c r="D2021">
        <v>1.06259463972016</v>
      </c>
      <c r="E2021">
        <v>0.94419431457570202</v>
      </c>
      <c r="F2021">
        <v>0.717018884521744</v>
      </c>
      <c r="G2021">
        <v>0.47254864928905999</v>
      </c>
      <c r="H2021">
        <v>0.25671881434233401</v>
      </c>
      <c r="I2021">
        <v>0.114723167589452</v>
      </c>
      <c r="J2021">
        <v>0.120814790815814</v>
      </c>
      <c r="K2021">
        <v>5.1671570307154899E-2</v>
      </c>
      <c r="L2021">
        <v>964.20101135508503</v>
      </c>
      <c r="M2021">
        <v>18.188983331741898</v>
      </c>
      <c r="N2021">
        <v>53.339441323934103</v>
      </c>
      <c r="O2021">
        <v>52.381869660867999</v>
      </c>
      <c r="P2021">
        <v>-8.2203452678529895E-2</v>
      </c>
      <c r="Q2021">
        <v>5.3104485076655099E-2</v>
      </c>
      <c r="R2021">
        <v>0.99027050055973398</v>
      </c>
      <c r="S2021" t="s">
        <v>8423</v>
      </c>
      <c r="T2021" t="s">
        <v>12802</v>
      </c>
      <c r="U2021" t="s">
        <v>12802</v>
      </c>
      <c r="V2021" t="s">
        <v>12802</v>
      </c>
      <c r="W2021" t="s">
        <v>14782</v>
      </c>
      <c r="X2021">
        <v>4</v>
      </c>
      <c r="Y2021" t="s">
        <v>21073</v>
      </c>
      <c r="Z2021" t="s">
        <v>27339</v>
      </c>
      <c r="AA2021">
        <v>0.57201473833389815</v>
      </c>
      <c r="AB2021" t="str">
        <f>HYPERLINK("Melting_Curves/meltCurve_P07902_GALT.pdf", "Melting_Curves/meltCurve_P07902_GALT.pdf")</f>
        <v>Melting_Curves/meltCurve_P07902_GALT.pdf</v>
      </c>
    </row>
    <row r="2022" spans="1:28" x14ac:dyDescent="0.25">
      <c r="A2022" t="s">
        <v>2026</v>
      </c>
      <c r="B2022">
        <v>0.99542014353169495</v>
      </c>
      <c r="C2022">
        <v>1.0272571083819899</v>
      </c>
      <c r="D2022">
        <v>0.91309829467132397</v>
      </c>
      <c r="E2022">
        <v>0.80248908258252005</v>
      </c>
      <c r="F2022">
        <v>0.677379765523065</v>
      </c>
      <c r="G2022">
        <v>0.48727709759214299</v>
      </c>
      <c r="H2022">
        <v>0.41472082738640598</v>
      </c>
      <c r="I2022">
        <v>0.40460495606142999</v>
      </c>
      <c r="J2022">
        <v>0.66025775971782197</v>
      </c>
      <c r="K2022">
        <v>0.89834162884086199</v>
      </c>
      <c r="L2022">
        <v>1233.0771724174299</v>
      </c>
      <c r="M2022">
        <v>26.445727165790601</v>
      </c>
      <c r="O2022">
        <v>46.362545722476902</v>
      </c>
      <c r="P2022">
        <v>-6.01099214321461E-2</v>
      </c>
      <c r="Q2022">
        <v>0.57848479934351305</v>
      </c>
      <c r="R2022">
        <v>0.63234126413135805</v>
      </c>
      <c r="S2022" t="s">
        <v>8424</v>
      </c>
      <c r="T2022" t="s">
        <v>12802</v>
      </c>
      <c r="U2022" t="s">
        <v>12802</v>
      </c>
      <c r="V2022" t="s">
        <v>12802</v>
      </c>
      <c r="W2022" t="s">
        <v>14783</v>
      </c>
      <c r="X2022">
        <v>7</v>
      </c>
      <c r="Y2022" t="s">
        <v>21074</v>
      </c>
      <c r="Z2022" t="s">
        <v>27340</v>
      </c>
      <c r="AA2022">
        <v>0.71688700397671512</v>
      </c>
      <c r="AB2022" t="str">
        <f>HYPERLINK("Melting_Curves/meltCurve_P07919_UQCRH.pdf", "Melting_Curves/meltCurve_P07919_UQCRH.pdf")</f>
        <v>Melting_Curves/meltCurve_P07919_UQCRH.pdf</v>
      </c>
    </row>
    <row r="2023" spans="1:28" x14ac:dyDescent="0.25">
      <c r="A2023" t="s">
        <v>2027</v>
      </c>
      <c r="B2023">
        <v>0.99542014353169495</v>
      </c>
      <c r="C2023">
        <v>0.93887487899773703</v>
      </c>
      <c r="D2023">
        <v>0.93225490326225302</v>
      </c>
      <c r="E2023">
        <v>0.77707638268780699</v>
      </c>
      <c r="F2023">
        <v>0.41590074802468402</v>
      </c>
      <c r="G2023">
        <v>0.17465624807726601</v>
      </c>
      <c r="H2023">
        <v>8.2936212200031501E-2</v>
      </c>
      <c r="I2023">
        <v>5.6609956853148499E-2</v>
      </c>
      <c r="J2023">
        <v>6.0623606762963599E-2</v>
      </c>
      <c r="K2023">
        <v>6.2851979938786898E-2</v>
      </c>
      <c r="L2023">
        <v>1022.41311215649</v>
      </c>
      <c r="M2023">
        <v>20.828107483786301</v>
      </c>
      <c r="N2023">
        <v>49.323948963314201</v>
      </c>
      <c r="O2023">
        <v>48.642369110301203</v>
      </c>
      <c r="P2023">
        <v>-0.101977189895711</v>
      </c>
      <c r="Q2023">
        <v>4.7388616823081299E-2</v>
      </c>
      <c r="R2023">
        <v>0.997563472567362</v>
      </c>
      <c r="S2023" t="s">
        <v>8425</v>
      </c>
      <c r="T2023" t="s">
        <v>12802</v>
      </c>
      <c r="U2023" t="s">
        <v>12802</v>
      </c>
      <c r="V2023" t="s">
        <v>12802</v>
      </c>
      <c r="W2023" t="s">
        <v>14784</v>
      </c>
      <c r="X2023">
        <v>20</v>
      </c>
      <c r="Y2023" t="s">
        <v>21075</v>
      </c>
      <c r="Z2023" t="s">
        <v>27341</v>
      </c>
      <c r="AA2023">
        <v>0.44288489865122238</v>
      </c>
      <c r="AB2023" t="str">
        <f>HYPERLINK("Melting_Curves/meltCurve_P07948_2_LYN.pdf", "Melting_Curves/meltCurve_P07948_2_LYN.pdf")</f>
        <v>Melting_Curves/meltCurve_P07948_2_LYN.pdf</v>
      </c>
    </row>
    <row r="2024" spans="1:28" x14ac:dyDescent="0.25">
      <c r="A2024" t="s">
        <v>2028</v>
      </c>
      <c r="B2024">
        <v>0.99542014353169495</v>
      </c>
      <c r="C2024">
        <v>0.89857087365143995</v>
      </c>
      <c r="D2024">
        <v>0.94880709489734905</v>
      </c>
      <c r="E2024">
        <v>0.80696076696741204</v>
      </c>
      <c r="F2024">
        <v>0.70414459718531697</v>
      </c>
      <c r="G2024">
        <v>0.340087565126797</v>
      </c>
      <c r="H2024">
        <v>6.4237821131094205E-2</v>
      </c>
      <c r="I2024">
        <v>4.3310590738642601E-2</v>
      </c>
      <c r="J2024">
        <v>3.7680982447547397E-2</v>
      </c>
      <c r="K2024">
        <v>4.0821422181415802E-2</v>
      </c>
      <c r="L2024">
        <v>971.20027532501899</v>
      </c>
      <c r="M2024">
        <v>18.769944102422802</v>
      </c>
      <c r="N2024">
        <v>51.742286991956803</v>
      </c>
      <c r="O2024">
        <v>51.1657341850254</v>
      </c>
      <c r="P2024">
        <v>-9.1715343192802695E-2</v>
      </c>
      <c r="Q2024">
        <v>0</v>
      </c>
      <c r="R2024">
        <v>0.98277768306956603</v>
      </c>
      <c r="S2024" t="s">
        <v>8426</v>
      </c>
      <c r="T2024" t="s">
        <v>12802</v>
      </c>
      <c r="U2024" t="s">
        <v>12802</v>
      </c>
      <c r="V2024" t="s">
        <v>12802</v>
      </c>
      <c r="W2024" t="s">
        <v>14785</v>
      </c>
      <c r="X2024">
        <v>27</v>
      </c>
      <c r="Y2024" t="s">
        <v>21076</v>
      </c>
      <c r="Z2024" t="s">
        <v>27342</v>
      </c>
      <c r="AA2024">
        <v>0.50572725281382391</v>
      </c>
      <c r="AB2024" t="str">
        <f>HYPERLINK("Melting_Curves/meltCurve_P07954_2_FH.pdf", "Melting_Curves/meltCurve_P07954_2_FH.pdf")</f>
        <v>Melting_Curves/meltCurve_P07954_2_FH.pdf</v>
      </c>
    </row>
    <row r="2025" spans="1:28" x14ac:dyDescent="0.25">
      <c r="A2025" t="s">
        <v>2029</v>
      </c>
      <c r="B2025">
        <v>0.99542014353169495</v>
      </c>
      <c r="C2025">
        <v>0.96447209472025097</v>
      </c>
      <c r="D2025">
        <v>0.91821292131911403</v>
      </c>
      <c r="E2025">
        <v>0.64858403464487002</v>
      </c>
      <c r="F2025">
        <v>0.34450226140831403</v>
      </c>
      <c r="G2025">
        <v>0.16935049374318301</v>
      </c>
      <c r="H2025">
        <v>8.0377660773337703E-2</v>
      </c>
      <c r="I2025">
        <v>6.6681580873616197E-2</v>
      </c>
      <c r="J2025">
        <v>9.1925125122915299E-2</v>
      </c>
      <c r="K2025">
        <v>0.12509595603837001</v>
      </c>
      <c r="L2025">
        <v>966.77592688769698</v>
      </c>
      <c r="M2025">
        <v>20.234996315412499</v>
      </c>
      <c r="N2025">
        <v>48.1985473800462</v>
      </c>
      <c r="O2025">
        <v>47.318144379899003</v>
      </c>
      <c r="P2025">
        <v>-9.82498922924325E-2</v>
      </c>
      <c r="Q2025">
        <v>8.1026267032635699E-2</v>
      </c>
      <c r="R2025">
        <v>0.99725075805532903</v>
      </c>
      <c r="S2025" t="s">
        <v>8427</v>
      </c>
      <c r="T2025" t="s">
        <v>12802</v>
      </c>
      <c r="U2025" t="s">
        <v>12802</v>
      </c>
      <c r="V2025" t="s">
        <v>12802</v>
      </c>
      <c r="W2025" t="s">
        <v>14786</v>
      </c>
      <c r="X2025">
        <v>9</v>
      </c>
      <c r="Y2025" t="s">
        <v>21077</v>
      </c>
      <c r="Z2025" t="s">
        <v>27343</v>
      </c>
      <c r="AA2025">
        <v>0.42296322722813262</v>
      </c>
      <c r="AB2025" t="str">
        <f>HYPERLINK("Melting_Curves/meltCurve_P08047_SP1.pdf", "Melting_Curves/meltCurve_P08047_SP1.pdf")</f>
        <v>Melting_Curves/meltCurve_P08047_SP1.pdf</v>
      </c>
    </row>
    <row r="2026" spans="1:28" x14ac:dyDescent="0.25">
      <c r="A2026" t="s">
        <v>2030</v>
      </c>
      <c r="B2026">
        <v>0.99542014353169495</v>
      </c>
      <c r="C2026">
        <v>0.93335978243192996</v>
      </c>
      <c r="D2026">
        <v>0.92785534687787397</v>
      </c>
      <c r="E2026">
        <v>0.83533486470018703</v>
      </c>
      <c r="F2026">
        <v>0.68238507823462802</v>
      </c>
      <c r="G2026">
        <v>0.59856203031910704</v>
      </c>
      <c r="H2026">
        <v>0.33072068970455298</v>
      </c>
      <c r="I2026">
        <v>0.12979280987356101</v>
      </c>
      <c r="J2026">
        <v>4.5416850589292401E-2</v>
      </c>
      <c r="K2026">
        <v>4.7744995679392999E-2</v>
      </c>
      <c r="L2026">
        <v>702.85834087508999</v>
      </c>
      <c r="M2026">
        <v>13.057107278102301</v>
      </c>
      <c r="N2026">
        <v>53.829544288119301</v>
      </c>
      <c r="O2026">
        <v>52.613859760698602</v>
      </c>
      <c r="P2026">
        <v>-6.2052908944406897E-2</v>
      </c>
      <c r="Q2026">
        <v>0</v>
      </c>
      <c r="R2026">
        <v>0.98101555452762601</v>
      </c>
      <c r="S2026" t="s">
        <v>8428</v>
      </c>
      <c r="T2026" t="s">
        <v>12802</v>
      </c>
      <c r="U2026" t="s">
        <v>12802</v>
      </c>
      <c r="V2026" t="s">
        <v>12802</v>
      </c>
      <c r="W2026" t="s">
        <v>14787</v>
      </c>
      <c r="X2026">
        <v>54</v>
      </c>
      <c r="Y2026" t="s">
        <v>21078</v>
      </c>
      <c r="Z2026" t="s">
        <v>27344</v>
      </c>
      <c r="AA2026">
        <v>0.57894911774561231</v>
      </c>
      <c r="AB2026" t="str">
        <f>HYPERLINK("Melting_Curves/meltCurve_P08107_HSPA1A.pdf", "Melting_Curves/meltCurve_P08107_HSPA1A.pdf")</f>
        <v>Melting_Curves/meltCurve_P08107_HSPA1A.pdf</v>
      </c>
    </row>
    <row r="2027" spans="1:28" x14ac:dyDescent="0.25">
      <c r="A2027" t="s">
        <v>2031</v>
      </c>
      <c r="B2027">
        <v>0.99542014353169495</v>
      </c>
      <c r="C2027">
        <v>0.83395744362308599</v>
      </c>
      <c r="D2027">
        <v>0.78393166766213596</v>
      </c>
      <c r="E2027">
        <v>0.65124437430885096</v>
      </c>
      <c r="F2027">
        <v>0.54009120349811102</v>
      </c>
      <c r="G2027">
        <v>0.34026672202529201</v>
      </c>
      <c r="H2027">
        <v>0.18194225063070499</v>
      </c>
      <c r="I2027">
        <v>4.0581304257526499E-2</v>
      </c>
      <c r="J2027">
        <v>3.99642756771054E-2</v>
      </c>
      <c r="K2027">
        <v>4.8631870755590001E-2</v>
      </c>
      <c r="L2027">
        <v>508.98759704773403</v>
      </c>
      <c r="M2027">
        <v>10.292625485733</v>
      </c>
      <c r="N2027">
        <v>49.451670214904702</v>
      </c>
      <c r="O2027">
        <v>47.694072612770597</v>
      </c>
      <c r="P2027">
        <v>-5.3974770277528603E-2</v>
      </c>
      <c r="Q2027">
        <v>0</v>
      </c>
      <c r="R2027">
        <v>0.97713909015946898</v>
      </c>
      <c r="S2027" t="s">
        <v>8429</v>
      </c>
      <c r="T2027" t="s">
        <v>12802</v>
      </c>
      <c r="U2027" t="s">
        <v>12802</v>
      </c>
      <c r="V2027" t="s">
        <v>12802</v>
      </c>
      <c r="W2027" t="s">
        <v>14788</v>
      </c>
      <c r="X2027">
        <v>2</v>
      </c>
      <c r="Y2027" t="s">
        <v>21079</v>
      </c>
      <c r="Z2027" t="s">
        <v>27345</v>
      </c>
      <c r="AA2027">
        <v>0.44969359878866649</v>
      </c>
      <c r="AB2027" t="str">
        <f>HYPERLINK("Melting_Curves/meltCurve_P08123_COL1A2.pdf", "Melting_Curves/meltCurve_P08123_COL1A2.pdf")</f>
        <v>Melting_Curves/meltCurve_P08123_COL1A2.pdf</v>
      </c>
    </row>
    <row r="2028" spans="1:28" x14ac:dyDescent="0.25">
      <c r="A2028" t="s">
        <v>2032</v>
      </c>
      <c r="B2028">
        <v>0.99542014353169495</v>
      </c>
      <c r="C2028">
        <v>0.94959675414873801</v>
      </c>
      <c r="D2028">
        <v>1.0187234337666899</v>
      </c>
      <c r="E2028">
        <v>0.74359268629096498</v>
      </c>
      <c r="F2028">
        <v>0.27121715510954097</v>
      </c>
      <c r="G2028">
        <v>0.10920853767499</v>
      </c>
      <c r="H2028">
        <v>6.2410373734903601E-2</v>
      </c>
      <c r="I2028">
        <v>4.9382163342241603E-2</v>
      </c>
      <c r="J2028">
        <v>4.6964082665400003E-2</v>
      </c>
      <c r="K2028">
        <v>5.9229715714116497E-2</v>
      </c>
      <c r="L2028">
        <v>1459.0242624565601</v>
      </c>
      <c r="M2028">
        <v>30.2803871977063</v>
      </c>
      <c r="N2028">
        <v>48.371687672887703</v>
      </c>
      <c r="O2028">
        <v>47.975140759971403</v>
      </c>
      <c r="P2028">
        <v>-0.149038732887984</v>
      </c>
      <c r="Q2028">
        <v>5.5480260071682497E-2</v>
      </c>
      <c r="R2028">
        <v>0.99730495872164904</v>
      </c>
      <c r="S2028" t="s">
        <v>8430</v>
      </c>
      <c r="T2028" t="s">
        <v>12802</v>
      </c>
      <c r="U2028" t="s">
        <v>12802</v>
      </c>
      <c r="V2028" t="s">
        <v>12802</v>
      </c>
      <c r="W2028" t="s">
        <v>14789</v>
      </c>
      <c r="X2028">
        <v>13</v>
      </c>
      <c r="Y2028" t="s">
        <v>21080</v>
      </c>
      <c r="Z2028" t="s">
        <v>27346</v>
      </c>
      <c r="AA2028">
        <v>0.41310042274383202</v>
      </c>
      <c r="AB2028" t="str">
        <f>HYPERLINK("Melting_Curves/meltCurve_P08133_2_ANXA6.pdf", "Melting_Curves/meltCurve_P08133_2_ANXA6.pdf")</f>
        <v>Melting_Curves/meltCurve_P08133_2_ANXA6.pdf</v>
      </c>
    </row>
    <row r="2029" spans="1:28" x14ac:dyDescent="0.25">
      <c r="A2029" t="s">
        <v>2033</v>
      </c>
      <c r="B2029">
        <v>0.99542014353169495</v>
      </c>
      <c r="C2029">
        <v>0.97815357578519402</v>
      </c>
      <c r="D2029">
        <v>0.92859509122362704</v>
      </c>
      <c r="E2029">
        <v>0.83448503147212405</v>
      </c>
      <c r="F2029">
        <v>0.68810386757811703</v>
      </c>
      <c r="G2029">
        <v>0.62051615060399001</v>
      </c>
      <c r="H2029">
        <v>0.438605873535659</v>
      </c>
      <c r="I2029">
        <v>0.461930950542767</v>
      </c>
      <c r="J2029">
        <v>0.524589001286628</v>
      </c>
      <c r="K2029">
        <v>0.61881112983558595</v>
      </c>
      <c r="L2029">
        <v>863.51113070669703</v>
      </c>
      <c r="M2029">
        <v>17.877517408062001</v>
      </c>
      <c r="O2029">
        <v>47.709312188100299</v>
      </c>
      <c r="P2029">
        <v>-4.5804183949514E-2</v>
      </c>
      <c r="Q2029">
        <v>0.51107856245022099</v>
      </c>
      <c r="R2029">
        <v>0.93274734780715596</v>
      </c>
      <c r="S2029" t="s">
        <v>8431</v>
      </c>
      <c r="T2029" t="s">
        <v>12802</v>
      </c>
      <c r="U2029" t="s">
        <v>12802</v>
      </c>
      <c r="V2029" t="s">
        <v>12802</v>
      </c>
      <c r="W2029" t="s">
        <v>14790</v>
      </c>
      <c r="X2029">
        <v>20</v>
      </c>
      <c r="Y2029" t="s">
        <v>21081</v>
      </c>
      <c r="Z2029" t="s">
        <v>27347</v>
      </c>
      <c r="AA2029">
        <v>0.70316432541223806</v>
      </c>
      <c r="AB2029" t="str">
        <f>HYPERLINK("Melting_Curves/meltCurve_P08237_PFKM.pdf", "Melting_Curves/meltCurve_P08237_PFKM.pdf")</f>
        <v>Melting_Curves/meltCurve_P08237_PFKM.pdf</v>
      </c>
    </row>
    <row r="2030" spans="1:28" x14ac:dyDescent="0.25">
      <c r="A2030" t="s">
        <v>2034</v>
      </c>
      <c r="B2030">
        <v>0.99542014353169495</v>
      </c>
      <c r="C2030">
        <v>0.92614896910585298</v>
      </c>
      <c r="D2030">
        <v>0.95352372268861896</v>
      </c>
      <c r="E2030">
        <v>0.89504462272451402</v>
      </c>
      <c r="F2030">
        <v>0.50452022082685699</v>
      </c>
      <c r="G2030">
        <v>8.8348703029338893E-2</v>
      </c>
      <c r="H2030">
        <v>4.9835437792091902E-2</v>
      </c>
      <c r="I2030">
        <v>3.24446623630361E-2</v>
      </c>
      <c r="J2030">
        <v>3.5786379060750398E-2</v>
      </c>
      <c r="K2030">
        <v>3.7647632663436299E-2</v>
      </c>
      <c r="L2030">
        <v>1608.6930993692499</v>
      </c>
      <c r="M2030">
        <v>32.161467752897401</v>
      </c>
      <c r="N2030">
        <v>50.1113432816203</v>
      </c>
      <c r="O2030">
        <v>49.8270777692561</v>
      </c>
      <c r="P2030">
        <v>-0.156736419588731</v>
      </c>
      <c r="Q2030">
        <v>2.86912402411552E-2</v>
      </c>
      <c r="R2030">
        <v>0.99489847949052501</v>
      </c>
      <c r="S2030" t="s">
        <v>8432</v>
      </c>
      <c r="T2030" t="s">
        <v>12802</v>
      </c>
      <c r="U2030" t="s">
        <v>12802</v>
      </c>
      <c r="V2030" t="s">
        <v>12802</v>
      </c>
      <c r="W2030" t="s">
        <v>14791</v>
      </c>
      <c r="X2030">
        <v>80</v>
      </c>
      <c r="Y2030" t="s">
        <v>21082</v>
      </c>
      <c r="Z2030" t="s">
        <v>27348</v>
      </c>
      <c r="AA2030">
        <v>0.45540920923282191</v>
      </c>
      <c r="AB2030" t="str">
        <f>HYPERLINK("Melting_Curves/meltCurve_P08238_HSP90AB1.pdf", "Melting_Curves/meltCurve_P08238_HSP90AB1.pdf")</f>
        <v>Melting_Curves/meltCurve_P08238_HSP90AB1.pdf</v>
      </c>
    </row>
    <row r="2031" spans="1:28" x14ac:dyDescent="0.25">
      <c r="A2031" t="s">
        <v>2035</v>
      </c>
      <c r="B2031">
        <v>0.99542014353169495</v>
      </c>
      <c r="C2031">
        <v>0.99729395056915104</v>
      </c>
      <c r="D2031">
        <v>0.95005708624721597</v>
      </c>
      <c r="E2031">
        <v>0.854821301061508</v>
      </c>
      <c r="F2031">
        <v>0.49352048796179898</v>
      </c>
      <c r="G2031">
        <v>0.113059061378291</v>
      </c>
      <c r="H2031">
        <v>6.47401069983186E-2</v>
      </c>
      <c r="I2031">
        <v>4.2208336191223703E-2</v>
      </c>
      <c r="J2031">
        <v>4.2729442897293003E-2</v>
      </c>
      <c r="K2031">
        <v>4.2914793671386703E-2</v>
      </c>
      <c r="L2031">
        <v>1348.39653194268</v>
      </c>
      <c r="M2031">
        <v>27.059429147434901</v>
      </c>
      <c r="N2031">
        <v>49.959748565958797</v>
      </c>
      <c r="O2031">
        <v>49.561162159417698</v>
      </c>
      <c r="P2031">
        <v>-0.131897027767646</v>
      </c>
      <c r="Q2031">
        <v>3.3696421800253201E-2</v>
      </c>
      <c r="R2031">
        <v>0.99789749225703195</v>
      </c>
      <c r="S2031" t="s">
        <v>8433</v>
      </c>
      <c r="T2031" t="s">
        <v>12802</v>
      </c>
      <c r="U2031" t="s">
        <v>12802</v>
      </c>
      <c r="V2031" t="s">
        <v>12802</v>
      </c>
      <c r="W2031" t="s">
        <v>14792</v>
      </c>
      <c r="X2031">
        <v>28</v>
      </c>
      <c r="Y2031" t="s">
        <v>21083</v>
      </c>
      <c r="Z2031" t="s">
        <v>27349</v>
      </c>
      <c r="AA2031">
        <v>0.45422211994564887</v>
      </c>
      <c r="AB2031" t="str">
        <f>HYPERLINK("Melting_Curves/meltCurve_P08240_SRPR.pdf", "Melting_Curves/meltCurve_P08240_SRPR.pdf")</f>
        <v>Melting_Curves/meltCurve_P08240_SRPR.pdf</v>
      </c>
    </row>
    <row r="2032" spans="1:28" x14ac:dyDescent="0.25">
      <c r="A2032" t="s">
        <v>2036</v>
      </c>
      <c r="B2032">
        <v>0.99542014353169495</v>
      </c>
      <c r="C2032">
        <v>0.96518654223681499</v>
      </c>
      <c r="D2032">
        <v>0.92988413294859595</v>
      </c>
      <c r="E2032">
        <v>0.88262458051722603</v>
      </c>
      <c r="F2032">
        <v>0.71587081477413095</v>
      </c>
      <c r="G2032">
        <v>0.55475098474503004</v>
      </c>
      <c r="H2032">
        <v>0.16521559150876899</v>
      </c>
      <c r="I2032">
        <v>5.8164015371130098E-2</v>
      </c>
      <c r="J2032">
        <v>4.8393028956155902E-2</v>
      </c>
      <c r="K2032">
        <v>4.4771220329725199E-2</v>
      </c>
      <c r="L2032">
        <v>920.03234142552606</v>
      </c>
      <c r="M2032">
        <v>17.260299731523101</v>
      </c>
      <c r="N2032">
        <v>53.303381477018199</v>
      </c>
      <c r="O2032">
        <v>52.603316092637698</v>
      </c>
      <c r="P2032">
        <v>-8.20352486352178E-2</v>
      </c>
      <c r="Q2032">
        <v>0</v>
      </c>
      <c r="R2032">
        <v>0.98631521940526501</v>
      </c>
      <c r="S2032" t="s">
        <v>8434</v>
      </c>
      <c r="T2032" t="s">
        <v>12802</v>
      </c>
      <c r="U2032" t="s">
        <v>12802</v>
      </c>
      <c r="V2032" t="s">
        <v>12802</v>
      </c>
      <c r="W2032" t="s">
        <v>14793</v>
      </c>
      <c r="X2032">
        <v>39</v>
      </c>
      <c r="Y2032" t="s">
        <v>21084</v>
      </c>
      <c r="Z2032" t="s">
        <v>27350</v>
      </c>
      <c r="AA2032">
        <v>0.55850012284020778</v>
      </c>
      <c r="AB2032" t="str">
        <f>HYPERLINK("Melting_Curves/meltCurve_P08243_2_ASNS.pdf", "Melting_Curves/meltCurve_P08243_2_ASNS.pdf")</f>
        <v>Melting_Curves/meltCurve_P08243_2_ASNS.pdf</v>
      </c>
    </row>
    <row r="2033" spans="1:28" x14ac:dyDescent="0.25">
      <c r="A2033" t="s">
        <v>2037</v>
      </c>
      <c r="B2033">
        <v>0.99542014353169495</v>
      </c>
      <c r="C2033">
        <v>1.01284604851238</v>
      </c>
      <c r="D2033">
        <v>0.98129941054446901</v>
      </c>
      <c r="E2033">
        <v>0.93671499238029499</v>
      </c>
      <c r="F2033">
        <v>0.79348527120290202</v>
      </c>
      <c r="G2033">
        <v>0.62251222354901803</v>
      </c>
      <c r="H2033">
        <v>0.49369206041217001</v>
      </c>
      <c r="I2033">
        <v>0.46654576271875098</v>
      </c>
      <c r="J2033">
        <v>0.711909081839322</v>
      </c>
      <c r="K2033">
        <v>0.76365632063436395</v>
      </c>
      <c r="L2033">
        <v>1788.7379599538201</v>
      </c>
      <c r="M2033">
        <v>35.913011085879802</v>
      </c>
      <c r="O2033">
        <v>49.653859988647703</v>
      </c>
      <c r="P2033">
        <v>-7.0964622786486298E-2</v>
      </c>
      <c r="Q2033">
        <v>0.60753446435136504</v>
      </c>
      <c r="R2033">
        <v>0.81116011618892803</v>
      </c>
      <c r="S2033" t="s">
        <v>8435</v>
      </c>
      <c r="T2033" t="s">
        <v>12802</v>
      </c>
      <c r="U2033" t="s">
        <v>12802</v>
      </c>
      <c r="V2033" t="s">
        <v>12802</v>
      </c>
      <c r="W2033" t="s">
        <v>14794</v>
      </c>
      <c r="X2033">
        <v>21</v>
      </c>
      <c r="Y2033" t="s">
        <v>21085</v>
      </c>
      <c r="Z2033" t="s">
        <v>27351</v>
      </c>
      <c r="AA2033">
        <v>0.77676160845166498</v>
      </c>
      <c r="AB2033" t="str">
        <f>HYPERLINK("Melting_Curves/meltCurve_P08397_2_HMBS.pdf", "Melting_Curves/meltCurve_P08397_2_HMBS.pdf")</f>
        <v>Melting_Curves/meltCurve_P08397_2_HMBS.pdf</v>
      </c>
    </row>
    <row r="2034" spans="1:28" x14ac:dyDescent="0.25">
      <c r="A2034" t="s">
        <v>2038</v>
      </c>
      <c r="B2034">
        <v>0.99542014353169495</v>
      </c>
      <c r="C2034">
        <v>0.92353706959178306</v>
      </c>
      <c r="D2034">
        <v>0.934107898232717</v>
      </c>
      <c r="E2034">
        <v>0.90494537190322399</v>
      </c>
      <c r="F2034">
        <v>0.40986052515139498</v>
      </c>
      <c r="G2034">
        <v>0.13266829079008</v>
      </c>
      <c r="H2034">
        <v>5.84612757354811E-2</v>
      </c>
      <c r="I2034">
        <v>3.9749020351855097E-2</v>
      </c>
      <c r="J2034">
        <v>4.6157006501145202E-2</v>
      </c>
      <c r="K2034">
        <v>3.8556524281854E-2</v>
      </c>
      <c r="L2034">
        <v>1568.6603112406899</v>
      </c>
      <c r="M2034">
        <v>31.675692631870199</v>
      </c>
      <c r="N2034">
        <v>49.668506644064003</v>
      </c>
      <c r="O2034">
        <v>49.326398829441104</v>
      </c>
      <c r="P2034">
        <v>-0.15340634285048199</v>
      </c>
      <c r="Q2034">
        <v>4.4448011683201297E-2</v>
      </c>
      <c r="R2034">
        <v>0.994123306837007</v>
      </c>
      <c r="S2034" t="s">
        <v>8436</v>
      </c>
      <c r="T2034" t="s">
        <v>12802</v>
      </c>
      <c r="U2034" t="s">
        <v>12802</v>
      </c>
      <c r="V2034" t="s">
        <v>12802</v>
      </c>
      <c r="W2034" t="s">
        <v>14795</v>
      </c>
      <c r="X2034">
        <v>10</v>
      </c>
      <c r="Y2034" t="s">
        <v>21086</v>
      </c>
      <c r="Z2034" t="s">
        <v>27352</v>
      </c>
      <c r="AA2034">
        <v>0.44853254599717651</v>
      </c>
      <c r="AB2034" t="str">
        <f>HYPERLINK("Melting_Curves/meltCurve_P08559_3_PDHA1.pdf", "Melting_Curves/meltCurve_P08559_3_PDHA1.pdf")</f>
        <v>Melting_Curves/meltCurve_P08559_3_PDHA1.pdf</v>
      </c>
    </row>
    <row r="2035" spans="1:28" x14ac:dyDescent="0.25">
      <c r="A2035" t="s">
        <v>2039</v>
      </c>
      <c r="B2035">
        <v>0.99542014353169495</v>
      </c>
      <c r="C2035">
        <v>0.97726100783667202</v>
      </c>
      <c r="D2035">
        <v>0.79624918934014999</v>
      </c>
      <c r="E2035">
        <v>0.73938329622250898</v>
      </c>
      <c r="F2035">
        <v>0.62375082298508799</v>
      </c>
      <c r="G2035">
        <v>0.308251847391529</v>
      </c>
      <c r="H2035">
        <v>0.18899172149905799</v>
      </c>
      <c r="I2035">
        <v>0.10204254491679</v>
      </c>
      <c r="J2035">
        <v>8.42405431939902E-2</v>
      </c>
      <c r="K2035">
        <v>8.2356979083134302E-2</v>
      </c>
      <c r="L2035">
        <v>581.95182105402296</v>
      </c>
      <c r="M2035">
        <v>11.4530309935005</v>
      </c>
      <c r="N2035">
        <v>50.812035153462801</v>
      </c>
      <c r="O2035">
        <v>49.336968183945999</v>
      </c>
      <c r="P2035">
        <v>-5.8051490570613401E-2</v>
      </c>
      <c r="Q2035">
        <v>0</v>
      </c>
      <c r="R2035">
        <v>0.984148044821754</v>
      </c>
      <c r="S2035" t="s">
        <v>8437</v>
      </c>
      <c r="T2035" t="s">
        <v>12802</v>
      </c>
      <c r="U2035" t="s">
        <v>12802</v>
      </c>
      <c r="V2035" t="s">
        <v>12802</v>
      </c>
      <c r="W2035" t="s">
        <v>14796</v>
      </c>
      <c r="X2035">
        <v>8</v>
      </c>
      <c r="Y2035" t="s">
        <v>21087</v>
      </c>
      <c r="Z2035" t="s">
        <v>27353</v>
      </c>
      <c r="AA2035">
        <v>0.48808054029367742</v>
      </c>
      <c r="AB2035" t="str">
        <f>HYPERLINK("Melting_Curves/meltCurve_P08574_CYC1.pdf", "Melting_Curves/meltCurve_P08574_CYC1.pdf")</f>
        <v>Melting_Curves/meltCurve_P08574_CYC1.pdf</v>
      </c>
    </row>
    <row r="2036" spans="1:28" x14ac:dyDescent="0.25">
      <c r="A2036" t="s">
        <v>2040</v>
      </c>
      <c r="B2036">
        <v>0.99542014353169495</v>
      </c>
      <c r="C2036">
        <v>0.98700848075859104</v>
      </c>
      <c r="D2036">
        <v>0.94974400229364897</v>
      </c>
      <c r="E2036">
        <v>0.62697224011145003</v>
      </c>
      <c r="F2036">
        <v>0.48539177534953198</v>
      </c>
      <c r="G2036">
        <v>0.30828563756583399</v>
      </c>
      <c r="H2036">
        <v>0.225630059221192</v>
      </c>
      <c r="I2036">
        <v>0.13810530897738199</v>
      </c>
      <c r="J2036">
        <v>0.20109596873923999</v>
      </c>
      <c r="K2036">
        <v>0.20443262844337601</v>
      </c>
      <c r="L2036">
        <v>794.14473886778103</v>
      </c>
      <c r="M2036">
        <v>16.521444577581999</v>
      </c>
      <c r="N2036">
        <v>49.337998433833597</v>
      </c>
      <c r="O2036">
        <v>47.379854181237</v>
      </c>
      <c r="P2036">
        <v>-7.2076476284747504E-2</v>
      </c>
      <c r="Q2036">
        <v>0.173259536603138</v>
      </c>
      <c r="R2036">
        <v>0.98825684699842598</v>
      </c>
      <c r="S2036" t="s">
        <v>8438</v>
      </c>
      <c r="T2036" t="s">
        <v>12802</v>
      </c>
      <c r="U2036" t="s">
        <v>12802</v>
      </c>
      <c r="V2036" t="s">
        <v>12802</v>
      </c>
      <c r="W2036" t="s">
        <v>14797</v>
      </c>
      <c r="X2036">
        <v>4</v>
      </c>
      <c r="Y2036" t="s">
        <v>21088</v>
      </c>
      <c r="Z2036" t="s">
        <v>27354</v>
      </c>
      <c r="AA2036">
        <v>0.49366003134949848</v>
      </c>
      <c r="AB2036" t="str">
        <f>HYPERLINK("Melting_Curves/meltCurve_P08579_SNRPB2.pdf", "Melting_Curves/meltCurve_P08579_SNRPB2.pdf")</f>
        <v>Melting_Curves/meltCurve_P08579_SNRPB2.pdf</v>
      </c>
    </row>
    <row r="2037" spans="1:28" x14ac:dyDescent="0.25">
      <c r="A2037" t="s">
        <v>2041</v>
      </c>
      <c r="B2037">
        <v>0.99542014353169495</v>
      </c>
      <c r="C2037">
        <v>0.90394119443680798</v>
      </c>
      <c r="D2037">
        <v>0.94022989839455196</v>
      </c>
      <c r="E2037">
        <v>0.72076916984913997</v>
      </c>
      <c r="F2037">
        <v>0.46771245573529902</v>
      </c>
      <c r="G2037">
        <v>0.242224572274644</v>
      </c>
      <c r="H2037">
        <v>0.167738009146116</v>
      </c>
      <c r="I2037">
        <v>0.11981596820632399</v>
      </c>
      <c r="J2037">
        <v>0.11773954589188899</v>
      </c>
      <c r="K2037">
        <v>0.10583031995829099</v>
      </c>
      <c r="L2037">
        <v>804.28976823405799</v>
      </c>
      <c r="M2037">
        <v>16.4262886097329</v>
      </c>
      <c r="N2037">
        <v>49.572221337361</v>
      </c>
      <c r="O2037">
        <v>48.255148905702299</v>
      </c>
      <c r="P2037">
        <v>-7.7335065885978396E-2</v>
      </c>
      <c r="Q2037">
        <v>9.1322146348150404E-2</v>
      </c>
      <c r="R2037">
        <v>0.99463016677015903</v>
      </c>
      <c r="S2037" t="s">
        <v>8439</v>
      </c>
      <c r="T2037" t="s">
        <v>12802</v>
      </c>
      <c r="U2037" t="s">
        <v>12802</v>
      </c>
      <c r="V2037" t="s">
        <v>12802</v>
      </c>
      <c r="W2037" t="s">
        <v>14798</v>
      </c>
      <c r="X2037">
        <v>2</v>
      </c>
      <c r="Y2037" t="s">
        <v>21089</v>
      </c>
      <c r="Z2037" t="s">
        <v>27355</v>
      </c>
      <c r="AA2037">
        <v>0.47058019963123537</v>
      </c>
      <c r="AB2037" t="str">
        <f>HYPERLINK("Melting_Curves/meltCurve_P08590_MYL3.pdf", "Melting_Curves/meltCurve_P08590_MYL3.pdf")</f>
        <v>Melting_Curves/meltCurve_P08590_MYL3.pdf</v>
      </c>
    </row>
    <row r="2038" spans="1:28" x14ac:dyDescent="0.25">
      <c r="A2038" t="s">
        <v>2042</v>
      </c>
      <c r="B2038">
        <v>0.99542014353169495</v>
      </c>
      <c r="C2038">
        <v>0.95430940640723905</v>
      </c>
      <c r="D2038">
        <v>0.90334175689510099</v>
      </c>
      <c r="E2038">
        <v>0.68676806947300695</v>
      </c>
      <c r="F2038">
        <v>0.48253492582091201</v>
      </c>
      <c r="G2038">
        <v>0.25767025130657301</v>
      </c>
      <c r="H2038">
        <v>0.16114330234341101</v>
      </c>
      <c r="I2038">
        <v>9.2183983136268993E-2</v>
      </c>
      <c r="J2038">
        <v>8.3576177066481697E-2</v>
      </c>
      <c r="K2038">
        <v>8.4625932417904601E-2</v>
      </c>
      <c r="L2038">
        <v>696.83400105542103</v>
      </c>
      <c r="M2038">
        <v>14.154117389067499</v>
      </c>
      <c r="N2038">
        <v>49.592046160415101</v>
      </c>
      <c r="O2038">
        <v>48.280428537923001</v>
      </c>
      <c r="P2038">
        <v>-6.9720294872348501E-2</v>
      </c>
      <c r="Q2038">
        <v>4.8842446957347699E-2</v>
      </c>
      <c r="R2038">
        <v>0.99872921095687806</v>
      </c>
      <c r="S2038" t="s">
        <v>8440</v>
      </c>
      <c r="T2038" t="s">
        <v>12802</v>
      </c>
      <c r="U2038" t="s">
        <v>12802</v>
      </c>
      <c r="V2038" t="s">
        <v>12802</v>
      </c>
      <c r="W2038" t="s">
        <v>14799</v>
      </c>
      <c r="X2038">
        <v>7</v>
      </c>
      <c r="Y2038" t="s">
        <v>21090</v>
      </c>
      <c r="Z2038" t="s">
        <v>27356</v>
      </c>
      <c r="AA2038">
        <v>0.45885841396409172</v>
      </c>
      <c r="AB2038" t="str">
        <f>HYPERLINK("Melting_Curves/meltCurve_P08603_CFH.pdf", "Melting_Curves/meltCurve_P08603_CFH.pdf")</f>
        <v>Melting_Curves/meltCurve_P08603_CFH.pdf</v>
      </c>
    </row>
    <row r="2039" spans="1:28" x14ac:dyDescent="0.25">
      <c r="A2039" t="s">
        <v>2043</v>
      </c>
      <c r="B2039">
        <v>0.99542014353169495</v>
      </c>
      <c r="C2039">
        <v>0.91149053415480497</v>
      </c>
      <c r="D2039">
        <v>0.983678985068699</v>
      </c>
      <c r="E2039">
        <v>0.69957432955986998</v>
      </c>
      <c r="F2039">
        <v>0.463137368944532</v>
      </c>
      <c r="G2039">
        <v>0.15188785598339699</v>
      </c>
      <c r="H2039">
        <v>8.1255846499072096E-2</v>
      </c>
      <c r="I2039">
        <v>5.5396579015316097E-2</v>
      </c>
      <c r="J2039">
        <v>5.8422356905298997E-2</v>
      </c>
      <c r="K2039">
        <v>0.12977827248194199</v>
      </c>
      <c r="L2039">
        <v>975.821792614949</v>
      </c>
      <c r="M2039">
        <v>19.970644045697501</v>
      </c>
      <c r="N2039">
        <v>49.181136462483799</v>
      </c>
      <c r="O2039">
        <v>48.380780171560602</v>
      </c>
      <c r="P2039">
        <v>-9.6941881008577604E-2</v>
      </c>
      <c r="Q2039">
        <v>6.0627100751951102E-2</v>
      </c>
      <c r="R2039">
        <v>0.98691168524217598</v>
      </c>
      <c r="S2039" t="s">
        <v>8441</v>
      </c>
      <c r="T2039" t="s">
        <v>12802</v>
      </c>
      <c r="U2039" t="s">
        <v>12802</v>
      </c>
      <c r="V2039" t="s">
        <v>12802</v>
      </c>
      <c r="W2039" t="s">
        <v>14800</v>
      </c>
      <c r="X2039">
        <v>19</v>
      </c>
      <c r="Y2039" t="s">
        <v>21091</v>
      </c>
      <c r="Z2039" t="s">
        <v>27357</v>
      </c>
      <c r="AA2039">
        <v>0.44448682203465312</v>
      </c>
      <c r="AB2039" t="str">
        <f>HYPERLINK("Melting_Curves/meltCurve_P08621_SNRNP70.pdf", "Melting_Curves/meltCurve_P08621_SNRNP70.pdf")</f>
        <v>Melting_Curves/meltCurve_P08621_SNRNP70.pdf</v>
      </c>
    </row>
    <row r="2040" spans="1:28" x14ac:dyDescent="0.25">
      <c r="A2040" t="s">
        <v>2044</v>
      </c>
      <c r="B2040">
        <v>0.99542014353169495</v>
      </c>
      <c r="C2040">
        <v>0.91966126443268903</v>
      </c>
      <c r="D2040">
        <v>0.950473118532285</v>
      </c>
      <c r="E2040">
        <v>0.83304173771516798</v>
      </c>
      <c r="F2040">
        <v>0.77400925986644298</v>
      </c>
      <c r="G2040">
        <v>0.47904732604073802</v>
      </c>
      <c r="H2040">
        <v>0.32389139054381499</v>
      </c>
      <c r="I2040">
        <v>0.22873649348096101</v>
      </c>
      <c r="J2040">
        <v>0.27523835525357898</v>
      </c>
      <c r="K2040">
        <v>0.28262882550316798</v>
      </c>
      <c r="L2040">
        <v>863.39976096978205</v>
      </c>
      <c r="M2040">
        <v>16.705557708738599</v>
      </c>
      <c r="N2040">
        <v>53.602416068466297</v>
      </c>
      <c r="O2040">
        <v>50.959827494315398</v>
      </c>
      <c r="P2040">
        <v>-6.3513393760285503E-2</v>
      </c>
      <c r="Q2040">
        <v>0.225068105859597</v>
      </c>
      <c r="R2040">
        <v>0.97797935097751998</v>
      </c>
      <c r="S2040" t="s">
        <v>8442</v>
      </c>
      <c r="T2040" t="s">
        <v>12802</v>
      </c>
      <c r="U2040" t="s">
        <v>12802</v>
      </c>
      <c r="V2040" t="s">
        <v>12802</v>
      </c>
      <c r="W2040" t="s">
        <v>14801</v>
      </c>
      <c r="X2040">
        <v>13</v>
      </c>
      <c r="Y2040" t="s">
        <v>21092</v>
      </c>
      <c r="Z2040" t="s">
        <v>27358</v>
      </c>
      <c r="AA2040">
        <v>0.61750016885350545</v>
      </c>
      <c r="AB2040" t="str">
        <f>HYPERLINK("Melting_Curves/meltCurve_P08648_ITGA5.pdf", "Melting_Curves/meltCurve_P08648_ITGA5.pdf")</f>
        <v>Melting_Curves/meltCurve_P08648_ITGA5.pdf</v>
      </c>
    </row>
    <row r="2041" spans="1:28" x14ac:dyDescent="0.25">
      <c r="A2041" t="s">
        <v>2045</v>
      </c>
      <c r="B2041">
        <v>0.99542014353169495</v>
      </c>
      <c r="C2041">
        <v>1.0493616065512901</v>
      </c>
      <c r="D2041">
        <v>0.98982759123211195</v>
      </c>
      <c r="E2041">
        <v>0.81898598691670299</v>
      </c>
      <c r="F2041">
        <v>0.597016602419849</v>
      </c>
      <c r="G2041">
        <v>0.44336089118842198</v>
      </c>
      <c r="H2041">
        <v>0.30244433481934802</v>
      </c>
      <c r="I2041">
        <v>0.19274104999855499</v>
      </c>
      <c r="J2041">
        <v>0.22055202055597101</v>
      </c>
      <c r="K2041">
        <v>0.29527014592332501</v>
      </c>
      <c r="L2041">
        <v>887.42670795098002</v>
      </c>
      <c r="M2041">
        <v>17.6939400770693</v>
      </c>
      <c r="N2041">
        <v>51.913657761205599</v>
      </c>
      <c r="O2041">
        <v>49.526796297757699</v>
      </c>
      <c r="P2041">
        <v>-6.9178074773710602E-2</v>
      </c>
      <c r="Q2041">
        <v>0.22550033658280699</v>
      </c>
      <c r="R2041">
        <v>0.98642664359445098</v>
      </c>
      <c r="S2041" t="s">
        <v>8443</v>
      </c>
      <c r="T2041" t="s">
        <v>12802</v>
      </c>
      <c r="U2041" t="s">
        <v>12802</v>
      </c>
      <c r="V2041" t="s">
        <v>12802</v>
      </c>
      <c r="W2041" t="s">
        <v>14802</v>
      </c>
      <c r="X2041">
        <v>5</v>
      </c>
      <c r="Y2041" t="s">
        <v>21093</v>
      </c>
      <c r="Z2041" t="s">
        <v>27359</v>
      </c>
      <c r="AA2041">
        <v>0.57762252717273777</v>
      </c>
      <c r="AB2041" t="str">
        <f>HYPERLINK("Melting_Curves/meltCurve_P08651_4_NFIC.pdf", "Melting_Curves/meltCurve_P08651_4_NFIC.pdf")</f>
        <v>Melting_Curves/meltCurve_P08651_4_NFIC.pdf</v>
      </c>
    </row>
    <row r="2042" spans="1:28" x14ac:dyDescent="0.25">
      <c r="A2042" t="s">
        <v>2046</v>
      </c>
      <c r="B2042">
        <v>0.99542014353169495</v>
      </c>
      <c r="C2042">
        <v>0.96867457253045397</v>
      </c>
      <c r="D2042">
        <v>0.80949499852922102</v>
      </c>
      <c r="E2042">
        <v>0.68206452550190599</v>
      </c>
      <c r="F2042">
        <v>0.988692048763261</v>
      </c>
      <c r="G2042">
        <v>0.34371820110029899</v>
      </c>
      <c r="H2042">
        <v>0.185950372247948</v>
      </c>
      <c r="I2042">
        <v>0.124250125520713</v>
      </c>
      <c r="J2042">
        <v>0.16111674234894499</v>
      </c>
      <c r="K2042">
        <v>0.18091572648241899</v>
      </c>
      <c r="L2042">
        <v>3931.3512808712899</v>
      </c>
      <c r="M2042">
        <v>74.354181176936507</v>
      </c>
      <c r="N2042">
        <v>53.153886207259902</v>
      </c>
      <c r="O2042">
        <v>52.835095463964301</v>
      </c>
      <c r="P2042">
        <v>-0.29471645485241599</v>
      </c>
      <c r="Q2042">
        <v>0.16231371318807999</v>
      </c>
      <c r="R2042">
        <v>0.89135592139844799</v>
      </c>
      <c r="S2042" t="s">
        <v>8444</v>
      </c>
      <c r="T2042" t="s">
        <v>12802</v>
      </c>
      <c r="U2042" t="s">
        <v>12802</v>
      </c>
      <c r="V2042" t="s">
        <v>12802</v>
      </c>
      <c r="W2042" t="s">
        <v>14803</v>
      </c>
      <c r="X2042">
        <v>36</v>
      </c>
      <c r="Y2042" t="s">
        <v>21094</v>
      </c>
      <c r="Z2042" t="s">
        <v>27360</v>
      </c>
      <c r="AA2042">
        <v>0.60642278579813447</v>
      </c>
      <c r="AB2042" t="str">
        <f>HYPERLINK("Melting_Curves/meltCurve_P08670_VIM.pdf", "Melting_Curves/meltCurve_P08670_VIM.pdf")</f>
        <v>Melting_Curves/meltCurve_P08670_VIM.pdf</v>
      </c>
    </row>
    <row r="2043" spans="1:28" x14ac:dyDescent="0.25">
      <c r="A2043" t="s">
        <v>2047</v>
      </c>
      <c r="B2043">
        <v>0.99542014353169495</v>
      </c>
      <c r="C2043">
        <v>0.93033566843177995</v>
      </c>
      <c r="D2043">
        <v>0.93948162620203202</v>
      </c>
      <c r="E2043">
        <v>0.86109644474811597</v>
      </c>
      <c r="F2043">
        <v>0.72649298703564602</v>
      </c>
      <c r="G2043">
        <v>0.47118998905807002</v>
      </c>
      <c r="H2043">
        <v>7.9667179643787306E-2</v>
      </c>
      <c r="I2043">
        <v>4.7161293738752802E-2</v>
      </c>
      <c r="J2043">
        <v>4.1532871112061297E-2</v>
      </c>
      <c r="K2043">
        <v>4.1348467755767601E-2</v>
      </c>
      <c r="L2043">
        <v>1016.50428348957</v>
      </c>
      <c r="M2043">
        <v>19.3005247981813</v>
      </c>
      <c r="N2043">
        <v>52.667172789357402</v>
      </c>
      <c r="O2043">
        <v>52.111562029314101</v>
      </c>
      <c r="P2043">
        <v>-9.2595803055971995E-2</v>
      </c>
      <c r="Q2043">
        <v>0</v>
      </c>
      <c r="R2043">
        <v>0.98429250084903297</v>
      </c>
      <c r="S2043" t="s">
        <v>8445</v>
      </c>
      <c r="T2043" t="s">
        <v>12802</v>
      </c>
      <c r="U2043" t="s">
        <v>12802</v>
      </c>
      <c r="V2043" t="s">
        <v>12802</v>
      </c>
      <c r="W2043" t="s">
        <v>14804</v>
      </c>
      <c r="X2043">
        <v>16</v>
      </c>
      <c r="Y2043" t="s">
        <v>21095</v>
      </c>
      <c r="Z2043" t="s">
        <v>27361</v>
      </c>
      <c r="AA2043">
        <v>0.5356390475821412</v>
      </c>
      <c r="AB2043" t="str">
        <f>HYPERLINK("Melting_Curves/meltCurve_P08754_GNAI3.pdf", "Melting_Curves/meltCurve_P08754_GNAI3.pdf")</f>
        <v>Melting_Curves/meltCurve_P08754_GNAI3.pdf</v>
      </c>
    </row>
    <row r="2044" spans="1:28" x14ac:dyDescent="0.25">
      <c r="A2044" t="s">
        <v>2048</v>
      </c>
      <c r="B2044">
        <v>0.99542014353169495</v>
      </c>
      <c r="C2044">
        <v>1.04308348709597</v>
      </c>
      <c r="D2044">
        <v>0.90043558258633305</v>
      </c>
      <c r="E2044">
        <v>0.83561220105893497</v>
      </c>
      <c r="F2044">
        <v>0.283592063139536</v>
      </c>
      <c r="G2044">
        <v>0.11346313291178201</v>
      </c>
      <c r="H2044">
        <v>6.1153178266237403E-2</v>
      </c>
      <c r="I2044">
        <v>4.26339612217091E-2</v>
      </c>
      <c r="J2044">
        <v>3.7657522808925002E-2</v>
      </c>
      <c r="K2044">
        <v>4.2651242743777497E-2</v>
      </c>
      <c r="L2044">
        <v>1581.11964990861</v>
      </c>
      <c r="M2044">
        <v>32.513806614630703</v>
      </c>
      <c r="N2044">
        <v>48.779649731922802</v>
      </c>
      <c r="O2044">
        <v>48.4463058800754</v>
      </c>
      <c r="P2044">
        <v>-0.15977810978654899</v>
      </c>
      <c r="Q2044">
        <v>4.7712119295183202E-2</v>
      </c>
      <c r="R2044">
        <v>0.99385183560073798</v>
      </c>
      <c r="S2044" t="s">
        <v>8446</v>
      </c>
      <c r="T2044" t="s">
        <v>12802</v>
      </c>
      <c r="U2044" t="s">
        <v>12802</v>
      </c>
      <c r="V2044" t="s">
        <v>12802</v>
      </c>
      <c r="W2044" t="s">
        <v>14805</v>
      </c>
      <c r="X2044">
        <v>24</v>
      </c>
      <c r="Y2044" t="s">
        <v>21096</v>
      </c>
      <c r="Z2044" t="s">
        <v>27362</v>
      </c>
      <c r="AA2044">
        <v>0.4217124941295825</v>
      </c>
      <c r="AB2044" t="str">
        <f>HYPERLINK("Melting_Curves/meltCurve_P08758_ANXA5.pdf", "Melting_Curves/meltCurve_P08758_ANXA5.pdf")</f>
        <v>Melting_Curves/meltCurve_P08758_ANXA5.pdf</v>
      </c>
    </row>
    <row r="2045" spans="1:28" x14ac:dyDescent="0.25">
      <c r="A2045" t="s">
        <v>2049</v>
      </c>
      <c r="B2045">
        <v>0.99542014353169495</v>
      </c>
      <c r="C2045">
        <v>0.92342592236336296</v>
      </c>
      <c r="D2045">
        <v>0.97216317464672397</v>
      </c>
      <c r="E2045">
        <v>0.74748036857018996</v>
      </c>
      <c r="F2045">
        <v>0.59256975782634402</v>
      </c>
      <c r="G2045">
        <v>0.37050851196484602</v>
      </c>
      <c r="H2045">
        <v>0.240732749413893</v>
      </c>
      <c r="I2045">
        <v>0.13383619885290299</v>
      </c>
      <c r="J2045">
        <v>0.13102691861021201</v>
      </c>
      <c r="K2045">
        <v>9.4983694229933593E-2</v>
      </c>
      <c r="L2045">
        <v>650.78781692768098</v>
      </c>
      <c r="M2045">
        <v>12.757362037522901</v>
      </c>
      <c r="N2045">
        <v>51.446871739095798</v>
      </c>
      <c r="O2045">
        <v>49.8080037795606</v>
      </c>
      <c r="P2045">
        <v>-6.07765858748796E-2</v>
      </c>
      <c r="Q2045">
        <v>5.1030955106134299E-2</v>
      </c>
      <c r="R2045">
        <v>0.99388020817472</v>
      </c>
      <c r="S2045" t="s">
        <v>8447</v>
      </c>
      <c r="T2045" t="s">
        <v>12802</v>
      </c>
      <c r="U2045" t="s">
        <v>12802</v>
      </c>
      <c r="V2045" t="s">
        <v>12802</v>
      </c>
      <c r="W2045" t="s">
        <v>14806</v>
      </c>
      <c r="X2045">
        <v>6</v>
      </c>
      <c r="Y2045" t="s">
        <v>21097</v>
      </c>
      <c r="Z2045" t="s">
        <v>27363</v>
      </c>
      <c r="AA2045">
        <v>0.51745104120699503</v>
      </c>
      <c r="AB2045" t="str">
        <f>HYPERLINK("Melting_Curves/meltCurve_P09012_SNRPA.pdf", "Melting_Curves/meltCurve_P09012_SNRPA.pdf")</f>
        <v>Melting_Curves/meltCurve_P09012_SNRPA.pdf</v>
      </c>
    </row>
    <row r="2046" spans="1:28" x14ac:dyDescent="0.25">
      <c r="A2046" t="s">
        <v>2050</v>
      </c>
      <c r="B2046">
        <v>0.99542014353169495</v>
      </c>
      <c r="C2046">
        <v>1.2527660128093101</v>
      </c>
      <c r="D2046">
        <v>1.1133855433632101</v>
      </c>
      <c r="E2046">
        <v>1.73676389396373</v>
      </c>
      <c r="F2046">
        <v>0.88496071629447703</v>
      </c>
      <c r="G2046">
        <v>0.73729431366658404</v>
      </c>
      <c r="H2046">
        <v>0.14302958015016201</v>
      </c>
      <c r="I2046">
        <v>0.21599361051448299</v>
      </c>
      <c r="J2046">
        <v>0</v>
      </c>
      <c r="K2046">
        <v>0</v>
      </c>
      <c r="L2046">
        <v>2352.3981011752699</v>
      </c>
      <c r="M2046">
        <v>42.870117727180002</v>
      </c>
      <c r="N2046">
        <v>55.027627440004999</v>
      </c>
      <c r="O2046">
        <v>54.753695281086998</v>
      </c>
      <c r="P2046">
        <v>-0.184611970873578</v>
      </c>
      <c r="Q2046">
        <v>5.6856441086604502E-2</v>
      </c>
      <c r="R2046">
        <v>0.79366116453221303</v>
      </c>
      <c r="S2046" t="s">
        <v>8448</v>
      </c>
      <c r="T2046" t="s">
        <v>12802</v>
      </c>
      <c r="U2046" t="s">
        <v>12802</v>
      </c>
      <c r="V2046" t="s">
        <v>12802</v>
      </c>
      <c r="W2046" t="s">
        <v>14807</v>
      </c>
      <c r="X2046">
        <v>1</v>
      </c>
      <c r="Y2046" t="s">
        <v>21098</v>
      </c>
      <c r="Z2046" t="s">
        <v>27364</v>
      </c>
      <c r="AA2046">
        <v>0.62182423581873292</v>
      </c>
      <c r="AB2046" t="str">
        <f>HYPERLINK("Melting_Curves/meltCurve_P09038_2_FGF2.pdf", "Melting_Curves/meltCurve_P09038_2_FGF2.pdf")</f>
        <v>Melting_Curves/meltCurve_P09038_2_FGF2.pdf</v>
      </c>
    </row>
    <row r="2047" spans="1:28" x14ac:dyDescent="0.25">
      <c r="A2047" t="s">
        <v>2051</v>
      </c>
      <c r="B2047">
        <v>0.99542014353169495</v>
      </c>
      <c r="C2047">
        <v>0.97599306852748302</v>
      </c>
      <c r="D2047">
        <v>0.99056838222814103</v>
      </c>
      <c r="E2047">
        <v>0.94292878290886195</v>
      </c>
      <c r="F2047">
        <v>0.77670948540704998</v>
      </c>
      <c r="G2047">
        <v>0.62065977000922301</v>
      </c>
      <c r="H2047">
        <v>0.50517396841534801</v>
      </c>
      <c r="I2047">
        <v>0.482337922618645</v>
      </c>
      <c r="J2047">
        <v>0.77340717517295998</v>
      </c>
      <c r="K2047">
        <v>0.783249686155567</v>
      </c>
      <c r="L2047">
        <v>1896.53803282169</v>
      </c>
      <c r="M2047">
        <v>38.398054198133998</v>
      </c>
      <c r="O2047">
        <v>49.258120276576399</v>
      </c>
      <c r="P2047">
        <v>-7.1807545359410696E-2</v>
      </c>
      <c r="Q2047">
        <v>0.63153382136048897</v>
      </c>
      <c r="R2047">
        <v>0.75651305539678904</v>
      </c>
      <c r="S2047" t="s">
        <v>8449</v>
      </c>
      <c r="T2047" t="s">
        <v>12802</v>
      </c>
      <c r="U2047" t="s">
        <v>12802</v>
      </c>
      <c r="V2047" t="s">
        <v>12802</v>
      </c>
      <c r="W2047" t="s">
        <v>14808</v>
      </c>
      <c r="X2047">
        <v>15</v>
      </c>
      <c r="Y2047" t="s">
        <v>21099</v>
      </c>
      <c r="Z2047" t="s">
        <v>27365</v>
      </c>
      <c r="AA2047">
        <v>0.78509423089162522</v>
      </c>
      <c r="AB2047" t="str">
        <f>HYPERLINK("Melting_Curves/meltCurve_P09104_ENO2.pdf", "Melting_Curves/meltCurve_P09104_ENO2.pdf")</f>
        <v>Melting_Curves/meltCurve_P09104_ENO2.pdf</v>
      </c>
    </row>
    <row r="2048" spans="1:28" x14ac:dyDescent="0.25">
      <c r="A2048" t="s">
        <v>2052</v>
      </c>
      <c r="B2048">
        <v>0.99542014353169495</v>
      </c>
      <c r="C2048">
        <v>1.01371463598755</v>
      </c>
      <c r="D2048">
        <v>0.94690375245805003</v>
      </c>
      <c r="E2048">
        <v>0.95854757997301798</v>
      </c>
      <c r="F2048">
        <v>0.70886571081063798</v>
      </c>
      <c r="G2048">
        <v>0.620184310998526</v>
      </c>
      <c r="H2048">
        <v>0.35558680579778501</v>
      </c>
      <c r="I2048">
        <v>0.29365638638233299</v>
      </c>
      <c r="J2048">
        <v>0.282659769622365</v>
      </c>
      <c r="K2048">
        <v>0.16120298508221401</v>
      </c>
      <c r="L2048">
        <v>735.24737959419099</v>
      </c>
      <c r="M2048">
        <v>13.6801088280793</v>
      </c>
      <c r="N2048">
        <v>55.146077113335302</v>
      </c>
      <c r="O2048">
        <v>52.636293319108297</v>
      </c>
      <c r="P2048">
        <v>-5.54487575062039E-2</v>
      </c>
      <c r="Q2048">
        <v>0.14673360602199401</v>
      </c>
      <c r="R2048">
        <v>0.98488111860702499</v>
      </c>
      <c r="S2048" t="s">
        <v>8450</v>
      </c>
      <c r="T2048" t="s">
        <v>12802</v>
      </c>
      <c r="U2048" t="s">
        <v>12802</v>
      </c>
      <c r="V2048" t="s">
        <v>12802</v>
      </c>
      <c r="W2048" t="s">
        <v>14809</v>
      </c>
      <c r="X2048">
        <v>6</v>
      </c>
      <c r="Y2048" t="s">
        <v>21100</v>
      </c>
      <c r="Z2048" t="s">
        <v>27366</v>
      </c>
      <c r="AA2048">
        <v>0.63815871203531382</v>
      </c>
      <c r="AB2048" t="str">
        <f>HYPERLINK("Melting_Curves/meltCurve_P09105_HBQ1.pdf", "Melting_Curves/meltCurve_P09105_HBQ1.pdf")</f>
        <v>Melting_Curves/meltCurve_P09105_HBQ1.pdf</v>
      </c>
    </row>
    <row r="2049" spans="1:28" x14ac:dyDescent="0.25">
      <c r="A2049" t="s">
        <v>2053</v>
      </c>
      <c r="B2049">
        <v>0.99542014353169495</v>
      </c>
      <c r="C2049">
        <v>1.01022477961816</v>
      </c>
      <c r="D2049">
        <v>0.981809743500905</v>
      </c>
      <c r="E2049">
        <v>0.95177181945803901</v>
      </c>
      <c r="F2049">
        <v>0.70752564617411695</v>
      </c>
      <c r="G2049">
        <v>0.54180380281548102</v>
      </c>
      <c r="H2049">
        <v>0.29757821929772998</v>
      </c>
      <c r="I2049">
        <v>0.17527159443306201</v>
      </c>
      <c r="J2049">
        <v>5.5499774380608602E-2</v>
      </c>
      <c r="K2049">
        <v>4.3342934286718801E-2</v>
      </c>
      <c r="L2049">
        <v>804.32318195733296</v>
      </c>
      <c r="M2049">
        <v>14.8824769180254</v>
      </c>
      <c r="N2049">
        <v>54.044981053868</v>
      </c>
      <c r="O2049">
        <v>53.097341670797903</v>
      </c>
      <c r="P2049">
        <v>-7.0078966011198798E-2</v>
      </c>
      <c r="Q2049">
        <v>0</v>
      </c>
      <c r="R2049">
        <v>0.99572808599377505</v>
      </c>
      <c r="S2049" t="s">
        <v>8451</v>
      </c>
      <c r="T2049" t="s">
        <v>12802</v>
      </c>
      <c r="U2049" t="s">
        <v>12802</v>
      </c>
      <c r="V2049" t="s">
        <v>12802</v>
      </c>
      <c r="W2049" t="s">
        <v>14810</v>
      </c>
      <c r="X2049">
        <v>17</v>
      </c>
      <c r="Y2049" t="s">
        <v>21101</v>
      </c>
      <c r="Z2049" t="s">
        <v>27367</v>
      </c>
      <c r="AA2049">
        <v>0.58436783455346608</v>
      </c>
      <c r="AB2049" t="str">
        <f>HYPERLINK("Melting_Curves/meltCurve_P09110_ACAA1.pdf", "Melting_Curves/meltCurve_P09110_ACAA1.pdf")</f>
        <v>Melting_Curves/meltCurve_P09110_ACAA1.pdf</v>
      </c>
    </row>
    <row r="2050" spans="1:28" x14ac:dyDescent="0.25">
      <c r="A2050" t="s">
        <v>2054</v>
      </c>
      <c r="B2050">
        <v>0.99542014353169495</v>
      </c>
      <c r="C2050">
        <v>0.81131313919801795</v>
      </c>
      <c r="D2050">
        <v>0.99361311060112401</v>
      </c>
      <c r="E2050">
        <v>0.74243990167309004</v>
      </c>
      <c r="F2050">
        <v>0.43168502627762301</v>
      </c>
      <c r="G2050">
        <v>0.27214297958660399</v>
      </c>
      <c r="H2050">
        <v>0.116322513434731</v>
      </c>
      <c r="I2050">
        <v>6.7861550692807998E-2</v>
      </c>
      <c r="J2050">
        <v>5.2812595822329202E-2</v>
      </c>
      <c r="K2050">
        <v>4.5956588460682402E-2</v>
      </c>
      <c r="L2050">
        <v>773.89990873215004</v>
      </c>
      <c r="M2050">
        <v>15.623001382116099</v>
      </c>
      <c r="N2050">
        <v>49.6973070765033</v>
      </c>
      <c r="O2050">
        <v>48.745625355378401</v>
      </c>
      <c r="P2050">
        <v>-7.8150315703173906E-2</v>
      </c>
      <c r="Q2050">
        <v>2.4730841298703499E-2</v>
      </c>
      <c r="R2050">
        <v>0.97487917143702196</v>
      </c>
      <c r="S2050" t="s">
        <v>8452</v>
      </c>
      <c r="T2050" t="s">
        <v>12802</v>
      </c>
      <c r="U2050" t="s">
        <v>12802</v>
      </c>
      <c r="V2050" t="s">
        <v>12802</v>
      </c>
      <c r="W2050" t="s">
        <v>14811</v>
      </c>
      <c r="X2050">
        <v>8</v>
      </c>
      <c r="Y2050" t="s">
        <v>21102</v>
      </c>
      <c r="Z2050" t="s">
        <v>27368</v>
      </c>
      <c r="AA2050">
        <v>0.45169277725686402</v>
      </c>
      <c r="AB2050" t="str">
        <f>HYPERLINK("Melting_Curves/meltCurve_P09132_SRP19.pdf", "Melting_Curves/meltCurve_P09132_SRP19.pdf")</f>
        <v>Melting_Curves/meltCurve_P09132_SRP19.pdf</v>
      </c>
    </row>
    <row r="2051" spans="1:28" x14ac:dyDescent="0.25">
      <c r="A2051" t="s">
        <v>2055</v>
      </c>
      <c r="B2051">
        <v>0.99542014353169495</v>
      </c>
      <c r="C2051">
        <v>0.92871593051713697</v>
      </c>
      <c r="D2051">
        <v>0.87641387880470101</v>
      </c>
      <c r="E2051">
        <v>0.95487265524127096</v>
      </c>
      <c r="F2051">
        <v>0.67628475635791496</v>
      </c>
      <c r="G2051">
        <v>0.48897535290203498</v>
      </c>
      <c r="H2051">
        <v>8.6636875049565201E-2</v>
      </c>
      <c r="I2051">
        <v>4.2043275078340901E-2</v>
      </c>
      <c r="J2051">
        <v>3.7843247546948303E-2</v>
      </c>
      <c r="K2051">
        <v>3.7869158612938499E-2</v>
      </c>
      <c r="L2051">
        <v>1026.4411723559999</v>
      </c>
      <c r="M2051">
        <v>19.483622931836798</v>
      </c>
      <c r="N2051">
        <v>52.682249462008201</v>
      </c>
      <c r="O2051">
        <v>52.136690875505003</v>
      </c>
      <c r="P2051">
        <v>-9.3429048421608304E-2</v>
      </c>
      <c r="Q2051">
        <v>0</v>
      </c>
      <c r="R2051">
        <v>0.97781128809885098</v>
      </c>
      <c r="S2051" t="s">
        <v>8453</v>
      </c>
      <c r="T2051" t="s">
        <v>12802</v>
      </c>
      <c r="U2051" t="s">
        <v>12802</v>
      </c>
      <c r="V2051" t="s">
        <v>12802</v>
      </c>
      <c r="W2051" t="s">
        <v>14812</v>
      </c>
      <c r="X2051">
        <v>15</v>
      </c>
      <c r="Y2051" t="s">
        <v>21103</v>
      </c>
      <c r="Z2051" t="s">
        <v>27369</v>
      </c>
      <c r="AA2051">
        <v>0.53595401888912408</v>
      </c>
      <c r="AB2051" t="str">
        <f>HYPERLINK("Melting_Curves/meltCurve_P09211_GSTP1.pdf", "Melting_Curves/meltCurve_P09211_GSTP1.pdf")</f>
        <v>Melting_Curves/meltCurve_P09211_GSTP1.pdf</v>
      </c>
    </row>
    <row r="2052" spans="1:28" x14ac:dyDescent="0.25">
      <c r="A2052" t="s">
        <v>2056</v>
      </c>
      <c r="B2052">
        <v>0.99542014353169495</v>
      </c>
      <c r="C2052">
        <v>0.913850760419883</v>
      </c>
      <c r="D2052">
        <v>0.91953732393879295</v>
      </c>
      <c r="E2052">
        <v>0.82898810619559204</v>
      </c>
      <c r="F2052">
        <v>0.67745021259182603</v>
      </c>
      <c r="G2052">
        <v>0.64317683293267303</v>
      </c>
      <c r="H2052">
        <v>0.52242177173567705</v>
      </c>
      <c r="I2052">
        <v>0.47742841434459798</v>
      </c>
      <c r="J2052">
        <v>0.63611244287130098</v>
      </c>
      <c r="K2052">
        <v>0.84159895034513998</v>
      </c>
      <c r="L2052">
        <v>909.48559346848594</v>
      </c>
      <c r="M2052">
        <v>19.661682791968001</v>
      </c>
      <c r="O2052">
        <v>45.786223272997603</v>
      </c>
      <c r="P2052">
        <v>-4.0943946831074302E-2</v>
      </c>
      <c r="Q2052">
        <v>0.61862808860796803</v>
      </c>
      <c r="R2052">
        <v>0.69374610661202896</v>
      </c>
      <c r="S2052" t="s">
        <v>8454</v>
      </c>
      <c r="T2052" t="s">
        <v>12802</v>
      </c>
      <c r="U2052" t="s">
        <v>12802</v>
      </c>
      <c r="V2052" t="s">
        <v>12802</v>
      </c>
      <c r="W2052" t="s">
        <v>14813</v>
      </c>
      <c r="X2052">
        <v>7</v>
      </c>
      <c r="Y2052" t="s">
        <v>21104</v>
      </c>
      <c r="Z2052" t="s">
        <v>27370</v>
      </c>
      <c r="AA2052">
        <v>0.74146284798463713</v>
      </c>
      <c r="AB2052" t="str">
        <f>HYPERLINK("Melting_Curves/meltCurve_P09234_SNRPC.pdf", "Melting_Curves/meltCurve_P09234_SNRPC.pdf")</f>
        <v>Melting_Curves/meltCurve_P09234_SNRPC.pdf</v>
      </c>
    </row>
    <row r="2053" spans="1:28" x14ac:dyDescent="0.25">
      <c r="A2053" t="s">
        <v>2057</v>
      </c>
      <c r="B2053">
        <v>0.99542014353169495</v>
      </c>
      <c r="C2053">
        <v>0.99342563174350396</v>
      </c>
      <c r="D2053">
        <v>0.92511560875346599</v>
      </c>
      <c r="E2053">
        <v>0.957757441024923</v>
      </c>
      <c r="F2053">
        <v>0.75596764862189303</v>
      </c>
      <c r="G2053">
        <v>0.71266994687061502</v>
      </c>
      <c r="H2053">
        <v>0.28786741548149802</v>
      </c>
      <c r="I2053">
        <v>0.11476743301022101</v>
      </c>
      <c r="J2053">
        <v>0.12186790194141101</v>
      </c>
      <c r="K2053">
        <v>0.136782243742431</v>
      </c>
      <c r="L2053">
        <v>1017.16083538416</v>
      </c>
      <c r="M2053">
        <v>18.6035264056685</v>
      </c>
      <c r="N2053">
        <v>55.037906354800299</v>
      </c>
      <c r="O2053">
        <v>54.055687948986098</v>
      </c>
      <c r="P2053">
        <v>-8.1085049020886604E-2</v>
      </c>
      <c r="Q2053">
        <v>5.7615632368704997E-2</v>
      </c>
      <c r="R2053">
        <v>0.97439322741560497</v>
      </c>
      <c r="S2053" t="s">
        <v>8455</v>
      </c>
      <c r="T2053" t="s">
        <v>12802</v>
      </c>
      <c r="U2053" t="s">
        <v>12802</v>
      </c>
      <c r="V2053" t="s">
        <v>12802</v>
      </c>
      <c r="W2053" t="s">
        <v>14814</v>
      </c>
      <c r="X2053">
        <v>14</v>
      </c>
      <c r="Y2053" t="s">
        <v>21105</v>
      </c>
      <c r="Z2053" t="s">
        <v>27371</v>
      </c>
      <c r="AA2053">
        <v>0.62470334899381708</v>
      </c>
      <c r="AB2053" t="str">
        <f>HYPERLINK("Melting_Curves/meltCurve_P09382_LGALS1.pdf", "Melting_Curves/meltCurve_P09382_LGALS1.pdf")</f>
        <v>Melting_Curves/meltCurve_P09382_LGALS1.pdf</v>
      </c>
    </row>
    <row r="2054" spans="1:28" x14ac:dyDescent="0.25">
      <c r="A2054" t="s">
        <v>2058</v>
      </c>
      <c r="B2054">
        <v>0.99542014353169495</v>
      </c>
      <c r="C2054">
        <v>1.0301408557393099</v>
      </c>
      <c r="D2054">
        <v>0.93138484905046304</v>
      </c>
      <c r="E2054">
        <v>0.99470485506634898</v>
      </c>
      <c r="F2054">
        <v>0.79927835920558599</v>
      </c>
      <c r="G2054">
        <v>0.76892422807908301</v>
      </c>
      <c r="H2054">
        <v>0.442909719644628</v>
      </c>
      <c r="I2054">
        <v>0.27621864141203101</v>
      </c>
      <c r="J2054">
        <v>6.12385101411013E-2</v>
      </c>
      <c r="K2054">
        <v>5.0881550595333898E-2</v>
      </c>
      <c r="L2054">
        <v>951.76798568519098</v>
      </c>
      <c r="M2054">
        <v>16.7830895116732</v>
      </c>
      <c r="N2054">
        <v>56.7099393139911</v>
      </c>
      <c r="O2054">
        <v>55.923158282505902</v>
      </c>
      <c r="P2054">
        <v>-7.5032329103433604E-2</v>
      </c>
      <c r="Q2054">
        <v>0</v>
      </c>
      <c r="R2054">
        <v>0.98210107335808094</v>
      </c>
      <c r="S2054" t="s">
        <v>8456</v>
      </c>
      <c r="T2054" t="s">
        <v>12802</v>
      </c>
      <c r="U2054" t="s">
        <v>12802</v>
      </c>
      <c r="V2054" t="s">
        <v>12802</v>
      </c>
      <c r="W2054" t="s">
        <v>14815</v>
      </c>
      <c r="X2054">
        <v>10</v>
      </c>
      <c r="Y2054" t="s">
        <v>21106</v>
      </c>
      <c r="Z2054" t="s">
        <v>27372</v>
      </c>
      <c r="AA2054">
        <v>0.66664351353825324</v>
      </c>
      <c r="AB2054" t="str">
        <f>HYPERLINK("Melting_Curves/meltCurve_P09417_QDPR.pdf", "Melting_Curves/meltCurve_P09417_QDPR.pdf")</f>
        <v>Melting_Curves/meltCurve_P09417_QDPR.pdf</v>
      </c>
    </row>
    <row r="2055" spans="1:28" x14ac:dyDescent="0.25">
      <c r="A2055" t="s">
        <v>2059</v>
      </c>
      <c r="B2055">
        <v>0.99542014353169495</v>
      </c>
      <c r="C2055">
        <v>0.987227048422473</v>
      </c>
      <c r="D2055">
        <v>0.98131155404266801</v>
      </c>
      <c r="E2055">
        <v>0.91383949688922705</v>
      </c>
      <c r="F2055">
        <v>0.65794030255578295</v>
      </c>
      <c r="G2055">
        <v>0.49578617778903999</v>
      </c>
      <c r="H2055">
        <v>0.30038946302633901</v>
      </c>
      <c r="I2055">
        <v>0.23448192524645201</v>
      </c>
      <c r="J2055">
        <v>0.37785109673309503</v>
      </c>
      <c r="K2055">
        <v>0.47406670209636798</v>
      </c>
      <c r="L2055">
        <v>1276.93506064862</v>
      </c>
      <c r="M2055">
        <v>25.4794542910365</v>
      </c>
      <c r="N2055">
        <v>52.577259836863298</v>
      </c>
      <c r="O2055">
        <v>49.810612123876901</v>
      </c>
      <c r="P2055">
        <v>-8.3343072000518006E-2</v>
      </c>
      <c r="Q2055">
        <v>0.34828783073932101</v>
      </c>
      <c r="R2055">
        <v>0.95330387689648799</v>
      </c>
      <c r="S2055" t="s">
        <v>8457</v>
      </c>
      <c r="T2055" t="s">
        <v>12802</v>
      </c>
      <c r="U2055" t="s">
        <v>12802</v>
      </c>
      <c r="V2055" t="s">
        <v>12802</v>
      </c>
      <c r="W2055" t="s">
        <v>14816</v>
      </c>
      <c r="X2055">
        <v>19</v>
      </c>
      <c r="Y2055" t="s">
        <v>21107</v>
      </c>
      <c r="Z2055" t="s">
        <v>27373</v>
      </c>
      <c r="AA2055">
        <v>0.63872564218823058</v>
      </c>
      <c r="AB2055" t="str">
        <f>HYPERLINK("Melting_Curves/meltCurve_P09429_HMGB1.pdf", "Melting_Curves/meltCurve_P09429_HMGB1.pdf")</f>
        <v>Melting_Curves/meltCurve_P09429_HMGB1.pdf</v>
      </c>
    </row>
    <row r="2056" spans="1:28" x14ac:dyDescent="0.25">
      <c r="A2056" t="s">
        <v>2060</v>
      </c>
      <c r="B2056">
        <v>0.99542014353169495</v>
      </c>
      <c r="C2056">
        <v>1.00514082330202</v>
      </c>
      <c r="D2056">
        <v>0.98277143276857004</v>
      </c>
      <c r="E2056">
        <v>0.58839946377695795</v>
      </c>
      <c r="F2056">
        <v>0.48231617621311601</v>
      </c>
      <c r="G2056">
        <v>0.24137635941677499</v>
      </c>
      <c r="H2056">
        <v>0.331716715554702</v>
      </c>
      <c r="I2056">
        <v>0.242383339777173</v>
      </c>
      <c r="J2056">
        <v>0.118172653258276</v>
      </c>
      <c r="K2056">
        <v>0.13120285894513301</v>
      </c>
      <c r="L2056">
        <v>803.66694423380898</v>
      </c>
      <c r="M2056">
        <v>16.786283135838801</v>
      </c>
      <c r="N2056">
        <v>49.135925874616703</v>
      </c>
      <c r="O2056">
        <v>47.2124523071179</v>
      </c>
      <c r="P2056">
        <v>-7.3350763958399207E-2</v>
      </c>
      <c r="Q2056">
        <v>0.174839837368195</v>
      </c>
      <c r="R2056">
        <v>0.96352101024014103</v>
      </c>
      <c r="S2056" t="s">
        <v>8458</v>
      </c>
      <c r="T2056" t="s">
        <v>12802</v>
      </c>
      <c r="U2056" t="s">
        <v>12802</v>
      </c>
      <c r="V2056" t="s">
        <v>12802</v>
      </c>
      <c r="W2056" t="s">
        <v>14817</v>
      </c>
      <c r="X2056">
        <v>21</v>
      </c>
      <c r="Y2056" t="s">
        <v>20079</v>
      </c>
      <c r="Z2056" t="s">
        <v>27374</v>
      </c>
      <c r="AA2056">
        <v>0.48897630742122949</v>
      </c>
      <c r="AB2056" t="str">
        <f>HYPERLINK("Melting_Curves/meltCurve_P09493_8_TPM1.pdf", "Melting_Curves/meltCurve_P09493_8_TPM1.pdf")</f>
        <v>Melting_Curves/meltCurve_P09493_8_TPM1.pdf</v>
      </c>
    </row>
    <row r="2057" spans="1:28" x14ac:dyDescent="0.25">
      <c r="A2057" t="s">
        <v>2061</v>
      </c>
      <c r="B2057">
        <v>0.99542014353169495</v>
      </c>
      <c r="C2057">
        <v>0.95748487975746299</v>
      </c>
      <c r="D2057">
        <v>0.95876236391928704</v>
      </c>
      <c r="E2057">
        <v>0.85910790993642505</v>
      </c>
      <c r="F2057">
        <v>1.2616829857490099</v>
      </c>
      <c r="G2057">
        <v>1.1899021515022801</v>
      </c>
      <c r="H2057">
        <v>0.97117371620177395</v>
      </c>
      <c r="I2057">
        <v>0.97107296891807104</v>
      </c>
      <c r="J2057">
        <v>1.5409872569638901</v>
      </c>
      <c r="K2057">
        <v>2.6084260559201802</v>
      </c>
      <c r="L2057">
        <v>15000</v>
      </c>
      <c r="M2057">
        <v>240.11861956484299</v>
      </c>
      <c r="O2057">
        <v>62.4647914128089</v>
      </c>
      <c r="P2057">
        <v>0.48050792807693499</v>
      </c>
      <c r="Q2057">
        <v>1.5</v>
      </c>
      <c r="R2057">
        <v>0.45021892067395802</v>
      </c>
      <c r="S2057" t="s">
        <v>8459</v>
      </c>
      <c r="T2057" t="s">
        <v>12802</v>
      </c>
      <c r="U2057" t="s">
        <v>12802</v>
      </c>
      <c r="V2057" t="s">
        <v>12802</v>
      </c>
      <c r="W2057" t="s">
        <v>14818</v>
      </c>
      <c r="X2057">
        <v>17</v>
      </c>
      <c r="Y2057" t="s">
        <v>21108</v>
      </c>
      <c r="Z2057" t="s">
        <v>27375</v>
      </c>
      <c r="AA2057">
        <v>1.07545516626892</v>
      </c>
      <c r="AB2057" t="str">
        <f>HYPERLINK("Melting_Curves/meltCurve_P09496_2_CLTA.pdf", "Melting_Curves/meltCurve_P09496_2_CLTA.pdf")</f>
        <v>Melting_Curves/meltCurve_P09496_2_CLTA.pdf</v>
      </c>
    </row>
    <row r="2058" spans="1:28" x14ac:dyDescent="0.25">
      <c r="A2058" t="s">
        <v>2062</v>
      </c>
      <c r="B2058">
        <v>0.99542014353169495</v>
      </c>
      <c r="C2058">
        <v>1.0281479524394099</v>
      </c>
      <c r="D2058">
        <v>1.0445422861885001</v>
      </c>
      <c r="E2058">
        <v>0.94326705578595804</v>
      </c>
      <c r="F2058">
        <v>1.75591708739395</v>
      </c>
      <c r="G2058">
        <v>1.7199879846344499</v>
      </c>
      <c r="H2058">
        <v>1.4757719577405799</v>
      </c>
      <c r="I2058">
        <v>1.3708025560436401</v>
      </c>
      <c r="J2058">
        <v>2.0398809140158001</v>
      </c>
      <c r="K2058">
        <v>2.5506761260055399</v>
      </c>
      <c r="L2058">
        <v>5480.2295590078302</v>
      </c>
      <c r="M2058">
        <v>114.054591031879</v>
      </c>
      <c r="O2058">
        <v>48.034413333540599</v>
      </c>
      <c r="P2058">
        <v>0.29680438532483699</v>
      </c>
      <c r="Q2058">
        <v>1.5</v>
      </c>
      <c r="R2058">
        <v>0.39051184037965297</v>
      </c>
      <c r="S2058" t="s">
        <v>8460</v>
      </c>
      <c r="T2058" t="s">
        <v>12802</v>
      </c>
      <c r="U2058" t="s">
        <v>12802</v>
      </c>
      <c r="V2058" t="s">
        <v>12802</v>
      </c>
      <c r="W2058" t="s">
        <v>14819</v>
      </c>
      <c r="X2058">
        <v>17</v>
      </c>
      <c r="Y2058" t="s">
        <v>21109</v>
      </c>
      <c r="Z2058" t="s">
        <v>27376</v>
      </c>
      <c r="AA2058">
        <v>1.315644257380471</v>
      </c>
      <c r="AB2058" t="str">
        <f>HYPERLINK("Melting_Curves/meltCurve_P09497_2_CLTB.pdf", "Melting_Curves/meltCurve_P09497_2_CLTB.pdf")</f>
        <v>Melting_Curves/meltCurve_P09497_2_CLTB.pdf</v>
      </c>
    </row>
    <row r="2059" spans="1:28" x14ac:dyDescent="0.25">
      <c r="A2059" t="s">
        <v>2063</v>
      </c>
      <c r="B2059">
        <v>0.99542014353169495</v>
      </c>
      <c r="C2059">
        <v>1.06074695696979</v>
      </c>
      <c r="D2059">
        <v>0.98067655980282498</v>
      </c>
      <c r="E2059">
        <v>0.90023897872423597</v>
      </c>
      <c r="F2059">
        <v>0.30795647771370899</v>
      </c>
      <c r="G2059">
        <v>0.13909451861739999</v>
      </c>
      <c r="H2059">
        <v>9.5622457236049604E-2</v>
      </c>
      <c r="I2059">
        <v>6.5559587575470396E-2</v>
      </c>
      <c r="J2059">
        <v>7.0818721978598301E-2</v>
      </c>
      <c r="K2059">
        <v>6.2131630865913598E-2</v>
      </c>
      <c r="L2059">
        <v>1998.7719079798501</v>
      </c>
      <c r="M2059">
        <v>40.877578443942497</v>
      </c>
      <c r="N2059">
        <v>49.107438727036701</v>
      </c>
      <c r="O2059">
        <v>48.779951100551102</v>
      </c>
      <c r="P2059">
        <v>-0.192634218439757</v>
      </c>
      <c r="Q2059">
        <v>8.0506229312845706E-2</v>
      </c>
      <c r="R2059">
        <v>0.99655470984705796</v>
      </c>
      <c r="S2059" t="s">
        <v>8461</v>
      </c>
      <c r="T2059" t="s">
        <v>12802</v>
      </c>
      <c r="U2059" t="s">
        <v>12802</v>
      </c>
      <c r="V2059" t="s">
        <v>12802</v>
      </c>
      <c r="W2059" t="s">
        <v>14820</v>
      </c>
      <c r="X2059">
        <v>15</v>
      </c>
      <c r="Y2059" t="s">
        <v>21110</v>
      </c>
      <c r="Z2059" t="s">
        <v>27377</v>
      </c>
      <c r="AA2059">
        <v>0.44810688205257648</v>
      </c>
      <c r="AB2059" t="str">
        <f>HYPERLINK("Melting_Curves/meltCurve_P09525_ANXA4.pdf", "Melting_Curves/meltCurve_P09525_ANXA4.pdf")</f>
        <v>Melting_Curves/meltCurve_P09525_ANXA4.pdf</v>
      </c>
    </row>
    <row r="2060" spans="1:28" x14ac:dyDescent="0.25">
      <c r="A2060" t="s">
        <v>2064</v>
      </c>
      <c r="B2060">
        <v>0.99542014353169495</v>
      </c>
      <c r="C2060">
        <v>0.98506132477519603</v>
      </c>
      <c r="D2060">
        <v>0.98752379110611099</v>
      </c>
      <c r="E2060">
        <v>0.90895871312160104</v>
      </c>
      <c r="F2060">
        <v>0.58096315837434498</v>
      </c>
      <c r="G2060">
        <v>0.21514717339462699</v>
      </c>
      <c r="H2060">
        <v>8.4700697334476494E-2</v>
      </c>
      <c r="I2060">
        <v>4.9960386435754102E-2</v>
      </c>
      <c r="J2060">
        <v>4.7186202938466301E-2</v>
      </c>
      <c r="K2060">
        <v>4.5985529730994998E-2</v>
      </c>
      <c r="L2060">
        <v>1313.30028018912</v>
      </c>
      <c r="M2060">
        <v>25.914124192269199</v>
      </c>
      <c r="N2060">
        <v>50.848934113940402</v>
      </c>
      <c r="O2060">
        <v>50.380020102761499</v>
      </c>
      <c r="P2060">
        <v>-0.12325877006342</v>
      </c>
      <c r="Q2060">
        <v>4.1494343944576302E-2</v>
      </c>
      <c r="R2060">
        <v>0.99985585610460603</v>
      </c>
      <c r="S2060" t="s">
        <v>8462</v>
      </c>
      <c r="T2060" t="s">
        <v>12802</v>
      </c>
      <c r="U2060" t="s">
        <v>12802</v>
      </c>
      <c r="V2060" t="s">
        <v>12802</v>
      </c>
      <c r="W2060" t="s">
        <v>14821</v>
      </c>
      <c r="X2060">
        <v>25</v>
      </c>
      <c r="Y2060" t="s">
        <v>21111</v>
      </c>
      <c r="Z2060" t="s">
        <v>27378</v>
      </c>
      <c r="AA2060">
        <v>0.4864231347670685</v>
      </c>
      <c r="AB2060" t="str">
        <f>HYPERLINK("Melting_Curves/meltCurve_P09543_2_CNP.pdf", "Melting_Curves/meltCurve_P09543_2_CNP.pdf")</f>
        <v>Melting_Curves/meltCurve_P09543_2_CNP.pdf</v>
      </c>
    </row>
    <row r="2061" spans="1:28" x14ac:dyDescent="0.25">
      <c r="A2061" t="s">
        <v>2065</v>
      </c>
      <c r="B2061">
        <v>0.99542014353169495</v>
      </c>
      <c r="C2061">
        <v>1.00608060735264</v>
      </c>
      <c r="D2061">
        <v>0.94338548505666997</v>
      </c>
      <c r="E2061">
        <v>0.88396023154499004</v>
      </c>
      <c r="F2061">
        <v>0.46694642670490499</v>
      </c>
      <c r="G2061">
        <v>0.394084464488766</v>
      </c>
      <c r="H2061">
        <v>0.17714743832763699</v>
      </c>
      <c r="I2061">
        <v>0.25207931447856002</v>
      </c>
      <c r="J2061">
        <v>0.31208845813987202</v>
      </c>
      <c r="K2061">
        <v>0.48232827402735101</v>
      </c>
      <c r="L2061">
        <v>1732.3124731246101</v>
      </c>
      <c r="M2061">
        <v>35.685568383769599</v>
      </c>
      <c r="N2061">
        <v>49.952003167604097</v>
      </c>
      <c r="O2061">
        <v>48.392097045206498</v>
      </c>
      <c r="P2061">
        <v>-0.12588475937077401</v>
      </c>
      <c r="Q2061">
        <v>0.317168485000834</v>
      </c>
      <c r="R2061">
        <v>0.94061487804361499</v>
      </c>
      <c r="S2061" t="s">
        <v>8463</v>
      </c>
      <c r="T2061" t="s">
        <v>12802</v>
      </c>
      <c r="U2061" t="s">
        <v>12802</v>
      </c>
      <c r="V2061" t="s">
        <v>12802</v>
      </c>
      <c r="W2061" t="s">
        <v>14822</v>
      </c>
      <c r="X2061">
        <v>29</v>
      </c>
      <c r="Y2061" t="s">
        <v>21112</v>
      </c>
      <c r="Z2061" t="s">
        <v>27379</v>
      </c>
      <c r="AA2061">
        <v>0.58280009853657899</v>
      </c>
      <c r="AB2061" t="str">
        <f>HYPERLINK("Melting_Curves/meltCurve_P09622_DLD.pdf", "Melting_Curves/meltCurve_P09622_DLD.pdf")</f>
        <v>Melting_Curves/meltCurve_P09622_DLD.pdf</v>
      </c>
    </row>
    <row r="2062" spans="1:28" x14ac:dyDescent="0.25">
      <c r="A2062" t="s">
        <v>2066</v>
      </c>
      <c r="B2062">
        <v>0.99542014353169495</v>
      </c>
      <c r="C2062">
        <v>0.88221147054354698</v>
      </c>
      <c r="D2062">
        <v>0.94634094721888595</v>
      </c>
      <c r="E2062">
        <v>0.79281565234229201</v>
      </c>
      <c r="F2062">
        <v>0.58192706718419196</v>
      </c>
      <c r="G2062">
        <v>0.31733844780778198</v>
      </c>
      <c r="H2062">
        <v>0.14697113800244499</v>
      </c>
      <c r="I2062">
        <v>5.53568836520218E-2</v>
      </c>
      <c r="J2062">
        <v>5.8169451968624303E-2</v>
      </c>
      <c r="K2062">
        <v>7.4360334366948999E-2</v>
      </c>
      <c r="L2062">
        <v>760.29643915455199</v>
      </c>
      <c r="M2062">
        <v>14.938630327200499</v>
      </c>
      <c r="N2062">
        <v>50.976963870007197</v>
      </c>
      <c r="O2062">
        <v>50.008761999612801</v>
      </c>
      <c r="P2062">
        <v>-7.3797783785205406E-2</v>
      </c>
      <c r="Q2062">
        <v>1.19156354546024E-2</v>
      </c>
      <c r="R2062">
        <v>0.99018334176335299</v>
      </c>
      <c r="S2062" t="s">
        <v>8464</v>
      </c>
      <c r="T2062" t="s">
        <v>12802</v>
      </c>
      <c r="U2062" t="s">
        <v>12802</v>
      </c>
      <c r="V2062" t="s">
        <v>12802</v>
      </c>
      <c r="W2062" t="s">
        <v>14823</v>
      </c>
      <c r="X2062">
        <v>17</v>
      </c>
      <c r="Y2062" t="s">
        <v>21113</v>
      </c>
      <c r="Z2062" t="s">
        <v>27380</v>
      </c>
      <c r="AA2062">
        <v>0.48964209801531677</v>
      </c>
      <c r="AB2062" t="str">
        <f>HYPERLINK("Melting_Curves/meltCurve_P09661_SNRPA1.pdf", "Melting_Curves/meltCurve_P09661_SNRPA1.pdf")</f>
        <v>Melting_Curves/meltCurve_P09661_SNRPA1.pdf</v>
      </c>
    </row>
    <row r="2063" spans="1:28" x14ac:dyDescent="0.25">
      <c r="A2063" t="s">
        <v>2067</v>
      </c>
      <c r="B2063">
        <v>0.99542014353169495</v>
      </c>
      <c r="C2063">
        <v>0.88337881749710301</v>
      </c>
      <c r="D2063">
        <v>0.89837261697731396</v>
      </c>
      <c r="E2063">
        <v>0.91220696194252604</v>
      </c>
      <c r="F2063">
        <v>0.67665515329769599</v>
      </c>
      <c r="G2063">
        <v>0.57757600828275102</v>
      </c>
      <c r="H2063">
        <v>0.31882230705561299</v>
      </c>
      <c r="I2063">
        <v>0.13397506159222999</v>
      </c>
      <c r="J2063">
        <v>0.15772833898425501</v>
      </c>
      <c r="K2063">
        <v>0.184818417689633</v>
      </c>
      <c r="L2063">
        <v>676.54139668711503</v>
      </c>
      <c r="M2063">
        <v>12.6715806116406</v>
      </c>
      <c r="N2063">
        <v>53.923552760945697</v>
      </c>
      <c r="O2063">
        <v>52.113143926491198</v>
      </c>
      <c r="P2063">
        <v>-5.7221195610066201E-2</v>
      </c>
      <c r="Q2063">
        <v>5.8872378542335298E-2</v>
      </c>
      <c r="R2063">
        <v>0.96954106172695098</v>
      </c>
      <c r="S2063" t="s">
        <v>8465</v>
      </c>
      <c r="T2063" t="s">
        <v>12802</v>
      </c>
      <c r="U2063" t="s">
        <v>12802</v>
      </c>
      <c r="V2063" t="s">
        <v>12802</v>
      </c>
      <c r="W2063" t="s">
        <v>14824</v>
      </c>
      <c r="X2063">
        <v>6</v>
      </c>
      <c r="Y2063" t="s">
        <v>21114</v>
      </c>
      <c r="Z2063" t="s">
        <v>27381</v>
      </c>
      <c r="AA2063">
        <v>0.59132667694236674</v>
      </c>
      <c r="AB2063" t="str">
        <f>HYPERLINK("Melting_Curves/meltCurve_P09668_CTSH.pdf", "Melting_Curves/meltCurve_P09668_CTSH.pdf")</f>
        <v>Melting_Curves/meltCurve_P09668_CTSH.pdf</v>
      </c>
    </row>
    <row r="2064" spans="1:28" x14ac:dyDescent="0.25">
      <c r="A2064" t="s">
        <v>2068</v>
      </c>
      <c r="B2064">
        <v>0.99542014353169495</v>
      </c>
      <c r="C2064">
        <v>0.76200851442337603</v>
      </c>
      <c r="D2064">
        <v>0.83715774484824701</v>
      </c>
      <c r="E2064">
        <v>0.56349121313927497</v>
      </c>
      <c r="F2064">
        <v>0.44579103042184998</v>
      </c>
      <c r="G2064">
        <v>0.24121494734178101</v>
      </c>
      <c r="H2064">
        <v>0.21372676401843199</v>
      </c>
      <c r="I2064">
        <v>0.164860879736932</v>
      </c>
      <c r="J2064">
        <v>0.223051984931111</v>
      </c>
      <c r="K2064">
        <v>0.27110892416870203</v>
      </c>
      <c r="L2064">
        <v>561.649769585488</v>
      </c>
      <c r="M2064">
        <v>12.163755322809401</v>
      </c>
      <c r="N2064">
        <v>47.8900599358943</v>
      </c>
      <c r="O2064">
        <v>44.979233711012498</v>
      </c>
      <c r="P2064">
        <v>-5.5677854043820099E-2</v>
      </c>
      <c r="Q2064">
        <v>0.176644604413282</v>
      </c>
      <c r="R2064">
        <v>0.95126976454845602</v>
      </c>
      <c r="S2064" t="s">
        <v>8466</v>
      </c>
      <c r="T2064" t="s">
        <v>12802</v>
      </c>
      <c r="U2064" t="s">
        <v>12802</v>
      </c>
      <c r="V2064" t="s">
        <v>12802</v>
      </c>
      <c r="W2064" t="s">
        <v>14825</v>
      </c>
      <c r="X2064">
        <v>7</v>
      </c>
      <c r="Y2064" t="s">
        <v>21115</v>
      </c>
      <c r="Z2064" t="s">
        <v>27382</v>
      </c>
      <c r="AA2064">
        <v>0.45594849152797429</v>
      </c>
      <c r="AB2064" t="str">
        <f>HYPERLINK("Melting_Curves/meltCurve_P09669_COX6C.pdf", "Melting_Curves/meltCurve_P09669_COX6C.pdf")</f>
        <v>Melting_Curves/meltCurve_P09669_COX6C.pdf</v>
      </c>
    </row>
    <row r="2065" spans="1:28" x14ac:dyDescent="0.25">
      <c r="A2065" t="s">
        <v>2069</v>
      </c>
      <c r="B2065">
        <v>0.99542014353169495</v>
      </c>
      <c r="C2065">
        <v>0.95828887637905902</v>
      </c>
      <c r="D2065">
        <v>0.93908476554199305</v>
      </c>
      <c r="E2065">
        <v>0.71305030673952896</v>
      </c>
      <c r="F2065">
        <v>0.125878390047994</v>
      </c>
      <c r="G2065">
        <v>7.5721551956685201E-2</v>
      </c>
      <c r="H2065">
        <v>4.2547615200305602E-2</v>
      </c>
      <c r="I2065">
        <v>3.1895126380327897E-2</v>
      </c>
      <c r="J2065">
        <v>3.4134304049479897E-2</v>
      </c>
      <c r="K2065">
        <v>3.4004308538721301E-2</v>
      </c>
      <c r="L2065">
        <v>1931.28873098595</v>
      </c>
      <c r="M2065">
        <v>40.629393866886701</v>
      </c>
      <c r="N2065">
        <v>47.631213999240799</v>
      </c>
      <c r="O2065">
        <v>47.419554472506597</v>
      </c>
      <c r="P2065">
        <v>-0.205702191555552</v>
      </c>
      <c r="Q2065">
        <v>3.9681733057067799E-2</v>
      </c>
      <c r="R2065">
        <v>0.99708353675804695</v>
      </c>
      <c r="S2065" t="s">
        <v>8467</v>
      </c>
      <c r="T2065" t="s">
        <v>12802</v>
      </c>
      <c r="U2065" t="s">
        <v>12802</v>
      </c>
      <c r="V2065" t="s">
        <v>12802</v>
      </c>
      <c r="W2065" t="s">
        <v>14826</v>
      </c>
      <c r="X2065">
        <v>73</v>
      </c>
      <c r="Y2065" t="s">
        <v>21116</v>
      </c>
      <c r="Z2065" t="s">
        <v>27383</v>
      </c>
      <c r="AA2065">
        <v>0.37994822357486863</v>
      </c>
      <c r="AB2065" t="str">
        <f>HYPERLINK("Melting_Curves/meltCurve_P09874_PARP1.pdf", "Melting_Curves/meltCurve_P09874_PARP1.pdf")</f>
        <v>Melting_Curves/meltCurve_P09874_PARP1.pdf</v>
      </c>
    </row>
    <row r="2066" spans="1:28" x14ac:dyDescent="0.25">
      <c r="A2066" t="s">
        <v>2070</v>
      </c>
      <c r="B2066">
        <v>0.99542014353169495</v>
      </c>
      <c r="C2066">
        <v>0.85193572200210999</v>
      </c>
      <c r="D2066">
        <v>0.87933396073012504</v>
      </c>
      <c r="E2066">
        <v>0.84546687542918098</v>
      </c>
      <c r="F2066">
        <v>0.63042397434535102</v>
      </c>
      <c r="G2066">
        <v>0.36934438626848198</v>
      </c>
      <c r="H2066">
        <v>0.18204147896880701</v>
      </c>
      <c r="I2066">
        <v>0.159988219411413</v>
      </c>
      <c r="J2066">
        <v>0.19499549025885199</v>
      </c>
      <c r="K2066">
        <v>0.16985726163954601</v>
      </c>
      <c r="L2066">
        <v>789.18128232397896</v>
      </c>
      <c r="M2066">
        <v>15.587086446395899</v>
      </c>
      <c r="N2066">
        <v>51.582267436275302</v>
      </c>
      <c r="O2066">
        <v>49.819058908365598</v>
      </c>
      <c r="P2066">
        <v>-6.8449016812768396E-2</v>
      </c>
      <c r="Q2066">
        <v>0.124975852012586</v>
      </c>
      <c r="R2066">
        <v>0.97049398576242796</v>
      </c>
      <c r="S2066" t="s">
        <v>8468</v>
      </c>
      <c r="T2066" t="s">
        <v>12802</v>
      </c>
      <c r="U2066" t="s">
        <v>12802</v>
      </c>
      <c r="V2066" t="s">
        <v>12802</v>
      </c>
      <c r="W2066" t="s">
        <v>14827</v>
      </c>
      <c r="X2066">
        <v>1</v>
      </c>
      <c r="Y2066" t="s">
        <v>21117</v>
      </c>
      <c r="Z2066" t="s">
        <v>27384</v>
      </c>
      <c r="AA2066">
        <v>0.53949937400055814</v>
      </c>
      <c r="AB2066" t="str">
        <f>HYPERLINK("Melting_Curves/meltCurve_P09958_FURIN.pdf", "Melting_Curves/meltCurve_P09958_FURIN.pdf")</f>
        <v>Melting_Curves/meltCurve_P09958_FURIN.pdf</v>
      </c>
    </row>
    <row r="2067" spans="1:28" x14ac:dyDescent="0.25">
      <c r="A2067" t="s">
        <v>2071</v>
      </c>
      <c r="B2067">
        <v>0.99542014353169495</v>
      </c>
      <c r="C2067">
        <v>1.0397331348584</v>
      </c>
      <c r="D2067">
        <v>1.00916797648632</v>
      </c>
      <c r="E2067">
        <v>1.0343900206514001</v>
      </c>
      <c r="F2067">
        <v>0.89301669257164396</v>
      </c>
      <c r="G2067">
        <v>0.68471197003974205</v>
      </c>
      <c r="H2067">
        <v>0.18362238257972699</v>
      </c>
      <c r="I2067">
        <v>6.4323714359955694E-2</v>
      </c>
      <c r="J2067">
        <v>5.8751660201253102E-2</v>
      </c>
      <c r="K2067">
        <v>6.0421011846766098E-2</v>
      </c>
      <c r="L2067">
        <v>1910.30579597265</v>
      </c>
      <c r="M2067">
        <v>34.9120261826342</v>
      </c>
      <c r="N2067">
        <v>54.872246448259503</v>
      </c>
      <c r="O2067">
        <v>54.539115061498698</v>
      </c>
      <c r="P2067">
        <v>-0.152539221769565</v>
      </c>
      <c r="Q2067">
        <v>4.6824385560505499E-2</v>
      </c>
      <c r="R2067">
        <v>0.99525664920571699</v>
      </c>
      <c r="S2067" t="s">
        <v>8469</v>
      </c>
      <c r="T2067" t="s">
        <v>12802</v>
      </c>
      <c r="U2067" t="s">
        <v>12802</v>
      </c>
      <c r="V2067" t="s">
        <v>12802</v>
      </c>
      <c r="W2067" t="s">
        <v>14828</v>
      </c>
      <c r="X2067">
        <v>25</v>
      </c>
      <c r="Y2067" t="s">
        <v>21118</v>
      </c>
      <c r="Z2067" t="s">
        <v>27385</v>
      </c>
      <c r="AA2067">
        <v>0.61437383583458349</v>
      </c>
      <c r="AB2067" t="str">
        <f>HYPERLINK("Melting_Curves/meltCurve_P09960_LTA4H.pdf", "Melting_Curves/meltCurve_P09960_LTA4H.pdf")</f>
        <v>Melting_Curves/meltCurve_P09960_LTA4H.pdf</v>
      </c>
    </row>
    <row r="2068" spans="1:28" x14ac:dyDescent="0.25">
      <c r="A2068" t="s">
        <v>2072</v>
      </c>
      <c r="B2068">
        <v>0.99542014353169495</v>
      </c>
      <c r="C2068">
        <v>0.94220741537340702</v>
      </c>
      <c r="D2068">
        <v>0.92000284420048895</v>
      </c>
      <c r="E2068">
        <v>0.85015210918629103</v>
      </c>
      <c r="F2068">
        <v>0.77862685886449401</v>
      </c>
      <c r="G2068">
        <v>0.66786511948093197</v>
      </c>
      <c r="H2068">
        <v>0.55040529565991303</v>
      </c>
      <c r="I2068">
        <v>0.44713633155467902</v>
      </c>
      <c r="J2068">
        <v>0.304648283179</v>
      </c>
      <c r="K2068">
        <v>0.11810757872343</v>
      </c>
      <c r="L2068">
        <v>506.33569953215999</v>
      </c>
      <c r="M2068">
        <v>8.76426798808264</v>
      </c>
      <c r="N2068">
        <v>57.772722281115001</v>
      </c>
      <c r="O2068">
        <v>55.001714899565002</v>
      </c>
      <c r="P2068">
        <v>-3.9868305672156497E-2</v>
      </c>
      <c r="Q2068">
        <v>0</v>
      </c>
      <c r="R2068">
        <v>0.97183128499512195</v>
      </c>
      <c r="S2068" t="s">
        <v>8470</v>
      </c>
      <c r="T2068" t="s">
        <v>12802</v>
      </c>
      <c r="U2068" t="s">
        <v>12802</v>
      </c>
      <c r="V2068" t="s">
        <v>12802</v>
      </c>
      <c r="W2068" t="s">
        <v>14829</v>
      </c>
      <c r="X2068">
        <v>38</v>
      </c>
      <c r="Y2068" t="s">
        <v>21119</v>
      </c>
      <c r="Z2068" t="s">
        <v>27386</v>
      </c>
      <c r="AA2068">
        <v>0.67914306917691303</v>
      </c>
      <c r="AB2068" t="str">
        <f>HYPERLINK("Melting_Curves/meltCurve_P09972_ALDOC.pdf", "Melting_Curves/meltCurve_P09972_ALDOC.pdf")</f>
        <v>Melting_Curves/meltCurve_P09972_ALDOC.pdf</v>
      </c>
    </row>
    <row r="2069" spans="1:28" x14ac:dyDescent="0.25">
      <c r="A2069" t="s">
        <v>2073</v>
      </c>
      <c r="B2069">
        <v>0.99542014353169495</v>
      </c>
      <c r="C2069">
        <v>0.87678880730703002</v>
      </c>
      <c r="D2069">
        <v>0.86978934665679497</v>
      </c>
      <c r="E2069">
        <v>0.54275338252888705</v>
      </c>
      <c r="F2069">
        <v>0.25109513798934002</v>
      </c>
      <c r="G2069">
        <v>0.101191999849068</v>
      </c>
      <c r="H2069">
        <v>0.10227339474516201</v>
      </c>
      <c r="I2069">
        <v>6.8247655556593206E-2</v>
      </c>
      <c r="J2069">
        <v>2.3002708584854301E-2</v>
      </c>
      <c r="K2069">
        <v>2.57810658502131E-2</v>
      </c>
      <c r="L2069">
        <v>821.71203952829501</v>
      </c>
      <c r="M2069">
        <v>17.534319126465</v>
      </c>
      <c r="N2069">
        <v>47.038682827075696</v>
      </c>
      <c r="O2069">
        <v>46.266264468252302</v>
      </c>
      <c r="P2069">
        <v>-9.1749962333182999E-2</v>
      </c>
      <c r="Q2069">
        <v>3.1682575370591902E-2</v>
      </c>
      <c r="R2069">
        <v>0.99276989027995</v>
      </c>
      <c r="S2069" t="s">
        <v>8471</v>
      </c>
      <c r="T2069" t="s">
        <v>12802</v>
      </c>
      <c r="U2069" t="s">
        <v>12802</v>
      </c>
      <c r="V2069" t="s">
        <v>12802</v>
      </c>
      <c r="W2069" t="s">
        <v>14830</v>
      </c>
      <c r="X2069">
        <v>1</v>
      </c>
      <c r="Y2069" t="s">
        <v>21120</v>
      </c>
      <c r="Z2069" t="s">
        <v>27387</v>
      </c>
      <c r="AA2069">
        <v>0.36639154337654201</v>
      </c>
      <c r="AB2069" t="str">
        <f>HYPERLINK("Melting_Curves/meltCurve_P0C2W1_FBXO45.pdf", "Melting_Curves/meltCurve_P0C2W1_FBXO45.pdf")</f>
        <v>Melting_Curves/meltCurve_P0C2W1_FBXO45.pdf</v>
      </c>
    </row>
    <row r="2070" spans="1:28" x14ac:dyDescent="0.25">
      <c r="A2070" t="s">
        <v>2074</v>
      </c>
      <c r="B2070">
        <v>0.99542014353169495</v>
      </c>
      <c r="C2070">
        <v>1.05700690367343</v>
      </c>
      <c r="D2070">
        <v>1.03908359271162</v>
      </c>
      <c r="E2070">
        <v>0.87165599331799104</v>
      </c>
      <c r="F2070">
        <v>0.484197807063389</v>
      </c>
      <c r="G2070">
        <v>0.19802990960639</v>
      </c>
      <c r="H2070">
        <v>0.109801449755943</v>
      </c>
      <c r="I2070">
        <v>0.1072392313327</v>
      </c>
      <c r="J2070">
        <v>9.7969397719962201E-2</v>
      </c>
      <c r="K2070">
        <v>0.13759392449050201</v>
      </c>
      <c r="L2070">
        <v>1451.808937434</v>
      </c>
      <c r="M2070">
        <v>29.252660306139699</v>
      </c>
      <c r="N2070">
        <v>50.051013738830903</v>
      </c>
      <c r="O2070">
        <v>49.3997787801272</v>
      </c>
      <c r="P2070">
        <v>-0.13189403268355601</v>
      </c>
      <c r="Q2070">
        <v>0.10907397151873401</v>
      </c>
      <c r="R2070">
        <v>0.99572819638695298</v>
      </c>
      <c r="S2070" t="s">
        <v>8472</v>
      </c>
      <c r="T2070" t="s">
        <v>12802</v>
      </c>
      <c r="U2070" t="s">
        <v>12802</v>
      </c>
      <c r="V2070" t="s">
        <v>12802</v>
      </c>
      <c r="W2070" t="s">
        <v>14831</v>
      </c>
      <c r="X2070">
        <v>1</v>
      </c>
      <c r="Y2070" t="s">
        <v>21121</v>
      </c>
      <c r="Z2070" t="s">
        <v>27388</v>
      </c>
      <c r="AA2070">
        <v>0.48986426339292521</v>
      </c>
      <c r="AB2070" t="str">
        <f>HYPERLINK("Melting_Curves/meltCurve_P0C7P0_CISD3.pdf", "Melting_Curves/meltCurve_P0C7P0_CISD3.pdf")</f>
        <v>Melting_Curves/meltCurve_P0C7P0_CISD3.pdf</v>
      </c>
    </row>
    <row r="2071" spans="1:28" x14ac:dyDescent="0.25">
      <c r="A2071" t="s">
        <v>2075</v>
      </c>
      <c r="B2071">
        <v>0.99542014353169495</v>
      </c>
      <c r="C2071">
        <v>1.34971971238416</v>
      </c>
      <c r="D2071">
        <v>1.6444577116525201</v>
      </c>
      <c r="E2071">
        <v>4.2663899149431304</v>
      </c>
      <c r="F2071">
        <v>4.23052184762276</v>
      </c>
      <c r="G2071">
        <v>1.5829450123387101</v>
      </c>
      <c r="H2071">
        <v>0.62806689705904095</v>
      </c>
      <c r="I2071">
        <v>0</v>
      </c>
      <c r="J2071">
        <v>0</v>
      </c>
      <c r="K2071">
        <v>0</v>
      </c>
      <c r="L2071">
        <v>14380.073755998999</v>
      </c>
      <c r="M2071">
        <v>250</v>
      </c>
      <c r="N2071">
        <v>57.520295027910699</v>
      </c>
      <c r="O2071">
        <v>57.516616650145899</v>
      </c>
      <c r="P2071">
        <v>-1.0866425474122601</v>
      </c>
      <c r="Q2071">
        <v>0</v>
      </c>
      <c r="R2071">
        <v>4.0657877411692099E-2</v>
      </c>
      <c r="S2071" t="s">
        <v>8473</v>
      </c>
      <c r="T2071" t="s">
        <v>12802</v>
      </c>
      <c r="U2071" t="s">
        <v>12802</v>
      </c>
      <c r="V2071" t="s">
        <v>12802</v>
      </c>
      <c r="W2071" t="s">
        <v>14832</v>
      </c>
      <c r="X2071">
        <v>11</v>
      </c>
      <c r="Y2071" t="s">
        <v>21122</v>
      </c>
      <c r="Z2071" t="s">
        <v>27389</v>
      </c>
      <c r="AA2071">
        <v>0.68411078135575332</v>
      </c>
      <c r="AB2071" t="str">
        <f>HYPERLINK("Melting_Curves/meltCurve_P0C7P4_UQCRFS1P1.pdf", "Melting_Curves/meltCurve_P0C7P4_UQCRFS1P1.pdf")</f>
        <v>Melting_Curves/meltCurve_P0C7P4_UQCRFS1P1.pdf</v>
      </c>
    </row>
    <row r="2072" spans="1:28" x14ac:dyDescent="0.25">
      <c r="A2072" t="s">
        <v>2076</v>
      </c>
      <c r="B2072">
        <v>0.99542014353169495</v>
      </c>
      <c r="C2072">
        <v>0.95080264193258102</v>
      </c>
      <c r="D2072">
        <v>0.80287116631622801</v>
      </c>
      <c r="E2072">
        <v>0.486200027936944</v>
      </c>
      <c r="F2072">
        <v>0.34109138959914498</v>
      </c>
      <c r="G2072">
        <v>0.114870745962919</v>
      </c>
      <c r="H2072">
        <v>7.8924505965390995E-2</v>
      </c>
      <c r="I2072">
        <v>5.2953578375514399E-2</v>
      </c>
      <c r="J2072">
        <v>2.6249433858065899E-2</v>
      </c>
      <c r="K2072">
        <v>7.8850264920953497E-2</v>
      </c>
      <c r="L2072">
        <v>719.55740665303495</v>
      </c>
      <c r="M2072">
        <v>15.406505305794701</v>
      </c>
      <c r="N2072">
        <v>46.921386397250103</v>
      </c>
      <c r="O2072">
        <v>45.939113648272397</v>
      </c>
      <c r="P2072">
        <v>-8.0971350159816394E-2</v>
      </c>
      <c r="Q2072">
        <v>3.4326246103996802E-2</v>
      </c>
      <c r="R2072">
        <v>0.993829805777668</v>
      </c>
      <c r="S2072" t="s">
        <v>8474</v>
      </c>
      <c r="T2072" t="s">
        <v>12802</v>
      </c>
      <c r="U2072" t="s">
        <v>12802</v>
      </c>
      <c r="V2072" t="s">
        <v>12802</v>
      </c>
      <c r="W2072" t="s">
        <v>14833</v>
      </c>
      <c r="X2072">
        <v>2</v>
      </c>
      <c r="Y2072" t="s">
        <v>21123</v>
      </c>
      <c r="Z2072" t="s">
        <v>27390</v>
      </c>
      <c r="AA2072">
        <v>0.36755374307038807</v>
      </c>
      <c r="AB2072" t="str">
        <f>HYPERLINK("Melting_Curves/meltCurve_P0C7T5_ATXN1L.pdf", "Melting_Curves/meltCurve_P0C7T5_ATXN1L.pdf")</f>
        <v>Melting_Curves/meltCurve_P0C7T5_ATXN1L.pdf</v>
      </c>
    </row>
    <row r="2073" spans="1:28" x14ac:dyDescent="0.25">
      <c r="A2073" t="s">
        <v>2077</v>
      </c>
      <c r="B2073">
        <v>0.99542014353169495</v>
      </c>
      <c r="C2073">
        <v>0.91356014324817703</v>
      </c>
      <c r="D2073">
        <v>0.99692842314361996</v>
      </c>
      <c r="E2073">
        <v>0.83031942369115797</v>
      </c>
      <c r="F2073">
        <v>0.56242289325133898</v>
      </c>
      <c r="G2073">
        <v>0.31489364536383901</v>
      </c>
      <c r="H2073">
        <v>0.164341138515461</v>
      </c>
      <c r="I2073">
        <v>0.11531916027692</v>
      </c>
      <c r="J2073">
        <v>0.12956781713403301</v>
      </c>
      <c r="K2073">
        <v>0.13324153046691001</v>
      </c>
      <c r="L2073">
        <v>974.056843052158</v>
      </c>
      <c r="M2073">
        <v>19.376783907207798</v>
      </c>
      <c r="N2073">
        <v>50.906494448337298</v>
      </c>
      <c r="O2073">
        <v>49.743043034711498</v>
      </c>
      <c r="P2073">
        <v>-8.6900549063127205E-2</v>
      </c>
      <c r="Q2073">
        <v>0.107687153979262</v>
      </c>
      <c r="R2073">
        <v>0.99344637493784105</v>
      </c>
      <c r="S2073" t="s">
        <v>8475</v>
      </c>
      <c r="T2073" t="s">
        <v>12802</v>
      </c>
      <c r="U2073" t="s">
        <v>12802</v>
      </c>
      <c r="V2073" t="s">
        <v>12802</v>
      </c>
      <c r="W2073" t="s">
        <v>14834</v>
      </c>
      <c r="X2073">
        <v>2</v>
      </c>
      <c r="Y2073" t="s">
        <v>21124</v>
      </c>
      <c r="Z2073" t="s">
        <v>27391</v>
      </c>
      <c r="AA2073">
        <v>0.51475964096251126</v>
      </c>
      <c r="AB2073" t="str">
        <f>HYPERLINK("Melting_Curves/meltCurve_P0C869_8_PLA2G4B.pdf", "Melting_Curves/meltCurve_P0C869_8_PLA2G4B.pdf")</f>
        <v>Melting_Curves/meltCurve_P0C869_8_PLA2G4B.pdf</v>
      </c>
    </row>
    <row r="2074" spans="1:28" x14ac:dyDescent="0.25">
      <c r="A2074" t="s">
        <v>2078</v>
      </c>
      <c r="B2074">
        <v>0.99542014353169495</v>
      </c>
      <c r="C2074">
        <v>1.0175882672524501</v>
      </c>
      <c r="D2074">
        <v>0.88856741036446796</v>
      </c>
      <c r="E2074">
        <v>0.82887338864464999</v>
      </c>
      <c r="F2074">
        <v>0.64382229230250099</v>
      </c>
      <c r="G2074">
        <v>0.53461715449096403</v>
      </c>
      <c r="H2074">
        <v>0.39484100718940901</v>
      </c>
      <c r="I2074">
        <v>0.44728585269380799</v>
      </c>
      <c r="J2074">
        <v>0.74560074174209101</v>
      </c>
      <c r="K2074">
        <v>0.984135100428294</v>
      </c>
      <c r="L2074">
        <v>1267.5181537359999</v>
      </c>
      <c r="M2074">
        <v>27.4739981770783</v>
      </c>
      <c r="O2074">
        <v>45.892845640635798</v>
      </c>
      <c r="P2074">
        <v>-5.6741146628238003E-2</v>
      </c>
      <c r="Q2074">
        <v>0.62087955351677904</v>
      </c>
      <c r="R2074">
        <v>0.49650188582985899</v>
      </c>
      <c r="S2074" t="s">
        <v>8476</v>
      </c>
      <c r="T2074" t="s">
        <v>12802</v>
      </c>
      <c r="U2074" t="s">
        <v>12802</v>
      </c>
      <c r="V2074" t="s">
        <v>12802</v>
      </c>
      <c r="W2074" t="s">
        <v>14835</v>
      </c>
      <c r="X2074">
        <v>10</v>
      </c>
      <c r="Y2074" t="s">
        <v>21125</v>
      </c>
      <c r="Z2074" t="s">
        <v>27392</v>
      </c>
      <c r="AA2074">
        <v>0.73891876683412905</v>
      </c>
      <c r="AB2074" t="str">
        <f>HYPERLINK("Melting_Curves/meltCurve_P0CG12_CHTF8.pdf", "Melting_Curves/meltCurve_P0CG12_CHTF8.pdf")</f>
        <v>Melting_Curves/meltCurve_P0CG12_CHTF8.pdf</v>
      </c>
    </row>
    <row r="2075" spans="1:28" x14ac:dyDescent="0.25">
      <c r="A2075" t="s">
        <v>2079</v>
      </c>
      <c r="B2075">
        <v>0.99542014353169495</v>
      </c>
      <c r="C2075">
        <v>0.93443834678026105</v>
      </c>
      <c r="D2075">
        <v>0.89594780148869702</v>
      </c>
      <c r="E2075">
        <v>0.805890337831357</v>
      </c>
      <c r="F2075">
        <v>0.53904494331167996</v>
      </c>
      <c r="G2075">
        <v>0.37616542028189598</v>
      </c>
      <c r="H2075">
        <v>0.171089130427484</v>
      </c>
      <c r="I2075">
        <v>0.11468726691211199</v>
      </c>
      <c r="J2075">
        <v>0.102317394060064</v>
      </c>
      <c r="K2075">
        <v>0.13551722445450301</v>
      </c>
      <c r="L2075">
        <v>711.08216266655097</v>
      </c>
      <c r="M2075">
        <v>14.086505965391</v>
      </c>
      <c r="N2075">
        <v>50.982954373683398</v>
      </c>
      <c r="O2075">
        <v>49.4949799089217</v>
      </c>
      <c r="P2075">
        <v>-6.6541274827357E-2</v>
      </c>
      <c r="Q2075">
        <v>6.4910712881083396E-2</v>
      </c>
      <c r="R2075">
        <v>0.99287045215943404</v>
      </c>
      <c r="S2075" t="s">
        <v>8477</v>
      </c>
      <c r="T2075" t="s">
        <v>12802</v>
      </c>
      <c r="U2075" t="s">
        <v>12802</v>
      </c>
      <c r="V2075" t="s">
        <v>12802</v>
      </c>
      <c r="W2075" t="s">
        <v>14836</v>
      </c>
      <c r="X2075">
        <v>9</v>
      </c>
      <c r="Y2075" t="s">
        <v>21126</v>
      </c>
      <c r="Z2075" t="s">
        <v>27393</v>
      </c>
      <c r="AA2075">
        <v>0.50598118014307369</v>
      </c>
      <c r="AB2075" t="str">
        <f>HYPERLINK("Melting_Curves/meltCurve_P0CW22_RPS17L.pdf", "Melting_Curves/meltCurve_P0CW22_RPS17L.pdf")</f>
        <v>Melting_Curves/meltCurve_P0CW22_RPS17L.pdf</v>
      </c>
    </row>
    <row r="2076" spans="1:28" x14ac:dyDescent="0.25">
      <c r="A2076" t="s">
        <v>2080</v>
      </c>
      <c r="B2076">
        <v>0.99542014353169495</v>
      </c>
      <c r="C2076">
        <v>1.09824505665661</v>
      </c>
      <c r="D2076">
        <v>0.80050144217110997</v>
      </c>
      <c r="E2076">
        <v>0.696367053002099</v>
      </c>
      <c r="F2076">
        <v>0.68021174470681001</v>
      </c>
      <c r="G2076">
        <v>0.477377136516137</v>
      </c>
      <c r="H2076">
        <v>0.45028685102550697</v>
      </c>
      <c r="I2076">
        <v>0.333928802026145</v>
      </c>
      <c r="J2076">
        <v>0.56432141266813296</v>
      </c>
      <c r="K2076">
        <v>0.76182138911171104</v>
      </c>
      <c r="L2076">
        <v>920.99319785709395</v>
      </c>
      <c r="M2076">
        <v>20.3977999708396</v>
      </c>
      <c r="O2076">
        <v>44.724346595078401</v>
      </c>
      <c r="P2076">
        <v>-5.3754985781149997E-2</v>
      </c>
      <c r="Q2076">
        <v>0.52856008638008101</v>
      </c>
      <c r="R2076">
        <v>0.73676761254560497</v>
      </c>
      <c r="S2076" t="s">
        <v>8478</v>
      </c>
      <c r="T2076" t="s">
        <v>12802</v>
      </c>
      <c r="U2076" t="s">
        <v>12802</v>
      </c>
      <c r="V2076" t="s">
        <v>12802</v>
      </c>
      <c r="W2076" t="s">
        <v>14837</v>
      </c>
      <c r="X2076">
        <v>2</v>
      </c>
      <c r="Y2076" t="s">
        <v>21127</v>
      </c>
      <c r="Z2076" t="s">
        <v>27394</v>
      </c>
      <c r="AA2076">
        <v>0.66259575078553989</v>
      </c>
      <c r="AB2076" t="str">
        <f>HYPERLINK("Melting_Curves/meltCurve_P0DJ93_SMIM13.pdf", "Melting_Curves/meltCurve_P0DJ93_SMIM13.pdf")</f>
        <v>Melting_Curves/meltCurve_P0DJ93_SMIM13.pdf</v>
      </c>
    </row>
    <row r="2077" spans="1:28" x14ac:dyDescent="0.25">
      <c r="A2077" t="s">
        <v>2081</v>
      </c>
      <c r="B2077">
        <v>0.99542014353169495</v>
      </c>
      <c r="C2077">
        <v>1.06930328324108</v>
      </c>
      <c r="D2077">
        <v>0.93459257073647295</v>
      </c>
      <c r="E2077">
        <v>0.90496350911981105</v>
      </c>
      <c r="F2077">
        <v>0.74953337655712005</v>
      </c>
      <c r="G2077">
        <v>0.62212401101996495</v>
      </c>
      <c r="H2077">
        <v>0.380412826880624</v>
      </c>
      <c r="I2077">
        <v>0.309576960850871</v>
      </c>
      <c r="J2077">
        <v>0.44428812539312701</v>
      </c>
      <c r="K2077">
        <v>0.60048450417047905</v>
      </c>
      <c r="L2077">
        <v>1129.6767967385199</v>
      </c>
      <c r="M2077">
        <v>22.282288132999401</v>
      </c>
      <c r="N2077">
        <v>55.727743414539603</v>
      </c>
      <c r="O2077">
        <v>50.295371339878599</v>
      </c>
      <c r="P2077">
        <v>-6.2793075739208101E-2</v>
      </c>
      <c r="Q2077">
        <v>0.43306823626850899</v>
      </c>
      <c r="R2077">
        <v>0.89787319320532599</v>
      </c>
      <c r="S2077" t="s">
        <v>8479</v>
      </c>
      <c r="T2077" t="s">
        <v>12802</v>
      </c>
      <c r="U2077" t="s">
        <v>12802</v>
      </c>
      <c r="V2077" t="s">
        <v>12802</v>
      </c>
      <c r="W2077" t="s">
        <v>14838</v>
      </c>
      <c r="X2077">
        <v>9</v>
      </c>
      <c r="Y2077" t="s">
        <v>21128</v>
      </c>
      <c r="Z2077" t="s">
        <v>27395</v>
      </c>
      <c r="AA2077">
        <v>0.69810053631362234</v>
      </c>
      <c r="AB2077" t="str">
        <f>HYPERLINK("Melting_Curves/meltCurve_P10109_FDX1.pdf", "Melting_Curves/meltCurve_P10109_FDX1.pdf")</f>
        <v>Melting_Curves/meltCurve_P10109_FDX1.pdf</v>
      </c>
    </row>
    <row r="2078" spans="1:28" x14ac:dyDescent="0.25">
      <c r="A2078" t="s">
        <v>2082</v>
      </c>
      <c r="B2078">
        <v>0.99542014353169495</v>
      </c>
      <c r="C2078">
        <v>1.0735970748264601</v>
      </c>
      <c r="D2078">
        <v>0.95942195964080002</v>
      </c>
      <c r="E2078">
        <v>0.94705867362893104</v>
      </c>
      <c r="F2078">
        <v>0.764526735374912</v>
      </c>
      <c r="G2078">
        <v>0.58759222970764102</v>
      </c>
      <c r="H2078">
        <v>0.50847248597343198</v>
      </c>
      <c r="I2078">
        <v>0.55534418961392695</v>
      </c>
      <c r="J2078">
        <v>1.041824382171</v>
      </c>
      <c r="K2078">
        <v>1.3463419970933701</v>
      </c>
      <c r="L2078">
        <v>11697.391613485601</v>
      </c>
      <c r="M2078">
        <v>250</v>
      </c>
      <c r="O2078">
        <v>46.786572054169199</v>
      </c>
      <c r="P2078">
        <v>-0.26625739171736701</v>
      </c>
      <c r="Q2078">
        <v>0.80068366919519895</v>
      </c>
      <c r="R2078">
        <v>0.142436343950572</v>
      </c>
      <c r="S2078" t="s">
        <v>8480</v>
      </c>
      <c r="T2078" t="s">
        <v>12802</v>
      </c>
      <c r="U2078" t="s">
        <v>12802</v>
      </c>
      <c r="V2078" t="s">
        <v>12802</v>
      </c>
      <c r="W2078" t="s">
        <v>14839</v>
      </c>
      <c r="X2078">
        <v>4</v>
      </c>
      <c r="Y2078" t="s">
        <v>21129</v>
      </c>
      <c r="Z2078" t="s">
        <v>27396</v>
      </c>
      <c r="AA2078">
        <v>0.86574071824023258</v>
      </c>
      <c r="AB2078" t="str">
        <f>HYPERLINK("Melting_Curves/meltCurve_P10124_SRGN.pdf", "Melting_Curves/meltCurve_P10124_SRGN.pdf")</f>
        <v>Melting_Curves/meltCurve_P10124_SRGN.pdf</v>
      </c>
    </row>
    <row r="2079" spans="1:28" x14ac:dyDescent="0.25">
      <c r="A2079" t="s">
        <v>2083</v>
      </c>
      <c r="B2079">
        <v>0.99542014353169495</v>
      </c>
      <c r="C2079">
        <v>0.92645651713672394</v>
      </c>
      <c r="D2079">
        <v>0.88469614752640502</v>
      </c>
      <c r="E2079">
        <v>0.86528974513846602</v>
      </c>
      <c r="F2079">
        <v>0.66318849897160603</v>
      </c>
      <c r="G2079">
        <v>0.54262192122757602</v>
      </c>
      <c r="H2079">
        <v>0.273309699919564</v>
      </c>
      <c r="I2079">
        <v>0.22039018785325901</v>
      </c>
      <c r="J2079">
        <v>0.104922629625405</v>
      </c>
      <c r="K2079">
        <v>0.172486166438934</v>
      </c>
      <c r="L2079">
        <v>591.716498328748</v>
      </c>
      <c r="M2079">
        <v>11.1092631672755</v>
      </c>
      <c r="N2079">
        <v>53.5190166580349</v>
      </c>
      <c r="O2079">
        <v>51.624854200982298</v>
      </c>
      <c r="P2079">
        <v>-5.2424763319391401E-2</v>
      </c>
      <c r="Q2079">
        <v>2.5842982688018101E-2</v>
      </c>
      <c r="R2079">
        <v>0.98344346716480402</v>
      </c>
      <c r="S2079" t="s">
        <v>8481</v>
      </c>
      <c r="T2079" t="s">
        <v>12802</v>
      </c>
      <c r="U2079" t="s">
        <v>12802</v>
      </c>
      <c r="V2079" t="s">
        <v>12802</v>
      </c>
      <c r="W2079" t="s">
        <v>14840</v>
      </c>
      <c r="X2079">
        <v>28</v>
      </c>
      <c r="Y2079" t="s">
        <v>21130</v>
      </c>
      <c r="Z2079" t="s">
        <v>27397</v>
      </c>
      <c r="AA2079">
        <v>0.57426515468425021</v>
      </c>
      <c r="AB2079" t="str">
        <f>HYPERLINK("Melting_Curves/meltCurve_P10155_TROVE2.pdf", "Melting_Curves/meltCurve_P10155_TROVE2.pdf")</f>
        <v>Melting_Curves/meltCurve_P10155_TROVE2.pdf</v>
      </c>
    </row>
    <row r="2080" spans="1:28" x14ac:dyDescent="0.25">
      <c r="A2080" t="s">
        <v>2084</v>
      </c>
      <c r="B2080">
        <v>0.99542014353169495</v>
      </c>
      <c r="C2080">
        <v>1.07967034619603</v>
      </c>
      <c r="D2080">
        <v>0.83569183122511703</v>
      </c>
      <c r="E2080">
        <v>0.80740199510559196</v>
      </c>
      <c r="F2080">
        <v>0.46939106052144097</v>
      </c>
      <c r="G2080">
        <v>0.37509145225683699</v>
      </c>
      <c r="H2080">
        <v>0.21845505887556099</v>
      </c>
      <c r="I2080">
        <v>9.94580793669924E-2</v>
      </c>
      <c r="J2080">
        <v>9.8660575665983394E-2</v>
      </c>
      <c r="K2080">
        <v>0</v>
      </c>
      <c r="L2080">
        <v>630.76059703732994</v>
      </c>
      <c r="M2080">
        <v>12.404033204041401</v>
      </c>
      <c r="N2080">
        <v>50.851251382426298</v>
      </c>
      <c r="O2080">
        <v>49.583804258992501</v>
      </c>
      <c r="P2080">
        <v>-6.2554009288380702E-2</v>
      </c>
      <c r="Q2080">
        <v>0</v>
      </c>
      <c r="R2080">
        <v>0.97916250430408303</v>
      </c>
      <c r="S2080" t="s">
        <v>8482</v>
      </c>
      <c r="T2080" t="s">
        <v>12802</v>
      </c>
      <c r="U2080" t="s">
        <v>12802</v>
      </c>
      <c r="V2080" t="s">
        <v>12802</v>
      </c>
      <c r="W2080" t="s">
        <v>14841</v>
      </c>
      <c r="X2080">
        <v>1</v>
      </c>
      <c r="Y2080" t="s">
        <v>21131</v>
      </c>
      <c r="Z2080" t="s">
        <v>27398</v>
      </c>
      <c r="AA2080">
        <v>0.4871557200225205</v>
      </c>
      <c r="AB2080" t="str">
        <f>HYPERLINK("Melting_Curves/meltCurve_P10244_MYBL2.pdf", "Melting_Curves/meltCurve_P10244_MYBL2.pdf")</f>
        <v>Melting_Curves/meltCurve_P10244_MYBL2.pdf</v>
      </c>
    </row>
    <row r="2081" spans="1:28" x14ac:dyDescent="0.25">
      <c r="A2081" t="s">
        <v>2085</v>
      </c>
      <c r="B2081">
        <v>0.99542014353169495</v>
      </c>
      <c r="C2081">
        <v>1.0907046738028201</v>
      </c>
      <c r="D2081">
        <v>0.89545566891528094</v>
      </c>
      <c r="E2081">
        <v>0.78530777353326697</v>
      </c>
      <c r="F2081">
        <v>0.66956473680588002</v>
      </c>
      <c r="G2081">
        <v>0.56897255596153495</v>
      </c>
      <c r="H2081">
        <v>0.44804520291598599</v>
      </c>
      <c r="I2081">
        <v>0.35923980186523602</v>
      </c>
      <c r="J2081">
        <v>0.25132953496614602</v>
      </c>
      <c r="K2081">
        <v>8.7512037647616295E-2</v>
      </c>
      <c r="L2081">
        <v>475.80160165379601</v>
      </c>
      <c r="M2081">
        <v>8.6158674179079995</v>
      </c>
      <c r="N2081">
        <v>55.223876895462503</v>
      </c>
      <c r="O2081">
        <v>52.490513575915401</v>
      </c>
      <c r="P2081">
        <v>-4.1070492908157001E-2</v>
      </c>
      <c r="Q2081">
        <v>0</v>
      </c>
      <c r="R2081">
        <v>0.96705514504583501</v>
      </c>
      <c r="S2081" t="s">
        <v>8483</v>
      </c>
      <c r="T2081" t="s">
        <v>12802</v>
      </c>
      <c r="U2081" t="s">
        <v>12802</v>
      </c>
      <c r="V2081" t="s">
        <v>12802</v>
      </c>
      <c r="W2081" t="s">
        <v>14842</v>
      </c>
      <c r="X2081">
        <v>6</v>
      </c>
      <c r="Y2081" t="s">
        <v>21132</v>
      </c>
      <c r="Z2081" t="s">
        <v>27399</v>
      </c>
      <c r="AA2081">
        <v>0.61473072335763157</v>
      </c>
      <c r="AB2081" t="str">
        <f>HYPERLINK("Melting_Curves/meltCurve_P10301_RRAS.pdf", "Melting_Curves/meltCurve_P10301_RRAS.pdf")</f>
        <v>Melting_Curves/meltCurve_P10301_RRAS.pdf</v>
      </c>
    </row>
    <row r="2082" spans="1:28" x14ac:dyDescent="0.25">
      <c r="A2082" t="s">
        <v>2086</v>
      </c>
      <c r="B2082">
        <v>0.99542014353169495</v>
      </c>
      <c r="C2082">
        <v>0.84121779143890796</v>
      </c>
      <c r="D2082">
        <v>0.82105630157773801</v>
      </c>
      <c r="E2082">
        <v>0.55701353346953297</v>
      </c>
      <c r="F2082">
        <v>0.15730441645224899</v>
      </c>
      <c r="G2082">
        <v>8.5314149613573503E-2</v>
      </c>
      <c r="H2082">
        <v>5.4634598241812202E-2</v>
      </c>
      <c r="I2082">
        <v>3.7787696629392402E-2</v>
      </c>
      <c r="J2082">
        <v>3.6961460104048702E-2</v>
      </c>
      <c r="K2082">
        <v>3.1394151595455499E-2</v>
      </c>
      <c r="L2082">
        <v>839.30142218092703</v>
      </c>
      <c r="M2082">
        <v>18.060431551471002</v>
      </c>
      <c r="N2082">
        <v>46.566949847326498</v>
      </c>
      <c r="O2082">
        <v>45.913332171748202</v>
      </c>
      <c r="P2082">
        <v>-9.6563759824890003E-2</v>
      </c>
      <c r="Q2082">
        <v>1.8108231445718301E-2</v>
      </c>
      <c r="R2082">
        <v>0.985433261324551</v>
      </c>
      <c r="S2082" t="s">
        <v>8484</v>
      </c>
      <c r="T2082" t="s">
        <v>12802</v>
      </c>
      <c r="U2082" t="s">
        <v>12802</v>
      </c>
      <c r="V2082" t="s">
        <v>12802</v>
      </c>
      <c r="W2082" t="s">
        <v>14843</v>
      </c>
      <c r="X2082">
        <v>13</v>
      </c>
      <c r="Y2082" t="s">
        <v>21133</v>
      </c>
      <c r="Z2082" t="s">
        <v>27400</v>
      </c>
      <c r="AA2082">
        <v>0.34382570610812169</v>
      </c>
      <c r="AB2082" t="str">
        <f>HYPERLINK("Melting_Curves/meltCurve_P10398_ARAF.pdf", "Melting_Curves/meltCurve_P10398_ARAF.pdf")</f>
        <v>Melting_Curves/meltCurve_P10398_ARAF.pdf</v>
      </c>
    </row>
    <row r="2083" spans="1:28" x14ac:dyDescent="0.25">
      <c r="A2083" t="s">
        <v>2087</v>
      </c>
      <c r="B2083">
        <v>0.99542014353169495</v>
      </c>
      <c r="C2083">
        <v>0.919693352559526</v>
      </c>
      <c r="D2083">
        <v>0.83460485272199303</v>
      </c>
      <c r="E2083">
        <v>0.66917049823858799</v>
      </c>
      <c r="F2083">
        <v>0.437915537078791</v>
      </c>
      <c r="G2083">
        <v>0.26948182070329502</v>
      </c>
      <c r="H2083">
        <v>0.20123724931616799</v>
      </c>
      <c r="I2083">
        <v>0.12680892380857101</v>
      </c>
      <c r="J2083">
        <v>0.16521981543210101</v>
      </c>
      <c r="K2083">
        <v>0.30185220753640502</v>
      </c>
      <c r="L2083">
        <v>730.86742190810003</v>
      </c>
      <c r="M2083">
        <v>15.4172655370831</v>
      </c>
      <c r="N2083">
        <v>48.7634029305339</v>
      </c>
      <c r="O2083">
        <v>46.629682924728698</v>
      </c>
      <c r="P2083">
        <v>-6.8240889796828699E-2</v>
      </c>
      <c r="Q2083">
        <v>0.17449370523695601</v>
      </c>
      <c r="R2083">
        <v>0.97588140345846897</v>
      </c>
      <c r="S2083" t="s">
        <v>8485</v>
      </c>
      <c r="T2083" t="s">
        <v>12802</v>
      </c>
      <c r="U2083" t="s">
        <v>12802</v>
      </c>
      <c r="V2083" t="s">
        <v>12802</v>
      </c>
      <c r="W2083" t="s">
        <v>14844</v>
      </c>
      <c r="X2083">
        <v>13</v>
      </c>
      <c r="Y2083" t="s">
        <v>21134</v>
      </c>
      <c r="Z2083" t="s">
        <v>27401</v>
      </c>
      <c r="AA2083">
        <v>0.47837923142020611</v>
      </c>
      <c r="AB2083" t="str">
        <f>HYPERLINK("Melting_Curves/meltCurve_P10412_HIST1H1E.pdf", "Melting_Curves/meltCurve_P10412_HIST1H1E.pdf")</f>
        <v>Melting_Curves/meltCurve_P10412_HIST1H1E.pdf</v>
      </c>
    </row>
    <row r="2084" spans="1:28" x14ac:dyDescent="0.25">
      <c r="A2084" t="s">
        <v>2088</v>
      </c>
      <c r="B2084">
        <v>0.99542014353169495</v>
      </c>
      <c r="C2084">
        <v>1.04922416933247</v>
      </c>
      <c r="D2084">
        <v>0.89556505739918901</v>
      </c>
      <c r="E2084">
        <v>0.67827203128677505</v>
      </c>
      <c r="F2084">
        <v>0.46137307680249201</v>
      </c>
      <c r="G2084">
        <v>0.27072640236467499</v>
      </c>
      <c r="H2084">
        <v>0.174856543731917</v>
      </c>
      <c r="I2084">
        <v>0.14509920697914799</v>
      </c>
      <c r="J2084">
        <v>0.22377536070687101</v>
      </c>
      <c r="K2084">
        <v>0.15065033726520699</v>
      </c>
      <c r="L2084">
        <v>852.29243069683696</v>
      </c>
      <c r="M2084">
        <v>17.694444254640999</v>
      </c>
      <c r="N2084">
        <v>49.209696173010599</v>
      </c>
      <c r="O2084">
        <v>47.564651331598803</v>
      </c>
      <c r="P2084">
        <v>-7.8470210722672601E-2</v>
      </c>
      <c r="Q2084">
        <v>0.15629761411010201</v>
      </c>
      <c r="R2084">
        <v>0.99051598025808396</v>
      </c>
      <c r="S2084" t="s">
        <v>8486</v>
      </c>
      <c r="T2084" t="s">
        <v>12802</v>
      </c>
      <c r="U2084" t="s">
        <v>12802</v>
      </c>
      <c r="V2084" t="s">
        <v>12802</v>
      </c>
      <c r="W2084" t="s">
        <v>14845</v>
      </c>
      <c r="X2084">
        <v>1</v>
      </c>
      <c r="Y2084" t="s">
        <v>21135</v>
      </c>
      <c r="Z2084" t="s">
        <v>27402</v>
      </c>
      <c r="AA2084">
        <v>0.48425747448009743</v>
      </c>
      <c r="AB2084" t="str">
        <f>HYPERLINK("Melting_Curves/meltCurve_P10586_2_PTPRF.pdf", "Melting_Curves/meltCurve_P10586_2_PTPRF.pdf")</f>
        <v>Melting_Curves/meltCurve_P10586_2_PTPRF.pdf</v>
      </c>
    </row>
    <row r="2085" spans="1:28" x14ac:dyDescent="0.25">
      <c r="A2085" t="s">
        <v>2089</v>
      </c>
      <c r="B2085">
        <v>0.99542014353169495</v>
      </c>
      <c r="C2085">
        <v>0.85671198154647898</v>
      </c>
      <c r="D2085">
        <v>0.74559687323190604</v>
      </c>
      <c r="E2085">
        <v>0.53909276406300899</v>
      </c>
      <c r="F2085">
        <v>0.28574141267847503</v>
      </c>
      <c r="G2085">
        <v>0.16697848276324401</v>
      </c>
      <c r="H2085">
        <v>9.5044350467618194E-2</v>
      </c>
      <c r="I2085">
        <v>5.9250165894485098E-2</v>
      </c>
      <c r="J2085">
        <v>7.3967839561681098E-2</v>
      </c>
      <c r="K2085">
        <v>6.6349362839536005E-2</v>
      </c>
      <c r="L2085">
        <v>602.42935461937304</v>
      </c>
      <c r="M2085">
        <v>12.964087377053</v>
      </c>
      <c r="N2085">
        <v>46.710655961614798</v>
      </c>
      <c r="O2085">
        <v>45.405078318305499</v>
      </c>
      <c r="P2085">
        <v>-6.9078124663443194E-2</v>
      </c>
      <c r="Q2085">
        <v>3.2422982640848502E-2</v>
      </c>
      <c r="R2085">
        <v>0.996095945002067</v>
      </c>
      <c r="S2085" t="s">
        <v>8487</v>
      </c>
      <c r="T2085" t="s">
        <v>12802</v>
      </c>
      <c r="U2085" t="s">
        <v>12802</v>
      </c>
      <c r="V2085" t="s">
        <v>12802</v>
      </c>
      <c r="W2085" t="s">
        <v>14846</v>
      </c>
      <c r="X2085">
        <v>4</v>
      </c>
      <c r="Y2085" t="s">
        <v>21136</v>
      </c>
      <c r="Z2085" t="s">
        <v>27403</v>
      </c>
      <c r="AA2085">
        <v>0.36645033213464923</v>
      </c>
      <c r="AB2085" t="str">
        <f>HYPERLINK("Melting_Curves/meltCurve_P10588_NR2F6.pdf", "Melting_Curves/meltCurve_P10588_NR2F6.pdf")</f>
        <v>Melting_Curves/meltCurve_P10588_NR2F6.pdf</v>
      </c>
    </row>
    <row r="2086" spans="1:28" x14ac:dyDescent="0.25">
      <c r="A2086" t="s">
        <v>2090</v>
      </c>
      <c r="B2086">
        <v>0.99542014353169495</v>
      </c>
      <c r="C2086">
        <v>0.98408799973274097</v>
      </c>
      <c r="D2086">
        <v>0.85243196012701095</v>
      </c>
      <c r="E2086">
        <v>0.85750606142101604</v>
      </c>
      <c r="F2086">
        <v>0.69422635797671595</v>
      </c>
      <c r="G2086">
        <v>0.65674151022830596</v>
      </c>
      <c r="H2086">
        <v>0.41838822421660898</v>
      </c>
      <c r="I2086">
        <v>0.49602841805603498</v>
      </c>
      <c r="J2086">
        <v>0.82582963023644995</v>
      </c>
      <c r="K2086">
        <v>1.3079469641174399</v>
      </c>
      <c r="L2086">
        <v>1039.89804873855</v>
      </c>
      <c r="M2086">
        <v>23.9786272186678</v>
      </c>
      <c r="O2086">
        <v>43.069456145354103</v>
      </c>
      <c r="P2086">
        <v>-3.6161677098974901E-2</v>
      </c>
      <c r="Q2086">
        <v>0.74019546050462603</v>
      </c>
      <c r="R2086">
        <v>0.15689568030780199</v>
      </c>
      <c r="S2086" t="s">
        <v>8488</v>
      </c>
      <c r="T2086" t="s">
        <v>12802</v>
      </c>
      <c r="U2086" t="s">
        <v>12802</v>
      </c>
      <c r="V2086" t="s">
        <v>12802</v>
      </c>
      <c r="W2086" t="s">
        <v>14847</v>
      </c>
      <c r="X2086">
        <v>12</v>
      </c>
      <c r="Y2086" t="s">
        <v>21137</v>
      </c>
      <c r="Z2086" t="s">
        <v>27404</v>
      </c>
      <c r="AA2086">
        <v>0.79770590865195634</v>
      </c>
      <c r="AB2086" t="str">
        <f>HYPERLINK("Melting_Curves/meltCurve_P10599_TXN.pdf", "Melting_Curves/meltCurve_P10599_TXN.pdf")</f>
        <v>Melting_Curves/meltCurve_P10599_TXN.pdf</v>
      </c>
    </row>
    <row r="2087" spans="1:28" x14ac:dyDescent="0.25">
      <c r="A2087" t="s">
        <v>2091</v>
      </c>
      <c r="B2087">
        <v>0.99542014353169495</v>
      </c>
      <c r="C2087">
        <v>0.89736672618136903</v>
      </c>
      <c r="D2087">
        <v>0.96177292330638597</v>
      </c>
      <c r="E2087">
        <v>0.68821115513424502</v>
      </c>
      <c r="F2087">
        <v>0.55945604448370201</v>
      </c>
      <c r="G2087">
        <v>0.323208451454296</v>
      </c>
      <c r="H2087">
        <v>0.26631408678533802</v>
      </c>
      <c r="I2087">
        <v>0.242792241625437</v>
      </c>
      <c r="J2087">
        <v>0.419227981883807</v>
      </c>
      <c r="K2087">
        <v>0.66260877471177004</v>
      </c>
      <c r="L2087">
        <v>1153.0081597670401</v>
      </c>
      <c r="M2087">
        <v>24.6259357154137</v>
      </c>
      <c r="N2087">
        <v>49.840242171165201</v>
      </c>
      <c r="O2087">
        <v>46.515420295835497</v>
      </c>
      <c r="P2087">
        <v>-8.1064771907311803E-2</v>
      </c>
      <c r="Q2087">
        <v>0.38752255209849901</v>
      </c>
      <c r="R2087">
        <v>0.81345522989945696</v>
      </c>
      <c r="S2087" t="s">
        <v>8489</v>
      </c>
      <c r="T2087" t="s">
        <v>12802</v>
      </c>
      <c r="U2087" t="s">
        <v>12802</v>
      </c>
      <c r="V2087" t="s">
        <v>12802</v>
      </c>
      <c r="W2087" t="s">
        <v>14848</v>
      </c>
      <c r="X2087">
        <v>9</v>
      </c>
      <c r="Y2087" t="s">
        <v>21138</v>
      </c>
      <c r="Z2087" t="s">
        <v>27405</v>
      </c>
      <c r="AA2087">
        <v>0.5933139384689512</v>
      </c>
      <c r="AB2087" t="str">
        <f>HYPERLINK("Melting_Curves/meltCurve_P10606_COX5B.pdf", "Melting_Curves/meltCurve_P10606_COX5B.pdf")</f>
        <v>Melting_Curves/meltCurve_P10606_COX5B.pdf</v>
      </c>
    </row>
    <row r="2088" spans="1:28" x14ac:dyDescent="0.25">
      <c r="A2088" t="s">
        <v>2092</v>
      </c>
      <c r="B2088">
        <v>0.99542014353169495</v>
      </c>
      <c r="C2088">
        <v>0.88008483214244704</v>
      </c>
      <c r="D2088">
        <v>0.93952619243977298</v>
      </c>
      <c r="E2088">
        <v>0.77793925110351503</v>
      </c>
      <c r="F2088">
        <v>0.65562901911267801</v>
      </c>
      <c r="G2088">
        <v>0.53651241177744702</v>
      </c>
      <c r="H2088">
        <v>0.34019424807125798</v>
      </c>
      <c r="I2088">
        <v>0.18023625741903501</v>
      </c>
      <c r="J2088">
        <v>0.19930934735523601</v>
      </c>
      <c r="K2088">
        <v>0.18566692629096099</v>
      </c>
      <c r="L2088">
        <v>500.626453913028</v>
      </c>
      <c r="M2088">
        <v>9.4023612678466897</v>
      </c>
      <c r="N2088">
        <v>53.541041948721798</v>
      </c>
      <c r="O2088">
        <v>51.002866642159503</v>
      </c>
      <c r="P2088">
        <v>-4.4946752993304098E-2</v>
      </c>
      <c r="Q2088">
        <v>2.5350025644712601E-2</v>
      </c>
      <c r="R2088">
        <v>0.982204465798031</v>
      </c>
      <c r="S2088" t="s">
        <v>8490</v>
      </c>
      <c r="T2088" t="s">
        <v>12802</v>
      </c>
      <c r="U2088" t="s">
        <v>12802</v>
      </c>
      <c r="V2088" t="s">
        <v>12802</v>
      </c>
      <c r="W2088" t="s">
        <v>14849</v>
      </c>
      <c r="X2088">
        <v>4</v>
      </c>
      <c r="Y2088" t="s">
        <v>21139</v>
      </c>
      <c r="Z2088" t="s">
        <v>27406</v>
      </c>
      <c r="AA2088">
        <v>0.57378972197557654</v>
      </c>
      <c r="AB2088" t="str">
        <f>HYPERLINK("Melting_Curves/meltCurve_P10619_CTSA.pdf", "Melting_Curves/meltCurve_P10619_CTSA.pdf")</f>
        <v>Melting_Curves/meltCurve_P10619_CTSA.pdf</v>
      </c>
    </row>
    <row r="2089" spans="1:28" x14ac:dyDescent="0.25">
      <c r="A2089" t="s">
        <v>2093</v>
      </c>
      <c r="B2089">
        <v>0.99542014353169495</v>
      </c>
      <c r="C2089">
        <v>0.91580545226169296</v>
      </c>
      <c r="D2089">
        <v>0.95292972645062402</v>
      </c>
      <c r="E2089">
        <v>0.78187603493692004</v>
      </c>
      <c r="F2089">
        <v>0.42268802587569299</v>
      </c>
      <c r="G2089">
        <v>0.14078661832966299</v>
      </c>
      <c r="H2089">
        <v>6.4192013304348206E-2</v>
      </c>
      <c r="I2089">
        <v>4.37447155927842E-2</v>
      </c>
      <c r="J2089">
        <v>4.6191946280997299E-2</v>
      </c>
      <c r="K2089">
        <v>4.5699077367907702E-2</v>
      </c>
      <c r="L2089">
        <v>1088.7156538039901</v>
      </c>
      <c r="M2089">
        <v>22.133433332322799</v>
      </c>
      <c r="N2089">
        <v>49.339479923391004</v>
      </c>
      <c r="O2089">
        <v>48.792469065267298</v>
      </c>
      <c r="P2089">
        <v>-0.109700850225336</v>
      </c>
      <c r="Q2089">
        <v>3.2692193590917802E-2</v>
      </c>
      <c r="R2089">
        <v>0.99566988099401399</v>
      </c>
      <c r="S2089" t="s">
        <v>8491</v>
      </c>
      <c r="T2089" t="s">
        <v>12802</v>
      </c>
      <c r="U2089" t="s">
        <v>12802</v>
      </c>
      <c r="V2089" t="s">
        <v>12802</v>
      </c>
      <c r="W2089" t="s">
        <v>14850</v>
      </c>
      <c r="X2089">
        <v>20</v>
      </c>
      <c r="Y2089" t="s">
        <v>21140</v>
      </c>
      <c r="Z2089" t="s">
        <v>27407</v>
      </c>
      <c r="AA2089">
        <v>0.43627350040135121</v>
      </c>
      <c r="AB2089" t="str">
        <f>HYPERLINK("Melting_Curves/meltCurve_P10644_PRKAR1A.pdf", "Melting_Curves/meltCurve_P10644_PRKAR1A.pdf")</f>
        <v>Melting_Curves/meltCurve_P10644_PRKAR1A.pdf</v>
      </c>
    </row>
    <row r="2090" spans="1:28" x14ac:dyDescent="0.25">
      <c r="A2090" t="s">
        <v>2094</v>
      </c>
      <c r="B2090">
        <v>0.99542014353169495</v>
      </c>
      <c r="C2090">
        <v>1.0662675839645199</v>
      </c>
      <c r="D2090">
        <v>1.01305737630577</v>
      </c>
      <c r="E2090">
        <v>0.97223495828878503</v>
      </c>
      <c r="F2090">
        <v>0.59029883647876502</v>
      </c>
      <c r="G2090">
        <v>0.19018238664666801</v>
      </c>
      <c r="H2090">
        <v>0.101185530409738</v>
      </c>
      <c r="I2090">
        <v>7.3521017832205507E-2</v>
      </c>
      <c r="J2090">
        <v>8.0736214173637896E-2</v>
      </c>
      <c r="K2090">
        <v>9.4581387485629706E-2</v>
      </c>
      <c r="L2090">
        <v>1794.6768994628601</v>
      </c>
      <c r="M2090">
        <v>35.511474403607103</v>
      </c>
      <c r="N2090">
        <v>50.805323886146802</v>
      </c>
      <c r="O2090">
        <v>50.378488528118297</v>
      </c>
      <c r="P2090">
        <v>-0.16120337616246599</v>
      </c>
      <c r="Q2090">
        <v>8.5235995615059901E-2</v>
      </c>
      <c r="R2090">
        <v>0.99709169822067301</v>
      </c>
      <c r="S2090" t="s">
        <v>8492</v>
      </c>
      <c r="T2090" t="s">
        <v>12802</v>
      </c>
      <c r="U2090" t="s">
        <v>12802</v>
      </c>
      <c r="V2090" t="s">
        <v>12802</v>
      </c>
      <c r="W2090" t="s">
        <v>14851</v>
      </c>
      <c r="X2090">
        <v>7</v>
      </c>
      <c r="Y2090" t="s">
        <v>21141</v>
      </c>
      <c r="Z2090" t="s">
        <v>27408</v>
      </c>
      <c r="AA2090">
        <v>0.50208878342945762</v>
      </c>
      <c r="AB2090" t="str">
        <f>HYPERLINK("Melting_Curves/meltCurve_P10746_UROS.pdf", "Melting_Curves/meltCurve_P10746_UROS.pdf")</f>
        <v>Melting_Curves/meltCurve_P10746_UROS.pdf</v>
      </c>
    </row>
    <row r="2091" spans="1:28" x14ac:dyDescent="0.25">
      <c r="A2091" t="s">
        <v>2095</v>
      </c>
      <c r="B2091">
        <v>0.99542014353169495</v>
      </c>
      <c r="C2091">
        <v>1.0046531380674599</v>
      </c>
      <c r="D2091">
        <v>1.01541026085935</v>
      </c>
      <c r="E2091">
        <v>0.99940258092380896</v>
      </c>
      <c r="F2091">
        <v>0.77964118639777402</v>
      </c>
      <c r="G2091">
        <v>0.67099272255006903</v>
      </c>
      <c r="H2091">
        <v>0.30084241683445501</v>
      </c>
      <c r="I2091">
        <v>0.102521113258822</v>
      </c>
      <c r="J2091">
        <v>7.8450227233491696E-2</v>
      </c>
      <c r="K2091">
        <v>7.5439568884446501E-2</v>
      </c>
      <c r="L2091">
        <v>1055.88084245562</v>
      </c>
      <c r="M2091">
        <v>19.223909400142698</v>
      </c>
      <c r="N2091">
        <v>55.023857740933501</v>
      </c>
      <c r="O2091">
        <v>54.341405644147201</v>
      </c>
      <c r="P2091">
        <v>-8.6948528383411994E-2</v>
      </c>
      <c r="Q2091">
        <v>1.6906432195712199E-2</v>
      </c>
      <c r="R2091">
        <v>0.99045028041119698</v>
      </c>
      <c r="S2091" t="s">
        <v>8493</v>
      </c>
      <c r="T2091" t="s">
        <v>12802</v>
      </c>
      <c r="U2091" t="s">
        <v>12802</v>
      </c>
      <c r="V2091" t="s">
        <v>12802</v>
      </c>
      <c r="W2091" t="s">
        <v>14852</v>
      </c>
      <c r="X2091">
        <v>13</v>
      </c>
      <c r="Y2091" t="s">
        <v>21142</v>
      </c>
      <c r="Z2091" t="s">
        <v>27409</v>
      </c>
      <c r="AA2091">
        <v>0.61601708558806512</v>
      </c>
      <c r="AB2091" t="str">
        <f>HYPERLINK("Melting_Curves/meltCurve_P10768_ESD.pdf", "Melting_Curves/meltCurve_P10768_ESD.pdf")</f>
        <v>Melting_Curves/meltCurve_P10768_ESD.pdf</v>
      </c>
    </row>
    <row r="2092" spans="1:28" x14ac:dyDescent="0.25">
      <c r="A2092" t="s">
        <v>2096</v>
      </c>
      <c r="B2092">
        <v>0.99542014353169495</v>
      </c>
      <c r="C2092">
        <v>0.86994829747298297</v>
      </c>
      <c r="D2092">
        <v>0.77608999181803995</v>
      </c>
      <c r="E2092">
        <v>0.69466708720107895</v>
      </c>
      <c r="F2092">
        <v>0.67144010507932295</v>
      </c>
      <c r="G2092">
        <v>0.564399290601732</v>
      </c>
      <c r="H2092">
        <v>0.30454181438655198</v>
      </c>
      <c r="I2092">
        <v>5.8085277267196402E-2</v>
      </c>
      <c r="J2092">
        <v>3.2576896059713097E-2</v>
      </c>
      <c r="K2092">
        <v>4.2222194570836098E-2</v>
      </c>
      <c r="L2092">
        <v>526.312437876883</v>
      </c>
      <c r="M2092">
        <v>10.121544727754401</v>
      </c>
      <c r="N2092">
        <v>51.999220651713401</v>
      </c>
      <c r="O2092">
        <v>50.091857541875797</v>
      </c>
      <c r="P2092">
        <v>-5.0538380053349902E-2</v>
      </c>
      <c r="Q2092">
        <v>0</v>
      </c>
      <c r="R2092">
        <v>0.93047927037796996</v>
      </c>
      <c r="S2092" t="s">
        <v>8494</v>
      </c>
      <c r="T2092" t="s">
        <v>12802</v>
      </c>
      <c r="U2092" t="s">
        <v>12802</v>
      </c>
      <c r="V2092" t="s">
        <v>12802</v>
      </c>
      <c r="W2092" t="s">
        <v>14853</v>
      </c>
      <c r="X2092">
        <v>52</v>
      </c>
      <c r="Y2092" t="s">
        <v>21143</v>
      </c>
      <c r="Z2092" t="s">
        <v>27410</v>
      </c>
      <c r="AA2092">
        <v>0.52647984825822358</v>
      </c>
      <c r="AB2092" t="str">
        <f>HYPERLINK("Melting_Curves/meltCurve_P10809_HSPD1.pdf", "Melting_Curves/meltCurve_P10809_HSPD1.pdf")</f>
        <v>Melting_Curves/meltCurve_P10809_HSPD1.pdf</v>
      </c>
    </row>
    <row r="2093" spans="1:28" x14ac:dyDescent="0.25">
      <c r="A2093" t="s">
        <v>2097</v>
      </c>
      <c r="B2093">
        <v>0.99542014353169495</v>
      </c>
      <c r="C2093">
        <v>0.947143829938078</v>
      </c>
      <c r="D2093">
        <v>0.95177563679683497</v>
      </c>
      <c r="E2093">
        <v>0.87377615896618499</v>
      </c>
      <c r="F2093">
        <v>0.69929861514011105</v>
      </c>
      <c r="G2093">
        <v>0.53082917461639401</v>
      </c>
      <c r="H2093">
        <v>0.34378147336945297</v>
      </c>
      <c r="I2093">
        <v>0.18068428187858601</v>
      </c>
      <c r="J2093">
        <v>7.6227813804597699E-2</v>
      </c>
      <c r="K2093">
        <v>7.1035215759127496E-2</v>
      </c>
      <c r="L2093">
        <v>679.97770089592302</v>
      </c>
      <c r="M2093">
        <v>12.6091443927429</v>
      </c>
      <c r="N2093">
        <v>53.9273351799959</v>
      </c>
      <c r="O2093">
        <v>52.624879594085897</v>
      </c>
      <c r="P2093">
        <v>-5.9912976929344802E-2</v>
      </c>
      <c r="Q2093">
        <v>0</v>
      </c>
      <c r="R2093">
        <v>0.99582084015615402</v>
      </c>
      <c r="S2093" t="s">
        <v>8495</v>
      </c>
      <c r="T2093" t="s">
        <v>12802</v>
      </c>
      <c r="U2093" t="s">
        <v>12802</v>
      </c>
      <c r="V2093" t="s">
        <v>12802</v>
      </c>
      <c r="W2093" t="s">
        <v>14854</v>
      </c>
      <c r="X2093">
        <v>48</v>
      </c>
      <c r="Y2093" t="s">
        <v>21144</v>
      </c>
      <c r="Z2093" t="s">
        <v>27411</v>
      </c>
      <c r="AA2093">
        <v>0.58217425140450585</v>
      </c>
      <c r="AB2093" t="str">
        <f>HYPERLINK("Melting_Curves/meltCurve_P11021_HSPA5.pdf", "Melting_Curves/meltCurve_P11021_HSPA5.pdf")</f>
        <v>Melting_Curves/meltCurve_P11021_HSPA5.pdf</v>
      </c>
    </row>
    <row r="2094" spans="1:28" x14ac:dyDescent="0.25">
      <c r="A2094" t="s">
        <v>2098</v>
      </c>
      <c r="B2094">
        <v>0.99542014353169495</v>
      </c>
      <c r="C2094">
        <v>0.96224229099738501</v>
      </c>
      <c r="D2094">
        <v>0.86979953992679604</v>
      </c>
      <c r="E2094">
        <v>0.79830418003332404</v>
      </c>
      <c r="F2094">
        <v>0.62932133741926399</v>
      </c>
      <c r="G2094">
        <v>0.60727305321267799</v>
      </c>
      <c r="H2094">
        <v>0.445065213637034</v>
      </c>
      <c r="I2094">
        <v>0.17234530795153399</v>
      </c>
      <c r="J2094">
        <v>5.5256357891513501E-2</v>
      </c>
      <c r="K2094">
        <v>7.1547360307963603E-2</v>
      </c>
      <c r="L2094">
        <v>564.91058326743496</v>
      </c>
      <c r="M2094">
        <v>10.485792581839601</v>
      </c>
      <c r="N2094">
        <v>53.873904032472801</v>
      </c>
      <c r="O2094">
        <v>52.0251148963332</v>
      </c>
      <c r="P2094">
        <v>-5.0408574148693701E-2</v>
      </c>
      <c r="Q2094">
        <v>0</v>
      </c>
      <c r="R2094">
        <v>0.96153385342977904</v>
      </c>
      <c r="S2094" t="s">
        <v>8496</v>
      </c>
      <c r="T2094" t="s">
        <v>12802</v>
      </c>
      <c r="U2094" t="s">
        <v>12802</v>
      </c>
      <c r="V2094" t="s">
        <v>12802</v>
      </c>
      <c r="W2094" t="s">
        <v>14855</v>
      </c>
      <c r="X2094">
        <v>68</v>
      </c>
      <c r="Y2094" t="s">
        <v>19734</v>
      </c>
      <c r="Z2094" t="s">
        <v>27412</v>
      </c>
      <c r="AA2094">
        <v>0.58089340736261741</v>
      </c>
      <c r="AB2094" t="str">
        <f>HYPERLINK("Melting_Curves/meltCurve_P11142_HSPA8.pdf", "Melting_Curves/meltCurve_P11142_HSPA8.pdf")</f>
        <v>Melting_Curves/meltCurve_P11142_HSPA8.pdf</v>
      </c>
    </row>
    <row r="2095" spans="1:28" x14ac:dyDescent="0.25">
      <c r="A2095" t="s">
        <v>2099</v>
      </c>
      <c r="B2095">
        <v>0.99542014353169495</v>
      </c>
      <c r="C2095">
        <v>0.99193295180652996</v>
      </c>
      <c r="D2095">
        <v>0.94684061045438295</v>
      </c>
      <c r="E2095">
        <v>0.81087913638187703</v>
      </c>
      <c r="F2095">
        <v>0.68788287020938099</v>
      </c>
      <c r="G2095">
        <v>0.51223357250477397</v>
      </c>
      <c r="H2095">
        <v>0.43827657115372998</v>
      </c>
      <c r="I2095">
        <v>0.389160903634507</v>
      </c>
      <c r="J2095">
        <v>0.52050937860215196</v>
      </c>
      <c r="K2095">
        <v>0.61835261612017001</v>
      </c>
      <c r="L2095">
        <v>1012.52410707695</v>
      </c>
      <c r="M2095">
        <v>21.0296390694065</v>
      </c>
      <c r="N2095">
        <v>58.158152313450898</v>
      </c>
      <c r="O2095">
        <v>47.718440523522901</v>
      </c>
      <c r="P2095">
        <v>-5.6565018352702397E-2</v>
      </c>
      <c r="Q2095">
        <v>0.48660593501323102</v>
      </c>
      <c r="R2095">
        <v>0.92466560224900496</v>
      </c>
      <c r="S2095" t="s">
        <v>8497</v>
      </c>
      <c r="T2095" t="s">
        <v>12802</v>
      </c>
      <c r="U2095" t="s">
        <v>12802</v>
      </c>
      <c r="V2095" t="s">
        <v>12802</v>
      </c>
      <c r="W2095" t="s">
        <v>14856</v>
      </c>
      <c r="X2095">
        <v>9</v>
      </c>
      <c r="Y2095" t="s">
        <v>21145</v>
      </c>
      <c r="Z2095" t="s">
        <v>27413</v>
      </c>
      <c r="AA2095">
        <v>0.68351053969849318</v>
      </c>
      <c r="AB2095" t="str">
        <f>HYPERLINK("Melting_Curves/meltCurve_P11166_SLC2A1.pdf", "Melting_Curves/meltCurve_P11166_SLC2A1.pdf")</f>
        <v>Melting_Curves/meltCurve_P11166_SLC2A1.pdf</v>
      </c>
    </row>
    <row r="2096" spans="1:28" x14ac:dyDescent="0.25">
      <c r="A2096" t="s">
        <v>2100</v>
      </c>
      <c r="B2096">
        <v>0.99542014353169495</v>
      </c>
      <c r="C2096">
        <v>1.0326889892956299</v>
      </c>
      <c r="D2096">
        <v>0.99287674334826803</v>
      </c>
      <c r="E2096">
        <v>1.0476020006012201</v>
      </c>
      <c r="F2096">
        <v>0.91702500094857098</v>
      </c>
      <c r="G2096">
        <v>0.738174633600027</v>
      </c>
      <c r="H2096">
        <v>0.60215321999609805</v>
      </c>
      <c r="I2096">
        <v>0.61133905633432395</v>
      </c>
      <c r="J2096">
        <v>0.88574315125952197</v>
      </c>
      <c r="K2096">
        <v>1.06117225017845</v>
      </c>
      <c r="L2096">
        <v>12575.285283310301</v>
      </c>
      <c r="M2096">
        <v>250</v>
      </c>
      <c r="O2096">
        <v>50.297922166304403</v>
      </c>
      <c r="P2096">
        <v>-0.27372345920229102</v>
      </c>
      <c r="Q2096">
        <v>0.77971646020079199</v>
      </c>
      <c r="R2096">
        <v>0.44569328009755599</v>
      </c>
      <c r="S2096" t="s">
        <v>8498</v>
      </c>
      <c r="T2096" t="s">
        <v>12802</v>
      </c>
      <c r="U2096" t="s">
        <v>12802</v>
      </c>
      <c r="V2096" t="s">
        <v>12802</v>
      </c>
      <c r="W2096" t="s">
        <v>14857</v>
      </c>
      <c r="X2096">
        <v>12</v>
      </c>
      <c r="Y2096" t="s">
        <v>21146</v>
      </c>
      <c r="Z2096" t="s">
        <v>27414</v>
      </c>
      <c r="AA2096">
        <v>0.8774033214027086</v>
      </c>
      <c r="AB2096" t="str">
        <f>HYPERLINK("Melting_Curves/meltCurve_P11169_SLC2A3.pdf", "Melting_Curves/meltCurve_P11169_SLC2A3.pdf")</f>
        <v>Melting_Curves/meltCurve_P11169_SLC2A3.pdf</v>
      </c>
    </row>
    <row r="2097" spans="1:28" x14ac:dyDescent="0.25">
      <c r="A2097" t="s">
        <v>2101</v>
      </c>
      <c r="B2097">
        <v>0.99542014353169495</v>
      </c>
      <c r="C2097">
        <v>1.0243105519314599</v>
      </c>
      <c r="D2097">
        <v>1.01800272077362</v>
      </c>
      <c r="E2097">
        <v>0.93390416380818997</v>
      </c>
      <c r="F2097">
        <v>0.57735418349261203</v>
      </c>
      <c r="G2097">
        <v>0.134109656727112</v>
      </c>
      <c r="H2097">
        <v>7.0338462357501699E-2</v>
      </c>
      <c r="I2097">
        <v>4.4026408080011598E-2</v>
      </c>
      <c r="J2097">
        <v>4.6112300681493898E-2</v>
      </c>
      <c r="K2097">
        <v>4.8424646178738498E-2</v>
      </c>
      <c r="L2097">
        <v>1760.8589883366501</v>
      </c>
      <c r="M2097">
        <v>34.877134500216997</v>
      </c>
      <c r="N2097">
        <v>50.627207666096602</v>
      </c>
      <c r="O2097">
        <v>50.322351634486402</v>
      </c>
      <c r="P2097">
        <v>-0.16531895749689701</v>
      </c>
      <c r="Q2097">
        <v>4.5883471969555098E-2</v>
      </c>
      <c r="R2097">
        <v>0.99915648240384103</v>
      </c>
      <c r="S2097" t="s">
        <v>8499</v>
      </c>
      <c r="T2097" t="s">
        <v>12802</v>
      </c>
      <c r="U2097" t="s">
        <v>12802</v>
      </c>
      <c r="V2097" t="s">
        <v>12802</v>
      </c>
      <c r="W2097" t="s">
        <v>14858</v>
      </c>
      <c r="X2097">
        <v>39</v>
      </c>
      <c r="Y2097" t="s">
        <v>21147</v>
      </c>
      <c r="Z2097" t="s">
        <v>27415</v>
      </c>
      <c r="AA2097">
        <v>0.47921520590324668</v>
      </c>
      <c r="AB2097" t="str">
        <f>HYPERLINK("Melting_Curves/meltCurve_P11171_EPB41.pdf", "Melting_Curves/meltCurve_P11171_EPB41.pdf")</f>
        <v>Melting_Curves/meltCurve_P11171_EPB41.pdf</v>
      </c>
    </row>
    <row r="2098" spans="1:28" x14ac:dyDescent="0.25">
      <c r="A2098" t="s">
        <v>2102</v>
      </c>
      <c r="B2098">
        <v>0.99542014353169495</v>
      </c>
      <c r="C2098">
        <v>1.0123534498283999</v>
      </c>
      <c r="D2098">
        <v>0.99171030429607698</v>
      </c>
      <c r="E2098">
        <v>0.91814105761120801</v>
      </c>
      <c r="F2098">
        <v>0.74426448922528898</v>
      </c>
      <c r="G2098">
        <v>0.57219632072490501</v>
      </c>
      <c r="H2098">
        <v>0.298448002560464</v>
      </c>
      <c r="I2098">
        <v>0.137463742520615</v>
      </c>
      <c r="J2098">
        <v>0.116316206465</v>
      </c>
      <c r="K2098">
        <v>0.110767201228577</v>
      </c>
      <c r="L2098">
        <v>855.74819692508004</v>
      </c>
      <c r="M2098">
        <v>15.8778927548144</v>
      </c>
      <c r="N2098">
        <v>54.215881694372399</v>
      </c>
      <c r="O2098">
        <v>53.062385065114299</v>
      </c>
      <c r="P2098">
        <v>-7.1464267363577E-2</v>
      </c>
      <c r="Q2098">
        <v>4.4770166573065803E-2</v>
      </c>
      <c r="R2098">
        <v>0.99621729855201702</v>
      </c>
      <c r="S2098" t="s">
        <v>8500</v>
      </c>
      <c r="T2098" t="s">
        <v>12802</v>
      </c>
      <c r="U2098" t="s">
        <v>12802</v>
      </c>
      <c r="V2098" t="s">
        <v>12802</v>
      </c>
      <c r="W2098" t="s">
        <v>14859</v>
      </c>
      <c r="X2098">
        <v>27</v>
      </c>
      <c r="Y2098" t="s">
        <v>21148</v>
      </c>
      <c r="Z2098" t="s">
        <v>27416</v>
      </c>
      <c r="AA2098">
        <v>0.59769348728415617</v>
      </c>
      <c r="AB2098" t="str">
        <f>HYPERLINK("Melting_Curves/meltCurve_P11172_UMPS.pdf", "Melting_Curves/meltCurve_P11172_UMPS.pdf")</f>
        <v>Melting_Curves/meltCurve_P11172_UMPS.pdf</v>
      </c>
    </row>
    <row r="2099" spans="1:28" x14ac:dyDescent="0.25">
      <c r="A2099" t="s">
        <v>2103</v>
      </c>
      <c r="B2099">
        <v>0.99542014353169495</v>
      </c>
      <c r="C2099">
        <v>1.0632536950089799</v>
      </c>
      <c r="D2099">
        <v>0.99534939590949201</v>
      </c>
      <c r="E2099">
        <v>1.0322615946301199</v>
      </c>
      <c r="F2099">
        <v>0.62916549409422495</v>
      </c>
      <c r="G2099">
        <v>0.23133425682610101</v>
      </c>
      <c r="H2099">
        <v>0.123150269356812</v>
      </c>
      <c r="I2099">
        <v>6.69554416891711E-2</v>
      </c>
      <c r="J2099">
        <v>6.5866058840492403E-2</v>
      </c>
      <c r="K2099">
        <v>6.3387771536432297E-2</v>
      </c>
      <c r="L2099">
        <v>1697.66474701626</v>
      </c>
      <c r="M2099">
        <v>33.304580042341698</v>
      </c>
      <c r="N2099">
        <v>51.225518469506</v>
      </c>
      <c r="O2099">
        <v>50.791187681485901</v>
      </c>
      <c r="P2099">
        <v>-0.15156053208277701</v>
      </c>
      <c r="Q2099">
        <v>7.5453745399666206E-2</v>
      </c>
      <c r="R2099">
        <v>0.99406708017537204</v>
      </c>
      <c r="S2099" t="s">
        <v>8501</v>
      </c>
      <c r="T2099" t="s">
        <v>12802</v>
      </c>
      <c r="U2099" t="s">
        <v>12802</v>
      </c>
      <c r="V2099" t="s">
        <v>12802</v>
      </c>
      <c r="W2099" t="s">
        <v>14860</v>
      </c>
      <c r="X2099">
        <v>4</v>
      </c>
      <c r="Y2099" t="s">
        <v>21149</v>
      </c>
      <c r="Z2099" t="s">
        <v>27417</v>
      </c>
      <c r="AA2099">
        <v>0.51079308081490682</v>
      </c>
      <c r="AB2099" t="str">
        <f>HYPERLINK("Melting_Curves/meltCurve_P11177_3_PDHB.pdf", "Melting_Curves/meltCurve_P11177_3_PDHB.pdf")</f>
        <v>Melting_Curves/meltCurve_P11177_3_PDHB.pdf</v>
      </c>
    </row>
    <row r="2100" spans="1:28" x14ac:dyDescent="0.25">
      <c r="A2100" t="s">
        <v>2104</v>
      </c>
      <c r="B2100">
        <v>0.99542014353169495</v>
      </c>
      <c r="C2100">
        <v>0.95895103266312898</v>
      </c>
      <c r="D2100">
        <v>0.91649853131952497</v>
      </c>
      <c r="E2100">
        <v>0.79308574287341105</v>
      </c>
      <c r="F2100">
        <v>0.51255167081425401</v>
      </c>
      <c r="G2100">
        <v>0.316667956284992</v>
      </c>
      <c r="H2100">
        <v>0.18494781505921601</v>
      </c>
      <c r="I2100">
        <v>0.101718684499119</v>
      </c>
      <c r="J2100">
        <v>8.1860655719369194E-2</v>
      </c>
      <c r="K2100">
        <v>7.6245740895485706E-2</v>
      </c>
      <c r="L2100">
        <v>736.03389982348097</v>
      </c>
      <c r="M2100">
        <v>14.6355834391325</v>
      </c>
      <c r="N2100">
        <v>50.616386824691602</v>
      </c>
      <c r="O2100">
        <v>49.379798872279402</v>
      </c>
      <c r="P2100">
        <v>-7.0775186051835401E-2</v>
      </c>
      <c r="Q2100">
        <v>4.4937133860533003E-2</v>
      </c>
      <c r="R2100">
        <v>0.99891349780917704</v>
      </c>
      <c r="S2100" t="s">
        <v>8502</v>
      </c>
      <c r="T2100" t="s">
        <v>12802</v>
      </c>
      <c r="U2100" t="s">
        <v>12802</v>
      </c>
      <c r="V2100" t="s">
        <v>12802</v>
      </c>
      <c r="W2100" t="s">
        <v>14861</v>
      </c>
      <c r="X2100">
        <v>8</v>
      </c>
      <c r="Y2100" t="s">
        <v>21150</v>
      </c>
      <c r="Z2100" t="s">
        <v>27418</v>
      </c>
      <c r="AA2100">
        <v>0.48850957299655212</v>
      </c>
      <c r="AB2100" t="str">
        <f>HYPERLINK("Melting_Curves/meltCurve_P11182_DBT.pdf", "Melting_Curves/meltCurve_P11182_DBT.pdf")</f>
        <v>Melting_Curves/meltCurve_P11182_DBT.pdf</v>
      </c>
    </row>
    <row r="2101" spans="1:28" x14ac:dyDescent="0.25">
      <c r="A2101" t="s">
        <v>2105</v>
      </c>
      <c r="B2101">
        <v>0.99542014353169495</v>
      </c>
      <c r="C2101">
        <v>0.97306644836172596</v>
      </c>
      <c r="D2101">
        <v>0.88535873469721904</v>
      </c>
      <c r="E2101">
        <v>0.84229453915239205</v>
      </c>
      <c r="F2101">
        <v>0.94156333562532302</v>
      </c>
      <c r="G2101">
        <v>0.44098732546671698</v>
      </c>
      <c r="H2101">
        <v>0.179411642099334</v>
      </c>
      <c r="I2101">
        <v>0</v>
      </c>
      <c r="J2101">
        <v>0</v>
      </c>
      <c r="K2101">
        <v>0.100831358282911</v>
      </c>
      <c r="L2101">
        <v>1712.4402291966801</v>
      </c>
      <c r="M2101">
        <v>32.0398244023663</v>
      </c>
      <c r="N2101">
        <v>53.5743042161888</v>
      </c>
      <c r="O2101">
        <v>53.2403255663897</v>
      </c>
      <c r="P2101">
        <v>-0.14494517635124299</v>
      </c>
      <c r="Q2101">
        <v>3.6587791883559997E-2</v>
      </c>
      <c r="R2101">
        <v>0.970272001692847</v>
      </c>
      <c r="S2101" t="s">
        <v>8503</v>
      </c>
      <c r="T2101" t="s">
        <v>12802</v>
      </c>
      <c r="U2101" t="s">
        <v>12802</v>
      </c>
      <c r="V2101" t="s">
        <v>12802</v>
      </c>
      <c r="W2101" t="s">
        <v>14862</v>
      </c>
      <c r="X2101">
        <v>1</v>
      </c>
      <c r="Y2101" t="s">
        <v>21151</v>
      </c>
      <c r="Z2101" t="s">
        <v>27419</v>
      </c>
      <c r="AA2101">
        <v>0.57020693017136481</v>
      </c>
      <c r="AB2101" t="str">
        <f>HYPERLINK("Melting_Curves/meltCurve_P11216_PYGB.pdf", "Melting_Curves/meltCurve_P11216_PYGB.pdf")</f>
        <v>Melting_Curves/meltCurve_P11216_PYGB.pdf</v>
      </c>
    </row>
    <row r="2102" spans="1:28" x14ac:dyDescent="0.25">
      <c r="A2102" t="s">
        <v>2106</v>
      </c>
      <c r="B2102">
        <v>0.99542014353169495</v>
      </c>
      <c r="C2102">
        <v>0.93671224318075796</v>
      </c>
      <c r="D2102">
        <v>0.88067590606281598</v>
      </c>
      <c r="E2102">
        <v>0.85897752738081601</v>
      </c>
      <c r="F2102">
        <v>0.60783435706436595</v>
      </c>
      <c r="G2102">
        <v>0.43773218737909397</v>
      </c>
      <c r="H2102">
        <v>0.33643926451916001</v>
      </c>
      <c r="I2102">
        <v>0.40193717627214198</v>
      </c>
      <c r="J2102">
        <v>0.61880235449139198</v>
      </c>
      <c r="K2102">
        <v>0.45587453476599299</v>
      </c>
      <c r="L2102">
        <v>1243.3434527453201</v>
      </c>
      <c r="M2102">
        <v>25.812802733327899</v>
      </c>
      <c r="N2102">
        <v>52.664403512862698</v>
      </c>
      <c r="O2102">
        <v>47.881399997496302</v>
      </c>
      <c r="P2102">
        <v>-7.4825134854969E-2</v>
      </c>
      <c r="Q2102">
        <v>0.44481971884711602</v>
      </c>
      <c r="R2102">
        <v>0.88733144885882997</v>
      </c>
      <c r="S2102" t="s">
        <v>8504</v>
      </c>
      <c r="T2102" t="s">
        <v>12802</v>
      </c>
      <c r="U2102" t="s">
        <v>12802</v>
      </c>
      <c r="V2102" t="s">
        <v>12802</v>
      </c>
      <c r="W2102" t="s">
        <v>14863</v>
      </c>
      <c r="X2102">
        <v>18</v>
      </c>
      <c r="Y2102" t="s">
        <v>21152</v>
      </c>
      <c r="Z2102" t="s">
        <v>27420</v>
      </c>
      <c r="AA2102">
        <v>0.65594122083688233</v>
      </c>
      <c r="AB2102" t="str">
        <f>HYPERLINK("Melting_Curves/meltCurve_P11233_RALA.pdf", "Melting_Curves/meltCurve_P11233_RALA.pdf")</f>
        <v>Melting_Curves/meltCurve_P11233_RALA.pdf</v>
      </c>
    </row>
    <row r="2103" spans="1:28" x14ac:dyDescent="0.25">
      <c r="A2103" t="s">
        <v>2107</v>
      </c>
      <c r="B2103">
        <v>0.99542014353169495</v>
      </c>
      <c r="C2103">
        <v>0.91387342850508002</v>
      </c>
      <c r="D2103">
        <v>0.90983004644463905</v>
      </c>
      <c r="E2103">
        <v>0.852257742459261</v>
      </c>
      <c r="F2103">
        <v>0.79855314892992901</v>
      </c>
      <c r="G2103">
        <v>0.54355847697526205</v>
      </c>
      <c r="H2103">
        <v>0.43554449389967298</v>
      </c>
      <c r="I2103">
        <v>0.35441863922258399</v>
      </c>
      <c r="J2103">
        <v>0.36692038620314699</v>
      </c>
      <c r="K2103">
        <v>0.152898279702125</v>
      </c>
      <c r="L2103">
        <v>453.882334154592</v>
      </c>
      <c r="M2103">
        <v>8.0496919462002001</v>
      </c>
      <c r="N2103">
        <v>56.3850562704285</v>
      </c>
      <c r="O2103">
        <v>53.224786086065301</v>
      </c>
      <c r="P2103">
        <v>-3.78516691179289E-2</v>
      </c>
      <c r="Q2103">
        <v>0</v>
      </c>
      <c r="R2103">
        <v>0.96948456520386395</v>
      </c>
      <c r="S2103" t="s">
        <v>8505</v>
      </c>
      <c r="T2103" t="s">
        <v>12802</v>
      </c>
      <c r="U2103" t="s">
        <v>12802</v>
      </c>
      <c r="V2103" t="s">
        <v>12802</v>
      </c>
      <c r="W2103" t="s">
        <v>14864</v>
      </c>
      <c r="X2103">
        <v>12</v>
      </c>
      <c r="Y2103" t="s">
        <v>21153</v>
      </c>
      <c r="Z2103" t="s">
        <v>27421</v>
      </c>
      <c r="AA2103">
        <v>0.64128253512664912</v>
      </c>
      <c r="AB2103" t="str">
        <f>HYPERLINK("Melting_Curves/meltCurve_P11234_RALB.pdf", "Melting_Curves/meltCurve_P11234_RALB.pdf")</f>
        <v>Melting_Curves/meltCurve_P11234_RALB.pdf</v>
      </c>
    </row>
    <row r="2104" spans="1:28" x14ac:dyDescent="0.25">
      <c r="A2104" t="s">
        <v>2108</v>
      </c>
      <c r="B2104">
        <v>0.99542014353169495</v>
      </c>
      <c r="C2104">
        <v>0.73829715122420003</v>
      </c>
      <c r="D2104">
        <v>0.60009649549405997</v>
      </c>
      <c r="E2104">
        <v>0.25687152495174298</v>
      </c>
      <c r="F2104">
        <v>0.13253167435406399</v>
      </c>
      <c r="G2104">
        <v>6.7916725828060798E-2</v>
      </c>
      <c r="H2104">
        <v>5.7046398240802002E-2</v>
      </c>
      <c r="I2104">
        <v>4.5314794948133702E-2</v>
      </c>
      <c r="J2104">
        <v>5.6132914321994798E-2</v>
      </c>
      <c r="K2104">
        <v>6.9600245872382102E-2</v>
      </c>
      <c r="L2104">
        <v>703.67916019921699</v>
      </c>
      <c r="M2104">
        <v>16.248658913059501</v>
      </c>
      <c r="N2104">
        <v>43.5538017356644</v>
      </c>
      <c r="O2104">
        <v>42.666888922269997</v>
      </c>
      <c r="P2104">
        <v>-9.1024380678834907E-2</v>
      </c>
      <c r="Q2104">
        <v>4.3997300969983798E-2</v>
      </c>
      <c r="R2104">
        <v>0.98951633978358</v>
      </c>
      <c r="S2104" t="s">
        <v>8506</v>
      </c>
      <c r="T2104" t="s">
        <v>12802</v>
      </c>
      <c r="U2104" t="s">
        <v>12802</v>
      </c>
      <c r="V2104" t="s">
        <v>12802</v>
      </c>
      <c r="W2104" t="s">
        <v>14865</v>
      </c>
      <c r="X2104">
        <v>11</v>
      </c>
      <c r="Y2104" t="s">
        <v>21154</v>
      </c>
      <c r="Z2104" t="s">
        <v>27422</v>
      </c>
      <c r="AA2104">
        <v>0.26580116720086172</v>
      </c>
      <c r="AB2104" t="str">
        <f>HYPERLINK("Melting_Curves/meltCurve_P11274_2_BCR.pdf", "Melting_Curves/meltCurve_P11274_2_BCR.pdf")</f>
        <v>Melting_Curves/meltCurve_P11274_2_BCR.pdf</v>
      </c>
    </row>
    <row r="2105" spans="1:28" x14ac:dyDescent="0.25">
      <c r="A2105" t="s">
        <v>2109</v>
      </c>
      <c r="B2105">
        <v>0.99542014353169495</v>
      </c>
      <c r="C2105">
        <v>0.85729079086996796</v>
      </c>
      <c r="D2105">
        <v>0.97302942458660902</v>
      </c>
      <c r="E2105">
        <v>0.41129668662786201</v>
      </c>
      <c r="F2105">
        <v>0.17425449705249901</v>
      </c>
      <c r="G2105">
        <v>0.104308399235159</v>
      </c>
      <c r="H2105">
        <v>6.71874730531236E-2</v>
      </c>
      <c r="I2105">
        <v>5.0123890122099099E-2</v>
      </c>
      <c r="J2105">
        <v>5.0828418668766098E-2</v>
      </c>
      <c r="K2105">
        <v>5.7957916911343499E-2</v>
      </c>
      <c r="L2105">
        <v>1560.5004259187999</v>
      </c>
      <c r="M2105">
        <v>33.918860082969701</v>
      </c>
      <c r="N2105">
        <v>46.217617435237003</v>
      </c>
      <c r="O2105">
        <v>45.8478326408325</v>
      </c>
      <c r="P2105">
        <v>-0.171701980335526</v>
      </c>
      <c r="Q2105">
        <v>7.1651375532961303E-2</v>
      </c>
      <c r="R2105">
        <v>0.98212033687245803</v>
      </c>
      <c r="S2105" t="s">
        <v>8507</v>
      </c>
      <c r="T2105" t="s">
        <v>12802</v>
      </c>
      <c r="U2105" t="s">
        <v>12802</v>
      </c>
      <c r="V2105" t="s">
        <v>12802</v>
      </c>
      <c r="W2105" t="s">
        <v>14866</v>
      </c>
      <c r="X2105">
        <v>50</v>
      </c>
      <c r="Y2105" t="s">
        <v>21155</v>
      </c>
      <c r="Z2105" t="s">
        <v>27423</v>
      </c>
      <c r="AA2105">
        <v>0.35449412873471497</v>
      </c>
      <c r="AB2105" t="str">
        <f>HYPERLINK("Melting_Curves/meltCurve_P11277_3_SPTB.pdf", "Melting_Curves/meltCurve_P11277_3_SPTB.pdf")</f>
        <v>Melting_Curves/meltCurve_P11277_3_SPTB.pdf</v>
      </c>
    </row>
    <row r="2106" spans="1:28" x14ac:dyDescent="0.25">
      <c r="A2106" t="s">
        <v>2110</v>
      </c>
      <c r="B2106">
        <v>0.99542014353169495</v>
      </c>
      <c r="C2106">
        <v>0.93812556871960096</v>
      </c>
      <c r="D2106">
        <v>0.98241249968557898</v>
      </c>
      <c r="E2106">
        <v>0.92332881516858001</v>
      </c>
      <c r="F2106">
        <v>0.71281673308854399</v>
      </c>
      <c r="G2106">
        <v>0.49276127627354399</v>
      </c>
      <c r="H2106">
        <v>0.41562582428857098</v>
      </c>
      <c r="I2106">
        <v>0.449804481030805</v>
      </c>
      <c r="J2106">
        <v>0.63745600790889101</v>
      </c>
      <c r="K2106">
        <v>0.59902630516361299</v>
      </c>
      <c r="L2106">
        <v>1830.98150046808</v>
      </c>
      <c r="M2106">
        <v>37.059627452577999</v>
      </c>
      <c r="O2106">
        <v>49.263155672691703</v>
      </c>
      <c r="P2106">
        <v>-9.0884173698621395E-2</v>
      </c>
      <c r="Q2106">
        <v>0.51675395139774505</v>
      </c>
      <c r="R2106">
        <v>0.90616295935158397</v>
      </c>
      <c r="S2106" t="s">
        <v>8508</v>
      </c>
      <c r="T2106" t="s">
        <v>12802</v>
      </c>
      <c r="U2106" t="s">
        <v>12802</v>
      </c>
      <c r="V2106" t="s">
        <v>12802</v>
      </c>
      <c r="W2106" t="s">
        <v>14867</v>
      </c>
      <c r="X2106">
        <v>4</v>
      </c>
      <c r="Y2106" t="s">
        <v>21156</v>
      </c>
      <c r="Z2106" t="s">
        <v>27424</v>
      </c>
      <c r="AA2106">
        <v>0.71852169722848624</v>
      </c>
      <c r="AB2106" t="str">
        <f>HYPERLINK("Melting_Curves/meltCurve_P11279_LAMP1.pdf", "Melting_Curves/meltCurve_P11279_LAMP1.pdf")</f>
        <v>Melting_Curves/meltCurve_P11279_LAMP1.pdf</v>
      </c>
    </row>
    <row r="2107" spans="1:28" x14ac:dyDescent="0.25">
      <c r="A2107" t="s">
        <v>2111</v>
      </c>
      <c r="B2107">
        <v>0.99542014353169495</v>
      </c>
      <c r="C2107">
        <v>0.94711427339430498</v>
      </c>
      <c r="D2107">
        <v>1.01378794854128</v>
      </c>
      <c r="E2107">
        <v>0.36622292910225801</v>
      </c>
      <c r="F2107">
        <v>0.144533516298612</v>
      </c>
      <c r="G2107">
        <v>8.91797467882052E-2</v>
      </c>
      <c r="H2107">
        <v>6.5857909402383299E-2</v>
      </c>
      <c r="I2107">
        <v>4.2028215241489301E-2</v>
      </c>
      <c r="J2107">
        <v>4.2987623599860303E-2</v>
      </c>
      <c r="K2107">
        <v>4.6399725918389902E-2</v>
      </c>
      <c r="L2107">
        <v>2723.3409996196101</v>
      </c>
      <c r="M2107">
        <v>59.181572072662199</v>
      </c>
      <c r="N2107">
        <v>46.134663114339297</v>
      </c>
      <c r="O2107">
        <v>45.9642524177398</v>
      </c>
      <c r="P2107">
        <v>-0.29928889512368601</v>
      </c>
      <c r="Q2107">
        <v>7.0211635390610996E-2</v>
      </c>
      <c r="R2107">
        <v>0.99364730500707099</v>
      </c>
      <c r="S2107" t="s">
        <v>8509</v>
      </c>
      <c r="T2107" t="s">
        <v>12802</v>
      </c>
      <c r="U2107" t="s">
        <v>12802</v>
      </c>
      <c r="V2107" t="s">
        <v>12802</v>
      </c>
      <c r="W2107" t="s">
        <v>14868</v>
      </c>
      <c r="X2107">
        <v>30</v>
      </c>
      <c r="Y2107" t="s">
        <v>21157</v>
      </c>
      <c r="Z2107" t="s">
        <v>27425</v>
      </c>
      <c r="AA2107">
        <v>0.35101087886783949</v>
      </c>
      <c r="AB2107" t="str">
        <f>HYPERLINK("Melting_Curves/meltCurve_P11387_TOP1.pdf", "Melting_Curves/meltCurve_P11387_TOP1.pdf")</f>
        <v>Melting_Curves/meltCurve_P11387_TOP1.pdf</v>
      </c>
    </row>
    <row r="2108" spans="1:28" x14ac:dyDescent="0.25">
      <c r="A2108" t="s">
        <v>2112</v>
      </c>
      <c r="B2108">
        <v>0.99542014353169495</v>
      </c>
      <c r="C2108">
        <v>0.83377978519561902</v>
      </c>
      <c r="D2108">
        <v>1.0365778396146701</v>
      </c>
      <c r="E2108">
        <v>0.42772515588742199</v>
      </c>
      <c r="F2108">
        <v>0.13788060345130401</v>
      </c>
      <c r="G2108">
        <v>7.8339378736379597E-2</v>
      </c>
      <c r="H2108">
        <v>5.1336116712548001E-2</v>
      </c>
      <c r="I2108">
        <v>3.8800141743989901E-2</v>
      </c>
      <c r="J2108">
        <v>4.3082117458465199E-2</v>
      </c>
      <c r="K2108">
        <v>4.8072343378454702E-2</v>
      </c>
      <c r="L2108">
        <v>2627.2823511782099</v>
      </c>
      <c r="M2108">
        <v>56.806939733839599</v>
      </c>
      <c r="N2108">
        <v>46.360816290096501</v>
      </c>
      <c r="O2108">
        <v>46.192111061118403</v>
      </c>
      <c r="P2108">
        <v>-0.28781951113368098</v>
      </c>
      <c r="Q2108">
        <v>6.3847897223016495E-2</v>
      </c>
      <c r="R2108">
        <v>0.97785428266655605</v>
      </c>
      <c r="S2108" t="s">
        <v>8510</v>
      </c>
      <c r="T2108" t="s">
        <v>12802</v>
      </c>
      <c r="U2108" t="s">
        <v>12802</v>
      </c>
      <c r="V2108" t="s">
        <v>12802</v>
      </c>
      <c r="W2108" t="s">
        <v>14869</v>
      </c>
      <c r="X2108">
        <v>45</v>
      </c>
      <c r="Y2108" t="s">
        <v>21158</v>
      </c>
      <c r="Z2108" t="s">
        <v>27426</v>
      </c>
      <c r="AA2108">
        <v>0.3539512738619125</v>
      </c>
      <c r="AB2108" t="str">
        <f>HYPERLINK("Melting_Curves/meltCurve_P11388_TOP2A.pdf", "Melting_Curves/meltCurve_P11388_TOP2A.pdf")</f>
        <v>Melting_Curves/meltCurve_P11388_TOP2A.pdf</v>
      </c>
    </row>
    <row r="2109" spans="1:28" x14ac:dyDescent="0.25">
      <c r="A2109" t="s">
        <v>2113</v>
      </c>
      <c r="B2109">
        <v>0.99542014353169495</v>
      </c>
      <c r="C2109">
        <v>0.94985225921265204</v>
      </c>
      <c r="D2109">
        <v>0.97676812486411202</v>
      </c>
      <c r="E2109">
        <v>0.90376764889572503</v>
      </c>
      <c r="F2109">
        <v>0.74517552233377604</v>
      </c>
      <c r="G2109">
        <v>0.54426656149355801</v>
      </c>
      <c r="H2109">
        <v>0.30103311410713302</v>
      </c>
      <c r="I2109">
        <v>6.9266299637840298E-2</v>
      </c>
      <c r="J2109">
        <v>4.4254347410914399E-2</v>
      </c>
      <c r="K2109">
        <v>5.1683180952534401E-2</v>
      </c>
      <c r="L2109">
        <v>878.34495142661694</v>
      </c>
      <c r="M2109">
        <v>16.289021128692401</v>
      </c>
      <c r="N2109">
        <v>53.922513075387698</v>
      </c>
      <c r="O2109">
        <v>53.129445257942898</v>
      </c>
      <c r="P2109">
        <v>-7.6653387679359905E-2</v>
      </c>
      <c r="Q2109">
        <v>0</v>
      </c>
      <c r="R2109">
        <v>0.99318713615624199</v>
      </c>
      <c r="S2109" t="s">
        <v>8511</v>
      </c>
      <c r="T2109" t="s">
        <v>12802</v>
      </c>
      <c r="U2109" t="s">
        <v>12802</v>
      </c>
      <c r="V2109" t="s">
        <v>12802</v>
      </c>
      <c r="W2109" t="s">
        <v>14870</v>
      </c>
      <c r="X2109">
        <v>41</v>
      </c>
      <c r="Y2109" t="s">
        <v>21159</v>
      </c>
      <c r="Z2109" t="s">
        <v>27427</v>
      </c>
      <c r="AA2109">
        <v>0.57934429481255878</v>
      </c>
      <c r="AB2109" t="str">
        <f>HYPERLINK("Melting_Curves/meltCurve_P11413_G6PD.pdf", "Melting_Curves/meltCurve_P11413_G6PD.pdf")</f>
        <v>Melting_Curves/meltCurve_P11413_G6PD.pdf</v>
      </c>
    </row>
    <row r="2110" spans="1:28" x14ac:dyDescent="0.25">
      <c r="A2110" t="s">
        <v>2114</v>
      </c>
      <c r="B2110">
        <v>0.99542014353169495</v>
      </c>
      <c r="C2110">
        <v>0.92439889209359005</v>
      </c>
      <c r="D2110">
        <v>0.92805742565310301</v>
      </c>
      <c r="E2110">
        <v>0.59067461611491101</v>
      </c>
      <c r="F2110">
        <v>0.28542271684047399</v>
      </c>
      <c r="G2110">
        <v>0.16543551927463199</v>
      </c>
      <c r="H2110">
        <v>0.130488562569713</v>
      </c>
      <c r="I2110">
        <v>9.1822552832013404E-2</v>
      </c>
      <c r="J2110">
        <v>0.102311258844863</v>
      </c>
      <c r="K2110">
        <v>0.10916929213042199</v>
      </c>
      <c r="L2110">
        <v>1024.3886587463101</v>
      </c>
      <c r="M2110">
        <v>21.765314804542101</v>
      </c>
      <c r="N2110">
        <v>47.5674421239666</v>
      </c>
      <c r="O2110">
        <v>46.6732904040921</v>
      </c>
      <c r="P2110">
        <v>-0.10461758344946701</v>
      </c>
      <c r="Q2110">
        <v>0.102657930617517</v>
      </c>
      <c r="R2110">
        <v>0.99641175926050496</v>
      </c>
      <c r="S2110" t="s">
        <v>8512</v>
      </c>
      <c r="T2110" t="s">
        <v>12802</v>
      </c>
      <c r="U2110" t="s">
        <v>12802</v>
      </c>
      <c r="V2110" t="s">
        <v>12802</v>
      </c>
      <c r="W2110" t="s">
        <v>14871</v>
      </c>
      <c r="X2110">
        <v>10</v>
      </c>
      <c r="Y2110" t="s">
        <v>21160</v>
      </c>
      <c r="Z2110" t="s">
        <v>27428</v>
      </c>
      <c r="AA2110">
        <v>0.41366987100594621</v>
      </c>
      <c r="AB2110" t="str">
        <f>HYPERLINK("Melting_Curves/meltCurve_P11441_UBL4A.pdf", "Melting_Curves/meltCurve_P11441_UBL4A.pdf")</f>
        <v>Melting_Curves/meltCurve_P11441_UBL4A.pdf</v>
      </c>
    </row>
    <row r="2111" spans="1:28" x14ac:dyDescent="0.25">
      <c r="A2111" t="s">
        <v>2115</v>
      </c>
      <c r="B2111">
        <v>0.99542014353169495</v>
      </c>
      <c r="C2111">
        <v>1.0362294927115701</v>
      </c>
      <c r="D2111">
        <v>0.95004802314875403</v>
      </c>
      <c r="E2111">
        <v>0.82774764919879995</v>
      </c>
      <c r="F2111">
        <v>0.56248994035410305</v>
      </c>
      <c r="G2111">
        <v>0.29378444031614298</v>
      </c>
      <c r="H2111">
        <v>0.17864912721194001</v>
      </c>
      <c r="I2111">
        <v>9.86985155613683E-2</v>
      </c>
      <c r="J2111">
        <v>7.2198538521163202E-2</v>
      </c>
      <c r="K2111">
        <v>0.108134536594459</v>
      </c>
      <c r="L2111">
        <v>919.19628321414802</v>
      </c>
      <c r="M2111">
        <v>18.221223568192499</v>
      </c>
      <c r="N2111">
        <v>50.893713992395099</v>
      </c>
      <c r="O2111">
        <v>49.850646737084901</v>
      </c>
      <c r="P2111">
        <v>-8.4622715582504393E-2</v>
      </c>
      <c r="Q2111">
        <v>7.39816097485861E-2</v>
      </c>
      <c r="R2111">
        <v>0.99767002049700804</v>
      </c>
      <c r="S2111" t="s">
        <v>8513</v>
      </c>
      <c r="T2111" t="s">
        <v>12802</v>
      </c>
      <c r="U2111" t="s">
        <v>12802</v>
      </c>
      <c r="V2111" t="s">
        <v>12802</v>
      </c>
      <c r="W2111" t="s">
        <v>14872</v>
      </c>
      <c r="X2111">
        <v>4</v>
      </c>
      <c r="Y2111" t="s">
        <v>21161</v>
      </c>
      <c r="Z2111" t="s">
        <v>27429</v>
      </c>
      <c r="AA2111">
        <v>0.50325586144203882</v>
      </c>
      <c r="AB2111" t="str">
        <f>HYPERLINK("Melting_Curves/meltCurve_P11474_2_ESRRA.pdf", "Melting_Curves/meltCurve_P11474_2_ESRRA.pdf")</f>
        <v>Melting_Curves/meltCurve_P11474_2_ESRRA.pdf</v>
      </c>
    </row>
    <row r="2112" spans="1:28" x14ac:dyDescent="0.25">
      <c r="A2112" t="s">
        <v>2116</v>
      </c>
      <c r="B2112">
        <v>0.99542014353169495</v>
      </c>
      <c r="C2112">
        <v>0.96854973675497702</v>
      </c>
      <c r="D2112">
        <v>0.905671086055018</v>
      </c>
      <c r="E2112">
        <v>0.72589256494791599</v>
      </c>
      <c r="F2112">
        <v>0.28980268912979201</v>
      </c>
      <c r="G2112">
        <v>0.13653516379604699</v>
      </c>
      <c r="H2112">
        <v>8.9754463763554698E-2</v>
      </c>
      <c r="I2112">
        <v>6.9326110958302697E-2</v>
      </c>
      <c r="J2112">
        <v>6.9816408452894205E-2</v>
      </c>
      <c r="K2112">
        <v>6.7840408504836094E-2</v>
      </c>
      <c r="L2112">
        <v>1160.8173073923599</v>
      </c>
      <c r="M2112">
        <v>24.166997851494099</v>
      </c>
      <c r="N2112">
        <v>48.318681603663897</v>
      </c>
      <c r="O2112">
        <v>47.707898362752303</v>
      </c>
      <c r="P2112">
        <v>-0.118215831932257</v>
      </c>
      <c r="Q2112">
        <v>6.6538234903409404E-2</v>
      </c>
      <c r="R2112">
        <v>0.997664905929876</v>
      </c>
      <c r="S2112" t="s">
        <v>8514</v>
      </c>
      <c r="T2112" t="s">
        <v>12802</v>
      </c>
      <c r="U2112" t="s">
        <v>12802</v>
      </c>
      <c r="V2112" t="s">
        <v>12802</v>
      </c>
      <c r="W2112" t="s">
        <v>14873</v>
      </c>
      <c r="X2112">
        <v>27</v>
      </c>
      <c r="Y2112" t="s">
        <v>21162</v>
      </c>
      <c r="Z2112" t="s">
        <v>27430</v>
      </c>
      <c r="AA2112">
        <v>0.41834805556660792</v>
      </c>
      <c r="AB2112" t="str">
        <f>HYPERLINK("Melting_Curves/meltCurve_P11498_PC.pdf", "Melting_Curves/meltCurve_P11498_PC.pdf")</f>
        <v>Melting_Curves/meltCurve_P11498_PC.pdf</v>
      </c>
    </row>
    <row r="2113" spans="1:28" x14ac:dyDescent="0.25">
      <c r="A2113" t="s">
        <v>2117</v>
      </c>
      <c r="B2113">
        <v>0.99542014353169495</v>
      </c>
      <c r="C2113">
        <v>0.83388396373061602</v>
      </c>
      <c r="D2113">
        <v>0.92616008367939395</v>
      </c>
      <c r="E2113">
        <v>0.68955416697071603</v>
      </c>
      <c r="F2113">
        <v>0.61759242027127803</v>
      </c>
      <c r="G2113">
        <v>0.26762997481017098</v>
      </c>
      <c r="H2113">
        <v>0.160041026898813</v>
      </c>
      <c r="I2113">
        <v>9.7085040234762499E-2</v>
      </c>
      <c r="J2113">
        <v>9.2772349305288895E-2</v>
      </c>
      <c r="K2113">
        <v>8.4495850799168104E-2</v>
      </c>
      <c r="L2113">
        <v>604.16597535524102</v>
      </c>
      <c r="M2113">
        <v>11.9835581716519</v>
      </c>
      <c r="N2113">
        <v>50.462287885193099</v>
      </c>
      <c r="O2113">
        <v>49.073839820758998</v>
      </c>
      <c r="P2113">
        <v>-6.0731398157667399E-2</v>
      </c>
      <c r="Q2113">
        <v>5.4370345657500097E-3</v>
      </c>
      <c r="R2113">
        <v>0.97206732640224502</v>
      </c>
      <c r="S2113" t="s">
        <v>8515</v>
      </c>
      <c r="T2113" t="s">
        <v>12802</v>
      </c>
      <c r="U2113" t="s">
        <v>12802</v>
      </c>
      <c r="V2113" t="s">
        <v>12802</v>
      </c>
      <c r="W2113" t="s">
        <v>14874</v>
      </c>
      <c r="X2113">
        <v>77</v>
      </c>
      <c r="Y2113" t="s">
        <v>21163</v>
      </c>
      <c r="Z2113" t="s">
        <v>27431</v>
      </c>
      <c r="AA2113">
        <v>0.47731637045377862</v>
      </c>
      <c r="AB2113" t="str">
        <f>HYPERLINK("Melting_Curves/meltCurve_P11717_IGF2R.pdf", "Melting_Curves/meltCurve_P11717_IGF2R.pdf")</f>
        <v>Melting_Curves/meltCurve_P11717_IGF2R.pdf</v>
      </c>
    </row>
    <row r="2114" spans="1:28" x14ac:dyDescent="0.25">
      <c r="A2114" t="s">
        <v>2118</v>
      </c>
      <c r="B2114">
        <v>0.99542014353169495</v>
      </c>
      <c r="C2114">
        <v>0.96412065656304702</v>
      </c>
      <c r="D2114">
        <v>1.01116715319327</v>
      </c>
      <c r="E2114">
        <v>0.95174700478047403</v>
      </c>
      <c r="F2114">
        <v>0.79070594112957104</v>
      </c>
      <c r="G2114">
        <v>0.65813866959135403</v>
      </c>
      <c r="H2114">
        <v>0.54446997627848104</v>
      </c>
      <c r="I2114">
        <v>0.44591377411504401</v>
      </c>
      <c r="J2114">
        <v>0.51597082444397602</v>
      </c>
      <c r="K2114">
        <v>0.27516210401855701</v>
      </c>
      <c r="L2114">
        <v>638.54773485523799</v>
      </c>
      <c r="M2114">
        <v>11.6946943921211</v>
      </c>
      <c r="N2114">
        <v>59.059127838746697</v>
      </c>
      <c r="O2114">
        <v>53.078285299688801</v>
      </c>
      <c r="P2114">
        <v>-3.89444659382224E-2</v>
      </c>
      <c r="Q2114">
        <v>0.29316506762110101</v>
      </c>
      <c r="R2114">
        <v>0.95800665111223005</v>
      </c>
      <c r="S2114" t="s">
        <v>8516</v>
      </c>
      <c r="T2114" t="s">
        <v>12802</v>
      </c>
      <c r="U2114" t="s">
        <v>12802</v>
      </c>
      <c r="V2114" t="s">
        <v>12802</v>
      </c>
      <c r="W2114" t="s">
        <v>14875</v>
      </c>
      <c r="X2114">
        <v>18</v>
      </c>
      <c r="Y2114" t="s">
        <v>21164</v>
      </c>
      <c r="Z2114" t="s">
        <v>27432</v>
      </c>
      <c r="AA2114">
        <v>0.71895585461611777</v>
      </c>
      <c r="AB2114" t="str">
        <f>HYPERLINK("Melting_Curves/meltCurve_P11766_ADH5.pdf", "Melting_Curves/meltCurve_P11766_ADH5.pdf")</f>
        <v>Melting_Curves/meltCurve_P11766_ADH5.pdf</v>
      </c>
    </row>
    <row r="2115" spans="1:28" x14ac:dyDescent="0.25">
      <c r="A2115" t="s">
        <v>2119</v>
      </c>
      <c r="B2115">
        <v>0.99542014353169495</v>
      </c>
      <c r="C2115">
        <v>0.96051856619266696</v>
      </c>
      <c r="D2115">
        <v>0.78755300977932496</v>
      </c>
      <c r="E2115">
        <v>0.445229807246738</v>
      </c>
      <c r="F2115">
        <v>0.249676810618707</v>
      </c>
      <c r="G2115">
        <v>0.17195102642542101</v>
      </c>
      <c r="H2115">
        <v>0.169850667297369</v>
      </c>
      <c r="I2115">
        <v>0.15884826728057999</v>
      </c>
      <c r="J2115">
        <v>0.31967870446621399</v>
      </c>
      <c r="K2115">
        <v>0.24991486303744601</v>
      </c>
      <c r="L2115">
        <v>1126.1540420177901</v>
      </c>
      <c r="M2115">
        <v>25.134799695801401</v>
      </c>
      <c r="N2115">
        <v>45.803010244223302</v>
      </c>
      <c r="O2115">
        <v>44.523851759429498</v>
      </c>
      <c r="P2115">
        <v>-0.11136568635018</v>
      </c>
      <c r="Q2115">
        <v>0.210916481192369</v>
      </c>
      <c r="R2115">
        <v>0.97911235336086899</v>
      </c>
      <c r="S2115" t="s">
        <v>8517</v>
      </c>
      <c r="T2115" t="s">
        <v>12802</v>
      </c>
      <c r="U2115" t="s">
        <v>12802</v>
      </c>
      <c r="V2115" t="s">
        <v>12802</v>
      </c>
      <c r="W2115" t="s">
        <v>14876</v>
      </c>
      <c r="X2115">
        <v>9</v>
      </c>
      <c r="Y2115" t="s">
        <v>21165</v>
      </c>
      <c r="Z2115" t="s">
        <v>27433</v>
      </c>
      <c r="AA2115">
        <v>0.42259731720746613</v>
      </c>
      <c r="AB2115" t="str">
        <f>HYPERLINK("Melting_Curves/meltCurve_P11802_CDK4.pdf", "Melting_Curves/meltCurve_P11802_CDK4.pdf")</f>
        <v>Melting_Curves/meltCurve_P11802_CDK4.pdf</v>
      </c>
    </row>
    <row r="2116" spans="1:28" x14ac:dyDescent="0.25">
      <c r="A2116" t="s">
        <v>2120</v>
      </c>
      <c r="B2116">
        <v>0.99542014353169495</v>
      </c>
      <c r="C2116">
        <v>1.0192284902748301</v>
      </c>
      <c r="D2116">
        <v>0.982250764164736</v>
      </c>
      <c r="E2116">
        <v>0.91198518094066505</v>
      </c>
      <c r="F2116">
        <v>0.75859499832063904</v>
      </c>
      <c r="G2116">
        <v>0.90038360877768497</v>
      </c>
      <c r="H2116">
        <v>0.47539132162327702</v>
      </c>
      <c r="I2116">
        <v>0.25325110219691599</v>
      </c>
      <c r="J2116">
        <v>5.9707295817746003E-2</v>
      </c>
      <c r="K2116">
        <v>2.8239493244757798E-2</v>
      </c>
      <c r="L2116">
        <v>1173.2818248475701</v>
      </c>
      <c r="M2116">
        <v>20.445229950861201</v>
      </c>
      <c r="N2116">
        <v>57.386590124466203</v>
      </c>
      <c r="O2116">
        <v>56.846036277486299</v>
      </c>
      <c r="P2116">
        <v>-8.9917614910135502E-2</v>
      </c>
      <c r="Q2116">
        <v>0</v>
      </c>
      <c r="R2116">
        <v>0.95960586969755601</v>
      </c>
      <c r="S2116" t="s">
        <v>8518</v>
      </c>
      <c r="T2116" t="s">
        <v>12802</v>
      </c>
      <c r="U2116" t="s">
        <v>12802</v>
      </c>
      <c r="V2116" t="s">
        <v>12802</v>
      </c>
      <c r="W2116" t="s">
        <v>14877</v>
      </c>
      <c r="X2116">
        <v>11</v>
      </c>
      <c r="Y2116" t="s">
        <v>21166</v>
      </c>
      <c r="Z2116" t="s">
        <v>27434</v>
      </c>
      <c r="AA2116">
        <v>0.68759731796220291</v>
      </c>
      <c r="AB2116" t="str">
        <f>HYPERLINK("Melting_Curves/meltCurve_P11908_PRPS2.pdf", "Melting_Curves/meltCurve_P11908_PRPS2.pdf")</f>
        <v>Melting_Curves/meltCurve_P11908_PRPS2.pdf</v>
      </c>
    </row>
    <row r="2117" spans="1:28" x14ac:dyDescent="0.25">
      <c r="A2117" t="s">
        <v>2121</v>
      </c>
      <c r="B2117">
        <v>0.99542014353169495</v>
      </c>
      <c r="C2117">
        <v>0.97159357380302502</v>
      </c>
      <c r="D2117">
        <v>0.89275195498006898</v>
      </c>
      <c r="E2117">
        <v>0.77662736640622199</v>
      </c>
      <c r="F2117">
        <v>0.25804510436695</v>
      </c>
      <c r="G2117">
        <v>9.5790818787412899E-2</v>
      </c>
      <c r="H2117">
        <v>6.0059088431769603E-2</v>
      </c>
      <c r="I2117">
        <v>4.3122906460768502E-2</v>
      </c>
      <c r="J2117">
        <v>4.3705792067786797E-2</v>
      </c>
      <c r="K2117">
        <v>4.6081190223086897E-2</v>
      </c>
      <c r="L2117">
        <v>1413.45681956013</v>
      </c>
      <c r="M2117">
        <v>29.295876232549201</v>
      </c>
      <c r="N2117">
        <v>48.402112071353898</v>
      </c>
      <c r="O2117">
        <v>48.024526688061599</v>
      </c>
      <c r="P2117">
        <v>-0.145698856241057</v>
      </c>
      <c r="Q2117">
        <v>4.4634810684487797E-2</v>
      </c>
      <c r="R2117">
        <v>0.99492863779895702</v>
      </c>
      <c r="S2117" t="s">
        <v>8519</v>
      </c>
      <c r="T2117" t="s">
        <v>12802</v>
      </c>
      <c r="U2117" t="s">
        <v>12802</v>
      </c>
      <c r="V2117" t="s">
        <v>12802</v>
      </c>
      <c r="W2117" t="s">
        <v>14878</v>
      </c>
      <c r="X2117">
        <v>38</v>
      </c>
      <c r="Y2117" t="s">
        <v>20057</v>
      </c>
      <c r="Z2117" t="s">
        <v>27435</v>
      </c>
      <c r="AA2117">
        <v>0.40878279126591521</v>
      </c>
      <c r="AB2117" t="str">
        <f>HYPERLINK("Melting_Curves/meltCurve_P11940_PABPC1.pdf", "Melting_Curves/meltCurve_P11940_PABPC1.pdf")</f>
        <v>Melting_Curves/meltCurve_P11940_PABPC1.pdf</v>
      </c>
    </row>
    <row r="2118" spans="1:28" x14ac:dyDescent="0.25">
      <c r="A2118" t="s">
        <v>2122</v>
      </c>
      <c r="B2118">
        <v>0.99542014353169495</v>
      </c>
      <c r="C2118">
        <v>0.96573215783755995</v>
      </c>
      <c r="D2118">
        <v>0.94437090734615003</v>
      </c>
      <c r="E2118">
        <v>0.90983306648078799</v>
      </c>
      <c r="F2118">
        <v>0.77676045814134798</v>
      </c>
      <c r="G2118">
        <v>0.67386467846975495</v>
      </c>
      <c r="H2118">
        <v>0.36494872212631002</v>
      </c>
      <c r="I2118">
        <v>0.213565983557017</v>
      </c>
      <c r="J2118">
        <v>9.35698849809561E-2</v>
      </c>
      <c r="K2118">
        <v>6.6792993285214805E-2</v>
      </c>
      <c r="L2118">
        <v>797.22133386006601</v>
      </c>
      <c r="M2118">
        <v>14.381226665565601</v>
      </c>
      <c r="N2118">
        <v>55.434863655191499</v>
      </c>
      <c r="O2118">
        <v>54.396050785847898</v>
      </c>
      <c r="P2118">
        <v>-6.6102870583650594E-2</v>
      </c>
      <c r="Q2118">
        <v>0</v>
      </c>
      <c r="R2118">
        <v>0.99162941993717502</v>
      </c>
      <c r="S2118" t="s">
        <v>8520</v>
      </c>
      <c r="T2118" t="s">
        <v>12802</v>
      </c>
      <c r="U2118" t="s">
        <v>12802</v>
      </c>
      <c r="V2118" t="s">
        <v>12802</v>
      </c>
      <c r="W2118" t="s">
        <v>14879</v>
      </c>
      <c r="X2118">
        <v>22</v>
      </c>
      <c r="Y2118" t="s">
        <v>21167</v>
      </c>
      <c r="Z2118" t="s">
        <v>27436</v>
      </c>
      <c r="AA2118">
        <v>0.62759212908900042</v>
      </c>
      <c r="AB2118" t="str">
        <f>HYPERLINK("Melting_Curves/meltCurve_P12004_PCNA.pdf", "Melting_Curves/meltCurve_P12004_PCNA.pdf")</f>
        <v>Melting_Curves/meltCurve_P12004_PCNA.pdf</v>
      </c>
    </row>
    <row r="2119" spans="1:28" x14ac:dyDescent="0.25">
      <c r="A2119" t="s">
        <v>2123</v>
      </c>
      <c r="B2119">
        <v>0.99542014353169495</v>
      </c>
      <c r="C2119">
        <v>1.0799455993673599</v>
      </c>
      <c r="D2119">
        <v>1.07811360712775</v>
      </c>
      <c r="E2119">
        <v>0.86964533277060896</v>
      </c>
      <c r="F2119">
        <v>0.92334500436273104</v>
      </c>
      <c r="G2119">
        <v>0.59949590347311199</v>
      </c>
      <c r="H2119">
        <v>0.60929470126214103</v>
      </c>
      <c r="I2119">
        <v>0.235938847163285</v>
      </c>
      <c r="J2119">
        <v>0.112921776750411</v>
      </c>
      <c r="K2119">
        <v>7.5264160019596502E-2</v>
      </c>
      <c r="L2119">
        <v>849.86452656300696</v>
      </c>
      <c r="M2119">
        <v>14.9255555030861</v>
      </c>
      <c r="N2119">
        <v>56.940227807879097</v>
      </c>
      <c r="O2119">
        <v>55.9474106161896</v>
      </c>
      <c r="P2119">
        <v>-6.6701445209328303E-2</v>
      </c>
      <c r="Q2119">
        <v>0</v>
      </c>
      <c r="R2119">
        <v>0.95789803171948695</v>
      </c>
      <c r="S2119" t="s">
        <v>8521</v>
      </c>
      <c r="T2119" t="s">
        <v>12802</v>
      </c>
      <c r="U2119" t="s">
        <v>12802</v>
      </c>
      <c r="V2119" t="s">
        <v>12802</v>
      </c>
      <c r="W2119" t="s">
        <v>14880</v>
      </c>
      <c r="X2119">
        <v>4</v>
      </c>
      <c r="Y2119" t="s">
        <v>21168</v>
      </c>
      <c r="Z2119" t="s">
        <v>27437</v>
      </c>
      <c r="AA2119">
        <v>0.67303854373292471</v>
      </c>
      <c r="AB2119" t="str">
        <f>HYPERLINK("Melting_Curves/meltCurve_P12036_2_NEFH.pdf", "Melting_Curves/meltCurve_P12036_2_NEFH.pdf")</f>
        <v>Melting_Curves/meltCurve_P12036_2_NEFH.pdf</v>
      </c>
    </row>
    <row r="2120" spans="1:28" x14ac:dyDescent="0.25">
      <c r="A2120" t="s">
        <v>2124</v>
      </c>
      <c r="B2120">
        <v>0.99542014353169495</v>
      </c>
      <c r="C2120">
        <v>0.99651061091641102</v>
      </c>
      <c r="D2120">
        <v>0.94893870844661998</v>
      </c>
      <c r="E2120">
        <v>0.90544005431794805</v>
      </c>
      <c r="F2120">
        <v>0.75604678644805701</v>
      </c>
      <c r="G2120">
        <v>0.50989116683438995</v>
      </c>
      <c r="H2120">
        <v>0.18911220383605001</v>
      </c>
      <c r="I2120">
        <v>7.0842071032787293E-2</v>
      </c>
      <c r="J2120">
        <v>7.8306666802867506E-2</v>
      </c>
      <c r="K2120">
        <v>6.2297044103810102E-2</v>
      </c>
      <c r="L2120">
        <v>984.99942004474599</v>
      </c>
      <c r="M2120">
        <v>18.483043669686001</v>
      </c>
      <c r="N2120">
        <v>53.399335150144402</v>
      </c>
      <c r="O2120">
        <v>52.679979621631297</v>
      </c>
      <c r="P2120">
        <v>-8.6118991543971804E-2</v>
      </c>
      <c r="Q2120">
        <v>1.8225530592752299E-2</v>
      </c>
      <c r="R2120">
        <v>0.99504928565906103</v>
      </c>
      <c r="S2120" t="s">
        <v>8522</v>
      </c>
      <c r="T2120" t="s">
        <v>12802</v>
      </c>
      <c r="U2120" t="s">
        <v>12802</v>
      </c>
      <c r="V2120" t="s">
        <v>12802</v>
      </c>
      <c r="W2120" t="s">
        <v>14881</v>
      </c>
      <c r="X2120">
        <v>38</v>
      </c>
      <c r="Y2120" t="s">
        <v>21169</v>
      </c>
      <c r="Z2120" t="s">
        <v>27438</v>
      </c>
      <c r="AA2120">
        <v>0.56500394480465965</v>
      </c>
      <c r="AB2120" t="str">
        <f>HYPERLINK("Melting_Curves/meltCurve_P12081_HARS.pdf", "Melting_Curves/meltCurve_P12081_HARS.pdf")</f>
        <v>Melting_Curves/meltCurve_P12081_HARS.pdf</v>
      </c>
    </row>
    <row r="2121" spans="1:28" x14ac:dyDescent="0.25">
      <c r="A2121" t="s">
        <v>2125</v>
      </c>
      <c r="B2121">
        <v>0.99542014353169495</v>
      </c>
      <c r="C2121">
        <v>0.97890667962754896</v>
      </c>
      <c r="D2121">
        <v>0.995295949226643</v>
      </c>
      <c r="E2121">
        <v>0.75637560433557205</v>
      </c>
      <c r="F2121">
        <v>0.64918184912267196</v>
      </c>
      <c r="G2121">
        <v>0.44375711197340201</v>
      </c>
      <c r="H2121">
        <v>0.37960325913343901</v>
      </c>
      <c r="I2121">
        <v>0.31592588099219499</v>
      </c>
      <c r="J2121">
        <v>0.40584292817894702</v>
      </c>
      <c r="K2121">
        <v>0.39369462207632899</v>
      </c>
      <c r="L2121">
        <v>892.29264487727301</v>
      </c>
      <c r="M2121">
        <v>18.28609769585</v>
      </c>
      <c r="N2121">
        <v>52.426622717850897</v>
      </c>
      <c r="O2121">
        <v>48.223888265585202</v>
      </c>
      <c r="P2121">
        <v>-6.0762790426561797E-2</v>
      </c>
      <c r="Q2121">
        <v>0.35905796653722299</v>
      </c>
      <c r="R2121">
        <v>0.98024083721993605</v>
      </c>
      <c r="S2121" t="s">
        <v>8523</v>
      </c>
      <c r="T2121" t="s">
        <v>12802</v>
      </c>
      <c r="U2121" t="s">
        <v>12802</v>
      </c>
      <c r="V2121" t="s">
        <v>12802</v>
      </c>
      <c r="W2121" t="s">
        <v>14882</v>
      </c>
      <c r="X2121">
        <v>16</v>
      </c>
      <c r="Y2121" t="s">
        <v>21170</v>
      </c>
      <c r="Z2121" t="s">
        <v>27439</v>
      </c>
      <c r="AA2121">
        <v>0.62100481647454187</v>
      </c>
      <c r="AB2121" t="str">
        <f>HYPERLINK("Melting_Curves/meltCurve_P12235_SLC25A4.pdf", "Melting_Curves/meltCurve_P12235_SLC25A4.pdf")</f>
        <v>Melting_Curves/meltCurve_P12235_SLC25A4.pdf</v>
      </c>
    </row>
    <row r="2122" spans="1:28" x14ac:dyDescent="0.25">
      <c r="A2122" t="s">
        <v>2126</v>
      </c>
      <c r="B2122">
        <v>0.99542014353169495</v>
      </c>
      <c r="C2122">
        <v>0.877010009115197</v>
      </c>
      <c r="D2122">
        <v>0.89207158368484796</v>
      </c>
      <c r="E2122">
        <v>0.76015843385515702</v>
      </c>
      <c r="F2122">
        <v>0.65896614947223697</v>
      </c>
      <c r="G2122">
        <v>0.40134418807067701</v>
      </c>
      <c r="H2122">
        <v>0.33490389064632198</v>
      </c>
      <c r="I2122">
        <v>0.28418662789777999</v>
      </c>
      <c r="J2122">
        <v>0.38792432778161701</v>
      </c>
      <c r="K2122">
        <v>0.44605080261448099</v>
      </c>
      <c r="L2122">
        <v>708.43205085841896</v>
      </c>
      <c r="M2122">
        <v>14.665551994801801</v>
      </c>
      <c r="N2122">
        <v>52.275898636402701</v>
      </c>
      <c r="O2122">
        <v>47.434360081162097</v>
      </c>
      <c r="P2122">
        <v>-5.1341238474546899E-2</v>
      </c>
      <c r="Q2122">
        <v>0.33583951211977697</v>
      </c>
      <c r="R2122">
        <v>0.93594600812496298</v>
      </c>
      <c r="S2122" t="s">
        <v>8524</v>
      </c>
      <c r="T2122" t="s">
        <v>12802</v>
      </c>
      <c r="U2122" t="s">
        <v>12802</v>
      </c>
      <c r="V2122" t="s">
        <v>12802</v>
      </c>
      <c r="W2122" t="s">
        <v>14883</v>
      </c>
      <c r="X2122">
        <v>24</v>
      </c>
      <c r="Y2122" t="s">
        <v>21171</v>
      </c>
      <c r="Z2122" t="s">
        <v>27440</v>
      </c>
      <c r="AA2122">
        <v>0.60121093645105006</v>
      </c>
      <c r="AB2122" t="str">
        <f>HYPERLINK("Melting_Curves/meltCurve_P12236_SLC25A6.pdf", "Melting_Curves/meltCurve_P12236_SLC25A6.pdf")</f>
        <v>Melting_Curves/meltCurve_P12236_SLC25A6.pdf</v>
      </c>
    </row>
    <row r="2123" spans="1:28" x14ac:dyDescent="0.25">
      <c r="A2123" t="s">
        <v>2127</v>
      </c>
      <c r="B2123">
        <v>0.99542014353169495</v>
      </c>
      <c r="C2123">
        <v>0.95386878909594996</v>
      </c>
      <c r="D2123">
        <v>1.0396040500363199</v>
      </c>
      <c r="E2123">
        <v>0.42638580679698201</v>
      </c>
      <c r="F2123">
        <v>0.221118830838579</v>
      </c>
      <c r="G2123">
        <v>0.10721638659381599</v>
      </c>
      <c r="H2123">
        <v>6.6924486125351595E-2</v>
      </c>
      <c r="I2123">
        <v>4.8344119392692599E-2</v>
      </c>
      <c r="J2123">
        <v>5.7974214922228803E-2</v>
      </c>
      <c r="K2123">
        <v>6.4486102845392093E-2</v>
      </c>
      <c r="L2123">
        <v>2053.4012020534401</v>
      </c>
      <c r="M2123">
        <v>44.485585879752897</v>
      </c>
      <c r="N2123">
        <v>46.359487116064898</v>
      </c>
      <c r="O2123">
        <v>46.065794582937102</v>
      </c>
      <c r="P2123">
        <v>-0.22028065452692999</v>
      </c>
      <c r="Q2123">
        <v>8.7579180067552206E-2</v>
      </c>
      <c r="R2123">
        <v>0.985795934107076</v>
      </c>
      <c r="S2123" t="s">
        <v>8525</v>
      </c>
      <c r="T2123" t="s">
        <v>12802</v>
      </c>
      <c r="U2123" t="s">
        <v>12802</v>
      </c>
      <c r="V2123" t="s">
        <v>12802</v>
      </c>
      <c r="W2123" t="s">
        <v>14884</v>
      </c>
      <c r="X2123">
        <v>106</v>
      </c>
      <c r="Y2123" t="s">
        <v>21172</v>
      </c>
      <c r="Z2123" t="s">
        <v>27441</v>
      </c>
      <c r="AA2123">
        <v>0.36848577135990068</v>
      </c>
      <c r="AB2123" t="str">
        <f>HYPERLINK("Melting_Curves/meltCurve_P12270_TPR.pdf", "Melting_Curves/meltCurve_P12270_TPR.pdf")</f>
        <v>Melting_Curves/meltCurve_P12270_TPR.pdf</v>
      </c>
    </row>
    <row r="2124" spans="1:28" x14ac:dyDescent="0.25">
      <c r="A2124" t="s">
        <v>2128</v>
      </c>
      <c r="B2124">
        <v>0.99542014353169495</v>
      </c>
      <c r="C2124">
        <v>1.05511869562475</v>
      </c>
      <c r="D2124">
        <v>0.98741375188438996</v>
      </c>
      <c r="E2124">
        <v>0.96065270594380703</v>
      </c>
      <c r="F2124">
        <v>0.68201481455596202</v>
      </c>
      <c r="G2124">
        <v>0.229603543153135</v>
      </c>
      <c r="H2124">
        <v>7.5536050785418904E-2</v>
      </c>
      <c r="I2124">
        <v>4.4737875489425601E-2</v>
      </c>
      <c r="J2124">
        <v>4.1615632547959601E-2</v>
      </c>
      <c r="K2124">
        <v>4.4203357301754599E-2</v>
      </c>
      <c r="L2124">
        <v>1582.0283164279799</v>
      </c>
      <c r="M2124">
        <v>30.811268773429202</v>
      </c>
      <c r="N2124">
        <v>51.485578082658201</v>
      </c>
      <c r="O2124">
        <v>51.130933920960203</v>
      </c>
      <c r="P2124">
        <v>-0.14460395448778399</v>
      </c>
      <c r="Q2124">
        <v>4.0131479591114003E-2</v>
      </c>
      <c r="R2124">
        <v>0.998329253102471</v>
      </c>
      <c r="S2124" t="s">
        <v>8526</v>
      </c>
      <c r="T2124" t="s">
        <v>12802</v>
      </c>
      <c r="U2124" t="s">
        <v>12802</v>
      </c>
      <c r="V2124" t="s">
        <v>12802</v>
      </c>
      <c r="W2124" t="s">
        <v>14885</v>
      </c>
      <c r="X2124">
        <v>22</v>
      </c>
      <c r="Y2124" t="s">
        <v>21173</v>
      </c>
      <c r="Z2124" t="s">
        <v>27442</v>
      </c>
      <c r="AA2124">
        <v>0.50483789317806815</v>
      </c>
      <c r="AB2124" t="str">
        <f>HYPERLINK("Melting_Curves/meltCurve_P12277_CKB.pdf", "Melting_Curves/meltCurve_P12277_CKB.pdf")</f>
        <v>Melting_Curves/meltCurve_P12277_CKB.pdf</v>
      </c>
    </row>
    <row r="2125" spans="1:28" x14ac:dyDescent="0.25">
      <c r="A2125" t="s">
        <v>2129</v>
      </c>
      <c r="B2125">
        <v>0.99542014353169495</v>
      </c>
      <c r="C2125">
        <v>1.08424318935163</v>
      </c>
      <c r="D2125">
        <v>1.1591843806620099</v>
      </c>
      <c r="E2125">
        <v>1.02913082486357</v>
      </c>
      <c r="F2125">
        <v>0.97164477791610704</v>
      </c>
      <c r="G2125">
        <v>0.66106924882731299</v>
      </c>
      <c r="H2125">
        <v>0.45199292893364101</v>
      </c>
      <c r="I2125">
        <v>0.271505744295993</v>
      </c>
      <c r="J2125">
        <v>0.29367126601221499</v>
      </c>
      <c r="K2125">
        <v>0.28688654612055597</v>
      </c>
      <c r="L2125">
        <v>1564.7903124786801</v>
      </c>
      <c r="M2125">
        <v>28.783623288378099</v>
      </c>
      <c r="N2125">
        <v>55.949896474499603</v>
      </c>
      <c r="O2125">
        <v>54.103532371406097</v>
      </c>
      <c r="P2125">
        <v>-9.5911105608573397E-2</v>
      </c>
      <c r="Q2125">
        <v>0.278883031449146</v>
      </c>
      <c r="R2125">
        <v>0.96742088531548398</v>
      </c>
      <c r="S2125" t="s">
        <v>8527</v>
      </c>
      <c r="T2125" t="s">
        <v>12802</v>
      </c>
      <c r="U2125" t="s">
        <v>12802</v>
      </c>
      <c r="V2125" t="s">
        <v>12802</v>
      </c>
      <c r="W2125" t="s">
        <v>14886</v>
      </c>
      <c r="X2125">
        <v>7</v>
      </c>
      <c r="Y2125" t="s">
        <v>21174</v>
      </c>
      <c r="Z2125" t="s">
        <v>27443</v>
      </c>
      <c r="AA2125">
        <v>0.70121046382508834</v>
      </c>
      <c r="AB2125" t="str">
        <f>HYPERLINK("Melting_Curves/meltCurve_P12318_2_FCGR2A.pdf", "Melting_Curves/meltCurve_P12318_2_FCGR2A.pdf")</f>
        <v>Melting_Curves/meltCurve_P12318_2_FCGR2A.pdf</v>
      </c>
    </row>
    <row r="2126" spans="1:28" x14ac:dyDescent="0.25">
      <c r="A2126" t="s">
        <v>2130</v>
      </c>
      <c r="B2126">
        <v>0.99542014353169495</v>
      </c>
      <c r="C2126">
        <v>0.95483714891069404</v>
      </c>
      <c r="D2126">
        <v>0.86708202048215299</v>
      </c>
      <c r="E2126">
        <v>0.85383721114451905</v>
      </c>
      <c r="F2126">
        <v>0.66668276611387001</v>
      </c>
      <c r="G2126">
        <v>0.27645475790720397</v>
      </c>
      <c r="H2126">
        <v>0.11735915876446</v>
      </c>
      <c r="I2126">
        <v>9.1130598801238194E-2</v>
      </c>
      <c r="J2126">
        <v>9.0993402244207003E-2</v>
      </c>
      <c r="K2126">
        <v>9.2096534988830803E-2</v>
      </c>
      <c r="L2126">
        <v>1033.4114622526899</v>
      </c>
      <c r="M2126">
        <v>20.2479245114477</v>
      </c>
      <c r="N2126">
        <v>51.3689714539615</v>
      </c>
      <c r="O2126">
        <v>50.547888526356303</v>
      </c>
      <c r="P2126">
        <v>-9.4019418885200004E-2</v>
      </c>
      <c r="Q2126">
        <v>6.1170803620382998E-2</v>
      </c>
      <c r="R2126">
        <v>0.98525652963445098</v>
      </c>
      <c r="S2126" t="s">
        <v>8528</v>
      </c>
      <c r="T2126" t="s">
        <v>12802</v>
      </c>
      <c r="U2126" t="s">
        <v>12802</v>
      </c>
      <c r="V2126" t="s">
        <v>12802</v>
      </c>
      <c r="W2126" t="s">
        <v>14887</v>
      </c>
      <c r="X2126">
        <v>16</v>
      </c>
      <c r="Y2126" t="s">
        <v>21175</v>
      </c>
      <c r="Z2126" t="s">
        <v>27444</v>
      </c>
      <c r="AA2126">
        <v>0.51251436583317489</v>
      </c>
      <c r="AB2126" t="str">
        <f>HYPERLINK("Melting_Curves/meltCurve_P12429_ANXA3.pdf", "Melting_Curves/meltCurve_P12429_ANXA3.pdf")</f>
        <v>Melting_Curves/meltCurve_P12429_ANXA3.pdf</v>
      </c>
    </row>
    <row r="2127" spans="1:28" x14ac:dyDescent="0.25">
      <c r="A2127" t="s">
        <v>2131</v>
      </c>
      <c r="B2127">
        <v>0.99542014353169495</v>
      </c>
      <c r="C2127">
        <v>0.87630371747891</v>
      </c>
      <c r="D2127">
        <v>0.923978673178525</v>
      </c>
      <c r="E2127">
        <v>0.64851303032933405</v>
      </c>
      <c r="F2127">
        <v>0.60934085942110505</v>
      </c>
      <c r="G2127">
        <v>0.29950096274027299</v>
      </c>
      <c r="H2127">
        <v>0.37698656777871198</v>
      </c>
      <c r="I2127">
        <v>0.35035413487670403</v>
      </c>
      <c r="J2127">
        <v>0.42727980139735899</v>
      </c>
      <c r="K2127">
        <v>0.36467534357222597</v>
      </c>
      <c r="L2127">
        <v>768.66369140980703</v>
      </c>
      <c r="M2127">
        <v>16.4329068624548</v>
      </c>
      <c r="N2127">
        <v>50.551096507368797</v>
      </c>
      <c r="O2127">
        <v>46.099641712618102</v>
      </c>
      <c r="P2127">
        <v>-5.7622371981670598E-2</v>
      </c>
      <c r="Q2127">
        <v>0.35344777628987301</v>
      </c>
      <c r="R2127">
        <v>0.93548010048367003</v>
      </c>
      <c r="S2127" t="s">
        <v>8529</v>
      </c>
      <c r="T2127" t="s">
        <v>12802</v>
      </c>
      <c r="U2127" t="s">
        <v>12802</v>
      </c>
      <c r="V2127" t="s">
        <v>12802</v>
      </c>
      <c r="W2127" t="s">
        <v>14888</v>
      </c>
      <c r="X2127">
        <v>8</v>
      </c>
      <c r="Y2127" t="s">
        <v>21176</v>
      </c>
      <c r="Z2127" t="s">
        <v>27445</v>
      </c>
      <c r="AA2127">
        <v>0.57649499711264629</v>
      </c>
      <c r="AB2127" t="str">
        <f>HYPERLINK("Melting_Curves/meltCurve_P12532_CKMT1A.pdf", "Melting_Curves/meltCurve_P12532_CKMT1A.pdf")</f>
        <v>Melting_Curves/meltCurve_P12532_CKMT1A.pdf</v>
      </c>
    </row>
    <row r="2128" spans="1:28" x14ac:dyDescent="0.25">
      <c r="A2128" t="s">
        <v>2132</v>
      </c>
      <c r="B2128">
        <v>0.99542014353169495</v>
      </c>
      <c r="C2128">
        <v>0.92204139299102394</v>
      </c>
      <c r="D2128">
        <v>0.74367653457346605</v>
      </c>
      <c r="E2128">
        <v>0.64790402648241796</v>
      </c>
      <c r="F2128">
        <v>0.31979856028084602</v>
      </c>
      <c r="G2128">
        <v>0.25434914963695199</v>
      </c>
      <c r="H2128">
        <v>0.15566413222530501</v>
      </c>
      <c r="I2128">
        <v>0.114984827378529</v>
      </c>
      <c r="J2128">
        <v>7.7591308718648305E-2</v>
      </c>
      <c r="K2128">
        <v>0</v>
      </c>
      <c r="L2128">
        <v>536.27261163832804</v>
      </c>
      <c r="M2128">
        <v>11.159871333736501</v>
      </c>
      <c r="N2128">
        <v>48.0842477390458</v>
      </c>
      <c r="O2128">
        <v>46.588137878760101</v>
      </c>
      <c r="P2128">
        <v>-5.9693009771958301E-2</v>
      </c>
      <c r="Q2128">
        <v>3.5375040696053301E-3</v>
      </c>
      <c r="R2128">
        <v>0.98829934818555998</v>
      </c>
      <c r="S2128" t="s">
        <v>8530</v>
      </c>
      <c r="T2128" t="s">
        <v>12802</v>
      </c>
      <c r="U2128" t="s">
        <v>12802</v>
      </c>
      <c r="V2128" t="s">
        <v>12802</v>
      </c>
      <c r="W2128" t="s">
        <v>14889</v>
      </c>
      <c r="X2128">
        <v>2</v>
      </c>
      <c r="Y2128" t="s">
        <v>21177</v>
      </c>
      <c r="Z2128" t="s">
        <v>27446</v>
      </c>
      <c r="AA2128">
        <v>0.40517509493507198</v>
      </c>
      <c r="AB2128" t="str">
        <f>HYPERLINK("Melting_Curves/meltCurve_P12755_SKI.pdf", "Melting_Curves/meltCurve_P12755_SKI.pdf")</f>
        <v>Melting_Curves/meltCurve_P12755_SKI.pdf</v>
      </c>
    </row>
    <row r="2129" spans="1:28" x14ac:dyDescent="0.25">
      <c r="A2129" t="s">
        <v>2133</v>
      </c>
      <c r="B2129">
        <v>0.99542014353169495</v>
      </c>
      <c r="C2129">
        <v>1.0332655683046601</v>
      </c>
      <c r="D2129">
        <v>1.0780537003203501</v>
      </c>
      <c r="E2129">
        <v>1.0785706939044799</v>
      </c>
      <c r="F2129">
        <v>0.916659384450634</v>
      </c>
      <c r="G2129">
        <v>0.57210203604514098</v>
      </c>
      <c r="H2129">
        <v>0.32068448173342401</v>
      </c>
      <c r="I2129">
        <v>6.5972811832535797E-2</v>
      </c>
      <c r="J2129">
        <v>6.1608960099763597E-2</v>
      </c>
      <c r="K2129">
        <v>6.1843143132068602E-2</v>
      </c>
      <c r="L2129">
        <v>1345.8294117169901</v>
      </c>
      <c r="M2129">
        <v>24.621520490487899</v>
      </c>
      <c r="N2129">
        <v>54.840888378652799</v>
      </c>
      <c r="O2129">
        <v>54.303944655750698</v>
      </c>
      <c r="P2129">
        <v>-0.10894779464325401</v>
      </c>
      <c r="Q2129">
        <v>3.8855371052277703E-2</v>
      </c>
      <c r="R2129">
        <v>0.98768773188582204</v>
      </c>
      <c r="S2129" t="s">
        <v>8531</v>
      </c>
      <c r="T2129" t="s">
        <v>12802</v>
      </c>
      <c r="U2129" t="s">
        <v>12802</v>
      </c>
      <c r="V2129" t="s">
        <v>12802</v>
      </c>
      <c r="W2129" t="s">
        <v>14890</v>
      </c>
      <c r="X2129">
        <v>40</v>
      </c>
      <c r="Y2129" t="s">
        <v>21178</v>
      </c>
      <c r="Z2129" t="s">
        <v>27447</v>
      </c>
      <c r="AA2129">
        <v>0.61312804191762138</v>
      </c>
      <c r="AB2129" t="str">
        <f>HYPERLINK("Melting_Curves/meltCurve_P12814_2_ACTN1.pdf", "Melting_Curves/meltCurve_P12814_2_ACTN1.pdf")</f>
        <v>Melting_Curves/meltCurve_P12814_2_ACTN1.pdf</v>
      </c>
    </row>
    <row r="2130" spans="1:28" x14ac:dyDescent="0.25">
      <c r="A2130" t="s">
        <v>2134</v>
      </c>
      <c r="B2130">
        <v>0.99542014353169495</v>
      </c>
      <c r="C2130">
        <v>0.91045693562350904</v>
      </c>
      <c r="D2130">
        <v>0.90581051826010905</v>
      </c>
      <c r="E2130">
        <v>0.79541894934773505</v>
      </c>
      <c r="F2130">
        <v>0.54326022410652997</v>
      </c>
      <c r="G2130">
        <v>0.40995649177042398</v>
      </c>
      <c r="H2130">
        <v>0.55411140294646299</v>
      </c>
      <c r="I2130">
        <v>0.46333479135844702</v>
      </c>
      <c r="J2130">
        <v>0.66232201422877202</v>
      </c>
      <c r="K2130">
        <v>0.83587572650338204</v>
      </c>
      <c r="S2130" t="s">
        <v>8532</v>
      </c>
      <c r="T2130" t="s">
        <v>12802</v>
      </c>
      <c r="U2130" t="s">
        <v>12803</v>
      </c>
      <c r="V2130" t="s">
        <v>12802</v>
      </c>
      <c r="W2130" t="s">
        <v>14891</v>
      </c>
      <c r="X2130">
        <v>11</v>
      </c>
      <c r="Y2130" t="s">
        <v>21179</v>
      </c>
      <c r="Z2130" t="s">
        <v>27448</v>
      </c>
      <c r="AB2130" t="str">
        <f>HYPERLINK("Melting_Curves/meltCurve_P12829_MYL4.pdf", "Melting_Curves/meltCurve_P12829_MYL4.pdf")</f>
        <v>Melting_Curves/meltCurve_P12829_MYL4.pdf</v>
      </c>
    </row>
    <row r="2131" spans="1:28" x14ac:dyDescent="0.25">
      <c r="A2131" t="s">
        <v>2135</v>
      </c>
      <c r="B2131">
        <v>0.99542014353169495</v>
      </c>
      <c r="C2131">
        <v>0.87609879625769804</v>
      </c>
      <c r="D2131">
        <v>0.96536156928045103</v>
      </c>
      <c r="E2131">
        <v>0.57473381965372405</v>
      </c>
      <c r="F2131">
        <v>0.59942704843511896</v>
      </c>
      <c r="G2131">
        <v>0.24707486505711801</v>
      </c>
      <c r="H2131">
        <v>0.22315002992510899</v>
      </c>
      <c r="I2131">
        <v>0.152532161030699</v>
      </c>
      <c r="J2131">
        <v>8.5577166345070496E-2</v>
      </c>
      <c r="K2131">
        <v>6.6980811104967203E-2</v>
      </c>
      <c r="L2131">
        <v>551.73774254067905</v>
      </c>
      <c r="M2131">
        <v>11.056797787655301</v>
      </c>
      <c r="N2131">
        <v>50.052210529394102</v>
      </c>
      <c r="O2131">
        <v>48.351428417943602</v>
      </c>
      <c r="P2131">
        <v>-5.6244297600116198E-2</v>
      </c>
      <c r="Q2131">
        <v>1.6499203985664901E-2</v>
      </c>
      <c r="R2131">
        <v>0.96130989556569602</v>
      </c>
      <c r="S2131" t="s">
        <v>8533</v>
      </c>
      <c r="T2131" t="s">
        <v>12802</v>
      </c>
      <c r="U2131" t="s">
        <v>12802</v>
      </c>
      <c r="V2131" t="s">
        <v>12802</v>
      </c>
      <c r="W2131" t="s">
        <v>14892</v>
      </c>
      <c r="X2131">
        <v>3</v>
      </c>
      <c r="Y2131" t="s">
        <v>21180</v>
      </c>
      <c r="Z2131" t="s">
        <v>27449</v>
      </c>
      <c r="AA2131">
        <v>0.46982085405104917</v>
      </c>
      <c r="AB2131" t="str">
        <f>HYPERLINK("Melting_Curves/meltCurve_P12882_MYH1.pdf", "Melting_Curves/meltCurve_P12882_MYH1.pdf")</f>
        <v>Melting_Curves/meltCurve_P12882_MYH1.pdf</v>
      </c>
    </row>
    <row r="2132" spans="1:28" x14ac:dyDescent="0.25">
      <c r="A2132" t="s">
        <v>2136</v>
      </c>
      <c r="B2132">
        <v>0.99542014353169495</v>
      </c>
      <c r="C2132">
        <v>0.85499119916115895</v>
      </c>
      <c r="D2132">
        <v>0.84104859560295298</v>
      </c>
      <c r="E2132">
        <v>0.72612882481237995</v>
      </c>
      <c r="F2132">
        <v>0.57877651637578298</v>
      </c>
      <c r="G2132">
        <v>0.29223007450215899</v>
      </c>
      <c r="H2132">
        <v>0.158112731006368</v>
      </c>
      <c r="I2132">
        <v>0.114158115537427</v>
      </c>
      <c r="J2132">
        <v>7.9034693952525603E-2</v>
      </c>
      <c r="K2132">
        <v>0.100862877308619</v>
      </c>
      <c r="L2132">
        <v>553.37916785136701</v>
      </c>
      <c r="M2132">
        <v>11.0003656157088</v>
      </c>
      <c r="N2132">
        <v>50.305523079395797</v>
      </c>
      <c r="O2132">
        <v>48.728810005607301</v>
      </c>
      <c r="P2132">
        <v>-5.6455700935760703E-2</v>
      </c>
      <c r="Q2132">
        <v>0</v>
      </c>
      <c r="R2132">
        <v>0.98293324200753596</v>
      </c>
      <c r="S2132" t="s">
        <v>8534</v>
      </c>
      <c r="T2132" t="s">
        <v>12802</v>
      </c>
      <c r="U2132" t="s">
        <v>12802</v>
      </c>
      <c r="V2132" t="s">
        <v>12802</v>
      </c>
      <c r="W2132" t="s">
        <v>14893</v>
      </c>
      <c r="X2132">
        <v>6</v>
      </c>
      <c r="Y2132" t="s">
        <v>21181</v>
      </c>
      <c r="Z2132" t="s">
        <v>27450</v>
      </c>
      <c r="AA2132">
        <v>0.47359247927176562</v>
      </c>
      <c r="AB2132" t="str">
        <f>HYPERLINK("Melting_Curves/meltCurve_P12931_SRC.pdf", "Melting_Curves/meltCurve_P12931_SRC.pdf")</f>
        <v>Melting_Curves/meltCurve_P12931_SRC.pdf</v>
      </c>
    </row>
    <row r="2133" spans="1:28" x14ac:dyDescent="0.25">
      <c r="A2133" t="s">
        <v>2137</v>
      </c>
      <c r="B2133">
        <v>0.99542014353169495</v>
      </c>
      <c r="C2133">
        <v>0.94431939045858404</v>
      </c>
      <c r="D2133">
        <v>0.92408035931895904</v>
      </c>
      <c r="E2133">
        <v>0.582070763982107</v>
      </c>
      <c r="F2133">
        <v>0.20779796016018401</v>
      </c>
      <c r="G2133">
        <v>9.2754438546441095E-2</v>
      </c>
      <c r="H2133">
        <v>5.2820297710181097E-2</v>
      </c>
      <c r="I2133">
        <v>3.6158616575510699E-2</v>
      </c>
      <c r="J2133">
        <v>3.98927862958239E-2</v>
      </c>
      <c r="K2133">
        <v>4.13343786588777E-2</v>
      </c>
      <c r="L2133">
        <v>1142.86053404586</v>
      </c>
      <c r="M2133">
        <v>24.2669379341162</v>
      </c>
      <c r="N2133">
        <v>47.253801804380103</v>
      </c>
      <c r="O2133">
        <v>46.779051723357497</v>
      </c>
      <c r="P2133">
        <v>-0.124624207776456</v>
      </c>
      <c r="Q2133">
        <v>3.9068820625121597E-2</v>
      </c>
      <c r="R2133">
        <v>0.99861475843192804</v>
      </c>
      <c r="S2133" t="s">
        <v>8535</v>
      </c>
      <c r="T2133" t="s">
        <v>12802</v>
      </c>
      <c r="U2133" t="s">
        <v>12802</v>
      </c>
      <c r="V2133" t="s">
        <v>12802</v>
      </c>
      <c r="W2133" t="s">
        <v>14894</v>
      </c>
      <c r="X2133">
        <v>34</v>
      </c>
      <c r="Y2133" t="s">
        <v>21182</v>
      </c>
      <c r="Z2133" t="s">
        <v>27451</v>
      </c>
      <c r="AA2133">
        <v>0.37101260895049648</v>
      </c>
      <c r="AB2133" t="str">
        <f>HYPERLINK("Melting_Curves/meltCurve_P12956_XRCC6.pdf", "Melting_Curves/meltCurve_P12956_XRCC6.pdf")</f>
        <v>Melting_Curves/meltCurve_P12956_XRCC6.pdf</v>
      </c>
    </row>
    <row r="2134" spans="1:28" x14ac:dyDescent="0.25">
      <c r="A2134" t="s">
        <v>2138</v>
      </c>
      <c r="B2134">
        <v>0.99542014353169495</v>
      </c>
      <c r="C2134">
        <v>0.938069160736688</v>
      </c>
      <c r="D2134">
        <v>0.95760973878798095</v>
      </c>
      <c r="E2134">
        <v>0.210448218204321</v>
      </c>
      <c r="F2134">
        <v>0.109683914034929</v>
      </c>
      <c r="G2134">
        <v>6.3704243251989298E-2</v>
      </c>
      <c r="H2134">
        <v>4.2763290728865401E-2</v>
      </c>
      <c r="I2134">
        <v>3.1983688854633201E-2</v>
      </c>
      <c r="J2134">
        <v>3.74084016742409E-2</v>
      </c>
      <c r="K2134">
        <v>3.9908746113109697E-2</v>
      </c>
      <c r="L2134">
        <v>2517.3552789513501</v>
      </c>
      <c r="M2134">
        <v>55.6094711430882</v>
      </c>
      <c r="N2134">
        <v>45.360063396357901</v>
      </c>
      <c r="O2134">
        <v>45.210035015133997</v>
      </c>
      <c r="P2134">
        <v>-0.29117403083304599</v>
      </c>
      <c r="Q2134">
        <v>5.3112327371634002E-2</v>
      </c>
      <c r="R2134">
        <v>0.99542865706227801</v>
      </c>
      <c r="S2134" t="s">
        <v>8536</v>
      </c>
      <c r="T2134" t="s">
        <v>12802</v>
      </c>
      <c r="U2134" t="s">
        <v>12802</v>
      </c>
      <c r="V2134" t="s">
        <v>12802</v>
      </c>
      <c r="W2134" t="s">
        <v>14895</v>
      </c>
      <c r="X2134">
        <v>35</v>
      </c>
      <c r="Y2134" t="s">
        <v>21183</v>
      </c>
      <c r="Z2134" t="s">
        <v>27452</v>
      </c>
      <c r="AA2134">
        <v>0.31561614286310141</v>
      </c>
      <c r="AB2134" t="str">
        <f>HYPERLINK("Melting_Curves/meltCurve_P13010_XRCC5.pdf", "Melting_Curves/meltCurve_P13010_XRCC5.pdf")</f>
        <v>Melting_Curves/meltCurve_P13010_XRCC5.pdf</v>
      </c>
    </row>
    <row r="2135" spans="1:28" x14ac:dyDescent="0.25">
      <c r="A2135" t="s">
        <v>2139</v>
      </c>
      <c r="B2135">
        <v>0.99542014353169495</v>
      </c>
      <c r="C2135">
        <v>1.02356877127657</v>
      </c>
      <c r="D2135">
        <v>1.00688959297712</v>
      </c>
      <c r="E2135">
        <v>0.75126599587360099</v>
      </c>
      <c r="F2135">
        <v>0.40962053341532401</v>
      </c>
      <c r="G2135">
        <v>0.176513886049706</v>
      </c>
      <c r="H2135">
        <v>9.31636059928308E-2</v>
      </c>
      <c r="I2135">
        <v>8.3043885488214494E-2</v>
      </c>
      <c r="J2135">
        <v>7.7499036071113997E-2</v>
      </c>
      <c r="K2135">
        <v>8.6744038296404702E-2</v>
      </c>
      <c r="L2135">
        <v>1141.9058880579501</v>
      </c>
      <c r="M2135">
        <v>23.372241179299401</v>
      </c>
      <c r="N2135">
        <v>49.206684067164502</v>
      </c>
      <c r="O2135">
        <v>48.5039028840025</v>
      </c>
      <c r="P2135">
        <v>-0.111259065658453</v>
      </c>
      <c r="Q2135">
        <v>7.6442161320839405E-2</v>
      </c>
      <c r="R2135">
        <v>0.99777796391357498</v>
      </c>
      <c r="S2135" t="s">
        <v>8537</v>
      </c>
      <c r="T2135" t="s">
        <v>12802</v>
      </c>
      <c r="U2135" t="s">
        <v>12802</v>
      </c>
      <c r="V2135" t="s">
        <v>12802</v>
      </c>
      <c r="W2135" t="s">
        <v>14896</v>
      </c>
      <c r="X2135">
        <v>3</v>
      </c>
      <c r="Y2135" t="s">
        <v>21184</v>
      </c>
      <c r="Z2135" t="s">
        <v>27453</v>
      </c>
      <c r="AA2135">
        <v>0.45054854504985192</v>
      </c>
      <c r="AB2135" t="str">
        <f>HYPERLINK("Melting_Curves/meltCurve_P13056_NR2C1.pdf", "Melting_Curves/meltCurve_P13056_NR2C1.pdf")</f>
        <v>Melting_Curves/meltCurve_P13056_NR2C1.pdf</v>
      </c>
    </row>
    <row r="2136" spans="1:28" x14ac:dyDescent="0.25">
      <c r="A2136" t="s">
        <v>2140</v>
      </c>
      <c r="B2136">
        <v>0.99542014353169495</v>
      </c>
      <c r="C2136">
        <v>0.95886243739219101</v>
      </c>
      <c r="D2136">
        <v>0.92425888977381998</v>
      </c>
      <c r="E2136">
        <v>0.87776871463169404</v>
      </c>
      <c r="F2136">
        <v>0.707370728473527</v>
      </c>
      <c r="G2136">
        <v>0.53443909605620599</v>
      </c>
      <c r="H2136">
        <v>0.40235917033725099</v>
      </c>
      <c r="I2136">
        <v>0.39066966243662599</v>
      </c>
      <c r="J2136">
        <v>0.66546556945808399</v>
      </c>
      <c r="K2136">
        <v>0.93696869447178099</v>
      </c>
      <c r="L2136">
        <v>1457.3765529872501</v>
      </c>
      <c r="M2136">
        <v>30.406098076693102</v>
      </c>
      <c r="O2136">
        <v>47.724515062615602</v>
      </c>
      <c r="P2136">
        <v>-6.5552484041384099E-2</v>
      </c>
      <c r="Q2136">
        <v>0.58844555860742598</v>
      </c>
      <c r="R2136">
        <v>0.563144810608323</v>
      </c>
      <c r="S2136" t="s">
        <v>8538</v>
      </c>
      <c r="T2136" t="s">
        <v>12802</v>
      </c>
      <c r="U2136" t="s">
        <v>12802</v>
      </c>
      <c r="V2136" t="s">
        <v>12802</v>
      </c>
      <c r="W2136" t="s">
        <v>14897</v>
      </c>
      <c r="X2136">
        <v>16</v>
      </c>
      <c r="Y2136" t="s">
        <v>21185</v>
      </c>
      <c r="Z2136" t="s">
        <v>27454</v>
      </c>
      <c r="AA2136">
        <v>0.7407634827580506</v>
      </c>
      <c r="AB2136" t="str">
        <f>HYPERLINK("Melting_Curves/meltCurve_P13073_COX4I1.pdf", "Melting_Curves/meltCurve_P13073_COX4I1.pdf")</f>
        <v>Melting_Curves/meltCurve_P13073_COX4I1.pdf</v>
      </c>
    </row>
    <row r="2137" spans="1:28" x14ac:dyDescent="0.25">
      <c r="A2137" t="s">
        <v>2141</v>
      </c>
      <c r="B2137">
        <v>0.99542014353169495</v>
      </c>
      <c r="C2137">
        <v>1.0321328447403399</v>
      </c>
      <c r="D2137">
        <v>0.97503983208684397</v>
      </c>
      <c r="E2137">
        <v>0.69284303552002802</v>
      </c>
      <c r="F2137">
        <v>0.33706858073014601</v>
      </c>
      <c r="G2137">
        <v>0.203191428937498</v>
      </c>
      <c r="H2137">
        <v>0.103131045859275</v>
      </c>
      <c r="I2137">
        <v>6.1406400055677102E-2</v>
      </c>
      <c r="J2137">
        <v>6.3927914175308895E-2</v>
      </c>
      <c r="K2137">
        <v>7.9505315509396907E-2</v>
      </c>
      <c r="L2137">
        <v>1058.4483593565001</v>
      </c>
      <c r="M2137">
        <v>21.9380970451308</v>
      </c>
      <c r="N2137">
        <v>48.597995948268398</v>
      </c>
      <c r="O2137">
        <v>47.8515120060379</v>
      </c>
      <c r="P2137">
        <v>-0.106221212730509</v>
      </c>
      <c r="Q2137">
        <v>7.3259257628936994E-2</v>
      </c>
      <c r="R2137">
        <v>0.99637822832643097</v>
      </c>
      <c r="S2137" t="s">
        <v>8539</v>
      </c>
      <c r="T2137" t="s">
        <v>12802</v>
      </c>
      <c r="U2137" t="s">
        <v>12802</v>
      </c>
      <c r="V2137" t="s">
        <v>12802</v>
      </c>
      <c r="W2137" t="s">
        <v>14898</v>
      </c>
      <c r="X2137">
        <v>5</v>
      </c>
      <c r="Y2137" t="s">
        <v>21186</v>
      </c>
      <c r="Z2137" t="s">
        <v>27455</v>
      </c>
      <c r="AA2137">
        <v>0.430918465460017</v>
      </c>
      <c r="AB2137" t="str">
        <f>HYPERLINK("Melting_Curves/meltCurve_P13196_ALAS1.pdf", "Melting_Curves/meltCurve_P13196_ALAS1.pdf")</f>
        <v>Melting_Curves/meltCurve_P13196_ALAS1.pdf</v>
      </c>
    </row>
    <row r="2138" spans="1:28" x14ac:dyDescent="0.25">
      <c r="A2138" t="s">
        <v>2142</v>
      </c>
      <c r="B2138">
        <v>0.99542014353169495</v>
      </c>
      <c r="C2138">
        <v>0.86856038707157401</v>
      </c>
      <c r="D2138">
        <v>0.82542111559389397</v>
      </c>
      <c r="E2138">
        <v>0.63440043773325705</v>
      </c>
      <c r="F2138">
        <v>0.487248765778582</v>
      </c>
      <c r="G2138">
        <v>0.27561357831397298</v>
      </c>
      <c r="H2138">
        <v>0.175807791787672</v>
      </c>
      <c r="I2138">
        <v>0.13894712373693899</v>
      </c>
      <c r="J2138">
        <v>0.13487624575155099</v>
      </c>
      <c r="K2138">
        <v>0.159505390724375</v>
      </c>
      <c r="L2138">
        <v>551.57153314067796</v>
      </c>
      <c r="M2138">
        <v>11.423905286524899</v>
      </c>
      <c r="N2138">
        <v>49.048080257049698</v>
      </c>
      <c r="O2138">
        <v>46.873781798153203</v>
      </c>
      <c r="P2138">
        <v>-5.5968296034871003E-2</v>
      </c>
      <c r="Q2138">
        <v>8.1686761163825103E-2</v>
      </c>
      <c r="R2138">
        <v>0.99078563404743303</v>
      </c>
      <c r="S2138" t="s">
        <v>8540</v>
      </c>
      <c r="T2138" t="s">
        <v>12802</v>
      </c>
      <c r="U2138" t="s">
        <v>12802</v>
      </c>
      <c r="V2138" t="s">
        <v>12802</v>
      </c>
      <c r="W2138" t="s">
        <v>14899</v>
      </c>
      <c r="X2138">
        <v>5</v>
      </c>
      <c r="Y2138" t="s">
        <v>21187</v>
      </c>
      <c r="Z2138" t="s">
        <v>27456</v>
      </c>
      <c r="AA2138">
        <v>0.45740649651584409</v>
      </c>
      <c r="AB2138" t="str">
        <f>HYPERLINK("Melting_Curves/meltCurve_P13224_GP1BB.pdf", "Melting_Curves/meltCurve_P13224_GP1BB.pdf")</f>
        <v>Melting_Curves/meltCurve_P13224_GP1BB.pdf</v>
      </c>
    </row>
    <row r="2139" spans="1:28" x14ac:dyDescent="0.25">
      <c r="A2139" t="s">
        <v>2143</v>
      </c>
      <c r="B2139">
        <v>0.99542014353169495</v>
      </c>
      <c r="C2139">
        <v>0.97556094488704104</v>
      </c>
      <c r="D2139">
        <v>0.93408762386035404</v>
      </c>
      <c r="E2139">
        <v>0.78311486429068999</v>
      </c>
      <c r="F2139">
        <v>0.582703160478099</v>
      </c>
      <c r="G2139">
        <v>0.36971306666405601</v>
      </c>
      <c r="H2139">
        <v>0.213823880014439</v>
      </c>
      <c r="I2139">
        <v>0.22944656332482199</v>
      </c>
      <c r="J2139">
        <v>0.23977211763057099</v>
      </c>
      <c r="K2139">
        <v>0.239083101384542</v>
      </c>
      <c r="L2139">
        <v>858.82010024633996</v>
      </c>
      <c r="M2139">
        <v>17.353521818438299</v>
      </c>
      <c r="N2139">
        <v>51.049989591106602</v>
      </c>
      <c r="O2139">
        <v>48.8465088950527</v>
      </c>
      <c r="P2139">
        <v>-7.0540757613954605E-2</v>
      </c>
      <c r="Q2139">
        <v>0.205815758951607</v>
      </c>
      <c r="R2139">
        <v>0.99433655646489005</v>
      </c>
      <c r="S2139" t="s">
        <v>8541</v>
      </c>
      <c r="T2139" t="s">
        <v>12802</v>
      </c>
      <c r="U2139" t="s">
        <v>12802</v>
      </c>
      <c r="V2139" t="s">
        <v>12802</v>
      </c>
      <c r="W2139" t="s">
        <v>14900</v>
      </c>
      <c r="X2139">
        <v>2</v>
      </c>
      <c r="Y2139" t="s">
        <v>21188</v>
      </c>
      <c r="Z2139" t="s">
        <v>27457</v>
      </c>
      <c r="AA2139">
        <v>0.54982863141520377</v>
      </c>
      <c r="AB2139" t="str">
        <f>HYPERLINK("Melting_Curves/meltCurve_P13284_IFI30.pdf", "Melting_Curves/meltCurve_P13284_IFI30.pdf")</f>
        <v>Melting_Curves/meltCurve_P13284_IFI30.pdf</v>
      </c>
    </row>
    <row r="2140" spans="1:28" x14ac:dyDescent="0.25">
      <c r="A2140" t="s">
        <v>2144</v>
      </c>
      <c r="B2140">
        <v>0.99542014353169495</v>
      </c>
      <c r="C2140">
        <v>1.08233686237844</v>
      </c>
      <c r="D2140">
        <v>0.91865814966215897</v>
      </c>
      <c r="E2140">
        <v>0.91257646086155797</v>
      </c>
      <c r="F2140">
        <v>0.65168956799393896</v>
      </c>
      <c r="G2140">
        <v>0.35079808026347398</v>
      </c>
      <c r="H2140">
        <v>0.40995327528539699</v>
      </c>
      <c r="I2140">
        <v>0.63244620052588796</v>
      </c>
      <c r="J2140">
        <v>1.8118351921515099</v>
      </c>
      <c r="K2140">
        <v>4.2047580944915399</v>
      </c>
      <c r="L2140">
        <v>15000</v>
      </c>
      <c r="M2140">
        <v>239.873493598403</v>
      </c>
      <c r="O2140">
        <v>62.5285938692233</v>
      </c>
      <c r="P2140">
        <v>0.47952743952445398</v>
      </c>
      <c r="Q2140">
        <v>1.5</v>
      </c>
      <c r="R2140">
        <v>0.269800434669418</v>
      </c>
      <c r="S2140" t="s">
        <v>8542</v>
      </c>
      <c r="T2140" t="s">
        <v>12802</v>
      </c>
      <c r="U2140" t="s">
        <v>12802</v>
      </c>
      <c r="V2140" t="s">
        <v>12802</v>
      </c>
      <c r="W2140" t="s">
        <v>14901</v>
      </c>
      <c r="X2140">
        <v>3</v>
      </c>
      <c r="Y2140" t="s">
        <v>21189</v>
      </c>
      <c r="Z2140" t="s">
        <v>27458</v>
      </c>
      <c r="AA2140">
        <v>1.074391033983499</v>
      </c>
      <c r="AB2140" t="str">
        <f>HYPERLINK("Melting_Curves/meltCurve_P13473_2_LAMP2.pdf", "Melting_Curves/meltCurve_P13473_2_LAMP2.pdf")</f>
        <v>Melting_Curves/meltCurve_P13473_2_LAMP2.pdf</v>
      </c>
    </row>
    <row r="2141" spans="1:28" x14ac:dyDescent="0.25">
      <c r="A2141" t="s">
        <v>2145</v>
      </c>
      <c r="B2141">
        <v>0.99542014353169495</v>
      </c>
      <c r="C2141">
        <v>1.0234628731328601</v>
      </c>
      <c r="D2141">
        <v>0.93341505047332096</v>
      </c>
      <c r="E2141">
        <v>0.90262406689768204</v>
      </c>
      <c r="F2141">
        <v>0.64875686386850895</v>
      </c>
      <c r="G2141">
        <v>0.18674321760333701</v>
      </c>
      <c r="H2141">
        <v>6.9847303822146004E-2</v>
      </c>
      <c r="I2141">
        <v>4.53168749799523E-2</v>
      </c>
      <c r="J2141">
        <v>4.4033977288387399E-2</v>
      </c>
      <c r="K2141">
        <v>5.1446012355021997E-2</v>
      </c>
      <c r="L2141">
        <v>1493.73320186974</v>
      </c>
      <c r="M2141">
        <v>29.308634382261001</v>
      </c>
      <c r="N2141">
        <v>51.105796347734298</v>
      </c>
      <c r="O2141">
        <v>50.7301359621652</v>
      </c>
      <c r="P2141">
        <v>-0.138857371509435</v>
      </c>
      <c r="Q2141">
        <v>3.86173828688781E-2</v>
      </c>
      <c r="R2141">
        <v>0.99597691758074902</v>
      </c>
      <c r="S2141" t="s">
        <v>8543</v>
      </c>
      <c r="T2141" t="s">
        <v>12802</v>
      </c>
      <c r="U2141" t="s">
        <v>12802</v>
      </c>
      <c r="V2141" t="s">
        <v>12802</v>
      </c>
      <c r="W2141" t="s">
        <v>14902</v>
      </c>
      <c r="X2141">
        <v>31</v>
      </c>
      <c r="Y2141" t="s">
        <v>21190</v>
      </c>
      <c r="Z2141" t="s">
        <v>27459</v>
      </c>
      <c r="AA2141">
        <v>0.49242594141584117</v>
      </c>
      <c r="AB2141" t="str">
        <f>HYPERLINK("Melting_Curves/meltCurve_P13489_RNH1.pdf", "Melting_Curves/meltCurve_P13489_RNH1.pdf")</f>
        <v>Melting_Curves/meltCurve_P13489_RNH1.pdf</v>
      </c>
    </row>
    <row r="2142" spans="1:28" x14ac:dyDescent="0.25">
      <c r="A2142" t="s">
        <v>2146</v>
      </c>
      <c r="B2142">
        <v>0.99542014353169495</v>
      </c>
      <c r="C2142">
        <v>0.98281193559135704</v>
      </c>
      <c r="D2142">
        <v>1.1189060377369799</v>
      </c>
      <c r="E2142">
        <v>0.92556983361980905</v>
      </c>
      <c r="F2142">
        <v>0.90799315162802297</v>
      </c>
      <c r="G2142">
        <v>0.58998922329619197</v>
      </c>
      <c r="H2142">
        <v>0.35980424343080403</v>
      </c>
      <c r="I2142">
        <v>0.20583693531321401</v>
      </c>
      <c r="J2142">
        <v>0.201899576988884</v>
      </c>
      <c r="K2142">
        <v>0.14529138731621399</v>
      </c>
      <c r="L2142">
        <v>1209.6618159704101</v>
      </c>
      <c r="M2142">
        <v>22.3161249673777</v>
      </c>
      <c r="N2142">
        <v>55.103524015790001</v>
      </c>
      <c r="O2142">
        <v>53.776089445526999</v>
      </c>
      <c r="P2142">
        <v>-8.7935518626376302E-2</v>
      </c>
      <c r="Q2142">
        <v>0.152410455254366</v>
      </c>
      <c r="R2142">
        <v>0.98456621649501896</v>
      </c>
      <c r="S2142" t="s">
        <v>8544</v>
      </c>
      <c r="T2142" t="s">
        <v>12802</v>
      </c>
      <c r="U2142" t="s">
        <v>12802</v>
      </c>
      <c r="V2142" t="s">
        <v>12802</v>
      </c>
      <c r="W2142" t="s">
        <v>14903</v>
      </c>
      <c r="X2142">
        <v>2</v>
      </c>
      <c r="Y2142" t="s">
        <v>21191</v>
      </c>
      <c r="Z2142" t="s">
        <v>27460</v>
      </c>
      <c r="AA2142">
        <v>0.64727517135336332</v>
      </c>
      <c r="AB2142" t="str">
        <f>HYPERLINK("Melting_Curves/meltCurve_P13498_CYBA.pdf", "Melting_Curves/meltCurve_P13498_CYBA.pdf")</f>
        <v>Melting_Curves/meltCurve_P13498_CYBA.pdf</v>
      </c>
    </row>
    <row r="2143" spans="1:28" x14ac:dyDescent="0.25">
      <c r="A2143" t="s">
        <v>2147</v>
      </c>
      <c r="B2143">
        <v>0.99542014353169495</v>
      </c>
      <c r="C2143">
        <v>1.26446828655038</v>
      </c>
      <c r="D2143">
        <v>1.0772808538490499</v>
      </c>
      <c r="E2143">
        <v>2.53831650792312</v>
      </c>
      <c r="F2143">
        <v>0.58887173240238599</v>
      </c>
      <c r="G2143">
        <v>2.6141148564765802</v>
      </c>
      <c r="H2143">
        <v>0.190023773840027</v>
      </c>
      <c r="I2143">
        <v>1.69222306701422</v>
      </c>
      <c r="J2143">
        <v>0</v>
      </c>
      <c r="K2143">
        <v>5.8385573360342597</v>
      </c>
      <c r="L2143">
        <v>10823.068160239</v>
      </c>
      <c r="M2143">
        <v>250</v>
      </c>
      <c r="O2143">
        <v>43.289502210262199</v>
      </c>
      <c r="P2143">
        <v>0.72188402342664004</v>
      </c>
      <c r="Q2143">
        <v>1.5</v>
      </c>
      <c r="R2143">
        <v>3.6366190023677798E-3</v>
      </c>
      <c r="S2143" t="s">
        <v>8545</v>
      </c>
      <c r="T2143" t="s">
        <v>12802</v>
      </c>
      <c r="U2143" t="s">
        <v>12802</v>
      </c>
      <c r="V2143" t="s">
        <v>12802</v>
      </c>
      <c r="W2143" t="s">
        <v>14904</v>
      </c>
      <c r="X2143">
        <v>4</v>
      </c>
      <c r="Y2143" t="s">
        <v>21192</v>
      </c>
      <c r="Z2143" t="s">
        <v>27461</v>
      </c>
      <c r="AA2143">
        <v>1.395090800685046</v>
      </c>
      <c r="AB2143" t="str">
        <f>HYPERLINK("Melting_Curves/meltCurve_P13533_MYH6.pdf", "Melting_Curves/meltCurve_P13533_MYH6.pdf")</f>
        <v>Melting_Curves/meltCurve_P13533_MYH6.pdf</v>
      </c>
    </row>
    <row r="2144" spans="1:28" x14ac:dyDescent="0.25">
      <c r="A2144" t="s">
        <v>2148</v>
      </c>
      <c r="B2144">
        <v>0.99542014353169495</v>
      </c>
      <c r="C2144">
        <v>0.96363534604702905</v>
      </c>
      <c r="D2144">
        <v>0.92920367520593805</v>
      </c>
      <c r="E2144">
        <v>0.93216715418905804</v>
      </c>
      <c r="F2144">
        <v>0.79184579820866297</v>
      </c>
      <c r="G2144">
        <v>0.71469433582901798</v>
      </c>
      <c r="H2144">
        <v>0.43666052532157701</v>
      </c>
      <c r="I2144">
        <v>0.15495366305142999</v>
      </c>
      <c r="J2144">
        <v>5.1481526997936997E-2</v>
      </c>
      <c r="K2144">
        <v>7.0518963246730099E-2</v>
      </c>
      <c r="L2144">
        <v>935.72640081283703</v>
      </c>
      <c r="M2144">
        <v>16.728349444637601</v>
      </c>
      <c r="N2144">
        <v>55.936565607430701</v>
      </c>
      <c r="O2144">
        <v>55.155547849258902</v>
      </c>
      <c r="P2144">
        <v>-7.5828505067549595E-2</v>
      </c>
      <c r="Q2144">
        <v>0</v>
      </c>
      <c r="R2144">
        <v>0.98337479875758804</v>
      </c>
      <c r="S2144" t="s">
        <v>8546</v>
      </c>
      <c r="T2144" t="s">
        <v>12802</v>
      </c>
      <c r="U2144" t="s">
        <v>12802</v>
      </c>
      <c r="V2144" t="s">
        <v>12802</v>
      </c>
      <c r="W2144" t="s">
        <v>14905</v>
      </c>
      <c r="X2144">
        <v>75</v>
      </c>
      <c r="Y2144" t="s">
        <v>21193</v>
      </c>
      <c r="Z2144" t="s">
        <v>27462</v>
      </c>
      <c r="AA2144">
        <v>0.64271364570587586</v>
      </c>
      <c r="AB2144" t="str">
        <f>HYPERLINK("Melting_Curves/meltCurve_P13639_EEF2.pdf", "Melting_Curves/meltCurve_P13639_EEF2.pdf")</f>
        <v>Melting_Curves/meltCurve_P13639_EEF2.pdf</v>
      </c>
    </row>
    <row r="2145" spans="1:28" x14ac:dyDescent="0.25">
      <c r="A2145" t="s">
        <v>2149</v>
      </c>
      <c r="B2145">
        <v>0.99542014353169495</v>
      </c>
      <c r="C2145">
        <v>1.00717546386402</v>
      </c>
      <c r="D2145">
        <v>0.95501997780908099</v>
      </c>
      <c r="E2145">
        <v>0.84565625020405399</v>
      </c>
      <c r="F2145">
        <v>0.42706313905304399</v>
      </c>
      <c r="G2145">
        <v>0.16043804857400901</v>
      </c>
      <c r="H2145">
        <v>8.1988930831680296E-2</v>
      </c>
      <c r="I2145">
        <v>5.4175322303670899E-2</v>
      </c>
      <c r="J2145">
        <v>5.9846174995159998E-2</v>
      </c>
      <c r="K2145">
        <v>6.85728080375997E-2</v>
      </c>
      <c r="L2145">
        <v>1291.85493086468</v>
      </c>
      <c r="M2145">
        <v>26.156369036748099</v>
      </c>
      <c r="N2145">
        <v>49.6243582139344</v>
      </c>
      <c r="O2145">
        <v>49.103687987294499</v>
      </c>
      <c r="P2145">
        <v>-0.12542398448026201</v>
      </c>
      <c r="Q2145">
        <v>5.8169949646474498E-2</v>
      </c>
      <c r="R2145">
        <v>0.99936275810905295</v>
      </c>
      <c r="S2145" t="s">
        <v>8547</v>
      </c>
      <c r="T2145" t="s">
        <v>12802</v>
      </c>
      <c r="U2145" t="s">
        <v>12802</v>
      </c>
      <c r="V2145" t="s">
        <v>12802</v>
      </c>
      <c r="W2145" t="s">
        <v>14906</v>
      </c>
      <c r="X2145">
        <v>51</v>
      </c>
      <c r="Y2145" t="s">
        <v>21194</v>
      </c>
      <c r="Z2145" t="s">
        <v>27463</v>
      </c>
      <c r="AA2145">
        <v>0.45462845186456469</v>
      </c>
      <c r="AB2145" t="str">
        <f>HYPERLINK("Melting_Curves/meltCurve_P13667_PDIA4.pdf", "Melting_Curves/meltCurve_P13667_PDIA4.pdf")</f>
        <v>Melting_Curves/meltCurve_P13667_PDIA4.pdf</v>
      </c>
    </row>
    <row r="2146" spans="1:28" x14ac:dyDescent="0.25">
      <c r="A2146" t="s">
        <v>2150</v>
      </c>
      <c r="B2146">
        <v>0.99542014353169495</v>
      </c>
      <c r="C2146">
        <v>0.80541202193823103</v>
      </c>
      <c r="D2146">
        <v>0.77701836914099698</v>
      </c>
      <c r="E2146">
        <v>0.50672874119850098</v>
      </c>
      <c r="F2146">
        <v>0.31728824180044701</v>
      </c>
      <c r="G2146">
        <v>0.12122001072272399</v>
      </c>
      <c r="H2146">
        <v>5.40352739543591E-2</v>
      </c>
      <c r="I2146">
        <v>3.3234357868491E-2</v>
      </c>
      <c r="J2146">
        <v>3.6666640852544299E-2</v>
      </c>
      <c r="K2146">
        <v>3.75496382856551E-2</v>
      </c>
      <c r="L2146">
        <v>591.12133097849596</v>
      </c>
      <c r="M2146">
        <v>12.6838928917064</v>
      </c>
      <c r="N2146">
        <v>46.604093376764098</v>
      </c>
      <c r="O2146">
        <v>45.491228168831398</v>
      </c>
      <c r="P2146">
        <v>-6.9718741723659799E-2</v>
      </c>
      <c r="Q2146">
        <v>0</v>
      </c>
      <c r="R2146">
        <v>0.98934692343599495</v>
      </c>
      <c r="S2146" t="s">
        <v>8548</v>
      </c>
      <c r="T2146" t="s">
        <v>12802</v>
      </c>
      <c r="U2146" t="s">
        <v>12802</v>
      </c>
      <c r="V2146" t="s">
        <v>12802</v>
      </c>
      <c r="W2146" t="s">
        <v>14907</v>
      </c>
      <c r="X2146">
        <v>19</v>
      </c>
      <c r="Y2146" t="s">
        <v>21195</v>
      </c>
      <c r="Z2146" t="s">
        <v>27464</v>
      </c>
      <c r="AA2146">
        <v>0.35067656559297739</v>
      </c>
      <c r="AB2146" t="str">
        <f>HYPERLINK("Melting_Curves/meltCurve_P13674_2_P4HA1.pdf", "Melting_Curves/meltCurve_P13674_2_P4HA1.pdf")</f>
        <v>Melting_Curves/meltCurve_P13674_2_P4HA1.pdf</v>
      </c>
    </row>
    <row r="2147" spans="1:28" x14ac:dyDescent="0.25">
      <c r="A2147" t="s">
        <v>2151</v>
      </c>
      <c r="B2147">
        <v>0.99542014353169495</v>
      </c>
      <c r="C2147">
        <v>0.97630861403734404</v>
      </c>
      <c r="D2147">
        <v>0.96589618357860496</v>
      </c>
      <c r="E2147">
        <v>0.91416478082362795</v>
      </c>
      <c r="F2147">
        <v>0.62091225330634203</v>
      </c>
      <c r="G2147">
        <v>0.35846803505774</v>
      </c>
      <c r="H2147">
        <v>8.8130097669675306E-2</v>
      </c>
      <c r="I2147">
        <v>5.61767812846998E-2</v>
      </c>
      <c r="J2147">
        <v>5.9785469386221701E-2</v>
      </c>
      <c r="K2147">
        <v>6.8885066263665404E-2</v>
      </c>
      <c r="L2147">
        <v>1072.1323088874301</v>
      </c>
      <c r="M2147">
        <v>20.827092098348899</v>
      </c>
      <c r="N2147">
        <v>51.660725591077501</v>
      </c>
      <c r="O2147">
        <v>51.0102387985254</v>
      </c>
      <c r="P2147">
        <v>-9.8446967035490607E-2</v>
      </c>
      <c r="Q2147">
        <v>3.5551590143221401E-2</v>
      </c>
      <c r="R2147">
        <v>0.99594447487140603</v>
      </c>
      <c r="S2147" t="s">
        <v>8549</v>
      </c>
      <c r="T2147" t="s">
        <v>12802</v>
      </c>
      <c r="U2147" t="s">
        <v>12802</v>
      </c>
      <c r="V2147" t="s">
        <v>12802</v>
      </c>
      <c r="W2147" t="s">
        <v>14908</v>
      </c>
      <c r="X2147">
        <v>10</v>
      </c>
      <c r="Y2147" t="s">
        <v>21196</v>
      </c>
      <c r="Z2147" t="s">
        <v>27465</v>
      </c>
      <c r="AA2147">
        <v>0.51273755964048773</v>
      </c>
      <c r="AB2147" t="str">
        <f>HYPERLINK("Melting_Curves/meltCurve_P13693_TPT1.pdf", "Melting_Curves/meltCurve_P13693_TPT1.pdf")</f>
        <v>Melting_Curves/meltCurve_P13693_TPT1.pdf</v>
      </c>
    </row>
    <row r="2148" spans="1:28" x14ac:dyDescent="0.25">
      <c r="A2148" t="s">
        <v>2152</v>
      </c>
      <c r="B2148">
        <v>0.99542014353169495</v>
      </c>
      <c r="C2148">
        <v>0.993389834115329</v>
      </c>
      <c r="D2148">
        <v>0.94870686576994401</v>
      </c>
      <c r="E2148">
        <v>1.06269030339463</v>
      </c>
      <c r="F2148">
        <v>0.91793237705234199</v>
      </c>
      <c r="G2148">
        <v>0.69816528852457205</v>
      </c>
      <c r="H2148">
        <v>0.42150625864527003</v>
      </c>
      <c r="I2148">
        <v>0.13615291671076299</v>
      </c>
      <c r="J2148">
        <v>8.9099725177091305E-2</v>
      </c>
      <c r="K2148">
        <v>8.86693749365733E-2</v>
      </c>
      <c r="L2148">
        <v>1246.80774095277</v>
      </c>
      <c r="M2148">
        <v>22.305392727970901</v>
      </c>
      <c r="N2148">
        <v>56.129076674138197</v>
      </c>
      <c r="O2148">
        <v>55.453661039504901</v>
      </c>
      <c r="P2148">
        <v>-9.6133351760537403E-2</v>
      </c>
      <c r="Q2148">
        <v>4.4027560138906303E-2</v>
      </c>
      <c r="R2148">
        <v>0.99236094195594804</v>
      </c>
      <c r="S2148" t="s">
        <v>8550</v>
      </c>
      <c r="T2148" t="s">
        <v>12802</v>
      </c>
      <c r="U2148" t="s">
        <v>12802</v>
      </c>
      <c r="V2148" t="s">
        <v>12802</v>
      </c>
      <c r="W2148" t="s">
        <v>14909</v>
      </c>
      <c r="X2148">
        <v>28</v>
      </c>
      <c r="Y2148" t="s">
        <v>21197</v>
      </c>
      <c r="Z2148" t="s">
        <v>27466</v>
      </c>
      <c r="AA2148">
        <v>0.6551476396415874</v>
      </c>
      <c r="AB2148" t="str">
        <f>HYPERLINK("Melting_Curves/meltCurve_P13796_LCP1.pdf", "Melting_Curves/meltCurve_P13796_LCP1.pdf")</f>
        <v>Melting_Curves/meltCurve_P13796_LCP1.pdf</v>
      </c>
    </row>
    <row r="2149" spans="1:28" x14ac:dyDescent="0.25">
      <c r="A2149" t="s">
        <v>2153</v>
      </c>
      <c r="B2149">
        <v>0.99542014353169495</v>
      </c>
      <c r="C2149">
        <v>1.03537420646661</v>
      </c>
      <c r="D2149">
        <v>0.95108691693745395</v>
      </c>
      <c r="E2149">
        <v>0.93827812496753404</v>
      </c>
      <c r="F2149">
        <v>0.71450925075416705</v>
      </c>
      <c r="G2149">
        <v>0.43621682756110902</v>
      </c>
      <c r="H2149">
        <v>0.17410086482697701</v>
      </c>
      <c r="I2149">
        <v>0.148557560746338</v>
      </c>
      <c r="J2149">
        <v>5.3677152143595003E-2</v>
      </c>
      <c r="K2149">
        <v>5.2833513811471097E-2</v>
      </c>
      <c r="L2149">
        <v>992.510593580609</v>
      </c>
      <c r="M2149">
        <v>18.863090046699799</v>
      </c>
      <c r="N2149">
        <v>52.848616232321</v>
      </c>
      <c r="O2149">
        <v>52.035865811462301</v>
      </c>
      <c r="P2149">
        <v>-8.7026812470932302E-2</v>
      </c>
      <c r="Q2149">
        <v>3.9747604301416301E-2</v>
      </c>
      <c r="R2149">
        <v>0.99605452195286703</v>
      </c>
      <c r="S2149" t="s">
        <v>8551</v>
      </c>
      <c r="T2149" t="s">
        <v>12802</v>
      </c>
      <c r="U2149" t="s">
        <v>12802</v>
      </c>
      <c r="V2149" t="s">
        <v>12802</v>
      </c>
      <c r="W2149" t="s">
        <v>14910</v>
      </c>
      <c r="X2149">
        <v>19</v>
      </c>
      <c r="Y2149" t="s">
        <v>21198</v>
      </c>
      <c r="Z2149" t="s">
        <v>27467</v>
      </c>
      <c r="AA2149">
        <v>0.55292412884053588</v>
      </c>
      <c r="AB2149" t="str">
        <f>HYPERLINK("Melting_Curves/meltCurve_P13804_ETFA.pdf", "Melting_Curves/meltCurve_P13804_ETFA.pdf")</f>
        <v>Melting_Curves/meltCurve_P13804_ETFA.pdf</v>
      </c>
    </row>
    <row r="2150" spans="1:28" x14ac:dyDescent="0.25">
      <c r="A2150" t="s">
        <v>2154</v>
      </c>
      <c r="B2150">
        <v>0.99542014353169495</v>
      </c>
      <c r="C2150">
        <v>1.0346026338523999</v>
      </c>
      <c r="D2150">
        <v>0.99016892547886604</v>
      </c>
      <c r="E2150">
        <v>0.78605548328575703</v>
      </c>
      <c r="F2150">
        <v>0.54596487108938196</v>
      </c>
      <c r="G2150">
        <v>0.22414454565740499</v>
      </c>
      <c r="H2150">
        <v>9.3351960419239294E-2</v>
      </c>
      <c r="I2150">
        <v>6.9320377148103102E-2</v>
      </c>
      <c r="J2150">
        <v>7.3197824543814502E-2</v>
      </c>
      <c r="K2150">
        <v>7.6598223066333196E-2</v>
      </c>
      <c r="L2150">
        <v>1020.6305693967799</v>
      </c>
      <c r="M2150">
        <v>20.395622131221799</v>
      </c>
      <c r="N2150">
        <v>50.316853394530803</v>
      </c>
      <c r="O2150">
        <v>49.568030476085603</v>
      </c>
      <c r="P2150">
        <v>-9.7440582835238904E-2</v>
      </c>
      <c r="Q2150">
        <v>5.2778636315407697E-2</v>
      </c>
      <c r="R2150">
        <v>0.99615943371850701</v>
      </c>
      <c r="S2150" t="s">
        <v>8552</v>
      </c>
      <c r="T2150" t="s">
        <v>12802</v>
      </c>
      <c r="U2150" t="s">
        <v>12802</v>
      </c>
      <c r="V2150" t="s">
        <v>12802</v>
      </c>
      <c r="W2150" t="s">
        <v>14911</v>
      </c>
      <c r="X2150">
        <v>24</v>
      </c>
      <c r="Y2150" t="s">
        <v>21199</v>
      </c>
      <c r="Z2150" t="s">
        <v>27468</v>
      </c>
      <c r="AA2150">
        <v>0.47660719012951058</v>
      </c>
      <c r="AB2150" t="str">
        <f>HYPERLINK("Melting_Curves/meltCurve_P13861_PRKAR2A.pdf", "Melting_Curves/meltCurve_P13861_PRKAR2A.pdf")</f>
        <v>Melting_Curves/meltCurve_P13861_PRKAR2A.pdf</v>
      </c>
    </row>
    <row r="2151" spans="1:28" x14ac:dyDescent="0.25">
      <c r="A2151" t="s">
        <v>2155</v>
      </c>
      <c r="B2151">
        <v>0.99542014353169495</v>
      </c>
      <c r="C2151">
        <v>0.99749396008975499</v>
      </c>
      <c r="D2151">
        <v>0.95952641731624599</v>
      </c>
      <c r="E2151">
        <v>0.84868652237994102</v>
      </c>
      <c r="F2151">
        <v>0.67987344358746304</v>
      </c>
      <c r="G2151">
        <v>0.47728527240804097</v>
      </c>
      <c r="H2151">
        <v>0.393438251912128</v>
      </c>
      <c r="I2151">
        <v>0.37233623985007602</v>
      </c>
      <c r="J2151">
        <v>0.54967121884231795</v>
      </c>
      <c r="K2151">
        <v>0.49905130621357002</v>
      </c>
      <c r="L2151">
        <v>1173.96959702817</v>
      </c>
      <c r="M2151">
        <v>24.013038660111999</v>
      </c>
      <c r="N2151">
        <v>53.963973453728897</v>
      </c>
      <c r="O2151">
        <v>48.553571824181297</v>
      </c>
      <c r="P2151">
        <v>-6.8283794489913494E-2</v>
      </c>
      <c r="Q2151">
        <v>0.44773839525637799</v>
      </c>
      <c r="R2151">
        <v>0.95303084602003396</v>
      </c>
      <c r="S2151" t="s">
        <v>8553</v>
      </c>
      <c r="T2151" t="s">
        <v>12802</v>
      </c>
      <c r="U2151" t="s">
        <v>12802</v>
      </c>
      <c r="V2151" t="s">
        <v>12802</v>
      </c>
      <c r="W2151" t="s">
        <v>14912</v>
      </c>
      <c r="X2151">
        <v>13</v>
      </c>
      <c r="Y2151" t="s">
        <v>21200</v>
      </c>
      <c r="Z2151" t="s">
        <v>27469</v>
      </c>
      <c r="AA2151">
        <v>0.67174929767558222</v>
      </c>
      <c r="AB2151" t="str">
        <f>HYPERLINK("Melting_Curves/meltCurve_P13929_2_ENO3.pdf", "Melting_Curves/meltCurve_P13929_2_ENO3.pdf")</f>
        <v>Melting_Curves/meltCurve_P13929_2_ENO3.pdf</v>
      </c>
    </row>
    <row r="2152" spans="1:28" x14ac:dyDescent="0.25">
      <c r="A2152" t="s">
        <v>2156</v>
      </c>
      <c r="B2152">
        <v>0.99542014353169495</v>
      </c>
      <c r="C2152">
        <v>1.0038202562787699</v>
      </c>
      <c r="D2152">
        <v>1.0237174423989699</v>
      </c>
      <c r="E2152">
        <v>0.96660984514850001</v>
      </c>
      <c r="F2152">
        <v>0.67500288604672298</v>
      </c>
      <c r="G2152">
        <v>0.43825880838953302</v>
      </c>
      <c r="H2152">
        <v>0.207783844442058</v>
      </c>
      <c r="I2152">
        <v>9.9887712566800194E-2</v>
      </c>
      <c r="J2152">
        <v>0.100985261719389</v>
      </c>
      <c r="K2152">
        <v>9.5334074514975095E-2</v>
      </c>
      <c r="L2152">
        <v>1052.2105666848699</v>
      </c>
      <c r="M2152">
        <v>20.130372314534402</v>
      </c>
      <c r="N2152">
        <v>52.696353632337001</v>
      </c>
      <c r="O2152">
        <v>51.762184172869397</v>
      </c>
      <c r="P2152">
        <v>-8.9918611436400703E-2</v>
      </c>
      <c r="Q2152">
        <v>7.5181353850633806E-2</v>
      </c>
      <c r="R2152">
        <v>0.99585762276098</v>
      </c>
      <c r="S2152" t="s">
        <v>8554</v>
      </c>
      <c r="T2152" t="s">
        <v>12802</v>
      </c>
      <c r="U2152" t="s">
        <v>12802</v>
      </c>
      <c r="V2152" t="s">
        <v>12802</v>
      </c>
      <c r="W2152" t="s">
        <v>14913</v>
      </c>
      <c r="X2152">
        <v>12</v>
      </c>
      <c r="Y2152" t="s">
        <v>21201</v>
      </c>
      <c r="Z2152" t="s">
        <v>27470</v>
      </c>
      <c r="AA2152">
        <v>0.5576681063576453</v>
      </c>
      <c r="AB2152" t="str">
        <f>HYPERLINK("Melting_Curves/meltCurve_P13984_GTF2F2.pdf", "Melting_Curves/meltCurve_P13984_GTF2F2.pdf")</f>
        <v>Melting_Curves/meltCurve_P13984_GTF2F2.pdf</v>
      </c>
    </row>
    <row r="2153" spans="1:28" x14ac:dyDescent="0.25">
      <c r="A2153" t="s">
        <v>2157</v>
      </c>
      <c r="B2153">
        <v>0.99542014353169495</v>
      </c>
      <c r="C2153">
        <v>0.957172028690777</v>
      </c>
      <c r="D2153">
        <v>0.83786778632304604</v>
      </c>
      <c r="E2153">
        <v>1.0115136784622201</v>
      </c>
      <c r="F2153">
        <v>0.78919642007824198</v>
      </c>
      <c r="G2153">
        <v>0.75737204303459904</v>
      </c>
      <c r="H2153">
        <v>0.54817209500555797</v>
      </c>
      <c r="I2153">
        <v>0.51753735122543398</v>
      </c>
      <c r="J2153">
        <v>0.75789912865005904</v>
      </c>
      <c r="K2153">
        <v>0.81023949442749199</v>
      </c>
      <c r="L2153">
        <v>1868.4360060716599</v>
      </c>
      <c r="M2153">
        <v>37.562628880303997</v>
      </c>
      <c r="O2153">
        <v>49.601536974081</v>
      </c>
      <c r="P2153">
        <v>-6.2143948100294603E-2</v>
      </c>
      <c r="Q2153">
        <v>0.67175600548002001</v>
      </c>
      <c r="R2153">
        <v>0.60831157763357202</v>
      </c>
      <c r="S2153" t="s">
        <v>8555</v>
      </c>
      <c r="T2153" t="s">
        <v>12802</v>
      </c>
      <c r="U2153" t="s">
        <v>12802</v>
      </c>
      <c r="V2153" t="s">
        <v>12802</v>
      </c>
      <c r="W2153" t="s">
        <v>14914</v>
      </c>
      <c r="X2153">
        <v>5</v>
      </c>
      <c r="Y2153" t="s">
        <v>21202</v>
      </c>
      <c r="Z2153" t="s">
        <v>27471</v>
      </c>
      <c r="AA2153">
        <v>0.8124508812363691</v>
      </c>
      <c r="AB2153" t="str">
        <f>HYPERLINK("Melting_Curves/meltCurve_P14174_MIF.pdf", "Melting_Curves/meltCurve_P14174_MIF.pdf")</f>
        <v>Melting_Curves/meltCurve_P14174_MIF.pdf</v>
      </c>
    </row>
    <row r="2154" spans="1:28" x14ac:dyDescent="0.25">
      <c r="A2154" t="s">
        <v>2158</v>
      </c>
      <c r="B2154">
        <v>0.99542014353169495</v>
      </c>
      <c r="C2154">
        <v>1.0958300746385901</v>
      </c>
      <c r="D2154">
        <v>0.83975277318848596</v>
      </c>
      <c r="E2154">
        <v>0.70093533144314302</v>
      </c>
      <c r="F2154">
        <v>0.58913597064927103</v>
      </c>
      <c r="G2154">
        <v>0.46126970887862501</v>
      </c>
      <c r="H2154">
        <v>0.39429430388887399</v>
      </c>
      <c r="I2154">
        <v>0.32244807601327502</v>
      </c>
      <c r="J2154">
        <v>0.65598343269436798</v>
      </c>
      <c r="K2154">
        <v>0.81547589530167397</v>
      </c>
      <c r="L2154">
        <v>1168.46593893564</v>
      </c>
      <c r="M2154">
        <v>25.957943301478501</v>
      </c>
      <c r="O2154">
        <v>44.749216915714399</v>
      </c>
      <c r="P2154">
        <v>-6.7374404073912597E-2</v>
      </c>
      <c r="Q2154">
        <v>0.53541523870862595</v>
      </c>
      <c r="R2154">
        <v>0.68701550914433596</v>
      </c>
      <c r="S2154" t="s">
        <v>8556</v>
      </c>
      <c r="T2154" t="s">
        <v>12802</v>
      </c>
      <c r="U2154" t="s">
        <v>12802</v>
      </c>
      <c r="V2154" t="s">
        <v>12802</v>
      </c>
      <c r="W2154" t="s">
        <v>14915</v>
      </c>
      <c r="X2154">
        <v>4</v>
      </c>
      <c r="Y2154" t="s">
        <v>21203</v>
      </c>
      <c r="Z2154" t="s">
        <v>27472</v>
      </c>
      <c r="AA2154">
        <v>0.66304337508816402</v>
      </c>
      <c r="AB2154" t="str">
        <f>HYPERLINK("Melting_Curves/meltCurve_P14209_3_CD99.pdf", "Melting_Curves/meltCurve_P14209_3_CD99.pdf")</f>
        <v>Melting_Curves/meltCurve_P14209_3_CD99.pdf</v>
      </c>
    </row>
    <row r="2155" spans="1:28" x14ac:dyDescent="0.25">
      <c r="A2155" t="s">
        <v>2159</v>
      </c>
      <c r="B2155">
        <v>0.99542014353169495</v>
      </c>
      <c r="C2155">
        <v>1.07413935078464</v>
      </c>
      <c r="D2155">
        <v>0.88408788816946005</v>
      </c>
      <c r="E2155">
        <v>0.69502567530019799</v>
      </c>
      <c r="F2155">
        <v>0.45846374033463599</v>
      </c>
      <c r="G2155">
        <v>0.24247519347672999</v>
      </c>
      <c r="H2155">
        <v>0.152252070419928</v>
      </c>
      <c r="I2155">
        <v>0.104554965291095</v>
      </c>
      <c r="J2155">
        <v>0.13789504958356499</v>
      </c>
      <c r="K2155">
        <v>0.165571976503436</v>
      </c>
      <c r="L2155">
        <v>864.23421588955296</v>
      </c>
      <c r="M2155">
        <v>17.829533798518501</v>
      </c>
      <c r="N2155">
        <v>49.227022048767701</v>
      </c>
      <c r="O2155">
        <v>47.874629965139299</v>
      </c>
      <c r="P2155">
        <v>-8.1972177869049298E-2</v>
      </c>
      <c r="Q2155">
        <v>0.11962101471479</v>
      </c>
      <c r="R2155">
        <v>0.989416976923846</v>
      </c>
      <c r="S2155" t="s">
        <v>8557</v>
      </c>
      <c r="T2155" t="s">
        <v>12802</v>
      </c>
      <c r="U2155" t="s">
        <v>12802</v>
      </c>
      <c r="V2155" t="s">
        <v>12802</v>
      </c>
      <c r="W2155" t="s">
        <v>14916</v>
      </c>
      <c r="X2155">
        <v>2</v>
      </c>
      <c r="Y2155" t="s">
        <v>21204</v>
      </c>
      <c r="Z2155" t="s">
        <v>27473</v>
      </c>
      <c r="AA2155">
        <v>0.4705609401415648</v>
      </c>
      <c r="AB2155" t="str">
        <f>HYPERLINK("Melting_Curves/meltCurve_P14316_2_IRF2.pdf", "Melting_Curves/meltCurve_P14316_2_IRF2.pdf")</f>
        <v>Melting_Curves/meltCurve_P14316_2_IRF2.pdf</v>
      </c>
    </row>
    <row r="2156" spans="1:28" x14ac:dyDescent="0.25">
      <c r="A2156" t="s">
        <v>2160</v>
      </c>
      <c r="B2156">
        <v>0.99542014353169495</v>
      </c>
      <c r="C2156">
        <v>0.97522686635913503</v>
      </c>
      <c r="D2156">
        <v>1.0115871811911601</v>
      </c>
      <c r="E2156">
        <v>0.99392566468968802</v>
      </c>
      <c r="F2156">
        <v>0.76017856579100596</v>
      </c>
      <c r="G2156">
        <v>0.58400378275937803</v>
      </c>
      <c r="H2156">
        <v>0.35194774456591599</v>
      </c>
      <c r="I2156">
        <v>0.26232460343953301</v>
      </c>
      <c r="J2156">
        <v>0.36849940168918399</v>
      </c>
      <c r="K2156">
        <v>0.49946696867840901</v>
      </c>
      <c r="L2156">
        <v>1391.9668164136699</v>
      </c>
      <c r="M2156">
        <v>26.980133237825601</v>
      </c>
      <c r="N2156">
        <v>54.257797182737399</v>
      </c>
      <c r="O2156">
        <v>51.311355753125099</v>
      </c>
      <c r="P2156">
        <v>-8.3190035559911599E-2</v>
      </c>
      <c r="Q2156">
        <v>0.36715641164173601</v>
      </c>
      <c r="R2156">
        <v>0.95176290763058702</v>
      </c>
      <c r="S2156" t="s">
        <v>8558</v>
      </c>
      <c r="T2156" t="s">
        <v>12802</v>
      </c>
      <c r="U2156" t="s">
        <v>12802</v>
      </c>
      <c r="V2156" t="s">
        <v>12802</v>
      </c>
      <c r="W2156" t="s">
        <v>14917</v>
      </c>
      <c r="X2156">
        <v>17</v>
      </c>
      <c r="Y2156" t="s">
        <v>21205</v>
      </c>
      <c r="Z2156" t="s">
        <v>27474</v>
      </c>
      <c r="AA2156">
        <v>0.67984158690857843</v>
      </c>
      <c r="AB2156" t="str">
        <f>HYPERLINK("Melting_Curves/meltCurve_P14317_HCLS1.pdf", "Melting_Curves/meltCurve_P14317_HCLS1.pdf")</f>
        <v>Melting_Curves/meltCurve_P14317_HCLS1.pdf</v>
      </c>
    </row>
    <row r="2157" spans="1:28" x14ac:dyDescent="0.25">
      <c r="A2157" t="s">
        <v>2161</v>
      </c>
      <c r="B2157">
        <v>0.99542014353169495</v>
      </c>
      <c r="C2157">
        <v>0.96400989514308899</v>
      </c>
      <c r="D2157">
        <v>1.00525208414518</v>
      </c>
      <c r="E2157">
        <v>0.65566089364596403</v>
      </c>
      <c r="F2157">
        <v>0.146995452013572</v>
      </c>
      <c r="G2157">
        <v>8.7314136796280806E-2</v>
      </c>
      <c r="H2157">
        <v>5.11811832866945E-2</v>
      </c>
      <c r="I2157">
        <v>3.5613929721953902E-2</v>
      </c>
      <c r="J2157">
        <v>3.4867533772846397E-2</v>
      </c>
      <c r="K2157">
        <v>3.7734126197296602E-2</v>
      </c>
      <c r="L2157">
        <v>1772.63405260012</v>
      </c>
      <c r="M2157">
        <v>37.451781011416799</v>
      </c>
      <c r="N2157">
        <v>47.4553219247139</v>
      </c>
      <c r="O2157">
        <v>47.196762257977099</v>
      </c>
      <c r="P2157">
        <v>-0.18911740358087201</v>
      </c>
      <c r="Q2157">
        <v>4.6699000309910102E-2</v>
      </c>
      <c r="R2157">
        <v>0.99817967258415696</v>
      </c>
      <c r="S2157" t="s">
        <v>8559</v>
      </c>
      <c r="T2157" t="s">
        <v>12802</v>
      </c>
      <c r="U2157" t="s">
        <v>12802</v>
      </c>
      <c r="V2157" t="s">
        <v>12802</v>
      </c>
      <c r="W2157" t="s">
        <v>14918</v>
      </c>
      <c r="X2157">
        <v>14</v>
      </c>
      <c r="Y2157" t="s">
        <v>21206</v>
      </c>
      <c r="Z2157" t="s">
        <v>27475</v>
      </c>
      <c r="AA2157">
        <v>0.37854976347353891</v>
      </c>
      <c r="AB2157" t="str">
        <f>HYPERLINK("Melting_Curves/meltCurve_P14324_2_FDPS.pdf", "Melting_Curves/meltCurve_P14324_2_FDPS.pdf")</f>
        <v>Melting_Curves/meltCurve_P14324_2_FDPS.pdf</v>
      </c>
    </row>
    <row r="2158" spans="1:28" x14ac:dyDescent="0.25">
      <c r="A2158" t="s">
        <v>2162</v>
      </c>
      <c r="B2158">
        <v>0.99542014353169495</v>
      </c>
      <c r="C2158">
        <v>1.0046438375225</v>
      </c>
      <c r="D2158">
        <v>1.15766226094554</v>
      </c>
      <c r="E2158">
        <v>1.0809352929488301</v>
      </c>
      <c r="F2158">
        <v>0.86661869376220102</v>
      </c>
      <c r="G2158">
        <v>0.53202672188864697</v>
      </c>
      <c r="H2158">
        <v>0.43582234004059001</v>
      </c>
      <c r="I2158">
        <v>0.35977037175217003</v>
      </c>
      <c r="J2158">
        <v>0.32793253089282098</v>
      </c>
      <c r="K2158">
        <v>0.322896978638406</v>
      </c>
      <c r="L2158">
        <v>1700.92462751331</v>
      </c>
      <c r="M2158">
        <v>32.436257819603</v>
      </c>
      <c r="N2158">
        <v>54.423045277492399</v>
      </c>
      <c r="O2158">
        <v>52.240879386947597</v>
      </c>
      <c r="P2158">
        <v>-0.101401712381973</v>
      </c>
      <c r="Q2158">
        <v>0.34674471470873103</v>
      </c>
      <c r="R2158">
        <v>0.96444675809611602</v>
      </c>
      <c r="S2158" t="s">
        <v>8560</v>
      </c>
      <c r="T2158" t="s">
        <v>12802</v>
      </c>
      <c r="U2158" t="s">
        <v>12802</v>
      </c>
      <c r="V2158" t="s">
        <v>12802</v>
      </c>
      <c r="W2158" t="s">
        <v>14919</v>
      </c>
      <c r="X2158">
        <v>1</v>
      </c>
      <c r="Y2158" t="s">
        <v>21207</v>
      </c>
      <c r="Z2158" t="s">
        <v>27476</v>
      </c>
      <c r="AA2158">
        <v>0.68649603547669369</v>
      </c>
      <c r="AB2158" t="str">
        <f>HYPERLINK("Melting_Curves/meltCurve_P14415_ATP1B2.pdf", "Melting_Curves/meltCurve_P14415_ATP1B2.pdf")</f>
        <v>Melting_Curves/meltCurve_P14415_ATP1B2.pdf</v>
      </c>
    </row>
    <row r="2159" spans="1:28" x14ac:dyDescent="0.25">
      <c r="A2159" t="s">
        <v>2163</v>
      </c>
      <c r="B2159">
        <v>0.99542014353169495</v>
      </c>
      <c r="C2159">
        <v>1.0432371532003699</v>
      </c>
      <c r="D2159">
        <v>0.98682652417275996</v>
      </c>
      <c r="E2159">
        <v>0.92927846499030298</v>
      </c>
      <c r="F2159">
        <v>0.71329580434311302</v>
      </c>
      <c r="G2159">
        <v>0.246405219524368</v>
      </c>
      <c r="H2159">
        <v>8.9996504087115806E-2</v>
      </c>
      <c r="I2159">
        <v>6.0157595575131097E-2</v>
      </c>
      <c r="J2159">
        <v>6.0273064830370697E-2</v>
      </c>
      <c r="K2159">
        <v>6.3168445005607199E-2</v>
      </c>
      <c r="L2159">
        <v>1571.7219075160201</v>
      </c>
      <c r="M2159">
        <v>30.5390577827371</v>
      </c>
      <c r="N2159">
        <v>51.6640688388961</v>
      </c>
      <c r="O2159">
        <v>51.246791046922503</v>
      </c>
      <c r="P2159">
        <v>-0.140749478075024</v>
      </c>
      <c r="Q2159">
        <v>5.5253727562476602E-2</v>
      </c>
      <c r="R2159">
        <v>0.99811716601505196</v>
      </c>
      <c r="S2159" t="s">
        <v>8561</v>
      </c>
      <c r="T2159" t="s">
        <v>12802</v>
      </c>
      <c r="U2159" t="s">
        <v>12802</v>
      </c>
      <c r="V2159" t="s">
        <v>12802</v>
      </c>
      <c r="W2159" t="s">
        <v>14920</v>
      </c>
      <c r="X2159">
        <v>20</v>
      </c>
      <c r="Y2159" t="s">
        <v>21208</v>
      </c>
      <c r="Z2159" t="s">
        <v>27477</v>
      </c>
      <c r="AA2159">
        <v>0.51653107630540862</v>
      </c>
      <c r="AB2159" t="str">
        <f>HYPERLINK("Melting_Curves/meltCurve_P14550_AKR1A1.pdf", "Melting_Curves/meltCurve_P14550_AKR1A1.pdf")</f>
        <v>Melting_Curves/meltCurve_P14550_AKR1A1.pdf</v>
      </c>
    </row>
    <row r="2160" spans="1:28" x14ac:dyDescent="0.25">
      <c r="A2160" t="s">
        <v>2164</v>
      </c>
      <c r="B2160">
        <v>0.99542014353169495</v>
      </c>
      <c r="C2160">
        <v>0.94635353606050998</v>
      </c>
      <c r="D2160">
        <v>0.93338956691183095</v>
      </c>
      <c r="E2160">
        <v>0.87242264911892198</v>
      </c>
      <c r="F2160">
        <v>0.75437316466856097</v>
      </c>
      <c r="G2160">
        <v>0.60767650706265197</v>
      </c>
      <c r="H2160">
        <v>0.44390949657161499</v>
      </c>
      <c r="I2160">
        <v>0.29294451559941598</v>
      </c>
      <c r="J2160">
        <v>5.9619422061477002E-2</v>
      </c>
      <c r="K2160">
        <v>5.7150994257087799E-2</v>
      </c>
      <c r="L2160">
        <v>678.30171659202199</v>
      </c>
      <c r="M2160">
        <v>12.2547860940257</v>
      </c>
      <c r="N2160">
        <v>55.3499434398991</v>
      </c>
      <c r="O2160">
        <v>53.937981269243203</v>
      </c>
      <c r="P2160">
        <v>-5.6812977499017397E-2</v>
      </c>
      <c r="Q2160">
        <v>0</v>
      </c>
      <c r="R2160">
        <v>0.98066744333063205</v>
      </c>
      <c r="S2160" t="s">
        <v>8562</v>
      </c>
      <c r="T2160" t="s">
        <v>12802</v>
      </c>
      <c r="U2160" t="s">
        <v>12802</v>
      </c>
      <c r="V2160" t="s">
        <v>12802</v>
      </c>
      <c r="W2160" t="s">
        <v>14921</v>
      </c>
      <c r="X2160">
        <v>41</v>
      </c>
      <c r="Y2160" t="s">
        <v>20143</v>
      </c>
      <c r="Z2160" t="s">
        <v>27478</v>
      </c>
      <c r="AA2160">
        <v>0.62455689570790518</v>
      </c>
      <c r="AB2160" t="str">
        <f>HYPERLINK("Melting_Curves/meltCurve_P14618_PKM.pdf", "Melting_Curves/meltCurve_P14618_PKM.pdf")</f>
        <v>Melting_Curves/meltCurve_P14618_PKM.pdf</v>
      </c>
    </row>
    <row r="2161" spans="1:28" x14ac:dyDescent="0.25">
      <c r="A2161" t="s">
        <v>2165</v>
      </c>
      <c r="B2161">
        <v>0.99542014353169495</v>
      </c>
      <c r="C2161">
        <v>0.89894302337785403</v>
      </c>
      <c r="D2161">
        <v>0.91253931632711005</v>
      </c>
      <c r="E2161">
        <v>0.807155288868037</v>
      </c>
      <c r="F2161">
        <v>0.75074383343997197</v>
      </c>
      <c r="G2161">
        <v>0.59967456879176795</v>
      </c>
      <c r="H2161">
        <v>0.50017019168652399</v>
      </c>
      <c r="I2161">
        <v>0.319821171497913</v>
      </c>
      <c r="J2161">
        <v>5.02436286059657E-2</v>
      </c>
      <c r="K2161">
        <v>3.4806905419904499E-2</v>
      </c>
      <c r="L2161">
        <v>614.02015027579398</v>
      </c>
      <c r="M2161">
        <v>11.1029733595864</v>
      </c>
      <c r="N2161">
        <v>55.302334645542999</v>
      </c>
      <c r="O2161">
        <v>53.599266313930002</v>
      </c>
      <c r="P2161">
        <v>-5.18038212674913E-2</v>
      </c>
      <c r="Q2161">
        <v>0</v>
      </c>
      <c r="R2161">
        <v>0.95052882037729802</v>
      </c>
      <c r="S2161" t="s">
        <v>8563</v>
      </c>
      <c r="T2161" t="s">
        <v>12802</v>
      </c>
      <c r="U2161" t="s">
        <v>12802</v>
      </c>
      <c r="V2161" t="s">
        <v>12802</v>
      </c>
      <c r="W2161" t="s">
        <v>14922</v>
      </c>
      <c r="X2161">
        <v>40</v>
      </c>
      <c r="Y2161" t="s">
        <v>20143</v>
      </c>
      <c r="Z2161" t="s">
        <v>27479</v>
      </c>
      <c r="AA2161">
        <v>0.62219216444065173</v>
      </c>
      <c r="AB2161" t="str">
        <f>HYPERLINK("Melting_Curves/meltCurve_P14618_2_PKM.pdf", "Melting_Curves/meltCurve_P14618_2_PKM.pdf")</f>
        <v>Melting_Curves/meltCurve_P14618_2_PKM.pdf</v>
      </c>
    </row>
    <row r="2162" spans="1:28" x14ac:dyDescent="0.25">
      <c r="A2162" t="s">
        <v>2166</v>
      </c>
      <c r="B2162">
        <v>0.99542014353169495</v>
      </c>
      <c r="C2162">
        <v>0.96696488135143399</v>
      </c>
      <c r="D2162">
        <v>0.99257318732885702</v>
      </c>
      <c r="E2162">
        <v>0.93284515957053005</v>
      </c>
      <c r="F2162">
        <v>0.76053696245394697</v>
      </c>
      <c r="G2162">
        <v>0.47600106919541402</v>
      </c>
      <c r="H2162">
        <v>0.12036903799329</v>
      </c>
      <c r="I2162">
        <v>7.6816001673506301E-2</v>
      </c>
      <c r="J2162">
        <v>8.2962550018091899E-2</v>
      </c>
      <c r="K2162">
        <v>9.5138408158158397E-2</v>
      </c>
      <c r="L2162">
        <v>1231.67052523696</v>
      </c>
      <c r="M2162">
        <v>23.3349777497654</v>
      </c>
      <c r="N2162">
        <v>53.050203566065697</v>
      </c>
      <c r="O2162">
        <v>52.399114376476099</v>
      </c>
      <c r="P2162">
        <v>-0.10514365027236799</v>
      </c>
      <c r="Q2162">
        <v>5.56089322971575E-2</v>
      </c>
      <c r="R2162">
        <v>0.99373612978392201</v>
      </c>
      <c r="S2162" t="s">
        <v>8564</v>
      </c>
      <c r="T2162" t="s">
        <v>12802</v>
      </c>
      <c r="U2162" t="s">
        <v>12802</v>
      </c>
      <c r="V2162" t="s">
        <v>12802</v>
      </c>
      <c r="W2162" t="s">
        <v>14923</v>
      </c>
      <c r="X2162">
        <v>67</v>
      </c>
      <c r="Y2162" t="s">
        <v>21209</v>
      </c>
      <c r="Z2162" t="s">
        <v>27480</v>
      </c>
      <c r="AA2162">
        <v>0.56182289047209655</v>
      </c>
      <c r="AB2162" t="str">
        <f>HYPERLINK("Melting_Curves/meltCurve_P14625_HSP90B1.pdf", "Melting_Curves/meltCurve_P14625_HSP90B1.pdf")</f>
        <v>Melting_Curves/meltCurve_P14625_HSP90B1.pdf</v>
      </c>
    </row>
    <row r="2163" spans="1:28" x14ac:dyDescent="0.25">
      <c r="A2163" t="s">
        <v>2167</v>
      </c>
      <c r="B2163">
        <v>0.99542014353169495</v>
      </c>
      <c r="C2163">
        <v>1.02097430257135</v>
      </c>
      <c r="D2163">
        <v>0.94043962221239397</v>
      </c>
      <c r="E2163">
        <v>0.86824885946833097</v>
      </c>
      <c r="F2163">
        <v>0.69168268876915096</v>
      </c>
      <c r="G2163">
        <v>0.52709058999981895</v>
      </c>
      <c r="H2163">
        <v>0.33629538856804497</v>
      </c>
      <c r="I2163">
        <v>0.153399374867943</v>
      </c>
      <c r="J2163">
        <v>6.5236519452146396E-2</v>
      </c>
      <c r="K2163">
        <v>7.8590753014700906E-2</v>
      </c>
      <c r="L2163">
        <v>696.66684409788195</v>
      </c>
      <c r="M2163">
        <v>12.9578431649878</v>
      </c>
      <c r="N2163">
        <v>53.764094729828102</v>
      </c>
      <c r="O2163">
        <v>52.531925406792702</v>
      </c>
      <c r="P2163">
        <v>-6.1677548520531103E-2</v>
      </c>
      <c r="Q2163">
        <v>0</v>
      </c>
      <c r="R2163">
        <v>0.99511291524616796</v>
      </c>
      <c r="S2163" t="s">
        <v>8565</v>
      </c>
      <c r="T2163" t="s">
        <v>12802</v>
      </c>
      <c r="U2163" t="s">
        <v>12802</v>
      </c>
      <c r="V2163" t="s">
        <v>12802</v>
      </c>
      <c r="W2163" t="s">
        <v>14924</v>
      </c>
      <c r="X2163">
        <v>8</v>
      </c>
      <c r="Y2163" t="s">
        <v>21210</v>
      </c>
      <c r="Z2163" t="s">
        <v>27481</v>
      </c>
      <c r="AA2163">
        <v>0.57700585068529231</v>
      </c>
      <c r="AB2163" t="str">
        <f>HYPERLINK("Melting_Curves/meltCurve_P14635_CCNB1.pdf", "Melting_Curves/meltCurve_P14635_CCNB1.pdf")</f>
        <v>Melting_Curves/meltCurve_P14635_CCNB1.pdf</v>
      </c>
    </row>
    <row r="2164" spans="1:28" x14ac:dyDescent="0.25">
      <c r="A2164" t="s">
        <v>2168</v>
      </c>
      <c r="B2164">
        <v>0.99542014353169495</v>
      </c>
      <c r="C2164">
        <v>1.0361454724555099</v>
      </c>
      <c r="D2164">
        <v>1.0200381684424999</v>
      </c>
      <c r="E2164">
        <v>0.769513902310621</v>
      </c>
      <c r="F2164">
        <v>0.57751830819389605</v>
      </c>
      <c r="G2164">
        <v>0.43201604332124499</v>
      </c>
      <c r="H2164">
        <v>0.37563308849756899</v>
      </c>
      <c r="I2164">
        <v>0.29051382811326998</v>
      </c>
      <c r="J2164">
        <v>0.36419894478180298</v>
      </c>
      <c r="K2164">
        <v>0.48715425968748699</v>
      </c>
      <c r="L2164">
        <v>1149.60725596161</v>
      </c>
      <c r="M2164">
        <v>23.869910708110002</v>
      </c>
      <c r="N2164">
        <v>51.204669136111299</v>
      </c>
      <c r="O2164">
        <v>47.827149919328399</v>
      </c>
      <c r="P2164">
        <v>-7.7486398462787306E-2</v>
      </c>
      <c r="Q2164">
        <v>0.37898490610694702</v>
      </c>
      <c r="R2164">
        <v>0.96498852084462905</v>
      </c>
      <c r="S2164" t="s">
        <v>8566</v>
      </c>
      <c r="T2164" t="s">
        <v>12802</v>
      </c>
      <c r="U2164" t="s">
        <v>12802</v>
      </c>
      <c r="V2164" t="s">
        <v>12802</v>
      </c>
      <c r="W2164" t="s">
        <v>14925</v>
      </c>
      <c r="X2164">
        <v>7</v>
      </c>
      <c r="Y2164" t="s">
        <v>21211</v>
      </c>
      <c r="Z2164" t="s">
        <v>27482</v>
      </c>
      <c r="AA2164">
        <v>0.61584008587094563</v>
      </c>
      <c r="AB2164" t="str">
        <f>HYPERLINK("Melting_Curves/meltCurve_P14649_MYL6B.pdf", "Melting_Curves/meltCurve_P14649_MYL6B.pdf")</f>
        <v>Melting_Curves/meltCurve_P14649_MYL6B.pdf</v>
      </c>
    </row>
    <row r="2165" spans="1:28" x14ac:dyDescent="0.25">
      <c r="A2165" t="s">
        <v>2169</v>
      </c>
      <c r="B2165">
        <v>0.99542014353169495</v>
      </c>
      <c r="C2165">
        <v>0.95342050364842501</v>
      </c>
      <c r="D2165">
        <v>1.0126839127724101</v>
      </c>
      <c r="E2165">
        <v>0.88794430288845405</v>
      </c>
      <c r="F2165">
        <v>0.70493891658230201</v>
      </c>
      <c r="G2165">
        <v>0.45320650401687101</v>
      </c>
      <c r="H2165">
        <v>0.32724601885739701</v>
      </c>
      <c r="I2165">
        <v>0.29761672184168098</v>
      </c>
      <c r="J2165">
        <v>0.46275526653777699</v>
      </c>
      <c r="K2165">
        <v>0.49495109652353098</v>
      </c>
      <c r="L2165">
        <v>1448.3935163174899</v>
      </c>
      <c r="M2165">
        <v>28.9854643739537</v>
      </c>
      <c r="N2165">
        <v>52.7674411943159</v>
      </c>
      <c r="O2165">
        <v>49.733614984965598</v>
      </c>
      <c r="P2165">
        <v>-8.8519893305360003E-2</v>
      </c>
      <c r="Q2165">
        <v>0.392470470812051</v>
      </c>
      <c r="R2165">
        <v>0.949785904020784</v>
      </c>
      <c r="S2165" t="s">
        <v>8567</v>
      </c>
      <c r="T2165" t="s">
        <v>12802</v>
      </c>
      <c r="U2165" t="s">
        <v>12802</v>
      </c>
      <c r="V2165" t="s">
        <v>12802</v>
      </c>
      <c r="W2165" t="s">
        <v>14926</v>
      </c>
      <c r="X2165">
        <v>14</v>
      </c>
      <c r="Y2165" t="s">
        <v>19192</v>
      </c>
      <c r="Z2165" t="s">
        <v>27483</v>
      </c>
      <c r="AA2165">
        <v>0.65910573105219483</v>
      </c>
      <c r="AB2165" t="str">
        <f>HYPERLINK("Melting_Curves/meltCurve_P14678_2_SNRPB.pdf", "Melting_Curves/meltCurve_P14678_2_SNRPB.pdf")</f>
        <v>Melting_Curves/meltCurve_P14678_2_SNRPB.pdf</v>
      </c>
    </row>
    <row r="2166" spans="1:28" x14ac:dyDescent="0.25">
      <c r="A2166" t="s">
        <v>2170</v>
      </c>
      <c r="B2166">
        <v>0.99542014353169495</v>
      </c>
      <c r="C2166">
        <v>0.92726510777774096</v>
      </c>
      <c r="D2166">
        <v>0.97997344443765999</v>
      </c>
      <c r="E2166">
        <v>0.66071337568830801</v>
      </c>
      <c r="F2166">
        <v>0.31145086953360801</v>
      </c>
      <c r="G2166">
        <v>0.13906620317391</v>
      </c>
      <c r="H2166">
        <v>7.5163175403641494E-2</v>
      </c>
      <c r="I2166">
        <v>5.5655487275425602E-2</v>
      </c>
      <c r="J2166">
        <v>5.71092441300892E-2</v>
      </c>
      <c r="K2166">
        <v>5.3411078973987502E-2</v>
      </c>
      <c r="L2166">
        <v>1080.3021178748099</v>
      </c>
      <c r="M2166">
        <v>22.524339708240401</v>
      </c>
      <c r="N2166">
        <v>48.204973079166898</v>
      </c>
      <c r="O2166">
        <v>47.588312635674399</v>
      </c>
      <c r="P2166">
        <v>-0.111970432795682</v>
      </c>
      <c r="Q2166">
        <v>5.3757043004229503E-2</v>
      </c>
      <c r="R2166">
        <v>0.99588774998770302</v>
      </c>
      <c r="S2166" t="s">
        <v>8568</v>
      </c>
      <c r="T2166" t="s">
        <v>12802</v>
      </c>
      <c r="U2166" t="s">
        <v>12802</v>
      </c>
      <c r="V2166" t="s">
        <v>12802</v>
      </c>
      <c r="W2166" t="s">
        <v>14927</v>
      </c>
      <c r="X2166">
        <v>35</v>
      </c>
      <c r="Y2166" t="s">
        <v>21212</v>
      </c>
      <c r="Z2166" t="s">
        <v>27484</v>
      </c>
      <c r="AA2166">
        <v>0.40939123732198113</v>
      </c>
      <c r="AB2166" t="str">
        <f>HYPERLINK("Melting_Curves/meltCurve_P14735_IDE.pdf", "Melting_Curves/meltCurve_P14735_IDE.pdf")</f>
        <v>Melting_Curves/meltCurve_P14735_IDE.pdf</v>
      </c>
    </row>
    <row r="2167" spans="1:28" x14ac:dyDescent="0.25">
      <c r="A2167" t="s">
        <v>2171</v>
      </c>
      <c r="B2167">
        <v>0.99542014353169495</v>
      </c>
      <c r="C2167">
        <v>0.95055203224712903</v>
      </c>
      <c r="D2167">
        <v>0.91432946893811995</v>
      </c>
      <c r="E2167">
        <v>0.80528823179858899</v>
      </c>
      <c r="F2167">
        <v>0.62025939533757102</v>
      </c>
      <c r="G2167">
        <v>0.45380702099246001</v>
      </c>
      <c r="H2167">
        <v>0.26343256615002297</v>
      </c>
      <c r="I2167">
        <v>0.217660215852955</v>
      </c>
      <c r="J2167">
        <v>0.33878277656236799</v>
      </c>
      <c r="K2167">
        <v>0.37752521962900099</v>
      </c>
      <c r="L2167">
        <v>847.84829705633001</v>
      </c>
      <c r="M2167">
        <v>17.1685171145295</v>
      </c>
      <c r="N2167">
        <v>51.913696531509302</v>
      </c>
      <c r="O2167">
        <v>48.728495793594902</v>
      </c>
      <c r="P2167">
        <v>-6.3122138519855805E-2</v>
      </c>
      <c r="Q2167">
        <v>0.28341746871516099</v>
      </c>
      <c r="R2167">
        <v>0.96546416219211095</v>
      </c>
      <c r="S2167" t="s">
        <v>8569</v>
      </c>
      <c r="T2167" t="s">
        <v>12802</v>
      </c>
      <c r="U2167" t="s">
        <v>12802</v>
      </c>
      <c r="V2167" t="s">
        <v>12802</v>
      </c>
      <c r="W2167" t="s">
        <v>14928</v>
      </c>
      <c r="X2167">
        <v>8</v>
      </c>
      <c r="Y2167" t="s">
        <v>21213</v>
      </c>
      <c r="Z2167" t="s">
        <v>27485</v>
      </c>
      <c r="AA2167">
        <v>0.59152303614387736</v>
      </c>
      <c r="AB2167" t="str">
        <f>HYPERLINK("Melting_Curves/meltCurve_P14854_COX6B1.pdf", "Melting_Curves/meltCurve_P14854_COX6B1.pdf")</f>
        <v>Melting_Curves/meltCurve_P14854_COX6B1.pdf</v>
      </c>
    </row>
    <row r="2168" spans="1:28" x14ac:dyDescent="0.25">
      <c r="A2168" t="s">
        <v>2172</v>
      </c>
      <c r="B2168">
        <v>0.99542014353169495</v>
      </c>
      <c r="C2168">
        <v>1.0274654895434601</v>
      </c>
      <c r="D2168">
        <v>1.05909557768361</v>
      </c>
      <c r="E2168">
        <v>0.46856879461197698</v>
      </c>
      <c r="F2168">
        <v>0.200934477436783</v>
      </c>
      <c r="G2168">
        <v>0.117900952809528</v>
      </c>
      <c r="H2168">
        <v>6.7381578944814197E-2</v>
      </c>
      <c r="I2168">
        <v>5.2754673961219002E-2</v>
      </c>
      <c r="J2168">
        <v>6.30957254382076E-2</v>
      </c>
      <c r="K2168">
        <v>5.8024229035682003E-2</v>
      </c>
      <c r="L2168">
        <v>2175.15232916881</v>
      </c>
      <c r="M2168">
        <v>46.929434144096398</v>
      </c>
      <c r="N2168">
        <v>46.539781064215099</v>
      </c>
      <c r="O2168">
        <v>46.2654929015508</v>
      </c>
      <c r="P2168">
        <v>-0.231443232576447</v>
      </c>
      <c r="Q2168">
        <v>8.7325463018442004E-2</v>
      </c>
      <c r="R2168">
        <v>0.98883201500518403</v>
      </c>
      <c r="S2168" t="s">
        <v>8570</v>
      </c>
      <c r="T2168" t="s">
        <v>12802</v>
      </c>
      <c r="U2168" t="s">
        <v>12802</v>
      </c>
      <c r="V2168" t="s">
        <v>12802</v>
      </c>
      <c r="W2168" t="s">
        <v>14929</v>
      </c>
      <c r="X2168">
        <v>14</v>
      </c>
      <c r="Y2168" t="s">
        <v>21214</v>
      </c>
      <c r="Z2168" t="s">
        <v>27486</v>
      </c>
      <c r="AA2168">
        <v>0.3738780630557727</v>
      </c>
      <c r="AB2168" t="str">
        <f>HYPERLINK("Melting_Curves/meltCurve_P14866_HNRNPL.pdf", "Melting_Curves/meltCurve_P14866_HNRNPL.pdf")</f>
        <v>Melting_Curves/meltCurve_P14866_HNRNPL.pdf</v>
      </c>
    </row>
    <row r="2169" spans="1:28" x14ac:dyDescent="0.25">
      <c r="A2169" t="s">
        <v>2173</v>
      </c>
      <c r="B2169">
        <v>0.99542014353169495</v>
      </c>
      <c r="C2169">
        <v>0.94651505766341004</v>
      </c>
      <c r="D2169">
        <v>0.89019377859051996</v>
      </c>
      <c r="E2169">
        <v>0.69563642686741101</v>
      </c>
      <c r="F2169">
        <v>0.53955366501367197</v>
      </c>
      <c r="G2169">
        <v>0.44282019631285302</v>
      </c>
      <c r="H2169">
        <v>0.27428230228760597</v>
      </c>
      <c r="I2169">
        <v>0.247244340686673</v>
      </c>
      <c r="J2169">
        <v>0.115790103775054</v>
      </c>
      <c r="K2169">
        <v>5.3472507184642401E-2</v>
      </c>
      <c r="L2169">
        <v>481.88580081186001</v>
      </c>
      <c r="M2169">
        <v>9.3419209610869203</v>
      </c>
      <c r="N2169">
        <v>51.583159601299698</v>
      </c>
      <c r="O2169">
        <v>49.384973012496197</v>
      </c>
      <c r="P2169">
        <v>-4.7321129128597803E-2</v>
      </c>
      <c r="Q2169">
        <v>0</v>
      </c>
      <c r="R2169">
        <v>0.99033372695669597</v>
      </c>
      <c r="S2169" t="s">
        <v>8571</v>
      </c>
      <c r="T2169" t="s">
        <v>12802</v>
      </c>
      <c r="U2169" t="s">
        <v>12802</v>
      </c>
      <c r="V2169" t="s">
        <v>12802</v>
      </c>
      <c r="W2169" t="s">
        <v>14930</v>
      </c>
      <c r="X2169">
        <v>38</v>
      </c>
      <c r="Y2169" t="s">
        <v>21215</v>
      </c>
      <c r="Z2169" t="s">
        <v>27487</v>
      </c>
      <c r="AA2169">
        <v>0.51548311978814787</v>
      </c>
      <c r="AB2169" t="str">
        <f>HYPERLINK("Melting_Curves/meltCurve_P14868_DARS.pdf", "Melting_Curves/meltCurve_P14868_DARS.pdf")</f>
        <v>Melting_Curves/meltCurve_P14868_DARS.pdf</v>
      </c>
    </row>
    <row r="2170" spans="1:28" x14ac:dyDescent="0.25">
      <c r="A2170" t="s">
        <v>2174</v>
      </c>
      <c r="B2170">
        <v>0.99542014353169495</v>
      </c>
      <c r="C2170">
        <v>0.99863435594642602</v>
      </c>
      <c r="D2170">
        <v>0.93862946738202901</v>
      </c>
      <c r="E2170">
        <v>0.79519157821068798</v>
      </c>
      <c r="F2170">
        <v>0.56150422204376305</v>
      </c>
      <c r="G2170">
        <v>0.26801105470611902</v>
      </c>
      <c r="H2170">
        <v>0.105765360135752</v>
      </c>
      <c r="I2170">
        <v>6.4907622746049304E-2</v>
      </c>
      <c r="J2170">
        <v>6.6679857557248298E-2</v>
      </c>
      <c r="K2170">
        <v>6.7094952132023794E-2</v>
      </c>
      <c r="L2170">
        <v>893.20391944373205</v>
      </c>
      <c r="M2170">
        <v>17.727417727005299</v>
      </c>
      <c r="N2170">
        <v>50.591829140484201</v>
      </c>
      <c r="O2170">
        <v>49.757428961315497</v>
      </c>
      <c r="P2170">
        <v>-8.5966968845911595E-2</v>
      </c>
      <c r="Q2170">
        <v>3.4880364799060801E-2</v>
      </c>
      <c r="R2170">
        <v>0.99802160002830997</v>
      </c>
      <c r="S2170" t="s">
        <v>8572</v>
      </c>
      <c r="T2170" t="s">
        <v>12802</v>
      </c>
      <c r="U2170" t="s">
        <v>12802</v>
      </c>
      <c r="V2170" t="s">
        <v>12802</v>
      </c>
      <c r="W2170" t="s">
        <v>14931</v>
      </c>
      <c r="X2170">
        <v>15</v>
      </c>
      <c r="Y2170" t="s">
        <v>21216</v>
      </c>
      <c r="Z2170" t="s">
        <v>27488</v>
      </c>
      <c r="AA2170">
        <v>0.48100119933831442</v>
      </c>
      <c r="AB2170" t="str">
        <f>HYPERLINK("Melting_Curves/meltCurve_P14923_JUP.pdf", "Melting_Curves/meltCurve_P14923_JUP.pdf")</f>
        <v>Melting_Curves/meltCurve_P14923_JUP.pdf</v>
      </c>
    </row>
    <row r="2171" spans="1:28" x14ac:dyDescent="0.25">
      <c r="A2171" t="s">
        <v>2175</v>
      </c>
      <c r="B2171">
        <v>0.99542014353169495</v>
      </c>
      <c r="C2171">
        <v>0.79464014671331396</v>
      </c>
      <c r="D2171">
        <v>0.83689669783690102</v>
      </c>
      <c r="E2171">
        <v>0.52081380245008502</v>
      </c>
      <c r="F2171">
        <v>0.45595910162588899</v>
      </c>
      <c r="G2171">
        <v>0.26908576089223102</v>
      </c>
      <c r="H2171">
        <v>0.213186809587115</v>
      </c>
      <c r="I2171">
        <v>0.29879152729241698</v>
      </c>
      <c r="J2171">
        <v>0.61179679600763204</v>
      </c>
      <c r="K2171">
        <v>0.80697274449007395</v>
      </c>
      <c r="L2171">
        <v>929.15523240690197</v>
      </c>
      <c r="M2171">
        <v>21.411771093861699</v>
      </c>
      <c r="N2171">
        <v>48.052373715033298</v>
      </c>
      <c r="O2171">
        <v>43.021427975901602</v>
      </c>
      <c r="P2171">
        <v>-7.0021845672488106E-2</v>
      </c>
      <c r="Q2171">
        <v>0.43725096657970502</v>
      </c>
      <c r="R2171">
        <v>0.55721804117377405</v>
      </c>
      <c r="S2171" t="s">
        <v>8573</v>
      </c>
      <c r="T2171" t="s">
        <v>12802</v>
      </c>
      <c r="U2171" t="s">
        <v>12802</v>
      </c>
      <c r="V2171" t="s">
        <v>12802</v>
      </c>
      <c r="W2171" t="s">
        <v>13228</v>
      </c>
      <c r="X2171">
        <v>11</v>
      </c>
      <c r="Y2171" t="s">
        <v>19552</v>
      </c>
      <c r="Z2171" t="s">
        <v>27489</v>
      </c>
      <c r="AA2171">
        <v>0.56380302901359269</v>
      </c>
      <c r="AB2171" t="str">
        <f>HYPERLINK("Melting_Curves/meltCurve_P14927_UQCRB.pdf", "Melting_Curves/meltCurve_P14927_UQCRB.pdf")</f>
        <v>Melting_Curves/meltCurve_P14927_UQCRB.pdf</v>
      </c>
    </row>
    <row r="2172" spans="1:28" x14ac:dyDescent="0.25">
      <c r="A2172" t="s">
        <v>2176</v>
      </c>
      <c r="B2172">
        <v>0.99542014353169495</v>
      </c>
      <c r="C2172">
        <v>0.831092060450356</v>
      </c>
      <c r="D2172">
        <v>0.85010681110782205</v>
      </c>
      <c r="E2172">
        <v>0.67148968494346195</v>
      </c>
      <c r="F2172">
        <v>0.39308068142623598</v>
      </c>
      <c r="G2172">
        <v>0.20811752914270701</v>
      </c>
      <c r="H2172">
        <v>0.114551232384997</v>
      </c>
      <c r="I2172">
        <v>8.6052198375189001E-2</v>
      </c>
      <c r="J2172">
        <v>0.106846700641758</v>
      </c>
      <c r="K2172">
        <v>8.21948648737124E-2</v>
      </c>
      <c r="L2172">
        <v>638.07612061120301</v>
      </c>
      <c r="M2172">
        <v>13.2496285960972</v>
      </c>
      <c r="N2172">
        <v>48.483476199120801</v>
      </c>
      <c r="O2172">
        <v>47.100676659490702</v>
      </c>
      <c r="P2172">
        <v>-6.7344922492128798E-2</v>
      </c>
      <c r="Q2172">
        <v>4.2547917984349898E-2</v>
      </c>
      <c r="R2172">
        <v>0.98545295522800802</v>
      </c>
      <c r="S2172" t="s">
        <v>8574</v>
      </c>
      <c r="T2172" t="s">
        <v>12802</v>
      </c>
      <c r="U2172" t="s">
        <v>12802</v>
      </c>
      <c r="V2172" t="s">
        <v>12802</v>
      </c>
      <c r="W2172" t="s">
        <v>14932</v>
      </c>
      <c r="X2172">
        <v>9</v>
      </c>
      <c r="Y2172" t="s">
        <v>21217</v>
      </c>
      <c r="Z2172" t="s">
        <v>27490</v>
      </c>
      <c r="AA2172">
        <v>0.42430587281919119</v>
      </c>
      <c r="AB2172" t="str">
        <f>HYPERLINK("Melting_Curves/meltCurve_P15056_BRAF.pdf", "Melting_Curves/meltCurve_P15056_BRAF.pdf")</f>
        <v>Melting_Curves/meltCurve_P15056_BRAF.pdf</v>
      </c>
    </row>
    <row r="2173" spans="1:28" x14ac:dyDescent="0.25">
      <c r="A2173" t="s">
        <v>2177</v>
      </c>
      <c r="B2173">
        <v>0.99542014353169495</v>
      </c>
      <c r="C2173">
        <v>0.81438172878457005</v>
      </c>
      <c r="D2173">
        <v>0.85688417745540901</v>
      </c>
      <c r="E2173">
        <v>0.73510939605237002</v>
      </c>
      <c r="F2173">
        <v>0.57843051104835597</v>
      </c>
      <c r="G2173">
        <v>0.321679658098248</v>
      </c>
      <c r="H2173">
        <v>0.33920819010179198</v>
      </c>
      <c r="I2173">
        <v>9.5319577749127304E-2</v>
      </c>
      <c r="J2173">
        <v>4.7728215740371997E-2</v>
      </c>
      <c r="K2173">
        <v>5.8275202115094502E-2</v>
      </c>
      <c r="L2173">
        <v>515.74574603866404</v>
      </c>
      <c r="M2173">
        <v>10.1406066830229</v>
      </c>
      <c r="N2173">
        <v>50.859456109611898</v>
      </c>
      <c r="O2173">
        <v>49.000488952546803</v>
      </c>
      <c r="P2173">
        <v>-5.1761128338533698E-2</v>
      </c>
      <c r="Q2173">
        <v>0</v>
      </c>
      <c r="R2173">
        <v>0.96627755798607695</v>
      </c>
      <c r="S2173" t="s">
        <v>8575</v>
      </c>
      <c r="T2173" t="s">
        <v>12802</v>
      </c>
      <c r="U2173" t="s">
        <v>12802</v>
      </c>
      <c r="V2173" t="s">
        <v>12802</v>
      </c>
      <c r="W2173" t="s">
        <v>14933</v>
      </c>
      <c r="X2173">
        <v>19</v>
      </c>
      <c r="Y2173" t="s">
        <v>21218</v>
      </c>
      <c r="Z2173" t="s">
        <v>27491</v>
      </c>
      <c r="AA2173">
        <v>0.49263077292793422</v>
      </c>
      <c r="AB2173" t="str">
        <f>HYPERLINK("Melting_Curves/meltCurve_P15104_GLUL.pdf", "Melting_Curves/meltCurve_P15104_GLUL.pdf")</f>
        <v>Melting_Curves/meltCurve_P15104_GLUL.pdf</v>
      </c>
    </row>
    <row r="2174" spans="1:28" x14ac:dyDescent="0.25">
      <c r="A2174" t="s">
        <v>2178</v>
      </c>
      <c r="B2174">
        <v>0.99542014353169495</v>
      </c>
      <c r="C2174">
        <v>1.0431168287819701</v>
      </c>
      <c r="D2174">
        <v>1.13739888768598</v>
      </c>
      <c r="E2174">
        <v>1.0830007056664499</v>
      </c>
      <c r="F2174">
        <v>0.80275873058373604</v>
      </c>
      <c r="G2174">
        <v>0.62450154193956398</v>
      </c>
      <c r="H2174">
        <v>0.309778042047687</v>
      </c>
      <c r="I2174">
        <v>0.12475772939301299</v>
      </c>
      <c r="J2174">
        <v>9.0624579684911E-2</v>
      </c>
      <c r="K2174">
        <v>0.110080241081945</v>
      </c>
      <c r="L2174">
        <v>1194.4182133899601</v>
      </c>
      <c r="M2174">
        <v>21.917524481631201</v>
      </c>
      <c r="N2174">
        <v>54.869151939453403</v>
      </c>
      <c r="O2174">
        <v>54.048458560164498</v>
      </c>
      <c r="P2174">
        <v>-9.4362303246836199E-2</v>
      </c>
      <c r="Q2174">
        <v>6.9234030858031398E-2</v>
      </c>
      <c r="R2174">
        <v>0.97658394009330496</v>
      </c>
      <c r="S2174" t="s">
        <v>8576</v>
      </c>
      <c r="T2174" t="s">
        <v>12802</v>
      </c>
      <c r="U2174" t="s">
        <v>12802</v>
      </c>
      <c r="V2174" t="s">
        <v>12802</v>
      </c>
      <c r="W2174" t="s">
        <v>14934</v>
      </c>
      <c r="X2174">
        <v>7</v>
      </c>
      <c r="Y2174" t="s">
        <v>21219</v>
      </c>
      <c r="Z2174" t="s">
        <v>27492</v>
      </c>
      <c r="AA2174">
        <v>0.6217944515805135</v>
      </c>
      <c r="AB2174" t="str">
        <f>HYPERLINK("Melting_Curves/meltCurve_P15121_AKR1B1.pdf", "Melting_Curves/meltCurve_P15121_AKR1B1.pdf")</f>
        <v>Melting_Curves/meltCurve_P15121_AKR1B1.pdf</v>
      </c>
    </row>
    <row r="2175" spans="1:28" x14ac:dyDescent="0.25">
      <c r="A2175" t="s">
        <v>2179</v>
      </c>
      <c r="B2175">
        <v>0.99542014353169495</v>
      </c>
      <c r="C2175">
        <v>1.03707376527052</v>
      </c>
      <c r="D2175">
        <v>0.84990121032112398</v>
      </c>
      <c r="E2175">
        <v>0.72987438372951796</v>
      </c>
      <c r="F2175">
        <v>0.58278665543581498</v>
      </c>
      <c r="G2175">
        <v>0.48101481957751202</v>
      </c>
      <c r="H2175">
        <v>0.31404797670958601</v>
      </c>
      <c r="I2175">
        <v>0.27814505662876299</v>
      </c>
      <c r="J2175">
        <v>0.34673723645038501</v>
      </c>
      <c r="K2175">
        <v>0.36193747759601602</v>
      </c>
      <c r="L2175">
        <v>679.56230195464605</v>
      </c>
      <c r="M2175">
        <v>14.055400162688199</v>
      </c>
      <c r="N2175">
        <v>51.762683969532297</v>
      </c>
      <c r="O2175">
        <v>47.401695575680201</v>
      </c>
      <c r="P2175">
        <v>-5.1739517391597399E-2</v>
      </c>
      <c r="Q2175">
        <v>0.30212693759784498</v>
      </c>
      <c r="R2175">
        <v>0.97442271226853805</v>
      </c>
      <c r="S2175" t="s">
        <v>8577</v>
      </c>
      <c r="T2175" t="s">
        <v>12802</v>
      </c>
      <c r="U2175" t="s">
        <v>12802</v>
      </c>
      <c r="V2175" t="s">
        <v>12802</v>
      </c>
      <c r="W2175" t="s">
        <v>14935</v>
      </c>
      <c r="X2175">
        <v>2</v>
      </c>
      <c r="Y2175" t="s">
        <v>21220</v>
      </c>
      <c r="Z2175" t="s">
        <v>27493</v>
      </c>
      <c r="AA2175">
        <v>0.58306566153551498</v>
      </c>
      <c r="AB2175" t="str">
        <f>HYPERLINK("Melting_Curves/meltCurve_P15151_3_PVR.pdf", "Melting_Curves/meltCurve_P15151_3_PVR.pdf")</f>
        <v>Melting_Curves/meltCurve_P15151_3_PVR.pdf</v>
      </c>
    </row>
    <row r="2176" spans="1:28" x14ac:dyDescent="0.25">
      <c r="A2176" t="s">
        <v>2180</v>
      </c>
      <c r="B2176">
        <v>0.99542014353169495</v>
      </c>
      <c r="C2176">
        <v>0.98545113591174904</v>
      </c>
      <c r="D2176">
        <v>0.93885885812468195</v>
      </c>
      <c r="E2176">
        <v>0.89043386513807199</v>
      </c>
      <c r="F2176">
        <v>0.68435959890034403</v>
      </c>
      <c r="G2176">
        <v>0.38099640154774</v>
      </c>
      <c r="H2176">
        <v>0.115837649971508</v>
      </c>
      <c r="I2176">
        <v>5.2558954021340802E-2</v>
      </c>
      <c r="J2176">
        <v>5.0141996398089403E-2</v>
      </c>
      <c r="K2176">
        <v>3.7558156094526098E-2</v>
      </c>
      <c r="L2176">
        <v>995.49299945703603</v>
      </c>
      <c r="M2176">
        <v>19.107306549526299</v>
      </c>
      <c r="N2176">
        <v>52.145552741851802</v>
      </c>
      <c r="O2176">
        <v>51.539510044627001</v>
      </c>
      <c r="P2176">
        <v>-9.1921323770211699E-2</v>
      </c>
      <c r="Q2176">
        <v>8.2547153722996799E-3</v>
      </c>
      <c r="R2176">
        <v>0.99698727696373401</v>
      </c>
      <c r="S2176" t="s">
        <v>8578</v>
      </c>
      <c r="T2176" t="s">
        <v>12802</v>
      </c>
      <c r="U2176" t="s">
        <v>12802</v>
      </c>
      <c r="V2176" t="s">
        <v>12802</v>
      </c>
      <c r="W2176" t="s">
        <v>14936</v>
      </c>
      <c r="X2176">
        <v>12</v>
      </c>
      <c r="Y2176" t="s">
        <v>21221</v>
      </c>
      <c r="Z2176" t="s">
        <v>27494</v>
      </c>
      <c r="AA2176">
        <v>0.52114189421058932</v>
      </c>
      <c r="AB2176" t="str">
        <f>HYPERLINK("Melting_Curves/meltCurve_P15153_RAC2.pdf", "Melting_Curves/meltCurve_P15153_RAC2.pdf")</f>
        <v>Melting_Curves/meltCurve_P15153_RAC2.pdf</v>
      </c>
    </row>
    <row r="2177" spans="1:28" x14ac:dyDescent="0.25">
      <c r="A2177" t="s">
        <v>2181</v>
      </c>
      <c r="B2177">
        <v>0.99542014353169495</v>
      </c>
      <c r="C2177">
        <v>1.0611404191879701</v>
      </c>
      <c r="D2177">
        <v>1.03018160947617</v>
      </c>
      <c r="E2177">
        <v>1.02276719286914</v>
      </c>
      <c r="F2177">
        <v>0.83715184027190503</v>
      </c>
      <c r="G2177">
        <v>0.63002072998946002</v>
      </c>
      <c r="H2177">
        <v>0.13255114632088799</v>
      </c>
      <c r="I2177">
        <v>6.1868762656132698E-2</v>
      </c>
      <c r="J2177">
        <v>5.4159873675656098E-2</v>
      </c>
      <c r="K2177">
        <v>5.76306160216137E-2</v>
      </c>
      <c r="L2177">
        <v>1663.25539473715</v>
      </c>
      <c r="M2177">
        <v>30.665034383011701</v>
      </c>
      <c r="N2177">
        <v>54.365832408741497</v>
      </c>
      <c r="O2177">
        <v>54.0103765163392</v>
      </c>
      <c r="P2177">
        <v>-0.13705919493572699</v>
      </c>
      <c r="Q2177">
        <v>3.4395402425699599E-2</v>
      </c>
      <c r="R2177">
        <v>0.98980680829343803</v>
      </c>
      <c r="S2177" t="s">
        <v>8579</v>
      </c>
      <c r="T2177" t="s">
        <v>12802</v>
      </c>
      <c r="U2177" t="s">
        <v>12802</v>
      </c>
      <c r="V2177" t="s">
        <v>12802</v>
      </c>
      <c r="W2177" t="s">
        <v>14937</v>
      </c>
      <c r="X2177">
        <v>39</v>
      </c>
      <c r="Y2177" t="s">
        <v>21222</v>
      </c>
      <c r="Z2177" t="s">
        <v>27495</v>
      </c>
      <c r="AA2177">
        <v>0.59520451813415509</v>
      </c>
      <c r="AB2177" t="str">
        <f>HYPERLINK("Melting_Curves/meltCurve_P15170_2_GSPT1.pdf", "Melting_Curves/meltCurve_P15170_2_GSPT1.pdf")</f>
        <v>Melting_Curves/meltCurve_P15170_2_GSPT1.pdf</v>
      </c>
    </row>
    <row r="2178" spans="1:28" x14ac:dyDescent="0.25">
      <c r="A2178" t="s">
        <v>2182</v>
      </c>
      <c r="B2178">
        <v>0.99542014353169495</v>
      </c>
      <c r="C2178">
        <v>0.99143824219136101</v>
      </c>
      <c r="D2178">
        <v>0.94122809192197099</v>
      </c>
      <c r="E2178">
        <v>0.85926082636281498</v>
      </c>
      <c r="F2178">
        <v>0.92881979882347798</v>
      </c>
      <c r="G2178">
        <v>0.89382845995537297</v>
      </c>
      <c r="H2178">
        <v>0.53718804811223597</v>
      </c>
      <c r="I2178">
        <v>0.58776527576502902</v>
      </c>
      <c r="J2178">
        <v>0.972534871199631</v>
      </c>
      <c r="K2178">
        <v>0.87529535068817799</v>
      </c>
      <c r="L2178">
        <v>715.53393166088301</v>
      </c>
      <c r="M2178">
        <v>15.0573044577548</v>
      </c>
      <c r="O2178">
        <v>46.706171081614102</v>
      </c>
      <c r="P2178">
        <v>-1.8601149865201099E-2</v>
      </c>
      <c r="Q2178">
        <v>0.76922774651068004</v>
      </c>
      <c r="R2178">
        <v>0.30714906978050499</v>
      </c>
      <c r="S2178" t="s">
        <v>8580</v>
      </c>
      <c r="T2178" t="s">
        <v>12802</v>
      </c>
      <c r="U2178" t="s">
        <v>12802</v>
      </c>
      <c r="V2178" t="s">
        <v>12802</v>
      </c>
      <c r="W2178" t="s">
        <v>14938</v>
      </c>
      <c r="X2178">
        <v>2</v>
      </c>
      <c r="Y2178" t="s">
        <v>21223</v>
      </c>
      <c r="Z2178" t="s">
        <v>27496</v>
      </c>
      <c r="AA2178">
        <v>0.85525970325500777</v>
      </c>
      <c r="AB2178" t="str">
        <f>HYPERLINK("Melting_Curves/meltCurve_P15289_2_ARSA.pdf", "Melting_Curves/meltCurve_P15289_2_ARSA.pdf")</f>
        <v>Melting_Curves/meltCurve_P15289_2_ARSA.pdf</v>
      </c>
    </row>
    <row r="2179" spans="1:28" x14ac:dyDescent="0.25">
      <c r="A2179" t="s">
        <v>2183</v>
      </c>
      <c r="B2179">
        <v>0.99542014353169495</v>
      </c>
      <c r="C2179">
        <v>0.91509680008540695</v>
      </c>
      <c r="D2179">
        <v>0.89262051098515505</v>
      </c>
      <c r="E2179">
        <v>0.75231241587967801</v>
      </c>
      <c r="F2179">
        <v>0.59497991490944302</v>
      </c>
      <c r="G2179">
        <v>0.148466800350604</v>
      </c>
      <c r="H2179">
        <v>0.114119029656887</v>
      </c>
      <c r="I2179">
        <v>6.9084083862362602E-2</v>
      </c>
      <c r="J2179">
        <v>3.05651732461431E-2</v>
      </c>
      <c r="K2179">
        <v>0</v>
      </c>
      <c r="L2179">
        <v>826.51695392587499</v>
      </c>
      <c r="M2179">
        <v>16.484226880930699</v>
      </c>
      <c r="N2179">
        <v>50.139870416958097</v>
      </c>
      <c r="O2179">
        <v>49.419399312636301</v>
      </c>
      <c r="P2179">
        <v>-8.3395278949604495E-2</v>
      </c>
      <c r="Q2179">
        <v>0</v>
      </c>
      <c r="R2179">
        <v>0.98202217089774602</v>
      </c>
      <c r="S2179" t="s">
        <v>8581</v>
      </c>
      <c r="T2179" t="s">
        <v>12802</v>
      </c>
      <c r="U2179" t="s">
        <v>12802</v>
      </c>
      <c r="V2179" t="s">
        <v>12802</v>
      </c>
      <c r="W2179" t="s">
        <v>14939</v>
      </c>
      <c r="X2179">
        <v>2</v>
      </c>
      <c r="Y2179" t="s">
        <v>21224</v>
      </c>
      <c r="Z2179" t="s">
        <v>27497</v>
      </c>
      <c r="AA2179">
        <v>0.45608218980401449</v>
      </c>
      <c r="AB2179" t="str">
        <f>HYPERLINK("Melting_Curves/meltCurve_P15291_2_B4GALT1.pdf", "Melting_Curves/meltCurve_P15291_2_B4GALT1.pdf")</f>
        <v>Melting_Curves/meltCurve_P15291_2_B4GALT1.pdf</v>
      </c>
    </row>
    <row r="2180" spans="1:28" x14ac:dyDescent="0.25">
      <c r="A2180" t="s">
        <v>2184</v>
      </c>
      <c r="B2180">
        <v>0.99542014353169495</v>
      </c>
      <c r="C2180">
        <v>1.0382161101268801</v>
      </c>
      <c r="D2180">
        <v>0.90337061758562198</v>
      </c>
      <c r="E2180">
        <v>0.86458092300938805</v>
      </c>
      <c r="F2180">
        <v>0.61116242488149997</v>
      </c>
      <c r="G2180">
        <v>0.14005836373321201</v>
      </c>
      <c r="H2180">
        <v>7.5831575134297294E-2</v>
      </c>
      <c r="I2180">
        <v>4.6063875091853702E-2</v>
      </c>
      <c r="J2180">
        <v>5.1481795612594701E-2</v>
      </c>
      <c r="K2180">
        <v>5.5976905174946703E-2</v>
      </c>
      <c r="L2180">
        <v>1403.24289907927</v>
      </c>
      <c r="M2180">
        <v>27.7610524457709</v>
      </c>
      <c r="N2180">
        <v>50.696151289296203</v>
      </c>
      <c r="O2180">
        <v>50.287074416468897</v>
      </c>
      <c r="P2180">
        <v>-0.13260820502604201</v>
      </c>
      <c r="Q2180">
        <v>3.9169065754763303E-2</v>
      </c>
      <c r="R2180">
        <v>0.99021116739608195</v>
      </c>
      <c r="S2180" t="s">
        <v>8582</v>
      </c>
      <c r="T2180" t="s">
        <v>12802</v>
      </c>
      <c r="U2180" t="s">
        <v>12802</v>
      </c>
      <c r="V2180" t="s">
        <v>12802</v>
      </c>
      <c r="W2180" t="s">
        <v>14940</v>
      </c>
      <c r="X2180">
        <v>60</v>
      </c>
      <c r="Y2180" t="s">
        <v>21225</v>
      </c>
      <c r="Z2180" t="s">
        <v>27498</v>
      </c>
      <c r="AA2180">
        <v>0.47997058687757121</v>
      </c>
      <c r="AB2180" t="str">
        <f>HYPERLINK("Melting_Curves/meltCurve_P15311_EZR.pdf", "Melting_Curves/meltCurve_P15311_EZR.pdf")</f>
        <v>Melting_Curves/meltCurve_P15311_EZR.pdf</v>
      </c>
    </row>
    <row r="2181" spans="1:28" x14ac:dyDescent="0.25">
      <c r="A2181" t="s">
        <v>2185</v>
      </c>
      <c r="B2181">
        <v>0.99542014353169495</v>
      </c>
      <c r="C2181">
        <v>0.98655729787650104</v>
      </c>
      <c r="D2181">
        <v>0.900057284464304</v>
      </c>
      <c r="E2181">
        <v>0.85089317073804804</v>
      </c>
      <c r="F2181">
        <v>0.60732144429661195</v>
      </c>
      <c r="G2181">
        <v>0.24997814647873001</v>
      </c>
      <c r="H2181">
        <v>0.113085177075717</v>
      </c>
      <c r="I2181">
        <v>7.6891821091599505E-2</v>
      </c>
      <c r="J2181">
        <v>7.4181704959871503E-2</v>
      </c>
      <c r="K2181">
        <v>8.3799490260719298E-2</v>
      </c>
      <c r="L2181">
        <v>1036.0452315138</v>
      </c>
      <c r="M2181">
        <v>20.455207698795402</v>
      </c>
      <c r="N2181">
        <v>50.937354277005902</v>
      </c>
      <c r="O2181">
        <v>50.172833929973002</v>
      </c>
      <c r="P2181">
        <v>-9.6362777541504699E-2</v>
      </c>
      <c r="Q2181">
        <v>5.45880104295847E-2</v>
      </c>
      <c r="R2181">
        <v>0.99414041913541296</v>
      </c>
      <c r="S2181" t="s">
        <v>8583</v>
      </c>
      <c r="T2181" t="s">
        <v>12802</v>
      </c>
      <c r="U2181" t="s">
        <v>12802</v>
      </c>
      <c r="V2181" t="s">
        <v>12802</v>
      </c>
      <c r="W2181" t="s">
        <v>14941</v>
      </c>
      <c r="X2181">
        <v>12</v>
      </c>
      <c r="Y2181" t="s">
        <v>21226</v>
      </c>
      <c r="Z2181" t="s">
        <v>27499</v>
      </c>
      <c r="AA2181">
        <v>0.49667808116013268</v>
      </c>
      <c r="AB2181" t="str">
        <f>HYPERLINK("Melting_Curves/meltCurve_P15374_UCHL3.pdf", "Melting_Curves/meltCurve_P15374_UCHL3.pdf")</f>
        <v>Melting_Curves/meltCurve_P15374_UCHL3.pdf</v>
      </c>
    </row>
    <row r="2182" spans="1:28" x14ac:dyDescent="0.25">
      <c r="A2182" t="s">
        <v>2186</v>
      </c>
      <c r="B2182">
        <v>0.99542014353169495</v>
      </c>
      <c r="C2182">
        <v>1.1192208483511501</v>
      </c>
      <c r="D2182">
        <v>0.97254364327841103</v>
      </c>
      <c r="E2182">
        <v>0.68070964654412403</v>
      </c>
      <c r="F2182">
        <v>0.52485684511562303</v>
      </c>
      <c r="G2182">
        <v>0.330991362094467</v>
      </c>
      <c r="H2182">
        <v>0.25421770723503101</v>
      </c>
      <c r="I2182">
        <v>0.17676694056119799</v>
      </c>
      <c r="J2182">
        <v>0.21765671635505601</v>
      </c>
      <c r="K2182">
        <v>0.34735974054559299</v>
      </c>
      <c r="L2182">
        <v>975.13874458906798</v>
      </c>
      <c r="M2182">
        <v>20.252843662015099</v>
      </c>
      <c r="N2182">
        <v>49.794728200647299</v>
      </c>
      <c r="O2182">
        <v>47.686184749429003</v>
      </c>
      <c r="P2182">
        <v>-8.0266349188470795E-2</v>
      </c>
      <c r="Q2182">
        <v>0.24406108417163899</v>
      </c>
      <c r="R2182">
        <v>0.96291257743843905</v>
      </c>
      <c r="S2182" t="s">
        <v>8584</v>
      </c>
      <c r="T2182" t="s">
        <v>12802</v>
      </c>
      <c r="U2182" t="s">
        <v>12802</v>
      </c>
      <c r="V2182" t="s">
        <v>12802</v>
      </c>
      <c r="W2182" t="s">
        <v>14942</v>
      </c>
      <c r="X2182">
        <v>2</v>
      </c>
      <c r="Y2182" t="s">
        <v>21227</v>
      </c>
      <c r="Z2182" t="s">
        <v>27500</v>
      </c>
      <c r="AA2182">
        <v>0.53467852009360739</v>
      </c>
      <c r="AB2182" t="str">
        <f>HYPERLINK("Melting_Curves/meltCurve_P15407_FOSL1.pdf", "Melting_Curves/meltCurve_P15407_FOSL1.pdf")</f>
        <v>Melting_Curves/meltCurve_P15407_FOSL1.pdf</v>
      </c>
    </row>
    <row r="2183" spans="1:28" x14ac:dyDescent="0.25">
      <c r="A2183" t="s">
        <v>2187</v>
      </c>
      <c r="B2183">
        <v>0.99542014353169495</v>
      </c>
      <c r="C2183">
        <v>0.81324030526771796</v>
      </c>
      <c r="D2183">
        <v>0.99302753203707606</v>
      </c>
      <c r="E2183">
        <v>0.81772246159464501</v>
      </c>
      <c r="F2183">
        <v>0.78183721056659705</v>
      </c>
      <c r="G2183">
        <v>0.54490318118337999</v>
      </c>
      <c r="H2183">
        <v>0.45216006747794502</v>
      </c>
      <c r="I2183">
        <v>0.36559160009252301</v>
      </c>
      <c r="J2183">
        <v>0.45770514021639103</v>
      </c>
      <c r="K2183">
        <v>0.50814979884231504</v>
      </c>
      <c r="L2183">
        <v>777.56637424104804</v>
      </c>
      <c r="M2183">
        <v>15.5156404183798</v>
      </c>
      <c r="N2183">
        <v>56.652887646575898</v>
      </c>
      <c r="O2183">
        <v>49.304652435868498</v>
      </c>
      <c r="P2183">
        <v>-4.5904226004057601E-2</v>
      </c>
      <c r="Q2183">
        <v>0.41656507015859801</v>
      </c>
      <c r="R2183">
        <v>0.88607569185319002</v>
      </c>
      <c r="S2183" t="s">
        <v>8585</v>
      </c>
      <c r="T2183" t="s">
        <v>12802</v>
      </c>
      <c r="U2183" t="s">
        <v>12802</v>
      </c>
      <c r="V2183" t="s">
        <v>12802</v>
      </c>
      <c r="W2183" t="s">
        <v>14943</v>
      </c>
      <c r="X2183">
        <v>4</v>
      </c>
      <c r="Y2183" t="s">
        <v>21228</v>
      </c>
      <c r="Z2183" t="s">
        <v>27501</v>
      </c>
      <c r="AA2183">
        <v>0.68319094847128692</v>
      </c>
      <c r="AB2183" t="str">
        <f>HYPERLINK("Melting_Curves/meltCurve_P15529_16_CD46.pdf", "Melting_Curves/meltCurve_P15529_16_CD46.pdf")</f>
        <v>Melting_Curves/meltCurve_P15529_16_CD46.pdf</v>
      </c>
    </row>
    <row r="2184" spans="1:28" x14ac:dyDescent="0.25">
      <c r="A2184" t="s">
        <v>2188</v>
      </c>
      <c r="B2184">
        <v>0.99542014353169495</v>
      </c>
      <c r="C2184">
        <v>1.0347131778986201</v>
      </c>
      <c r="D2184">
        <v>1.0704230721969401</v>
      </c>
      <c r="E2184">
        <v>0.97375523227749705</v>
      </c>
      <c r="F2184">
        <v>0.87498884699201895</v>
      </c>
      <c r="G2184">
        <v>0.61846779448266298</v>
      </c>
      <c r="H2184">
        <v>0.54678995766540395</v>
      </c>
      <c r="I2184">
        <v>0.46085544701453901</v>
      </c>
      <c r="J2184">
        <v>0.57236655063291397</v>
      </c>
      <c r="K2184">
        <v>0.52153206756522796</v>
      </c>
      <c r="L2184">
        <v>1773.7074233214701</v>
      </c>
      <c r="M2184">
        <v>34.312499781307501</v>
      </c>
      <c r="O2184">
        <v>51.518114783776198</v>
      </c>
      <c r="P2184">
        <v>-7.9837427414350404E-2</v>
      </c>
      <c r="Q2184">
        <v>0.52051784411004198</v>
      </c>
      <c r="R2184">
        <v>0.97540286677093802</v>
      </c>
      <c r="S2184" t="s">
        <v>8586</v>
      </c>
      <c r="T2184" t="s">
        <v>12802</v>
      </c>
      <c r="U2184" t="s">
        <v>12802</v>
      </c>
      <c r="V2184" t="s">
        <v>12802</v>
      </c>
      <c r="W2184" t="s">
        <v>14944</v>
      </c>
      <c r="X2184">
        <v>12</v>
      </c>
      <c r="Y2184" t="s">
        <v>21229</v>
      </c>
      <c r="Z2184" t="s">
        <v>27502</v>
      </c>
      <c r="AA2184">
        <v>0.75766739985176501</v>
      </c>
      <c r="AB2184" t="str">
        <f>HYPERLINK("Melting_Curves/meltCurve_P15531_NME1.pdf", "Melting_Curves/meltCurve_P15531_NME1.pdf")</f>
        <v>Melting_Curves/meltCurve_P15531_NME1.pdf</v>
      </c>
    </row>
    <row r="2185" spans="1:28" x14ac:dyDescent="0.25">
      <c r="A2185" t="s">
        <v>2189</v>
      </c>
      <c r="B2185">
        <v>0.99542014353169495</v>
      </c>
      <c r="C2185">
        <v>1.1589191657255</v>
      </c>
      <c r="D2185">
        <v>0.84636911151804295</v>
      </c>
      <c r="E2185">
        <v>0.59761537148177601</v>
      </c>
      <c r="F2185">
        <v>0.45207241908001899</v>
      </c>
      <c r="G2185">
        <v>0.45801106473256498</v>
      </c>
      <c r="H2185">
        <v>0.27283672262257003</v>
      </c>
      <c r="I2185">
        <v>0.34631840948697501</v>
      </c>
      <c r="J2185">
        <v>0.409325376364091</v>
      </c>
      <c r="K2185">
        <v>0.498309220318293</v>
      </c>
      <c r="L2185">
        <v>1259.0760426245399</v>
      </c>
      <c r="M2185">
        <v>27.7766981110621</v>
      </c>
      <c r="N2185">
        <v>48.081477911586298</v>
      </c>
      <c r="O2185">
        <v>45.095508798540401</v>
      </c>
      <c r="P2185">
        <v>-9.2689759786983794E-2</v>
      </c>
      <c r="Q2185">
        <v>0.39807750135271303</v>
      </c>
      <c r="R2185">
        <v>0.919260100813865</v>
      </c>
      <c r="S2185" t="s">
        <v>8587</v>
      </c>
      <c r="T2185" t="s">
        <v>12802</v>
      </c>
      <c r="U2185" t="s">
        <v>12802</v>
      </c>
      <c r="V2185" t="s">
        <v>12802</v>
      </c>
      <c r="W2185" t="s">
        <v>14945</v>
      </c>
      <c r="X2185">
        <v>3</v>
      </c>
      <c r="Y2185" t="s">
        <v>21230</v>
      </c>
      <c r="Z2185" t="s">
        <v>27503</v>
      </c>
      <c r="AA2185">
        <v>0.56916128708963287</v>
      </c>
      <c r="AB2185" t="str">
        <f>HYPERLINK("Melting_Curves/meltCurve_P15848_ARSB.pdf", "Melting_Curves/meltCurve_P15848_ARSB.pdf")</f>
        <v>Melting_Curves/meltCurve_P15848_ARSB.pdf</v>
      </c>
    </row>
    <row r="2186" spans="1:28" x14ac:dyDescent="0.25">
      <c r="A2186" t="s">
        <v>2190</v>
      </c>
      <c r="B2186">
        <v>0.99542014353169495</v>
      </c>
      <c r="C2186">
        <v>1.0041189056067401</v>
      </c>
      <c r="D2186">
        <v>0.98710971642610301</v>
      </c>
      <c r="E2186">
        <v>0.75861174318693003</v>
      </c>
      <c r="F2186">
        <v>0.40332563421629403</v>
      </c>
      <c r="G2186">
        <v>0.15080602287363801</v>
      </c>
      <c r="H2186">
        <v>8.9972230778185794E-2</v>
      </c>
      <c r="I2186">
        <v>4.89525983268181E-2</v>
      </c>
      <c r="J2186">
        <v>5.3906757879375301E-2</v>
      </c>
      <c r="K2186">
        <v>6.5716322034096997E-2</v>
      </c>
      <c r="L2186">
        <v>1127.4600860512501</v>
      </c>
      <c r="M2186">
        <v>23.0359920355321</v>
      </c>
      <c r="N2186">
        <v>49.179774851564702</v>
      </c>
      <c r="O2186">
        <v>48.579055368444102</v>
      </c>
      <c r="P2186">
        <v>-0.11233890834178401</v>
      </c>
      <c r="Q2186">
        <v>5.2401732547579898E-2</v>
      </c>
      <c r="R2186">
        <v>0.99913492718656105</v>
      </c>
      <c r="S2186" t="s">
        <v>8588</v>
      </c>
      <c r="T2186" t="s">
        <v>12802</v>
      </c>
      <c r="U2186" t="s">
        <v>12802</v>
      </c>
      <c r="V2186" t="s">
        <v>12802</v>
      </c>
      <c r="W2186" t="s">
        <v>14946</v>
      </c>
      <c r="X2186">
        <v>15</v>
      </c>
      <c r="Y2186" t="s">
        <v>21231</v>
      </c>
      <c r="Z2186" t="s">
        <v>27504</v>
      </c>
      <c r="AA2186">
        <v>0.43923521818912808</v>
      </c>
      <c r="AB2186" t="str">
        <f>HYPERLINK("Melting_Curves/meltCurve_P15880_RPS2.pdf", "Melting_Curves/meltCurve_P15880_RPS2.pdf")</f>
        <v>Melting_Curves/meltCurve_P15880_RPS2.pdf</v>
      </c>
    </row>
    <row r="2187" spans="1:28" x14ac:dyDescent="0.25">
      <c r="A2187" t="s">
        <v>2191</v>
      </c>
      <c r="B2187">
        <v>0.99542014353169495</v>
      </c>
      <c r="C2187">
        <v>0.90350150923648198</v>
      </c>
      <c r="D2187">
        <v>0.84925756863182</v>
      </c>
      <c r="E2187">
        <v>0.73124218676090302</v>
      </c>
      <c r="F2187">
        <v>0.53759623199971796</v>
      </c>
      <c r="G2187">
        <v>0.17083660091304501</v>
      </c>
      <c r="H2187">
        <v>8.6259719763844597E-2</v>
      </c>
      <c r="I2187">
        <v>6.7996454232816195E-2</v>
      </c>
      <c r="J2187">
        <v>0.10384280728784299</v>
      </c>
      <c r="K2187">
        <v>0.113337846477837</v>
      </c>
      <c r="L2187">
        <v>777.16573540126001</v>
      </c>
      <c r="M2187">
        <v>15.790070721537701</v>
      </c>
      <c r="N2187">
        <v>49.532836533763501</v>
      </c>
      <c r="O2187">
        <v>48.449497339945701</v>
      </c>
      <c r="P2187">
        <v>-7.7600664521602705E-2</v>
      </c>
      <c r="Q2187">
        <v>4.76540852823161E-2</v>
      </c>
      <c r="R2187">
        <v>0.97813695003620005</v>
      </c>
      <c r="S2187" t="s">
        <v>8589</v>
      </c>
      <c r="T2187" t="s">
        <v>12802</v>
      </c>
      <c r="U2187" t="s">
        <v>12802</v>
      </c>
      <c r="V2187" t="s">
        <v>12802</v>
      </c>
      <c r="W2187" t="s">
        <v>14947</v>
      </c>
      <c r="X2187">
        <v>5</v>
      </c>
      <c r="Y2187" t="s">
        <v>21232</v>
      </c>
      <c r="Z2187" t="s">
        <v>27505</v>
      </c>
      <c r="AA2187">
        <v>0.45432598100043758</v>
      </c>
      <c r="AB2187" t="str">
        <f>HYPERLINK("Melting_Curves/meltCurve_P15907_ST6GAL1.pdf", "Melting_Curves/meltCurve_P15907_ST6GAL1.pdf")</f>
        <v>Melting_Curves/meltCurve_P15907_ST6GAL1.pdf</v>
      </c>
    </row>
    <row r="2188" spans="1:28" x14ac:dyDescent="0.25">
      <c r="A2188" t="s">
        <v>2192</v>
      </c>
      <c r="B2188">
        <v>0.99542014353169495</v>
      </c>
      <c r="C2188">
        <v>0.87523216345050003</v>
      </c>
      <c r="D2188">
        <v>0.78809111286080302</v>
      </c>
      <c r="E2188">
        <v>0.43559590656411801</v>
      </c>
      <c r="F2188">
        <v>0.21746901954268499</v>
      </c>
      <c r="G2188">
        <v>0.113132200687736</v>
      </c>
      <c r="H2188">
        <v>7.2001266524231305E-2</v>
      </c>
      <c r="I2188">
        <v>4.5094767347572298E-2</v>
      </c>
      <c r="J2188">
        <v>6.4237410173505594E-2</v>
      </c>
      <c r="K2188">
        <v>9.98681239804452E-2</v>
      </c>
      <c r="L2188">
        <v>799.70968058367498</v>
      </c>
      <c r="M2188">
        <v>17.534146728366899</v>
      </c>
      <c r="N2188">
        <v>45.9315296313871</v>
      </c>
      <c r="O2188">
        <v>45.027867523497399</v>
      </c>
      <c r="P2188">
        <v>-9.1712860595149007E-2</v>
      </c>
      <c r="Q2188">
        <v>5.7973269559100801E-2</v>
      </c>
      <c r="R2188">
        <v>0.99516359456450598</v>
      </c>
      <c r="S2188" t="s">
        <v>8590</v>
      </c>
      <c r="T2188" t="s">
        <v>12802</v>
      </c>
      <c r="U2188" t="s">
        <v>12802</v>
      </c>
      <c r="V2188" t="s">
        <v>12802</v>
      </c>
      <c r="W2188" t="s">
        <v>14948</v>
      </c>
      <c r="X2188">
        <v>8</v>
      </c>
      <c r="Y2188" t="s">
        <v>21233</v>
      </c>
      <c r="Z2188" t="s">
        <v>27506</v>
      </c>
      <c r="AA2188">
        <v>0.34441858780401519</v>
      </c>
      <c r="AB2188" t="str">
        <f>HYPERLINK("Melting_Curves/meltCurve_P15923_TCF3.pdf", "Melting_Curves/meltCurve_P15923_TCF3.pdf")</f>
        <v>Melting_Curves/meltCurve_P15923_TCF3.pdf</v>
      </c>
    </row>
    <row r="2189" spans="1:28" x14ac:dyDescent="0.25">
      <c r="A2189" t="s">
        <v>2193</v>
      </c>
      <c r="B2189">
        <v>0.99542014353169495</v>
      </c>
      <c r="C2189">
        <v>1.0881989313118501</v>
      </c>
      <c r="D2189">
        <v>0.92660013856560297</v>
      </c>
      <c r="E2189">
        <v>0.74307423266341999</v>
      </c>
      <c r="F2189">
        <v>0.42275377878013798</v>
      </c>
      <c r="G2189">
        <v>0.26439225613278899</v>
      </c>
      <c r="H2189">
        <v>0.15233839589649201</v>
      </c>
      <c r="I2189">
        <v>0.121953361492044</v>
      </c>
      <c r="J2189">
        <v>0.15121498313489701</v>
      </c>
      <c r="K2189">
        <v>0.134484072736545</v>
      </c>
      <c r="L2189">
        <v>987.46114968735799</v>
      </c>
      <c r="M2189">
        <v>20.307244410670599</v>
      </c>
      <c r="N2189">
        <v>49.353877917366503</v>
      </c>
      <c r="O2189">
        <v>48.161882287752398</v>
      </c>
      <c r="P2189">
        <v>-9.1774466861678894E-2</v>
      </c>
      <c r="Q2189">
        <v>0.129395318522463</v>
      </c>
      <c r="R2189">
        <v>0.99176316527818298</v>
      </c>
      <c r="S2189" t="s">
        <v>8591</v>
      </c>
      <c r="T2189" t="s">
        <v>12802</v>
      </c>
      <c r="U2189" t="s">
        <v>12802</v>
      </c>
      <c r="V2189" t="s">
        <v>12802</v>
      </c>
      <c r="W2189" t="s">
        <v>14949</v>
      </c>
      <c r="X2189">
        <v>7</v>
      </c>
      <c r="Y2189" t="s">
        <v>21233</v>
      </c>
      <c r="Z2189" t="s">
        <v>27507</v>
      </c>
      <c r="AA2189">
        <v>0.47792677168908743</v>
      </c>
      <c r="AB2189" t="str">
        <f>HYPERLINK("Melting_Curves/meltCurve_P15923_2_TCF3.pdf", "Melting_Curves/meltCurve_P15923_2_TCF3.pdf")</f>
        <v>Melting_Curves/meltCurve_P15923_2_TCF3.pdf</v>
      </c>
    </row>
    <row r="2190" spans="1:28" x14ac:dyDescent="0.25">
      <c r="A2190" t="s">
        <v>2194</v>
      </c>
      <c r="B2190">
        <v>0.99542014353169495</v>
      </c>
      <c r="C2190">
        <v>1.0165740951747999</v>
      </c>
      <c r="D2190">
        <v>1.04333032645111</v>
      </c>
      <c r="E2190">
        <v>1.00159739188145</v>
      </c>
      <c r="F2190">
        <v>0.78102159318768405</v>
      </c>
      <c r="G2190">
        <v>0.64460259523548202</v>
      </c>
      <c r="H2190">
        <v>0.45592766058705297</v>
      </c>
      <c r="I2190">
        <v>0.19191392971565599</v>
      </c>
      <c r="J2190">
        <v>8.4189375324291396E-2</v>
      </c>
      <c r="K2190">
        <v>9.0220289453873198E-2</v>
      </c>
      <c r="L2190">
        <v>852.10081117912603</v>
      </c>
      <c r="M2190">
        <v>15.2485534842601</v>
      </c>
      <c r="N2190">
        <v>55.880764170821898</v>
      </c>
      <c r="O2190">
        <v>54.946133070583699</v>
      </c>
      <c r="P2190">
        <v>-6.9386129133749794E-2</v>
      </c>
      <c r="Q2190">
        <v>0</v>
      </c>
      <c r="R2190">
        <v>0.98900461323565103</v>
      </c>
      <c r="S2190" t="s">
        <v>8592</v>
      </c>
      <c r="T2190" t="s">
        <v>12802</v>
      </c>
      <c r="U2190" t="s">
        <v>12802</v>
      </c>
      <c r="V2190" t="s">
        <v>12802</v>
      </c>
      <c r="W2190" t="s">
        <v>14950</v>
      </c>
      <c r="X2190">
        <v>9</v>
      </c>
      <c r="Y2190" t="s">
        <v>21234</v>
      </c>
      <c r="Z2190" t="s">
        <v>27508</v>
      </c>
      <c r="AA2190">
        <v>0.64117492959228506</v>
      </c>
      <c r="AB2190" t="str">
        <f>HYPERLINK("Melting_Curves/meltCurve_P15927_RPA2.pdf", "Melting_Curves/meltCurve_P15927_RPA2.pdf")</f>
        <v>Melting_Curves/meltCurve_P15927_RPA2.pdf</v>
      </c>
    </row>
    <row r="2191" spans="1:28" x14ac:dyDescent="0.25">
      <c r="A2191" t="s">
        <v>2195</v>
      </c>
      <c r="B2191">
        <v>0.99542014353169495</v>
      </c>
      <c r="C2191">
        <v>1.0422525572050401</v>
      </c>
      <c r="D2191">
        <v>1.03114225269922</v>
      </c>
      <c r="E2191">
        <v>1.01649459038948</v>
      </c>
      <c r="F2191">
        <v>0.95490536956407202</v>
      </c>
      <c r="G2191">
        <v>0.67412686392255705</v>
      </c>
      <c r="H2191">
        <v>0.555849173692884</v>
      </c>
      <c r="I2191">
        <v>0.50221346192829097</v>
      </c>
      <c r="J2191">
        <v>0.67823583212692695</v>
      </c>
      <c r="K2191">
        <v>0.83276576930041502</v>
      </c>
      <c r="L2191">
        <v>3365.21518628782</v>
      </c>
      <c r="M2191">
        <v>65.063508031267105</v>
      </c>
      <c r="O2191">
        <v>51.6732113265398</v>
      </c>
      <c r="P2191">
        <v>-0.112345873953722</v>
      </c>
      <c r="Q2191">
        <v>0.64310129986889597</v>
      </c>
      <c r="R2191">
        <v>0.82742072705044201</v>
      </c>
      <c r="S2191" t="s">
        <v>8593</v>
      </c>
      <c r="T2191" t="s">
        <v>12802</v>
      </c>
      <c r="U2191" t="s">
        <v>12802</v>
      </c>
      <c r="V2191" t="s">
        <v>12802</v>
      </c>
      <c r="W2191" t="s">
        <v>14951</v>
      </c>
      <c r="X2191">
        <v>7</v>
      </c>
      <c r="Y2191" t="s">
        <v>21235</v>
      </c>
      <c r="Z2191" t="s">
        <v>27509</v>
      </c>
      <c r="AA2191">
        <v>0.81872322503326367</v>
      </c>
      <c r="AB2191" t="str">
        <f>HYPERLINK("Melting_Curves/meltCurve_P16150_SPN.pdf", "Melting_Curves/meltCurve_P16150_SPN.pdf")</f>
        <v>Melting_Curves/meltCurve_P16150_SPN.pdf</v>
      </c>
    </row>
    <row r="2192" spans="1:28" x14ac:dyDescent="0.25">
      <c r="A2192" t="s">
        <v>2196</v>
      </c>
      <c r="B2192">
        <v>0.99542014353169495</v>
      </c>
      <c r="C2192">
        <v>1.0506177508756001</v>
      </c>
      <c r="D2192">
        <v>0.91996715906761894</v>
      </c>
      <c r="E2192">
        <v>0.91988852456818004</v>
      </c>
      <c r="F2192">
        <v>0.71909477139508204</v>
      </c>
      <c r="G2192">
        <v>0.54025823633623904</v>
      </c>
      <c r="H2192">
        <v>0.22269532596783501</v>
      </c>
      <c r="I2192">
        <v>9.6527978461730599E-2</v>
      </c>
      <c r="J2192">
        <v>0.10501176822245301</v>
      </c>
      <c r="K2192">
        <v>9.2351767806235399E-2</v>
      </c>
      <c r="L2192">
        <v>891.37885927977595</v>
      </c>
      <c r="M2192">
        <v>16.725294067606999</v>
      </c>
      <c r="N2192">
        <v>53.526367055612099</v>
      </c>
      <c r="O2192">
        <v>52.550854971075601</v>
      </c>
      <c r="P2192">
        <v>-7.6800580513372907E-2</v>
      </c>
      <c r="Q2192">
        <v>3.4834256531022102E-2</v>
      </c>
      <c r="R2192">
        <v>0.98952295928596701</v>
      </c>
      <c r="S2192" t="s">
        <v>8594</v>
      </c>
      <c r="T2192" t="s">
        <v>12802</v>
      </c>
      <c r="U2192" t="s">
        <v>12802</v>
      </c>
      <c r="V2192" t="s">
        <v>12802</v>
      </c>
      <c r="W2192" t="s">
        <v>14952</v>
      </c>
      <c r="X2192">
        <v>18</v>
      </c>
      <c r="Y2192" t="s">
        <v>21236</v>
      </c>
      <c r="Z2192" t="s">
        <v>27510</v>
      </c>
      <c r="AA2192">
        <v>0.57415166169792731</v>
      </c>
      <c r="AB2192" t="str">
        <f>HYPERLINK("Melting_Curves/meltCurve_P16152_CBR1.pdf", "Melting_Curves/meltCurve_P16152_CBR1.pdf")</f>
        <v>Melting_Curves/meltCurve_P16152_CBR1.pdf</v>
      </c>
    </row>
    <row r="2193" spans="1:28" x14ac:dyDescent="0.25">
      <c r="A2193" t="s">
        <v>2197</v>
      </c>
      <c r="B2193">
        <v>0.99542014353169495</v>
      </c>
      <c r="C2193">
        <v>0.91708143208152204</v>
      </c>
      <c r="D2193">
        <v>0.89479033786739304</v>
      </c>
      <c r="E2193">
        <v>0.30503104518748198</v>
      </c>
      <c r="F2193">
        <v>0.14355764934756499</v>
      </c>
      <c r="G2193">
        <v>8.6878640676004704E-2</v>
      </c>
      <c r="H2193">
        <v>6.0771334043426203E-2</v>
      </c>
      <c r="I2193">
        <v>4.4259958593667E-2</v>
      </c>
      <c r="J2193">
        <v>5.0991615512630303E-2</v>
      </c>
      <c r="K2193">
        <v>5.86013112373387E-2</v>
      </c>
      <c r="L2193">
        <v>1560.4585016850999</v>
      </c>
      <c r="M2193">
        <v>34.454374158396703</v>
      </c>
      <c r="N2193">
        <v>45.477892792196698</v>
      </c>
      <c r="O2193">
        <v>45.138798219172799</v>
      </c>
      <c r="P2193">
        <v>-0.17820195331260999</v>
      </c>
      <c r="Q2193">
        <v>6.6150994680301695E-2</v>
      </c>
      <c r="R2193">
        <v>0.99358624122832495</v>
      </c>
      <c r="S2193" t="s">
        <v>8595</v>
      </c>
      <c r="T2193" t="s">
        <v>12802</v>
      </c>
      <c r="U2193" t="s">
        <v>12802</v>
      </c>
      <c r="V2193" t="s">
        <v>12802</v>
      </c>
      <c r="W2193" t="s">
        <v>14953</v>
      </c>
      <c r="X2193">
        <v>49</v>
      </c>
      <c r="Y2193" t="s">
        <v>21237</v>
      </c>
      <c r="Z2193" t="s">
        <v>27511</v>
      </c>
      <c r="AA2193">
        <v>0.32818658367968773</v>
      </c>
      <c r="AB2193" t="str">
        <f>HYPERLINK("Melting_Curves/meltCurve_P16157_10_ANK1.pdf", "Melting_Curves/meltCurve_P16157_10_ANK1.pdf")</f>
        <v>Melting_Curves/meltCurve_P16157_10_ANK1.pdf</v>
      </c>
    </row>
    <row r="2194" spans="1:28" x14ac:dyDescent="0.25">
      <c r="A2194" t="s">
        <v>2198</v>
      </c>
      <c r="B2194">
        <v>0.99542014353169495</v>
      </c>
      <c r="C2194">
        <v>0.82558678210024605</v>
      </c>
      <c r="D2194">
        <v>0.771391151708546</v>
      </c>
      <c r="E2194">
        <v>0.59155133526025205</v>
      </c>
      <c r="F2194">
        <v>0.50087152240539101</v>
      </c>
      <c r="G2194">
        <v>0.31426254364876</v>
      </c>
      <c r="H2194">
        <v>0.117583155777761</v>
      </c>
      <c r="I2194">
        <v>7.7162750182308101E-2</v>
      </c>
      <c r="J2194">
        <v>5.7002610666917801E-2</v>
      </c>
      <c r="K2194">
        <v>5.6516669947147401E-2</v>
      </c>
      <c r="L2194">
        <v>484.05468102279201</v>
      </c>
      <c r="M2194">
        <v>9.9553822671714904</v>
      </c>
      <c r="N2194">
        <v>48.622390285587599</v>
      </c>
      <c r="O2194">
        <v>46.782594022861602</v>
      </c>
      <c r="P2194">
        <v>-5.3226569933909201E-2</v>
      </c>
      <c r="Q2194">
        <v>0</v>
      </c>
      <c r="R2194">
        <v>0.98181605288758</v>
      </c>
      <c r="S2194" t="s">
        <v>8596</v>
      </c>
      <c r="T2194" t="s">
        <v>12802</v>
      </c>
      <c r="U2194" t="s">
        <v>12802</v>
      </c>
      <c r="V2194" t="s">
        <v>12802</v>
      </c>
      <c r="W2194" t="s">
        <v>14954</v>
      </c>
      <c r="X2194">
        <v>6</v>
      </c>
      <c r="Y2194" t="s">
        <v>21238</v>
      </c>
      <c r="Z2194" t="s">
        <v>27512</v>
      </c>
      <c r="AA2194">
        <v>0.42590222432907848</v>
      </c>
      <c r="AB2194" t="str">
        <f>HYPERLINK("Melting_Curves/meltCurve_P16219_ACADS.pdf", "Melting_Curves/meltCurve_P16219_ACADS.pdf")</f>
        <v>Melting_Curves/meltCurve_P16219_ACADS.pdf</v>
      </c>
    </row>
    <row r="2195" spans="1:28" x14ac:dyDescent="0.25">
      <c r="A2195" t="s">
        <v>2199</v>
      </c>
      <c r="B2195">
        <v>0.99542014353169495</v>
      </c>
      <c r="C2195">
        <v>1.43442742193435</v>
      </c>
      <c r="D2195">
        <v>1.2861876349058201</v>
      </c>
      <c r="E2195">
        <v>0.86959853725256397</v>
      </c>
      <c r="F2195">
        <v>0.26050558055691703</v>
      </c>
      <c r="G2195">
        <v>0.29850943203053498</v>
      </c>
      <c r="H2195">
        <v>0.27172192270427697</v>
      </c>
      <c r="I2195">
        <v>0.17854229904515201</v>
      </c>
      <c r="J2195">
        <v>0</v>
      </c>
      <c r="K2195">
        <v>0</v>
      </c>
      <c r="L2195">
        <v>2290.1459935315202</v>
      </c>
      <c r="M2195">
        <v>47.380829230529699</v>
      </c>
      <c r="N2195">
        <v>48.690186140720797</v>
      </c>
      <c r="O2195">
        <v>48.2489980139446</v>
      </c>
      <c r="P2195">
        <v>-0.20961944730917001</v>
      </c>
      <c r="Q2195">
        <v>0.146159510430942</v>
      </c>
      <c r="R2195">
        <v>0.86385781774266202</v>
      </c>
      <c r="S2195" t="s">
        <v>8597</v>
      </c>
      <c r="T2195" t="s">
        <v>12802</v>
      </c>
      <c r="U2195" t="s">
        <v>12802</v>
      </c>
      <c r="V2195" t="s">
        <v>12802</v>
      </c>
      <c r="W2195" t="s">
        <v>14955</v>
      </c>
      <c r="X2195">
        <v>5</v>
      </c>
      <c r="Y2195" t="s">
        <v>21239</v>
      </c>
      <c r="Z2195" t="s">
        <v>27513</v>
      </c>
      <c r="AA2195">
        <v>0.47079354928891393</v>
      </c>
      <c r="AB2195" t="str">
        <f>HYPERLINK("Melting_Curves/meltCurve_P16220_2_CREB1.pdf", "Melting_Curves/meltCurve_P16220_2_CREB1.pdf")</f>
        <v>Melting_Curves/meltCurve_P16220_2_CREB1.pdf</v>
      </c>
    </row>
    <row r="2196" spans="1:28" x14ac:dyDescent="0.25">
      <c r="A2196" t="s">
        <v>2200</v>
      </c>
      <c r="B2196">
        <v>0.99542014353169495</v>
      </c>
      <c r="C2196">
        <v>0.97513856470761395</v>
      </c>
      <c r="D2196">
        <v>0.92218306249610305</v>
      </c>
      <c r="E2196">
        <v>0.90214718559954599</v>
      </c>
      <c r="F2196">
        <v>0.70437107492315398</v>
      </c>
      <c r="G2196">
        <v>0.45321675062905198</v>
      </c>
      <c r="H2196">
        <v>0.38096609518105901</v>
      </c>
      <c r="I2196">
        <v>0.30318356590854501</v>
      </c>
      <c r="J2196">
        <v>0.34963336054361799</v>
      </c>
      <c r="K2196">
        <v>0.37023734767965299</v>
      </c>
      <c r="L2196">
        <v>1088.9583086257601</v>
      </c>
      <c r="M2196">
        <v>21.583193595983801</v>
      </c>
      <c r="N2196">
        <v>53.137541151855899</v>
      </c>
      <c r="O2196">
        <v>50.026850262283197</v>
      </c>
      <c r="P2196">
        <v>-7.2062720189429497E-2</v>
      </c>
      <c r="Q2196">
        <v>0.33189041508582401</v>
      </c>
      <c r="R2196">
        <v>0.98892690585951104</v>
      </c>
      <c r="S2196" t="s">
        <v>8598</v>
      </c>
      <c r="T2196" t="s">
        <v>12802</v>
      </c>
      <c r="U2196" t="s">
        <v>12802</v>
      </c>
      <c r="V2196" t="s">
        <v>12802</v>
      </c>
      <c r="W2196" t="s">
        <v>14956</v>
      </c>
      <c r="X2196">
        <v>6</v>
      </c>
      <c r="Y2196" t="s">
        <v>21240</v>
      </c>
      <c r="Z2196" t="s">
        <v>27514</v>
      </c>
      <c r="AA2196">
        <v>0.63920228495098386</v>
      </c>
      <c r="AB2196" t="str">
        <f>HYPERLINK("Melting_Curves/meltCurve_P16284_3_PECAM1.pdf", "Melting_Curves/meltCurve_P16284_3_PECAM1.pdf")</f>
        <v>Melting_Curves/meltCurve_P16284_3_PECAM1.pdf</v>
      </c>
    </row>
    <row r="2197" spans="1:28" x14ac:dyDescent="0.25">
      <c r="A2197" t="s">
        <v>2201</v>
      </c>
      <c r="B2197">
        <v>0.99542014353169495</v>
      </c>
      <c r="C2197">
        <v>1.0035130555770899</v>
      </c>
      <c r="D2197">
        <v>0.95376049166721399</v>
      </c>
      <c r="E2197">
        <v>0.86910659892904696</v>
      </c>
      <c r="F2197">
        <v>0.66946385270105602</v>
      </c>
      <c r="G2197">
        <v>0.29251950780075597</v>
      </c>
      <c r="H2197">
        <v>0.14850157513214801</v>
      </c>
      <c r="I2197">
        <v>9.6285850416719998E-2</v>
      </c>
      <c r="J2197">
        <v>8.9312887778758301E-2</v>
      </c>
      <c r="K2197">
        <v>9.3865456977390002E-2</v>
      </c>
      <c r="L2197">
        <v>1115.7607674594401</v>
      </c>
      <c r="M2197">
        <v>21.7964977307971</v>
      </c>
      <c r="N2197">
        <v>51.5729436940006</v>
      </c>
      <c r="O2197">
        <v>50.764862766155197</v>
      </c>
      <c r="P2197">
        <v>-9.9321250658466503E-2</v>
      </c>
      <c r="Q2197">
        <v>7.47296149007914E-2</v>
      </c>
      <c r="R2197">
        <v>0.99732129645586198</v>
      </c>
      <c r="S2197" t="s">
        <v>8599</v>
      </c>
      <c r="T2197" t="s">
        <v>12802</v>
      </c>
      <c r="U2197" t="s">
        <v>12802</v>
      </c>
      <c r="V2197" t="s">
        <v>12802</v>
      </c>
      <c r="W2197" t="s">
        <v>14957</v>
      </c>
      <c r="X2197">
        <v>9</v>
      </c>
      <c r="Y2197" t="s">
        <v>21241</v>
      </c>
      <c r="Z2197" t="s">
        <v>27515</v>
      </c>
      <c r="AA2197">
        <v>0.52283253344280112</v>
      </c>
      <c r="AB2197" t="str">
        <f>HYPERLINK("Melting_Curves/meltCurve_P16298_PPP3CB.pdf", "Melting_Curves/meltCurve_P16298_PPP3CB.pdf")</f>
        <v>Melting_Curves/meltCurve_P16298_PPP3CB.pdf</v>
      </c>
    </row>
    <row r="2198" spans="1:28" x14ac:dyDescent="0.25">
      <c r="A2198" t="s">
        <v>2202</v>
      </c>
      <c r="B2198">
        <v>0.99542014353169495</v>
      </c>
      <c r="C2198">
        <v>0.93811166155235304</v>
      </c>
      <c r="D2198">
        <v>0.98558657240551395</v>
      </c>
      <c r="E2198">
        <v>0.62943127692271805</v>
      </c>
      <c r="F2198">
        <v>0.37853092642891201</v>
      </c>
      <c r="G2198">
        <v>0.26111459396782499</v>
      </c>
      <c r="H2198">
        <v>0.175472338645936</v>
      </c>
      <c r="I2198">
        <v>0.14348655147598699</v>
      </c>
      <c r="J2198">
        <v>0.166885174919637</v>
      </c>
      <c r="K2198">
        <v>0.18957839758279799</v>
      </c>
      <c r="L2198">
        <v>1022.3916018828299</v>
      </c>
      <c r="M2198">
        <v>21.5385910358983</v>
      </c>
      <c r="N2198">
        <v>48.392461236201697</v>
      </c>
      <c r="O2198">
        <v>47.0643984982474</v>
      </c>
      <c r="P2198">
        <v>-9.5114437078872696E-2</v>
      </c>
      <c r="Q2198">
        <v>0.16867449922496</v>
      </c>
      <c r="R2198">
        <v>0.99101393276471506</v>
      </c>
      <c r="S2198" t="s">
        <v>8600</v>
      </c>
      <c r="T2198" t="s">
        <v>12802</v>
      </c>
      <c r="U2198" t="s">
        <v>12802</v>
      </c>
      <c r="V2198" t="s">
        <v>12802</v>
      </c>
      <c r="W2198" t="s">
        <v>14958</v>
      </c>
      <c r="X2198">
        <v>6</v>
      </c>
      <c r="Y2198" t="s">
        <v>21242</v>
      </c>
      <c r="Z2198" t="s">
        <v>27516</v>
      </c>
      <c r="AA2198">
        <v>0.46818839362470421</v>
      </c>
      <c r="AB2198" t="str">
        <f>HYPERLINK("Melting_Curves/meltCurve_P16333_NCK1.pdf", "Melting_Curves/meltCurve_P16333_NCK1.pdf")</f>
        <v>Melting_Curves/meltCurve_P16333_NCK1.pdf</v>
      </c>
    </row>
    <row r="2199" spans="1:28" x14ac:dyDescent="0.25">
      <c r="A2199" t="s">
        <v>2203</v>
      </c>
      <c r="B2199">
        <v>0.99542014353169495</v>
      </c>
      <c r="C2199">
        <v>0.974258417078256</v>
      </c>
      <c r="D2199">
        <v>0.85814286565622999</v>
      </c>
      <c r="E2199">
        <v>0.448882298878303</v>
      </c>
      <c r="F2199">
        <v>0.32044534155271298</v>
      </c>
      <c r="G2199">
        <v>0.22073294060582199</v>
      </c>
      <c r="H2199">
        <v>0.16117339393167801</v>
      </c>
      <c r="I2199">
        <v>0.13830828963986699</v>
      </c>
      <c r="J2199">
        <v>0.18547125327837</v>
      </c>
      <c r="K2199">
        <v>0.23426752976225301</v>
      </c>
      <c r="L2199">
        <v>1075.17365612034</v>
      </c>
      <c r="M2199">
        <v>23.626357543219601</v>
      </c>
      <c r="N2199">
        <v>46.433008422401599</v>
      </c>
      <c r="O2199">
        <v>45.1851033603266</v>
      </c>
      <c r="P2199">
        <v>-0.10617157711698</v>
      </c>
      <c r="Q2199">
        <v>0.18780620730679501</v>
      </c>
      <c r="R2199">
        <v>0.99053999962189698</v>
      </c>
      <c r="S2199" t="s">
        <v>8601</v>
      </c>
      <c r="T2199" t="s">
        <v>12802</v>
      </c>
      <c r="U2199" t="s">
        <v>12802</v>
      </c>
      <c r="V2199" t="s">
        <v>12802</v>
      </c>
      <c r="W2199" t="s">
        <v>14959</v>
      </c>
      <c r="X2199">
        <v>8</v>
      </c>
      <c r="Y2199" t="s">
        <v>21243</v>
      </c>
      <c r="Z2199" t="s">
        <v>27517</v>
      </c>
      <c r="AA2199">
        <v>0.425653962358018</v>
      </c>
      <c r="AB2199" t="str">
        <f>HYPERLINK("Melting_Curves/meltCurve_P16383_GCFC2.pdf", "Melting_Curves/meltCurve_P16383_GCFC2.pdf")</f>
        <v>Melting_Curves/meltCurve_P16383_GCFC2.pdf</v>
      </c>
    </row>
    <row r="2200" spans="1:28" x14ac:dyDescent="0.25">
      <c r="A2200" t="s">
        <v>2204</v>
      </c>
      <c r="B2200">
        <v>0.99542014353169495</v>
      </c>
      <c r="C2200">
        <v>0.97182131929857596</v>
      </c>
      <c r="D2200">
        <v>1.0185888348707901</v>
      </c>
      <c r="E2200">
        <v>0.82117990437342303</v>
      </c>
      <c r="F2200">
        <v>0.65258583143148496</v>
      </c>
      <c r="G2200">
        <v>0.36708116041723099</v>
      </c>
      <c r="H2200">
        <v>0.27237340144758398</v>
      </c>
      <c r="I2200">
        <v>0.17281022559897699</v>
      </c>
      <c r="J2200">
        <v>0.210197864901847</v>
      </c>
      <c r="K2200">
        <v>0.256621290319694</v>
      </c>
      <c r="L2200">
        <v>996.41058516876603</v>
      </c>
      <c r="M2200">
        <v>19.7579042198007</v>
      </c>
      <c r="N2200">
        <v>51.7758415028364</v>
      </c>
      <c r="O2200">
        <v>49.9229155579973</v>
      </c>
      <c r="P2200">
        <v>-7.9085887464393295E-2</v>
      </c>
      <c r="Q2200">
        <v>0.20071245425890599</v>
      </c>
      <c r="R2200">
        <v>0.98985982498538005</v>
      </c>
      <c r="S2200" t="s">
        <v>8602</v>
      </c>
      <c r="T2200" t="s">
        <v>12802</v>
      </c>
      <c r="U2200" t="s">
        <v>12802</v>
      </c>
      <c r="V2200" t="s">
        <v>12802</v>
      </c>
      <c r="W2200" t="s">
        <v>14960</v>
      </c>
      <c r="X2200">
        <v>8</v>
      </c>
      <c r="Y2200" t="s">
        <v>21244</v>
      </c>
      <c r="Z2200" t="s">
        <v>27518</v>
      </c>
      <c r="AA2200">
        <v>0.56928203230490593</v>
      </c>
      <c r="AB2200" t="str">
        <f>HYPERLINK("Melting_Curves/meltCurve_P16401_HIST1H1B.pdf", "Melting_Curves/meltCurve_P16401_HIST1H1B.pdf")</f>
        <v>Melting_Curves/meltCurve_P16401_HIST1H1B.pdf</v>
      </c>
    </row>
    <row r="2201" spans="1:28" x14ac:dyDescent="0.25">
      <c r="A2201" t="s">
        <v>2205</v>
      </c>
      <c r="B2201">
        <v>0.99542014353169495</v>
      </c>
      <c r="C2201">
        <v>0.89469488753711801</v>
      </c>
      <c r="D2201">
        <v>0.96762106076752696</v>
      </c>
      <c r="E2201">
        <v>0.79166348330349201</v>
      </c>
      <c r="F2201">
        <v>0.62462681457761604</v>
      </c>
      <c r="G2201">
        <v>0.28368973141569298</v>
      </c>
      <c r="H2201">
        <v>9.9166490783137898E-2</v>
      </c>
      <c r="I2201">
        <v>6.26375243019755E-2</v>
      </c>
      <c r="J2201">
        <v>7.1842379407442397E-2</v>
      </c>
      <c r="K2201">
        <v>7.9461918996069802E-2</v>
      </c>
      <c r="L2201">
        <v>904.96484327022199</v>
      </c>
      <c r="M2201">
        <v>17.8118459026031</v>
      </c>
      <c r="N2201">
        <v>51.003641049147902</v>
      </c>
      <c r="O2201">
        <v>50.1794852448147</v>
      </c>
      <c r="P2201">
        <v>-8.5799095809435302E-2</v>
      </c>
      <c r="Q2201">
        <v>3.3197785601560399E-2</v>
      </c>
      <c r="R2201">
        <v>0.98730444724404198</v>
      </c>
      <c r="S2201" t="s">
        <v>8603</v>
      </c>
      <c r="T2201" t="s">
        <v>12802</v>
      </c>
      <c r="U2201" t="s">
        <v>12802</v>
      </c>
      <c r="V2201" t="s">
        <v>12802</v>
      </c>
      <c r="W2201" t="s">
        <v>14961</v>
      </c>
      <c r="X2201">
        <v>33</v>
      </c>
      <c r="Y2201" t="s">
        <v>21245</v>
      </c>
      <c r="Z2201" t="s">
        <v>27519</v>
      </c>
      <c r="AA2201">
        <v>0.49344802935385251</v>
      </c>
      <c r="AB2201" t="str">
        <f>HYPERLINK("Melting_Curves/meltCurve_P16435_POR.pdf", "Melting_Curves/meltCurve_P16435_POR.pdf")</f>
        <v>Melting_Curves/meltCurve_P16435_POR.pdf</v>
      </c>
    </row>
    <row r="2202" spans="1:28" x14ac:dyDescent="0.25">
      <c r="A2202" t="s">
        <v>2206</v>
      </c>
      <c r="B2202">
        <v>0.99542014353169495</v>
      </c>
      <c r="C2202">
        <v>1.0078668782707501</v>
      </c>
      <c r="D2202">
        <v>0.98187918966305199</v>
      </c>
      <c r="E2202">
        <v>0.59304135277957304</v>
      </c>
      <c r="F2202">
        <v>0.26573929680957398</v>
      </c>
      <c r="G2202">
        <v>0.16928140361841501</v>
      </c>
      <c r="H2202">
        <v>0.16549298388744199</v>
      </c>
      <c r="I2202">
        <v>0.14098482218382899</v>
      </c>
      <c r="J2202">
        <v>0.173733123420656</v>
      </c>
      <c r="K2202">
        <v>0.18034036342586901</v>
      </c>
      <c r="L2202">
        <v>1547.66003743283</v>
      </c>
      <c r="M2202">
        <v>33.105715784002697</v>
      </c>
      <c r="N2202">
        <v>47.3276870494877</v>
      </c>
      <c r="O2202">
        <v>46.579440240619299</v>
      </c>
      <c r="P2202">
        <v>-0.14811187747144799</v>
      </c>
      <c r="Q2202">
        <v>0.16643542847326601</v>
      </c>
      <c r="R2202">
        <v>0.998215213562896</v>
      </c>
      <c r="S2202" t="s">
        <v>8604</v>
      </c>
      <c r="T2202" t="s">
        <v>12802</v>
      </c>
      <c r="U2202" t="s">
        <v>12802</v>
      </c>
      <c r="V2202" t="s">
        <v>12802</v>
      </c>
      <c r="W2202" t="s">
        <v>14962</v>
      </c>
      <c r="X2202">
        <v>9</v>
      </c>
      <c r="Y2202" t="s">
        <v>21246</v>
      </c>
      <c r="Z2202" t="s">
        <v>27520</v>
      </c>
      <c r="AA2202">
        <v>0.44126645624160299</v>
      </c>
      <c r="AB2202" t="str">
        <f>HYPERLINK("Melting_Curves/meltCurve_P16591_3_FER.pdf", "Melting_Curves/meltCurve_P16591_3_FER.pdf")</f>
        <v>Melting_Curves/meltCurve_P16591_3_FER.pdf</v>
      </c>
    </row>
    <row r="2203" spans="1:28" x14ac:dyDescent="0.25">
      <c r="A2203" t="s">
        <v>2207</v>
      </c>
      <c r="B2203">
        <v>0.99542014353169495</v>
      </c>
      <c r="C2203">
        <v>0.853611266579267</v>
      </c>
      <c r="D2203">
        <v>0.95192277846249196</v>
      </c>
      <c r="E2203">
        <v>0.68477301779776101</v>
      </c>
      <c r="F2203">
        <v>0.64635036778983701</v>
      </c>
      <c r="G2203">
        <v>0.19522566177162601</v>
      </c>
      <c r="H2203">
        <v>6.4028106674611798E-2</v>
      </c>
      <c r="I2203">
        <v>3.9052245633093001E-2</v>
      </c>
      <c r="J2203">
        <v>3.8122013025439501E-2</v>
      </c>
      <c r="K2203">
        <v>4.1299166823121201E-2</v>
      </c>
      <c r="L2203">
        <v>799.90047928118997</v>
      </c>
      <c r="M2203">
        <v>15.9192396650728</v>
      </c>
      <c r="N2203">
        <v>50.247408362051303</v>
      </c>
      <c r="O2203">
        <v>49.474554208441297</v>
      </c>
      <c r="P2203">
        <v>-8.0447987688123099E-2</v>
      </c>
      <c r="Q2203">
        <v>0</v>
      </c>
      <c r="R2203">
        <v>0.96442740104604296</v>
      </c>
      <c r="S2203" t="s">
        <v>8605</v>
      </c>
      <c r="T2203" t="s">
        <v>12802</v>
      </c>
      <c r="U2203" t="s">
        <v>12802</v>
      </c>
      <c r="V2203" t="s">
        <v>12802</v>
      </c>
      <c r="W2203" t="s">
        <v>14963</v>
      </c>
      <c r="X2203">
        <v>36</v>
      </c>
      <c r="Y2203" t="s">
        <v>21247</v>
      </c>
      <c r="Z2203" t="s">
        <v>27521</v>
      </c>
      <c r="AA2203">
        <v>0.46059644159037461</v>
      </c>
      <c r="AB2203" t="str">
        <f>HYPERLINK("Melting_Curves/meltCurve_P16615_ATP2A2.pdf", "Melting_Curves/meltCurve_P16615_ATP2A2.pdf")</f>
        <v>Melting_Curves/meltCurve_P16615_ATP2A2.pdf</v>
      </c>
    </row>
    <row r="2204" spans="1:28" x14ac:dyDescent="0.25">
      <c r="A2204" t="s">
        <v>2208</v>
      </c>
      <c r="B2204">
        <v>0.99542014353169495</v>
      </c>
      <c r="C2204">
        <v>1.0075058073319201</v>
      </c>
      <c r="D2204">
        <v>1.0071479706303399</v>
      </c>
      <c r="E2204">
        <v>1.0344293582081701</v>
      </c>
      <c r="F2204">
        <v>0.86322495814877498</v>
      </c>
      <c r="G2204">
        <v>0.60280029702561799</v>
      </c>
      <c r="H2204">
        <v>0.464445744017073</v>
      </c>
      <c r="I2204">
        <v>0.41987562414204999</v>
      </c>
      <c r="J2204">
        <v>0.711506651995096</v>
      </c>
      <c r="K2204">
        <v>0.81857014466212996</v>
      </c>
      <c r="L2204">
        <v>12582.2041972755</v>
      </c>
      <c r="M2204">
        <v>250</v>
      </c>
      <c r="O2204">
        <v>50.325592277841402</v>
      </c>
      <c r="P2204">
        <v>-0.49249331700815402</v>
      </c>
      <c r="Q2204">
        <v>0.603439684538296</v>
      </c>
      <c r="R2204">
        <v>0.769287041787029</v>
      </c>
      <c r="S2204" t="s">
        <v>8606</v>
      </c>
      <c r="T2204" t="s">
        <v>12802</v>
      </c>
      <c r="U2204" t="s">
        <v>12802</v>
      </c>
      <c r="V2204" t="s">
        <v>12802</v>
      </c>
      <c r="W2204" t="s">
        <v>14964</v>
      </c>
      <c r="X2204">
        <v>11</v>
      </c>
      <c r="Y2204" t="s">
        <v>21248</v>
      </c>
      <c r="Z2204" t="s">
        <v>27522</v>
      </c>
      <c r="AA2204">
        <v>0.77966403759370784</v>
      </c>
      <c r="AB2204" t="str">
        <f>HYPERLINK("Melting_Curves/meltCurve_P16930_FAH.pdf", "Melting_Curves/meltCurve_P16930_FAH.pdf")</f>
        <v>Melting_Curves/meltCurve_P16930_FAH.pdf</v>
      </c>
    </row>
    <row r="2205" spans="1:28" x14ac:dyDescent="0.25">
      <c r="A2205" t="s">
        <v>2209</v>
      </c>
      <c r="B2205">
        <v>0.99542014353169495</v>
      </c>
      <c r="C2205">
        <v>0.99894235414793997</v>
      </c>
      <c r="D2205">
        <v>0.798840396985804</v>
      </c>
      <c r="E2205">
        <v>0.78633819322323295</v>
      </c>
      <c r="F2205">
        <v>0.66927116986165502</v>
      </c>
      <c r="G2205">
        <v>0.61364052781078904</v>
      </c>
      <c r="H2205">
        <v>0.57935408009481804</v>
      </c>
      <c r="I2205">
        <v>0.52784243430990396</v>
      </c>
      <c r="J2205">
        <v>1.1503464173667199</v>
      </c>
      <c r="K2205">
        <v>1.17418989110743</v>
      </c>
      <c r="L2205">
        <v>4451.5604937169101</v>
      </c>
      <c r="M2205">
        <v>106.264831334127</v>
      </c>
      <c r="O2205">
        <v>41.876369008741399</v>
      </c>
      <c r="P2205">
        <v>-0.13585344905319</v>
      </c>
      <c r="Q2205">
        <v>0.78585396778125505</v>
      </c>
      <c r="R2205">
        <v>0.13914062999777099</v>
      </c>
      <c r="S2205" t="s">
        <v>8607</v>
      </c>
      <c r="T2205" t="s">
        <v>12802</v>
      </c>
      <c r="U2205" t="s">
        <v>12802</v>
      </c>
      <c r="V2205" t="s">
        <v>12802</v>
      </c>
      <c r="W2205" t="s">
        <v>13046</v>
      </c>
      <c r="X2205">
        <v>29</v>
      </c>
      <c r="Y2205" t="s">
        <v>21249</v>
      </c>
      <c r="Z2205" t="s">
        <v>27523</v>
      </c>
      <c r="AA2205">
        <v>0.8208555097597201</v>
      </c>
      <c r="AB2205" t="str">
        <f>HYPERLINK("Melting_Curves/meltCurve_P16949_STMN1.pdf", "Melting_Curves/meltCurve_P16949_STMN1.pdf")</f>
        <v>Melting_Curves/meltCurve_P16949_STMN1.pdf</v>
      </c>
    </row>
    <row r="2206" spans="1:28" x14ac:dyDescent="0.25">
      <c r="A2206" t="s">
        <v>2210</v>
      </c>
      <c r="B2206">
        <v>0.99542014353169495</v>
      </c>
      <c r="C2206">
        <v>1.0139349943101601</v>
      </c>
      <c r="D2206">
        <v>0.94524174788496496</v>
      </c>
      <c r="E2206">
        <v>0.87316643973446195</v>
      </c>
      <c r="F2206">
        <v>0.74503724819113104</v>
      </c>
      <c r="G2206">
        <v>0.42722778275187101</v>
      </c>
      <c r="H2206">
        <v>0.33108239753331697</v>
      </c>
      <c r="I2206">
        <v>0.24402251725500601</v>
      </c>
      <c r="J2206">
        <v>0.32414241196155802</v>
      </c>
      <c r="K2206">
        <v>0.33344738373009702</v>
      </c>
      <c r="L2206">
        <v>1155.27412878208</v>
      </c>
      <c r="M2206">
        <v>22.694036107501098</v>
      </c>
      <c r="N2206">
        <v>52.908169449748897</v>
      </c>
      <c r="O2206">
        <v>50.5161827719323</v>
      </c>
      <c r="P2206">
        <v>-7.9953618614778205E-2</v>
      </c>
      <c r="Q2206">
        <v>0.28811758962544898</v>
      </c>
      <c r="R2206">
        <v>0.98525245445841503</v>
      </c>
      <c r="S2206" t="s">
        <v>8608</v>
      </c>
      <c r="T2206" t="s">
        <v>12802</v>
      </c>
      <c r="U2206" t="s">
        <v>12802</v>
      </c>
      <c r="V2206" t="s">
        <v>12802</v>
      </c>
      <c r="W2206" t="s">
        <v>14965</v>
      </c>
      <c r="X2206">
        <v>4</v>
      </c>
      <c r="Y2206" t="s">
        <v>21250</v>
      </c>
      <c r="Z2206" t="s">
        <v>27524</v>
      </c>
      <c r="AA2206">
        <v>0.62560240184421645</v>
      </c>
      <c r="AB2206" t="str">
        <f>HYPERLINK("Melting_Curves/meltCurve_P16989_YBX3.pdf", "Melting_Curves/meltCurve_P16989_YBX3.pdf")</f>
        <v>Melting_Curves/meltCurve_P16989_YBX3.pdf</v>
      </c>
    </row>
    <row r="2207" spans="1:28" x14ac:dyDescent="0.25">
      <c r="A2207" t="s">
        <v>2211</v>
      </c>
      <c r="B2207">
        <v>0.99542014353169495</v>
      </c>
      <c r="C2207">
        <v>0.97711521352303998</v>
      </c>
      <c r="D2207">
        <v>0.97914630680469095</v>
      </c>
      <c r="E2207">
        <v>0.86358244374205495</v>
      </c>
      <c r="F2207">
        <v>0.74530308729799</v>
      </c>
      <c r="G2207">
        <v>0.18635344094495401</v>
      </c>
      <c r="H2207">
        <v>3.5636166634703897E-2</v>
      </c>
      <c r="I2207">
        <v>1.55609192781109E-2</v>
      </c>
      <c r="J2207">
        <v>0</v>
      </c>
      <c r="K2207">
        <v>1.98157178099473E-2</v>
      </c>
      <c r="L2207">
        <v>1701.13125697583</v>
      </c>
      <c r="M2207">
        <v>32.981459650038701</v>
      </c>
      <c r="N2207">
        <v>51.592718893135498</v>
      </c>
      <c r="O2207">
        <v>51.389921198185</v>
      </c>
      <c r="P2207">
        <v>-0.159717452508392</v>
      </c>
      <c r="Q2207">
        <v>4.5525962093549404E-3</v>
      </c>
      <c r="R2207">
        <v>0.99254701512985399</v>
      </c>
      <c r="S2207" t="s">
        <v>8609</v>
      </c>
      <c r="T2207" t="s">
        <v>12802</v>
      </c>
      <c r="U2207" t="s">
        <v>12802</v>
      </c>
      <c r="V2207" t="s">
        <v>12802</v>
      </c>
      <c r="W2207" t="s">
        <v>14966</v>
      </c>
      <c r="X2207">
        <v>1</v>
      </c>
      <c r="Y2207" t="s">
        <v>21251</v>
      </c>
      <c r="Z2207" t="s">
        <v>27525</v>
      </c>
      <c r="AA2207">
        <v>0.49348304041264118</v>
      </c>
      <c r="AB2207" t="str">
        <f>HYPERLINK("Melting_Curves/meltCurve_P17017_ZNF14.pdf", "Melting_Curves/meltCurve_P17017_ZNF14.pdf")</f>
        <v>Melting_Curves/meltCurve_P17017_ZNF14.pdf</v>
      </c>
    </row>
    <row r="2208" spans="1:28" x14ac:dyDescent="0.25">
      <c r="A2208" t="s">
        <v>2212</v>
      </c>
      <c r="B2208">
        <v>0.99542014353169495</v>
      </c>
      <c r="C2208">
        <v>0.93081135926163405</v>
      </c>
      <c r="D2208">
        <v>0.902298187105674</v>
      </c>
      <c r="E2208">
        <v>0.72922420941451604</v>
      </c>
      <c r="F2208">
        <v>0.468787909587217</v>
      </c>
      <c r="G2208">
        <v>0.25497091006418598</v>
      </c>
      <c r="H2208">
        <v>9.9178535612355706E-2</v>
      </c>
      <c r="I2208">
        <v>4.4541735065385599E-2</v>
      </c>
      <c r="J2208">
        <v>2.8860768215552699E-2</v>
      </c>
      <c r="K2208">
        <v>3.97533749758162E-2</v>
      </c>
      <c r="L2208">
        <v>730.44809110088499</v>
      </c>
      <c r="M2208">
        <v>14.705751886919099</v>
      </c>
      <c r="N2208">
        <v>49.670924259425803</v>
      </c>
      <c r="O2208">
        <v>48.779534603897901</v>
      </c>
      <c r="P2208">
        <v>-7.5376680441192306E-2</v>
      </c>
      <c r="Q2208">
        <v>0</v>
      </c>
      <c r="R2208">
        <v>0.99786941917668603</v>
      </c>
      <c r="S2208" t="s">
        <v>8610</v>
      </c>
      <c r="T2208" t="s">
        <v>12802</v>
      </c>
      <c r="U2208" t="s">
        <v>12802</v>
      </c>
      <c r="V2208" t="s">
        <v>12802</v>
      </c>
      <c r="W2208" t="s">
        <v>14967</v>
      </c>
      <c r="X2208">
        <v>6</v>
      </c>
      <c r="Y2208" t="s">
        <v>21252</v>
      </c>
      <c r="Z2208" t="s">
        <v>27526</v>
      </c>
      <c r="AA2208">
        <v>0.44410881713762118</v>
      </c>
      <c r="AB2208" t="str">
        <f>HYPERLINK("Melting_Curves/meltCurve_P17028_ZNF24.pdf", "Melting_Curves/meltCurve_P17028_ZNF24.pdf")</f>
        <v>Melting_Curves/meltCurve_P17028_ZNF24.pdf</v>
      </c>
    </row>
    <row r="2209" spans="1:28" x14ac:dyDescent="0.25">
      <c r="A2209" t="s">
        <v>2213</v>
      </c>
      <c r="B2209">
        <v>0.99542014353169495</v>
      </c>
      <c r="C2209">
        <v>0.988608900215454</v>
      </c>
      <c r="D2209">
        <v>0.87761103873843505</v>
      </c>
      <c r="E2209">
        <v>0.82681056626827798</v>
      </c>
      <c r="F2209">
        <v>0.69247563539503798</v>
      </c>
      <c r="G2209">
        <v>0.61323863281456503</v>
      </c>
      <c r="H2209">
        <v>0.42815640982234898</v>
      </c>
      <c r="I2209">
        <v>0.356504503259641</v>
      </c>
      <c r="J2209">
        <v>0.19511532837745599</v>
      </c>
      <c r="K2209">
        <v>0.15422537952083001</v>
      </c>
      <c r="L2209">
        <v>479.41801148356598</v>
      </c>
      <c r="M2209">
        <v>8.6416530742752204</v>
      </c>
      <c r="N2209">
        <v>55.477581315987102</v>
      </c>
      <c r="O2209">
        <v>52.746715884023601</v>
      </c>
      <c r="P2209">
        <v>-4.0992932438863303E-2</v>
      </c>
      <c r="Q2209">
        <v>0</v>
      </c>
      <c r="R2209">
        <v>0.98877178145518096</v>
      </c>
      <c r="S2209" t="s">
        <v>8611</v>
      </c>
      <c r="T2209" t="s">
        <v>12802</v>
      </c>
      <c r="U2209" t="s">
        <v>12802</v>
      </c>
      <c r="V2209" t="s">
        <v>12802</v>
      </c>
      <c r="W2209" t="s">
        <v>14968</v>
      </c>
      <c r="X2209">
        <v>5</v>
      </c>
      <c r="Y2209" t="s">
        <v>21253</v>
      </c>
      <c r="Z2209" t="s">
        <v>27527</v>
      </c>
      <c r="AA2209">
        <v>0.62136324703331525</v>
      </c>
      <c r="AB2209" t="str">
        <f>HYPERLINK("Melting_Curves/meltCurve_P17050_NAGA.pdf", "Melting_Curves/meltCurve_P17050_NAGA.pdf")</f>
        <v>Melting_Curves/meltCurve_P17050_NAGA.pdf</v>
      </c>
    </row>
    <row r="2210" spans="1:28" x14ac:dyDescent="0.25">
      <c r="A2210" t="s">
        <v>2214</v>
      </c>
      <c r="B2210">
        <v>0.99542014353169495</v>
      </c>
      <c r="C2210">
        <v>1.0065129563478801</v>
      </c>
      <c r="D2210">
        <v>1.0168802336118199</v>
      </c>
      <c r="E2210">
        <v>0.86222114710040498</v>
      </c>
      <c r="F2210">
        <v>0.72150652432954698</v>
      </c>
      <c r="G2210">
        <v>0.56894317747762901</v>
      </c>
      <c r="H2210">
        <v>0.41455874961507799</v>
      </c>
      <c r="I2210">
        <v>0.16044730153224901</v>
      </c>
      <c r="J2210">
        <v>4.7903609660076799E-2</v>
      </c>
      <c r="K2210">
        <v>5.6950385317805399E-2</v>
      </c>
      <c r="L2210">
        <v>739.53886064229198</v>
      </c>
      <c r="M2210">
        <v>13.5634998200068</v>
      </c>
      <c r="N2210">
        <v>54.524191485041399</v>
      </c>
      <c r="O2210">
        <v>53.3799238072286</v>
      </c>
      <c r="P2210">
        <v>-6.3532925511041102E-2</v>
      </c>
      <c r="Q2210">
        <v>0</v>
      </c>
      <c r="R2210">
        <v>0.98678675457276999</v>
      </c>
      <c r="S2210" t="s">
        <v>8612</v>
      </c>
      <c r="T2210" t="s">
        <v>12802</v>
      </c>
      <c r="U2210" t="s">
        <v>12802</v>
      </c>
      <c r="V2210" t="s">
        <v>12802</v>
      </c>
      <c r="W2210" t="s">
        <v>14969</v>
      </c>
      <c r="X2210">
        <v>18</v>
      </c>
      <c r="Y2210" t="s">
        <v>21254</v>
      </c>
      <c r="Z2210" t="s">
        <v>27528</v>
      </c>
      <c r="AA2210">
        <v>0.59996660571116844</v>
      </c>
      <c r="AB2210" t="str">
        <f>HYPERLINK("Melting_Curves/meltCurve_P17066_HSPA6.pdf", "Melting_Curves/meltCurve_P17066_HSPA6.pdf")</f>
        <v>Melting_Curves/meltCurve_P17066_HSPA6.pdf</v>
      </c>
    </row>
    <row r="2211" spans="1:28" x14ac:dyDescent="0.25">
      <c r="A2211" t="s">
        <v>2215</v>
      </c>
      <c r="B2211">
        <v>0.99542014353169495</v>
      </c>
      <c r="C2211">
        <v>1.24302160268844</v>
      </c>
      <c r="D2211">
        <v>0.350148125993546</v>
      </c>
      <c r="E2211">
        <v>0.35528100046434902</v>
      </c>
      <c r="F2211">
        <v>0.25174711133477501</v>
      </c>
      <c r="G2211">
        <v>0.41540174562891602</v>
      </c>
      <c r="H2211">
        <v>0.19197359143779399</v>
      </c>
      <c r="I2211">
        <v>0.17153624235277201</v>
      </c>
      <c r="J2211">
        <v>0.19624865593575799</v>
      </c>
      <c r="K2211">
        <v>0.51189665409882601</v>
      </c>
      <c r="L2211">
        <v>10640.5629193106</v>
      </c>
      <c r="M2211">
        <v>250</v>
      </c>
      <c r="N2211">
        <v>42.718099943003402</v>
      </c>
      <c r="O2211">
        <v>42.559507498018199</v>
      </c>
      <c r="P2211">
        <v>-1.0292128742733999</v>
      </c>
      <c r="Q2211">
        <v>0.29915497243879002</v>
      </c>
      <c r="R2211">
        <v>0.864736559633277</v>
      </c>
      <c r="S2211" t="s">
        <v>8613</v>
      </c>
      <c r="T2211" t="s">
        <v>12802</v>
      </c>
      <c r="U2211" t="s">
        <v>12802</v>
      </c>
      <c r="V2211" t="s">
        <v>12802</v>
      </c>
      <c r="W2211" t="s">
        <v>14970</v>
      </c>
      <c r="X2211">
        <v>6</v>
      </c>
      <c r="Y2211" t="s">
        <v>21255</v>
      </c>
      <c r="Z2211" t="s">
        <v>27529</v>
      </c>
      <c r="AA2211">
        <v>0.42914987048951753</v>
      </c>
      <c r="AB2211" t="str">
        <f>HYPERLINK("Melting_Curves/meltCurve_P17096_2_HMGA1.pdf", "Melting_Curves/meltCurve_P17096_2_HMGA1.pdf")</f>
        <v>Melting_Curves/meltCurve_P17096_2_HMGA1.pdf</v>
      </c>
    </row>
    <row r="2212" spans="1:28" x14ac:dyDescent="0.25">
      <c r="A2212" t="s">
        <v>2216</v>
      </c>
      <c r="B2212">
        <v>0.99542014353169495</v>
      </c>
      <c r="C2212">
        <v>0.75846626282490603</v>
      </c>
      <c r="D2212">
        <v>0.81665790749436196</v>
      </c>
      <c r="E2212">
        <v>0.66947075431635605</v>
      </c>
      <c r="F2212">
        <v>0.461912930670549</v>
      </c>
      <c r="G2212">
        <v>0.22947849434084699</v>
      </c>
      <c r="H2212">
        <v>9.2784348818160903E-2</v>
      </c>
      <c r="I2212">
        <v>3.8464488703265097E-2</v>
      </c>
      <c r="J2212">
        <v>3.45790909767376E-2</v>
      </c>
      <c r="K2212">
        <v>3.5295909063018799E-2</v>
      </c>
      <c r="L2212">
        <v>563.85592531108898</v>
      </c>
      <c r="M2212">
        <v>11.611011649316101</v>
      </c>
      <c r="N2212">
        <v>48.562170354045598</v>
      </c>
      <c r="O2212">
        <v>47.188746965523499</v>
      </c>
      <c r="P2212">
        <v>-6.1530514080656802E-2</v>
      </c>
      <c r="Q2212">
        <v>0</v>
      </c>
      <c r="R2212">
        <v>0.96851158387615899</v>
      </c>
      <c r="S2212" t="s">
        <v>8614</v>
      </c>
      <c r="T2212" t="s">
        <v>12802</v>
      </c>
      <c r="U2212" t="s">
        <v>12802</v>
      </c>
      <c r="V2212" t="s">
        <v>12802</v>
      </c>
      <c r="W2212" t="s">
        <v>14971</v>
      </c>
      <c r="X2212">
        <v>2</v>
      </c>
      <c r="Y2212" t="s">
        <v>21256</v>
      </c>
      <c r="Z2212" t="s">
        <v>27530</v>
      </c>
      <c r="AA2212">
        <v>0.41723554994317152</v>
      </c>
      <c r="AB2212" t="str">
        <f>HYPERLINK("Melting_Curves/meltCurve_P17152_TMEM11.pdf", "Melting_Curves/meltCurve_P17152_TMEM11.pdf")</f>
        <v>Melting_Curves/meltCurve_P17152_TMEM11.pdf</v>
      </c>
    </row>
    <row r="2213" spans="1:28" x14ac:dyDescent="0.25">
      <c r="A2213" t="s">
        <v>2217</v>
      </c>
      <c r="B2213">
        <v>0.99542014353169495</v>
      </c>
      <c r="C2213">
        <v>0.98802347301374605</v>
      </c>
      <c r="D2213">
        <v>0.95089793451344395</v>
      </c>
      <c r="E2213">
        <v>0.93489355865757195</v>
      </c>
      <c r="F2213">
        <v>0.77828620580969099</v>
      </c>
      <c r="G2213">
        <v>0.57260250217750097</v>
      </c>
      <c r="H2213">
        <v>0.48205414687103099</v>
      </c>
      <c r="I2213">
        <v>0.532555193221385</v>
      </c>
      <c r="J2213">
        <v>0.89393922930064695</v>
      </c>
      <c r="K2213">
        <v>1.09092735426494</v>
      </c>
      <c r="L2213">
        <v>2087.7748342822902</v>
      </c>
      <c r="M2213">
        <v>43.495745308712102</v>
      </c>
      <c r="O2213">
        <v>47.8983893966954</v>
      </c>
      <c r="P2213">
        <v>-6.4013779868970694E-2</v>
      </c>
      <c r="Q2213">
        <v>0.71802737145432005</v>
      </c>
      <c r="R2213">
        <v>0.33381363713247197</v>
      </c>
      <c r="S2213" t="s">
        <v>8615</v>
      </c>
      <c r="T2213" t="s">
        <v>12802</v>
      </c>
      <c r="U2213" t="s">
        <v>12802</v>
      </c>
      <c r="V2213" t="s">
        <v>12802</v>
      </c>
      <c r="W2213" t="s">
        <v>14972</v>
      </c>
      <c r="X2213">
        <v>28</v>
      </c>
      <c r="Y2213" t="s">
        <v>21257</v>
      </c>
      <c r="Z2213" t="s">
        <v>27531</v>
      </c>
      <c r="AA2213">
        <v>0.82220308310949786</v>
      </c>
      <c r="AB2213" t="str">
        <f>HYPERLINK("Melting_Curves/meltCurve_P17174_GOT1.pdf", "Melting_Curves/meltCurve_P17174_GOT1.pdf")</f>
        <v>Melting_Curves/meltCurve_P17174_GOT1.pdf</v>
      </c>
    </row>
    <row r="2214" spans="1:28" x14ac:dyDescent="0.25">
      <c r="A2214" t="s">
        <v>2218</v>
      </c>
      <c r="B2214">
        <v>0.99542014353169495</v>
      </c>
      <c r="C2214">
        <v>0.97678137252677</v>
      </c>
      <c r="D2214">
        <v>0.95925421485487505</v>
      </c>
      <c r="E2214">
        <v>0.84137456011212697</v>
      </c>
      <c r="F2214">
        <v>0.22687109456065399</v>
      </c>
      <c r="G2214">
        <v>9.1097261773584098E-2</v>
      </c>
      <c r="H2214">
        <v>5.3009051906184899E-2</v>
      </c>
      <c r="I2214">
        <v>3.69105233903462E-2</v>
      </c>
      <c r="J2214">
        <v>3.7861461206176901E-2</v>
      </c>
      <c r="K2214">
        <v>4.09138135873926E-2</v>
      </c>
      <c r="L2214">
        <v>1930.3565091308899</v>
      </c>
      <c r="M2214">
        <v>39.860664340553797</v>
      </c>
      <c r="N2214">
        <v>48.547572054449503</v>
      </c>
      <c r="O2214">
        <v>48.306211223496</v>
      </c>
      <c r="P2214">
        <v>-0.19661650214658599</v>
      </c>
      <c r="Q2214">
        <v>4.6902429559760601E-2</v>
      </c>
      <c r="R2214">
        <v>0.99846722120659603</v>
      </c>
      <c r="S2214" t="s">
        <v>8616</v>
      </c>
      <c r="T2214" t="s">
        <v>12802</v>
      </c>
      <c r="U2214" t="s">
        <v>12802</v>
      </c>
      <c r="V2214" t="s">
        <v>12802</v>
      </c>
      <c r="W2214" t="s">
        <v>14973</v>
      </c>
      <c r="X2214">
        <v>26</v>
      </c>
      <c r="Y2214" t="s">
        <v>21258</v>
      </c>
      <c r="Z2214" t="s">
        <v>27532</v>
      </c>
      <c r="AA2214">
        <v>0.41316926991171132</v>
      </c>
      <c r="AB2214" t="str">
        <f>HYPERLINK("Melting_Curves/meltCurve_P17252_PRKCA.pdf", "Melting_Curves/meltCurve_P17252_PRKCA.pdf")</f>
        <v>Melting_Curves/meltCurve_P17252_PRKCA.pdf</v>
      </c>
    </row>
    <row r="2215" spans="1:28" x14ac:dyDescent="0.25">
      <c r="A2215" t="s">
        <v>2219</v>
      </c>
      <c r="B2215">
        <v>0.99542014353169495</v>
      </c>
      <c r="C2215">
        <v>1.02006729152522</v>
      </c>
      <c r="D2215">
        <v>0.96977041061602998</v>
      </c>
      <c r="E2215">
        <v>0.76622645283359303</v>
      </c>
      <c r="F2215">
        <v>0.582849657283392</v>
      </c>
      <c r="G2215">
        <v>0.34109103143917002</v>
      </c>
      <c r="H2215">
        <v>0.240154374698484</v>
      </c>
      <c r="I2215">
        <v>0.19237358273906999</v>
      </c>
      <c r="J2215">
        <v>0.24957824797328901</v>
      </c>
      <c r="K2215">
        <v>0.30556880024642002</v>
      </c>
      <c r="L2215">
        <v>970.990600521901</v>
      </c>
      <c r="M2215">
        <v>19.748206448965298</v>
      </c>
      <c r="N2215">
        <v>50.773157837978701</v>
      </c>
      <c r="O2215">
        <v>48.6726973855137</v>
      </c>
      <c r="P2215">
        <v>-7.7890546705449995E-2</v>
      </c>
      <c r="Q2215">
        <v>0.232130116196714</v>
      </c>
      <c r="R2215">
        <v>0.98693151333511497</v>
      </c>
      <c r="S2215" t="s">
        <v>8617</v>
      </c>
      <c r="T2215" t="s">
        <v>12802</v>
      </c>
      <c r="U2215" t="s">
        <v>12802</v>
      </c>
      <c r="V2215" t="s">
        <v>12802</v>
      </c>
      <c r="W2215" t="s">
        <v>14974</v>
      </c>
      <c r="X2215">
        <v>4</v>
      </c>
      <c r="Y2215" t="s">
        <v>21259</v>
      </c>
      <c r="Z2215" t="s">
        <v>27533</v>
      </c>
      <c r="AA2215">
        <v>0.55394500276575331</v>
      </c>
      <c r="AB2215" t="str">
        <f>HYPERLINK("Melting_Curves/meltCurve_P17275_JUNB.pdf", "Melting_Curves/meltCurve_P17275_JUNB.pdf")</f>
        <v>Melting_Curves/meltCurve_P17275_JUNB.pdf</v>
      </c>
    </row>
    <row r="2216" spans="1:28" x14ac:dyDescent="0.25">
      <c r="A2216" t="s">
        <v>2220</v>
      </c>
      <c r="B2216">
        <v>0.99542014353169495</v>
      </c>
      <c r="C2216">
        <v>0.97885931148455096</v>
      </c>
      <c r="D2216">
        <v>0.75154403863139296</v>
      </c>
      <c r="E2216">
        <v>0.37167643279915902</v>
      </c>
      <c r="F2216">
        <v>0.21433838328601601</v>
      </c>
      <c r="G2216">
        <v>0.14731566840826699</v>
      </c>
      <c r="H2216">
        <v>9.9045992423467399E-2</v>
      </c>
      <c r="I2216">
        <v>7.6304680195144595E-2</v>
      </c>
      <c r="J2216">
        <v>0.10776842289197</v>
      </c>
      <c r="K2216">
        <v>0.155934241849847</v>
      </c>
      <c r="L2216">
        <v>1016.0932789438</v>
      </c>
      <c r="M2216">
        <v>22.645268482343301</v>
      </c>
      <c r="N2216">
        <v>45.3919012734207</v>
      </c>
      <c r="O2216">
        <v>44.5244924645976</v>
      </c>
      <c r="P2216">
        <v>-0.112579458562025</v>
      </c>
      <c r="Q2216">
        <v>0.11461532266442</v>
      </c>
      <c r="R2216">
        <v>0.99546127124848505</v>
      </c>
      <c r="S2216" t="s">
        <v>8618</v>
      </c>
      <c r="T2216" t="s">
        <v>12802</v>
      </c>
      <c r="U2216" t="s">
        <v>12802</v>
      </c>
      <c r="V2216" t="s">
        <v>12802</v>
      </c>
      <c r="W2216" t="s">
        <v>14975</v>
      </c>
      <c r="X2216">
        <v>4</v>
      </c>
      <c r="Y2216" t="s">
        <v>21260</v>
      </c>
      <c r="Z2216" t="s">
        <v>27534</v>
      </c>
      <c r="AA2216">
        <v>0.35583500794963507</v>
      </c>
      <c r="AB2216" t="str">
        <f>HYPERLINK("Melting_Curves/meltCurve_P17482_HOXB9.pdf", "Melting_Curves/meltCurve_P17482_HOXB9.pdf")</f>
        <v>Melting_Curves/meltCurve_P17482_HOXB9.pdf</v>
      </c>
    </row>
    <row r="2217" spans="1:28" x14ac:dyDescent="0.25">
      <c r="A2217" t="s">
        <v>2221</v>
      </c>
      <c r="B2217">
        <v>0.99542014353169495</v>
      </c>
      <c r="C2217">
        <v>0.88675607086586805</v>
      </c>
      <c r="D2217">
        <v>0.76541318107798895</v>
      </c>
      <c r="E2217">
        <v>0.424587174148089</v>
      </c>
      <c r="F2217">
        <v>0.25685770730599999</v>
      </c>
      <c r="G2217">
        <v>0.160641377079597</v>
      </c>
      <c r="H2217">
        <v>8.6881536766735198E-2</v>
      </c>
      <c r="I2217">
        <v>8.2012609996424998E-2</v>
      </c>
      <c r="J2217">
        <v>7.3552254892050098E-2</v>
      </c>
      <c r="K2217">
        <v>8.1790188708105102E-2</v>
      </c>
      <c r="L2217">
        <v>725.45996484301997</v>
      </c>
      <c r="M2217">
        <v>15.9296328938872</v>
      </c>
      <c r="N2217">
        <v>45.973081265628799</v>
      </c>
      <c r="O2217">
        <v>44.841957435551002</v>
      </c>
      <c r="P2217">
        <v>-8.2649186318654699E-2</v>
      </c>
      <c r="Q2217">
        <v>6.9443575463553203E-2</v>
      </c>
      <c r="R2217">
        <v>0.99733890325018204</v>
      </c>
      <c r="S2217" t="s">
        <v>8619</v>
      </c>
      <c r="T2217" t="s">
        <v>12802</v>
      </c>
      <c r="U2217" t="s">
        <v>12802</v>
      </c>
      <c r="V2217" t="s">
        <v>12802</v>
      </c>
      <c r="W2217" t="s">
        <v>14976</v>
      </c>
      <c r="X2217">
        <v>1</v>
      </c>
      <c r="Y2217" t="s">
        <v>21261</v>
      </c>
      <c r="Z2217" t="s">
        <v>27535</v>
      </c>
      <c r="AA2217">
        <v>0.35371403730292089</v>
      </c>
      <c r="AB2217" t="str">
        <f>HYPERLINK("Melting_Curves/meltCurve_P17483_HOXB4.pdf", "Melting_Curves/meltCurve_P17483_HOXB4.pdf")</f>
        <v>Melting_Curves/meltCurve_P17483_HOXB4.pdf</v>
      </c>
    </row>
    <row r="2218" spans="1:28" x14ac:dyDescent="0.25">
      <c r="A2218" t="s">
        <v>2222</v>
      </c>
      <c r="B2218">
        <v>0.99542014353169495</v>
      </c>
      <c r="C2218">
        <v>1.03484471477075</v>
      </c>
      <c r="D2218">
        <v>0.87167071437386601</v>
      </c>
      <c r="E2218">
        <v>0.78653308236506103</v>
      </c>
      <c r="F2218">
        <v>0.61857413284245499</v>
      </c>
      <c r="G2218">
        <v>0.43028235363794798</v>
      </c>
      <c r="H2218">
        <v>0.305613792495329</v>
      </c>
      <c r="I2218">
        <v>0.30966369856891002</v>
      </c>
      <c r="J2218">
        <v>0.48360797823135099</v>
      </c>
      <c r="K2218">
        <v>0.70561261255125896</v>
      </c>
      <c r="L2218">
        <v>1049.5451798020599</v>
      </c>
      <c r="M2218">
        <v>22.168920341728501</v>
      </c>
      <c r="N2218">
        <v>52.599340927769397</v>
      </c>
      <c r="O2218">
        <v>46.962912111408798</v>
      </c>
      <c r="P2218">
        <v>-6.5446435898952507E-2</v>
      </c>
      <c r="Q2218">
        <v>0.44544190323516197</v>
      </c>
      <c r="R2218">
        <v>0.80929478109009201</v>
      </c>
      <c r="S2218" t="s">
        <v>8620</v>
      </c>
      <c r="T2218" t="s">
        <v>12802</v>
      </c>
      <c r="U2218" t="s">
        <v>12802</v>
      </c>
      <c r="V2218" t="s">
        <v>12802</v>
      </c>
      <c r="W2218" t="s">
        <v>14977</v>
      </c>
      <c r="X2218">
        <v>6</v>
      </c>
      <c r="Y2218" t="s">
        <v>21262</v>
      </c>
      <c r="Z2218" t="s">
        <v>27536</v>
      </c>
      <c r="AA2218">
        <v>0.64258013196106534</v>
      </c>
      <c r="AB2218" t="str">
        <f>HYPERLINK("Melting_Curves/meltCurve_P17535_JUND.pdf", "Melting_Curves/meltCurve_P17535_JUND.pdf")</f>
        <v>Melting_Curves/meltCurve_P17535_JUND.pdf</v>
      </c>
    </row>
    <row r="2219" spans="1:28" x14ac:dyDescent="0.25">
      <c r="A2219" t="s">
        <v>2223</v>
      </c>
      <c r="B2219">
        <v>0.99542014353169495</v>
      </c>
      <c r="C2219">
        <v>1.1748707037452699</v>
      </c>
      <c r="D2219">
        <v>1.1757995123909599</v>
      </c>
      <c r="E2219">
        <v>0.89863254567680395</v>
      </c>
      <c r="F2219">
        <v>0.62531480215136503</v>
      </c>
      <c r="G2219">
        <v>0.29877338094475098</v>
      </c>
      <c r="H2219">
        <v>0.25118556588686303</v>
      </c>
      <c r="I2219">
        <v>0.13227952989981001</v>
      </c>
      <c r="J2219">
        <v>0.118717291500746</v>
      </c>
      <c r="K2219">
        <v>0.156252687779216</v>
      </c>
      <c r="L2219">
        <v>1306.90009569517</v>
      </c>
      <c r="M2219">
        <v>25.765889739543201</v>
      </c>
      <c r="N2219">
        <v>51.420119936427803</v>
      </c>
      <c r="O2219">
        <v>50.4195266082004</v>
      </c>
      <c r="P2219">
        <v>-0.108905200653445</v>
      </c>
      <c r="Q2219">
        <v>0.14757328858989499</v>
      </c>
      <c r="R2219">
        <v>0.95970076840682095</v>
      </c>
      <c r="S2219" t="s">
        <v>8621</v>
      </c>
      <c r="T2219" t="s">
        <v>12802</v>
      </c>
      <c r="U2219" t="s">
        <v>12802</v>
      </c>
      <c r="V2219" t="s">
        <v>12802</v>
      </c>
      <c r="W2219" t="s">
        <v>14978</v>
      </c>
      <c r="X2219">
        <v>1</v>
      </c>
      <c r="Y2219" t="s">
        <v>21263</v>
      </c>
      <c r="Z2219" t="s">
        <v>27537</v>
      </c>
      <c r="AA2219">
        <v>0.54456726430259794</v>
      </c>
      <c r="AB2219" t="str">
        <f>HYPERLINK("Melting_Curves/meltCurve_P17544_4_ATF7.pdf", "Melting_Curves/meltCurve_P17544_4_ATF7.pdf")</f>
        <v>Melting_Curves/meltCurve_P17544_4_ATF7.pdf</v>
      </c>
    </row>
    <row r="2220" spans="1:28" x14ac:dyDescent="0.25">
      <c r="A2220" t="s">
        <v>2224</v>
      </c>
      <c r="B2220">
        <v>0.99542014353169495</v>
      </c>
      <c r="C2220">
        <v>0.65359650640341305</v>
      </c>
      <c r="D2220">
        <v>0.71832192944641005</v>
      </c>
      <c r="E2220">
        <v>0.493517027667153</v>
      </c>
      <c r="F2220">
        <v>0.31490008910911099</v>
      </c>
      <c r="G2220">
        <v>0.136552457131181</v>
      </c>
      <c r="H2220">
        <v>7.0591391197194805E-2</v>
      </c>
      <c r="I2220">
        <v>4.8912846050121798E-2</v>
      </c>
      <c r="J2220">
        <v>6.7022746982292103E-2</v>
      </c>
      <c r="K2220">
        <v>5.7809129437894999E-2</v>
      </c>
      <c r="L2220">
        <v>462.17449882770302</v>
      </c>
      <c r="M2220">
        <v>10.1043729236379</v>
      </c>
      <c r="N2220">
        <v>45.740047761055699</v>
      </c>
      <c r="O2220">
        <v>44.056916580849098</v>
      </c>
      <c r="P2220">
        <v>-5.7363850124516898E-2</v>
      </c>
      <c r="Q2220">
        <v>0</v>
      </c>
      <c r="R2220">
        <v>0.95853665269477994</v>
      </c>
      <c r="S2220" t="s">
        <v>8622</v>
      </c>
      <c r="T2220" t="s">
        <v>12802</v>
      </c>
      <c r="U2220" t="s">
        <v>12802</v>
      </c>
      <c r="V2220" t="s">
        <v>12802</v>
      </c>
      <c r="W2220" t="s">
        <v>14979</v>
      </c>
      <c r="X2220">
        <v>6</v>
      </c>
      <c r="Y2220" t="s">
        <v>21264</v>
      </c>
      <c r="Z2220" t="s">
        <v>27538</v>
      </c>
      <c r="AA2220">
        <v>0.33766792492788061</v>
      </c>
      <c r="AB2220" t="str">
        <f>HYPERLINK("Melting_Curves/meltCurve_P17568_NDUFB7.pdf", "Melting_Curves/meltCurve_P17568_NDUFB7.pdf")</f>
        <v>Melting_Curves/meltCurve_P17568_NDUFB7.pdf</v>
      </c>
    </row>
    <row r="2221" spans="1:28" x14ac:dyDescent="0.25">
      <c r="A2221" t="s">
        <v>2225</v>
      </c>
      <c r="B2221">
        <v>0.99542014353169495</v>
      </c>
      <c r="C2221">
        <v>1.01361945844696</v>
      </c>
      <c r="D2221">
        <v>1.0586496273383601</v>
      </c>
      <c r="E2221">
        <v>0.89667194791484595</v>
      </c>
      <c r="F2221">
        <v>0.70537965173211403</v>
      </c>
      <c r="G2221">
        <v>0.35539542744760799</v>
      </c>
      <c r="H2221">
        <v>9.8874924817384899E-2</v>
      </c>
      <c r="I2221">
        <v>7.1237813951640999E-2</v>
      </c>
      <c r="J2221">
        <v>6.54355876449422E-2</v>
      </c>
      <c r="K2221">
        <v>6.9304210237995406E-2</v>
      </c>
      <c r="L2221">
        <v>1216.29402457796</v>
      </c>
      <c r="M2221">
        <v>23.4452363121917</v>
      </c>
      <c r="N2221">
        <v>52.097652282547699</v>
      </c>
      <c r="O2221">
        <v>51.505067746494099</v>
      </c>
      <c r="P2221">
        <v>-0.108449018939624</v>
      </c>
      <c r="Q2221">
        <v>4.7042346899172603E-2</v>
      </c>
      <c r="R2221">
        <v>0.99510495766655904</v>
      </c>
      <c r="S2221" t="s">
        <v>8623</v>
      </c>
      <c r="T2221" t="s">
        <v>12802</v>
      </c>
      <c r="U2221" t="s">
        <v>12802</v>
      </c>
      <c r="V2221" t="s">
        <v>12802</v>
      </c>
      <c r="W2221" t="s">
        <v>14980</v>
      </c>
      <c r="X2221">
        <v>9</v>
      </c>
      <c r="Y2221" t="s">
        <v>21265</v>
      </c>
      <c r="Z2221" t="s">
        <v>27539</v>
      </c>
      <c r="AA2221">
        <v>0.52911029504788432</v>
      </c>
      <c r="AB2221" t="str">
        <f>HYPERLINK("Melting_Curves/meltCurve_P17612_PRKACA.pdf", "Melting_Curves/meltCurve_P17612_PRKACA.pdf")</f>
        <v>Melting_Curves/meltCurve_P17612_PRKACA.pdf</v>
      </c>
    </row>
    <row r="2222" spans="1:28" x14ac:dyDescent="0.25">
      <c r="A2222" t="s">
        <v>2226</v>
      </c>
      <c r="B2222">
        <v>0.99542014353169495</v>
      </c>
      <c r="C2222">
        <v>1.02068229567105</v>
      </c>
      <c r="D2222">
        <v>1.0226027128584301</v>
      </c>
      <c r="E2222">
        <v>0.94745810228232596</v>
      </c>
      <c r="F2222">
        <v>0.755149960338795</v>
      </c>
      <c r="G2222">
        <v>0.45486893399575201</v>
      </c>
      <c r="H2222">
        <v>0.121698542716686</v>
      </c>
      <c r="I2222">
        <v>7.23551187481946E-2</v>
      </c>
      <c r="J2222">
        <v>6.7144626731975701E-2</v>
      </c>
      <c r="K2222">
        <v>7.6476015409360304E-2</v>
      </c>
      <c r="L2222">
        <v>1243.2558805439901</v>
      </c>
      <c r="M2222">
        <v>23.573939035334998</v>
      </c>
      <c r="N2222">
        <v>52.953485638475897</v>
      </c>
      <c r="O2222">
        <v>52.363475880891201</v>
      </c>
      <c r="P2222">
        <v>-0.10741689936674501</v>
      </c>
      <c r="Q2222">
        <v>4.5619720328006201E-2</v>
      </c>
      <c r="R2222">
        <v>0.99623604577310998</v>
      </c>
      <c r="S2222" t="s">
        <v>8624</v>
      </c>
      <c r="T2222" t="s">
        <v>12802</v>
      </c>
      <c r="U2222" t="s">
        <v>12802</v>
      </c>
      <c r="V2222" t="s">
        <v>12802</v>
      </c>
      <c r="W2222" t="s">
        <v>14981</v>
      </c>
      <c r="X2222">
        <v>24</v>
      </c>
      <c r="Y2222" t="s">
        <v>21266</v>
      </c>
      <c r="Z2222" t="s">
        <v>27540</v>
      </c>
      <c r="AA2222">
        <v>0.55564513061694676</v>
      </c>
      <c r="AB2222" t="str">
        <f>HYPERLINK("Melting_Curves/meltCurve_P17655_CAPN2.pdf", "Melting_Curves/meltCurve_P17655_CAPN2.pdf")</f>
        <v>Melting_Curves/meltCurve_P17655_CAPN2.pdf</v>
      </c>
    </row>
    <row r="2223" spans="1:28" x14ac:dyDescent="0.25">
      <c r="A2223" t="s">
        <v>2227</v>
      </c>
      <c r="B2223">
        <v>0.99542014353169495</v>
      </c>
      <c r="C2223">
        <v>0.89659950130264798</v>
      </c>
      <c r="D2223">
        <v>0.91172573863173001</v>
      </c>
      <c r="E2223">
        <v>0.68513935433944195</v>
      </c>
      <c r="F2223">
        <v>0.34269822634724401</v>
      </c>
      <c r="G2223">
        <v>8.4599607942024493E-2</v>
      </c>
      <c r="H2223">
        <v>0.15568581538828899</v>
      </c>
      <c r="I2223">
        <v>9.1577890102885598E-2</v>
      </c>
      <c r="J2223">
        <v>0</v>
      </c>
      <c r="K2223">
        <v>7.3165126353803303E-2</v>
      </c>
      <c r="L2223">
        <v>957.38901867364405</v>
      </c>
      <c r="M2223">
        <v>19.929537117498199</v>
      </c>
      <c r="N2223">
        <v>48.305786442687101</v>
      </c>
      <c r="O2223">
        <v>47.562871934731</v>
      </c>
      <c r="P2223">
        <v>-9.9292003782898694E-2</v>
      </c>
      <c r="Q2223">
        <v>5.21692039285514E-2</v>
      </c>
      <c r="R2223">
        <v>0.98516340811873004</v>
      </c>
      <c r="S2223" t="s">
        <v>8625</v>
      </c>
      <c r="T2223" t="s">
        <v>12802</v>
      </c>
      <c r="U2223" t="s">
        <v>12802</v>
      </c>
      <c r="V2223" t="s">
        <v>12802</v>
      </c>
      <c r="W2223" t="s">
        <v>14982</v>
      </c>
      <c r="X2223">
        <v>2</v>
      </c>
      <c r="Y2223" t="s">
        <v>21267</v>
      </c>
      <c r="Z2223" t="s">
        <v>27541</v>
      </c>
      <c r="AA2223">
        <v>0.41346788846455268</v>
      </c>
      <c r="AB2223" t="str">
        <f>HYPERLINK("Melting_Curves/meltCurve_P17676_CEBPB.pdf", "Melting_Curves/meltCurve_P17676_CEBPB.pdf")</f>
        <v>Melting_Curves/meltCurve_P17676_CEBPB.pdf</v>
      </c>
    </row>
    <row r="2224" spans="1:28" x14ac:dyDescent="0.25">
      <c r="A2224" t="s">
        <v>2228</v>
      </c>
      <c r="B2224">
        <v>0.99542014353169495</v>
      </c>
      <c r="C2224">
        <v>1.03291476549134</v>
      </c>
      <c r="D2224">
        <v>1.05643220615338</v>
      </c>
      <c r="E2224">
        <v>0.87159479346623703</v>
      </c>
      <c r="F2224">
        <v>0.376708371274594</v>
      </c>
      <c r="G2224">
        <v>0.14864357474423601</v>
      </c>
      <c r="H2224">
        <v>0.103410550787343</v>
      </c>
      <c r="I2224">
        <v>7.9113148438952396E-2</v>
      </c>
      <c r="J2224">
        <v>9.8361792861469802E-2</v>
      </c>
      <c r="K2224">
        <v>7.1960013304953205E-2</v>
      </c>
      <c r="L2224">
        <v>1684.5830620141801</v>
      </c>
      <c r="M2224">
        <v>34.311915080981997</v>
      </c>
      <c r="N2224">
        <v>49.379660109724803</v>
      </c>
      <c r="O2224">
        <v>48.930284365549397</v>
      </c>
      <c r="P2224">
        <v>-0.15963749195882801</v>
      </c>
      <c r="Q2224">
        <v>8.9403433578188196E-2</v>
      </c>
      <c r="R2224">
        <v>0.99664996750891299</v>
      </c>
      <c r="S2224" t="s">
        <v>8626</v>
      </c>
      <c r="T2224" t="s">
        <v>12802</v>
      </c>
      <c r="U2224" t="s">
        <v>12802</v>
      </c>
      <c r="V2224" t="s">
        <v>12802</v>
      </c>
      <c r="W2224" t="s">
        <v>14983</v>
      </c>
      <c r="X2224">
        <v>16</v>
      </c>
      <c r="Y2224" t="s">
        <v>21268</v>
      </c>
      <c r="Z2224" t="s">
        <v>27542</v>
      </c>
      <c r="AA2224">
        <v>0.46076628632058408</v>
      </c>
      <c r="AB2224" t="str">
        <f>HYPERLINK("Melting_Curves/meltCurve_P17706_2_PTPN2.pdf", "Melting_Curves/meltCurve_P17706_2_PTPN2.pdf")</f>
        <v>Melting_Curves/meltCurve_P17706_2_PTPN2.pdf</v>
      </c>
    </row>
    <row r="2225" spans="1:28" x14ac:dyDescent="0.25">
      <c r="A2225" t="s">
        <v>2229</v>
      </c>
      <c r="B2225">
        <v>0.99542014353169495</v>
      </c>
      <c r="C2225">
        <v>0.92478013934988101</v>
      </c>
      <c r="D2225">
        <v>0.858262398478847</v>
      </c>
      <c r="E2225">
        <v>0.78999428620708301</v>
      </c>
      <c r="F2225">
        <v>0.65177811419371501</v>
      </c>
      <c r="G2225">
        <v>0.52645849873605099</v>
      </c>
      <c r="H2225">
        <v>0.37526086709058798</v>
      </c>
      <c r="I2225">
        <v>0.33334287065982598</v>
      </c>
      <c r="J2225">
        <v>0.21212239219011</v>
      </c>
      <c r="K2225">
        <v>6.6084555528095307E-2</v>
      </c>
      <c r="L2225">
        <v>453.40553896976297</v>
      </c>
      <c r="M2225">
        <v>8.4058099316089692</v>
      </c>
      <c r="N2225">
        <v>53.9395628590526</v>
      </c>
      <c r="O2225">
        <v>51.146012334603</v>
      </c>
      <c r="P2225">
        <v>-4.1125924203635901E-2</v>
      </c>
      <c r="Q2225">
        <v>0</v>
      </c>
      <c r="R2225">
        <v>0.98318106381541104</v>
      </c>
      <c r="S2225" t="s">
        <v>8627</v>
      </c>
      <c r="T2225" t="s">
        <v>12802</v>
      </c>
      <c r="U2225" t="s">
        <v>12802</v>
      </c>
      <c r="V2225" t="s">
        <v>12802</v>
      </c>
      <c r="W2225" t="s">
        <v>14984</v>
      </c>
      <c r="X2225">
        <v>30</v>
      </c>
      <c r="Y2225" t="s">
        <v>21269</v>
      </c>
      <c r="Z2225" t="s">
        <v>27543</v>
      </c>
      <c r="AA2225">
        <v>0.58058504152286128</v>
      </c>
      <c r="AB2225" t="str">
        <f>HYPERLINK("Melting_Curves/meltCurve_P17812_CTPS1.pdf", "Melting_Curves/meltCurve_P17812_CTPS1.pdf")</f>
        <v>Melting_Curves/meltCurve_P17812_CTPS1.pdf</v>
      </c>
    </row>
    <row r="2226" spans="1:28" x14ac:dyDescent="0.25">
      <c r="A2226" t="s">
        <v>2230</v>
      </c>
      <c r="B2226">
        <v>0.99542014353169495</v>
      </c>
      <c r="C2226">
        <v>0.94399891912608302</v>
      </c>
      <c r="D2226">
        <v>0.93401581891552898</v>
      </c>
      <c r="E2226">
        <v>0.77536730629745199</v>
      </c>
      <c r="F2226">
        <v>0.31550217158195398</v>
      </c>
      <c r="G2226">
        <v>0.10215678783564699</v>
      </c>
      <c r="H2226">
        <v>9.4628170312656495E-2</v>
      </c>
      <c r="I2226">
        <v>8.4132221503993798E-2</v>
      </c>
      <c r="J2226">
        <v>9.8713477395156901E-2</v>
      </c>
      <c r="K2226">
        <v>8.76731784101627E-2</v>
      </c>
      <c r="L2226">
        <v>1409.1577488943899</v>
      </c>
      <c r="M2226">
        <v>29.168132041633299</v>
      </c>
      <c r="N2226">
        <v>48.6143621003501</v>
      </c>
      <c r="O2226">
        <v>48.086176551704398</v>
      </c>
      <c r="P2226">
        <v>-0.13904940224767101</v>
      </c>
      <c r="Q2226">
        <v>8.3067042307971198E-2</v>
      </c>
      <c r="R2226">
        <v>0.99630691357271295</v>
      </c>
      <c r="S2226" t="s">
        <v>8628</v>
      </c>
      <c r="T2226" t="s">
        <v>12802</v>
      </c>
      <c r="U2226" t="s">
        <v>12802</v>
      </c>
      <c r="V2226" t="s">
        <v>12802</v>
      </c>
      <c r="W2226" t="s">
        <v>14985</v>
      </c>
      <c r="X2226">
        <v>52</v>
      </c>
      <c r="Y2226" t="s">
        <v>20306</v>
      </c>
      <c r="Z2226" t="s">
        <v>27544</v>
      </c>
      <c r="AA2226">
        <v>0.43457660130375381</v>
      </c>
      <c r="AB2226" t="str">
        <f>HYPERLINK("Melting_Curves/meltCurve_P17844_DDX5.pdf", "Melting_Curves/meltCurve_P17844_DDX5.pdf")</f>
        <v>Melting_Curves/meltCurve_P17844_DDX5.pdf</v>
      </c>
    </row>
    <row r="2227" spans="1:28" x14ac:dyDescent="0.25">
      <c r="A2227" t="s">
        <v>2231</v>
      </c>
      <c r="B2227">
        <v>0.99542014353169495</v>
      </c>
      <c r="C2227">
        <v>0.98874935381948204</v>
      </c>
      <c r="D2227">
        <v>0.97156716404237897</v>
      </c>
      <c r="E2227">
        <v>0.88613466704532495</v>
      </c>
      <c r="F2227">
        <v>0.715654845340299</v>
      </c>
      <c r="G2227">
        <v>0.63006541977003205</v>
      </c>
      <c r="H2227">
        <v>0.38448645739771198</v>
      </c>
      <c r="I2227">
        <v>0.36322921036439398</v>
      </c>
      <c r="J2227">
        <v>0.386717064781399</v>
      </c>
      <c r="K2227">
        <v>0.35086228952600201</v>
      </c>
      <c r="L2227">
        <v>784.472053186675</v>
      </c>
      <c r="M2227">
        <v>15.169882771927499</v>
      </c>
      <c r="N2227">
        <v>55.502003049562397</v>
      </c>
      <c r="O2227">
        <v>50.838833498219103</v>
      </c>
      <c r="P2227">
        <v>-5.0543354969678801E-2</v>
      </c>
      <c r="Q2227">
        <v>0.32252195567257202</v>
      </c>
      <c r="R2227">
        <v>0.98586921328197297</v>
      </c>
      <c r="S2227" t="s">
        <v>8629</v>
      </c>
      <c r="T2227" t="s">
        <v>12802</v>
      </c>
      <c r="U2227" t="s">
        <v>12802</v>
      </c>
      <c r="V2227" t="s">
        <v>12802</v>
      </c>
      <c r="W2227" t="s">
        <v>14986</v>
      </c>
      <c r="X2227">
        <v>22</v>
      </c>
      <c r="Y2227" t="s">
        <v>21270</v>
      </c>
      <c r="Z2227" t="s">
        <v>27545</v>
      </c>
      <c r="AA2227">
        <v>0.6677657617852617</v>
      </c>
      <c r="AB2227" t="str">
        <f>HYPERLINK("Melting_Curves/meltCurve_P17858_PFKL.pdf", "Melting_Curves/meltCurve_P17858_PFKL.pdf")</f>
        <v>Melting_Curves/meltCurve_P17858_PFKL.pdf</v>
      </c>
    </row>
    <row r="2228" spans="1:28" x14ac:dyDescent="0.25">
      <c r="A2228" t="s">
        <v>2232</v>
      </c>
      <c r="B2228">
        <v>0.99542014353169495</v>
      </c>
      <c r="C2228">
        <v>0.90966066768139198</v>
      </c>
      <c r="D2228">
        <v>0.84951052235400903</v>
      </c>
      <c r="E2228">
        <v>0.71327863242939205</v>
      </c>
      <c r="F2228">
        <v>0.50266467050056096</v>
      </c>
      <c r="G2228">
        <v>0.31926649143758401</v>
      </c>
      <c r="H2228">
        <v>0.33804441465399598</v>
      </c>
      <c r="I2228">
        <v>0.29363986001331599</v>
      </c>
      <c r="J2228">
        <v>0.130426184366361</v>
      </c>
      <c r="K2228">
        <v>5.09811683962023E-2</v>
      </c>
      <c r="L2228">
        <v>438.77929788892197</v>
      </c>
      <c r="M2228">
        <v>8.5962377563640295</v>
      </c>
      <c r="N2228">
        <v>51.043178167999002</v>
      </c>
      <c r="O2228">
        <v>48.506124068357998</v>
      </c>
      <c r="P2228">
        <v>-4.43431739188372E-2</v>
      </c>
      <c r="Q2228">
        <v>0</v>
      </c>
      <c r="R2228">
        <v>0.97526103172449596</v>
      </c>
      <c r="S2228" t="s">
        <v>8630</v>
      </c>
      <c r="T2228" t="s">
        <v>12802</v>
      </c>
      <c r="U2228" t="s">
        <v>12802</v>
      </c>
      <c r="V2228" t="s">
        <v>12802</v>
      </c>
      <c r="W2228" t="s">
        <v>14987</v>
      </c>
      <c r="X2228">
        <v>35</v>
      </c>
      <c r="Y2228" t="s">
        <v>21271</v>
      </c>
      <c r="Z2228" t="s">
        <v>27546</v>
      </c>
      <c r="AA2228">
        <v>0.50146549522509176</v>
      </c>
      <c r="AB2228" t="str">
        <f>HYPERLINK("Melting_Curves/meltCurve_P17987_TCP1.pdf", "Melting_Curves/meltCurve_P17987_TCP1.pdf")</f>
        <v>Melting_Curves/meltCurve_P17987_TCP1.pdf</v>
      </c>
    </row>
    <row r="2229" spans="1:28" x14ac:dyDescent="0.25">
      <c r="A2229" t="s">
        <v>2233</v>
      </c>
      <c r="B2229">
        <v>0.99542014353169495</v>
      </c>
      <c r="C2229">
        <v>0.985180079691374</v>
      </c>
      <c r="D2229">
        <v>0.91951293381701404</v>
      </c>
      <c r="E2229">
        <v>0.72409253540655605</v>
      </c>
      <c r="F2229">
        <v>0.27551137852921298</v>
      </c>
      <c r="G2229">
        <v>0.13991482550995199</v>
      </c>
      <c r="H2229">
        <v>0.111084117415859</v>
      </c>
      <c r="I2229">
        <v>8.0178342264881006E-2</v>
      </c>
      <c r="J2229">
        <v>9.2486592584111002E-2</v>
      </c>
      <c r="K2229">
        <v>7.3964202308810401E-2</v>
      </c>
      <c r="L2229">
        <v>1271.82507046368</v>
      </c>
      <c r="M2229">
        <v>26.554460713044399</v>
      </c>
      <c r="N2229">
        <v>48.233344015973202</v>
      </c>
      <c r="O2229">
        <v>47.6258206529318</v>
      </c>
      <c r="P2229">
        <v>-0.12754654710543001</v>
      </c>
      <c r="Q2229">
        <v>8.49831867589083E-2</v>
      </c>
      <c r="R2229">
        <v>0.99814945821357703</v>
      </c>
      <c r="S2229" t="s">
        <v>8631</v>
      </c>
      <c r="T2229" t="s">
        <v>12802</v>
      </c>
      <c r="U2229" t="s">
        <v>12802</v>
      </c>
      <c r="V2229" t="s">
        <v>12802</v>
      </c>
      <c r="W2229" t="s">
        <v>14988</v>
      </c>
      <c r="X2229">
        <v>20</v>
      </c>
      <c r="Y2229" t="s">
        <v>21272</v>
      </c>
      <c r="Z2229" t="s">
        <v>27547</v>
      </c>
      <c r="AA2229">
        <v>0.42419148001819779</v>
      </c>
      <c r="AB2229" t="str">
        <f>HYPERLINK("Melting_Curves/meltCurve_P18031_PTPN1.pdf", "Melting_Curves/meltCurve_P18031_PTPN1.pdf")</f>
        <v>Melting_Curves/meltCurve_P18031_PTPN1.pdf</v>
      </c>
    </row>
    <row r="2230" spans="1:28" x14ac:dyDescent="0.25">
      <c r="A2230" t="s">
        <v>2234</v>
      </c>
      <c r="B2230">
        <v>0.99542014353169495</v>
      </c>
      <c r="C2230">
        <v>0.93831036861863004</v>
      </c>
      <c r="D2230">
        <v>0.95919178290232898</v>
      </c>
      <c r="E2230">
        <v>0.70789876238199201</v>
      </c>
      <c r="F2230">
        <v>0.46130613229018302</v>
      </c>
      <c r="G2230">
        <v>0.18637735541143099</v>
      </c>
      <c r="H2230">
        <v>0.151855766722684</v>
      </c>
      <c r="I2230">
        <v>9.9081620963569206E-2</v>
      </c>
      <c r="J2230">
        <v>0.16231843022181999</v>
      </c>
      <c r="K2230">
        <v>0.14260477184685699</v>
      </c>
      <c r="L2230">
        <v>973.97961819089403</v>
      </c>
      <c r="M2230">
        <v>20.067437905484802</v>
      </c>
      <c r="N2230">
        <v>49.206145208943298</v>
      </c>
      <c r="O2230">
        <v>48.061060989116001</v>
      </c>
      <c r="P2230">
        <v>-9.1895997368003399E-2</v>
      </c>
      <c r="Q2230">
        <v>0.119672931745319</v>
      </c>
      <c r="R2230">
        <v>0.99228088071120701</v>
      </c>
      <c r="S2230" t="s">
        <v>8632</v>
      </c>
      <c r="T2230" t="s">
        <v>12802</v>
      </c>
      <c r="U2230" t="s">
        <v>12802</v>
      </c>
      <c r="V2230" t="s">
        <v>12802</v>
      </c>
      <c r="W2230" t="s">
        <v>14989</v>
      </c>
      <c r="X2230">
        <v>15</v>
      </c>
      <c r="Y2230" t="s">
        <v>21273</v>
      </c>
      <c r="Z2230" t="s">
        <v>27548</v>
      </c>
      <c r="AA2230">
        <v>0.46968225555199028</v>
      </c>
      <c r="AB2230" t="str">
        <f>HYPERLINK("Melting_Curves/meltCurve_P18074_ERCC2.pdf", "Melting_Curves/meltCurve_P18074_ERCC2.pdf")</f>
        <v>Melting_Curves/meltCurve_P18074_ERCC2.pdf</v>
      </c>
    </row>
    <row r="2231" spans="1:28" x14ac:dyDescent="0.25">
      <c r="A2231" t="s">
        <v>2235</v>
      </c>
      <c r="B2231">
        <v>0.99542014353169495</v>
      </c>
      <c r="C2231">
        <v>0.81152138319964295</v>
      </c>
      <c r="D2231">
        <v>0.92820472495121598</v>
      </c>
      <c r="E2231">
        <v>0.80029332788054697</v>
      </c>
      <c r="F2231">
        <v>0.60767570674034499</v>
      </c>
      <c r="G2231">
        <v>0.39016600383803202</v>
      </c>
      <c r="H2231">
        <v>0.21873465434977299</v>
      </c>
      <c r="I2231">
        <v>0.14135375847402201</v>
      </c>
      <c r="J2231">
        <v>0.110541795122979</v>
      </c>
      <c r="K2231">
        <v>9.1714616992590398E-2</v>
      </c>
      <c r="L2231">
        <v>578.39033714180403</v>
      </c>
      <c r="M2231">
        <v>11.178093645504299</v>
      </c>
      <c r="N2231">
        <v>51.7432001400405</v>
      </c>
      <c r="O2231">
        <v>50.170034045973601</v>
      </c>
      <c r="P2231">
        <v>-5.5718711947091798E-2</v>
      </c>
      <c r="Q2231">
        <v>0</v>
      </c>
      <c r="R2231">
        <v>0.97698207364783896</v>
      </c>
      <c r="S2231" t="s">
        <v>8633</v>
      </c>
      <c r="T2231" t="s">
        <v>12802</v>
      </c>
      <c r="U2231" t="s">
        <v>12802</v>
      </c>
      <c r="V2231" t="s">
        <v>12802</v>
      </c>
      <c r="W2231" t="s">
        <v>14990</v>
      </c>
      <c r="X2231">
        <v>8</v>
      </c>
      <c r="Y2231" t="s">
        <v>21274</v>
      </c>
      <c r="Z2231" t="s">
        <v>27549</v>
      </c>
      <c r="AA2231">
        <v>0.51721229748024788</v>
      </c>
      <c r="AB2231" t="str">
        <f>HYPERLINK("Melting_Curves/meltCurve_P18084_ITGB5.pdf", "Melting_Curves/meltCurve_P18084_ITGB5.pdf")</f>
        <v>Melting_Curves/meltCurve_P18084_ITGB5.pdf</v>
      </c>
    </row>
    <row r="2232" spans="1:28" x14ac:dyDescent="0.25">
      <c r="A2232" t="s">
        <v>2236</v>
      </c>
      <c r="B2232">
        <v>0.99542014353169495</v>
      </c>
      <c r="C2232">
        <v>1.0815979704043499</v>
      </c>
      <c r="D2232">
        <v>1.00218300541064</v>
      </c>
      <c r="E2232">
        <v>1.01120942894754</v>
      </c>
      <c r="F2232">
        <v>0.70289952000381295</v>
      </c>
      <c r="G2232">
        <v>0.48884149077875799</v>
      </c>
      <c r="H2232">
        <v>0.13389000762091499</v>
      </c>
      <c r="I2232">
        <v>6.4933464962552895E-2</v>
      </c>
      <c r="J2232">
        <v>5.1172506145190699E-2</v>
      </c>
      <c r="K2232">
        <v>5.3692078175944E-2</v>
      </c>
      <c r="L2232">
        <v>1143.3200588703</v>
      </c>
      <c r="M2232">
        <v>21.602426040543602</v>
      </c>
      <c r="N2232">
        <v>53.046715607694701</v>
      </c>
      <c r="O2232">
        <v>52.478267012768001</v>
      </c>
      <c r="P2232">
        <v>-0.10043616251472</v>
      </c>
      <c r="Q2232">
        <v>2.4074571547788699E-2</v>
      </c>
      <c r="R2232">
        <v>0.98842327135920005</v>
      </c>
      <c r="S2232" t="s">
        <v>8634</v>
      </c>
      <c r="T2232" t="s">
        <v>12802</v>
      </c>
      <c r="U2232" t="s">
        <v>12802</v>
      </c>
      <c r="V2232" t="s">
        <v>12802</v>
      </c>
      <c r="W2232" t="s">
        <v>14991</v>
      </c>
      <c r="X2232">
        <v>7</v>
      </c>
      <c r="Y2232" t="s">
        <v>21275</v>
      </c>
      <c r="Z2232" t="s">
        <v>27550</v>
      </c>
      <c r="AA2232">
        <v>0.55311765483474062</v>
      </c>
      <c r="AB2232" t="str">
        <f>HYPERLINK("Melting_Curves/meltCurve_P18085_ARF4.pdf", "Melting_Curves/meltCurve_P18085_ARF4.pdf")</f>
        <v>Melting_Curves/meltCurve_P18085_ARF4.pdf</v>
      </c>
    </row>
    <row r="2233" spans="1:28" x14ac:dyDescent="0.25">
      <c r="A2233" t="s">
        <v>2237</v>
      </c>
      <c r="B2233">
        <v>0.99542014353169495</v>
      </c>
      <c r="C2233">
        <v>0.88623095676457297</v>
      </c>
      <c r="D2233">
        <v>0.90060334638107997</v>
      </c>
      <c r="E2233">
        <v>0.76072523415958404</v>
      </c>
      <c r="F2233">
        <v>0.59932236057150201</v>
      </c>
      <c r="G2233">
        <v>0.29623542021210397</v>
      </c>
      <c r="H2233">
        <v>0.17080569150727901</v>
      </c>
      <c r="I2233">
        <v>8.7453927687310307E-2</v>
      </c>
      <c r="J2233">
        <v>0.101525090057283</v>
      </c>
      <c r="K2233">
        <v>0.100749624584429</v>
      </c>
      <c r="L2233">
        <v>683.08955415649905</v>
      </c>
      <c r="M2233">
        <v>13.5190111982002</v>
      </c>
      <c r="N2233">
        <v>50.790323273147401</v>
      </c>
      <c r="O2233">
        <v>49.460941569254501</v>
      </c>
      <c r="P2233">
        <v>-6.6038299984204504E-2</v>
      </c>
      <c r="Q2233">
        <v>3.3710472464418099E-2</v>
      </c>
      <c r="R2233">
        <v>0.98755844434628803</v>
      </c>
      <c r="S2233" t="s">
        <v>8635</v>
      </c>
      <c r="T2233" t="s">
        <v>12802</v>
      </c>
      <c r="U2233" t="s">
        <v>12802</v>
      </c>
      <c r="V2233" t="s">
        <v>12802</v>
      </c>
      <c r="W2233" t="s">
        <v>14992</v>
      </c>
      <c r="X2233">
        <v>5</v>
      </c>
      <c r="Y2233" t="s">
        <v>21276</v>
      </c>
      <c r="Z2233" t="s">
        <v>27551</v>
      </c>
      <c r="AA2233">
        <v>0.49216109459887919</v>
      </c>
      <c r="AB2233" t="str">
        <f>HYPERLINK("Melting_Curves/meltCurve_P18124_RPL7.pdf", "Melting_Curves/meltCurve_P18124_RPL7.pdf")</f>
        <v>Melting_Curves/meltCurve_P18124_RPL7.pdf</v>
      </c>
    </row>
    <row r="2234" spans="1:28" x14ac:dyDescent="0.25">
      <c r="A2234" t="s">
        <v>2238</v>
      </c>
      <c r="B2234">
        <v>0.99542014353169495</v>
      </c>
      <c r="C2234">
        <v>1.0063318668485099</v>
      </c>
      <c r="D2234">
        <v>1.10359905409256</v>
      </c>
      <c r="E2234">
        <v>0.92815155512051895</v>
      </c>
      <c r="F2234">
        <v>0.66815875558702598</v>
      </c>
      <c r="G2234">
        <v>0.43248918403874098</v>
      </c>
      <c r="H2234">
        <v>0.29283664610853899</v>
      </c>
      <c r="I2234">
        <v>0.18932852779700299</v>
      </c>
      <c r="J2234">
        <v>0.29211131059860601</v>
      </c>
      <c r="K2234">
        <v>0.39273652414906901</v>
      </c>
      <c r="L2234">
        <v>1411.2185909720099</v>
      </c>
      <c r="M2234">
        <v>27.9173801619961</v>
      </c>
      <c r="N2234">
        <v>52.1650529738316</v>
      </c>
      <c r="O2234">
        <v>50.2925833071561</v>
      </c>
      <c r="P2234">
        <v>-9.8620669806357794E-2</v>
      </c>
      <c r="Q2234">
        <v>0.28935377185851502</v>
      </c>
      <c r="R2234">
        <v>0.96804359904694004</v>
      </c>
      <c r="S2234" t="s">
        <v>8636</v>
      </c>
      <c r="T2234" t="s">
        <v>12802</v>
      </c>
      <c r="U2234" t="s">
        <v>12802</v>
      </c>
      <c r="V2234" t="s">
        <v>12802</v>
      </c>
      <c r="W2234" t="s">
        <v>14993</v>
      </c>
      <c r="X2234">
        <v>6</v>
      </c>
      <c r="Y2234" t="s">
        <v>21277</v>
      </c>
      <c r="Z2234" t="s">
        <v>27552</v>
      </c>
      <c r="AA2234">
        <v>0.61538525575068237</v>
      </c>
      <c r="AB2234" t="str">
        <f>HYPERLINK("Melting_Curves/meltCurve_P18146_EGR1.pdf", "Melting_Curves/meltCurve_P18146_EGR1.pdf")</f>
        <v>Melting_Curves/meltCurve_P18146_EGR1.pdf</v>
      </c>
    </row>
    <row r="2235" spans="1:28" x14ac:dyDescent="0.25">
      <c r="A2235" t="s">
        <v>2239</v>
      </c>
      <c r="B2235">
        <v>0.99542014353169495</v>
      </c>
      <c r="C2235">
        <v>0.97314565802313402</v>
      </c>
      <c r="D2235">
        <v>0.93411137997667903</v>
      </c>
      <c r="E2235">
        <v>0.89932058618144495</v>
      </c>
      <c r="F2235">
        <v>0.761574077541182</v>
      </c>
      <c r="G2235">
        <v>0.62868077016721502</v>
      </c>
      <c r="H2235">
        <v>0.50522334557130699</v>
      </c>
      <c r="I2235">
        <v>0.41430512054947999</v>
      </c>
      <c r="J2235">
        <v>0.25826608038207499</v>
      </c>
      <c r="K2235">
        <v>0.11416374234357</v>
      </c>
      <c r="L2235">
        <v>542.54111417282797</v>
      </c>
      <c r="M2235">
        <v>9.5136251012663298</v>
      </c>
      <c r="N2235">
        <v>57.027780978182797</v>
      </c>
      <c r="O2235">
        <v>54.678689138885701</v>
      </c>
      <c r="P2235">
        <v>-4.3523460878356401E-2</v>
      </c>
      <c r="Q2235">
        <v>0</v>
      </c>
      <c r="R2235">
        <v>0.98609391212693098</v>
      </c>
      <c r="S2235" t="s">
        <v>8637</v>
      </c>
      <c r="T2235" t="s">
        <v>12802</v>
      </c>
      <c r="U2235" t="s">
        <v>12802</v>
      </c>
      <c r="V2235" t="s">
        <v>12802</v>
      </c>
      <c r="W2235" t="s">
        <v>14994</v>
      </c>
      <c r="X2235">
        <v>86</v>
      </c>
      <c r="Y2235" t="s">
        <v>21278</v>
      </c>
      <c r="Z2235" t="s">
        <v>27553</v>
      </c>
      <c r="AA2235">
        <v>0.66460534177808595</v>
      </c>
      <c r="AB2235" t="str">
        <f>HYPERLINK("Melting_Curves/meltCurve_P18206_2_VCL.pdf", "Melting_Curves/meltCurve_P18206_2_VCL.pdf")</f>
        <v>Melting_Curves/meltCurve_P18206_2_VCL.pdf</v>
      </c>
    </row>
    <row r="2236" spans="1:28" x14ac:dyDescent="0.25">
      <c r="A2236" t="s">
        <v>2240</v>
      </c>
      <c r="B2236">
        <v>0.99542014353169495</v>
      </c>
      <c r="C2236">
        <v>0.86260191804257902</v>
      </c>
      <c r="D2236">
        <v>0.76340009105509499</v>
      </c>
      <c r="E2236">
        <v>0.56960884040202397</v>
      </c>
      <c r="F2236">
        <v>0.31362195487826899</v>
      </c>
      <c r="G2236">
        <v>0.17083031865279399</v>
      </c>
      <c r="H2236">
        <v>0.13339407598775599</v>
      </c>
      <c r="I2236">
        <v>9.0001003920279196E-2</v>
      </c>
      <c r="J2236">
        <v>0.13420552450901099</v>
      </c>
      <c r="K2236">
        <v>0.16857505483719501</v>
      </c>
      <c r="L2236">
        <v>663.08466898617496</v>
      </c>
      <c r="M2236">
        <v>14.347117094890301</v>
      </c>
      <c r="N2236">
        <v>46.956799950455903</v>
      </c>
      <c r="O2236">
        <v>45.347197550417398</v>
      </c>
      <c r="P2236">
        <v>-7.1106132452250406E-2</v>
      </c>
      <c r="Q2236">
        <v>0.10112221102981001</v>
      </c>
      <c r="R2236">
        <v>0.98882783706143396</v>
      </c>
      <c r="S2236" t="s">
        <v>8638</v>
      </c>
      <c r="T2236" t="s">
        <v>12802</v>
      </c>
      <c r="U2236" t="s">
        <v>12802</v>
      </c>
      <c r="V2236" t="s">
        <v>12802</v>
      </c>
      <c r="W2236" t="s">
        <v>14995</v>
      </c>
      <c r="X2236">
        <v>3</v>
      </c>
      <c r="Y2236" t="s">
        <v>21279</v>
      </c>
      <c r="Z2236" t="s">
        <v>27554</v>
      </c>
      <c r="AA2236">
        <v>0.3996841213962995</v>
      </c>
      <c r="AB2236" t="str">
        <f>HYPERLINK("Melting_Curves/meltCurve_P18583_6_SON.pdf", "Melting_Curves/meltCurve_P18583_6_SON.pdf")</f>
        <v>Melting_Curves/meltCurve_P18583_6_SON.pdf</v>
      </c>
    </row>
    <row r="2237" spans="1:28" x14ac:dyDescent="0.25">
      <c r="A2237" t="s">
        <v>2241</v>
      </c>
      <c r="B2237">
        <v>0.99542014353169495</v>
      </c>
      <c r="C2237">
        <v>0.91060555275422805</v>
      </c>
      <c r="D2237">
        <v>0.87240732746777805</v>
      </c>
      <c r="E2237">
        <v>0.64324365572970899</v>
      </c>
      <c r="F2237">
        <v>0.38721299354591998</v>
      </c>
      <c r="G2237">
        <v>0.27419887821345101</v>
      </c>
      <c r="H2237">
        <v>0.17991690980569799</v>
      </c>
      <c r="I2237">
        <v>0.152806714963271</v>
      </c>
      <c r="J2237">
        <v>0.23257497358573501</v>
      </c>
      <c r="K2237">
        <v>0.29110204860330602</v>
      </c>
      <c r="L2237">
        <v>860.63628520853104</v>
      </c>
      <c r="M2237">
        <v>18.350334000477901</v>
      </c>
      <c r="N2237">
        <v>48.283333565325101</v>
      </c>
      <c r="O2237">
        <v>46.353981994881202</v>
      </c>
      <c r="P2237">
        <v>-7.8742190817313304E-2</v>
      </c>
      <c r="Q2237">
        <v>0.20440763820416699</v>
      </c>
      <c r="R2237">
        <v>0.98171300326780697</v>
      </c>
      <c r="S2237" t="s">
        <v>8639</v>
      </c>
      <c r="T2237" t="s">
        <v>12802</v>
      </c>
      <c r="U2237" t="s">
        <v>12802</v>
      </c>
      <c r="V2237" t="s">
        <v>12802</v>
      </c>
      <c r="W2237" t="s">
        <v>14996</v>
      </c>
      <c r="X2237">
        <v>16</v>
      </c>
      <c r="Y2237" t="s">
        <v>21280</v>
      </c>
      <c r="Z2237" t="s">
        <v>27555</v>
      </c>
      <c r="AA2237">
        <v>0.479274302561225</v>
      </c>
      <c r="AB2237" t="str">
        <f>HYPERLINK("Melting_Curves/meltCurve_P18615_NELFE.pdf", "Melting_Curves/meltCurve_P18615_NELFE.pdf")</f>
        <v>Melting_Curves/meltCurve_P18615_NELFE.pdf</v>
      </c>
    </row>
    <row r="2238" spans="1:28" x14ac:dyDescent="0.25">
      <c r="A2238" t="s">
        <v>2242</v>
      </c>
      <c r="B2238">
        <v>0.99542014353169495</v>
      </c>
      <c r="C2238">
        <v>0.99896305516525696</v>
      </c>
      <c r="D2238">
        <v>0.98978848155720101</v>
      </c>
      <c r="E2238">
        <v>1.0034602550804601</v>
      </c>
      <c r="F2238">
        <v>0.88431404596114604</v>
      </c>
      <c r="G2238">
        <v>0.75742146271611499</v>
      </c>
      <c r="H2238">
        <v>0.66532623038674998</v>
      </c>
      <c r="I2238">
        <v>0.60756673554618601</v>
      </c>
      <c r="J2238">
        <v>0.90564415175146795</v>
      </c>
      <c r="K2238">
        <v>0.86069402502521497</v>
      </c>
      <c r="L2238">
        <v>12553.880596376401</v>
      </c>
      <c r="M2238">
        <v>250</v>
      </c>
      <c r="O2238">
        <v>50.212328775018797</v>
      </c>
      <c r="P2238">
        <v>-0.299564845893872</v>
      </c>
      <c r="Q2238">
        <v>0.75933051833273701</v>
      </c>
      <c r="R2238">
        <v>0.66375041282923897</v>
      </c>
      <c r="S2238" t="s">
        <v>8640</v>
      </c>
      <c r="T2238" t="s">
        <v>12802</v>
      </c>
      <c r="U2238" t="s">
        <v>12802</v>
      </c>
      <c r="V2238" t="s">
        <v>12802</v>
      </c>
      <c r="W2238" t="s">
        <v>14997</v>
      </c>
      <c r="X2238">
        <v>27</v>
      </c>
      <c r="Y2238" t="s">
        <v>21281</v>
      </c>
      <c r="Z2238" t="s">
        <v>27556</v>
      </c>
      <c r="AA2238">
        <v>0.86537082533897691</v>
      </c>
      <c r="AB2238" t="str">
        <f>HYPERLINK("Melting_Curves/meltCurve_P18669_PGAM1.pdf", "Melting_Curves/meltCurve_P18669_PGAM1.pdf")</f>
        <v>Melting_Curves/meltCurve_P18669_PGAM1.pdf</v>
      </c>
    </row>
    <row r="2239" spans="1:28" x14ac:dyDescent="0.25">
      <c r="A2239" t="s">
        <v>2243</v>
      </c>
      <c r="B2239">
        <v>0.99542014353169495</v>
      </c>
      <c r="C2239">
        <v>1.01181511250676</v>
      </c>
      <c r="D2239">
        <v>1.06448923260548</v>
      </c>
      <c r="E2239">
        <v>0.67143179318854296</v>
      </c>
      <c r="F2239">
        <v>0.14992420166079401</v>
      </c>
      <c r="G2239">
        <v>9.0903273699146095E-2</v>
      </c>
      <c r="H2239">
        <v>5.1180167339481303E-2</v>
      </c>
      <c r="I2239">
        <v>4.0514360710760797E-2</v>
      </c>
      <c r="J2239">
        <v>4.3695189881821903E-2</v>
      </c>
      <c r="K2239">
        <v>5.0149510778723802E-2</v>
      </c>
      <c r="L2239">
        <v>1968.10561077441</v>
      </c>
      <c r="M2239">
        <v>41.557438252550398</v>
      </c>
      <c r="N2239">
        <v>47.493352004856398</v>
      </c>
      <c r="O2239">
        <v>47.249417537343398</v>
      </c>
      <c r="P2239">
        <v>-0.207662510878869</v>
      </c>
      <c r="Q2239">
        <v>5.5580361268906003E-2</v>
      </c>
      <c r="R2239">
        <v>0.995887653310778</v>
      </c>
      <c r="S2239" t="s">
        <v>8641</v>
      </c>
      <c r="T2239" t="s">
        <v>12802</v>
      </c>
      <c r="U2239" t="s">
        <v>12802</v>
      </c>
      <c r="V2239" t="s">
        <v>12802</v>
      </c>
      <c r="W2239" t="s">
        <v>14998</v>
      </c>
      <c r="X2239">
        <v>16</v>
      </c>
      <c r="Y2239" t="s">
        <v>21282</v>
      </c>
      <c r="Z2239" t="s">
        <v>27557</v>
      </c>
      <c r="AA2239">
        <v>0.38454151149716848</v>
      </c>
      <c r="AB2239" t="str">
        <f>HYPERLINK("Melting_Curves/meltCurve_P18754_2_RCC1.pdf", "Melting_Curves/meltCurve_P18754_2_RCC1.pdf")</f>
        <v>Melting_Curves/meltCurve_P18754_2_RCC1.pdf</v>
      </c>
    </row>
    <row r="2240" spans="1:28" x14ac:dyDescent="0.25">
      <c r="A2240" t="s">
        <v>2244</v>
      </c>
      <c r="B2240">
        <v>0.99542014353169495</v>
      </c>
      <c r="C2240">
        <v>1.06956219728391</v>
      </c>
      <c r="D2240">
        <v>0.99263945261824704</v>
      </c>
      <c r="E2240">
        <v>0.817964397139612</v>
      </c>
      <c r="F2240">
        <v>0.69470387349002105</v>
      </c>
      <c r="G2240">
        <v>0.49515210493567802</v>
      </c>
      <c r="H2240">
        <v>0.364458064887769</v>
      </c>
      <c r="I2240">
        <v>0.32432668410473398</v>
      </c>
      <c r="J2240">
        <v>0.68024567825740101</v>
      </c>
      <c r="K2240">
        <v>0.78372117724358303</v>
      </c>
      <c r="L2240">
        <v>1344.45735332546</v>
      </c>
      <c r="M2240">
        <v>28.105412590935199</v>
      </c>
      <c r="O2240">
        <v>47.596035159285201</v>
      </c>
      <c r="P2240">
        <v>-6.8884785776516896E-2</v>
      </c>
      <c r="Q2240">
        <v>0.53338314053598901</v>
      </c>
      <c r="R2240">
        <v>0.72363430991787703</v>
      </c>
      <c r="S2240" t="s">
        <v>8642</v>
      </c>
      <c r="T2240" t="s">
        <v>12802</v>
      </c>
      <c r="U2240" t="s">
        <v>12802</v>
      </c>
      <c r="V2240" t="s">
        <v>12802</v>
      </c>
      <c r="W2240" t="s">
        <v>14999</v>
      </c>
      <c r="X2240">
        <v>5</v>
      </c>
      <c r="Y2240" t="s">
        <v>21283</v>
      </c>
      <c r="Z2240" t="s">
        <v>27558</v>
      </c>
      <c r="AA2240">
        <v>0.70506952381186483</v>
      </c>
      <c r="AB2240" t="str">
        <f>HYPERLINK("Melting_Curves/meltCurve_P18846_ATF1.pdf", "Melting_Curves/meltCurve_P18846_ATF1.pdf")</f>
        <v>Melting_Curves/meltCurve_P18846_ATF1.pdf</v>
      </c>
    </row>
    <row r="2241" spans="1:28" x14ac:dyDescent="0.25">
      <c r="A2241" t="s">
        <v>2245</v>
      </c>
      <c r="B2241">
        <v>0.99542014353169495</v>
      </c>
      <c r="C2241">
        <v>0.86611058511031402</v>
      </c>
      <c r="D2241">
        <v>0.76849513615165599</v>
      </c>
      <c r="E2241">
        <v>0.478946906293996</v>
      </c>
      <c r="F2241">
        <v>0.32252666852865203</v>
      </c>
      <c r="G2241">
        <v>0.15372974028920799</v>
      </c>
      <c r="H2241">
        <v>0.14158378213755099</v>
      </c>
      <c r="I2241">
        <v>7.7769407267207005E-2</v>
      </c>
      <c r="J2241">
        <v>8.5424652780129104E-2</v>
      </c>
      <c r="K2241">
        <v>0.14042215604917399</v>
      </c>
      <c r="L2241">
        <v>655.30575581053404</v>
      </c>
      <c r="M2241">
        <v>14.2748588551165</v>
      </c>
      <c r="N2241">
        <v>46.5029580354283</v>
      </c>
      <c r="O2241">
        <v>45.0335647251054</v>
      </c>
      <c r="P2241">
        <v>-7.26231417853999E-2</v>
      </c>
      <c r="Q2241">
        <v>8.36818425812247E-2</v>
      </c>
      <c r="R2241">
        <v>0.99285438816982496</v>
      </c>
      <c r="S2241" t="s">
        <v>8643</v>
      </c>
      <c r="T2241" t="s">
        <v>12802</v>
      </c>
      <c r="U2241" t="s">
        <v>12802</v>
      </c>
      <c r="V2241" t="s">
        <v>12802</v>
      </c>
      <c r="W2241" t="s">
        <v>15000</v>
      </c>
      <c r="X2241">
        <v>1</v>
      </c>
      <c r="Y2241" t="s">
        <v>21284</v>
      </c>
      <c r="Z2241" t="s">
        <v>27559</v>
      </c>
      <c r="AA2241">
        <v>0.37897662085404432</v>
      </c>
      <c r="AB2241" t="str">
        <f>HYPERLINK("Melting_Curves/meltCurve_P18850_ATF6.pdf", "Melting_Curves/meltCurve_P18850_ATF6.pdf")</f>
        <v>Melting_Curves/meltCurve_P18850_ATF6.pdf</v>
      </c>
    </row>
    <row r="2242" spans="1:28" x14ac:dyDescent="0.25">
      <c r="A2242" t="s">
        <v>2246</v>
      </c>
      <c r="B2242">
        <v>0.99542014353169495</v>
      </c>
      <c r="C2242">
        <v>0.84557509484125803</v>
      </c>
      <c r="D2242">
        <v>0.93413339787806804</v>
      </c>
      <c r="E2242">
        <v>0.75724380185310303</v>
      </c>
      <c r="F2242">
        <v>0.61983668032153705</v>
      </c>
      <c r="G2242">
        <v>0.33395784549276197</v>
      </c>
      <c r="H2242">
        <v>0.364489280819151</v>
      </c>
      <c r="I2242">
        <v>0.48389275438970297</v>
      </c>
      <c r="J2242">
        <v>1.2571454173843799</v>
      </c>
      <c r="K2242">
        <v>2.4985343535276598</v>
      </c>
      <c r="L2242">
        <v>15000</v>
      </c>
      <c r="M2242">
        <v>234.06762451776601</v>
      </c>
      <c r="O2242">
        <v>64.079346890139007</v>
      </c>
      <c r="P2242">
        <v>0.45659710569022799</v>
      </c>
      <c r="Q2242">
        <v>1.5</v>
      </c>
      <c r="R2242">
        <v>0.34462363534191798</v>
      </c>
      <c r="S2242" t="s">
        <v>8644</v>
      </c>
      <c r="T2242" t="s">
        <v>12802</v>
      </c>
      <c r="U2242" t="s">
        <v>12802</v>
      </c>
      <c r="V2242" t="s">
        <v>12802</v>
      </c>
      <c r="W2242" t="s">
        <v>15001</v>
      </c>
      <c r="X2242">
        <v>8</v>
      </c>
      <c r="Y2242" t="s">
        <v>21285</v>
      </c>
      <c r="Z2242" t="s">
        <v>27560</v>
      </c>
      <c r="AA2242">
        <v>1.048535301430819</v>
      </c>
      <c r="AB2242" t="str">
        <f>HYPERLINK("Melting_Curves/meltCurve_P18859_ATP5J.pdf", "Melting_Curves/meltCurve_P18859_ATP5J.pdf")</f>
        <v>Melting_Curves/meltCurve_P18859_ATP5J.pdf</v>
      </c>
    </row>
    <row r="2243" spans="1:28" x14ac:dyDescent="0.25">
      <c r="A2243" t="s">
        <v>2247</v>
      </c>
      <c r="B2243">
        <v>0.99542014353169495</v>
      </c>
      <c r="C2243">
        <v>0.96302321726936402</v>
      </c>
      <c r="D2243">
        <v>0.94830641076296296</v>
      </c>
      <c r="E2243">
        <v>0.59417907050906205</v>
      </c>
      <c r="F2243">
        <v>0.209442966096893</v>
      </c>
      <c r="G2243">
        <v>0.12709961654718199</v>
      </c>
      <c r="H2243">
        <v>7.9201550648603805E-2</v>
      </c>
      <c r="I2243">
        <v>5.8220830148698E-2</v>
      </c>
      <c r="J2243">
        <v>5.4294294646871202E-2</v>
      </c>
      <c r="K2243">
        <v>5.7057041948926399E-2</v>
      </c>
      <c r="L2243">
        <v>1246.7690366270999</v>
      </c>
      <c r="M2243">
        <v>26.471587434836199</v>
      </c>
      <c r="N2243">
        <v>47.345798340244997</v>
      </c>
      <c r="O2243">
        <v>46.832063320593399</v>
      </c>
      <c r="P2243">
        <v>-0.132184677783455</v>
      </c>
      <c r="Q2243">
        <v>6.4594740837128795E-2</v>
      </c>
      <c r="R2243">
        <v>0.99847228402522703</v>
      </c>
      <c r="S2243" t="s">
        <v>8645</v>
      </c>
      <c r="T2243" t="s">
        <v>12802</v>
      </c>
      <c r="U2243" t="s">
        <v>12802</v>
      </c>
      <c r="V2243" t="s">
        <v>12802</v>
      </c>
      <c r="W2243" t="s">
        <v>15002</v>
      </c>
      <c r="X2243">
        <v>21</v>
      </c>
      <c r="Y2243" t="s">
        <v>21286</v>
      </c>
      <c r="Z2243" t="s">
        <v>27561</v>
      </c>
      <c r="AA2243">
        <v>0.38647602468309911</v>
      </c>
      <c r="AB2243" t="str">
        <f>HYPERLINK("Melting_Curves/meltCurve_P19174_2_PLCG1.pdf", "Melting_Curves/meltCurve_P19174_2_PLCG1.pdf")</f>
        <v>Melting_Curves/meltCurve_P19174_2_PLCG1.pdf</v>
      </c>
    </row>
    <row r="2244" spans="1:28" x14ac:dyDescent="0.25">
      <c r="A2244" t="s">
        <v>2248</v>
      </c>
      <c r="B2244">
        <v>0.99542014353169495</v>
      </c>
      <c r="C2244">
        <v>0.93617699840006696</v>
      </c>
      <c r="D2244">
        <v>0.89878607476716899</v>
      </c>
      <c r="E2244">
        <v>0.77735451610724504</v>
      </c>
      <c r="F2244">
        <v>0.56796907519015605</v>
      </c>
      <c r="G2244">
        <v>0.263746077454245</v>
      </c>
      <c r="H2244">
        <v>0.124059572031267</v>
      </c>
      <c r="I2244">
        <v>8.6014125647970396E-2</v>
      </c>
      <c r="J2244">
        <v>9.7076743794846196E-2</v>
      </c>
      <c r="K2244">
        <v>0.124745543160229</v>
      </c>
      <c r="L2244">
        <v>828.79442461365204</v>
      </c>
      <c r="M2244">
        <v>16.574113593085301</v>
      </c>
      <c r="N2244">
        <v>50.426553306859802</v>
      </c>
      <c r="O2244">
        <v>49.294404195178203</v>
      </c>
      <c r="P2244">
        <v>-7.8628364156969693E-2</v>
      </c>
      <c r="Q2244">
        <v>6.4644106144997396E-2</v>
      </c>
      <c r="R2244">
        <v>0.99125975989392501</v>
      </c>
      <c r="S2244" t="s">
        <v>8646</v>
      </c>
      <c r="T2244" t="s">
        <v>12802</v>
      </c>
      <c r="U2244" t="s">
        <v>12802</v>
      </c>
      <c r="V2244" t="s">
        <v>12802</v>
      </c>
      <c r="W2244" t="s">
        <v>15003</v>
      </c>
      <c r="X2244">
        <v>25</v>
      </c>
      <c r="Y2244" t="s">
        <v>21287</v>
      </c>
      <c r="Z2244" t="s">
        <v>27562</v>
      </c>
      <c r="AA2244">
        <v>0.48695564186551399</v>
      </c>
      <c r="AB2244" t="str">
        <f>HYPERLINK("Melting_Curves/meltCurve_P19338_NCL.pdf", "Melting_Curves/meltCurve_P19338_NCL.pdf")</f>
        <v>Melting_Curves/meltCurve_P19338_NCL.pdf</v>
      </c>
    </row>
    <row r="2245" spans="1:28" x14ac:dyDescent="0.25">
      <c r="A2245" t="s">
        <v>2249</v>
      </c>
      <c r="B2245">
        <v>0.99542014353169495</v>
      </c>
      <c r="C2245">
        <v>0.97799879075513096</v>
      </c>
      <c r="D2245">
        <v>0.95723002186339501</v>
      </c>
      <c r="E2245">
        <v>0.86457275090022101</v>
      </c>
      <c r="F2245">
        <v>0.56662267588001702</v>
      </c>
      <c r="G2245">
        <v>0.20867848022358601</v>
      </c>
      <c r="H2245">
        <v>7.3604861256766893E-2</v>
      </c>
      <c r="I2245">
        <v>4.5996332127020902E-2</v>
      </c>
      <c r="J2245">
        <v>4.6220699076182203E-2</v>
      </c>
      <c r="K2245">
        <v>4.61735244779099E-2</v>
      </c>
      <c r="L2245">
        <v>1169.9837848577199</v>
      </c>
      <c r="M2245">
        <v>23.169419201806601</v>
      </c>
      <c r="N2245">
        <v>50.639051862989298</v>
      </c>
      <c r="O2245">
        <v>50.125251146962597</v>
      </c>
      <c r="P2245">
        <v>-0.11192127375954899</v>
      </c>
      <c r="Q2245">
        <v>3.1485678363303501E-2</v>
      </c>
      <c r="R2245">
        <v>0.99875888501167098</v>
      </c>
      <c r="S2245" t="s">
        <v>8647</v>
      </c>
      <c r="T2245" t="s">
        <v>12802</v>
      </c>
      <c r="U2245" t="s">
        <v>12802</v>
      </c>
      <c r="V2245" t="s">
        <v>12802</v>
      </c>
      <c r="W2245" t="s">
        <v>15004</v>
      </c>
      <c r="X2245">
        <v>55</v>
      </c>
      <c r="Y2245" t="s">
        <v>21288</v>
      </c>
      <c r="Z2245" t="s">
        <v>27563</v>
      </c>
      <c r="AA2245">
        <v>0.47702055342997729</v>
      </c>
      <c r="AB2245" t="str">
        <f>HYPERLINK("Melting_Curves/meltCurve_P19367_2_HK1.pdf", "Melting_Curves/meltCurve_P19367_2_HK1.pdf")</f>
        <v>Melting_Curves/meltCurve_P19367_2_HK1.pdf</v>
      </c>
    </row>
    <row r="2246" spans="1:28" x14ac:dyDescent="0.25">
      <c r="A2246" t="s">
        <v>2250</v>
      </c>
      <c r="B2246">
        <v>0.99542014353169495</v>
      </c>
      <c r="C2246">
        <v>0.84907616881224501</v>
      </c>
      <c r="D2246">
        <v>0.80847211030934996</v>
      </c>
      <c r="E2246">
        <v>0.48168068797915498</v>
      </c>
      <c r="F2246">
        <v>0.29037451331842701</v>
      </c>
      <c r="G2246">
        <v>0.13742382248864801</v>
      </c>
      <c r="H2246">
        <v>8.6914892947005995E-2</v>
      </c>
      <c r="I2246">
        <v>8.1224035905397604E-2</v>
      </c>
      <c r="J2246">
        <v>7.6857295878640694E-2</v>
      </c>
      <c r="K2246">
        <v>6.86176702796472E-2</v>
      </c>
      <c r="L2246">
        <v>683.60590127585203</v>
      </c>
      <c r="M2246">
        <v>14.791867272863</v>
      </c>
      <c r="N2246">
        <v>46.556680618214202</v>
      </c>
      <c r="O2246">
        <v>45.394969886710101</v>
      </c>
      <c r="P2246">
        <v>-7.7279967153808596E-2</v>
      </c>
      <c r="Q2246">
        <v>5.1438856283739398E-2</v>
      </c>
      <c r="R2246">
        <v>0.99337608516612996</v>
      </c>
      <c r="S2246" t="s">
        <v>8648</v>
      </c>
      <c r="T2246" t="s">
        <v>12802</v>
      </c>
      <c r="U2246" t="s">
        <v>12802</v>
      </c>
      <c r="V2246" t="s">
        <v>12802</v>
      </c>
      <c r="W2246" t="s">
        <v>15005</v>
      </c>
      <c r="X2246">
        <v>5</v>
      </c>
      <c r="Y2246" t="s">
        <v>21289</v>
      </c>
      <c r="Z2246" t="s">
        <v>27564</v>
      </c>
      <c r="AA2246">
        <v>0.36513366748563741</v>
      </c>
      <c r="AB2246" t="str">
        <f>HYPERLINK("Melting_Curves/meltCurve_P19387_POLR2C.pdf", "Melting_Curves/meltCurve_P19387_POLR2C.pdf")</f>
        <v>Melting_Curves/meltCurve_P19387_POLR2C.pdf</v>
      </c>
    </row>
    <row r="2247" spans="1:28" x14ac:dyDescent="0.25">
      <c r="A2247" t="s">
        <v>2251</v>
      </c>
      <c r="B2247">
        <v>0.99542014353169495</v>
      </c>
      <c r="C2247">
        <v>0.90147584854058205</v>
      </c>
      <c r="D2247">
        <v>0.82111451615564501</v>
      </c>
      <c r="E2247">
        <v>0.432559206620658</v>
      </c>
      <c r="F2247">
        <v>0.26306743455415699</v>
      </c>
      <c r="G2247">
        <v>0.130877458490605</v>
      </c>
      <c r="H2247">
        <v>0.112404501826374</v>
      </c>
      <c r="I2247">
        <v>8.3576779363246603E-2</v>
      </c>
      <c r="J2247">
        <v>9.9002490331106793E-2</v>
      </c>
      <c r="K2247">
        <v>0.15283962744813001</v>
      </c>
      <c r="L2247">
        <v>886.24102491256804</v>
      </c>
      <c r="M2247">
        <v>19.443752980296502</v>
      </c>
      <c r="N2247">
        <v>46.137974028018498</v>
      </c>
      <c r="O2247">
        <v>45.105820286458403</v>
      </c>
      <c r="P2247">
        <v>-9.6475125871246806E-2</v>
      </c>
      <c r="Q2247">
        <v>0.10481665409346801</v>
      </c>
      <c r="R2247">
        <v>0.99322422327960103</v>
      </c>
      <c r="S2247" t="s">
        <v>8649</v>
      </c>
      <c r="T2247" t="s">
        <v>12802</v>
      </c>
      <c r="U2247" t="s">
        <v>12802</v>
      </c>
      <c r="V2247" t="s">
        <v>12802</v>
      </c>
      <c r="W2247" t="s">
        <v>15006</v>
      </c>
      <c r="X2247">
        <v>8</v>
      </c>
      <c r="Y2247" t="s">
        <v>21290</v>
      </c>
      <c r="Z2247" t="s">
        <v>27565</v>
      </c>
      <c r="AA2247">
        <v>0.37324625139354928</v>
      </c>
      <c r="AB2247" t="str">
        <f>HYPERLINK("Melting_Curves/meltCurve_P19388_POLR2E.pdf", "Melting_Curves/meltCurve_P19388_POLR2E.pdf")</f>
        <v>Melting_Curves/meltCurve_P19388_POLR2E.pdf</v>
      </c>
    </row>
    <row r="2248" spans="1:28" x14ac:dyDescent="0.25">
      <c r="A2248" t="s">
        <v>2252</v>
      </c>
      <c r="B2248">
        <v>0.99542014353169495</v>
      </c>
      <c r="C2248">
        <v>0.80163838091869499</v>
      </c>
      <c r="D2248">
        <v>0.38946074821532101</v>
      </c>
      <c r="E2248">
        <v>0.28934820958083401</v>
      </c>
      <c r="F2248">
        <v>0.19819285298162201</v>
      </c>
      <c r="G2248">
        <v>0.10714002950610001</v>
      </c>
      <c r="H2248">
        <v>0.100227307067079</v>
      </c>
      <c r="I2248">
        <v>2.6809868772812301E-2</v>
      </c>
      <c r="J2248">
        <v>6.9798452007361497E-2</v>
      </c>
      <c r="K2248">
        <v>0</v>
      </c>
      <c r="L2248">
        <v>713.95520737129004</v>
      </c>
      <c r="M2248">
        <v>16.797922796871099</v>
      </c>
      <c r="N2248">
        <v>42.851903239553003</v>
      </c>
      <c r="O2248">
        <v>41.913921012289002</v>
      </c>
      <c r="P2248">
        <v>-9.3788062606226394E-2</v>
      </c>
      <c r="Q2248">
        <v>6.3986081845980106E-2</v>
      </c>
      <c r="R2248">
        <v>0.97184587016907298</v>
      </c>
      <c r="S2248" t="s">
        <v>8650</v>
      </c>
      <c r="T2248" t="s">
        <v>12802</v>
      </c>
      <c r="U2248" t="s">
        <v>12802</v>
      </c>
      <c r="V2248" t="s">
        <v>12802</v>
      </c>
      <c r="W2248" t="s">
        <v>15007</v>
      </c>
      <c r="X2248">
        <v>3</v>
      </c>
      <c r="Y2248" t="s">
        <v>21291</v>
      </c>
      <c r="Z2248" t="s">
        <v>27566</v>
      </c>
      <c r="AA2248">
        <v>0.25575093709890939</v>
      </c>
      <c r="AB2248" t="str">
        <f>HYPERLINK("Melting_Curves/meltCurve_P19419_ELK1.pdf", "Melting_Curves/meltCurve_P19419_ELK1.pdf")</f>
        <v>Melting_Curves/meltCurve_P19419_ELK1.pdf</v>
      </c>
    </row>
    <row r="2249" spans="1:28" x14ac:dyDescent="0.25">
      <c r="A2249" t="s">
        <v>2253</v>
      </c>
      <c r="B2249">
        <v>0.99542014353169495</v>
      </c>
      <c r="C2249">
        <v>0.85202643179566495</v>
      </c>
      <c r="D2249">
        <v>0.92440968505409804</v>
      </c>
      <c r="E2249">
        <v>0.543307182162728</v>
      </c>
      <c r="F2249">
        <v>0.27760408554565202</v>
      </c>
      <c r="G2249">
        <v>0.16316299184399799</v>
      </c>
      <c r="H2249">
        <v>7.5519362826389005E-2</v>
      </c>
      <c r="I2249">
        <v>6.1915569506385097E-2</v>
      </c>
      <c r="J2249">
        <v>4.31912856266949E-2</v>
      </c>
      <c r="K2249">
        <v>3.9029177093874302E-2</v>
      </c>
      <c r="L2249">
        <v>820.27406354533002</v>
      </c>
      <c r="M2249">
        <v>17.3994366952749</v>
      </c>
      <c r="N2249">
        <v>47.365990962537801</v>
      </c>
      <c r="O2249">
        <v>46.534196210319401</v>
      </c>
      <c r="P2249">
        <v>-8.9817075683860104E-2</v>
      </c>
      <c r="Q2249">
        <v>3.9203390733150101E-2</v>
      </c>
      <c r="R2249">
        <v>0.98647076026075398</v>
      </c>
      <c r="S2249" t="s">
        <v>8651</v>
      </c>
      <c r="T2249" t="s">
        <v>12802</v>
      </c>
      <c r="U2249" t="s">
        <v>12802</v>
      </c>
      <c r="V2249" t="s">
        <v>12802</v>
      </c>
      <c r="W2249" t="s">
        <v>15008</v>
      </c>
      <c r="X2249">
        <v>6</v>
      </c>
      <c r="Y2249" t="s">
        <v>21292</v>
      </c>
      <c r="Z2249" t="s">
        <v>27567</v>
      </c>
      <c r="AA2249">
        <v>0.3805052518017859</v>
      </c>
      <c r="AB2249" t="str">
        <f>HYPERLINK("Melting_Curves/meltCurve_P19447_ERCC3.pdf", "Melting_Curves/meltCurve_P19447_ERCC3.pdf")</f>
        <v>Melting_Curves/meltCurve_P19447_ERCC3.pdf</v>
      </c>
    </row>
    <row r="2250" spans="1:28" x14ac:dyDescent="0.25">
      <c r="A2250" t="s">
        <v>2254</v>
      </c>
      <c r="B2250">
        <v>0.99542014353169495</v>
      </c>
      <c r="C2250">
        <v>0.94930650904690705</v>
      </c>
      <c r="D2250">
        <v>0.74663337660515505</v>
      </c>
      <c r="E2250">
        <v>0.33758112895363601</v>
      </c>
      <c r="F2250">
        <v>0.176898417794177</v>
      </c>
      <c r="G2250">
        <v>8.9911970160981403E-2</v>
      </c>
      <c r="H2250">
        <v>6.8825657081773503E-2</v>
      </c>
      <c r="I2250">
        <v>4.34297738441548E-2</v>
      </c>
      <c r="J2250">
        <v>6.2822758663010098E-2</v>
      </c>
      <c r="K2250">
        <v>8.8453331932149895E-2</v>
      </c>
      <c r="L2250">
        <v>989.01056637629199</v>
      </c>
      <c r="M2250">
        <v>22.0373413367982</v>
      </c>
      <c r="N2250">
        <v>45.172699827098199</v>
      </c>
      <c r="O2250">
        <v>44.514203961084398</v>
      </c>
      <c r="P2250">
        <v>-0.11550408430898799</v>
      </c>
      <c r="Q2250">
        <v>6.6773406037300601E-2</v>
      </c>
      <c r="R2250">
        <v>0.99832604110697398</v>
      </c>
      <c r="S2250" t="s">
        <v>8652</v>
      </c>
      <c r="T2250" t="s">
        <v>12802</v>
      </c>
      <c r="U2250" t="s">
        <v>12802</v>
      </c>
      <c r="V2250" t="s">
        <v>12802</v>
      </c>
      <c r="W2250" t="s">
        <v>15009</v>
      </c>
      <c r="X2250">
        <v>5</v>
      </c>
      <c r="Y2250" t="s">
        <v>21293</v>
      </c>
      <c r="Z2250" t="s">
        <v>27568</v>
      </c>
      <c r="AA2250">
        <v>0.32186282229403029</v>
      </c>
      <c r="AB2250" t="str">
        <f>HYPERLINK("Melting_Curves/meltCurve_P19525_2_EIF2AK2.pdf", "Melting_Curves/meltCurve_P19525_2_EIF2AK2.pdf")</f>
        <v>Melting_Curves/meltCurve_P19525_2_EIF2AK2.pdf</v>
      </c>
    </row>
    <row r="2251" spans="1:28" x14ac:dyDescent="0.25">
      <c r="A2251" t="s">
        <v>2255</v>
      </c>
      <c r="B2251">
        <v>0.99542014353169495</v>
      </c>
      <c r="C2251">
        <v>1.01623637615379</v>
      </c>
      <c r="D2251">
        <v>1.00197841847088</v>
      </c>
      <c r="E2251">
        <v>0.67108679778261304</v>
      </c>
      <c r="F2251">
        <v>0.407225602200185</v>
      </c>
      <c r="G2251">
        <v>0.243932825352944</v>
      </c>
      <c r="H2251">
        <v>0.14089903080416899</v>
      </c>
      <c r="I2251">
        <v>9.7625005407328602E-2</v>
      </c>
      <c r="J2251">
        <v>0.12698865810666601</v>
      </c>
      <c r="K2251">
        <v>0.18005522165986501</v>
      </c>
      <c r="L2251">
        <v>1032.8209597121099</v>
      </c>
      <c r="M2251">
        <v>21.447500086738199</v>
      </c>
      <c r="N2251">
        <v>48.862093414448303</v>
      </c>
      <c r="O2251">
        <v>47.742994086423103</v>
      </c>
      <c r="P2251">
        <v>-9.7340523197179896E-2</v>
      </c>
      <c r="Q2251">
        <v>0.133285810217181</v>
      </c>
      <c r="R2251">
        <v>0.99117780575477199</v>
      </c>
      <c r="S2251" t="s">
        <v>8653</v>
      </c>
      <c r="T2251" t="s">
        <v>12802</v>
      </c>
      <c r="U2251" t="s">
        <v>12802</v>
      </c>
      <c r="V2251" t="s">
        <v>12802</v>
      </c>
      <c r="W2251" t="s">
        <v>15010</v>
      </c>
      <c r="X2251">
        <v>3</v>
      </c>
      <c r="Y2251" t="s">
        <v>21294</v>
      </c>
      <c r="Z2251" t="s">
        <v>27569</v>
      </c>
      <c r="AA2251">
        <v>0.46555870423860563</v>
      </c>
      <c r="AB2251" t="str">
        <f>HYPERLINK("Melting_Curves/meltCurve_P19532_TFE3.pdf", "Melting_Curves/meltCurve_P19532_TFE3.pdf")</f>
        <v>Melting_Curves/meltCurve_P19532_TFE3.pdf</v>
      </c>
    </row>
    <row r="2252" spans="1:28" x14ac:dyDescent="0.25">
      <c r="A2252" t="s">
        <v>2256</v>
      </c>
      <c r="B2252">
        <v>0.99542014353169495</v>
      </c>
      <c r="C2252">
        <v>0.97717995424778703</v>
      </c>
      <c r="D2252">
        <v>0.91042652991089701</v>
      </c>
      <c r="E2252">
        <v>0.92525706029909305</v>
      </c>
      <c r="F2252">
        <v>0.66074521793276098</v>
      </c>
      <c r="G2252">
        <v>0.28882851678022697</v>
      </c>
      <c r="H2252">
        <v>6.0978156116137799E-2</v>
      </c>
      <c r="I2252">
        <v>3.8615901400144897E-2</v>
      </c>
      <c r="J2252">
        <v>3.3678710116908601E-2</v>
      </c>
      <c r="K2252">
        <v>3.7140827533533302E-2</v>
      </c>
      <c r="L2252">
        <v>1233.8074196641001</v>
      </c>
      <c r="M2252">
        <v>23.9558015954353</v>
      </c>
      <c r="N2252">
        <v>51.579196351077897</v>
      </c>
      <c r="O2252">
        <v>51.148622853646202</v>
      </c>
      <c r="P2252">
        <v>-0.11506829972560199</v>
      </c>
      <c r="Q2252">
        <v>1.72750007859221E-2</v>
      </c>
      <c r="R2252">
        <v>0.99498999975979197</v>
      </c>
      <c r="S2252" t="s">
        <v>8654</v>
      </c>
      <c r="T2252" t="s">
        <v>12802</v>
      </c>
      <c r="U2252" t="s">
        <v>12802</v>
      </c>
      <c r="V2252" t="s">
        <v>12802</v>
      </c>
      <c r="W2252" t="s">
        <v>15011</v>
      </c>
      <c r="X2252">
        <v>12</v>
      </c>
      <c r="Y2252" t="s">
        <v>21295</v>
      </c>
      <c r="Z2252" t="s">
        <v>27570</v>
      </c>
      <c r="AA2252">
        <v>0.50176650870902084</v>
      </c>
      <c r="AB2252" t="str">
        <f>HYPERLINK("Melting_Curves/meltCurve_P19623_SRM.pdf", "Melting_Curves/meltCurve_P19623_SRM.pdf")</f>
        <v>Melting_Curves/meltCurve_P19623_SRM.pdf</v>
      </c>
    </row>
    <row r="2253" spans="1:28" x14ac:dyDescent="0.25">
      <c r="A2253" t="s">
        <v>2257</v>
      </c>
      <c r="B2253">
        <v>0.99542014353169495</v>
      </c>
      <c r="C2253">
        <v>0.90822695415605204</v>
      </c>
      <c r="D2253">
        <v>0.90740382010708598</v>
      </c>
      <c r="E2253">
        <v>0.83057102402295602</v>
      </c>
      <c r="F2253">
        <v>0.67941372769484298</v>
      </c>
      <c r="G2253">
        <v>0.33845979739377702</v>
      </c>
      <c r="H2253">
        <v>0.12646717182002201</v>
      </c>
      <c r="I2253">
        <v>8.4097322816425096E-2</v>
      </c>
      <c r="J2253">
        <v>8.2126318540387697E-2</v>
      </c>
      <c r="K2253">
        <v>8.3857418848101495E-2</v>
      </c>
      <c r="L2253">
        <v>885.10047305436899</v>
      </c>
      <c r="M2253">
        <v>17.1980327718653</v>
      </c>
      <c r="N2253">
        <v>51.690517977040301</v>
      </c>
      <c r="O2253">
        <v>50.784495533649803</v>
      </c>
      <c r="P2253">
        <v>-8.1609519581134798E-2</v>
      </c>
      <c r="Q2253">
        <v>3.6109834802720397E-2</v>
      </c>
      <c r="R2253">
        <v>0.98632942442514704</v>
      </c>
      <c r="S2253" t="s">
        <v>8655</v>
      </c>
      <c r="T2253" t="s">
        <v>12802</v>
      </c>
      <c r="U2253" t="s">
        <v>12802</v>
      </c>
      <c r="V2253" t="s">
        <v>12802</v>
      </c>
      <c r="W2253" t="s">
        <v>13307</v>
      </c>
      <c r="X2253">
        <v>19</v>
      </c>
      <c r="Y2253" t="s">
        <v>21296</v>
      </c>
      <c r="Z2253" t="s">
        <v>27571</v>
      </c>
      <c r="AA2253">
        <v>0.51668744886080409</v>
      </c>
      <c r="AB2253" t="str">
        <f>HYPERLINK("Melting_Curves/meltCurve_P19784_CSNK2A2.pdf", "Melting_Curves/meltCurve_P19784_CSNK2A2.pdf")</f>
        <v>Melting_Curves/meltCurve_P19784_CSNK2A2.pdf</v>
      </c>
    </row>
    <row r="2254" spans="1:28" x14ac:dyDescent="0.25">
      <c r="A2254" t="s">
        <v>2258</v>
      </c>
      <c r="B2254">
        <v>0.99542014353169495</v>
      </c>
      <c r="C2254">
        <v>0.90421239699785205</v>
      </c>
      <c r="D2254">
        <v>0.85790713216880399</v>
      </c>
      <c r="E2254">
        <v>0.47430980749047003</v>
      </c>
      <c r="F2254">
        <v>0.27490884304924201</v>
      </c>
      <c r="G2254">
        <v>0.15193195200992199</v>
      </c>
      <c r="H2254">
        <v>0.11899574421937401</v>
      </c>
      <c r="I2254">
        <v>6.2502763676745302E-2</v>
      </c>
      <c r="J2254">
        <v>6.6239119809167094E-2</v>
      </c>
      <c r="K2254">
        <v>5.5855197190051997E-2</v>
      </c>
      <c r="L2254">
        <v>798.90188813408702</v>
      </c>
      <c r="M2254">
        <v>17.225028184214501</v>
      </c>
      <c r="N2254">
        <v>46.742785888596501</v>
      </c>
      <c r="O2254">
        <v>45.768711984239602</v>
      </c>
      <c r="P2254">
        <v>-8.8210063215869897E-2</v>
      </c>
      <c r="Q2254">
        <v>6.25213421445798E-2</v>
      </c>
      <c r="R2254">
        <v>0.99474320653701598</v>
      </c>
      <c r="S2254" t="s">
        <v>8656</v>
      </c>
      <c r="T2254" t="s">
        <v>12802</v>
      </c>
      <c r="U2254" t="s">
        <v>12802</v>
      </c>
      <c r="V2254" t="s">
        <v>12802</v>
      </c>
      <c r="W2254" t="s">
        <v>15012</v>
      </c>
      <c r="X2254">
        <v>8</v>
      </c>
      <c r="Y2254" t="s">
        <v>21297</v>
      </c>
      <c r="Z2254" t="s">
        <v>27572</v>
      </c>
      <c r="AA2254">
        <v>0.37210873144999379</v>
      </c>
      <c r="AB2254" t="str">
        <f>HYPERLINK("Melting_Curves/meltCurve_P19838_NFKB1.pdf", "Melting_Curves/meltCurve_P19838_NFKB1.pdf")</f>
        <v>Melting_Curves/meltCurve_P19838_NFKB1.pdf</v>
      </c>
    </row>
    <row r="2255" spans="1:28" x14ac:dyDescent="0.25">
      <c r="A2255" t="s">
        <v>2259</v>
      </c>
      <c r="B2255">
        <v>0.99542014353169495</v>
      </c>
      <c r="C2255">
        <v>0.92578227489883902</v>
      </c>
      <c r="D2255">
        <v>0.97707043635059199</v>
      </c>
      <c r="E2255">
        <v>0.88228745216807503</v>
      </c>
      <c r="F2255">
        <v>0.81725895732403897</v>
      </c>
      <c r="G2255">
        <v>0.55904934807503903</v>
      </c>
      <c r="H2255">
        <v>0.31563292580853097</v>
      </c>
      <c r="I2255">
        <v>6.6188286085970396E-2</v>
      </c>
      <c r="J2255">
        <v>4.61084873675447E-2</v>
      </c>
      <c r="K2255">
        <v>4.7867203266907798E-2</v>
      </c>
      <c r="L2255">
        <v>954.714888949027</v>
      </c>
      <c r="M2255">
        <v>17.5644516023611</v>
      </c>
      <c r="N2255">
        <v>54.354951226787698</v>
      </c>
      <c r="O2255">
        <v>53.665068094816199</v>
      </c>
      <c r="P2255">
        <v>-8.1828863291370998E-2</v>
      </c>
      <c r="Q2255">
        <v>0</v>
      </c>
      <c r="R2255">
        <v>0.98955590492844203</v>
      </c>
      <c r="S2255" t="s">
        <v>8657</v>
      </c>
      <c r="T2255" t="s">
        <v>12802</v>
      </c>
      <c r="U2255" t="s">
        <v>12802</v>
      </c>
      <c r="V2255" t="s">
        <v>12802</v>
      </c>
      <c r="W2255" t="s">
        <v>15013</v>
      </c>
      <c r="X2255">
        <v>26</v>
      </c>
      <c r="Y2255" t="s">
        <v>21298</v>
      </c>
      <c r="Z2255" t="s">
        <v>27573</v>
      </c>
      <c r="AA2255">
        <v>0.59217542466781137</v>
      </c>
      <c r="AB2255" t="str">
        <f>HYPERLINK("Melting_Curves/meltCurve_P20020_6_ATP2B1.pdf", "Melting_Curves/meltCurve_P20020_6_ATP2B1.pdf")</f>
        <v>Melting_Curves/meltCurve_P20020_6_ATP2B1.pdf</v>
      </c>
    </row>
    <row r="2256" spans="1:28" x14ac:dyDescent="0.25">
      <c r="A2256" t="s">
        <v>2260</v>
      </c>
      <c r="B2256">
        <v>0.99542014353169495</v>
      </c>
      <c r="C2256">
        <v>1.0062829382932801</v>
      </c>
      <c r="D2256">
        <v>1.0087917992965001</v>
      </c>
      <c r="E2256">
        <v>0.91023283879106598</v>
      </c>
      <c r="F2256">
        <v>0.70407703140293199</v>
      </c>
      <c r="G2256">
        <v>0.51386250734473504</v>
      </c>
      <c r="H2256">
        <v>0.18502244036474899</v>
      </c>
      <c r="I2256">
        <v>8.76571784370926E-2</v>
      </c>
      <c r="J2256">
        <v>6.8520110588851602E-2</v>
      </c>
      <c r="K2256">
        <v>7.0472398150429993E-2</v>
      </c>
      <c r="L2256">
        <v>932.71523278479594</v>
      </c>
      <c r="M2256">
        <v>17.5702494576352</v>
      </c>
      <c r="N2256">
        <v>53.205437738261899</v>
      </c>
      <c r="O2256">
        <v>52.411589683831899</v>
      </c>
      <c r="P2256">
        <v>-8.2178400022142994E-2</v>
      </c>
      <c r="Q2256">
        <v>1.95092317110971E-2</v>
      </c>
      <c r="R2256">
        <v>0.994540488214542</v>
      </c>
      <c r="S2256" t="s">
        <v>8658</v>
      </c>
      <c r="T2256" t="s">
        <v>12802</v>
      </c>
      <c r="U2256" t="s">
        <v>12802</v>
      </c>
      <c r="V2256" t="s">
        <v>12802</v>
      </c>
      <c r="W2256" t="s">
        <v>15014</v>
      </c>
      <c r="X2256">
        <v>25</v>
      </c>
      <c r="Y2256" t="s">
        <v>21299</v>
      </c>
      <c r="Z2256" t="s">
        <v>27574</v>
      </c>
      <c r="AA2256">
        <v>0.55984575066971864</v>
      </c>
      <c r="AB2256" t="str">
        <f>HYPERLINK("Melting_Curves/meltCurve_P20042_EIF2S2.pdf", "Melting_Curves/meltCurve_P20042_EIF2S2.pdf")</f>
        <v>Melting_Curves/meltCurve_P20042_EIF2S2.pdf</v>
      </c>
    </row>
    <row r="2257" spans="1:28" x14ac:dyDescent="0.25">
      <c r="A2257" t="s">
        <v>2261</v>
      </c>
      <c r="B2257">
        <v>0.99542014353169495</v>
      </c>
      <c r="C2257">
        <v>1.05997443206685</v>
      </c>
      <c r="D2257">
        <v>0.91637218397329301</v>
      </c>
      <c r="E2257">
        <v>0.79445333247385497</v>
      </c>
      <c r="F2257">
        <v>0.69221248215262399</v>
      </c>
      <c r="G2257">
        <v>0.31487939783707802</v>
      </c>
      <c r="H2257">
        <v>0.29457645084992701</v>
      </c>
      <c r="I2257">
        <v>0.19398601243942301</v>
      </c>
      <c r="J2257">
        <v>0.235268000906833</v>
      </c>
      <c r="K2257">
        <v>0.21909382871470301</v>
      </c>
      <c r="L2257">
        <v>892.73580544693596</v>
      </c>
      <c r="M2257">
        <v>17.735470653341199</v>
      </c>
      <c r="N2257">
        <v>51.762421747194502</v>
      </c>
      <c r="O2257">
        <v>49.709287587098601</v>
      </c>
      <c r="P2257">
        <v>-7.1959779226990803E-2</v>
      </c>
      <c r="Q2257">
        <v>0.19328129107567099</v>
      </c>
      <c r="R2257">
        <v>0.97837031856744505</v>
      </c>
      <c r="S2257" t="s">
        <v>8659</v>
      </c>
      <c r="T2257" t="s">
        <v>12802</v>
      </c>
      <c r="U2257" t="s">
        <v>12802</v>
      </c>
      <c r="V2257" t="s">
        <v>12802</v>
      </c>
      <c r="W2257" t="s">
        <v>15015</v>
      </c>
      <c r="X2257">
        <v>2</v>
      </c>
      <c r="Y2257" t="s">
        <v>21300</v>
      </c>
      <c r="Z2257" t="s">
        <v>27575</v>
      </c>
      <c r="AA2257">
        <v>0.56485810985891505</v>
      </c>
      <c r="AB2257" t="str">
        <f>HYPERLINK("Melting_Curves/meltCurve_P20138_2_CD33.pdf", "Melting_Curves/meltCurve_P20138_2_CD33.pdf")</f>
        <v>Melting_Curves/meltCurve_P20138_2_CD33.pdf</v>
      </c>
    </row>
    <row r="2258" spans="1:28" x14ac:dyDescent="0.25">
      <c r="A2258" t="s">
        <v>2262</v>
      </c>
      <c r="B2258">
        <v>0.99542014353169495</v>
      </c>
      <c r="C2258">
        <v>1.02773401432661</v>
      </c>
      <c r="D2258">
        <v>1.0071155735714099</v>
      </c>
      <c r="E2258">
        <v>0.91701513176678995</v>
      </c>
      <c r="F2258">
        <v>0.77167627214664802</v>
      </c>
      <c r="G2258">
        <v>0.61697072034600997</v>
      </c>
      <c r="H2258">
        <v>0.40863500959089799</v>
      </c>
      <c r="I2258">
        <v>0.374051886031946</v>
      </c>
      <c r="J2258">
        <v>0.39498323692787202</v>
      </c>
      <c r="K2258">
        <v>0.25619856091920101</v>
      </c>
      <c r="L2258">
        <v>835.24900095221506</v>
      </c>
      <c r="M2258">
        <v>15.8071440841316</v>
      </c>
      <c r="N2258">
        <v>55.853798366506702</v>
      </c>
      <c r="O2258">
        <v>52.015979940280602</v>
      </c>
      <c r="P2258">
        <v>-5.4178939238874603E-2</v>
      </c>
      <c r="Q2258">
        <v>0.28692028786447099</v>
      </c>
      <c r="R2258">
        <v>0.98629394738447296</v>
      </c>
      <c r="S2258" t="s">
        <v>8660</v>
      </c>
      <c r="T2258" t="s">
        <v>12802</v>
      </c>
      <c r="U2258" t="s">
        <v>12802</v>
      </c>
      <c r="V2258" t="s">
        <v>12802</v>
      </c>
      <c r="W2258" t="s">
        <v>15016</v>
      </c>
      <c r="X2258">
        <v>7</v>
      </c>
      <c r="Y2258" t="s">
        <v>21301</v>
      </c>
      <c r="Z2258" t="s">
        <v>27576</v>
      </c>
      <c r="AA2258">
        <v>0.67563107906916875</v>
      </c>
      <c r="AB2258" t="str">
        <f>HYPERLINK("Melting_Curves/meltCurve_P20248_CCNA2.pdf", "Melting_Curves/meltCurve_P20248_CCNA2.pdf")</f>
        <v>Melting_Curves/meltCurve_P20248_CCNA2.pdf</v>
      </c>
    </row>
    <row r="2259" spans="1:28" x14ac:dyDescent="0.25">
      <c r="A2259" t="s">
        <v>2263</v>
      </c>
      <c r="B2259">
        <v>0.99542014353169495</v>
      </c>
      <c r="C2259">
        <v>1.1691591843554401</v>
      </c>
      <c r="D2259">
        <v>1.1590855295632101</v>
      </c>
      <c r="E2259">
        <v>1.23098517400798</v>
      </c>
      <c r="F2259">
        <v>1.0484081579876601</v>
      </c>
      <c r="G2259">
        <v>0.85583292130593303</v>
      </c>
      <c r="H2259">
        <v>0.81527360655912096</v>
      </c>
      <c r="I2259">
        <v>0.933683377417447</v>
      </c>
      <c r="J2259">
        <v>1.4029615191654701</v>
      </c>
      <c r="K2259">
        <v>1.7251200244206499</v>
      </c>
      <c r="L2259">
        <v>15000</v>
      </c>
      <c r="M2259">
        <v>235.43311664118499</v>
      </c>
      <c r="O2259">
        <v>63.707766586045899</v>
      </c>
      <c r="P2259">
        <v>0.46193960262226702</v>
      </c>
      <c r="Q2259">
        <v>1.5</v>
      </c>
      <c r="R2259">
        <v>0.67637325281618299</v>
      </c>
      <c r="S2259" t="s">
        <v>8661</v>
      </c>
      <c r="T2259" t="s">
        <v>12802</v>
      </c>
      <c r="U2259" t="s">
        <v>12802</v>
      </c>
      <c r="V2259" t="s">
        <v>12802</v>
      </c>
      <c r="W2259" t="s">
        <v>15017</v>
      </c>
      <c r="X2259">
        <v>11</v>
      </c>
      <c r="Y2259" t="s">
        <v>21302</v>
      </c>
      <c r="Z2259" t="s">
        <v>27577</v>
      </c>
      <c r="AA2259">
        <v>1.054730970648146</v>
      </c>
      <c r="AB2259" t="str">
        <f>HYPERLINK("Melting_Curves/meltCurve_P20290_BTF3.pdf", "Melting_Curves/meltCurve_P20290_BTF3.pdf")</f>
        <v>Melting_Curves/meltCurve_P20290_BTF3.pdf</v>
      </c>
    </row>
    <row r="2260" spans="1:28" x14ac:dyDescent="0.25">
      <c r="A2260" t="s">
        <v>2264</v>
      </c>
      <c r="B2260">
        <v>0.99542014353169495</v>
      </c>
      <c r="C2260">
        <v>1.04824258473007</v>
      </c>
      <c r="D2260">
        <v>1.0545885887131601</v>
      </c>
      <c r="E2260">
        <v>0.89974489342523101</v>
      </c>
      <c r="F2260">
        <v>0.68239348194566996</v>
      </c>
      <c r="G2260">
        <v>0.50422076094844503</v>
      </c>
      <c r="H2260">
        <v>0.30982668602528501</v>
      </c>
      <c r="I2260">
        <v>0.25894848285496103</v>
      </c>
      <c r="J2260">
        <v>0.91017655481711401</v>
      </c>
      <c r="K2260">
        <v>1.3083675463909801</v>
      </c>
      <c r="L2260">
        <v>2907.5632996097202</v>
      </c>
      <c r="M2260">
        <v>61.500407149216898</v>
      </c>
      <c r="O2260">
        <v>47.227223561729197</v>
      </c>
      <c r="P2260">
        <v>-0.11047664350860099</v>
      </c>
      <c r="Q2260">
        <v>0.66065240803735104</v>
      </c>
      <c r="R2260">
        <v>0.26222811837739701</v>
      </c>
      <c r="S2260" t="s">
        <v>8662</v>
      </c>
      <c r="T2260" t="s">
        <v>12802</v>
      </c>
      <c r="U2260" t="s">
        <v>12802</v>
      </c>
      <c r="V2260" t="s">
        <v>12802</v>
      </c>
      <c r="W2260" t="s">
        <v>15018</v>
      </c>
      <c r="X2260">
        <v>10</v>
      </c>
      <c r="Y2260" t="s">
        <v>21302</v>
      </c>
      <c r="Z2260" t="s">
        <v>27578</v>
      </c>
      <c r="AA2260">
        <v>0.77737002215299733</v>
      </c>
      <c r="AB2260" t="str">
        <f>HYPERLINK("Melting_Curves/meltCurve_P20290_2_BTF3.pdf", "Melting_Curves/meltCurve_P20290_2_BTF3.pdf")</f>
        <v>Melting_Curves/meltCurve_P20290_2_BTF3.pdf</v>
      </c>
    </row>
    <row r="2261" spans="1:28" x14ac:dyDescent="0.25">
      <c r="A2261" t="s">
        <v>2265</v>
      </c>
      <c r="B2261">
        <v>0.99542014353169495</v>
      </c>
      <c r="C2261">
        <v>1.0060442635962901</v>
      </c>
      <c r="D2261">
        <v>0.95102387823178403</v>
      </c>
      <c r="E2261">
        <v>0.90253406359553201</v>
      </c>
      <c r="F2261">
        <v>0.64208005762338605</v>
      </c>
      <c r="G2261">
        <v>0.48934069116555101</v>
      </c>
      <c r="H2261">
        <v>0.343928358077143</v>
      </c>
      <c r="I2261">
        <v>0.29103195486010203</v>
      </c>
      <c r="J2261">
        <v>0.39113844850355001</v>
      </c>
      <c r="K2261">
        <v>0.43448983844717298</v>
      </c>
      <c r="L2261">
        <v>1181.7116192019801</v>
      </c>
      <c r="M2261">
        <v>23.733797215246501</v>
      </c>
      <c r="N2261">
        <v>52.651269290055303</v>
      </c>
      <c r="O2261">
        <v>49.440809295150999</v>
      </c>
      <c r="P2261">
        <v>-7.6530041499598495E-2</v>
      </c>
      <c r="Q2261">
        <v>0.362319540855152</v>
      </c>
      <c r="R2261">
        <v>0.97835403884163796</v>
      </c>
      <c r="S2261" t="s">
        <v>8663</v>
      </c>
      <c r="T2261" t="s">
        <v>12802</v>
      </c>
      <c r="U2261" t="s">
        <v>12802</v>
      </c>
      <c r="V2261" t="s">
        <v>12802</v>
      </c>
      <c r="W2261" t="s">
        <v>15019</v>
      </c>
      <c r="X2261">
        <v>4</v>
      </c>
      <c r="Y2261" t="s">
        <v>21303</v>
      </c>
      <c r="Z2261" t="s">
        <v>27579</v>
      </c>
      <c r="AA2261">
        <v>0.64033095456638411</v>
      </c>
      <c r="AB2261" t="str">
        <f>HYPERLINK("Melting_Curves/meltCurve_P20333_TNFRSF1B.pdf", "Melting_Curves/meltCurve_P20333_TNFRSF1B.pdf")</f>
        <v>Melting_Curves/meltCurve_P20333_TNFRSF1B.pdf</v>
      </c>
    </row>
    <row r="2262" spans="1:28" x14ac:dyDescent="0.25">
      <c r="A2262" t="s">
        <v>2266</v>
      </c>
      <c r="B2262">
        <v>0.99542014353169495</v>
      </c>
      <c r="C2262">
        <v>0.96494842614374898</v>
      </c>
      <c r="D2262">
        <v>0.94587870529749096</v>
      </c>
      <c r="E2262">
        <v>0.86661678788866503</v>
      </c>
      <c r="F2262">
        <v>0.72677545510175501</v>
      </c>
      <c r="G2262">
        <v>0.58961610025395905</v>
      </c>
      <c r="H2262">
        <v>0.41970760832551901</v>
      </c>
      <c r="I2262">
        <v>0.35907214257174902</v>
      </c>
      <c r="J2262">
        <v>0.30233270231487602</v>
      </c>
      <c r="K2262">
        <v>0.16126927053196299</v>
      </c>
      <c r="L2262">
        <v>492.33051925566599</v>
      </c>
      <c r="M2262">
        <v>8.8138052018982904</v>
      </c>
      <c r="N2262">
        <v>56.089655496215002</v>
      </c>
      <c r="O2262">
        <v>53.207511746980103</v>
      </c>
      <c r="P2262">
        <v>-4.0707375450292599E-2</v>
      </c>
      <c r="Q2262">
        <v>1.7796382347479899E-2</v>
      </c>
      <c r="R2262">
        <v>0.99331283791568203</v>
      </c>
      <c r="S2262" t="s">
        <v>8664</v>
      </c>
      <c r="T2262" t="s">
        <v>12802</v>
      </c>
      <c r="U2262" t="s">
        <v>12802</v>
      </c>
      <c r="V2262" t="s">
        <v>12802</v>
      </c>
      <c r="W2262" t="s">
        <v>15020</v>
      </c>
      <c r="X2262">
        <v>5</v>
      </c>
      <c r="Y2262" t="s">
        <v>21304</v>
      </c>
      <c r="Z2262" t="s">
        <v>27580</v>
      </c>
      <c r="AA2262">
        <v>0.6383627010047509</v>
      </c>
      <c r="AB2262" t="str">
        <f>HYPERLINK("Melting_Curves/meltCurve_P20336_RAB3A.pdf", "Melting_Curves/meltCurve_P20336_RAB3A.pdf")</f>
        <v>Melting_Curves/meltCurve_P20336_RAB3A.pdf</v>
      </c>
    </row>
    <row r="2263" spans="1:28" x14ac:dyDescent="0.25">
      <c r="A2263" t="s">
        <v>2267</v>
      </c>
      <c r="B2263">
        <v>0.99542014353169495</v>
      </c>
      <c r="C2263">
        <v>0.96291092805095602</v>
      </c>
      <c r="D2263">
        <v>0.92723697441752795</v>
      </c>
      <c r="E2263">
        <v>0.84918737815533096</v>
      </c>
      <c r="F2263">
        <v>0.72432754921445097</v>
      </c>
      <c r="G2263">
        <v>0.55151535259280504</v>
      </c>
      <c r="H2263">
        <v>0.41783326208582799</v>
      </c>
      <c r="I2263">
        <v>0.37582813943920601</v>
      </c>
      <c r="J2263">
        <v>0.54557711780870299</v>
      </c>
      <c r="K2263">
        <v>0.48958416082402301</v>
      </c>
      <c r="L2263">
        <v>895.73449284697597</v>
      </c>
      <c r="M2263">
        <v>18.1299637163463</v>
      </c>
      <c r="N2263">
        <v>56.311659749103299</v>
      </c>
      <c r="O2263">
        <v>48.8169792980095</v>
      </c>
      <c r="P2263">
        <v>-5.1451530886048202E-2</v>
      </c>
      <c r="Q2263">
        <v>0.44587029525114802</v>
      </c>
      <c r="R2263">
        <v>0.94762829781534996</v>
      </c>
      <c r="S2263" t="s">
        <v>8665</v>
      </c>
      <c r="T2263" t="s">
        <v>12802</v>
      </c>
      <c r="U2263" t="s">
        <v>12802</v>
      </c>
      <c r="V2263" t="s">
        <v>12802</v>
      </c>
      <c r="W2263" t="s">
        <v>15021</v>
      </c>
      <c r="X2263">
        <v>10</v>
      </c>
      <c r="Y2263" t="s">
        <v>21305</v>
      </c>
      <c r="Z2263" t="s">
        <v>27581</v>
      </c>
      <c r="AA2263">
        <v>0.68370262860088404</v>
      </c>
      <c r="AB2263" t="str">
        <f>HYPERLINK("Melting_Curves/meltCurve_P20338_RAB4A.pdf", "Melting_Curves/meltCurve_P20338_RAB4A.pdf")</f>
        <v>Melting_Curves/meltCurve_P20338_RAB4A.pdf</v>
      </c>
    </row>
    <row r="2264" spans="1:28" x14ac:dyDescent="0.25">
      <c r="A2264" t="s">
        <v>2268</v>
      </c>
      <c r="B2264">
        <v>0.99542014353169495</v>
      </c>
      <c r="C2264">
        <v>0.98052201640473702</v>
      </c>
      <c r="D2264">
        <v>0.91219922970028899</v>
      </c>
      <c r="E2264">
        <v>0.81790114480090303</v>
      </c>
      <c r="F2264">
        <v>0.70416164881252796</v>
      </c>
      <c r="G2264">
        <v>0.57029857795226702</v>
      </c>
      <c r="H2264">
        <v>0.46090524000747901</v>
      </c>
      <c r="I2264">
        <v>0.40963974360467498</v>
      </c>
      <c r="J2264">
        <v>0.61286596186060305</v>
      </c>
      <c r="K2264">
        <v>0.60175712536218195</v>
      </c>
      <c r="L2264">
        <v>861.86823843067998</v>
      </c>
      <c r="M2264">
        <v>17.9978215874402</v>
      </c>
      <c r="O2264">
        <v>47.307916050163598</v>
      </c>
      <c r="P2264">
        <v>-4.59290877783936E-2</v>
      </c>
      <c r="Q2264">
        <v>0.51711893462740699</v>
      </c>
      <c r="R2264">
        <v>0.90556453562594896</v>
      </c>
      <c r="S2264" t="s">
        <v>8666</v>
      </c>
      <c r="T2264" t="s">
        <v>12802</v>
      </c>
      <c r="U2264" t="s">
        <v>12802</v>
      </c>
      <c r="V2264" t="s">
        <v>12802</v>
      </c>
      <c r="W2264" t="s">
        <v>15022</v>
      </c>
      <c r="X2264">
        <v>15</v>
      </c>
      <c r="Y2264" t="s">
        <v>21306</v>
      </c>
      <c r="Z2264" t="s">
        <v>27582</v>
      </c>
      <c r="AA2264">
        <v>0.70008607092188935</v>
      </c>
      <c r="AB2264" t="str">
        <f>HYPERLINK("Melting_Curves/meltCurve_P20340_RAB6A.pdf", "Melting_Curves/meltCurve_P20340_RAB6A.pdf")</f>
        <v>Melting_Curves/meltCurve_P20340_RAB6A.pdf</v>
      </c>
    </row>
    <row r="2265" spans="1:28" x14ac:dyDescent="0.25">
      <c r="A2265" t="s">
        <v>2269</v>
      </c>
      <c r="B2265">
        <v>0.99542014353169495</v>
      </c>
      <c r="C2265">
        <v>1.0494424497472701</v>
      </c>
      <c r="D2265">
        <v>0.84896643613505995</v>
      </c>
      <c r="E2265">
        <v>0.86368031608070495</v>
      </c>
      <c r="F2265">
        <v>0.64152464600024695</v>
      </c>
      <c r="G2265">
        <v>0.60013752547028998</v>
      </c>
      <c r="H2265">
        <v>0.45718202138305097</v>
      </c>
      <c r="I2265">
        <v>0.44768485377189199</v>
      </c>
      <c r="J2265">
        <v>0.64621174029497397</v>
      </c>
      <c r="K2265">
        <v>0.62571629212140301</v>
      </c>
      <c r="L2265">
        <v>927.883258852572</v>
      </c>
      <c r="M2265">
        <v>19.601270651106798</v>
      </c>
      <c r="O2265">
        <v>46.8534634359536</v>
      </c>
      <c r="P2265">
        <v>-4.7736045276862801E-2</v>
      </c>
      <c r="Q2265">
        <v>0.54359688631507497</v>
      </c>
      <c r="R2265">
        <v>0.86615873578862801</v>
      </c>
      <c r="S2265" t="s">
        <v>8667</v>
      </c>
      <c r="T2265" t="s">
        <v>12802</v>
      </c>
      <c r="U2265" t="s">
        <v>12802</v>
      </c>
      <c r="V2265" t="s">
        <v>12802</v>
      </c>
      <c r="W2265" t="s">
        <v>15023</v>
      </c>
      <c r="X2265">
        <v>16</v>
      </c>
      <c r="Y2265" t="s">
        <v>21306</v>
      </c>
      <c r="Z2265" t="s">
        <v>27583</v>
      </c>
      <c r="AA2265">
        <v>0.7070911411054378</v>
      </c>
      <c r="AB2265" t="str">
        <f>HYPERLINK("Melting_Curves/meltCurve_P20340_2_RAB6A.pdf", "Melting_Curves/meltCurve_P20340_2_RAB6A.pdf")</f>
        <v>Melting_Curves/meltCurve_P20340_2_RAB6A.pdf</v>
      </c>
    </row>
    <row r="2266" spans="1:28" x14ac:dyDescent="0.25">
      <c r="A2266" t="s">
        <v>2270</v>
      </c>
      <c r="B2266">
        <v>0.99542014353169495</v>
      </c>
      <c r="C2266">
        <v>0.93414494644887902</v>
      </c>
      <c r="D2266">
        <v>0.95775104308366299</v>
      </c>
      <c r="E2266">
        <v>0.68421521570853205</v>
      </c>
      <c r="F2266">
        <v>0.38286315662808001</v>
      </c>
      <c r="G2266">
        <v>0.17006347311747799</v>
      </c>
      <c r="H2266">
        <v>9.8650317751965796E-2</v>
      </c>
      <c r="I2266">
        <v>5.5802739038350598E-2</v>
      </c>
      <c r="J2266">
        <v>5.4033934583191202E-2</v>
      </c>
      <c r="K2266">
        <v>7.4387355058968693E-2</v>
      </c>
      <c r="L2266">
        <v>934.08935733886403</v>
      </c>
      <c r="M2266">
        <v>19.276921154240799</v>
      </c>
      <c r="N2266">
        <v>48.733737978147801</v>
      </c>
      <c r="O2266">
        <v>47.943926149888</v>
      </c>
      <c r="P2266">
        <v>-9.5299034074260894E-2</v>
      </c>
      <c r="Q2266">
        <v>5.1956916031071103E-2</v>
      </c>
      <c r="R2266">
        <v>0.99693383589298001</v>
      </c>
      <c r="S2266" t="s">
        <v>8668</v>
      </c>
      <c r="T2266" t="s">
        <v>12802</v>
      </c>
      <c r="U2266" t="s">
        <v>12802</v>
      </c>
      <c r="V2266" t="s">
        <v>12802</v>
      </c>
      <c r="W2266" t="s">
        <v>15024</v>
      </c>
      <c r="X2266">
        <v>18</v>
      </c>
      <c r="Y2266" t="s">
        <v>21307</v>
      </c>
      <c r="Z2266" t="s">
        <v>27584</v>
      </c>
      <c r="AA2266">
        <v>0.42734798629604009</v>
      </c>
      <c r="AB2266" t="str">
        <f>HYPERLINK("Melting_Curves/meltCurve_P20585_MSH3.pdf", "Melting_Curves/meltCurve_P20585_MSH3.pdf")</f>
        <v>Melting_Curves/meltCurve_P20585_MSH3.pdf</v>
      </c>
    </row>
    <row r="2267" spans="1:28" x14ac:dyDescent="0.25">
      <c r="A2267" t="s">
        <v>2271</v>
      </c>
      <c r="B2267">
        <v>0.99542014353169495</v>
      </c>
      <c r="C2267">
        <v>0.90080054932822795</v>
      </c>
      <c r="D2267">
        <v>0.84410686905794496</v>
      </c>
      <c r="E2267">
        <v>0.66991363930367698</v>
      </c>
      <c r="F2267">
        <v>0.46570671895569599</v>
      </c>
      <c r="G2267">
        <v>0.21987986575729301</v>
      </c>
      <c r="H2267">
        <v>0.31130147690135201</v>
      </c>
      <c r="I2267">
        <v>0.34824246620099703</v>
      </c>
      <c r="J2267">
        <v>0.36268850255389401</v>
      </c>
      <c r="K2267">
        <v>0.49739492093605903</v>
      </c>
      <c r="L2267">
        <v>935.97264152968796</v>
      </c>
      <c r="M2267">
        <v>20.402369758953601</v>
      </c>
      <c r="N2267">
        <v>48.710598467073297</v>
      </c>
      <c r="O2267">
        <v>45.441789071934501</v>
      </c>
      <c r="P2267">
        <v>-7.3242516640020003E-2</v>
      </c>
      <c r="Q2267">
        <v>0.347493477839729</v>
      </c>
      <c r="R2267">
        <v>0.91407721108693596</v>
      </c>
      <c r="S2267" t="s">
        <v>8669</v>
      </c>
      <c r="T2267" t="s">
        <v>12802</v>
      </c>
      <c r="U2267" t="s">
        <v>12802</v>
      </c>
      <c r="V2267" t="s">
        <v>12802</v>
      </c>
      <c r="W2267" t="s">
        <v>15025</v>
      </c>
      <c r="X2267">
        <v>13</v>
      </c>
      <c r="Y2267" t="s">
        <v>21308</v>
      </c>
      <c r="Z2267" t="s">
        <v>27585</v>
      </c>
      <c r="AA2267">
        <v>0.54873382934870274</v>
      </c>
      <c r="AB2267" t="str">
        <f>HYPERLINK("Melting_Curves/meltCurve_P20618_PSMB1.pdf", "Melting_Curves/meltCurve_P20618_PSMB1.pdf")</f>
        <v>Melting_Curves/meltCurve_P20618_PSMB1.pdf</v>
      </c>
    </row>
    <row r="2268" spans="1:28" x14ac:dyDescent="0.25">
      <c r="A2268" t="s">
        <v>2272</v>
      </c>
      <c r="B2268">
        <v>0.99542014353169495</v>
      </c>
      <c r="C2268">
        <v>1.00752228508541</v>
      </c>
      <c r="D2268">
        <v>0.93089323781569</v>
      </c>
      <c r="E2268">
        <v>0.83792306953040896</v>
      </c>
      <c r="F2268">
        <v>0.72958159780429199</v>
      </c>
      <c r="G2268">
        <v>0.58980930216916205</v>
      </c>
      <c r="H2268">
        <v>0.50717053951640401</v>
      </c>
      <c r="I2268">
        <v>0.462335145864403</v>
      </c>
      <c r="J2268">
        <v>0.69589010429694698</v>
      </c>
      <c r="K2268">
        <v>0.76351966623855005</v>
      </c>
      <c r="L2268">
        <v>1086.8301767528701</v>
      </c>
      <c r="M2268">
        <v>22.9532165755821</v>
      </c>
      <c r="O2268">
        <v>46.994790701883801</v>
      </c>
      <c r="P2268">
        <v>-4.8397053970819802E-2</v>
      </c>
      <c r="Q2268">
        <v>0.60365182050536903</v>
      </c>
      <c r="R2268">
        <v>0.79427318195749697</v>
      </c>
      <c r="S2268" t="s">
        <v>8670</v>
      </c>
      <c r="T2268" t="s">
        <v>12802</v>
      </c>
      <c r="U2268" t="s">
        <v>12802</v>
      </c>
      <c r="V2268" t="s">
        <v>12802</v>
      </c>
      <c r="W2268" t="s">
        <v>15026</v>
      </c>
      <c r="X2268">
        <v>15</v>
      </c>
      <c r="Y2268" t="s">
        <v>21309</v>
      </c>
      <c r="Z2268" t="s">
        <v>27586</v>
      </c>
      <c r="AA2268">
        <v>0.74435520594005267</v>
      </c>
      <c r="AB2268" t="str">
        <f>HYPERLINK("Melting_Curves/meltCurve_P20645_M6PR.pdf", "Melting_Curves/meltCurve_P20645_M6PR.pdf")</f>
        <v>Melting_Curves/meltCurve_P20645_M6PR.pdf</v>
      </c>
    </row>
    <row r="2269" spans="1:28" x14ac:dyDescent="0.25">
      <c r="A2269" t="s">
        <v>2273</v>
      </c>
      <c r="B2269">
        <v>0.99542014353169495</v>
      </c>
      <c r="C2269">
        <v>0.94244893684873599</v>
      </c>
      <c r="D2269">
        <v>0.92101936352758296</v>
      </c>
      <c r="E2269">
        <v>0.84597098038964003</v>
      </c>
      <c r="F2269">
        <v>0.70304375423869703</v>
      </c>
      <c r="G2269">
        <v>0.50762026051306397</v>
      </c>
      <c r="H2269">
        <v>0.356842836799732</v>
      </c>
      <c r="I2269">
        <v>0.31330756958295403</v>
      </c>
      <c r="J2269">
        <v>0.46772555816370698</v>
      </c>
      <c r="K2269">
        <v>0.61344121731013002</v>
      </c>
      <c r="L2269">
        <v>1041.64413561997</v>
      </c>
      <c r="M2269">
        <v>21.2123527836096</v>
      </c>
      <c r="N2269">
        <v>54.306932052079702</v>
      </c>
      <c r="O2269">
        <v>48.675392470520102</v>
      </c>
      <c r="P2269">
        <v>-6.1618065092493103E-2</v>
      </c>
      <c r="Q2269">
        <v>0.43444178823048502</v>
      </c>
      <c r="R2269">
        <v>0.88069219772534202</v>
      </c>
      <c r="S2269" t="s">
        <v>8671</v>
      </c>
      <c r="T2269" t="s">
        <v>12802</v>
      </c>
      <c r="U2269" t="s">
        <v>12802</v>
      </c>
      <c r="V2269" t="s">
        <v>12802</v>
      </c>
      <c r="W2269" t="s">
        <v>15027</v>
      </c>
      <c r="X2269">
        <v>9</v>
      </c>
      <c r="Y2269" t="s">
        <v>21310</v>
      </c>
      <c r="Z2269" t="s">
        <v>27587</v>
      </c>
      <c r="AA2269">
        <v>0.6693433802804859</v>
      </c>
      <c r="AB2269" t="str">
        <f>HYPERLINK("Melting_Curves/meltCurve_P20674_COX5A.pdf", "Melting_Curves/meltCurve_P20674_COX5A.pdf")</f>
        <v>Melting_Curves/meltCurve_P20674_COX5A.pdf</v>
      </c>
    </row>
    <row r="2270" spans="1:28" x14ac:dyDescent="0.25">
      <c r="A2270" t="s">
        <v>2274</v>
      </c>
      <c r="B2270">
        <v>0.99542014353169495</v>
      </c>
      <c r="C2270">
        <v>0.84500475994556901</v>
      </c>
      <c r="D2270">
        <v>0.93386963528784195</v>
      </c>
      <c r="E2270">
        <v>0.76819214540639102</v>
      </c>
      <c r="F2270">
        <v>0.536221951129637</v>
      </c>
      <c r="G2270">
        <v>0.14607018234479299</v>
      </c>
      <c r="H2270">
        <v>8.4021261587442594E-2</v>
      </c>
      <c r="I2270">
        <v>5.56939143485847E-2</v>
      </c>
      <c r="J2270">
        <v>6.1194629007097601E-2</v>
      </c>
      <c r="K2270">
        <v>6.6666523198664104E-2</v>
      </c>
      <c r="L2270">
        <v>953.21960212668796</v>
      </c>
      <c r="M2270">
        <v>19.184316147643599</v>
      </c>
      <c r="N2270">
        <v>49.860957991130498</v>
      </c>
      <c r="O2270">
        <v>49.157000846662399</v>
      </c>
      <c r="P2270">
        <v>-9.4419869547617399E-2</v>
      </c>
      <c r="Q2270">
        <v>3.2288801599803602E-2</v>
      </c>
      <c r="R2270">
        <v>0.97790974236121297</v>
      </c>
      <c r="S2270" t="s">
        <v>8672</v>
      </c>
      <c r="T2270" t="s">
        <v>12802</v>
      </c>
      <c r="U2270" t="s">
        <v>12802</v>
      </c>
      <c r="V2270" t="s">
        <v>12802</v>
      </c>
      <c r="W2270" t="s">
        <v>15028</v>
      </c>
      <c r="X2270">
        <v>56</v>
      </c>
      <c r="Y2270" t="s">
        <v>21311</v>
      </c>
      <c r="Z2270" t="s">
        <v>27588</v>
      </c>
      <c r="AA2270">
        <v>0.45526729697377338</v>
      </c>
      <c r="AB2270" t="str">
        <f>HYPERLINK("Melting_Curves/meltCurve_P20700_LMNB1.pdf", "Melting_Curves/meltCurve_P20700_LMNB1.pdf")</f>
        <v>Melting_Curves/meltCurve_P20700_LMNB1.pdf</v>
      </c>
    </row>
    <row r="2271" spans="1:28" x14ac:dyDescent="0.25">
      <c r="A2271" t="s">
        <v>2275</v>
      </c>
      <c r="B2271">
        <v>0.99542014353169495</v>
      </c>
      <c r="C2271">
        <v>0.96272075615832697</v>
      </c>
      <c r="D2271">
        <v>0.89449429971024796</v>
      </c>
      <c r="E2271">
        <v>1.0352610676404701</v>
      </c>
      <c r="F2271">
        <v>0.87465978605973504</v>
      </c>
      <c r="G2271">
        <v>0.51320649314539202</v>
      </c>
      <c r="H2271">
        <v>0.426077861969685</v>
      </c>
      <c r="I2271">
        <v>0.224870850276049</v>
      </c>
      <c r="J2271">
        <v>0.28163799047305799</v>
      </c>
      <c r="K2271">
        <v>0.24819699236652301</v>
      </c>
      <c r="L2271">
        <v>1374.6362919697699</v>
      </c>
      <c r="M2271">
        <v>25.936709214366001</v>
      </c>
      <c r="N2271">
        <v>54.511484606694196</v>
      </c>
      <c r="O2271">
        <v>52.687588877714198</v>
      </c>
      <c r="P2271">
        <v>-9.1506803424183103E-2</v>
      </c>
      <c r="Q2271">
        <v>0.25646436445868198</v>
      </c>
      <c r="R2271">
        <v>0.97319104265325496</v>
      </c>
      <c r="S2271" t="s">
        <v>8673</v>
      </c>
      <c r="T2271" t="s">
        <v>12802</v>
      </c>
      <c r="U2271" t="s">
        <v>12802</v>
      </c>
      <c r="V2271" t="s">
        <v>12802</v>
      </c>
      <c r="W2271" t="s">
        <v>15029</v>
      </c>
      <c r="X2271">
        <v>2</v>
      </c>
      <c r="Y2271" t="s">
        <v>21312</v>
      </c>
      <c r="Z2271" t="s">
        <v>27589</v>
      </c>
      <c r="AA2271">
        <v>0.65917179021556394</v>
      </c>
      <c r="AB2271" t="str">
        <f>HYPERLINK("Melting_Curves/meltCurve_P20933_AGA.pdf", "Melting_Curves/meltCurve_P20933_AGA.pdf")</f>
        <v>Melting_Curves/meltCurve_P20933_AGA.pdf</v>
      </c>
    </row>
    <row r="2272" spans="1:28" x14ac:dyDescent="0.25">
      <c r="A2272" t="s">
        <v>2276</v>
      </c>
      <c r="B2272">
        <v>0.99542014353169495</v>
      </c>
      <c r="C2272">
        <v>1.05328779067443</v>
      </c>
      <c r="D2272">
        <v>0.87940472421073201</v>
      </c>
      <c r="E2272">
        <v>0.84899284449752599</v>
      </c>
      <c r="F2272">
        <v>0.73204229123275799</v>
      </c>
      <c r="G2272">
        <v>0.66359103249571305</v>
      </c>
      <c r="H2272">
        <v>0.54895749852634501</v>
      </c>
      <c r="I2272">
        <v>0.52038799842446803</v>
      </c>
      <c r="J2272">
        <v>0.87570632996671005</v>
      </c>
      <c r="K2272">
        <v>1.02521271623606</v>
      </c>
      <c r="L2272">
        <v>1126.70030688781</v>
      </c>
      <c r="M2272">
        <v>25.172214819789399</v>
      </c>
      <c r="O2272">
        <v>44.480063536202699</v>
      </c>
      <c r="P2272">
        <v>-3.8417994094245601E-2</v>
      </c>
      <c r="Q2272">
        <v>0.72846053728239601</v>
      </c>
      <c r="R2272">
        <v>0.39516004920592401</v>
      </c>
      <c r="S2272" t="s">
        <v>8674</v>
      </c>
      <c r="T2272" t="s">
        <v>12802</v>
      </c>
      <c r="U2272" t="s">
        <v>12802</v>
      </c>
      <c r="V2272" t="s">
        <v>12802</v>
      </c>
      <c r="W2272" t="s">
        <v>15030</v>
      </c>
      <c r="X2272">
        <v>5</v>
      </c>
      <c r="Y2272" t="s">
        <v>21313</v>
      </c>
      <c r="Z2272" t="s">
        <v>27590</v>
      </c>
      <c r="AA2272">
        <v>0.80089051618597962</v>
      </c>
      <c r="AB2272" t="str">
        <f>HYPERLINK("Melting_Curves/meltCurve_P20962_PTMS.pdf", "Melting_Curves/meltCurve_P20962_PTMS.pdf")</f>
        <v>Melting_Curves/meltCurve_P20962_PTMS.pdf</v>
      </c>
    </row>
    <row r="2273" spans="1:28" x14ac:dyDescent="0.25">
      <c r="A2273" t="s">
        <v>2277</v>
      </c>
      <c r="B2273">
        <v>0.99542014353169495</v>
      </c>
      <c r="C2273">
        <v>0.93418985172433</v>
      </c>
      <c r="D2273">
        <v>0.84909146084894704</v>
      </c>
      <c r="E2273">
        <v>0.51534952782604404</v>
      </c>
      <c r="F2273">
        <v>0.238156492880509</v>
      </c>
      <c r="G2273">
        <v>0.11522574826609799</v>
      </c>
      <c r="H2273">
        <v>6.8184273473602203E-2</v>
      </c>
      <c r="I2273">
        <v>5.3456032086092398E-2</v>
      </c>
      <c r="J2273">
        <v>5.6443163446895601E-2</v>
      </c>
      <c r="K2273">
        <v>6.5984442655739994E-2</v>
      </c>
      <c r="L2273">
        <v>894.155566767849</v>
      </c>
      <c r="M2273">
        <v>19.2204248882136</v>
      </c>
      <c r="N2273">
        <v>46.780871576960799</v>
      </c>
      <c r="O2273">
        <v>46.026289072903403</v>
      </c>
      <c r="P2273">
        <v>-9.9118924873865699E-2</v>
      </c>
      <c r="Q2273">
        <v>5.06132735482945E-2</v>
      </c>
      <c r="R2273">
        <v>0.99914804473375796</v>
      </c>
      <c r="S2273" t="s">
        <v>8675</v>
      </c>
      <c r="T2273" t="s">
        <v>12802</v>
      </c>
      <c r="U2273" t="s">
        <v>12802</v>
      </c>
      <c r="V2273" t="s">
        <v>12802</v>
      </c>
      <c r="W2273" t="s">
        <v>15031</v>
      </c>
      <c r="X2273">
        <v>30</v>
      </c>
      <c r="Y2273" t="s">
        <v>21314</v>
      </c>
      <c r="Z2273" t="s">
        <v>27591</v>
      </c>
      <c r="AA2273">
        <v>0.36535437205093768</v>
      </c>
      <c r="AB2273" t="str">
        <f>HYPERLINK("Melting_Curves/meltCurve_P21127_8_CDK11B.pdf", "Melting_Curves/meltCurve_P21127_8_CDK11B.pdf")</f>
        <v>Melting_Curves/meltCurve_P21127_8_CDK11B.pdf</v>
      </c>
    </row>
    <row r="2274" spans="1:28" x14ac:dyDescent="0.25">
      <c r="A2274" t="s">
        <v>2278</v>
      </c>
      <c r="B2274">
        <v>0.99542014353169495</v>
      </c>
      <c r="C2274">
        <v>0.85341133661427004</v>
      </c>
      <c r="D2274">
        <v>0.90656131142816199</v>
      </c>
      <c r="E2274">
        <v>0.71346784485134696</v>
      </c>
      <c r="F2274">
        <v>0.64556855576996497</v>
      </c>
      <c r="G2274">
        <v>0.397872866135485</v>
      </c>
      <c r="H2274">
        <v>0.26059319002150599</v>
      </c>
      <c r="I2274">
        <v>0.21961821793191</v>
      </c>
      <c r="J2274">
        <v>0.134298335939386</v>
      </c>
      <c r="K2274">
        <v>8.2554936736247794E-2</v>
      </c>
      <c r="L2274">
        <v>491.72588718598303</v>
      </c>
      <c r="M2274">
        <v>9.4772073704780606</v>
      </c>
      <c r="N2274">
        <v>51.885103656086301</v>
      </c>
      <c r="O2274">
        <v>49.732481868306301</v>
      </c>
      <c r="P2274">
        <v>-4.7669370994527997E-2</v>
      </c>
      <c r="Q2274">
        <v>0</v>
      </c>
      <c r="R2274">
        <v>0.98356463595462795</v>
      </c>
      <c r="S2274" t="s">
        <v>8676</v>
      </c>
      <c r="T2274" t="s">
        <v>12802</v>
      </c>
      <c r="U2274" t="s">
        <v>12802</v>
      </c>
      <c r="V2274" t="s">
        <v>12802</v>
      </c>
      <c r="W2274" t="s">
        <v>15032</v>
      </c>
      <c r="X2274">
        <v>24</v>
      </c>
      <c r="Y2274" t="s">
        <v>21315</v>
      </c>
      <c r="Z2274" t="s">
        <v>27592</v>
      </c>
      <c r="AA2274">
        <v>0.52398979370455967</v>
      </c>
      <c r="AB2274" t="str">
        <f>HYPERLINK("Melting_Curves/meltCurve_P21281_ATP6V1B2.pdf", "Melting_Curves/meltCurve_P21281_ATP6V1B2.pdf")</f>
        <v>Melting_Curves/meltCurve_P21281_ATP6V1B2.pdf</v>
      </c>
    </row>
    <row r="2275" spans="1:28" x14ac:dyDescent="0.25">
      <c r="A2275" t="s">
        <v>2279</v>
      </c>
      <c r="B2275">
        <v>0.99542014353169495</v>
      </c>
      <c r="C2275">
        <v>0.87786203010125996</v>
      </c>
      <c r="D2275">
        <v>0.93933721493084299</v>
      </c>
      <c r="E2275">
        <v>0.61465783384338102</v>
      </c>
      <c r="F2275">
        <v>0.36597979581771001</v>
      </c>
      <c r="G2275">
        <v>0.14124620029167501</v>
      </c>
      <c r="H2275">
        <v>8.5633583982704306E-2</v>
      </c>
      <c r="I2275">
        <v>5.2666563345954001E-2</v>
      </c>
      <c r="J2275">
        <v>6.4218751732135898E-2</v>
      </c>
      <c r="K2275">
        <v>6.8115073446619795E-2</v>
      </c>
      <c r="L2275">
        <v>848.86862072117901</v>
      </c>
      <c r="M2275">
        <v>17.720025580958001</v>
      </c>
      <c r="N2275">
        <v>48.157934360588897</v>
      </c>
      <c r="O2275">
        <v>47.306886412583303</v>
      </c>
      <c r="P2275">
        <v>-8.9479529179851094E-2</v>
      </c>
      <c r="Q2275">
        <v>4.4521678757402802E-2</v>
      </c>
      <c r="R2275">
        <v>0.99004496279077903</v>
      </c>
      <c r="S2275" t="s">
        <v>8677</v>
      </c>
      <c r="T2275" t="s">
        <v>12802</v>
      </c>
      <c r="U2275" t="s">
        <v>12802</v>
      </c>
      <c r="V2275" t="s">
        <v>12802</v>
      </c>
      <c r="W2275" t="s">
        <v>15033</v>
      </c>
      <c r="X2275">
        <v>13</v>
      </c>
      <c r="Y2275" t="s">
        <v>21316</v>
      </c>
      <c r="Z2275" t="s">
        <v>27593</v>
      </c>
      <c r="AA2275">
        <v>0.40754462668495839</v>
      </c>
      <c r="AB2275" t="str">
        <f>HYPERLINK("Melting_Curves/meltCurve_P21283_ATP6V1C1.pdf", "Melting_Curves/meltCurve_P21283_ATP6V1C1.pdf")</f>
        <v>Melting_Curves/meltCurve_P21283_ATP6V1C1.pdf</v>
      </c>
    </row>
    <row r="2276" spans="1:28" x14ac:dyDescent="0.25">
      <c r="A2276" t="s">
        <v>2280</v>
      </c>
      <c r="B2276">
        <v>0.99542014353169495</v>
      </c>
      <c r="C2276">
        <v>1.00640203609872</v>
      </c>
      <c r="D2276">
        <v>1.02275838283414</v>
      </c>
      <c r="E2276">
        <v>1.1040867867536901</v>
      </c>
      <c r="F2276">
        <v>0.86367379873494099</v>
      </c>
      <c r="G2276">
        <v>0.68048466871900104</v>
      </c>
      <c r="H2276">
        <v>0.52963674840806596</v>
      </c>
      <c r="I2276">
        <v>0.52399198933987001</v>
      </c>
      <c r="J2276">
        <v>0.78508286607558897</v>
      </c>
      <c r="K2276">
        <v>0.96146518391462898</v>
      </c>
      <c r="L2276">
        <v>12560.3502642</v>
      </c>
      <c r="M2276">
        <v>250</v>
      </c>
      <c r="O2276">
        <v>50.238185955625497</v>
      </c>
      <c r="P2276">
        <v>-0.37803379383883401</v>
      </c>
      <c r="Q2276">
        <v>0.69613228793023496</v>
      </c>
      <c r="R2276">
        <v>0.62647176130992299</v>
      </c>
      <c r="S2276" t="s">
        <v>8678</v>
      </c>
      <c r="T2276" t="s">
        <v>12802</v>
      </c>
      <c r="U2276" t="s">
        <v>12802</v>
      </c>
      <c r="V2276" t="s">
        <v>12802</v>
      </c>
      <c r="W2276" t="s">
        <v>15034</v>
      </c>
      <c r="X2276">
        <v>8</v>
      </c>
      <c r="Y2276" t="s">
        <v>21317</v>
      </c>
      <c r="Z2276" t="s">
        <v>27594</v>
      </c>
      <c r="AA2276">
        <v>0.83028022227821296</v>
      </c>
      <c r="AB2276" t="str">
        <f>HYPERLINK("Melting_Curves/meltCurve_P21291_CSRP1.pdf", "Melting_Curves/meltCurve_P21291_CSRP1.pdf")</f>
        <v>Melting_Curves/meltCurve_P21291_CSRP1.pdf</v>
      </c>
    </row>
    <row r="2277" spans="1:28" x14ac:dyDescent="0.25">
      <c r="A2277" t="s">
        <v>2281</v>
      </c>
      <c r="B2277">
        <v>0.99542014353169495</v>
      </c>
      <c r="C2277">
        <v>0.90314937311297505</v>
      </c>
      <c r="D2277">
        <v>1.01110879344972</v>
      </c>
      <c r="E2277">
        <v>0.76857137808070497</v>
      </c>
      <c r="F2277">
        <v>0.25813984684494201</v>
      </c>
      <c r="G2277">
        <v>8.8249814970592005E-2</v>
      </c>
      <c r="H2277">
        <v>4.9176610925732098E-2</v>
      </c>
      <c r="I2277">
        <v>3.3428749412622499E-2</v>
      </c>
      <c r="J2277">
        <v>3.6997916948953602E-2</v>
      </c>
      <c r="K2277">
        <v>3.9147587934305297E-2</v>
      </c>
      <c r="L2277">
        <v>1540.0609523283199</v>
      </c>
      <c r="M2277">
        <v>31.8882355724398</v>
      </c>
      <c r="N2277">
        <v>48.422966353754902</v>
      </c>
      <c r="O2277">
        <v>48.106840493493102</v>
      </c>
      <c r="P2277">
        <v>-0.15904828684588501</v>
      </c>
      <c r="Q2277">
        <v>4.0238965823419098E-2</v>
      </c>
      <c r="R2277">
        <v>0.99410737605621502</v>
      </c>
      <c r="S2277" t="s">
        <v>8679</v>
      </c>
      <c r="T2277" t="s">
        <v>12802</v>
      </c>
      <c r="U2277" t="s">
        <v>12802</v>
      </c>
      <c r="V2277" t="s">
        <v>12802</v>
      </c>
      <c r="W2277" t="s">
        <v>15035</v>
      </c>
      <c r="X2277">
        <v>112</v>
      </c>
      <c r="Y2277" t="s">
        <v>21318</v>
      </c>
      <c r="Z2277" t="s">
        <v>27595</v>
      </c>
      <c r="AA2277">
        <v>0.40666425959623742</v>
      </c>
      <c r="AB2277" t="str">
        <f>HYPERLINK("Melting_Curves/meltCurve_P21333_2_FLNA.pdf", "Melting_Curves/meltCurve_P21333_2_FLNA.pdf")</f>
        <v>Melting_Curves/meltCurve_P21333_2_FLNA.pdf</v>
      </c>
    </row>
    <row r="2278" spans="1:28" x14ac:dyDescent="0.25">
      <c r="A2278" t="s">
        <v>2282</v>
      </c>
      <c r="B2278">
        <v>0.99542014353169495</v>
      </c>
      <c r="C2278">
        <v>1.00195518098807</v>
      </c>
      <c r="D2278">
        <v>0.95046067745741503</v>
      </c>
      <c r="E2278">
        <v>0.860324221801677</v>
      </c>
      <c r="F2278">
        <v>0.69750769746291497</v>
      </c>
      <c r="G2278">
        <v>0.44979133063256599</v>
      </c>
      <c r="H2278">
        <v>0.12891173507350701</v>
      </c>
      <c r="I2278">
        <v>7.1515079830325706E-2</v>
      </c>
      <c r="J2278">
        <v>8.0073056596204895E-2</v>
      </c>
      <c r="K2278">
        <v>7.5480202797096996E-2</v>
      </c>
      <c r="L2278">
        <v>926.28890716377396</v>
      </c>
      <c r="M2278">
        <v>17.695675636753698</v>
      </c>
      <c r="N2278">
        <v>52.495885487784001</v>
      </c>
      <c r="O2278">
        <v>51.6907246884061</v>
      </c>
      <c r="P2278">
        <v>-8.3473507184701007E-2</v>
      </c>
      <c r="Q2278">
        <v>2.4715632852447701E-2</v>
      </c>
      <c r="R2278">
        <v>0.99245353093817001</v>
      </c>
      <c r="S2278" t="s">
        <v>8680</v>
      </c>
      <c r="T2278" t="s">
        <v>12802</v>
      </c>
      <c r="U2278" t="s">
        <v>12802</v>
      </c>
      <c r="V2278" t="s">
        <v>12802</v>
      </c>
      <c r="W2278" t="s">
        <v>15036</v>
      </c>
      <c r="X2278">
        <v>31</v>
      </c>
      <c r="Y2278" t="s">
        <v>21319</v>
      </c>
      <c r="Z2278" t="s">
        <v>27596</v>
      </c>
      <c r="AA2278">
        <v>0.53850844260036013</v>
      </c>
      <c r="AB2278" t="str">
        <f>HYPERLINK("Melting_Curves/meltCurve_P21399_ACO1.pdf", "Melting_Curves/meltCurve_P21399_ACO1.pdf")</f>
        <v>Melting_Curves/meltCurve_P21399_ACO1.pdf</v>
      </c>
    </row>
    <row r="2279" spans="1:28" x14ac:dyDescent="0.25">
      <c r="A2279" t="s">
        <v>2283</v>
      </c>
      <c r="B2279">
        <v>0.99542014353169495</v>
      </c>
      <c r="C2279">
        <v>1.0192299278814401</v>
      </c>
      <c r="D2279">
        <v>1.05410275201764</v>
      </c>
      <c r="E2279">
        <v>1.0140970399620299</v>
      </c>
      <c r="F2279">
        <v>0.75605745945032898</v>
      </c>
      <c r="G2279">
        <v>0.42578469645757</v>
      </c>
      <c r="H2279">
        <v>0.1926609466235</v>
      </c>
      <c r="I2279">
        <v>0.15357435845967199</v>
      </c>
      <c r="J2279">
        <v>0.112837340500039</v>
      </c>
      <c r="K2279">
        <v>9.7023414277536593E-2</v>
      </c>
      <c r="L2279">
        <v>1329.71910557921</v>
      </c>
      <c r="M2279">
        <v>25.363833959924701</v>
      </c>
      <c r="N2279">
        <v>52.935746675391698</v>
      </c>
      <c r="O2279">
        <v>52.103162812618102</v>
      </c>
      <c r="P2279">
        <v>-0.108510476223122</v>
      </c>
      <c r="Q2279">
        <v>0.108389175438659</v>
      </c>
      <c r="R2279">
        <v>0.99525596262426796</v>
      </c>
      <c r="S2279" t="s">
        <v>8681</v>
      </c>
      <c r="T2279" t="s">
        <v>12802</v>
      </c>
      <c r="U2279" t="s">
        <v>12802</v>
      </c>
      <c r="V2279" t="s">
        <v>12802</v>
      </c>
      <c r="W2279" t="s">
        <v>15037</v>
      </c>
      <c r="X2279">
        <v>4</v>
      </c>
      <c r="Y2279" t="s">
        <v>21320</v>
      </c>
      <c r="Z2279" t="s">
        <v>27597</v>
      </c>
      <c r="AA2279">
        <v>0.57454770861308213</v>
      </c>
      <c r="AB2279" t="str">
        <f>HYPERLINK("Melting_Curves/meltCurve_P21580_TNFAIP3.pdf", "Melting_Curves/meltCurve_P21580_TNFAIP3.pdf")</f>
        <v>Melting_Curves/meltCurve_P21580_TNFAIP3.pdf</v>
      </c>
    </row>
    <row r="2280" spans="1:28" x14ac:dyDescent="0.25">
      <c r="A2280" t="s">
        <v>2284</v>
      </c>
      <c r="B2280">
        <v>0.99542014353169495</v>
      </c>
      <c r="C2280">
        <v>0.781419815178651</v>
      </c>
      <c r="D2280">
        <v>0.90144876547473196</v>
      </c>
      <c r="E2280">
        <v>0.73617905808383</v>
      </c>
      <c r="F2280">
        <v>0.60107631244391302</v>
      </c>
      <c r="G2280">
        <v>0.42105779100034502</v>
      </c>
      <c r="H2280">
        <v>0.19501657000121</v>
      </c>
      <c r="I2280">
        <v>0.15368644118614699</v>
      </c>
      <c r="J2280">
        <v>0.114766499925719</v>
      </c>
      <c r="K2280">
        <v>0.13706503200689399</v>
      </c>
      <c r="L2280">
        <v>495.272679537263</v>
      </c>
      <c r="M2280">
        <v>9.6441255122448695</v>
      </c>
      <c r="N2280">
        <v>51.354856104744698</v>
      </c>
      <c r="O2280">
        <v>49.292554615541697</v>
      </c>
      <c r="P2280">
        <v>-4.8940007816024797E-2</v>
      </c>
      <c r="Q2280">
        <v>0</v>
      </c>
      <c r="R2280">
        <v>0.96424313633366199</v>
      </c>
      <c r="S2280" t="s">
        <v>8682</v>
      </c>
      <c r="T2280" t="s">
        <v>12802</v>
      </c>
      <c r="U2280" t="s">
        <v>12802</v>
      </c>
      <c r="V2280" t="s">
        <v>12802</v>
      </c>
      <c r="W2280" t="s">
        <v>15038</v>
      </c>
      <c r="X2280">
        <v>2</v>
      </c>
      <c r="Y2280" t="s">
        <v>21321</v>
      </c>
      <c r="Z2280" t="s">
        <v>27598</v>
      </c>
      <c r="AA2280">
        <v>0.50833903265443581</v>
      </c>
      <c r="AB2280" t="str">
        <f>HYPERLINK("Melting_Curves/meltCurve_P21695_2_GPD1.pdf", "Melting_Curves/meltCurve_P21695_2_GPD1.pdf")</f>
        <v>Melting_Curves/meltCurve_P21695_2_GPD1.pdf</v>
      </c>
    </row>
    <row r="2281" spans="1:28" x14ac:dyDescent="0.25">
      <c r="A2281" t="s">
        <v>2285</v>
      </c>
      <c r="B2281">
        <v>0.99542014353169495</v>
      </c>
      <c r="C2281">
        <v>1.0464534318259999</v>
      </c>
      <c r="D2281">
        <v>0.95344823137993995</v>
      </c>
      <c r="E2281">
        <v>0.80182196461939004</v>
      </c>
      <c r="F2281">
        <v>0.59414321631661804</v>
      </c>
      <c r="G2281">
        <v>0.36466515520123399</v>
      </c>
      <c r="H2281">
        <v>0.26267800026694899</v>
      </c>
      <c r="I2281">
        <v>0.30439554631201599</v>
      </c>
      <c r="J2281">
        <v>0.27963300270528701</v>
      </c>
      <c r="K2281">
        <v>0.30012331613758098</v>
      </c>
      <c r="L2281">
        <v>1017.6526737427999</v>
      </c>
      <c r="M2281">
        <v>20.691140063547198</v>
      </c>
      <c r="N2281">
        <v>51.138107145028599</v>
      </c>
      <c r="O2281">
        <v>48.7305416391197</v>
      </c>
      <c r="P2281">
        <v>-7.7140359095368899E-2</v>
      </c>
      <c r="Q2281">
        <v>0.27331541729885001</v>
      </c>
      <c r="R2281">
        <v>0.99205167979448206</v>
      </c>
      <c r="S2281" t="s">
        <v>8683</v>
      </c>
      <c r="T2281" t="s">
        <v>12802</v>
      </c>
      <c r="U2281" t="s">
        <v>12802</v>
      </c>
      <c r="V2281" t="s">
        <v>12802</v>
      </c>
      <c r="W2281" t="s">
        <v>15039</v>
      </c>
      <c r="X2281">
        <v>2</v>
      </c>
      <c r="Y2281" t="s">
        <v>21322</v>
      </c>
      <c r="Z2281" t="s">
        <v>27599</v>
      </c>
      <c r="AA2281">
        <v>0.57742327484538336</v>
      </c>
      <c r="AB2281" t="str">
        <f>HYPERLINK("Melting_Curves/meltCurve_P21731_TBXA2R.pdf", "Melting_Curves/meltCurve_P21731_TBXA2R.pdf")</f>
        <v>Melting_Curves/meltCurve_P21731_TBXA2R.pdf</v>
      </c>
    </row>
    <row r="2282" spans="1:28" x14ac:dyDescent="0.25">
      <c r="A2282" t="s">
        <v>2286</v>
      </c>
      <c r="B2282">
        <v>0.99542014353169495</v>
      </c>
      <c r="C2282">
        <v>0.87213689463108002</v>
      </c>
      <c r="D2282">
        <v>0.901386949374685</v>
      </c>
      <c r="E2282">
        <v>0.79871899301862403</v>
      </c>
      <c r="F2282">
        <v>0.757590698698973</v>
      </c>
      <c r="G2282">
        <v>0.41906666326243402</v>
      </c>
      <c r="H2282">
        <v>0.32278099494165202</v>
      </c>
      <c r="I2282">
        <v>0.24464540467627999</v>
      </c>
      <c r="J2282">
        <v>0.281498936063938</v>
      </c>
      <c r="K2282">
        <v>0.35813650485725401</v>
      </c>
      <c r="L2282">
        <v>738.62450574820696</v>
      </c>
      <c r="M2282">
        <v>14.6111327758665</v>
      </c>
      <c r="N2282">
        <v>53.0666229755534</v>
      </c>
      <c r="O2282">
        <v>49.633566932194697</v>
      </c>
      <c r="P2282">
        <v>-5.5217732276789E-2</v>
      </c>
      <c r="Q2282">
        <v>0.24979257395854301</v>
      </c>
      <c r="R2282">
        <v>0.94316745852371198</v>
      </c>
      <c r="S2282" t="s">
        <v>8684</v>
      </c>
      <c r="T2282" t="s">
        <v>12802</v>
      </c>
      <c r="U2282" t="s">
        <v>12802</v>
      </c>
      <c r="V2282" t="s">
        <v>12802</v>
      </c>
      <c r="W2282" t="s">
        <v>15040</v>
      </c>
      <c r="X2282">
        <v>25</v>
      </c>
      <c r="Y2282" t="s">
        <v>21323</v>
      </c>
      <c r="Z2282" t="s">
        <v>27600</v>
      </c>
      <c r="AA2282">
        <v>0.60462824371536883</v>
      </c>
      <c r="AB2282" t="str">
        <f>HYPERLINK("Melting_Curves/meltCurve_P21796_VDAC1.pdf", "Melting_Curves/meltCurve_P21796_VDAC1.pdf")</f>
        <v>Melting_Curves/meltCurve_P21796_VDAC1.pdf</v>
      </c>
    </row>
    <row r="2283" spans="1:28" x14ac:dyDescent="0.25">
      <c r="A2283" t="s">
        <v>2287</v>
      </c>
      <c r="B2283">
        <v>0.99542014353169495</v>
      </c>
      <c r="C2283">
        <v>0.94388309284299798</v>
      </c>
      <c r="D2283">
        <v>0.91356030789783604</v>
      </c>
      <c r="E2283">
        <v>0.80807654098560999</v>
      </c>
      <c r="F2283">
        <v>0.64314493087115299</v>
      </c>
      <c r="G2283">
        <v>0.49577193030747402</v>
      </c>
      <c r="H2283">
        <v>0.25107077081724</v>
      </c>
      <c r="I2283">
        <v>0.15437862786854201</v>
      </c>
      <c r="J2283">
        <v>7.1400134399186493E-2</v>
      </c>
      <c r="K2283">
        <v>7.7839427655335497E-2</v>
      </c>
      <c r="L2283">
        <v>625.86820302207798</v>
      </c>
      <c r="M2283">
        <v>11.877463543472199</v>
      </c>
      <c r="N2283">
        <v>52.693774029209301</v>
      </c>
      <c r="O2283">
        <v>51.266657882195403</v>
      </c>
      <c r="P2283">
        <v>-5.7934549227105898E-2</v>
      </c>
      <c r="Q2283">
        <v>0</v>
      </c>
      <c r="R2283">
        <v>0.99430585701891305</v>
      </c>
      <c r="S2283" t="s">
        <v>8685</v>
      </c>
      <c r="T2283" t="s">
        <v>12802</v>
      </c>
      <c r="U2283" t="s">
        <v>12802</v>
      </c>
      <c r="V2283" t="s">
        <v>12802</v>
      </c>
      <c r="W2283" t="s">
        <v>15041</v>
      </c>
      <c r="X2283">
        <v>20</v>
      </c>
      <c r="Y2283" t="s">
        <v>21324</v>
      </c>
      <c r="Z2283" t="s">
        <v>27601</v>
      </c>
      <c r="AA2283">
        <v>0.54520686568913235</v>
      </c>
      <c r="AB2283" t="str">
        <f>HYPERLINK("Melting_Curves/meltCurve_P21912_SDHB.pdf", "Melting_Curves/meltCurve_P21912_SDHB.pdf")</f>
        <v>Melting_Curves/meltCurve_P21912_SDHB.pdf</v>
      </c>
    </row>
    <row r="2284" spans="1:28" x14ac:dyDescent="0.25">
      <c r="A2284" t="s">
        <v>2288</v>
      </c>
      <c r="B2284">
        <v>0.99542014353169495</v>
      </c>
      <c r="C2284">
        <v>1.0701717920660401</v>
      </c>
      <c r="D2284">
        <v>0.97754183865295996</v>
      </c>
      <c r="E2284">
        <v>0.92389833479791394</v>
      </c>
      <c r="F2284">
        <v>0.74062998677619296</v>
      </c>
      <c r="G2284">
        <v>0.52198296508937103</v>
      </c>
      <c r="H2284">
        <v>0.205103140019428</v>
      </c>
      <c r="I2284">
        <v>9.0923990008481503E-2</v>
      </c>
      <c r="J2284">
        <v>8.2358716090100301E-2</v>
      </c>
      <c r="K2284">
        <v>8.2220110689904702E-2</v>
      </c>
      <c r="L2284">
        <v>990.37684387909098</v>
      </c>
      <c r="M2284">
        <v>18.592478960830402</v>
      </c>
      <c r="N2284">
        <v>53.481916486278202</v>
      </c>
      <c r="O2284">
        <v>52.662855051969302</v>
      </c>
      <c r="P2284">
        <v>-8.5097127895717203E-2</v>
      </c>
      <c r="Q2284">
        <v>3.5897656784426302E-2</v>
      </c>
      <c r="R2284">
        <v>0.99313602804342005</v>
      </c>
      <c r="S2284" t="s">
        <v>8686</v>
      </c>
      <c r="T2284" t="s">
        <v>12802</v>
      </c>
      <c r="U2284" t="s">
        <v>12802</v>
      </c>
      <c r="V2284" t="s">
        <v>12802</v>
      </c>
      <c r="W2284" t="s">
        <v>15042</v>
      </c>
      <c r="X2284">
        <v>23</v>
      </c>
      <c r="Y2284" t="s">
        <v>21325</v>
      </c>
      <c r="Z2284" t="s">
        <v>27602</v>
      </c>
      <c r="AA2284">
        <v>0.57196309722102934</v>
      </c>
      <c r="AB2284" t="str">
        <f>HYPERLINK("Melting_Curves/meltCurve_P21964_2_COMT.pdf", "Melting_Curves/meltCurve_P21964_2_COMT.pdf")</f>
        <v>Melting_Curves/meltCurve_P21964_2_COMT.pdf</v>
      </c>
    </row>
    <row r="2285" spans="1:28" x14ac:dyDescent="0.25">
      <c r="A2285" t="s">
        <v>2289</v>
      </c>
      <c r="B2285">
        <v>0.99542014353169495</v>
      </c>
      <c r="C2285">
        <v>0.98393915773708895</v>
      </c>
      <c r="D2285">
        <v>0.91784340003851905</v>
      </c>
      <c r="E2285">
        <v>0.89859884747404195</v>
      </c>
      <c r="F2285">
        <v>0.65663470386664702</v>
      </c>
      <c r="G2285">
        <v>0.39179197873376098</v>
      </c>
      <c r="H2285">
        <v>0.101229594033885</v>
      </c>
      <c r="I2285">
        <v>5.4121059988620802E-2</v>
      </c>
      <c r="J2285">
        <v>5.3107450987765398E-2</v>
      </c>
      <c r="K2285">
        <v>5.5563047296729701E-2</v>
      </c>
      <c r="L2285">
        <v>979.08516103028205</v>
      </c>
      <c r="M2285">
        <v>18.854219504591999</v>
      </c>
      <c r="N2285">
        <v>52.010934614079602</v>
      </c>
      <c r="O2285">
        <v>51.355642983283197</v>
      </c>
      <c r="P2285">
        <v>-9.0446771346140598E-2</v>
      </c>
      <c r="Q2285">
        <v>1.45950130070811E-2</v>
      </c>
      <c r="R2285">
        <v>0.99388049120626298</v>
      </c>
      <c r="S2285" t="s">
        <v>8687</v>
      </c>
      <c r="T2285" t="s">
        <v>12802</v>
      </c>
      <c r="U2285" t="s">
        <v>12802</v>
      </c>
      <c r="V2285" t="s">
        <v>12802</v>
      </c>
      <c r="W2285" t="s">
        <v>15043</v>
      </c>
      <c r="X2285">
        <v>23</v>
      </c>
      <c r="Y2285" t="s">
        <v>21326</v>
      </c>
      <c r="Z2285" t="s">
        <v>27603</v>
      </c>
      <c r="AA2285">
        <v>0.51892383027483502</v>
      </c>
      <c r="AB2285" t="str">
        <f>HYPERLINK("Melting_Curves/meltCurve_P21980_TGM2.pdf", "Melting_Curves/meltCurve_P21980_TGM2.pdf")</f>
        <v>Melting_Curves/meltCurve_P21980_TGM2.pdf</v>
      </c>
    </row>
    <row r="2286" spans="1:28" x14ac:dyDescent="0.25">
      <c r="A2286" t="s">
        <v>2290</v>
      </c>
      <c r="B2286">
        <v>0.99542014353169495</v>
      </c>
      <c r="C2286">
        <v>0.99415218815398998</v>
      </c>
      <c r="D2286">
        <v>0.95321236907585905</v>
      </c>
      <c r="E2286">
        <v>0.83314588163664904</v>
      </c>
      <c r="F2286">
        <v>0.58883853041543499</v>
      </c>
      <c r="G2286">
        <v>0.259293127678834</v>
      </c>
      <c r="H2286">
        <v>0.123007170727472</v>
      </c>
      <c r="I2286">
        <v>8.3285942622387005E-2</v>
      </c>
      <c r="J2286">
        <v>9.0037748226499403E-2</v>
      </c>
      <c r="K2286">
        <v>6.4982801120826494E-2</v>
      </c>
      <c r="L2286">
        <v>1004.45607041473</v>
      </c>
      <c r="M2286">
        <v>19.8700918211672</v>
      </c>
      <c r="N2286">
        <v>50.860221676443501</v>
      </c>
      <c r="O2286">
        <v>50.047493774857301</v>
      </c>
      <c r="P2286">
        <v>-9.3614596454433402E-2</v>
      </c>
      <c r="Q2286">
        <v>5.6870095624461298E-2</v>
      </c>
      <c r="R2286">
        <v>0.99847357657124403</v>
      </c>
      <c r="S2286" t="s">
        <v>8688</v>
      </c>
      <c r="T2286" t="s">
        <v>12802</v>
      </c>
      <c r="U2286" t="s">
        <v>12802</v>
      </c>
      <c r="V2286" t="s">
        <v>12802</v>
      </c>
      <c r="W2286" t="s">
        <v>15044</v>
      </c>
      <c r="X2286">
        <v>17</v>
      </c>
      <c r="Y2286" t="s">
        <v>21327</v>
      </c>
      <c r="Z2286" t="s">
        <v>27604</v>
      </c>
      <c r="AA2286">
        <v>0.49541537397350299</v>
      </c>
      <c r="AB2286" t="str">
        <f>HYPERLINK("Melting_Curves/meltCurve_P22033_MUT.pdf", "Melting_Curves/meltCurve_P22033_MUT.pdf")</f>
        <v>Melting_Curves/meltCurve_P22033_MUT.pdf</v>
      </c>
    </row>
    <row r="2287" spans="1:28" x14ac:dyDescent="0.25">
      <c r="A2287" t="s">
        <v>2291</v>
      </c>
      <c r="B2287">
        <v>0.99542014353169495</v>
      </c>
      <c r="C2287">
        <v>0.94466280384079504</v>
      </c>
      <c r="D2287">
        <v>1.0724299484679001</v>
      </c>
      <c r="E2287">
        <v>0.91272800711178803</v>
      </c>
      <c r="F2287">
        <v>0.590263861471647</v>
      </c>
      <c r="G2287">
        <v>0.120364231495679</v>
      </c>
      <c r="H2287">
        <v>7.6262548952535605E-2</v>
      </c>
      <c r="I2287">
        <v>4.6775493723117199E-2</v>
      </c>
      <c r="J2287">
        <v>6.09550808225486E-2</v>
      </c>
      <c r="K2287">
        <v>7.4263851853036203E-2</v>
      </c>
      <c r="L2287">
        <v>1855.8479690003001</v>
      </c>
      <c r="M2287">
        <v>36.771353737333101</v>
      </c>
      <c r="N2287">
        <v>50.636522957506401</v>
      </c>
      <c r="O2287">
        <v>50.3213694338504</v>
      </c>
      <c r="P2287">
        <v>-0.17227510897912901</v>
      </c>
      <c r="Q2287">
        <v>5.6973125597757801E-2</v>
      </c>
      <c r="R2287">
        <v>0.99356729995414295</v>
      </c>
      <c r="S2287" t="s">
        <v>8689</v>
      </c>
      <c r="T2287" t="s">
        <v>12802</v>
      </c>
      <c r="U2287" t="s">
        <v>12802</v>
      </c>
      <c r="V2287" t="s">
        <v>12802</v>
      </c>
      <c r="W2287" t="s">
        <v>15045</v>
      </c>
      <c r="X2287">
        <v>25</v>
      </c>
      <c r="Y2287" t="s">
        <v>21328</v>
      </c>
      <c r="Z2287" t="s">
        <v>27605</v>
      </c>
      <c r="AA2287">
        <v>0.48428132364866933</v>
      </c>
      <c r="AB2287" t="str">
        <f>HYPERLINK("Melting_Curves/meltCurve_P22059_OSBP.pdf", "Melting_Curves/meltCurve_P22059_OSBP.pdf")</f>
        <v>Melting_Curves/meltCurve_P22059_OSBP.pdf</v>
      </c>
    </row>
    <row r="2288" spans="1:28" x14ac:dyDescent="0.25">
      <c r="A2288" t="s">
        <v>2292</v>
      </c>
      <c r="B2288">
        <v>0.99542014353169495</v>
      </c>
      <c r="C2288">
        <v>1.02397927183448</v>
      </c>
      <c r="D2288">
        <v>1.0114155664746101</v>
      </c>
      <c r="E2288">
        <v>0.87906935575002898</v>
      </c>
      <c r="F2288">
        <v>0.60556314147942503</v>
      </c>
      <c r="G2288">
        <v>0.23538239018335799</v>
      </c>
      <c r="H2288">
        <v>7.3577174608042903E-2</v>
      </c>
      <c r="I2288">
        <v>4.3783451570421399E-2</v>
      </c>
      <c r="J2288">
        <v>4.2957475591602602E-2</v>
      </c>
      <c r="K2288">
        <v>4.3310069977195297E-2</v>
      </c>
      <c r="L2288">
        <v>1225.5900815089301</v>
      </c>
      <c r="M2288">
        <v>24.0889479027331</v>
      </c>
      <c r="N2288">
        <v>51.009373000308003</v>
      </c>
      <c r="O2288">
        <v>50.530943360678997</v>
      </c>
      <c r="P2288">
        <v>-0.115587742430349</v>
      </c>
      <c r="Q2288">
        <v>3.01497321864755E-2</v>
      </c>
      <c r="R2288">
        <v>0.99869137913722705</v>
      </c>
      <c r="S2288" t="s">
        <v>8690</v>
      </c>
      <c r="T2288" t="s">
        <v>12802</v>
      </c>
      <c r="U2288" t="s">
        <v>12802</v>
      </c>
      <c r="V2288" t="s">
        <v>12802</v>
      </c>
      <c r="W2288" t="s">
        <v>15046</v>
      </c>
      <c r="X2288">
        <v>58</v>
      </c>
      <c r="Y2288" t="s">
        <v>19463</v>
      </c>
      <c r="Z2288" t="s">
        <v>27606</v>
      </c>
      <c r="AA2288">
        <v>0.48795014491295052</v>
      </c>
      <c r="AB2288" t="str">
        <f>HYPERLINK("Melting_Curves/meltCurve_P22102_GART.pdf", "Melting_Curves/meltCurve_P22102_GART.pdf")</f>
        <v>Melting_Curves/meltCurve_P22102_GART.pdf</v>
      </c>
    </row>
    <row r="2289" spans="1:28" x14ac:dyDescent="0.25">
      <c r="A2289" t="s">
        <v>2293</v>
      </c>
      <c r="B2289">
        <v>0.99542014353169495</v>
      </c>
      <c r="C2289">
        <v>0.84711851870623101</v>
      </c>
      <c r="D2289">
        <v>0.91445856852224106</v>
      </c>
      <c r="E2289">
        <v>0.74741024397560996</v>
      </c>
      <c r="F2289">
        <v>0.617208432061917</v>
      </c>
      <c r="G2289">
        <v>0.34961238122967803</v>
      </c>
      <c r="H2289">
        <v>0.39250086571797199</v>
      </c>
      <c r="I2289">
        <v>0.45866761108447501</v>
      </c>
      <c r="J2289">
        <v>0.54139261837081898</v>
      </c>
      <c r="K2289">
        <v>0.78954517022694504</v>
      </c>
      <c r="L2289">
        <v>1041.3619707676401</v>
      </c>
      <c r="M2289">
        <v>22.657945457311001</v>
      </c>
      <c r="O2289">
        <v>45.606608399945401</v>
      </c>
      <c r="P2289">
        <v>-6.0548007563314597E-2</v>
      </c>
      <c r="Q2289">
        <v>0.51251812513769601</v>
      </c>
      <c r="R2289">
        <v>0.67407701233908701</v>
      </c>
      <c r="S2289" t="s">
        <v>8691</v>
      </c>
      <c r="T2289" t="s">
        <v>12802</v>
      </c>
      <c r="U2289" t="s">
        <v>12802</v>
      </c>
      <c r="V2289" t="s">
        <v>12802</v>
      </c>
      <c r="W2289" t="s">
        <v>15047</v>
      </c>
      <c r="X2289">
        <v>31</v>
      </c>
      <c r="Y2289" t="s">
        <v>19525</v>
      </c>
      <c r="Z2289" t="s">
        <v>27607</v>
      </c>
      <c r="AA2289">
        <v>0.66305461811525379</v>
      </c>
      <c r="AB2289" t="str">
        <f>HYPERLINK("Melting_Curves/meltCurve_P22234_PAICS.pdf", "Melting_Curves/meltCurve_P22234_PAICS.pdf")</f>
        <v>Melting_Curves/meltCurve_P22234_PAICS.pdf</v>
      </c>
    </row>
    <row r="2290" spans="1:28" x14ac:dyDescent="0.25">
      <c r="A2290" t="s">
        <v>2294</v>
      </c>
      <c r="B2290">
        <v>0.99542014353169495</v>
      </c>
      <c r="C2290">
        <v>0.99237661199694105</v>
      </c>
      <c r="D2290">
        <v>0.933633395027747</v>
      </c>
      <c r="E2290">
        <v>0.94661969621074105</v>
      </c>
      <c r="F2290">
        <v>0.717596581024874</v>
      </c>
      <c r="G2290">
        <v>0.52323869773756504</v>
      </c>
      <c r="H2290">
        <v>0.22515938489340001</v>
      </c>
      <c r="I2290">
        <v>0.142016745782441</v>
      </c>
      <c r="J2290">
        <v>0.145478105720384</v>
      </c>
      <c r="K2290">
        <v>0.15925606230975201</v>
      </c>
      <c r="L2290">
        <v>995.31250431810599</v>
      </c>
      <c r="M2290">
        <v>18.892980596343499</v>
      </c>
      <c r="N2290">
        <v>53.385698550583001</v>
      </c>
      <c r="O2290">
        <v>52.102035847895202</v>
      </c>
      <c r="P2290">
        <v>-8.0659860082666096E-2</v>
      </c>
      <c r="Q2290">
        <v>0.110278739782862</v>
      </c>
      <c r="R2290">
        <v>0.99164545530895198</v>
      </c>
      <c r="S2290" t="s">
        <v>8692</v>
      </c>
      <c r="T2290" t="s">
        <v>12802</v>
      </c>
      <c r="U2290" t="s">
        <v>12802</v>
      </c>
      <c r="V2290" t="s">
        <v>12802</v>
      </c>
      <c r="W2290" t="s">
        <v>15048</v>
      </c>
      <c r="X2290">
        <v>17</v>
      </c>
      <c r="Y2290" t="s">
        <v>21329</v>
      </c>
      <c r="Z2290" t="s">
        <v>27608</v>
      </c>
      <c r="AA2290">
        <v>0.58763665593175263</v>
      </c>
      <c r="AB2290" t="str">
        <f>HYPERLINK("Melting_Curves/meltCurve_P22307_SCP2.pdf", "Melting_Curves/meltCurve_P22307_SCP2.pdf")</f>
        <v>Melting_Curves/meltCurve_P22307_SCP2.pdf</v>
      </c>
    </row>
    <row r="2291" spans="1:28" x14ac:dyDescent="0.25">
      <c r="A2291" t="s">
        <v>2295</v>
      </c>
      <c r="B2291">
        <v>0.99542014353169495</v>
      </c>
      <c r="C2291">
        <v>1.0693593789120099</v>
      </c>
      <c r="D2291">
        <v>0.83698401846823101</v>
      </c>
      <c r="E2291">
        <v>0.96203687762481105</v>
      </c>
      <c r="F2291">
        <v>0.70539164064002402</v>
      </c>
      <c r="G2291">
        <v>0.52415588088920495</v>
      </c>
      <c r="H2291">
        <v>0.19158793960159501</v>
      </c>
      <c r="I2291">
        <v>0.117583238991002</v>
      </c>
      <c r="J2291">
        <v>0.12678079552135799</v>
      </c>
      <c r="K2291">
        <v>0.14082225521246899</v>
      </c>
      <c r="L2291">
        <v>984.27688235342805</v>
      </c>
      <c r="M2291">
        <v>18.6758500224324</v>
      </c>
      <c r="N2291">
        <v>53.235299940956999</v>
      </c>
      <c r="O2291">
        <v>52.110087587798098</v>
      </c>
      <c r="P2291">
        <v>-8.1973050981141896E-2</v>
      </c>
      <c r="Q2291">
        <v>8.5141533188961005E-2</v>
      </c>
      <c r="R2291">
        <v>0.97104471290314398</v>
      </c>
      <c r="S2291" t="s">
        <v>8693</v>
      </c>
      <c r="T2291" t="s">
        <v>12802</v>
      </c>
      <c r="U2291" t="s">
        <v>12802</v>
      </c>
      <c r="V2291" t="s">
        <v>12802</v>
      </c>
      <c r="W2291" t="s">
        <v>15049</v>
      </c>
      <c r="X2291">
        <v>14</v>
      </c>
      <c r="Y2291" t="s">
        <v>21329</v>
      </c>
      <c r="Z2291" t="s">
        <v>27609</v>
      </c>
      <c r="AA2291">
        <v>0.57683958329538876</v>
      </c>
      <c r="AB2291" t="str">
        <f>HYPERLINK("Melting_Curves/meltCurve_P22307_2_SCP2.pdf", "Melting_Curves/meltCurve_P22307_2_SCP2.pdf")</f>
        <v>Melting_Curves/meltCurve_P22307_2_SCP2.pdf</v>
      </c>
    </row>
    <row r="2292" spans="1:28" x14ac:dyDescent="0.25">
      <c r="A2292" t="s">
        <v>2296</v>
      </c>
      <c r="B2292">
        <v>0.99542014353169495</v>
      </c>
      <c r="C2292">
        <v>0.98384644729742898</v>
      </c>
      <c r="D2292">
        <v>0.95829387604202798</v>
      </c>
      <c r="E2292">
        <v>0.78477076827709202</v>
      </c>
      <c r="F2292">
        <v>0.14815351908308899</v>
      </c>
      <c r="G2292">
        <v>8.7859746744982606E-2</v>
      </c>
      <c r="H2292">
        <v>5.2278632286400797E-2</v>
      </c>
      <c r="I2292">
        <v>3.51343577365721E-2</v>
      </c>
      <c r="J2292">
        <v>3.8937255067866099E-2</v>
      </c>
      <c r="K2292">
        <v>4.0098551185536097E-2</v>
      </c>
      <c r="L2292">
        <v>2124.5564640368898</v>
      </c>
      <c r="M2292">
        <v>44.385043715386203</v>
      </c>
      <c r="N2292">
        <v>47.975860175543197</v>
      </c>
      <c r="O2292">
        <v>47.769654402739803</v>
      </c>
      <c r="P2292">
        <v>-0.22111105625934699</v>
      </c>
      <c r="Q2292">
        <v>4.8113624424800501E-2</v>
      </c>
      <c r="R2292">
        <v>0.998356506031011</v>
      </c>
      <c r="S2292" t="s">
        <v>8694</v>
      </c>
      <c r="T2292" t="s">
        <v>12802</v>
      </c>
      <c r="U2292" t="s">
        <v>12802</v>
      </c>
      <c r="V2292" t="s">
        <v>12802</v>
      </c>
      <c r="W2292" t="s">
        <v>15050</v>
      </c>
      <c r="X2292">
        <v>47</v>
      </c>
      <c r="Y2292" t="s">
        <v>21330</v>
      </c>
      <c r="Z2292" t="s">
        <v>27610</v>
      </c>
      <c r="AA2292">
        <v>0.39545676794046558</v>
      </c>
      <c r="AB2292" t="str">
        <f>HYPERLINK("Melting_Curves/meltCurve_P22314_UBA1.pdf", "Melting_Curves/meltCurve_P22314_UBA1.pdf")</f>
        <v>Melting_Curves/meltCurve_P22314_UBA1.pdf</v>
      </c>
    </row>
    <row r="2293" spans="1:28" x14ac:dyDescent="0.25">
      <c r="A2293" t="s">
        <v>2297</v>
      </c>
      <c r="B2293">
        <v>0.99542014353169495</v>
      </c>
      <c r="C2293">
        <v>1.1617384378100599</v>
      </c>
      <c r="D2293">
        <v>0.79916396645585197</v>
      </c>
      <c r="E2293">
        <v>0.82573067349535401</v>
      </c>
      <c r="F2293">
        <v>0.66776977978081398</v>
      </c>
      <c r="G2293">
        <v>0.51695376599155396</v>
      </c>
      <c r="H2293">
        <v>0.34554927540365099</v>
      </c>
      <c r="I2293">
        <v>0.26991318842227902</v>
      </c>
      <c r="J2293">
        <v>0.50184296573548104</v>
      </c>
      <c r="K2293">
        <v>0.44101653468221602</v>
      </c>
      <c r="L2293">
        <v>803.86819479479004</v>
      </c>
      <c r="M2293">
        <v>16.414873982535099</v>
      </c>
      <c r="N2293">
        <v>53.565765847131402</v>
      </c>
      <c r="O2293">
        <v>48.262431758278801</v>
      </c>
      <c r="P2293">
        <v>-5.2921392329773602E-2</v>
      </c>
      <c r="Q2293">
        <v>0.37765371997268699</v>
      </c>
      <c r="R2293">
        <v>0.87592298371277799</v>
      </c>
      <c r="S2293" t="s">
        <v>8695</v>
      </c>
      <c r="T2293" t="s">
        <v>12802</v>
      </c>
      <c r="U2293" t="s">
        <v>12802</v>
      </c>
      <c r="V2293" t="s">
        <v>12802</v>
      </c>
      <c r="W2293" t="s">
        <v>15051</v>
      </c>
      <c r="X2293">
        <v>1</v>
      </c>
      <c r="Y2293" t="s">
        <v>21331</v>
      </c>
      <c r="Z2293" t="s">
        <v>27611</v>
      </c>
      <c r="AA2293">
        <v>0.63758999935853256</v>
      </c>
      <c r="AB2293" t="str">
        <f>HYPERLINK("Melting_Curves/meltCurve_P22466_GAL.pdf", "Melting_Curves/meltCurve_P22466_GAL.pdf")</f>
        <v>Melting_Curves/meltCurve_P22466_GAL.pdf</v>
      </c>
    </row>
    <row r="2294" spans="1:28" x14ac:dyDescent="0.25">
      <c r="A2294" t="s">
        <v>2298</v>
      </c>
      <c r="B2294">
        <v>0.99542014353169495</v>
      </c>
      <c r="C2294">
        <v>1.18562611295957</v>
      </c>
      <c r="D2294">
        <v>1.1507922296292199</v>
      </c>
      <c r="E2294">
        <v>1.2556386141093301</v>
      </c>
      <c r="F2294">
        <v>1.2136343489892001</v>
      </c>
      <c r="G2294">
        <v>0.99967630186935197</v>
      </c>
      <c r="H2294">
        <v>0.72719897684913004</v>
      </c>
      <c r="I2294">
        <v>0.74207641341196595</v>
      </c>
      <c r="J2294">
        <v>1.31158294300119</v>
      </c>
      <c r="K2294">
        <v>1.1714997004522001</v>
      </c>
      <c r="L2294">
        <v>9540.8271858970402</v>
      </c>
      <c r="M2294">
        <v>250</v>
      </c>
      <c r="O2294">
        <v>38.160863502246897</v>
      </c>
      <c r="P2294">
        <v>0.13788913889026999</v>
      </c>
      <c r="Q2294">
        <v>1.0841915043447801</v>
      </c>
      <c r="R2294">
        <v>1.86600381316386E-2</v>
      </c>
      <c r="S2294" t="s">
        <v>8696</v>
      </c>
      <c r="T2294" t="s">
        <v>12802</v>
      </c>
      <c r="U2294" t="s">
        <v>12802</v>
      </c>
      <c r="V2294" t="s">
        <v>12802</v>
      </c>
      <c r="W2294" t="s">
        <v>15052</v>
      </c>
      <c r="X2294">
        <v>2</v>
      </c>
      <c r="Y2294" t="s">
        <v>21332</v>
      </c>
      <c r="Z2294" t="s">
        <v>27612</v>
      </c>
      <c r="AA2294">
        <v>1.08092102096141</v>
      </c>
      <c r="AB2294" t="str">
        <f>HYPERLINK("Melting_Curves/meltCurve_P22532_SPRR2D.pdf", "Melting_Curves/meltCurve_P22532_SPRR2D.pdf")</f>
        <v>Melting_Curves/meltCurve_P22532_SPRR2D.pdf</v>
      </c>
    </row>
    <row r="2295" spans="1:28" x14ac:dyDescent="0.25">
      <c r="A2295" t="s">
        <v>2299</v>
      </c>
      <c r="B2295">
        <v>0.99542014353169495</v>
      </c>
      <c r="C2295">
        <v>1.0500363760250899</v>
      </c>
      <c r="D2295">
        <v>0.97621125333792202</v>
      </c>
      <c r="E2295">
        <v>0.87293366215411305</v>
      </c>
      <c r="F2295">
        <v>0.335922995863079</v>
      </c>
      <c r="G2295">
        <v>0.106787784461191</v>
      </c>
      <c r="H2295">
        <v>6.3100251446340197E-2</v>
      </c>
      <c r="I2295">
        <v>3.9016864009301502E-2</v>
      </c>
      <c r="J2295">
        <v>3.6683507312437101E-2</v>
      </c>
      <c r="K2295">
        <v>3.9142501805253901E-2</v>
      </c>
      <c r="L2295">
        <v>1684.4479104684999</v>
      </c>
      <c r="M2295">
        <v>34.343566747709602</v>
      </c>
      <c r="N2295">
        <v>49.183775373350798</v>
      </c>
      <c r="O2295">
        <v>48.881557562450801</v>
      </c>
      <c r="P2295">
        <v>-0.16764664163516199</v>
      </c>
      <c r="Q2295">
        <v>4.5550504892994899E-2</v>
      </c>
      <c r="R2295">
        <v>0.99812799074671399</v>
      </c>
      <c r="S2295" t="s">
        <v>8697</v>
      </c>
      <c r="T2295" t="s">
        <v>12802</v>
      </c>
      <c r="U2295" t="s">
        <v>12802</v>
      </c>
      <c r="V2295" t="s">
        <v>12802</v>
      </c>
      <c r="W2295" t="s">
        <v>14016</v>
      </c>
      <c r="X2295">
        <v>23</v>
      </c>
      <c r="Y2295" t="s">
        <v>20332</v>
      </c>
      <c r="Z2295" t="s">
        <v>27613</v>
      </c>
      <c r="AA2295">
        <v>0.43322053299095542</v>
      </c>
      <c r="AB2295" t="str">
        <f>HYPERLINK("Melting_Curves/meltCurve_P22570_FDXR.pdf", "Melting_Curves/meltCurve_P22570_FDXR.pdf")</f>
        <v>Melting_Curves/meltCurve_P22570_FDXR.pdf</v>
      </c>
    </row>
    <row r="2296" spans="1:28" x14ac:dyDescent="0.25">
      <c r="A2296" t="s">
        <v>2300</v>
      </c>
      <c r="B2296">
        <v>0.99542014353169495</v>
      </c>
      <c r="C2296">
        <v>1.0520695019431201</v>
      </c>
      <c r="D2296">
        <v>1.0606770731880499</v>
      </c>
      <c r="E2296">
        <v>0.95289467337916001</v>
      </c>
      <c r="F2296">
        <v>0.50359277806523195</v>
      </c>
      <c r="G2296">
        <v>0.23919625188867899</v>
      </c>
      <c r="H2296">
        <v>0.121396628313255</v>
      </c>
      <c r="I2296">
        <v>9.9291906084718801E-2</v>
      </c>
      <c r="J2296">
        <v>0.15525948252001601</v>
      </c>
      <c r="K2296">
        <v>0.333764720635842</v>
      </c>
      <c r="L2296">
        <v>2057.3469771606401</v>
      </c>
      <c r="M2296">
        <v>41.398085090240798</v>
      </c>
      <c r="N2296">
        <v>50.245367949162002</v>
      </c>
      <c r="O2296">
        <v>49.581128628519302</v>
      </c>
      <c r="P2296">
        <v>-0.170780513438959</v>
      </c>
      <c r="Q2296">
        <v>0.18184861701902599</v>
      </c>
      <c r="R2296">
        <v>0.97318670847115796</v>
      </c>
      <c r="S2296" t="s">
        <v>8698</v>
      </c>
      <c r="T2296" t="s">
        <v>12802</v>
      </c>
      <c r="U2296" t="s">
        <v>12802</v>
      </c>
      <c r="V2296" t="s">
        <v>12802</v>
      </c>
      <c r="W2296" t="s">
        <v>15053</v>
      </c>
      <c r="X2296">
        <v>19</v>
      </c>
      <c r="Y2296" t="s">
        <v>21333</v>
      </c>
      <c r="Z2296" t="s">
        <v>27614</v>
      </c>
      <c r="AA2296">
        <v>0.53073019192697657</v>
      </c>
      <c r="AB2296" t="str">
        <f>HYPERLINK("Melting_Curves/meltCurve_P22626_2_HNRNPA2B1.pdf", "Melting_Curves/meltCurve_P22626_2_HNRNPA2B1.pdf")</f>
        <v>Melting_Curves/meltCurve_P22626_2_HNRNPA2B1.pdf</v>
      </c>
    </row>
    <row r="2297" spans="1:28" x14ac:dyDescent="0.25">
      <c r="A2297" t="s">
        <v>2301</v>
      </c>
      <c r="B2297">
        <v>0.99542014353169495</v>
      </c>
      <c r="C2297">
        <v>0.81227903437970195</v>
      </c>
      <c r="D2297">
        <v>0.68347000143543701</v>
      </c>
      <c r="E2297">
        <v>0.82198024883042697</v>
      </c>
      <c r="F2297">
        <v>0.66147022919598697</v>
      </c>
      <c r="G2297">
        <v>0.368402906163254</v>
      </c>
      <c r="H2297">
        <v>0.29757693586664802</v>
      </c>
      <c r="I2297">
        <v>4.4263612084303697E-2</v>
      </c>
      <c r="J2297">
        <v>0.14391357809887301</v>
      </c>
      <c r="K2297">
        <v>8.1637573670602703E-2</v>
      </c>
      <c r="L2297">
        <v>475.33962005170201</v>
      </c>
      <c r="M2297">
        <v>9.2780447053791697</v>
      </c>
      <c r="N2297">
        <v>51.232736328207899</v>
      </c>
      <c r="O2297">
        <v>49.021440456874203</v>
      </c>
      <c r="P2297">
        <v>-4.7346877711285103E-2</v>
      </c>
      <c r="Q2297">
        <v>0</v>
      </c>
      <c r="R2297">
        <v>0.91578473794059401</v>
      </c>
      <c r="S2297" t="s">
        <v>8699</v>
      </c>
      <c r="T2297" t="s">
        <v>12802</v>
      </c>
      <c r="U2297" t="s">
        <v>12802</v>
      </c>
      <c r="V2297" t="s">
        <v>12802</v>
      </c>
      <c r="W2297" t="s">
        <v>15054</v>
      </c>
      <c r="X2297">
        <v>4</v>
      </c>
      <c r="Y2297" t="s">
        <v>21334</v>
      </c>
      <c r="Z2297" t="s">
        <v>27615</v>
      </c>
      <c r="AA2297">
        <v>0.50549194192082281</v>
      </c>
      <c r="AB2297" t="str">
        <f>HYPERLINK("Melting_Curves/meltCurve_P22670_RFX1.pdf", "Melting_Curves/meltCurve_P22670_RFX1.pdf")</f>
        <v>Melting_Curves/meltCurve_P22670_RFX1.pdf</v>
      </c>
    </row>
    <row r="2298" spans="1:28" x14ac:dyDescent="0.25">
      <c r="A2298" t="s">
        <v>2302</v>
      </c>
      <c r="B2298">
        <v>0.99542014353169495</v>
      </c>
      <c r="C2298">
        <v>0.99825793325734002</v>
      </c>
      <c r="D2298">
        <v>1.00137963915287</v>
      </c>
      <c r="E2298">
        <v>0.91347347572152104</v>
      </c>
      <c r="F2298">
        <v>0.81000092227863596</v>
      </c>
      <c r="G2298">
        <v>0.58646160061970998</v>
      </c>
      <c r="H2298">
        <v>0.22291514873593599</v>
      </c>
      <c r="I2298">
        <v>6.5315874152145903E-2</v>
      </c>
      <c r="J2298">
        <v>5.1491041338155803E-2</v>
      </c>
      <c r="K2298">
        <v>4.3787321141889497E-2</v>
      </c>
      <c r="L2298">
        <v>1085.47279091877</v>
      </c>
      <c r="M2298">
        <v>20.018124445932699</v>
      </c>
      <c r="N2298">
        <v>54.224504190909499</v>
      </c>
      <c r="O2298">
        <v>53.692074714139203</v>
      </c>
      <c r="P2298">
        <v>-9.3211031538515093E-2</v>
      </c>
      <c r="Q2298">
        <v>0</v>
      </c>
      <c r="R2298">
        <v>0.99541420563155603</v>
      </c>
      <c r="S2298" t="s">
        <v>8700</v>
      </c>
      <c r="T2298" t="s">
        <v>12802</v>
      </c>
      <c r="U2298" t="s">
        <v>12802</v>
      </c>
      <c r="V2298" t="s">
        <v>12802</v>
      </c>
      <c r="W2298" t="s">
        <v>15055</v>
      </c>
      <c r="X2298">
        <v>20</v>
      </c>
      <c r="Y2298" t="s">
        <v>21335</v>
      </c>
      <c r="Z2298" t="s">
        <v>27616</v>
      </c>
      <c r="AA2298">
        <v>0.58608534606232499</v>
      </c>
      <c r="AB2298" t="str">
        <f>HYPERLINK("Melting_Curves/meltCurve_P22681_CBL.pdf", "Melting_Curves/meltCurve_P22681_CBL.pdf")</f>
        <v>Melting_Curves/meltCurve_P22681_CBL.pdf</v>
      </c>
    </row>
    <row r="2299" spans="1:28" x14ac:dyDescent="0.25">
      <c r="A2299" t="s">
        <v>2303</v>
      </c>
      <c r="B2299">
        <v>0.99542014353169495</v>
      </c>
      <c r="C2299">
        <v>1.4255350151878901</v>
      </c>
      <c r="D2299">
        <v>0.82168374130067501</v>
      </c>
      <c r="E2299">
        <v>0.79248072073237996</v>
      </c>
      <c r="F2299">
        <v>0.86022771444859103</v>
      </c>
      <c r="G2299">
        <v>0.76601968483800198</v>
      </c>
      <c r="H2299">
        <v>0.19940959501890199</v>
      </c>
      <c r="I2299">
        <v>0</v>
      </c>
      <c r="J2299">
        <v>0.26631743758929299</v>
      </c>
      <c r="K2299">
        <v>0</v>
      </c>
      <c r="L2299">
        <v>2433.23902324757</v>
      </c>
      <c r="M2299">
        <v>44.257284362629498</v>
      </c>
      <c r="N2299">
        <v>55.207553645041799</v>
      </c>
      <c r="O2299">
        <v>54.867505820571502</v>
      </c>
      <c r="P2299">
        <v>-0.184802451497797</v>
      </c>
      <c r="Q2299">
        <v>8.3573638504005607E-2</v>
      </c>
      <c r="R2299">
        <v>0.84024645878288196</v>
      </c>
      <c r="S2299" t="s">
        <v>8701</v>
      </c>
      <c r="T2299" t="s">
        <v>12802</v>
      </c>
      <c r="U2299" t="s">
        <v>12802</v>
      </c>
      <c r="V2299" t="s">
        <v>12802</v>
      </c>
      <c r="W2299" t="s">
        <v>15056</v>
      </c>
      <c r="X2299">
        <v>5</v>
      </c>
      <c r="Y2299" t="s">
        <v>21336</v>
      </c>
      <c r="Z2299" t="s">
        <v>27617</v>
      </c>
      <c r="AA2299">
        <v>0.63562007106458018</v>
      </c>
      <c r="AB2299" t="str">
        <f>HYPERLINK("Melting_Curves/meltCurve_P22692_IGFBP4.pdf", "Melting_Curves/meltCurve_P22692_IGFBP4.pdf")</f>
        <v>Melting_Curves/meltCurve_P22692_IGFBP4.pdf</v>
      </c>
    </row>
    <row r="2300" spans="1:28" x14ac:dyDescent="0.25">
      <c r="A2300" t="s">
        <v>2304</v>
      </c>
      <c r="B2300">
        <v>0.99542014353169495</v>
      </c>
      <c r="C2300">
        <v>0.78966657174035004</v>
      </c>
      <c r="D2300">
        <v>0.77577536684767401</v>
      </c>
      <c r="E2300">
        <v>0.43945258544689902</v>
      </c>
      <c r="F2300">
        <v>0.36593389743256999</v>
      </c>
      <c r="G2300">
        <v>0.213762620791319</v>
      </c>
      <c r="H2300">
        <v>0.139957815503581</v>
      </c>
      <c r="I2300">
        <v>6.0695049971716701E-2</v>
      </c>
      <c r="J2300">
        <v>5.8792045213938E-2</v>
      </c>
      <c r="K2300">
        <v>5.4384806349163997E-2</v>
      </c>
      <c r="L2300">
        <v>487.721387677461</v>
      </c>
      <c r="M2300">
        <v>10.44990845187</v>
      </c>
      <c r="N2300">
        <v>46.735047333376599</v>
      </c>
      <c r="O2300">
        <v>45.060256984738302</v>
      </c>
      <c r="P2300">
        <v>-5.7597388601190597E-2</v>
      </c>
      <c r="Q2300">
        <v>6.9628145614087497E-3</v>
      </c>
      <c r="R2300">
        <v>0.98320488434394004</v>
      </c>
      <c r="S2300" t="s">
        <v>8702</v>
      </c>
      <c r="T2300" t="s">
        <v>12802</v>
      </c>
      <c r="U2300" t="s">
        <v>12802</v>
      </c>
      <c r="V2300" t="s">
        <v>12802</v>
      </c>
      <c r="W2300" t="s">
        <v>15057</v>
      </c>
      <c r="X2300">
        <v>13</v>
      </c>
      <c r="Y2300" t="s">
        <v>21337</v>
      </c>
      <c r="Z2300" t="s">
        <v>27618</v>
      </c>
      <c r="AA2300">
        <v>0.3682422066095522</v>
      </c>
      <c r="AB2300" t="str">
        <f>HYPERLINK("Melting_Curves/meltCurve_P22695_UQCRC2.pdf", "Melting_Curves/meltCurve_P22695_UQCRC2.pdf")</f>
        <v>Melting_Curves/meltCurve_P22695_UQCRC2.pdf</v>
      </c>
    </row>
    <row r="2301" spans="1:28" x14ac:dyDescent="0.25">
      <c r="A2301" t="s">
        <v>2305</v>
      </c>
      <c r="B2301">
        <v>0.99542014353169495</v>
      </c>
      <c r="C2301">
        <v>0.98401525878943297</v>
      </c>
      <c r="D2301">
        <v>0.99470582355494697</v>
      </c>
      <c r="E2301">
        <v>0.786032954066613</v>
      </c>
      <c r="F2301">
        <v>0.51487974976482298</v>
      </c>
      <c r="G2301">
        <v>0.22475148258672201</v>
      </c>
      <c r="H2301">
        <v>0.118399076634081</v>
      </c>
      <c r="I2301">
        <v>7.5179114722333698E-2</v>
      </c>
      <c r="J2301">
        <v>8.2158092211730899E-2</v>
      </c>
      <c r="K2301">
        <v>9.0879158585265601E-2</v>
      </c>
      <c r="L2301">
        <v>1016.7465528113401</v>
      </c>
      <c r="M2301">
        <v>20.430521770647101</v>
      </c>
      <c r="N2301">
        <v>50.127201824533302</v>
      </c>
      <c r="O2301">
        <v>49.296629136441403</v>
      </c>
      <c r="P2301">
        <v>-9.6522046982506396E-2</v>
      </c>
      <c r="Q2301">
        <v>6.8438993974580101E-2</v>
      </c>
      <c r="R2301">
        <v>0.99807129670237804</v>
      </c>
      <c r="S2301" t="s">
        <v>8703</v>
      </c>
      <c r="T2301" t="s">
        <v>12802</v>
      </c>
      <c r="U2301" t="s">
        <v>12802</v>
      </c>
      <c r="V2301" t="s">
        <v>12802</v>
      </c>
      <c r="W2301" t="s">
        <v>15058</v>
      </c>
      <c r="X2301">
        <v>19</v>
      </c>
      <c r="Y2301" t="s">
        <v>21338</v>
      </c>
      <c r="Z2301" t="s">
        <v>27619</v>
      </c>
      <c r="AA2301">
        <v>0.47666915095751761</v>
      </c>
      <c r="AB2301" t="str">
        <f>HYPERLINK("Melting_Curves/meltCurve_P22830_FECH.pdf", "Melting_Curves/meltCurve_P22830_FECH.pdf")</f>
        <v>Melting_Curves/meltCurve_P22830_FECH.pdf</v>
      </c>
    </row>
    <row r="2302" spans="1:28" x14ac:dyDescent="0.25">
      <c r="A2302" t="s">
        <v>2306</v>
      </c>
      <c r="B2302">
        <v>0.99542014353169495</v>
      </c>
      <c r="C2302">
        <v>1.0039611861722</v>
      </c>
      <c r="D2302">
        <v>0.94237290136251195</v>
      </c>
      <c r="E2302">
        <v>0.69853803693220196</v>
      </c>
      <c r="F2302">
        <v>0.31607073862638402</v>
      </c>
      <c r="G2302">
        <v>0.19136754049719501</v>
      </c>
      <c r="H2302">
        <v>0.110194681502729</v>
      </c>
      <c r="I2302">
        <v>9.0426587206634906E-2</v>
      </c>
      <c r="J2302">
        <v>9.4869920957569298E-2</v>
      </c>
      <c r="K2302">
        <v>7.8239910942930702E-2</v>
      </c>
      <c r="L2302">
        <v>1095.7871196071801</v>
      </c>
      <c r="M2302">
        <v>22.834192499201301</v>
      </c>
      <c r="N2302">
        <v>48.407866388350399</v>
      </c>
      <c r="O2302">
        <v>47.625371020053898</v>
      </c>
      <c r="P2302">
        <v>-0.109117784372287</v>
      </c>
      <c r="Q2302">
        <v>8.9668135713104294E-2</v>
      </c>
      <c r="R2302">
        <v>0.998907713940407</v>
      </c>
      <c r="S2302" t="s">
        <v>8704</v>
      </c>
      <c r="T2302" t="s">
        <v>12802</v>
      </c>
      <c r="U2302" t="s">
        <v>12802</v>
      </c>
      <c r="V2302" t="s">
        <v>12802</v>
      </c>
      <c r="W2302" t="s">
        <v>15059</v>
      </c>
      <c r="X2302">
        <v>6</v>
      </c>
      <c r="Y2302" t="s">
        <v>21339</v>
      </c>
      <c r="Z2302" t="s">
        <v>27620</v>
      </c>
      <c r="AA2302">
        <v>0.43238739228257522</v>
      </c>
      <c r="AB2302" t="str">
        <f>HYPERLINK("Melting_Curves/meltCurve_P23025_XPA.pdf", "Melting_Curves/meltCurve_P23025_XPA.pdf")</f>
        <v>Melting_Curves/meltCurve_P23025_XPA.pdf</v>
      </c>
    </row>
    <row r="2303" spans="1:28" x14ac:dyDescent="0.25">
      <c r="A2303" t="s">
        <v>2307</v>
      </c>
      <c r="B2303">
        <v>0.99542014353169495</v>
      </c>
      <c r="C2303">
        <v>1.05924137351377</v>
      </c>
      <c r="D2303">
        <v>0.97259033139065598</v>
      </c>
      <c r="E2303">
        <v>0.97335338065997601</v>
      </c>
      <c r="F2303">
        <v>0.72868557995328498</v>
      </c>
      <c r="G2303">
        <v>0.45499291323327601</v>
      </c>
      <c r="H2303">
        <v>0.19923815624753199</v>
      </c>
      <c r="I2303">
        <v>0.124247096875272</v>
      </c>
      <c r="J2303">
        <v>0.141744884894178</v>
      </c>
      <c r="K2303">
        <v>0.17836260821590999</v>
      </c>
      <c r="L2303">
        <v>1228.6990636507601</v>
      </c>
      <c r="M2303">
        <v>23.537601970161901</v>
      </c>
      <c r="N2303">
        <v>52.8903988162932</v>
      </c>
      <c r="O2303">
        <v>51.829119353399904</v>
      </c>
      <c r="P2303">
        <v>-9.8547850246789803E-2</v>
      </c>
      <c r="Q2303">
        <v>0.132016751797354</v>
      </c>
      <c r="R2303">
        <v>0.99302660964059897</v>
      </c>
      <c r="S2303" t="s">
        <v>8705</v>
      </c>
      <c r="T2303" t="s">
        <v>12802</v>
      </c>
      <c r="U2303" t="s">
        <v>12802</v>
      </c>
      <c r="V2303" t="s">
        <v>12802</v>
      </c>
      <c r="W2303" t="s">
        <v>15060</v>
      </c>
      <c r="X2303">
        <v>29</v>
      </c>
      <c r="Y2303" t="s">
        <v>21340</v>
      </c>
      <c r="Z2303" t="s">
        <v>27621</v>
      </c>
      <c r="AA2303">
        <v>0.58038847204915778</v>
      </c>
      <c r="AB2303" t="str">
        <f>HYPERLINK("Melting_Curves/meltCurve_P23193_TCEA1.pdf", "Melting_Curves/meltCurve_P23193_TCEA1.pdf")</f>
        <v>Melting_Curves/meltCurve_P23193_TCEA1.pdf</v>
      </c>
    </row>
    <row r="2304" spans="1:28" x14ac:dyDescent="0.25">
      <c r="A2304" t="s">
        <v>2308</v>
      </c>
      <c r="B2304">
        <v>0.99542014353169495</v>
      </c>
      <c r="C2304">
        <v>1.0104939324178901</v>
      </c>
      <c r="D2304">
        <v>1.0077812783731901</v>
      </c>
      <c r="E2304">
        <v>0.51737631538712903</v>
      </c>
      <c r="F2304">
        <v>0.23309685461331101</v>
      </c>
      <c r="G2304">
        <v>9.8444506120368605E-2</v>
      </c>
      <c r="H2304">
        <v>5.9883830727735399E-2</v>
      </c>
      <c r="I2304">
        <v>4.4487865764028599E-2</v>
      </c>
      <c r="J2304">
        <v>5.1232755795183903E-2</v>
      </c>
      <c r="K2304">
        <v>5.9880299320098397E-2</v>
      </c>
      <c r="L2304">
        <v>1349.7782913040601</v>
      </c>
      <c r="M2304">
        <v>28.834764706805199</v>
      </c>
      <c r="N2304">
        <v>47.0316662905526</v>
      </c>
      <c r="O2304">
        <v>46.587382818931999</v>
      </c>
      <c r="P2304">
        <v>-0.14493787124465399</v>
      </c>
      <c r="Q2304">
        <v>6.3321700550516405E-2</v>
      </c>
      <c r="R2304">
        <v>0.99322469974654004</v>
      </c>
      <c r="S2304" t="s">
        <v>8706</v>
      </c>
      <c r="T2304" t="s">
        <v>12802</v>
      </c>
      <c r="U2304" t="s">
        <v>12802</v>
      </c>
      <c r="V2304" t="s">
        <v>12802</v>
      </c>
      <c r="W2304" t="s">
        <v>15061</v>
      </c>
      <c r="X2304">
        <v>46</v>
      </c>
      <c r="Y2304" t="s">
        <v>21341</v>
      </c>
      <c r="Z2304" t="s">
        <v>27622</v>
      </c>
      <c r="AA2304">
        <v>0.37551826872526028</v>
      </c>
      <c r="AB2304" t="str">
        <f>HYPERLINK("Melting_Curves/meltCurve_P23246_SFPQ.pdf", "Melting_Curves/meltCurve_P23246_SFPQ.pdf")</f>
        <v>Melting_Curves/meltCurve_P23246_SFPQ.pdf</v>
      </c>
    </row>
    <row r="2305" spans="1:28" x14ac:dyDescent="0.25">
      <c r="A2305" t="s">
        <v>2309</v>
      </c>
      <c r="B2305">
        <v>0.99542014353169495</v>
      </c>
      <c r="C2305">
        <v>0.94054403097336103</v>
      </c>
      <c r="D2305">
        <v>0.83262522312092802</v>
      </c>
      <c r="E2305">
        <v>0.73126108309045401</v>
      </c>
      <c r="F2305">
        <v>0.51249233502816804</v>
      </c>
      <c r="G2305">
        <v>0.48700478923731499</v>
      </c>
      <c r="H2305">
        <v>0.21683499143788801</v>
      </c>
      <c r="I2305">
        <v>0.13093712686460701</v>
      </c>
      <c r="J2305">
        <v>5.7965216318593298E-2</v>
      </c>
      <c r="K2305">
        <v>6.6741321653907407E-2</v>
      </c>
      <c r="L2305">
        <v>527.66654068180696</v>
      </c>
      <c r="M2305">
        <v>10.329290830679801</v>
      </c>
      <c r="N2305">
        <v>51.084488370460797</v>
      </c>
      <c r="O2305">
        <v>49.280983019668</v>
      </c>
      <c r="P2305">
        <v>-5.2422497319109702E-2</v>
      </c>
      <c r="Q2305">
        <v>0</v>
      </c>
      <c r="R2305">
        <v>0.98306432031118496</v>
      </c>
      <c r="S2305" t="s">
        <v>8707</v>
      </c>
      <c r="T2305" t="s">
        <v>12802</v>
      </c>
      <c r="U2305" t="s">
        <v>12802</v>
      </c>
      <c r="V2305" t="s">
        <v>12802</v>
      </c>
      <c r="W2305" t="s">
        <v>15062</v>
      </c>
      <c r="X2305">
        <v>14</v>
      </c>
      <c r="Y2305" t="s">
        <v>21342</v>
      </c>
      <c r="Z2305" t="s">
        <v>27623</v>
      </c>
      <c r="AA2305">
        <v>0.49893776163280329</v>
      </c>
      <c r="AB2305" t="str">
        <f>HYPERLINK("Melting_Curves/meltCurve_P23258_TUBG1.pdf", "Melting_Curves/meltCurve_P23258_TUBG1.pdf")</f>
        <v>Melting_Curves/meltCurve_P23258_TUBG1.pdf</v>
      </c>
    </row>
    <row r="2306" spans="1:28" x14ac:dyDescent="0.25">
      <c r="A2306" t="s">
        <v>2310</v>
      </c>
      <c r="B2306">
        <v>0.99542014353169495</v>
      </c>
      <c r="C2306">
        <v>1.02188282611735</v>
      </c>
      <c r="D2306">
        <v>0.98887160618613801</v>
      </c>
      <c r="E2306">
        <v>0.97724276747461303</v>
      </c>
      <c r="F2306">
        <v>0.64316856623861896</v>
      </c>
      <c r="G2306">
        <v>0.16234008764730401</v>
      </c>
      <c r="H2306">
        <v>8.6054456983910302E-2</v>
      </c>
      <c r="I2306">
        <v>5.5901920862342497E-2</v>
      </c>
      <c r="J2306">
        <v>6.0148390518136301E-2</v>
      </c>
      <c r="K2306">
        <v>6.7287935980084604E-2</v>
      </c>
      <c r="L2306">
        <v>1964.66483753895</v>
      </c>
      <c r="M2306">
        <v>38.649267141822101</v>
      </c>
      <c r="N2306">
        <v>51.013500205518902</v>
      </c>
      <c r="O2306">
        <v>50.697655432534098</v>
      </c>
      <c r="P2306">
        <v>-0.178417912596882</v>
      </c>
      <c r="Q2306">
        <v>6.3853052718592998E-2</v>
      </c>
      <c r="R2306">
        <v>0.99953587352604201</v>
      </c>
      <c r="S2306" t="s">
        <v>8708</v>
      </c>
      <c r="T2306" t="s">
        <v>12802</v>
      </c>
      <c r="U2306" t="s">
        <v>12802</v>
      </c>
      <c r="V2306" t="s">
        <v>12802</v>
      </c>
      <c r="W2306" t="s">
        <v>15063</v>
      </c>
      <c r="X2306">
        <v>18</v>
      </c>
      <c r="Y2306" t="s">
        <v>21343</v>
      </c>
      <c r="Z2306" t="s">
        <v>27624</v>
      </c>
      <c r="AA2306">
        <v>0.49903550670624591</v>
      </c>
      <c r="AB2306" t="str">
        <f>HYPERLINK("Melting_Curves/meltCurve_P23284_PPIB.pdf", "Melting_Curves/meltCurve_P23284_PPIB.pdf")</f>
        <v>Melting_Curves/meltCurve_P23284_PPIB.pdf</v>
      </c>
    </row>
    <row r="2307" spans="1:28" x14ac:dyDescent="0.25">
      <c r="A2307" t="s">
        <v>2311</v>
      </c>
      <c r="B2307">
        <v>0.99542014353169495</v>
      </c>
      <c r="C2307">
        <v>0.96045142536838601</v>
      </c>
      <c r="D2307">
        <v>0.89748164544712195</v>
      </c>
      <c r="E2307">
        <v>0.74846432324054302</v>
      </c>
      <c r="F2307">
        <v>0.54646036167021905</v>
      </c>
      <c r="G2307">
        <v>0.30414862643942903</v>
      </c>
      <c r="H2307">
        <v>0.101883696064718</v>
      </c>
      <c r="I2307">
        <v>5.9487821448162698E-2</v>
      </c>
      <c r="J2307">
        <v>4.9692355950051198E-2</v>
      </c>
      <c r="K2307">
        <v>5.0756130412176997E-2</v>
      </c>
      <c r="L2307">
        <v>719.47973245677804</v>
      </c>
      <c r="M2307">
        <v>14.273958722523</v>
      </c>
      <c r="N2307">
        <v>50.405062690227503</v>
      </c>
      <c r="O2307">
        <v>49.446713352789097</v>
      </c>
      <c r="P2307">
        <v>-7.2177266036087803E-2</v>
      </c>
      <c r="Q2307">
        <v>0</v>
      </c>
      <c r="R2307">
        <v>0.99633092066876405</v>
      </c>
      <c r="S2307" t="s">
        <v>8709</v>
      </c>
      <c r="T2307" t="s">
        <v>12802</v>
      </c>
      <c r="U2307" t="s">
        <v>12802</v>
      </c>
      <c r="V2307" t="s">
        <v>12802</v>
      </c>
      <c r="W2307" t="s">
        <v>15064</v>
      </c>
      <c r="X2307">
        <v>14</v>
      </c>
      <c r="Y2307" t="s">
        <v>21344</v>
      </c>
      <c r="Z2307" t="s">
        <v>27625</v>
      </c>
      <c r="AA2307">
        <v>0.46888901545781481</v>
      </c>
      <c r="AB2307" t="str">
        <f>HYPERLINK("Melting_Curves/meltCurve_P23368_ME2.pdf", "Melting_Curves/meltCurve_P23368_ME2.pdf")</f>
        <v>Melting_Curves/meltCurve_P23368_ME2.pdf</v>
      </c>
    </row>
    <row r="2308" spans="1:28" x14ac:dyDescent="0.25">
      <c r="A2308" t="s">
        <v>2312</v>
      </c>
      <c r="B2308">
        <v>0.99542014353169495</v>
      </c>
      <c r="C2308">
        <v>0.974146671737388</v>
      </c>
      <c r="D2308">
        <v>0.93073405977412005</v>
      </c>
      <c r="E2308">
        <v>0.90650620789032899</v>
      </c>
      <c r="F2308">
        <v>0.73253444598172102</v>
      </c>
      <c r="G2308">
        <v>0.58065109506271195</v>
      </c>
      <c r="H2308">
        <v>0.31774923629878798</v>
      </c>
      <c r="I2308">
        <v>0.212971431595396</v>
      </c>
      <c r="J2308">
        <v>0.25373960523741501</v>
      </c>
      <c r="K2308">
        <v>0.289744321919015</v>
      </c>
      <c r="L2308">
        <v>890.34423292653798</v>
      </c>
      <c r="M2308">
        <v>16.997545858922301</v>
      </c>
      <c r="N2308">
        <v>54.152587937963702</v>
      </c>
      <c r="O2308">
        <v>51.6718507051052</v>
      </c>
      <c r="P2308">
        <v>-6.4701154723208906E-2</v>
      </c>
      <c r="Q2308">
        <v>0.21329308984003201</v>
      </c>
      <c r="R2308">
        <v>0.98300561927855601</v>
      </c>
      <c r="S2308" t="s">
        <v>8710</v>
      </c>
      <c r="T2308" t="s">
        <v>12802</v>
      </c>
      <c r="U2308" t="s">
        <v>12802</v>
      </c>
      <c r="V2308" t="s">
        <v>12802</v>
      </c>
      <c r="W2308" t="s">
        <v>15065</v>
      </c>
      <c r="X2308">
        <v>26</v>
      </c>
      <c r="Y2308" t="s">
        <v>19982</v>
      </c>
      <c r="Z2308" t="s">
        <v>27626</v>
      </c>
      <c r="AA2308">
        <v>0.62930334818400202</v>
      </c>
      <c r="AB2308" t="str">
        <f>HYPERLINK("Melting_Curves/meltCurve_P23381_WARS.pdf", "Melting_Curves/meltCurve_P23381_WARS.pdf")</f>
        <v>Melting_Curves/meltCurve_P23381_WARS.pdf</v>
      </c>
    </row>
    <row r="2309" spans="1:28" x14ac:dyDescent="0.25">
      <c r="A2309" t="s">
        <v>2313</v>
      </c>
      <c r="B2309">
        <v>0.99542014353169495</v>
      </c>
      <c r="C2309">
        <v>1.0145753461165401</v>
      </c>
      <c r="D2309">
        <v>0.98189898280217802</v>
      </c>
      <c r="E2309">
        <v>0.69953349155598099</v>
      </c>
      <c r="F2309">
        <v>0.35371023788797901</v>
      </c>
      <c r="G2309">
        <v>0.21470268463224801</v>
      </c>
      <c r="H2309">
        <v>0.106794819336111</v>
      </c>
      <c r="I2309">
        <v>7.1313234366284894E-2</v>
      </c>
      <c r="J2309">
        <v>7.4890079460216905E-2</v>
      </c>
      <c r="K2309">
        <v>7.5201723585721095E-2</v>
      </c>
      <c r="L2309">
        <v>1032.4529442369401</v>
      </c>
      <c r="M2309">
        <v>21.343156305842001</v>
      </c>
      <c r="N2309">
        <v>48.752352221938601</v>
      </c>
      <c r="O2309">
        <v>47.955314844551197</v>
      </c>
      <c r="P2309">
        <v>-0.102774987620342</v>
      </c>
      <c r="Q2309">
        <v>7.6335039186970294E-2</v>
      </c>
      <c r="R2309">
        <v>0.99686560250731904</v>
      </c>
      <c r="S2309" t="s">
        <v>8711</v>
      </c>
      <c r="T2309" t="s">
        <v>12802</v>
      </c>
      <c r="U2309" t="s">
        <v>12802</v>
      </c>
      <c r="V2309" t="s">
        <v>12802</v>
      </c>
      <c r="W2309" t="s">
        <v>15066</v>
      </c>
      <c r="X2309">
        <v>20</v>
      </c>
      <c r="Y2309" t="s">
        <v>21345</v>
      </c>
      <c r="Z2309" t="s">
        <v>27627</v>
      </c>
      <c r="AA2309">
        <v>0.43727564558790533</v>
      </c>
      <c r="AB2309" t="str">
        <f>HYPERLINK("Melting_Curves/meltCurve_P23396_RPS3.pdf", "Melting_Curves/meltCurve_P23396_RPS3.pdf")</f>
        <v>Melting_Curves/meltCurve_P23396_RPS3.pdf</v>
      </c>
    </row>
    <row r="2310" spans="1:28" x14ac:dyDescent="0.25">
      <c r="A2310" t="s">
        <v>2314</v>
      </c>
      <c r="B2310">
        <v>0.99542014353169495</v>
      </c>
      <c r="C2310">
        <v>0.97643514838020595</v>
      </c>
      <c r="D2310">
        <v>0.85099528383426204</v>
      </c>
      <c r="E2310">
        <v>0.87490677053402299</v>
      </c>
      <c r="F2310">
        <v>0.74467653722665295</v>
      </c>
      <c r="G2310">
        <v>0.73420939095704296</v>
      </c>
      <c r="H2310">
        <v>0.56391865423077203</v>
      </c>
      <c r="I2310">
        <v>0.518499328827838</v>
      </c>
      <c r="J2310">
        <v>0.66104236510070102</v>
      </c>
      <c r="K2310">
        <v>0.65059155822348702</v>
      </c>
      <c r="L2310">
        <v>552.63729543362297</v>
      </c>
      <c r="M2310">
        <v>11.4647928411562</v>
      </c>
      <c r="O2310">
        <v>46.806397179686101</v>
      </c>
      <c r="P2310">
        <v>-2.5653418832871502E-2</v>
      </c>
      <c r="Q2310">
        <v>0.58118778479015698</v>
      </c>
      <c r="R2310">
        <v>0.87417284167799703</v>
      </c>
      <c r="S2310" t="s">
        <v>8712</v>
      </c>
      <c r="T2310" t="s">
        <v>12802</v>
      </c>
      <c r="U2310" t="s">
        <v>12802</v>
      </c>
      <c r="V2310" t="s">
        <v>12802</v>
      </c>
      <c r="W2310" t="s">
        <v>15067</v>
      </c>
      <c r="X2310">
        <v>4</v>
      </c>
      <c r="Y2310" t="s">
        <v>21346</v>
      </c>
      <c r="Z2310" t="s">
        <v>27628</v>
      </c>
      <c r="AA2310">
        <v>0.75142933744556684</v>
      </c>
      <c r="AB2310" t="str">
        <f>HYPERLINK("Melting_Curves/meltCurve_P23434_GCSH.pdf", "Melting_Curves/meltCurve_P23434_GCSH.pdf")</f>
        <v>Melting_Curves/meltCurve_P23434_GCSH.pdf</v>
      </c>
    </row>
    <row r="2311" spans="1:28" x14ac:dyDescent="0.25">
      <c r="A2311" t="s">
        <v>2315</v>
      </c>
      <c r="B2311">
        <v>0.99542014353169495</v>
      </c>
      <c r="C2311">
        <v>1.0599757969782799</v>
      </c>
      <c r="D2311">
        <v>1.0893302960520601</v>
      </c>
      <c r="E2311">
        <v>0.98753053132413504</v>
      </c>
      <c r="F2311">
        <v>0.741991837262579</v>
      </c>
      <c r="G2311">
        <v>0.49250377071498302</v>
      </c>
      <c r="H2311">
        <v>0.365657960897039</v>
      </c>
      <c r="I2311">
        <v>0.230715004798801</v>
      </c>
      <c r="J2311">
        <v>0.266717250582379</v>
      </c>
      <c r="K2311">
        <v>0.28287505676944802</v>
      </c>
      <c r="L2311">
        <v>1234.0620843572201</v>
      </c>
      <c r="M2311">
        <v>23.778044043418799</v>
      </c>
      <c r="N2311">
        <v>53.5597698546852</v>
      </c>
      <c r="O2311">
        <v>51.536338901374997</v>
      </c>
      <c r="P2311">
        <v>-8.5268050019014704E-2</v>
      </c>
      <c r="Q2311">
        <v>0.260775200334738</v>
      </c>
      <c r="R2311">
        <v>0.98370910567303305</v>
      </c>
      <c r="S2311" t="s">
        <v>8713</v>
      </c>
      <c r="T2311" t="s">
        <v>12802</v>
      </c>
      <c r="U2311" t="s">
        <v>12802</v>
      </c>
      <c r="V2311" t="s">
        <v>12802</v>
      </c>
      <c r="W2311" t="s">
        <v>15068</v>
      </c>
      <c r="X2311">
        <v>13</v>
      </c>
      <c r="Y2311" t="s">
        <v>21347</v>
      </c>
      <c r="Z2311" t="s">
        <v>27629</v>
      </c>
      <c r="AA2311">
        <v>0.63506435135540329</v>
      </c>
      <c r="AB2311" t="str">
        <f>HYPERLINK("Melting_Curves/meltCurve_P23497_SP100.pdf", "Melting_Curves/meltCurve_P23497_SP100.pdf")</f>
        <v>Melting_Curves/meltCurve_P23497_SP100.pdf</v>
      </c>
    </row>
    <row r="2312" spans="1:28" x14ac:dyDescent="0.25">
      <c r="A2312" t="s">
        <v>2316</v>
      </c>
      <c r="B2312">
        <v>0.99542014353169495</v>
      </c>
      <c r="C2312">
        <v>1.0247059401416101</v>
      </c>
      <c r="D2312">
        <v>0.92963187620976295</v>
      </c>
      <c r="E2312">
        <v>0.86740184895161598</v>
      </c>
      <c r="F2312">
        <v>0.70626699442271401</v>
      </c>
      <c r="G2312">
        <v>0.56794386777821604</v>
      </c>
      <c r="H2312">
        <v>0.428969736856183</v>
      </c>
      <c r="I2312">
        <v>0.42484448760833599</v>
      </c>
      <c r="J2312">
        <v>0.81135684167692301</v>
      </c>
      <c r="K2312">
        <v>0.865075797564406</v>
      </c>
      <c r="L2312">
        <v>1461.94603717274</v>
      </c>
      <c r="M2312">
        <v>30.821250692297699</v>
      </c>
      <c r="O2312">
        <v>47.2347211863841</v>
      </c>
      <c r="P2312">
        <v>-6.1644894405091598E-2</v>
      </c>
      <c r="Q2312">
        <v>0.62210981872978799</v>
      </c>
      <c r="R2312">
        <v>0.59117294970908296</v>
      </c>
      <c r="S2312" t="s">
        <v>8714</v>
      </c>
      <c r="T2312" t="s">
        <v>12802</v>
      </c>
      <c r="U2312" t="s">
        <v>12802</v>
      </c>
      <c r="V2312" t="s">
        <v>12802</v>
      </c>
      <c r="W2312" t="s">
        <v>15069</v>
      </c>
      <c r="X2312">
        <v>3</v>
      </c>
      <c r="Y2312" t="s">
        <v>21348</v>
      </c>
      <c r="Z2312" t="s">
        <v>27630</v>
      </c>
      <c r="AA2312">
        <v>0.7556250701691144</v>
      </c>
      <c r="AB2312" t="str">
        <f>HYPERLINK("Melting_Curves/meltCurve_P23511_2_NFYA.pdf", "Melting_Curves/meltCurve_P23511_2_NFYA.pdf")</f>
        <v>Melting_Curves/meltCurve_P23511_2_NFYA.pdf</v>
      </c>
    </row>
    <row r="2313" spans="1:28" x14ac:dyDescent="0.25">
      <c r="A2313" t="s">
        <v>2317</v>
      </c>
      <c r="B2313">
        <v>0.99542014353169495</v>
      </c>
      <c r="C2313">
        <v>0.91011657082445796</v>
      </c>
      <c r="D2313">
        <v>0.96153687289211998</v>
      </c>
      <c r="E2313">
        <v>0.84261172966436604</v>
      </c>
      <c r="F2313">
        <v>0.74389279658528995</v>
      </c>
      <c r="G2313">
        <v>0.56109167806818205</v>
      </c>
      <c r="H2313">
        <v>0.48748694831592199</v>
      </c>
      <c r="I2313">
        <v>0.465905812062122</v>
      </c>
      <c r="J2313">
        <v>0.27818509441422501</v>
      </c>
      <c r="K2313">
        <v>0.106622209184144</v>
      </c>
      <c r="L2313">
        <v>468.59120280879699</v>
      </c>
      <c r="M2313">
        <v>8.2800711254596404</v>
      </c>
      <c r="N2313">
        <v>56.592653732125299</v>
      </c>
      <c r="O2313">
        <v>53.5797847295173</v>
      </c>
      <c r="P2313">
        <v>-3.8672725930485E-2</v>
      </c>
      <c r="Q2313">
        <v>0</v>
      </c>
      <c r="R2313">
        <v>0.96219779431151997</v>
      </c>
      <c r="S2313" t="s">
        <v>8715</v>
      </c>
      <c r="T2313" t="s">
        <v>12802</v>
      </c>
      <c r="U2313" t="s">
        <v>12802</v>
      </c>
      <c r="V2313" t="s">
        <v>12802</v>
      </c>
      <c r="W2313" t="s">
        <v>15070</v>
      </c>
      <c r="X2313">
        <v>27</v>
      </c>
      <c r="Y2313" t="s">
        <v>21349</v>
      </c>
      <c r="Z2313" t="s">
        <v>27631</v>
      </c>
      <c r="AA2313">
        <v>0.64764821726664323</v>
      </c>
      <c r="AB2313" t="str">
        <f>HYPERLINK("Melting_Curves/meltCurve_P23526_AHCY.pdf", "Melting_Curves/meltCurve_P23526_AHCY.pdf")</f>
        <v>Melting_Curves/meltCurve_P23526_AHCY.pdf</v>
      </c>
    </row>
    <row r="2314" spans="1:28" x14ac:dyDescent="0.25">
      <c r="A2314" t="s">
        <v>2318</v>
      </c>
      <c r="B2314">
        <v>0.99542014353169495</v>
      </c>
      <c r="C2314">
        <v>0.70103321947923902</v>
      </c>
      <c r="D2314">
        <v>0.78868611463656801</v>
      </c>
      <c r="E2314">
        <v>0.791720116119492</v>
      </c>
      <c r="F2314">
        <v>0.54175102790015695</v>
      </c>
      <c r="G2314">
        <v>0.334956310758461</v>
      </c>
      <c r="H2314">
        <v>8.9894679678240802E-2</v>
      </c>
      <c r="I2314">
        <v>4.8372996531652203E-2</v>
      </c>
      <c r="J2314">
        <v>5.13346158484582E-2</v>
      </c>
      <c r="K2314">
        <v>6.1139430383735802E-2</v>
      </c>
      <c r="L2314">
        <v>558.36645674868203</v>
      </c>
      <c r="M2314">
        <v>11.198530479963701</v>
      </c>
      <c r="N2314">
        <v>49.860685578482098</v>
      </c>
      <c r="O2314">
        <v>48.3500178713807</v>
      </c>
      <c r="P2314">
        <v>-5.7921687750915399E-2</v>
      </c>
      <c r="Q2314">
        <v>0</v>
      </c>
      <c r="R2314">
        <v>0.92321974229733605</v>
      </c>
      <c r="S2314" t="s">
        <v>8716</v>
      </c>
      <c r="T2314" t="s">
        <v>12802</v>
      </c>
      <c r="U2314" t="s">
        <v>12802</v>
      </c>
      <c r="V2314" t="s">
        <v>12802</v>
      </c>
      <c r="W2314" t="s">
        <v>15071</v>
      </c>
      <c r="X2314">
        <v>19</v>
      </c>
      <c r="Y2314" t="s">
        <v>21350</v>
      </c>
      <c r="Z2314" t="s">
        <v>27632</v>
      </c>
      <c r="AA2314">
        <v>0.45926967378235678</v>
      </c>
      <c r="AB2314" t="str">
        <f>HYPERLINK("Melting_Curves/meltCurve_P23528_CFL1.pdf", "Melting_Curves/meltCurve_P23528_CFL1.pdf")</f>
        <v>Melting_Curves/meltCurve_P23528_CFL1.pdf</v>
      </c>
    </row>
    <row r="2315" spans="1:28" x14ac:dyDescent="0.25">
      <c r="A2315" t="s">
        <v>2319</v>
      </c>
      <c r="B2315">
        <v>0.99542014353169495</v>
      </c>
      <c r="C2315">
        <v>0.974158600836877</v>
      </c>
      <c r="D2315">
        <v>1.0090659595443201</v>
      </c>
      <c r="E2315">
        <v>0.88109791793994796</v>
      </c>
      <c r="F2315">
        <v>0.85935482331806601</v>
      </c>
      <c r="G2315">
        <v>0.58915350746105699</v>
      </c>
      <c r="H2315">
        <v>0.34976330658743998</v>
      </c>
      <c r="I2315">
        <v>0.109907127005073</v>
      </c>
      <c r="J2315">
        <v>8.1241524318837702E-2</v>
      </c>
      <c r="K2315">
        <v>7.81187286481001E-2</v>
      </c>
      <c r="L2315">
        <v>942.30624089473099</v>
      </c>
      <c r="M2315">
        <v>17.161666105423102</v>
      </c>
      <c r="N2315">
        <v>54.949357643629902</v>
      </c>
      <c r="O2315">
        <v>54.178355101105701</v>
      </c>
      <c r="P2315">
        <v>-7.8682515553511106E-2</v>
      </c>
      <c r="Q2315">
        <v>6.4751436254558998E-3</v>
      </c>
      <c r="R2315">
        <v>0.99258077087746199</v>
      </c>
      <c r="S2315" t="s">
        <v>8717</v>
      </c>
      <c r="T2315" t="s">
        <v>12802</v>
      </c>
      <c r="U2315" t="s">
        <v>12802</v>
      </c>
      <c r="V2315" t="s">
        <v>12802</v>
      </c>
      <c r="W2315" t="s">
        <v>15072</v>
      </c>
      <c r="X2315">
        <v>16</v>
      </c>
      <c r="Y2315" t="s">
        <v>21351</v>
      </c>
      <c r="Z2315" t="s">
        <v>27633</v>
      </c>
      <c r="AA2315">
        <v>0.61264657838221093</v>
      </c>
      <c r="AB2315" t="str">
        <f>HYPERLINK("Melting_Curves/meltCurve_P23634_7_ATP2B4.pdf", "Melting_Curves/meltCurve_P23634_7_ATP2B4.pdf")</f>
        <v>Melting_Curves/meltCurve_P23634_7_ATP2B4.pdf</v>
      </c>
    </row>
    <row r="2316" spans="1:28" x14ac:dyDescent="0.25">
      <c r="A2316" t="s">
        <v>2320</v>
      </c>
      <c r="B2316">
        <v>0.99542014353169495</v>
      </c>
      <c r="C2316">
        <v>1.0049151335869999</v>
      </c>
      <c r="D2316">
        <v>0.86597062532750202</v>
      </c>
      <c r="E2316">
        <v>0.32780254495864702</v>
      </c>
      <c r="F2316">
        <v>0.183441748731138</v>
      </c>
      <c r="G2316">
        <v>0.10948052721555999</v>
      </c>
      <c r="H2316">
        <v>8.3106055311708393E-2</v>
      </c>
      <c r="I2316">
        <v>8.2773634264295806E-2</v>
      </c>
      <c r="J2316">
        <v>6.2333238722325199E-2</v>
      </c>
      <c r="K2316">
        <v>9.1071852485712396E-2</v>
      </c>
      <c r="L2316">
        <v>1451.7405869700401</v>
      </c>
      <c r="M2316">
        <v>32.098009567153298</v>
      </c>
      <c r="N2316">
        <v>45.518663830105801</v>
      </c>
      <c r="O2316">
        <v>45.053876783992202</v>
      </c>
      <c r="P2316">
        <v>-0.161624629988707</v>
      </c>
      <c r="Q2316">
        <v>9.2556364115003995E-2</v>
      </c>
      <c r="R2316">
        <v>0.996610077091997</v>
      </c>
      <c r="S2316" t="s">
        <v>8718</v>
      </c>
      <c r="T2316" t="s">
        <v>12802</v>
      </c>
      <c r="U2316" t="s">
        <v>12802</v>
      </c>
      <c r="V2316" t="s">
        <v>12802</v>
      </c>
      <c r="W2316" t="s">
        <v>15073</v>
      </c>
      <c r="X2316">
        <v>3</v>
      </c>
      <c r="Y2316" t="s">
        <v>21352</v>
      </c>
      <c r="Z2316" t="s">
        <v>27634</v>
      </c>
      <c r="AA2316">
        <v>0.34589650681457762</v>
      </c>
      <c r="AB2316" t="str">
        <f>HYPERLINK("Melting_Curves/meltCurve_P23677_ITPKA.pdf", "Melting_Curves/meltCurve_P23677_ITPKA.pdf")</f>
        <v>Melting_Curves/meltCurve_P23677_ITPKA.pdf</v>
      </c>
    </row>
    <row r="2317" spans="1:28" x14ac:dyDescent="0.25">
      <c r="A2317" t="s">
        <v>2321</v>
      </c>
      <c r="B2317">
        <v>0.99542014353169495</v>
      </c>
      <c r="C2317">
        <v>0.97390677208347698</v>
      </c>
      <c r="D2317">
        <v>0.89671237355366795</v>
      </c>
      <c r="E2317">
        <v>0.62401931881092798</v>
      </c>
      <c r="F2317">
        <v>0.20223398417375499</v>
      </c>
      <c r="G2317">
        <v>9.1418381682090294E-2</v>
      </c>
      <c r="H2317">
        <v>7.2765077873201606E-2</v>
      </c>
      <c r="I2317">
        <v>4.8352526789847999E-2</v>
      </c>
      <c r="J2317">
        <v>3.9294949909078697E-2</v>
      </c>
      <c r="K2317">
        <v>4.6955224692152103E-2</v>
      </c>
      <c r="L2317">
        <v>1172.14859858152</v>
      </c>
      <c r="M2317">
        <v>24.815620350681801</v>
      </c>
      <c r="N2317">
        <v>47.415343951296997</v>
      </c>
      <c r="O2317">
        <v>46.930781132527201</v>
      </c>
      <c r="P2317">
        <v>-0.12621937840040601</v>
      </c>
      <c r="Q2317">
        <v>4.5199515074406602E-2</v>
      </c>
      <c r="R2317">
        <v>0.99858338230493204</v>
      </c>
      <c r="S2317" t="s">
        <v>8719</v>
      </c>
      <c r="T2317" t="s">
        <v>12802</v>
      </c>
      <c r="U2317" t="s">
        <v>12802</v>
      </c>
      <c r="V2317" t="s">
        <v>12802</v>
      </c>
      <c r="W2317" t="s">
        <v>15074</v>
      </c>
      <c r="X2317">
        <v>2</v>
      </c>
      <c r="Y2317" t="s">
        <v>21353</v>
      </c>
      <c r="Z2317" t="s">
        <v>27635</v>
      </c>
      <c r="AA2317">
        <v>0.3790896220136078</v>
      </c>
      <c r="AB2317" t="str">
        <f>HYPERLINK("Melting_Curves/meltCurve_P23743_DGKA.pdf", "Melting_Curves/meltCurve_P23743_DGKA.pdf")</f>
        <v>Melting_Curves/meltCurve_P23743_DGKA.pdf</v>
      </c>
    </row>
    <row r="2318" spans="1:28" x14ac:dyDescent="0.25">
      <c r="A2318" t="s">
        <v>2322</v>
      </c>
      <c r="B2318">
        <v>0.99542014353169495</v>
      </c>
      <c r="C2318">
        <v>1.0113140525503199</v>
      </c>
      <c r="D2318">
        <v>0.92366112095793196</v>
      </c>
      <c r="E2318">
        <v>0.58182445628783697</v>
      </c>
      <c r="F2318">
        <v>0.15268491061513401</v>
      </c>
      <c r="G2318">
        <v>0.10107004314861601</v>
      </c>
      <c r="H2318">
        <v>6.2601214335853098E-2</v>
      </c>
      <c r="I2318">
        <v>3.4676668242323898E-2</v>
      </c>
      <c r="J2318">
        <v>4.5657399079306799E-2</v>
      </c>
      <c r="K2318">
        <v>4.1842686970393499E-2</v>
      </c>
      <c r="L2318">
        <v>1371.5441921065101</v>
      </c>
      <c r="M2318">
        <v>29.2277294378232</v>
      </c>
      <c r="N2318">
        <v>47.091077016153498</v>
      </c>
      <c r="O2318">
        <v>46.708099992631197</v>
      </c>
      <c r="P2318">
        <v>-0.14882770076596799</v>
      </c>
      <c r="Q2318">
        <v>4.86556278512272E-2</v>
      </c>
      <c r="R2318">
        <v>0.998666473641457</v>
      </c>
      <c r="S2318" t="s">
        <v>8720</v>
      </c>
      <c r="T2318" t="s">
        <v>12802</v>
      </c>
      <c r="U2318" t="s">
        <v>12802</v>
      </c>
      <c r="V2318" t="s">
        <v>12802</v>
      </c>
      <c r="W2318" t="s">
        <v>15075</v>
      </c>
      <c r="X2318">
        <v>15</v>
      </c>
      <c r="Y2318" t="s">
        <v>21354</v>
      </c>
      <c r="Z2318" t="s">
        <v>27636</v>
      </c>
      <c r="AA2318">
        <v>0.36924864122231771</v>
      </c>
      <c r="AB2318" t="str">
        <f>HYPERLINK("Melting_Curves/meltCurve_P23786_CPT2.pdf", "Melting_Curves/meltCurve_P23786_CPT2.pdf")</f>
        <v>Melting_Curves/meltCurve_P23786_CPT2.pdf</v>
      </c>
    </row>
    <row r="2319" spans="1:28" x14ac:dyDescent="0.25">
      <c r="A2319" t="s">
        <v>2323</v>
      </c>
      <c r="B2319">
        <v>0.99542014353169495</v>
      </c>
      <c r="C2319">
        <v>1.0388885854787699</v>
      </c>
      <c r="D2319">
        <v>0.97187384605374905</v>
      </c>
      <c r="E2319">
        <v>0.95884041578610801</v>
      </c>
      <c r="F2319">
        <v>0.74882989633973596</v>
      </c>
      <c r="G2319">
        <v>0.58573520853111904</v>
      </c>
      <c r="H2319">
        <v>0.263222108149189</v>
      </c>
      <c r="I2319">
        <v>0.100475917263602</v>
      </c>
      <c r="J2319">
        <v>6.6270248130554807E-2</v>
      </c>
      <c r="K2319">
        <v>7.5308780116826707E-2</v>
      </c>
      <c r="L2319">
        <v>940.396039203638</v>
      </c>
      <c r="M2319">
        <v>17.3697748655898</v>
      </c>
      <c r="N2319">
        <v>54.203933527254101</v>
      </c>
      <c r="O2319">
        <v>53.437478193889397</v>
      </c>
      <c r="P2319">
        <v>-8.0440113185422005E-2</v>
      </c>
      <c r="Q2319">
        <v>1.0171759448345599E-2</v>
      </c>
      <c r="R2319">
        <v>0.993677222991317</v>
      </c>
      <c r="S2319" t="s">
        <v>8721</v>
      </c>
      <c r="T2319" t="s">
        <v>12802</v>
      </c>
      <c r="U2319" t="s">
        <v>12802</v>
      </c>
      <c r="V2319" t="s">
        <v>12802</v>
      </c>
      <c r="W2319" t="s">
        <v>15076</v>
      </c>
      <c r="X2319">
        <v>17</v>
      </c>
      <c r="Y2319" t="s">
        <v>21355</v>
      </c>
      <c r="Z2319" t="s">
        <v>27637</v>
      </c>
      <c r="AA2319">
        <v>0.58962683875954547</v>
      </c>
      <c r="AB2319" t="str">
        <f>HYPERLINK("Melting_Curves/meltCurve_P23919_DTYMK.pdf", "Melting_Curves/meltCurve_P23919_DTYMK.pdf")</f>
        <v>Melting_Curves/meltCurve_P23919_DTYMK.pdf</v>
      </c>
    </row>
    <row r="2320" spans="1:28" x14ac:dyDescent="0.25">
      <c r="A2320" t="s">
        <v>2324</v>
      </c>
      <c r="B2320">
        <v>0.99542014353169495</v>
      </c>
      <c r="C2320">
        <v>1.00600391288557</v>
      </c>
      <c r="D2320">
        <v>0.99373376466688401</v>
      </c>
      <c r="E2320">
        <v>0.95694124093879296</v>
      </c>
      <c r="F2320">
        <v>0.73183530289302301</v>
      </c>
      <c r="G2320">
        <v>0.51072175845437995</v>
      </c>
      <c r="H2320">
        <v>0.19248814763974201</v>
      </c>
      <c r="I2320">
        <v>8.7626441041753406E-2</v>
      </c>
      <c r="J2320">
        <v>0.14038604845797101</v>
      </c>
      <c r="K2320">
        <v>9.5782981354077298E-2</v>
      </c>
      <c r="L2320">
        <v>1088.957187729</v>
      </c>
      <c r="M2320">
        <v>20.586754509169701</v>
      </c>
      <c r="N2320">
        <v>53.315641897398002</v>
      </c>
      <c r="O2320">
        <v>52.404488818816702</v>
      </c>
      <c r="P2320">
        <v>-9.0867987587902099E-2</v>
      </c>
      <c r="Q2320">
        <v>7.4793066497592903E-2</v>
      </c>
      <c r="R2320">
        <v>0.99383651586993604</v>
      </c>
      <c r="S2320" t="s">
        <v>8722</v>
      </c>
      <c r="T2320" t="s">
        <v>12802</v>
      </c>
      <c r="U2320" t="s">
        <v>12802</v>
      </c>
      <c r="V2320" t="s">
        <v>12802</v>
      </c>
      <c r="W2320" t="s">
        <v>13398</v>
      </c>
      <c r="X2320">
        <v>28</v>
      </c>
      <c r="Y2320" t="s">
        <v>19721</v>
      </c>
      <c r="Z2320" t="s">
        <v>27638</v>
      </c>
      <c r="AA2320">
        <v>0.57623311385533882</v>
      </c>
      <c r="AB2320" t="str">
        <f>HYPERLINK("Melting_Curves/meltCurve_P23921_RRM1.pdf", "Melting_Curves/meltCurve_P23921_RRM1.pdf")</f>
        <v>Melting_Curves/meltCurve_P23921_RRM1.pdf</v>
      </c>
    </row>
    <row r="2321" spans="1:28" x14ac:dyDescent="0.25">
      <c r="A2321" t="s">
        <v>2325</v>
      </c>
      <c r="B2321">
        <v>0.99542014353169495</v>
      </c>
      <c r="C2321">
        <v>0.91193803245082805</v>
      </c>
      <c r="D2321">
        <v>0.84643558208885195</v>
      </c>
      <c r="E2321">
        <v>0.60743635556981901</v>
      </c>
      <c r="F2321">
        <v>0.37445566896642102</v>
      </c>
      <c r="G2321">
        <v>0.20195281568809301</v>
      </c>
      <c r="H2321">
        <v>0.127617868565371</v>
      </c>
      <c r="I2321">
        <v>0.113626119763752</v>
      </c>
      <c r="J2321">
        <v>0.115928472661955</v>
      </c>
      <c r="K2321">
        <v>0.14081791324741499</v>
      </c>
      <c r="L2321">
        <v>732.80932367071398</v>
      </c>
      <c r="M2321">
        <v>15.4911837518589</v>
      </c>
      <c r="N2321">
        <v>47.9770439011603</v>
      </c>
      <c r="O2321">
        <v>46.537659297217601</v>
      </c>
      <c r="P2321">
        <v>-7.5107912147225203E-2</v>
      </c>
      <c r="Q2321">
        <v>9.7542053818667901E-2</v>
      </c>
      <c r="R2321">
        <v>0.99653528504086897</v>
      </c>
      <c r="S2321" t="s">
        <v>8723</v>
      </c>
      <c r="T2321" t="s">
        <v>12802</v>
      </c>
      <c r="U2321" t="s">
        <v>12802</v>
      </c>
      <c r="V2321" t="s">
        <v>12802</v>
      </c>
      <c r="W2321" t="s">
        <v>15077</v>
      </c>
      <c r="X2321">
        <v>5</v>
      </c>
      <c r="Y2321" t="s">
        <v>21356</v>
      </c>
      <c r="Z2321" t="s">
        <v>27639</v>
      </c>
      <c r="AA2321">
        <v>0.42659475298459087</v>
      </c>
      <c r="AB2321" t="str">
        <f>HYPERLINK("Melting_Curves/meltCurve_P24468_NR2F2.pdf", "Melting_Curves/meltCurve_P24468_NR2F2.pdf")</f>
        <v>Melting_Curves/meltCurve_P24468_NR2F2.pdf</v>
      </c>
    </row>
    <row r="2322" spans="1:28" x14ac:dyDescent="0.25">
      <c r="A2322" t="s">
        <v>2326</v>
      </c>
      <c r="B2322">
        <v>0.99542014353169495</v>
      </c>
      <c r="C2322">
        <v>0.79260654252945295</v>
      </c>
      <c r="D2322">
        <v>0.80534298833536899</v>
      </c>
      <c r="E2322">
        <v>0.61288788936358396</v>
      </c>
      <c r="F2322">
        <v>0.23769417526367601</v>
      </c>
      <c r="G2322">
        <v>8.4014588795631701E-2</v>
      </c>
      <c r="H2322">
        <v>5.3416993198550901E-2</v>
      </c>
      <c r="I2322">
        <v>3.9003633240335601E-2</v>
      </c>
      <c r="J2322">
        <v>4.6832569346309798E-2</v>
      </c>
      <c r="K2322">
        <v>9.6773764864790807E-2</v>
      </c>
      <c r="L2322">
        <v>720.75042367297101</v>
      </c>
      <c r="M2322">
        <v>15.4033946567915</v>
      </c>
      <c r="N2322">
        <v>46.931228026973102</v>
      </c>
      <c r="O2322">
        <v>46.024280758645403</v>
      </c>
      <c r="P2322">
        <v>-8.1804257410183601E-2</v>
      </c>
      <c r="Q2322">
        <v>2.23870942192353E-2</v>
      </c>
      <c r="R2322">
        <v>0.97122606709572301</v>
      </c>
      <c r="S2322" t="s">
        <v>8724</v>
      </c>
      <c r="T2322" t="s">
        <v>12802</v>
      </c>
      <c r="U2322" t="s">
        <v>12802</v>
      </c>
      <c r="V2322" t="s">
        <v>12802</v>
      </c>
      <c r="W2322" t="s">
        <v>15078</v>
      </c>
      <c r="X2322">
        <v>12</v>
      </c>
      <c r="Y2322" t="s">
        <v>21357</v>
      </c>
      <c r="Z2322" t="s">
        <v>27640</v>
      </c>
      <c r="AA2322">
        <v>0.36253650663231191</v>
      </c>
      <c r="AB2322" t="str">
        <f>HYPERLINK("Melting_Curves/meltCurve_P24534_EEF1B2.pdf", "Melting_Curves/meltCurve_P24534_EEF1B2.pdf")</f>
        <v>Melting_Curves/meltCurve_P24534_EEF1B2.pdf</v>
      </c>
    </row>
    <row r="2323" spans="1:28" x14ac:dyDescent="0.25">
      <c r="A2323" t="s">
        <v>2327</v>
      </c>
      <c r="B2323">
        <v>0.99542014353169495</v>
      </c>
      <c r="C2323">
        <v>0.94964420521585602</v>
      </c>
      <c r="D2323">
        <v>0.89665278108908397</v>
      </c>
      <c r="E2323">
        <v>0.67762029831856396</v>
      </c>
      <c r="F2323">
        <v>0.213356234228295</v>
      </c>
      <c r="G2323">
        <v>0.110039148446549</v>
      </c>
      <c r="H2323">
        <v>6.2182774025046197E-2</v>
      </c>
      <c r="I2323">
        <v>3.96843819915099E-2</v>
      </c>
      <c r="J2323">
        <v>4.0625994427654098E-2</v>
      </c>
      <c r="K2323">
        <v>4.4974286093869303E-2</v>
      </c>
      <c r="L2323">
        <v>1194.38171618191</v>
      </c>
      <c r="M2323">
        <v>25.097622044805401</v>
      </c>
      <c r="N2323">
        <v>47.756609377650904</v>
      </c>
      <c r="O2323">
        <v>47.290369458298102</v>
      </c>
      <c r="P2323">
        <v>-0.12710048275824101</v>
      </c>
      <c r="Q2323">
        <v>4.2052382912492497E-2</v>
      </c>
      <c r="R2323">
        <v>0.99616566120038297</v>
      </c>
      <c r="S2323" t="s">
        <v>8725</v>
      </c>
      <c r="T2323" t="s">
        <v>12802</v>
      </c>
      <c r="U2323" t="s">
        <v>12802</v>
      </c>
      <c r="V2323" t="s">
        <v>12802</v>
      </c>
      <c r="W2323" t="s">
        <v>15079</v>
      </c>
      <c r="X2323">
        <v>14</v>
      </c>
      <c r="Y2323" t="s">
        <v>21358</v>
      </c>
      <c r="Z2323" t="s">
        <v>27641</v>
      </c>
      <c r="AA2323">
        <v>0.38824169454338558</v>
      </c>
      <c r="AB2323" t="str">
        <f>HYPERLINK("Melting_Curves/meltCurve_P24666_ACP1.pdf", "Melting_Curves/meltCurve_P24666_ACP1.pdf")</f>
        <v>Melting_Curves/meltCurve_P24666_ACP1.pdf</v>
      </c>
    </row>
    <row r="2324" spans="1:28" x14ac:dyDescent="0.25">
      <c r="A2324" t="s">
        <v>2328</v>
      </c>
      <c r="B2324">
        <v>0.99542014353169495</v>
      </c>
      <c r="C2324">
        <v>1.25360182536509</v>
      </c>
      <c r="D2324">
        <v>1.0008946635885601</v>
      </c>
      <c r="E2324">
        <v>0.97688127485149601</v>
      </c>
      <c r="F2324">
        <v>0.74586726132973202</v>
      </c>
      <c r="G2324">
        <v>0.49777571083787397</v>
      </c>
      <c r="H2324">
        <v>0.21103098080853699</v>
      </c>
      <c r="I2324">
        <v>0.182499144038275</v>
      </c>
      <c r="J2324">
        <v>0.17915390089108099</v>
      </c>
      <c r="K2324">
        <v>0.23546327598647401</v>
      </c>
      <c r="L2324">
        <v>1289.76867000685</v>
      </c>
      <c r="M2324">
        <v>24.690728527927501</v>
      </c>
      <c r="N2324">
        <v>53.203151724932802</v>
      </c>
      <c r="O2324">
        <v>51.897915983611902</v>
      </c>
      <c r="P2324">
        <v>-9.7451227134491294E-2</v>
      </c>
      <c r="Q2324">
        <v>0.18067309274208801</v>
      </c>
      <c r="R2324">
        <v>0.95214256573554401</v>
      </c>
      <c r="S2324" t="s">
        <v>8726</v>
      </c>
      <c r="T2324" t="s">
        <v>12802</v>
      </c>
      <c r="U2324" t="s">
        <v>12802</v>
      </c>
      <c r="V2324" t="s">
        <v>12802</v>
      </c>
      <c r="W2324" t="s">
        <v>15080</v>
      </c>
      <c r="X2324">
        <v>9</v>
      </c>
      <c r="Y2324" t="s">
        <v>21358</v>
      </c>
      <c r="Z2324" t="s">
        <v>27642</v>
      </c>
      <c r="AA2324">
        <v>0.60422971263941039</v>
      </c>
      <c r="AB2324" t="str">
        <f>HYPERLINK("Melting_Curves/meltCurve_P24666_2_ACP1.pdf", "Melting_Curves/meltCurve_P24666_2_ACP1.pdf")</f>
        <v>Melting_Curves/meltCurve_P24666_2_ACP1.pdf</v>
      </c>
    </row>
    <row r="2325" spans="1:28" x14ac:dyDescent="0.25">
      <c r="A2325" t="s">
        <v>2329</v>
      </c>
      <c r="B2325">
        <v>0.99542014353169495</v>
      </c>
      <c r="C2325">
        <v>0.95921764651302099</v>
      </c>
      <c r="D2325">
        <v>1.0017587446823899</v>
      </c>
      <c r="E2325">
        <v>0.90079800847959701</v>
      </c>
      <c r="F2325">
        <v>0.73944759821473904</v>
      </c>
      <c r="G2325">
        <v>0.55428024100272499</v>
      </c>
      <c r="H2325">
        <v>0.249455694940724</v>
      </c>
      <c r="I2325">
        <v>5.9563102674713403E-2</v>
      </c>
      <c r="J2325">
        <v>4.3994205518328097E-2</v>
      </c>
      <c r="K2325">
        <v>4.8093111665782499E-2</v>
      </c>
      <c r="L2325">
        <v>926.22597902219195</v>
      </c>
      <c r="M2325">
        <v>17.225905802587601</v>
      </c>
      <c r="N2325">
        <v>53.769362707881498</v>
      </c>
      <c r="O2325">
        <v>53.0604162495138</v>
      </c>
      <c r="P2325">
        <v>-8.1166515763067798E-2</v>
      </c>
      <c r="Q2325">
        <v>0</v>
      </c>
      <c r="R2325">
        <v>0.993187398299615</v>
      </c>
      <c r="S2325" t="s">
        <v>8727</v>
      </c>
      <c r="T2325" t="s">
        <v>12802</v>
      </c>
      <c r="U2325" t="s">
        <v>12802</v>
      </c>
      <c r="V2325" t="s">
        <v>12802</v>
      </c>
      <c r="W2325" t="s">
        <v>15081</v>
      </c>
      <c r="X2325">
        <v>26</v>
      </c>
      <c r="Y2325" t="s">
        <v>21359</v>
      </c>
      <c r="Z2325" t="s">
        <v>27643</v>
      </c>
      <c r="AA2325">
        <v>0.57360027590225449</v>
      </c>
      <c r="AB2325" t="str">
        <f>HYPERLINK("Melting_Curves/meltCurve_P24752_ACAT1.pdf", "Melting_Curves/meltCurve_P24752_ACAT1.pdf")</f>
        <v>Melting_Curves/meltCurve_P24752_ACAT1.pdf</v>
      </c>
    </row>
    <row r="2326" spans="1:28" x14ac:dyDescent="0.25">
      <c r="A2326" t="s">
        <v>2330</v>
      </c>
      <c r="B2326">
        <v>0.99542014353169495</v>
      </c>
      <c r="C2326">
        <v>0.89023497895761705</v>
      </c>
      <c r="D2326">
        <v>0.93567536252011696</v>
      </c>
      <c r="E2326">
        <v>0.73419311027313805</v>
      </c>
      <c r="F2326">
        <v>0.53597262768105802</v>
      </c>
      <c r="G2326">
        <v>0.26306731033690001</v>
      </c>
      <c r="H2326">
        <v>0.14489045310762999</v>
      </c>
      <c r="I2326">
        <v>0.113211755840883</v>
      </c>
      <c r="J2326">
        <v>9.4592266741948303E-2</v>
      </c>
      <c r="K2326">
        <v>9.4331600864948406E-2</v>
      </c>
      <c r="L2326">
        <v>743.82495325850005</v>
      </c>
      <c r="M2326">
        <v>14.9533918391383</v>
      </c>
      <c r="N2326">
        <v>50.147290491021401</v>
      </c>
      <c r="O2326">
        <v>48.8787045630948</v>
      </c>
      <c r="P2326">
        <v>-7.2145319511092501E-2</v>
      </c>
      <c r="Q2326">
        <v>5.6800185100000102E-2</v>
      </c>
      <c r="R2326">
        <v>0.99139820840210102</v>
      </c>
      <c r="S2326" t="s">
        <v>8728</v>
      </c>
      <c r="T2326" t="s">
        <v>12802</v>
      </c>
      <c r="U2326" t="s">
        <v>12802</v>
      </c>
      <c r="V2326" t="s">
        <v>12802</v>
      </c>
      <c r="W2326" t="s">
        <v>15082</v>
      </c>
      <c r="X2326">
        <v>17</v>
      </c>
      <c r="Y2326" t="s">
        <v>21360</v>
      </c>
      <c r="Z2326" t="s">
        <v>27644</v>
      </c>
      <c r="AA2326">
        <v>0.47740381058126607</v>
      </c>
      <c r="AB2326" t="str">
        <f>HYPERLINK("Melting_Curves/meltCurve_P24928_POLR2A.pdf", "Melting_Curves/meltCurve_P24928_POLR2A.pdf")</f>
        <v>Melting_Curves/meltCurve_P24928_POLR2A.pdf</v>
      </c>
    </row>
    <row r="2327" spans="1:28" x14ac:dyDescent="0.25">
      <c r="A2327" t="s">
        <v>2331</v>
      </c>
      <c r="B2327">
        <v>0.99542014353169495</v>
      </c>
      <c r="C2327">
        <v>0.97908826340800004</v>
      </c>
      <c r="D2327">
        <v>0.89243134782898104</v>
      </c>
      <c r="E2327">
        <v>0.814238719563663</v>
      </c>
      <c r="F2327">
        <v>0.58920926852057898</v>
      </c>
      <c r="G2327">
        <v>0.27653392934883803</v>
      </c>
      <c r="H2327">
        <v>7.4681979927079797E-2</v>
      </c>
      <c r="I2327">
        <v>5.4599947537625503E-2</v>
      </c>
      <c r="J2327">
        <v>6.0106498451527601E-2</v>
      </c>
      <c r="K2327">
        <v>5.7997243023442502E-2</v>
      </c>
      <c r="L2327">
        <v>886.99486735956202</v>
      </c>
      <c r="M2327">
        <v>17.501416293503102</v>
      </c>
      <c r="N2327">
        <v>50.7791819393737</v>
      </c>
      <c r="O2327">
        <v>50.033517111448703</v>
      </c>
      <c r="P2327">
        <v>-8.6003045294914995E-2</v>
      </c>
      <c r="Q2327">
        <v>1.6582920148962399E-2</v>
      </c>
      <c r="R2327">
        <v>0.99326835187266305</v>
      </c>
      <c r="S2327" t="s">
        <v>8729</v>
      </c>
      <c r="T2327" t="s">
        <v>12802</v>
      </c>
      <c r="U2327" t="s">
        <v>12802</v>
      </c>
      <c r="V2327" t="s">
        <v>12802</v>
      </c>
      <c r="W2327" t="s">
        <v>15083</v>
      </c>
      <c r="X2327">
        <v>21</v>
      </c>
      <c r="Y2327" t="s">
        <v>21361</v>
      </c>
      <c r="Z2327" t="s">
        <v>27645</v>
      </c>
      <c r="AA2327">
        <v>0.48109596343893218</v>
      </c>
      <c r="AB2327" t="str">
        <f>HYPERLINK("Melting_Curves/meltCurve_P25098_ADRBK1.pdf", "Melting_Curves/meltCurve_P25098_ADRBK1.pdf")</f>
        <v>Melting_Curves/meltCurve_P25098_ADRBK1.pdf</v>
      </c>
    </row>
    <row r="2328" spans="1:28" x14ac:dyDescent="0.25">
      <c r="A2328" t="s">
        <v>2332</v>
      </c>
      <c r="B2328">
        <v>0.99542014353169495</v>
      </c>
      <c r="C2328">
        <v>0.79249067792328198</v>
      </c>
      <c r="D2328">
        <v>1.01324315775197</v>
      </c>
      <c r="E2328">
        <v>0.87865233151248101</v>
      </c>
      <c r="F2328">
        <v>0.74375057765904096</v>
      </c>
      <c r="G2328">
        <v>0.45303924008600899</v>
      </c>
      <c r="H2328">
        <v>0.38326522746828201</v>
      </c>
      <c r="I2328">
        <v>0.292533389095818</v>
      </c>
      <c r="J2328">
        <v>0.34401534376707499</v>
      </c>
      <c r="K2328">
        <v>0.39310650743576703</v>
      </c>
      <c r="L2328">
        <v>1150.2563463363599</v>
      </c>
      <c r="M2328">
        <v>22.678462348130399</v>
      </c>
      <c r="N2328">
        <v>53.322947909407397</v>
      </c>
      <c r="O2328">
        <v>50.330782526489898</v>
      </c>
      <c r="P2328">
        <v>-7.4943583779666298E-2</v>
      </c>
      <c r="Q2328">
        <v>0.33471783163614599</v>
      </c>
      <c r="R2328">
        <v>0.92667129960432204</v>
      </c>
      <c r="S2328" t="s">
        <v>8730</v>
      </c>
      <c r="T2328" t="s">
        <v>12802</v>
      </c>
      <c r="U2328" t="s">
        <v>12802</v>
      </c>
      <c r="V2328" t="s">
        <v>12802</v>
      </c>
      <c r="W2328" t="s">
        <v>15084</v>
      </c>
      <c r="X2328">
        <v>1</v>
      </c>
      <c r="Y2328" t="s">
        <v>21362</v>
      </c>
      <c r="Z2328" t="s">
        <v>27646</v>
      </c>
      <c r="AA2328">
        <v>0.64598550420663048</v>
      </c>
      <c r="AB2328" t="str">
        <f>HYPERLINK("Melting_Curves/meltCurve_P25116_F2R.pdf", "Melting_Curves/meltCurve_P25116_F2R.pdf")</f>
        <v>Melting_Curves/meltCurve_P25116_F2R.pdf</v>
      </c>
    </row>
    <row r="2329" spans="1:28" x14ac:dyDescent="0.25">
      <c r="A2329" t="s">
        <v>2333</v>
      </c>
      <c r="B2329">
        <v>0.99542014353169495</v>
      </c>
      <c r="C2329">
        <v>0.89453606162597699</v>
      </c>
      <c r="D2329">
        <v>0.90574902895402498</v>
      </c>
      <c r="E2329">
        <v>0.72699209664130704</v>
      </c>
      <c r="F2329">
        <v>0.60592083628538496</v>
      </c>
      <c r="G2329">
        <v>0.41032606452718501</v>
      </c>
      <c r="H2329">
        <v>0.14652133915644</v>
      </c>
      <c r="I2329">
        <v>6.1171634652709202E-2</v>
      </c>
      <c r="J2329">
        <v>6.32805584628649E-2</v>
      </c>
      <c r="K2329">
        <v>6.5989031574640603E-2</v>
      </c>
      <c r="L2329">
        <v>637.94353631039996</v>
      </c>
      <c r="M2329">
        <v>12.4762587977048</v>
      </c>
      <c r="N2329">
        <v>51.132599300920603</v>
      </c>
      <c r="O2329">
        <v>49.872237331574802</v>
      </c>
      <c r="P2329">
        <v>-6.2554042199514603E-2</v>
      </c>
      <c r="Q2329">
        <v>0</v>
      </c>
      <c r="R2329">
        <v>0.98449655267594904</v>
      </c>
      <c r="S2329" t="s">
        <v>8731</v>
      </c>
      <c r="T2329" t="s">
        <v>12802</v>
      </c>
      <c r="U2329" t="s">
        <v>12802</v>
      </c>
      <c r="V2329" t="s">
        <v>12802</v>
      </c>
      <c r="W2329" t="s">
        <v>15085</v>
      </c>
      <c r="X2329">
        <v>39</v>
      </c>
      <c r="Y2329" t="s">
        <v>21363</v>
      </c>
      <c r="Z2329" t="s">
        <v>27647</v>
      </c>
      <c r="AA2329">
        <v>0.4958589062401077</v>
      </c>
      <c r="AB2329" t="str">
        <f>HYPERLINK("Melting_Curves/meltCurve_P25205_MCM3.pdf", "Melting_Curves/meltCurve_P25205_MCM3.pdf")</f>
        <v>Melting_Curves/meltCurve_P25205_MCM3.pdf</v>
      </c>
    </row>
    <row r="2330" spans="1:28" x14ac:dyDescent="0.25">
      <c r="A2330" t="s">
        <v>2334</v>
      </c>
      <c r="B2330">
        <v>0.99542014353169495</v>
      </c>
      <c r="C2330">
        <v>0.93577657338339904</v>
      </c>
      <c r="D2330">
        <v>1.00556715000424</v>
      </c>
      <c r="E2330">
        <v>1.0615092080645201</v>
      </c>
      <c r="F2330">
        <v>0.66364141050558101</v>
      </c>
      <c r="G2330">
        <v>0.55376901194829198</v>
      </c>
      <c r="H2330">
        <v>0.27935358400998</v>
      </c>
      <c r="I2330">
        <v>0.147303503098489</v>
      </c>
      <c r="J2330">
        <v>0.15169170588102199</v>
      </c>
      <c r="K2330">
        <v>0.177801715180368</v>
      </c>
      <c r="L2330">
        <v>1034.4711535818201</v>
      </c>
      <c r="M2330">
        <v>19.589325924082299</v>
      </c>
      <c r="N2330">
        <v>53.650462688318399</v>
      </c>
      <c r="O2330">
        <v>52.266820945623202</v>
      </c>
      <c r="P2330">
        <v>-8.1294785407593204E-2</v>
      </c>
      <c r="Q2330">
        <v>0.13241119085272701</v>
      </c>
      <c r="R2330">
        <v>0.972187993357438</v>
      </c>
      <c r="S2330" t="s">
        <v>8732</v>
      </c>
      <c r="T2330" t="s">
        <v>12802</v>
      </c>
      <c r="U2330" t="s">
        <v>12802</v>
      </c>
      <c r="V2330" t="s">
        <v>12802</v>
      </c>
      <c r="W2330" t="s">
        <v>15086</v>
      </c>
      <c r="X2330">
        <v>12</v>
      </c>
      <c r="Y2330" t="s">
        <v>21364</v>
      </c>
      <c r="Z2330" t="s">
        <v>27648</v>
      </c>
      <c r="AA2330">
        <v>0.60089889687324738</v>
      </c>
      <c r="AB2330" t="str">
        <f>HYPERLINK("Melting_Curves/meltCurve_P25398_RPS12.pdf", "Melting_Curves/meltCurve_P25398_RPS12.pdf")</f>
        <v>Melting_Curves/meltCurve_P25398_RPS12.pdf</v>
      </c>
    </row>
    <row r="2331" spans="1:28" x14ac:dyDescent="0.25">
      <c r="A2331" t="s">
        <v>2335</v>
      </c>
      <c r="B2331">
        <v>0.99542014353169495</v>
      </c>
      <c r="C2331">
        <v>0.88300590951079405</v>
      </c>
      <c r="D2331">
        <v>0.71989047922703997</v>
      </c>
      <c r="E2331">
        <v>0.43319906378924899</v>
      </c>
      <c r="F2331">
        <v>0.22903902555813299</v>
      </c>
      <c r="G2331">
        <v>0.12662834689514099</v>
      </c>
      <c r="H2331">
        <v>7.0060973203955504E-2</v>
      </c>
      <c r="I2331">
        <v>5.0973992412525197E-2</v>
      </c>
      <c r="J2331">
        <v>6.0346237216779598E-2</v>
      </c>
      <c r="K2331">
        <v>7.6384833156941598E-2</v>
      </c>
      <c r="L2331">
        <v>702.41439529019203</v>
      </c>
      <c r="M2331">
        <v>15.4689639069331</v>
      </c>
      <c r="N2331">
        <v>45.706054423479102</v>
      </c>
      <c r="O2331">
        <v>44.669421767353398</v>
      </c>
      <c r="P2331">
        <v>-8.2428202497715999E-2</v>
      </c>
      <c r="Q2331">
        <v>4.7980073510602003E-2</v>
      </c>
      <c r="R2331">
        <v>0.99860261664509897</v>
      </c>
      <c r="S2331" t="s">
        <v>8733</v>
      </c>
      <c r="T2331" t="s">
        <v>12802</v>
      </c>
      <c r="U2331" t="s">
        <v>12802</v>
      </c>
      <c r="V2331" t="s">
        <v>12802</v>
      </c>
      <c r="W2331" t="s">
        <v>15087</v>
      </c>
      <c r="X2331">
        <v>13</v>
      </c>
      <c r="Y2331" t="s">
        <v>21365</v>
      </c>
      <c r="Z2331" t="s">
        <v>27649</v>
      </c>
      <c r="AA2331">
        <v>0.33582393558139401</v>
      </c>
      <c r="AB2331" t="str">
        <f>HYPERLINK("Melting_Curves/meltCurve_P25490_YY1.pdf", "Melting_Curves/meltCurve_P25490_YY1.pdf")</f>
        <v>Melting_Curves/meltCurve_P25490_YY1.pdf</v>
      </c>
    </row>
    <row r="2332" spans="1:28" x14ac:dyDescent="0.25">
      <c r="A2332" t="s">
        <v>2336</v>
      </c>
      <c r="B2332">
        <v>0.99542014353169495</v>
      </c>
      <c r="C2332">
        <v>0.94757072084152505</v>
      </c>
      <c r="D2332">
        <v>0.91240144509578502</v>
      </c>
      <c r="E2332">
        <v>0.64203790442416298</v>
      </c>
      <c r="F2332">
        <v>0.19141977867131901</v>
      </c>
      <c r="G2332">
        <v>8.2140562397185604E-2</v>
      </c>
      <c r="H2332">
        <v>4.3834088409974901E-2</v>
      </c>
      <c r="I2332">
        <v>3.00707085125392E-2</v>
      </c>
      <c r="J2332">
        <v>3.6423724520322699E-2</v>
      </c>
      <c r="K2332">
        <v>3.1564633738767001E-2</v>
      </c>
      <c r="L2332">
        <v>1241.1532147412099</v>
      </c>
      <c r="M2332">
        <v>26.1877888461974</v>
      </c>
      <c r="N2332">
        <v>47.511520380326203</v>
      </c>
      <c r="O2332">
        <v>47.120575593720297</v>
      </c>
      <c r="P2332">
        <v>-0.134597085333091</v>
      </c>
      <c r="Q2332">
        <v>3.12704751800848E-2</v>
      </c>
      <c r="R2332">
        <v>0.99774036685678802</v>
      </c>
      <c r="S2332" t="s">
        <v>8734</v>
      </c>
      <c r="T2332" t="s">
        <v>12802</v>
      </c>
      <c r="U2332" t="s">
        <v>12802</v>
      </c>
      <c r="V2332" t="s">
        <v>12802</v>
      </c>
      <c r="W2332" t="s">
        <v>15088</v>
      </c>
      <c r="X2332">
        <v>19</v>
      </c>
      <c r="Y2332" t="s">
        <v>21366</v>
      </c>
      <c r="Z2332" t="s">
        <v>27650</v>
      </c>
      <c r="AA2332">
        <v>0.3743705519488838</v>
      </c>
      <c r="AB2332" t="str">
        <f>HYPERLINK("Melting_Curves/meltCurve_P25685_DNAJB1.pdf", "Melting_Curves/meltCurve_P25685_DNAJB1.pdf")</f>
        <v>Melting_Curves/meltCurve_P25685_DNAJB1.pdf</v>
      </c>
    </row>
    <row r="2333" spans="1:28" x14ac:dyDescent="0.25">
      <c r="A2333" t="s">
        <v>2337</v>
      </c>
      <c r="B2333">
        <v>0.99542014353169495</v>
      </c>
      <c r="C2333">
        <v>0.81517339670736999</v>
      </c>
      <c r="D2333">
        <v>0.88952017372345304</v>
      </c>
      <c r="E2333">
        <v>0.64392184985326995</v>
      </c>
      <c r="F2333">
        <v>0.50756895491435094</v>
      </c>
      <c r="G2333">
        <v>0.25101615078446299</v>
      </c>
      <c r="H2333">
        <v>0.242000778722123</v>
      </c>
      <c r="I2333">
        <v>0.25807944148761702</v>
      </c>
      <c r="J2333">
        <v>0.44845840192728498</v>
      </c>
      <c r="K2333">
        <v>0.23185774764144601</v>
      </c>
      <c r="L2333">
        <v>719.367124540227</v>
      </c>
      <c r="M2333">
        <v>15.420712149131599</v>
      </c>
      <c r="N2333">
        <v>49.072339796403597</v>
      </c>
      <c r="O2333">
        <v>45.8860383004033</v>
      </c>
      <c r="P2333">
        <v>-6.1632256647085097E-2</v>
      </c>
      <c r="Q2333">
        <v>0.266492122418654</v>
      </c>
      <c r="R2333">
        <v>0.91041024219269695</v>
      </c>
      <c r="S2333" t="s">
        <v>8735</v>
      </c>
      <c r="T2333" t="s">
        <v>12802</v>
      </c>
      <c r="U2333" t="s">
        <v>12802</v>
      </c>
      <c r="V2333" t="s">
        <v>12802</v>
      </c>
      <c r="W2333" t="s">
        <v>15089</v>
      </c>
      <c r="X2333">
        <v>43</v>
      </c>
      <c r="Y2333" t="s">
        <v>21367</v>
      </c>
      <c r="Z2333" t="s">
        <v>27651</v>
      </c>
      <c r="AA2333">
        <v>0.5182427766254295</v>
      </c>
      <c r="AB2333" t="str">
        <f>HYPERLINK("Melting_Curves/meltCurve_P25705_ATP5A1.pdf", "Melting_Curves/meltCurve_P25705_ATP5A1.pdf")</f>
        <v>Melting_Curves/meltCurve_P25705_ATP5A1.pdf</v>
      </c>
    </row>
    <row r="2334" spans="1:28" x14ac:dyDescent="0.25">
      <c r="A2334" t="s">
        <v>2338</v>
      </c>
      <c r="B2334">
        <v>0.99542014353169495</v>
      </c>
      <c r="C2334">
        <v>1.1018599876014501</v>
      </c>
      <c r="D2334">
        <v>1.19377309742758</v>
      </c>
      <c r="E2334">
        <v>1.0301713887895401</v>
      </c>
      <c r="F2334">
        <v>0.81603446186409601</v>
      </c>
      <c r="G2334">
        <v>0.748535399693811</v>
      </c>
      <c r="H2334">
        <v>0.44199157880371898</v>
      </c>
      <c r="I2334">
        <v>0.35620179129782498</v>
      </c>
      <c r="J2334">
        <v>0.44511428282294402</v>
      </c>
      <c r="K2334">
        <v>0.44942155594302802</v>
      </c>
      <c r="L2334">
        <v>1351.6741738772701</v>
      </c>
      <c r="M2334">
        <v>25.2955514491827</v>
      </c>
      <c r="N2334">
        <v>57.085523805062003</v>
      </c>
      <c r="O2334">
        <v>53.104650562897902</v>
      </c>
      <c r="P2334">
        <v>-7.1355347675784705E-2</v>
      </c>
      <c r="Q2334">
        <v>0.40080338922614001</v>
      </c>
      <c r="R2334">
        <v>0.91783316367349799</v>
      </c>
      <c r="S2334" t="s">
        <v>8736</v>
      </c>
      <c r="T2334" t="s">
        <v>12802</v>
      </c>
      <c r="U2334" t="s">
        <v>12802</v>
      </c>
      <c r="V2334" t="s">
        <v>12802</v>
      </c>
      <c r="W2334" t="s">
        <v>15090</v>
      </c>
      <c r="X2334">
        <v>1</v>
      </c>
      <c r="Y2334" t="s">
        <v>21368</v>
      </c>
      <c r="Z2334" t="s">
        <v>27652</v>
      </c>
      <c r="AA2334">
        <v>0.73423952644134327</v>
      </c>
      <c r="AB2334" t="str">
        <f>HYPERLINK("Melting_Curves/meltCurve_P25774_2_CTSS.pdf", "Melting_Curves/meltCurve_P25774_2_CTSS.pdf")</f>
        <v>Melting_Curves/meltCurve_P25774_2_CTSS.pdf</v>
      </c>
    </row>
    <row r="2335" spans="1:28" x14ac:dyDescent="0.25">
      <c r="A2335" t="s">
        <v>2339</v>
      </c>
      <c r="B2335">
        <v>0.99542014353169495</v>
      </c>
      <c r="C2335">
        <v>0.89975891197167401</v>
      </c>
      <c r="D2335">
        <v>0.903933688997552</v>
      </c>
      <c r="E2335">
        <v>0.77827114354962401</v>
      </c>
      <c r="F2335">
        <v>0.598901526673978</v>
      </c>
      <c r="G2335">
        <v>0.26982290320642499</v>
      </c>
      <c r="H2335">
        <v>0.25207252949145598</v>
      </c>
      <c r="I2335">
        <v>0.25225715435423501</v>
      </c>
      <c r="J2335">
        <v>0.22944508935466601</v>
      </c>
      <c r="K2335">
        <v>0.28749704523395098</v>
      </c>
      <c r="L2335">
        <v>890.62009653983102</v>
      </c>
      <c r="M2335">
        <v>18.1859601556664</v>
      </c>
      <c r="N2335">
        <v>50.648060584782897</v>
      </c>
      <c r="O2335">
        <v>48.392314933630502</v>
      </c>
      <c r="P2335">
        <v>-7.2721222918710901E-2</v>
      </c>
      <c r="Q2335">
        <v>0.22600037555717101</v>
      </c>
      <c r="R2335">
        <v>0.97321025935808703</v>
      </c>
      <c r="S2335" t="s">
        <v>8737</v>
      </c>
      <c r="T2335" t="s">
        <v>12802</v>
      </c>
      <c r="U2335" t="s">
        <v>12802</v>
      </c>
      <c r="V2335" t="s">
        <v>12802</v>
      </c>
      <c r="W2335" t="s">
        <v>15091</v>
      </c>
      <c r="X2335">
        <v>19</v>
      </c>
      <c r="Y2335" t="s">
        <v>21369</v>
      </c>
      <c r="Z2335" t="s">
        <v>27653</v>
      </c>
      <c r="AA2335">
        <v>0.54699127006274906</v>
      </c>
      <c r="AB2335" t="str">
        <f>HYPERLINK("Melting_Curves/meltCurve_P25786_PSMA1.pdf", "Melting_Curves/meltCurve_P25786_PSMA1.pdf")</f>
        <v>Melting_Curves/meltCurve_P25786_PSMA1.pdf</v>
      </c>
    </row>
    <row r="2336" spans="1:28" x14ac:dyDescent="0.25">
      <c r="A2336" t="s">
        <v>2340</v>
      </c>
      <c r="B2336">
        <v>0.99542014353169495</v>
      </c>
      <c r="C2336">
        <v>0.91527491700503405</v>
      </c>
      <c r="D2336">
        <v>0.97600038450543303</v>
      </c>
      <c r="E2336">
        <v>0.91491196834880195</v>
      </c>
      <c r="F2336">
        <v>0.76270599451347998</v>
      </c>
      <c r="G2336">
        <v>0.342766435811517</v>
      </c>
      <c r="H2336">
        <v>0.29805928560945</v>
      </c>
      <c r="I2336">
        <v>0.29181377262427999</v>
      </c>
      <c r="J2336">
        <v>0.28654686533920998</v>
      </c>
      <c r="K2336">
        <v>0.41931481910676</v>
      </c>
      <c r="L2336">
        <v>2545.9402854858199</v>
      </c>
      <c r="M2336">
        <v>50.1419199402808</v>
      </c>
      <c r="N2336">
        <v>51.831745126973303</v>
      </c>
      <c r="O2336">
        <v>50.694120730016401</v>
      </c>
      <c r="P2336">
        <v>-0.16810635059844201</v>
      </c>
      <c r="Q2336">
        <v>0.32016991884777402</v>
      </c>
      <c r="R2336">
        <v>0.970673006463731</v>
      </c>
      <c r="S2336" t="s">
        <v>8738</v>
      </c>
      <c r="T2336" t="s">
        <v>12802</v>
      </c>
      <c r="U2336" t="s">
        <v>12802</v>
      </c>
      <c r="V2336" t="s">
        <v>12802</v>
      </c>
      <c r="W2336" t="s">
        <v>15092</v>
      </c>
      <c r="X2336">
        <v>11</v>
      </c>
      <c r="Y2336" t="s">
        <v>21370</v>
      </c>
      <c r="Z2336" t="s">
        <v>27654</v>
      </c>
      <c r="AA2336">
        <v>0.63383186732405072</v>
      </c>
      <c r="AB2336" t="str">
        <f>HYPERLINK("Melting_Curves/meltCurve_P25787_PSMA2.pdf", "Melting_Curves/meltCurve_P25787_PSMA2.pdf")</f>
        <v>Melting_Curves/meltCurve_P25787_PSMA2.pdf</v>
      </c>
    </row>
    <row r="2337" spans="1:28" x14ac:dyDescent="0.25">
      <c r="A2337" t="s">
        <v>2341</v>
      </c>
      <c r="B2337">
        <v>0.99542014353169495</v>
      </c>
      <c r="C2337">
        <v>0.86994172230018396</v>
      </c>
      <c r="D2337">
        <v>0.91694377231472302</v>
      </c>
      <c r="E2337">
        <v>0.81121336963978097</v>
      </c>
      <c r="F2337">
        <v>0.636354151809022</v>
      </c>
      <c r="G2337">
        <v>0.36288020634986201</v>
      </c>
      <c r="H2337">
        <v>0.26959314537263401</v>
      </c>
      <c r="I2337">
        <v>0.27558466852166602</v>
      </c>
      <c r="J2337">
        <v>0.28371205189888599</v>
      </c>
      <c r="K2337">
        <v>0.36544862324907701</v>
      </c>
      <c r="L2337">
        <v>907.91871748209405</v>
      </c>
      <c r="M2337">
        <v>18.4194625049732</v>
      </c>
      <c r="N2337">
        <v>51.548411953750303</v>
      </c>
      <c r="O2337">
        <v>48.7213038189496</v>
      </c>
      <c r="P2337">
        <v>-6.8356145254392903E-2</v>
      </c>
      <c r="Q2337">
        <v>0.27679746835386598</v>
      </c>
      <c r="R2337">
        <v>0.96026389048377703</v>
      </c>
      <c r="S2337" t="s">
        <v>8739</v>
      </c>
      <c r="T2337" t="s">
        <v>12802</v>
      </c>
      <c r="U2337" t="s">
        <v>12802</v>
      </c>
      <c r="V2337" t="s">
        <v>12802</v>
      </c>
      <c r="W2337" t="s">
        <v>15093</v>
      </c>
      <c r="X2337">
        <v>15</v>
      </c>
      <c r="Y2337" t="s">
        <v>21371</v>
      </c>
      <c r="Z2337" t="s">
        <v>27655</v>
      </c>
      <c r="AA2337">
        <v>0.58412641739046622</v>
      </c>
      <c r="AB2337" t="str">
        <f>HYPERLINK("Melting_Curves/meltCurve_P25788_2_PSMA3.pdf", "Melting_Curves/meltCurve_P25788_2_PSMA3.pdf")</f>
        <v>Melting_Curves/meltCurve_P25788_2_PSMA3.pdf</v>
      </c>
    </row>
    <row r="2338" spans="1:28" x14ac:dyDescent="0.25">
      <c r="A2338" t="s">
        <v>2342</v>
      </c>
      <c r="B2338">
        <v>0.99542014353169495</v>
      </c>
      <c r="C2338">
        <v>0.88000622197233302</v>
      </c>
      <c r="D2338">
        <v>0.84142365018054699</v>
      </c>
      <c r="E2338">
        <v>0.60453150924176302</v>
      </c>
      <c r="F2338">
        <v>0.414170644562107</v>
      </c>
      <c r="G2338">
        <v>0.21401351854796999</v>
      </c>
      <c r="H2338">
        <v>0.174363253487791</v>
      </c>
      <c r="I2338">
        <v>0.172805014414709</v>
      </c>
      <c r="J2338">
        <v>0.17845422394997301</v>
      </c>
      <c r="K2338">
        <v>0.241358985841921</v>
      </c>
      <c r="L2338">
        <v>726.73375521310504</v>
      </c>
      <c r="M2338">
        <v>15.538678978302199</v>
      </c>
      <c r="N2338">
        <v>48.022699937655403</v>
      </c>
      <c r="O2338">
        <v>46.015268506559501</v>
      </c>
      <c r="P2338">
        <v>-7.0355026838732806E-2</v>
      </c>
      <c r="Q2338">
        <v>0.16669347154015501</v>
      </c>
      <c r="R2338">
        <v>0.98540298357856604</v>
      </c>
      <c r="S2338" t="s">
        <v>8740</v>
      </c>
      <c r="T2338" t="s">
        <v>12802</v>
      </c>
      <c r="U2338" t="s">
        <v>12802</v>
      </c>
      <c r="V2338" t="s">
        <v>12802</v>
      </c>
      <c r="W2338" t="s">
        <v>15094</v>
      </c>
      <c r="X2338">
        <v>11</v>
      </c>
      <c r="Y2338" t="s">
        <v>21372</v>
      </c>
      <c r="Z2338" t="s">
        <v>27656</v>
      </c>
      <c r="AA2338">
        <v>0.45573466825756442</v>
      </c>
      <c r="AB2338" t="str">
        <f>HYPERLINK("Melting_Curves/meltCurve_P25789_PSMA4.pdf", "Melting_Curves/meltCurve_P25789_PSMA4.pdf")</f>
        <v>Melting_Curves/meltCurve_P25789_PSMA4.pdf</v>
      </c>
    </row>
    <row r="2339" spans="1:28" x14ac:dyDescent="0.25">
      <c r="A2339" t="s">
        <v>2343</v>
      </c>
      <c r="B2339">
        <v>0.99542014353169495</v>
      </c>
      <c r="C2339">
        <v>0.87502194355261997</v>
      </c>
      <c r="D2339">
        <v>0.89329014408337204</v>
      </c>
      <c r="E2339">
        <v>0.77065211321551597</v>
      </c>
      <c r="F2339">
        <v>0.62727429239855204</v>
      </c>
      <c r="G2339">
        <v>0.36826392733250901</v>
      </c>
      <c r="H2339">
        <v>0.213181764940507</v>
      </c>
      <c r="I2339">
        <v>0.12308508088657701</v>
      </c>
      <c r="J2339">
        <v>0.18625621535505499</v>
      </c>
      <c r="K2339">
        <v>9.9874002935120804E-2</v>
      </c>
      <c r="L2339">
        <v>597.02247169297198</v>
      </c>
      <c r="M2339">
        <v>11.681387649209199</v>
      </c>
      <c r="N2339">
        <v>51.500054713189598</v>
      </c>
      <c r="O2339">
        <v>49.679983616616603</v>
      </c>
      <c r="P2339">
        <v>-5.6302638624727001E-2</v>
      </c>
      <c r="Q2339">
        <v>4.2454157286958803E-2</v>
      </c>
      <c r="R2339">
        <v>0.98321303027851803</v>
      </c>
      <c r="S2339" t="s">
        <v>8741</v>
      </c>
      <c r="T2339" t="s">
        <v>12802</v>
      </c>
      <c r="U2339" t="s">
        <v>12802</v>
      </c>
      <c r="V2339" t="s">
        <v>12802</v>
      </c>
      <c r="W2339" t="s">
        <v>15095</v>
      </c>
      <c r="X2339">
        <v>3</v>
      </c>
      <c r="Y2339" t="s">
        <v>21373</v>
      </c>
      <c r="Z2339" t="s">
        <v>27657</v>
      </c>
      <c r="AA2339">
        <v>0.51813177881327421</v>
      </c>
      <c r="AB2339" t="str">
        <f>HYPERLINK("Melting_Curves/meltCurve_P25791_LMO2.pdf", "Melting_Curves/meltCurve_P25791_LMO2.pdf")</f>
        <v>Melting_Curves/meltCurve_P25791_LMO2.pdf</v>
      </c>
    </row>
    <row r="2340" spans="1:28" x14ac:dyDescent="0.25">
      <c r="A2340" t="s">
        <v>2344</v>
      </c>
      <c r="B2340">
        <v>0.99542014353169495</v>
      </c>
      <c r="C2340">
        <v>1.05693473245536</v>
      </c>
      <c r="D2340">
        <v>1.08460498299002</v>
      </c>
      <c r="E2340">
        <v>1.1451452365667301</v>
      </c>
      <c r="F2340">
        <v>0.74787358912346802</v>
      </c>
      <c r="G2340">
        <v>0.64046558120201902</v>
      </c>
      <c r="H2340">
        <v>0.32157989103593398</v>
      </c>
      <c r="I2340">
        <v>0.17123879317058099</v>
      </c>
      <c r="J2340">
        <v>0.12210274327078501</v>
      </c>
      <c r="K2340">
        <v>0.127871937499101</v>
      </c>
      <c r="L2340">
        <v>1121.4024114620699</v>
      </c>
      <c r="M2340">
        <v>20.6221561779724</v>
      </c>
      <c r="N2340">
        <v>54.940091459838101</v>
      </c>
      <c r="O2340">
        <v>53.874915693400297</v>
      </c>
      <c r="P2340">
        <v>-8.6603466771563498E-2</v>
      </c>
      <c r="Q2340">
        <v>9.5027466614068204E-2</v>
      </c>
      <c r="R2340">
        <v>0.96503794927324305</v>
      </c>
      <c r="S2340" t="s">
        <v>8742</v>
      </c>
      <c r="T2340" t="s">
        <v>12802</v>
      </c>
      <c r="U2340" t="s">
        <v>12802</v>
      </c>
      <c r="V2340" t="s">
        <v>12802</v>
      </c>
      <c r="W2340" t="s">
        <v>15096</v>
      </c>
      <c r="X2340">
        <v>2</v>
      </c>
      <c r="Y2340" t="s">
        <v>21374</v>
      </c>
      <c r="Z2340" t="s">
        <v>27658</v>
      </c>
      <c r="AA2340">
        <v>0.62957979590217528</v>
      </c>
      <c r="AB2340" t="str">
        <f>HYPERLINK("Melting_Curves/meltCurve_P25815_S100P.pdf", "Melting_Curves/meltCurve_P25815_S100P.pdf")</f>
        <v>Melting_Curves/meltCurve_P25815_S100P.pdf</v>
      </c>
    </row>
    <row r="2341" spans="1:28" x14ac:dyDescent="0.25">
      <c r="A2341" t="s">
        <v>2345</v>
      </c>
      <c r="B2341">
        <v>0.99542014353169495</v>
      </c>
      <c r="C2341">
        <v>1.02332310395125</v>
      </c>
      <c r="D2341">
        <v>0.90569466740467997</v>
      </c>
      <c r="E2341">
        <v>0.88221762250076696</v>
      </c>
      <c r="F2341">
        <v>0.59574012541316801</v>
      </c>
      <c r="G2341">
        <v>0.100151360395433</v>
      </c>
      <c r="H2341">
        <v>5.8626808736839398E-2</v>
      </c>
      <c r="I2341">
        <v>3.0129824145469199E-2</v>
      </c>
      <c r="J2341">
        <v>3.2464079265937897E-2</v>
      </c>
      <c r="K2341">
        <v>3.2946979014889202E-2</v>
      </c>
      <c r="L2341">
        <v>1599.83298374373</v>
      </c>
      <c r="M2341">
        <v>31.6682916589074</v>
      </c>
      <c r="N2341">
        <v>50.597766254278802</v>
      </c>
      <c r="O2341">
        <v>50.318285498893502</v>
      </c>
      <c r="P2341">
        <v>-0.15353058601681299</v>
      </c>
      <c r="Q2341">
        <v>2.4215728871872101E-2</v>
      </c>
      <c r="R2341">
        <v>0.99159649146939499</v>
      </c>
      <c r="S2341" t="s">
        <v>8743</v>
      </c>
      <c r="T2341" t="s">
        <v>12802</v>
      </c>
      <c r="U2341" t="s">
        <v>12802</v>
      </c>
      <c r="V2341" t="s">
        <v>12802</v>
      </c>
      <c r="W2341" t="s">
        <v>15097</v>
      </c>
      <c r="X2341">
        <v>72</v>
      </c>
      <c r="Y2341" t="s">
        <v>21375</v>
      </c>
      <c r="Z2341" t="s">
        <v>27659</v>
      </c>
      <c r="AA2341">
        <v>0.46934459042862081</v>
      </c>
      <c r="AB2341" t="str">
        <f>HYPERLINK("Melting_Curves/meltCurve_P26038_MSN.pdf", "Melting_Curves/meltCurve_P26038_MSN.pdf")</f>
        <v>Melting_Curves/meltCurve_P26038_MSN.pdf</v>
      </c>
    </row>
    <row r="2342" spans="1:28" x14ac:dyDescent="0.25">
      <c r="A2342" t="s">
        <v>2346</v>
      </c>
      <c r="B2342">
        <v>0.99542014353169495</v>
      </c>
      <c r="C2342">
        <v>0.94551049817621602</v>
      </c>
      <c r="D2342">
        <v>0.95619709742903003</v>
      </c>
      <c r="E2342">
        <v>0.82806149134544904</v>
      </c>
      <c r="F2342">
        <v>0.60387757919992702</v>
      </c>
      <c r="G2342">
        <v>0.32288891073373799</v>
      </c>
      <c r="H2342">
        <v>0.100671595459065</v>
      </c>
      <c r="I2342">
        <v>7.9469268794955403E-2</v>
      </c>
      <c r="J2342">
        <v>8.4766314476275306E-2</v>
      </c>
      <c r="K2342">
        <v>0.100824696304497</v>
      </c>
      <c r="L2342">
        <v>942.48221770315297</v>
      </c>
      <c r="M2342">
        <v>18.5435760599144</v>
      </c>
      <c r="N2342">
        <v>51.1441608765358</v>
      </c>
      <c r="O2342">
        <v>50.245255139337097</v>
      </c>
      <c r="P2342">
        <v>-8.7232113057006996E-2</v>
      </c>
      <c r="Q2342">
        <v>5.4592823289643502E-2</v>
      </c>
      <c r="R2342">
        <v>0.99416178306585001</v>
      </c>
      <c r="S2342" t="s">
        <v>8744</v>
      </c>
      <c r="T2342" t="s">
        <v>12802</v>
      </c>
      <c r="U2342" t="s">
        <v>12802</v>
      </c>
      <c r="V2342" t="s">
        <v>12802</v>
      </c>
      <c r="W2342" t="s">
        <v>15098</v>
      </c>
      <c r="X2342">
        <v>17</v>
      </c>
      <c r="Y2342" t="s">
        <v>21376</v>
      </c>
      <c r="Z2342" t="s">
        <v>27660</v>
      </c>
      <c r="AA2342">
        <v>0.50431111876198564</v>
      </c>
      <c r="AB2342" t="str">
        <f>HYPERLINK("Melting_Curves/meltCurve_P26196_DDX6.pdf", "Melting_Curves/meltCurve_P26196_DDX6.pdf")</f>
        <v>Melting_Curves/meltCurve_P26196_DDX6.pdf</v>
      </c>
    </row>
    <row r="2343" spans="1:28" x14ac:dyDescent="0.25">
      <c r="A2343" t="s">
        <v>2347</v>
      </c>
      <c r="B2343">
        <v>0.99542014353169495</v>
      </c>
      <c r="C2343">
        <v>0.95367149242776605</v>
      </c>
      <c r="D2343">
        <v>0.98613047816058896</v>
      </c>
      <c r="E2343">
        <v>0.85414836681502204</v>
      </c>
      <c r="F2343">
        <v>0.64777960780395805</v>
      </c>
      <c r="G2343">
        <v>0.28572336376989199</v>
      </c>
      <c r="H2343">
        <v>6.5675678752475E-2</v>
      </c>
      <c r="I2343">
        <v>4.2245861925853799E-2</v>
      </c>
      <c r="J2343">
        <v>4.3113492263728202E-2</v>
      </c>
      <c r="K2343">
        <v>4.8555583436296401E-2</v>
      </c>
      <c r="L2343">
        <v>1103.2280931335899</v>
      </c>
      <c r="M2343">
        <v>21.516575126773802</v>
      </c>
      <c r="N2343">
        <v>51.362834631571197</v>
      </c>
      <c r="O2343">
        <v>50.836662839732</v>
      </c>
      <c r="P2343">
        <v>-0.103869444870545</v>
      </c>
      <c r="Q2343">
        <v>1.8384870365393401E-2</v>
      </c>
      <c r="R2343">
        <v>0.99569822036356403</v>
      </c>
      <c r="S2343" t="s">
        <v>8745</v>
      </c>
      <c r="T2343" t="s">
        <v>12802</v>
      </c>
      <c r="U2343" t="s">
        <v>12802</v>
      </c>
      <c r="V2343" t="s">
        <v>12802</v>
      </c>
      <c r="W2343" t="s">
        <v>15099</v>
      </c>
      <c r="X2343">
        <v>75</v>
      </c>
      <c r="Y2343" t="s">
        <v>19770</v>
      </c>
      <c r="Z2343" t="s">
        <v>27661</v>
      </c>
      <c r="AA2343">
        <v>0.49675340818585012</v>
      </c>
      <c r="AB2343" t="str">
        <f>HYPERLINK("Melting_Curves/meltCurve_P26358_DNMT1.pdf", "Melting_Curves/meltCurve_P26358_DNMT1.pdf")</f>
        <v>Melting_Curves/meltCurve_P26358_DNMT1.pdf</v>
      </c>
    </row>
    <row r="2344" spans="1:28" x14ac:dyDescent="0.25">
      <c r="A2344" t="s">
        <v>2348</v>
      </c>
      <c r="B2344">
        <v>0.99542014353169495</v>
      </c>
      <c r="C2344">
        <v>1.05432355119032</v>
      </c>
      <c r="D2344">
        <v>1.0917449951795299</v>
      </c>
      <c r="E2344">
        <v>0.79525334396821001</v>
      </c>
      <c r="F2344">
        <v>0.63759944945930602</v>
      </c>
      <c r="G2344">
        <v>0.30187204109761001</v>
      </c>
      <c r="H2344">
        <v>0.12895989399622301</v>
      </c>
      <c r="I2344">
        <v>9.6220830588579206E-2</v>
      </c>
      <c r="J2344">
        <v>6.8324594574285705E-2</v>
      </c>
      <c r="K2344">
        <v>8.3185376384604007E-2</v>
      </c>
      <c r="L2344">
        <v>1021.41862346202</v>
      </c>
      <c r="M2344">
        <v>20.0316936912354</v>
      </c>
      <c r="N2344">
        <v>51.312068983620001</v>
      </c>
      <c r="O2344">
        <v>50.490123287538403</v>
      </c>
      <c r="P2344">
        <v>-9.3332064825280101E-2</v>
      </c>
      <c r="Q2344">
        <v>5.90520645472314E-2</v>
      </c>
      <c r="R2344">
        <v>0.98540222547330003</v>
      </c>
      <c r="S2344" t="s">
        <v>8746</v>
      </c>
      <c r="T2344" t="s">
        <v>12802</v>
      </c>
      <c r="U2344" t="s">
        <v>12802</v>
      </c>
      <c r="V2344" t="s">
        <v>12802</v>
      </c>
      <c r="W2344" t="s">
        <v>15100</v>
      </c>
      <c r="X2344">
        <v>74</v>
      </c>
      <c r="Y2344" t="s">
        <v>19770</v>
      </c>
      <c r="Z2344" t="s">
        <v>27662</v>
      </c>
      <c r="AA2344">
        <v>0.51013962667684098</v>
      </c>
      <c r="AB2344" t="str">
        <f>HYPERLINK("Melting_Curves/meltCurve_P26358_2_DNMT1.pdf", "Melting_Curves/meltCurve_P26358_2_DNMT1.pdf")</f>
        <v>Melting_Curves/meltCurve_P26358_2_DNMT1.pdf</v>
      </c>
    </row>
    <row r="2345" spans="1:28" x14ac:dyDescent="0.25">
      <c r="A2345" t="s">
        <v>2349</v>
      </c>
      <c r="B2345">
        <v>0.99542014353169495</v>
      </c>
      <c r="C2345">
        <v>1.09701404072188</v>
      </c>
      <c r="D2345">
        <v>1.00203382652044</v>
      </c>
      <c r="E2345">
        <v>0.765510971746585</v>
      </c>
      <c r="F2345">
        <v>0.390577585673621</v>
      </c>
      <c r="G2345">
        <v>8.8245013337927794E-2</v>
      </c>
      <c r="H2345">
        <v>4.1634629257494199E-2</v>
      </c>
      <c r="I2345">
        <v>2.3507147608469E-2</v>
      </c>
      <c r="J2345">
        <v>2.2154184126700598E-2</v>
      </c>
      <c r="K2345">
        <v>2.28584088047162E-2</v>
      </c>
      <c r="L2345">
        <v>1237.2268461464</v>
      </c>
      <c r="M2345">
        <v>25.233112673393599</v>
      </c>
      <c r="N2345">
        <v>49.095901704087701</v>
      </c>
      <c r="O2345">
        <v>48.727030239790601</v>
      </c>
      <c r="P2345">
        <v>-0.12736729223419299</v>
      </c>
      <c r="Q2345">
        <v>1.6189638459720199E-2</v>
      </c>
      <c r="R2345">
        <v>0.99354122004756396</v>
      </c>
      <c r="S2345" t="s">
        <v>8747</v>
      </c>
      <c r="T2345" t="s">
        <v>12802</v>
      </c>
      <c r="U2345" t="s">
        <v>12802</v>
      </c>
      <c r="V2345" t="s">
        <v>12802</v>
      </c>
      <c r="W2345" t="s">
        <v>15101</v>
      </c>
      <c r="X2345">
        <v>7</v>
      </c>
      <c r="Y2345" t="s">
        <v>21377</v>
      </c>
      <c r="Z2345" t="s">
        <v>27663</v>
      </c>
      <c r="AA2345">
        <v>0.41911184917312477</v>
      </c>
      <c r="AB2345" t="str">
        <f>HYPERLINK("Melting_Curves/meltCurve_P26368_2_U2AF2.pdf", "Melting_Curves/meltCurve_P26368_2_U2AF2.pdf")</f>
        <v>Melting_Curves/meltCurve_P26368_2_U2AF2.pdf</v>
      </c>
    </row>
    <row r="2346" spans="1:28" x14ac:dyDescent="0.25">
      <c r="A2346" t="s">
        <v>2350</v>
      </c>
      <c r="B2346">
        <v>0.99542014353169495</v>
      </c>
      <c r="C2346">
        <v>0.8817838045784</v>
      </c>
      <c r="D2346">
        <v>0.772867545403913</v>
      </c>
      <c r="E2346">
        <v>0.66013962621238598</v>
      </c>
      <c r="F2346">
        <v>0.50735357004316695</v>
      </c>
      <c r="G2346">
        <v>0.26398649372795602</v>
      </c>
      <c r="H2346">
        <v>0.13795080633079199</v>
      </c>
      <c r="I2346">
        <v>6.7020034717909696E-2</v>
      </c>
      <c r="J2346">
        <v>7.0939241092298599E-2</v>
      </c>
      <c r="K2346">
        <v>7.7144005941847504E-2</v>
      </c>
      <c r="L2346">
        <v>528.42993271239595</v>
      </c>
      <c r="M2346">
        <v>10.763851570430401</v>
      </c>
      <c r="N2346">
        <v>49.093000998702898</v>
      </c>
      <c r="O2346">
        <v>47.489591588180403</v>
      </c>
      <c r="P2346">
        <v>-5.66850371770714E-2</v>
      </c>
      <c r="Q2346">
        <v>0</v>
      </c>
      <c r="R2346">
        <v>0.98885488030032198</v>
      </c>
      <c r="S2346" t="s">
        <v>8748</v>
      </c>
      <c r="T2346" t="s">
        <v>12802</v>
      </c>
      <c r="U2346" t="s">
        <v>12802</v>
      </c>
      <c r="V2346" t="s">
        <v>12802</v>
      </c>
      <c r="W2346" t="s">
        <v>15102</v>
      </c>
      <c r="X2346">
        <v>9</v>
      </c>
      <c r="Y2346" t="s">
        <v>21378</v>
      </c>
      <c r="Z2346" t="s">
        <v>27664</v>
      </c>
      <c r="AA2346">
        <v>0.43696373386530768</v>
      </c>
      <c r="AB2346" t="str">
        <f>HYPERLINK("Melting_Curves/meltCurve_P26373_RPL13.pdf", "Melting_Curves/meltCurve_P26373_RPL13.pdf")</f>
        <v>Melting_Curves/meltCurve_P26373_RPL13.pdf</v>
      </c>
    </row>
    <row r="2347" spans="1:28" x14ac:dyDescent="0.25">
      <c r="A2347" t="s">
        <v>2351</v>
      </c>
      <c r="B2347">
        <v>0.99542014353169495</v>
      </c>
      <c r="C2347">
        <v>1.0220071496738401</v>
      </c>
      <c r="D2347">
        <v>1.0420244446251099</v>
      </c>
      <c r="E2347">
        <v>0.97340009869941202</v>
      </c>
      <c r="F2347">
        <v>0.80101140180812502</v>
      </c>
      <c r="G2347">
        <v>0.54496282417178199</v>
      </c>
      <c r="H2347">
        <v>0.222044238092197</v>
      </c>
      <c r="I2347">
        <v>7.4227930304893303E-2</v>
      </c>
      <c r="J2347">
        <v>6.7443327978712997E-2</v>
      </c>
      <c r="K2347">
        <v>6.4503307499553603E-2</v>
      </c>
      <c r="L2347">
        <v>1166.2838448098501</v>
      </c>
      <c r="M2347">
        <v>21.673675148441902</v>
      </c>
      <c r="N2347">
        <v>53.978399387229203</v>
      </c>
      <c r="O2347">
        <v>53.359266901827503</v>
      </c>
      <c r="P2347">
        <v>-9.8249250011809397E-2</v>
      </c>
      <c r="Q2347">
        <v>3.2488289115276403E-2</v>
      </c>
      <c r="R2347">
        <v>0.99666824394932896</v>
      </c>
      <c r="S2347" t="s">
        <v>8749</v>
      </c>
      <c r="T2347" t="s">
        <v>12802</v>
      </c>
      <c r="U2347" t="s">
        <v>12802</v>
      </c>
      <c r="V2347" t="s">
        <v>12802</v>
      </c>
      <c r="W2347" t="s">
        <v>15103</v>
      </c>
      <c r="X2347">
        <v>18</v>
      </c>
      <c r="Y2347" t="s">
        <v>21379</v>
      </c>
      <c r="Z2347" t="s">
        <v>27665</v>
      </c>
      <c r="AA2347">
        <v>0.58521788845535894</v>
      </c>
      <c r="AB2347" t="str">
        <f>HYPERLINK("Melting_Curves/meltCurve_P26374_CHML.pdf", "Melting_Curves/meltCurve_P26374_CHML.pdf")</f>
        <v>Melting_Curves/meltCurve_P26374_CHML.pdf</v>
      </c>
    </row>
    <row r="2348" spans="1:28" x14ac:dyDescent="0.25">
      <c r="A2348" t="s">
        <v>2352</v>
      </c>
      <c r="B2348">
        <v>0.99542014353169495</v>
      </c>
      <c r="C2348">
        <v>0.97674300699279903</v>
      </c>
      <c r="D2348">
        <v>0.83466071232681904</v>
      </c>
      <c r="E2348">
        <v>0.80946061722514095</v>
      </c>
      <c r="F2348">
        <v>0.61212844041917902</v>
      </c>
      <c r="G2348">
        <v>0.46986239106710198</v>
      </c>
      <c r="H2348">
        <v>0.229593270603834</v>
      </c>
      <c r="I2348">
        <v>0.13618992796964399</v>
      </c>
      <c r="J2348">
        <v>0.14879721656232101</v>
      </c>
      <c r="K2348">
        <v>0.13402809302403201</v>
      </c>
      <c r="L2348">
        <v>571.00181604543002</v>
      </c>
      <c r="M2348">
        <v>10.991492754382699</v>
      </c>
      <c r="N2348">
        <v>52.187588097707497</v>
      </c>
      <c r="O2348">
        <v>50.318698986163199</v>
      </c>
      <c r="P2348">
        <v>-5.3291615257248702E-2</v>
      </c>
      <c r="Q2348">
        <v>2.44609400024169E-2</v>
      </c>
      <c r="R2348">
        <v>0.98691254104319304</v>
      </c>
      <c r="S2348" t="s">
        <v>8750</v>
      </c>
      <c r="T2348" t="s">
        <v>12802</v>
      </c>
      <c r="U2348" t="s">
        <v>12802</v>
      </c>
      <c r="V2348" t="s">
        <v>12802</v>
      </c>
      <c r="W2348" t="s">
        <v>15104</v>
      </c>
      <c r="X2348">
        <v>1</v>
      </c>
      <c r="Y2348" t="s">
        <v>21380</v>
      </c>
      <c r="Z2348" t="s">
        <v>27666</v>
      </c>
      <c r="AA2348">
        <v>0.53540920721306562</v>
      </c>
      <c r="AB2348" t="str">
        <f>HYPERLINK("Melting_Curves/meltCurve_P26447_S100A4.pdf", "Melting_Curves/meltCurve_P26447_S100A4.pdf")</f>
        <v>Melting_Curves/meltCurve_P26447_S100A4.pdf</v>
      </c>
    </row>
    <row r="2349" spans="1:28" x14ac:dyDescent="0.25">
      <c r="A2349" t="s">
        <v>2353</v>
      </c>
      <c r="B2349">
        <v>0.99542014353169495</v>
      </c>
      <c r="C2349">
        <v>0.93095796992762103</v>
      </c>
      <c r="D2349">
        <v>0.83607254044975698</v>
      </c>
      <c r="E2349">
        <v>0.76711586911829099</v>
      </c>
      <c r="F2349">
        <v>0.59602083589114796</v>
      </c>
      <c r="G2349">
        <v>0.24747757923907501</v>
      </c>
      <c r="H2349">
        <v>8.0125435341271201E-2</v>
      </c>
      <c r="I2349">
        <v>6.5046219144553094E-2</v>
      </c>
      <c r="J2349">
        <v>8.0321089007486995E-2</v>
      </c>
      <c r="K2349">
        <v>9.2594165341811099E-2</v>
      </c>
      <c r="L2349">
        <v>746.95575309518904</v>
      </c>
      <c r="M2349">
        <v>14.878713388507901</v>
      </c>
      <c r="N2349">
        <v>50.3381415484074</v>
      </c>
      <c r="O2349">
        <v>49.322276111983598</v>
      </c>
      <c r="P2349">
        <v>-7.3946894830922899E-2</v>
      </c>
      <c r="Q2349">
        <v>1.9579522265469801E-2</v>
      </c>
      <c r="R2349">
        <v>0.98015570789327799</v>
      </c>
      <c r="S2349" t="s">
        <v>8751</v>
      </c>
      <c r="T2349" t="s">
        <v>12802</v>
      </c>
      <c r="U2349" t="s">
        <v>12802</v>
      </c>
      <c r="V2349" t="s">
        <v>12802</v>
      </c>
      <c r="W2349" t="s">
        <v>15105</v>
      </c>
      <c r="X2349">
        <v>5</v>
      </c>
      <c r="Y2349" t="s">
        <v>21381</v>
      </c>
      <c r="Z2349" t="s">
        <v>27667</v>
      </c>
      <c r="AA2349">
        <v>0.47165208571095613</v>
      </c>
      <c r="AB2349" t="str">
        <f>HYPERLINK("Melting_Curves/meltCurve_P26572_MGAT1.pdf", "Melting_Curves/meltCurve_P26572_MGAT1.pdf")</f>
        <v>Melting_Curves/meltCurve_P26572_MGAT1.pdf</v>
      </c>
    </row>
    <row r="2350" spans="1:28" x14ac:dyDescent="0.25">
      <c r="A2350" t="s">
        <v>2354</v>
      </c>
      <c r="B2350">
        <v>0.99542014353169495</v>
      </c>
      <c r="C2350">
        <v>0.98837880305191395</v>
      </c>
      <c r="D2350">
        <v>0.93891081312333702</v>
      </c>
      <c r="E2350">
        <v>0.892863924078383</v>
      </c>
      <c r="F2350">
        <v>0.64258445458892199</v>
      </c>
      <c r="G2350">
        <v>0.50911430100802701</v>
      </c>
      <c r="H2350">
        <v>0.30643477204451802</v>
      </c>
      <c r="I2350">
        <v>0.26138415460893499</v>
      </c>
      <c r="J2350">
        <v>0.40876672032679601</v>
      </c>
      <c r="K2350">
        <v>0.474033637200723</v>
      </c>
      <c r="L2350">
        <v>1150.3858493958001</v>
      </c>
      <c r="M2350">
        <v>23.1294301344514</v>
      </c>
      <c r="N2350">
        <v>52.693421268519501</v>
      </c>
      <c r="O2350">
        <v>49.369558138426598</v>
      </c>
      <c r="P2350">
        <v>-7.4559250469572999E-2</v>
      </c>
      <c r="Q2350">
        <v>0.36342732624733898</v>
      </c>
      <c r="R2350">
        <v>0.949797308006603</v>
      </c>
      <c r="S2350" t="s">
        <v>8752</v>
      </c>
      <c r="T2350" t="s">
        <v>12802</v>
      </c>
      <c r="U2350" t="s">
        <v>12802</v>
      </c>
      <c r="V2350" t="s">
        <v>12802</v>
      </c>
      <c r="W2350" t="s">
        <v>15106</v>
      </c>
      <c r="X2350">
        <v>21</v>
      </c>
      <c r="Y2350" t="s">
        <v>21382</v>
      </c>
      <c r="Z2350" t="s">
        <v>27668</v>
      </c>
      <c r="AA2350">
        <v>0.64012539512826172</v>
      </c>
      <c r="AB2350" t="str">
        <f>HYPERLINK("Melting_Curves/meltCurve_P26583_HMGB2.pdf", "Melting_Curves/meltCurve_P26583_HMGB2.pdf")</f>
        <v>Melting_Curves/meltCurve_P26583_HMGB2.pdf</v>
      </c>
    </row>
    <row r="2351" spans="1:28" x14ac:dyDescent="0.25">
      <c r="A2351" t="s">
        <v>2355</v>
      </c>
      <c r="B2351">
        <v>0.99542014353169495</v>
      </c>
      <c r="C2351">
        <v>1.02365369918783</v>
      </c>
      <c r="D2351">
        <v>0.93065782331912394</v>
      </c>
      <c r="E2351">
        <v>0.76401358579156597</v>
      </c>
      <c r="F2351">
        <v>0.13253505678455901</v>
      </c>
      <c r="G2351">
        <v>6.3969427097816195E-2</v>
      </c>
      <c r="H2351">
        <v>3.5600612663442999E-2</v>
      </c>
      <c r="I2351">
        <v>2.39643397988001E-2</v>
      </c>
      <c r="J2351">
        <v>2.23723487123897E-2</v>
      </c>
      <c r="K2351">
        <v>2.3261726175482299E-2</v>
      </c>
      <c r="L2351">
        <v>2035.84104507602</v>
      </c>
      <c r="M2351">
        <v>42.591656636561503</v>
      </c>
      <c r="N2351">
        <v>47.869700851071698</v>
      </c>
      <c r="O2351">
        <v>47.694045800095303</v>
      </c>
      <c r="P2351">
        <v>-0.21645466645190001</v>
      </c>
      <c r="Q2351">
        <v>3.0459678537793099E-2</v>
      </c>
      <c r="R2351">
        <v>0.99722407552441095</v>
      </c>
      <c r="S2351" t="s">
        <v>8753</v>
      </c>
      <c r="T2351" t="s">
        <v>12802</v>
      </c>
      <c r="U2351" t="s">
        <v>12802</v>
      </c>
      <c r="V2351" t="s">
        <v>12802</v>
      </c>
      <c r="W2351" t="s">
        <v>15107</v>
      </c>
      <c r="X2351">
        <v>20</v>
      </c>
      <c r="Y2351" t="s">
        <v>20374</v>
      </c>
      <c r="Z2351" t="s">
        <v>27669</v>
      </c>
      <c r="AA2351">
        <v>0.38228667218607898</v>
      </c>
      <c r="AB2351" t="str">
        <f>HYPERLINK("Melting_Curves/meltCurve_P26599_PTBP1.pdf", "Melting_Curves/meltCurve_P26599_PTBP1.pdf")</f>
        <v>Melting_Curves/meltCurve_P26599_PTBP1.pdf</v>
      </c>
    </row>
    <row r="2352" spans="1:28" x14ac:dyDescent="0.25">
      <c r="A2352" t="s">
        <v>2356</v>
      </c>
      <c r="B2352">
        <v>0.99542014353169495</v>
      </c>
      <c r="C2352">
        <v>0.93421558268086302</v>
      </c>
      <c r="D2352">
        <v>1.01278404736678</v>
      </c>
      <c r="E2352">
        <v>0.83122230238360195</v>
      </c>
      <c r="F2352">
        <v>0.45394051023548798</v>
      </c>
      <c r="G2352">
        <v>0.14720906497549799</v>
      </c>
      <c r="H2352">
        <v>7.4130515093608296E-2</v>
      </c>
      <c r="I2352">
        <v>5.0532054500281302E-2</v>
      </c>
      <c r="J2352">
        <v>5.7471712292060599E-2</v>
      </c>
      <c r="K2352">
        <v>5.9463222051769397E-2</v>
      </c>
      <c r="L2352">
        <v>1286.14558586269</v>
      </c>
      <c r="M2352">
        <v>25.966332486629</v>
      </c>
      <c r="N2352">
        <v>49.732932553306</v>
      </c>
      <c r="O2352">
        <v>49.240310322104499</v>
      </c>
      <c r="P2352">
        <v>-0.125248768207607</v>
      </c>
      <c r="Q2352">
        <v>4.9967325419726399E-2</v>
      </c>
      <c r="R2352">
        <v>0.99668970844695204</v>
      </c>
      <c r="S2352" t="s">
        <v>8754</v>
      </c>
      <c r="T2352" t="s">
        <v>12802</v>
      </c>
      <c r="U2352" t="s">
        <v>12802</v>
      </c>
      <c r="V2352" t="s">
        <v>12802</v>
      </c>
      <c r="W2352" t="s">
        <v>15108</v>
      </c>
      <c r="X2352">
        <v>49</v>
      </c>
      <c r="Y2352" t="s">
        <v>21383</v>
      </c>
      <c r="Z2352" t="s">
        <v>27670</v>
      </c>
      <c r="AA2352">
        <v>0.45448512801647151</v>
      </c>
      <c r="AB2352" t="str">
        <f>HYPERLINK("Melting_Curves/meltCurve_P26639_TARS.pdf", "Melting_Curves/meltCurve_P26639_TARS.pdf")</f>
        <v>Melting_Curves/meltCurve_P26639_TARS.pdf</v>
      </c>
    </row>
    <row r="2353" spans="1:28" x14ac:dyDescent="0.25">
      <c r="A2353" t="s">
        <v>2357</v>
      </c>
      <c r="B2353">
        <v>0.99542014353169495</v>
      </c>
      <c r="C2353">
        <v>0.81806411544927005</v>
      </c>
      <c r="D2353">
        <v>0.84438685731561502</v>
      </c>
      <c r="E2353">
        <v>0.58904161574631297</v>
      </c>
      <c r="F2353">
        <v>0.25506781371560999</v>
      </c>
      <c r="G2353">
        <v>7.5265824227897696E-2</v>
      </c>
      <c r="H2353">
        <v>4.8596071135379601E-2</v>
      </c>
      <c r="I2353">
        <v>3.34371854913263E-2</v>
      </c>
      <c r="J2353">
        <v>3.5713107455698598E-2</v>
      </c>
      <c r="K2353">
        <v>3.47119926888163E-2</v>
      </c>
      <c r="L2353">
        <v>762.74360040076897</v>
      </c>
      <c r="M2353">
        <v>16.200694052963701</v>
      </c>
      <c r="N2353">
        <v>47.111071272573703</v>
      </c>
      <c r="O2353">
        <v>46.381097173693298</v>
      </c>
      <c r="P2353">
        <v>-8.6879896166181803E-2</v>
      </c>
      <c r="Q2353">
        <v>5.1575531584785797E-3</v>
      </c>
      <c r="R2353">
        <v>0.98375420258500701</v>
      </c>
      <c r="S2353" t="s">
        <v>8755</v>
      </c>
      <c r="T2353" t="s">
        <v>12802</v>
      </c>
      <c r="U2353" t="s">
        <v>12802</v>
      </c>
      <c r="V2353" t="s">
        <v>12802</v>
      </c>
      <c r="W2353" t="s">
        <v>15109</v>
      </c>
      <c r="X2353">
        <v>55</v>
      </c>
      <c r="Y2353" t="s">
        <v>21384</v>
      </c>
      <c r="Z2353" t="s">
        <v>27671</v>
      </c>
      <c r="AA2353">
        <v>0.35890010641955061</v>
      </c>
      <c r="AB2353" t="str">
        <f>HYPERLINK("Melting_Curves/meltCurve_P26640_VARS.pdf", "Melting_Curves/meltCurve_P26640_VARS.pdf")</f>
        <v>Melting_Curves/meltCurve_P26640_VARS.pdf</v>
      </c>
    </row>
    <row r="2354" spans="1:28" x14ac:dyDescent="0.25">
      <c r="A2354" t="s">
        <v>2358</v>
      </c>
      <c r="B2354">
        <v>0.99542014353169495</v>
      </c>
      <c r="C2354">
        <v>0.84265171473321698</v>
      </c>
      <c r="D2354">
        <v>0.82135451340565002</v>
      </c>
      <c r="E2354">
        <v>0.55998597858101495</v>
      </c>
      <c r="F2354">
        <v>0.236230764060267</v>
      </c>
      <c r="G2354">
        <v>6.8435129133231007E-2</v>
      </c>
      <c r="H2354">
        <v>4.3813080097838901E-2</v>
      </c>
      <c r="I2354">
        <v>2.7530456759751899E-2</v>
      </c>
      <c r="J2354">
        <v>2.6646080826113399E-2</v>
      </c>
      <c r="K2354">
        <v>3.00762520369144E-2</v>
      </c>
      <c r="L2354">
        <v>756.21262185981902</v>
      </c>
      <c r="M2354">
        <v>16.1522755741174</v>
      </c>
      <c r="N2354">
        <v>46.822779517163497</v>
      </c>
      <c r="O2354">
        <v>46.117727612029803</v>
      </c>
      <c r="P2354">
        <v>-8.7490049438638098E-2</v>
      </c>
      <c r="Q2354">
        <v>8.7441989810415396E-4</v>
      </c>
      <c r="R2354">
        <v>0.98969098735815997</v>
      </c>
      <c r="S2354" t="s">
        <v>8756</v>
      </c>
      <c r="T2354" t="s">
        <v>12802</v>
      </c>
      <c r="U2354" t="s">
        <v>12802</v>
      </c>
      <c r="V2354" t="s">
        <v>12802</v>
      </c>
      <c r="W2354" t="s">
        <v>15110</v>
      </c>
      <c r="X2354">
        <v>24</v>
      </c>
      <c r="Y2354" t="s">
        <v>21385</v>
      </c>
      <c r="Z2354" t="s">
        <v>27672</v>
      </c>
      <c r="AA2354">
        <v>0.34755892220644691</v>
      </c>
      <c r="AB2354" t="str">
        <f>HYPERLINK("Melting_Curves/meltCurve_P26641_EEF1G.pdf", "Melting_Curves/meltCurve_P26641_EEF1G.pdf")</f>
        <v>Melting_Curves/meltCurve_P26641_EEF1G.pdf</v>
      </c>
    </row>
    <row r="2355" spans="1:28" x14ac:dyDescent="0.25">
      <c r="A2355" t="s">
        <v>2359</v>
      </c>
      <c r="B2355">
        <v>0.99542014353169495</v>
      </c>
      <c r="C2355">
        <v>0.97053050420609699</v>
      </c>
      <c r="D2355">
        <v>0.88078610349494801</v>
      </c>
      <c r="E2355">
        <v>0.860121388887787</v>
      </c>
      <c r="F2355">
        <v>0.65761207593367399</v>
      </c>
      <c r="G2355">
        <v>0.42650541431821598</v>
      </c>
      <c r="H2355">
        <v>0.150210136044889</v>
      </c>
      <c r="I2355">
        <v>9.3085827704655205E-2</v>
      </c>
      <c r="J2355">
        <v>8.8033189312791804E-2</v>
      </c>
      <c r="K2355">
        <v>9.9456979026886605E-2</v>
      </c>
      <c r="L2355">
        <v>806.81220899415098</v>
      </c>
      <c r="M2355">
        <v>15.5416635653075</v>
      </c>
      <c r="N2355">
        <v>52.135447375858</v>
      </c>
      <c r="O2355">
        <v>51.076171046208103</v>
      </c>
      <c r="P2355">
        <v>-7.3635598985681797E-2</v>
      </c>
      <c r="Q2355">
        <v>3.21000327886381E-2</v>
      </c>
      <c r="R2355">
        <v>0.98924920430250596</v>
      </c>
      <c r="S2355" t="s">
        <v>8757</v>
      </c>
      <c r="T2355" t="s">
        <v>12802</v>
      </c>
      <c r="U2355" t="s">
        <v>12802</v>
      </c>
      <c r="V2355" t="s">
        <v>12802</v>
      </c>
      <c r="W2355" t="s">
        <v>15111</v>
      </c>
      <c r="X2355">
        <v>7</v>
      </c>
      <c r="Y2355" t="s">
        <v>21386</v>
      </c>
      <c r="Z2355" t="s">
        <v>27673</v>
      </c>
      <c r="AA2355">
        <v>0.53108207732553947</v>
      </c>
      <c r="AB2355" t="str">
        <f>HYPERLINK("Melting_Curves/meltCurve_P26885_FKBP2.pdf", "Melting_Curves/meltCurve_P26885_FKBP2.pdf")</f>
        <v>Melting_Curves/meltCurve_P26885_FKBP2.pdf</v>
      </c>
    </row>
    <row r="2356" spans="1:28" x14ac:dyDescent="0.25">
      <c r="A2356" t="s">
        <v>2360</v>
      </c>
      <c r="B2356">
        <v>0.99542014353169495</v>
      </c>
      <c r="C2356">
        <v>1.0841087191769401</v>
      </c>
      <c r="D2356">
        <v>1.0035453468512601</v>
      </c>
      <c r="E2356">
        <v>0.93914136904388701</v>
      </c>
      <c r="F2356">
        <v>0.75264005854855498</v>
      </c>
      <c r="G2356">
        <v>0.54152785270949599</v>
      </c>
      <c r="H2356">
        <v>0.19174081134724399</v>
      </c>
      <c r="I2356">
        <v>8.1222262637689793E-2</v>
      </c>
      <c r="J2356">
        <v>8.0758830701041895E-2</v>
      </c>
      <c r="K2356">
        <v>8.4926589764651894E-2</v>
      </c>
      <c r="L2356">
        <v>1070.4736959955801</v>
      </c>
      <c r="M2356">
        <v>20.047137277498901</v>
      </c>
      <c r="N2356">
        <v>53.617955058297902</v>
      </c>
      <c r="O2356">
        <v>52.875006158836001</v>
      </c>
      <c r="P2356">
        <v>-9.1044151382832395E-2</v>
      </c>
      <c r="Q2356">
        <v>3.9502648403366203E-2</v>
      </c>
      <c r="R2356">
        <v>0.99056100030388805</v>
      </c>
      <c r="S2356" t="s">
        <v>8758</v>
      </c>
      <c r="T2356" t="s">
        <v>12802</v>
      </c>
      <c r="U2356" t="s">
        <v>12802</v>
      </c>
      <c r="V2356" t="s">
        <v>12802</v>
      </c>
      <c r="W2356" t="s">
        <v>15112</v>
      </c>
      <c r="X2356">
        <v>12</v>
      </c>
      <c r="Y2356" t="s">
        <v>21387</v>
      </c>
      <c r="Z2356" t="s">
        <v>27674</v>
      </c>
      <c r="AA2356">
        <v>0.57639704725499774</v>
      </c>
      <c r="AB2356" t="str">
        <f>HYPERLINK("Melting_Curves/meltCurve_P27144_AK4.pdf", "Melting_Curves/meltCurve_P27144_AK4.pdf")</f>
        <v>Melting_Curves/meltCurve_P27144_AK4.pdf</v>
      </c>
    </row>
    <row r="2357" spans="1:28" x14ac:dyDescent="0.25">
      <c r="A2357" t="s">
        <v>2361</v>
      </c>
      <c r="B2357">
        <v>0.99542014353169495</v>
      </c>
      <c r="C2357">
        <v>1.03057659471483</v>
      </c>
      <c r="D2357">
        <v>1.05499953975922</v>
      </c>
      <c r="E2357">
        <v>1.0341177022932999</v>
      </c>
      <c r="F2357">
        <v>0.83045125034806999</v>
      </c>
      <c r="G2357">
        <v>0.36113620233259702</v>
      </c>
      <c r="H2357">
        <v>8.9464172531665706E-2</v>
      </c>
      <c r="I2357">
        <v>4.8303162220008099E-2</v>
      </c>
      <c r="J2357">
        <v>3.8581336689298799E-2</v>
      </c>
      <c r="K2357">
        <v>4.70043314780733E-2</v>
      </c>
      <c r="L2357">
        <v>1762.1801204399801</v>
      </c>
      <c r="M2357">
        <v>33.470940379661002</v>
      </c>
      <c r="N2357">
        <v>52.777218919173102</v>
      </c>
      <c r="O2357">
        <v>52.461217892215899</v>
      </c>
      <c r="P2357">
        <v>-0.15323251087356499</v>
      </c>
      <c r="Q2357">
        <v>3.9318693104446002E-2</v>
      </c>
      <c r="R2357">
        <v>0.99677072174608805</v>
      </c>
      <c r="S2357" t="s">
        <v>8759</v>
      </c>
      <c r="T2357" t="s">
        <v>12802</v>
      </c>
      <c r="U2357" t="s">
        <v>12802</v>
      </c>
      <c r="V2357" t="s">
        <v>12802</v>
      </c>
      <c r="W2357" t="s">
        <v>15113</v>
      </c>
      <c r="X2357">
        <v>24</v>
      </c>
      <c r="Y2357" t="s">
        <v>21388</v>
      </c>
      <c r="Z2357" t="s">
        <v>27675</v>
      </c>
      <c r="AA2357">
        <v>0.54535761890078893</v>
      </c>
      <c r="AB2357" t="str">
        <f>HYPERLINK("Melting_Curves/meltCurve_P27348_YWHAQ.pdf", "Melting_Curves/meltCurve_P27348_YWHAQ.pdf")</f>
        <v>Melting_Curves/meltCurve_P27348_YWHAQ.pdf</v>
      </c>
    </row>
    <row r="2358" spans="1:28" x14ac:dyDescent="0.25">
      <c r="A2358" t="s">
        <v>2362</v>
      </c>
      <c r="B2358">
        <v>0.99542014353169495</v>
      </c>
      <c r="C2358">
        <v>1.08479740803638</v>
      </c>
      <c r="D2358">
        <v>0.92371006696783298</v>
      </c>
      <c r="E2358">
        <v>0.87630776007721201</v>
      </c>
      <c r="F2358">
        <v>0.52785102041754595</v>
      </c>
      <c r="G2358">
        <v>0.20973294268261999</v>
      </c>
      <c r="H2358">
        <v>0.116656163719549</v>
      </c>
      <c r="I2358">
        <v>8.6786001910916205E-2</v>
      </c>
      <c r="J2358">
        <v>8.9988370975318005E-2</v>
      </c>
      <c r="K2358">
        <v>0.128574154642104</v>
      </c>
      <c r="L2358">
        <v>1280.03432352921</v>
      </c>
      <c r="M2358">
        <v>25.622996698624899</v>
      </c>
      <c r="N2358">
        <v>50.363357291419597</v>
      </c>
      <c r="O2358">
        <v>49.655156317405897</v>
      </c>
      <c r="P2358">
        <v>-0.11694481715968801</v>
      </c>
      <c r="Q2358">
        <v>9.3495201353073099E-2</v>
      </c>
      <c r="R2358">
        <v>0.99197790015737697</v>
      </c>
      <c r="S2358" t="s">
        <v>8760</v>
      </c>
      <c r="T2358" t="s">
        <v>12802</v>
      </c>
      <c r="U2358" t="s">
        <v>12802</v>
      </c>
      <c r="V2358" t="s">
        <v>12802</v>
      </c>
      <c r="W2358" t="s">
        <v>15114</v>
      </c>
      <c r="X2358">
        <v>12</v>
      </c>
      <c r="Y2358" t="s">
        <v>21389</v>
      </c>
      <c r="Z2358" t="s">
        <v>27676</v>
      </c>
      <c r="AA2358">
        <v>0.49255792952347122</v>
      </c>
      <c r="AB2358" t="str">
        <f>HYPERLINK("Melting_Curves/meltCurve_P27361_MAPK3.pdf", "Melting_Curves/meltCurve_P27361_MAPK3.pdf")</f>
        <v>Melting_Curves/meltCurve_P27361_MAPK3.pdf</v>
      </c>
    </row>
    <row r="2359" spans="1:28" x14ac:dyDescent="0.25">
      <c r="A2359" t="s">
        <v>2363</v>
      </c>
      <c r="B2359">
        <v>0.99542014353169495</v>
      </c>
      <c r="C2359">
        <v>1.0455334316592599</v>
      </c>
      <c r="D2359">
        <v>0.94574604003982199</v>
      </c>
      <c r="E2359">
        <v>0.69377957998384898</v>
      </c>
      <c r="F2359">
        <v>0.44540405695111002</v>
      </c>
      <c r="G2359">
        <v>0.18790740847599899</v>
      </c>
      <c r="H2359">
        <v>9.7007211504673493E-2</v>
      </c>
      <c r="I2359">
        <v>7.3455884597406998E-2</v>
      </c>
      <c r="J2359">
        <v>6.8280681632077303E-2</v>
      </c>
      <c r="K2359">
        <v>6.9433625752815004E-2</v>
      </c>
      <c r="L2359">
        <v>911.80628778393395</v>
      </c>
      <c r="M2359">
        <v>18.653214665008299</v>
      </c>
      <c r="N2359">
        <v>49.1820409907493</v>
      </c>
      <c r="O2359">
        <v>48.330571945747998</v>
      </c>
      <c r="P2359">
        <v>-9.1302339658820703E-2</v>
      </c>
      <c r="Q2359">
        <v>5.3781299703810299E-2</v>
      </c>
      <c r="R2359">
        <v>0.99593406415982699</v>
      </c>
      <c r="S2359" t="s">
        <v>8761</v>
      </c>
      <c r="T2359" t="s">
        <v>12802</v>
      </c>
      <c r="U2359" t="s">
        <v>12802</v>
      </c>
      <c r="V2359" t="s">
        <v>12802</v>
      </c>
      <c r="W2359" t="s">
        <v>15115</v>
      </c>
      <c r="X2359">
        <v>10</v>
      </c>
      <c r="Y2359" t="s">
        <v>21390</v>
      </c>
      <c r="Z2359" t="s">
        <v>27677</v>
      </c>
      <c r="AA2359">
        <v>0.44268353419575812</v>
      </c>
      <c r="AB2359" t="str">
        <f>HYPERLINK("Melting_Curves/meltCurve_P27540_2_ARNT.pdf", "Melting_Curves/meltCurve_P27540_2_ARNT.pdf")</f>
        <v>Melting_Curves/meltCurve_P27540_2_ARNT.pdf</v>
      </c>
    </row>
    <row r="2360" spans="1:28" x14ac:dyDescent="0.25">
      <c r="A2360" t="s">
        <v>2364</v>
      </c>
      <c r="B2360">
        <v>0.99542014353169495</v>
      </c>
      <c r="C2360">
        <v>1.0168937603978401</v>
      </c>
      <c r="D2360">
        <v>0.99407700847392599</v>
      </c>
      <c r="E2360">
        <v>0.85616782381429601</v>
      </c>
      <c r="F2360">
        <v>0.63355793191384202</v>
      </c>
      <c r="G2360">
        <v>0.41239838198593098</v>
      </c>
      <c r="H2360">
        <v>0.21887422041386001</v>
      </c>
      <c r="I2360">
        <v>9.0269651004706006E-2</v>
      </c>
      <c r="J2360">
        <v>8.6085197376077199E-2</v>
      </c>
      <c r="K2360">
        <v>9.2473934983055006E-2</v>
      </c>
      <c r="L2360">
        <v>835.18245910274902</v>
      </c>
      <c r="M2360">
        <v>16.097389737804399</v>
      </c>
      <c r="N2360">
        <v>52.1964406614238</v>
      </c>
      <c r="O2360">
        <v>51.102218919625003</v>
      </c>
      <c r="P2360">
        <v>-7.5129720531617497E-2</v>
      </c>
      <c r="Q2360">
        <v>4.6056188914479997E-2</v>
      </c>
      <c r="R2360">
        <v>0.99734257513927205</v>
      </c>
      <c r="S2360" t="s">
        <v>8762</v>
      </c>
      <c r="T2360" t="s">
        <v>12802</v>
      </c>
      <c r="U2360" t="s">
        <v>12802</v>
      </c>
      <c r="V2360" t="s">
        <v>12802</v>
      </c>
      <c r="W2360" t="s">
        <v>15116</v>
      </c>
      <c r="X2360">
        <v>13</v>
      </c>
      <c r="Y2360" t="s">
        <v>21391</v>
      </c>
      <c r="Z2360" t="s">
        <v>27678</v>
      </c>
      <c r="AA2360">
        <v>0.53616529089631559</v>
      </c>
      <c r="AB2360" t="str">
        <f>HYPERLINK("Melting_Curves/meltCurve_P27635_RPL10.pdf", "Melting_Curves/meltCurve_P27635_RPL10.pdf")</f>
        <v>Melting_Curves/meltCurve_P27635_RPL10.pdf</v>
      </c>
    </row>
    <row r="2361" spans="1:28" x14ac:dyDescent="0.25">
      <c r="A2361" t="s">
        <v>2365</v>
      </c>
      <c r="B2361">
        <v>0.99542014353169495</v>
      </c>
      <c r="C2361">
        <v>0.99290955400374303</v>
      </c>
      <c r="D2361">
        <v>0.932802935420605</v>
      </c>
      <c r="E2361">
        <v>0.74205764054409995</v>
      </c>
      <c r="F2361">
        <v>0.40775139299627999</v>
      </c>
      <c r="G2361">
        <v>0.17642299565578601</v>
      </c>
      <c r="H2361">
        <v>0.10955398035048999</v>
      </c>
      <c r="I2361">
        <v>7.4268542588631498E-2</v>
      </c>
      <c r="J2361">
        <v>7.2646771004199501E-2</v>
      </c>
      <c r="K2361">
        <v>8.3437389614248597E-2</v>
      </c>
      <c r="L2361">
        <v>1000.2058335137</v>
      </c>
      <c r="M2361">
        <v>20.5086347210176</v>
      </c>
      <c r="N2361">
        <v>49.115490368059</v>
      </c>
      <c r="O2361">
        <v>48.313412331166901</v>
      </c>
      <c r="P2361">
        <v>-9.8997407256088396E-2</v>
      </c>
      <c r="Q2361">
        <v>6.7171433188942795E-2</v>
      </c>
      <c r="R2361">
        <v>0.999654427308029</v>
      </c>
      <c r="S2361" t="s">
        <v>8763</v>
      </c>
      <c r="T2361" t="s">
        <v>12802</v>
      </c>
      <c r="U2361" t="s">
        <v>12802</v>
      </c>
      <c r="V2361" t="s">
        <v>12802</v>
      </c>
      <c r="W2361" t="s">
        <v>15117</v>
      </c>
      <c r="X2361">
        <v>21</v>
      </c>
      <c r="Y2361" t="s">
        <v>21392</v>
      </c>
      <c r="Z2361" t="s">
        <v>27679</v>
      </c>
      <c r="AA2361">
        <v>0.44487809136185991</v>
      </c>
      <c r="AB2361" t="str">
        <f>HYPERLINK("Melting_Curves/meltCurve_P27694_RPA1.pdf", "Melting_Curves/meltCurve_P27694_RPA1.pdf")</f>
        <v>Melting_Curves/meltCurve_P27694_RPA1.pdf</v>
      </c>
    </row>
    <row r="2362" spans="1:28" x14ac:dyDescent="0.25">
      <c r="A2362" t="s">
        <v>2366</v>
      </c>
      <c r="B2362">
        <v>0.99542014353169495</v>
      </c>
      <c r="C2362">
        <v>1.0621758578921801</v>
      </c>
      <c r="D2362">
        <v>1.0021174994291999</v>
      </c>
      <c r="E2362">
        <v>0.87228149341611405</v>
      </c>
      <c r="F2362">
        <v>0.31857366750454702</v>
      </c>
      <c r="G2362">
        <v>8.0979215674194999E-2</v>
      </c>
      <c r="H2362">
        <v>4.8823712763290797E-2</v>
      </c>
      <c r="I2362">
        <v>3.2747628882108901E-2</v>
      </c>
      <c r="J2362">
        <v>3.81711001417879E-2</v>
      </c>
      <c r="K2362">
        <v>3.9410318776640599E-2</v>
      </c>
      <c r="L2362">
        <v>1790.3333066754301</v>
      </c>
      <c r="M2362">
        <v>36.548645671430002</v>
      </c>
      <c r="N2362">
        <v>49.095926618123599</v>
      </c>
      <c r="O2362">
        <v>48.838989352355703</v>
      </c>
      <c r="P2362">
        <v>-0.17967042517953699</v>
      </c>
      <c r="Q2362">
        <v>3.9647526009870197E-2</v>
      </c>
      <c r="R2362">
        <v>0.99792925919926601</v>
      </c>
      <c r="S2362" t="s">
        <v>8764</v>
      </c>
      <c r="T2362" t="s">
        <v>12802</v>
      </c>
      <c r="U2362" t="s">
        <v>12802</v>
      </c>
      <c r="V2362" t="s">
        <v>12802</v>
      </c>
      <c r="W2362" t="s">
        <v>15118</v>
      </c>
      <c r="X2362">
        <v>19</v>
      </c>
      <c r="Y2362" t="s">
        <v>21393</v>
      </c>
      <c r="Z2362" t="s">
        <v>27680</v>
      </c>
      <c r="AA2362">
        <v>0.42720485550672499</v>
      </c>
      <c r="AB2362" t="str">
        <f>HYPERLINK("Melting_Curves/meltCurve_P27695_APEX1.pdf", "Melting_Curves/meltCurve_P27695_APEX1.pdf")</f>
        <v>Melting_Curves/meltCurve_P27695_APEX1.pdf</v>
      </c>
    </row>
    <row r="2363" spans="1:28" x14ac:dyDescent="0.25">
      <c r="A2363" t="s">
        <v>2367</v>
      </c>
      <c r="B2363">
        <v>0.99542014353169495</v>
      </c>
      <c r="C2363">
        <v>1.0111758439393601</v>
      </c>
      <c r="D2363">
        <v>0.99210508272199704</v>
      </c>
      <c r="E2363">
        <v>0.87878600187196398</v>
      </c>
      <c r="F2363">
        <v>0.41429794149374</v>
      </c>
      <c r="G2363">
        <v>0.15183187952507701</v>
      </c>
      <c r="H2363">
        <v>8.0010710715108804E-2</v>
      </c>
      <c r="I2363">
        <v>5.2921175239482102E-2</v>
      </c>
      <c r="J2363">
        <v>5.9044446546619098E-2</v>
      </c>
      <c r="K2363">
        <v>7.3746307676777104E-2</v>
      </c>
      <c r="L2363">
        <v>1507.33647957789</v>
      </c>
      <c r="M2363">
        <v>30.505660186851099</v>
      </c>
      <c r="N2363">
        <v>49.637107294898001</v>
      </c>
      <c r="O2363">
        <v>49.200827241728803</v>
      </c>
      <c r="P2363">
        <v>-0.14498097303945401</v>
      </c>
      <c r="Q2363">
        <v>6.4679901814268095E-2</v>
      </c>
      <c r="R2363">
        <v>0.99951720662629995</v>
      </c>
      <c r="S2363" t="s">
        <v>8765</v>
      </c>
      <c r="T2363" t="s">
        <v>12802</v>
      </c>
      <c r="U2363" t="s">
        <v>12802</v>
      </c>
      <c r="V2363" t="s">
        <v>12802</v>
      </c>
      <c r="W2363" t="s">
        <v>15119</v>
      </c>
      <c r="X2363">
        <v>25</v>
      </c>
      <c r="Y2363" t="s">
        <v>20356</v>
      </c>
      <c r="Z2363" t="s">
        <v>27681</v>
      </c>
      <c r="AA2363">
        <v>0.45714035274191023</v>
      </c>
      <c r="AB2363" t="str">
        <f>HYPERLINK("Melting_Curves/meltCurve_P27797_CALR.pdf", "Melting_Curves/meltCurve_P27797_CALR.pdf")</f>
        <v>Melting_Curves/meltCurve_P27797_CALR.pdf</v>
      </c>
    </row>
    <row r="2364" spans="1:28" x14ac:dyDescent="0.25">
      <c r="A2364" t="s">
        <v>2368</v>
      </c>
      <c r="B2364">
        <v>0.99542014353169495</v>
      </c>
      <c r="C2364">
        <v>1.1388869038404501</v>
      </c>
      <c r="D2364">
        <v>1.0712680157449701</v>
      </c>
      <c r="E2364">
        <v>0.68147750529267903</v>
      </c>
      <c r="F2364">
        <v>0.58634858283741398</v>
      </c>
      <c r="G2364">
        <v>0.22670929221782199</v>
      </c>
      <c r="H2364">
        <v>3.3180607992925597E-2</v>
      </c>
      <c r="I2364">
        <v>0</v>
      </c>
      <c r="J2364">
        <v>3.5250459317921E-2</v>
      </c>
      <c r="K2364">
        <v>0</v>
      </c>
      <c r="L2364">
        <v>957.30300146869104</v>
      </c>
      <c r="M2364">
        <v>19.040174924083502</v>
      </c>
      <c r="N2364">
        <v>50.2780578033667</v>
      </c>
      <c r="O2364">
        <v>49.733314219220503</v>
      </c>
      <c r="P2364">
        <v>-9.5715186487711906E-2</v>
      </c>
      <c r="Q2364">
        <v>0</v>
      </c>
      <c r="R2364">
        <v>0.96907422293637802</v>
      </c>
      <c r="S2364" t="s">
        <v>8766</v>
      </c>
      <c r="T2364" t="s">
        <v>12802</v>
      </c>
      <c r="U2364" t="s">
        <v>12802</v>
      </c>
      <c r="V2364" t="s">
        <v>12802</v>
      </c>
      <c r="W2364" t="s">
        <v>15120</v>
      </c>
      <c r="X2364">
        <v>2</v>
      </c>
      <c r="Y2364" t="s">
        <v>21394</v>
      </c>
      <c r="Z2364" t="s">
        <v>27682</v>
      </c>
      <c r="AA2364">
        <v>0.4569086042363818</v>
      </c>
      <c r="AB2364" t="str">
        <f>HYPERLINK("Melting_Curves/meltCurve_P27815_6_PDE4A.pdf", "Melting_Curves/meltCurve_P27815_6_PDE4A.pdf")</f>
        <v>Melting_Curves/meltCurve_P27815_6_PDE4A.pdf</v>
      </c>
    </row>
    <row r="2365" spans="1:28" x14ac:dyDescent="0.25">
      <c r="A2365" t="s">
        <v>2369</v>
      </c>
      <c r="B2365">
        <v>0.99542014353169495</v>
      </c>
      <c r="C2365">
        <v>1.0942285647889201</v>
      </c>
      <c r="D2365">
        <v>1.1529531431228801</v>
      </c>
      <c r="E2365">
        <v>1.01760928421999</v>
      </c>
      <c r="F2365">
        <v>0.94564004939301605</v>
      </c>
      <c r="G2365">
        <v>0.87443825014259502</v>
      </c>
      <c r="H2365">
        <v>0.74210998872831202</v>
      </c>
      <c r="I2365">
        <v>0.66598389995273299</v>
      </c>
      <c r="J2365">
        <v>1.3371554650923301</v>
      </c>
      <c r="K2365">
        <v>1.62699297463035</v>
      </c>
      <c r="L2365">
        <v>15000</v>
      </c>
      <c r="M2365">
        <v>234.73701387596199</v>
      </c>
      <c r="O2365">
        <v>63.896665926153197</v>
      </c>
      <c r="P2365">
        <v>0.459212213172492</v>
      </c>
      <c r="Q2365">
        <v>1.5</v>
      </c>
      <c r="R2365">
        <v>0.65693899251347299</v>
      </c>
      <c r="S2365" t="s">
        <v>8767</v>
      </c>
      <c r="T2365" t="s">
        <v>12802</v>
      </c>
      <c r="U2365" t="s">
        <v>12802</v>
      </c>
      <c r="V2365" t="s">
        <v>12802</v>
      </c>
      <c r="W2365" t="s">
        <v>15121</v>
      </c>
      <c r="X2365">
        <v>37</v>
      </c>
      <c r="Y2365" t="s">
        <v>19642</v>
      </c>
      <c r="Z2365" t="s">
        <v>27683</v>
      </c>
      <c r="AA2365">
        <v>1.0515815177668</v>
      </c>
      <c r="AB2365" t="str">
        <f>HYPERLINK("Melting_Curves/meltCurve_P27816_5_MAP4.pdf", "Melting_Curves/meltCurve_P27816_5_MAP4.pdf")</f>
        <v>Melting_Curves/meltCurve_P27816_5_MAP4.pdf</v>
      </c>
    </row>
    <row r="2366" spans="1:28" x14ac:dyDescent="0.25">
      <c r="A2366" t="s">
        <v>2370</v>
      </c>
      <c r="B2366">
        <v>0.99542014353169495</v>
      </c>
      <c r="C2366">
        <v>0.94558233580070805</v>
      </c>
      <c r="D2366">
        <v>0.76604415699235795</v>
      </c>
      <c r="E2366">
        <v>0.472753968145119</v>
      </c>
      <c r="F2366">
        <v>0.27590934867176298</v>
      </c>
      <c r="G2366">
        <v>0.107623520993327</v>
      </c>
      <c r="H2366">
        <v>6.0703452052521499E-2</v>
      </c>
      <c r="I2366">
        <v>3.9737230410645703E-2</v>
      </c>
      <c r="J2366">
        <v>4.4389234893243402E-2</v>
      </c>
      <c r="K2366">
        <v>4.8946942115708797E-2</v>
      </c>
      <c r="L2366">
        <v>735.69258950709502</v>
      </c>
      <c r="M2366">
        <v>15.906540768036599</v>
      </c>
      <c r="N2366">
        <v>46.425085704402903</v>
      </c>
      <c r="O2366">
        <v>45.538463074753999</v>
      </c>
      <c r="P2366">
        <v>-8.4802669512515402E-2</v>
      </c>
      <c r="Q2366">
        <v>2.8959710249140399E-2</v>
      </c>
      <c r="R2366">
        <v>0.998329052625058</v>
      </c>
      <c r="S2366" t="s">
        <v>8768</v>
      </c>
      <c r="T2366" t="s">
        <v>12802</v>
      </c>
      <c r="U2366" t="s">
        <v>12802</v>
      </c>
      <c r="V2366" t="s">
        <v>12802</v>
      </c>
      <c r="W2366" t="s">
        <v>15122</v>
      </c>
      <c r="X2366">
        <v>30</v>
      </c>
      <c r="Y2366" t="s">
        <v>21395</v>
      </c>
      <c r="Z2366" t="s">
        <v>27684</v>
      </c>
      <c r="AA2366">
        <v>0.34830831742166662</v>
      </c>
      <c r="AB2366" t="str">
        <f>HYPERLINK("Melting_Curves/meltCurve_P27824_CANX.pdf", "Melting_Curves/meltCurve_P27824_CANX.pdf")</f>
        <v>Melting_Curves/meltCurve_P27824_CANX.pdf</v>
      </c>
    </row>
    <row r="2367" spans="1:28" x14ac:dyDescent="0.25">
      <c r="A2367" t="s">
        <v>2371</v>
      </c>
      <c r="B2367">
        <v>0.99542014353169495</v>
      </c>
      <c r="C2367">
        <v>1.0111173529102799</v>
      </c>
      <c r="D2367">
        <v>1.01876474220151</v>
      </c>
      <c r="E2367">
        <v>0.78790095794581005</v>
      </c>
      <c r="F2367">
        <v>0.46304234354685597</v>
      </c>
      <c r="G2367">
        <v>0.14259584918121801</v>
      </c>
      <c r="H2367">
        <v>0.108197633661304</v>
      </c>
      <c r="I2367">
        <v>0.1012449196</v>
      </c>
      <c r="J2367">
        <v>0.111339177334723</v>
      </c>
      <c r="K2367">
        <v>0.10221743674641399</v>
      </c>
      <c r="L2367">
        <v>1262.15307308865</v>
      </c>
      <c r="M2367">
        <v>25.673817029095702</v>
      </c>
      <c r="N2367">
        <v>49.557894223123697</v>
      </c>
      <c r="O2367">
        <v>48.8657502799973</v>
      </c>
      <c r="P2367">
        <v>-0.119146547143026</v>
      </c>
      <c r="Q2367">
        <v>9.2910121996507694E-2</v>
      </c>
      <c r="R2367">
        <v>0.996143015131839</v>
      </c>
      <c r="S2367" t="s">
        <v>8769</v>
      </c>
      <c r="T2367" t="s">
        <v>12802</v>
      </c>
      <c r="U2367" t="s">
        <v>12802</v>
      </c>
      <c r="V2367" t="s">
        <v>12802</v>
      </c>
      <c r="W2367" t="s">
        <v>15123</v>
      </c>
      <c r="X2367">
        <v>7</v>
      </c>
      <c r="Y2367" t="s">
        <v>21396</v>
      </c>
      <c r="Z2367" t="s">
        <v>27685</v>
      </c>
      <c r="AA2367">
        <v>0.46807621039979241</v>
      </c>
      <c r="AB2367" t="str">
        <f>HYPERLINK("Melting_Curves/meltCurve_P27986_PIK3R1.pdf", "Melting_Curves/meltCurve_P27986_PIK3R1.pdf")</f>
        <v>Melting_Curves/meltCurve_P27986_PIK3R1.pdf</v>
      </c>
    </row>
    <row r="2368" spans="1:28" x14ac:dyDescent="0.25">
      <c r="A2368" t="s">
        <v>2372</v>
      </c>
      <c r="B2368">
        <v>0.99542014353169495</v>
      </c>
      <c r="C2368">
        <v>0.83172207626569195</v>
      </c>
      <c r="D2368">
        <v>0.97020356611076697</v>
      </c>
      <c r="E2368">
        <v>0.89876855399394995</v>
      </c>
      <c r="F2368">
        <v>0.76640723761507401</v>
      </c>
      <c r="G2368">
        <v>0.46650090455064602</v>
      </c>
      <c r="H2368">
        <v>0.67107053741760403</v>
      </c>
      <c r="I2368">
        <v>1.0656249464701999</v>
      </c>
      <c r="J2368">
        <v>1.22251474881821</v>
      </c>
      <c r="K2368">
        <v>0.85480311104810003</v>
      </c>
      <c r="L2368">
        <v>9375.0744205093506</v>
      </c>
      <c r="M2368">
        <v>250</v>
      </c>
      <c r="O2368">
        <v>37.497907048768397</v>
      </c>
      <c r="P2368">
        <v>-0.23193602768156599</v>
      </c>
      <c r="Q2368">
        <v>0.86084618422534898</v>
      </c>
      <c r="R2368">
        <v>4.03682471482519E-2</v>
      </c>
      <c r="S2368" t="s">
        <v>8770</v>
      </c>
      <c r="T2368" t="s">
        <v>12802</v>
      </c>
      <c r="U2368" t="s">
        <v>12802</v>
      </c>
      <c r="V2368" t="s">
        <v>12802</v>
      </c>
      <c r="W2368" t="s">
        <v>15124</v>
      </c>
      <c r="X2368">
        <v>2</v>
      </c>
      <c r="Y2368" t="s">
        <v>21397</v>
      </c>
      <c r="Z2368" t="s">
        <v>27686</v>
      </c>
      <c r="AA2368">
        <v>0.86319844389451172</v>
      </c>
      <c r="AB2368" t="str">
        <f>HYPERLINK("Melting_Curves/meltCurve_P28065_PSMB9.pdf", "Melting_Curves/meltCurve_P28065_PSMB9.pdf")</f>
        <v>Melting_Curves/meltCurve_P28065_PSMB9.pdf</v>
      </c>
    </row>
    <row r="2369" spans="1:28" x14ac:dyDescent="0.25">
      <c r="A2369" t="s">
        <v>2373</v>
      </c>
      <c r="B2369">
        <v>0.99542014353169495</v>
      </c>
      <c r="C2369">
        <v>0.97775624579328602</v>
      </c>
      <c r="D2369">
        <v>0.92801417890551996</v>
      </c>
      <c r="E2369">
        <v>0.75661700132014198</v>
      </c>
      <c r="F2369">
        <v>0.45648677744473598</v>
      </c>
      <c r="G2369">
        <v>0.194835881030436</v>
      </c>
      <c r="H2369">
        <v>0.13135005272514599</v>
      </c>
      <c r="I2369">
        <v>0.11564166988563999</v>
      </c>
      <c r="J2369">
        <v>0.10374028857555299</v>
      </c>
      <c r="K2369">
        <v>0.125269685401108</v>
      </c>
      <c r="L2369">
        <v>993.016986271321</v>
      </c>
      <c r="M2369">
        <v>20.303652025237401</v>
      </c>
      <c r="N2369">
        <v>49.445281418911698</v>
      </c>
      <c r="O2369">
        <v>48.441273766101503</v>
      </c>
      <c r="P2369">
        <v>-9.4420571602797002E-2</v>
      </c>
      <c r="Q2369">
        <v>9.8938126219767303E-2</v>
      </c>
      <c r="R2369">
        <v>0.99826688805553898</v>
      </c>
      <c r="S2369" t="s">
        <v>8771</v>
      </c>
      <c r="T2369" t="s">
        <v>12802</v>
      </c>
      <c r="U2369" t="s">
        <v>12802</v>
      </c>
      <c r="V2369" t="s">
        <v>12802</v>
      </c>
      <c r="W2369" t="s">
        <v>15125</v>
      </c>
      <c r="X2369">
        <v>12</v>
      </c>
      <c r="Y2369" t="s">
        <v>21398</v>
      </c>
      <c r="Z2369" t="s">
        <v>27687</v>
      </c>
      <c r="AA2369">
        <v>0.46815406240683888</v>
      </c>
      <c r="AB2369" t="str">
        <f>HYPERLINK("Melting_Curves/meltCurve_P28066_PSMA5.pdf", "Melting_Curves/meltCurve_P28066_PSMA5.pdf")</f>
        <v>Melting_Curves/meltCurve_P28066_PSMA5.pdf</v>
      </c>
    </row>
    <row r="2370" spans="1:28" x14ac:dyDescent="0.25">
      <c r="A2370" t="s">
        <v>2374</v>
      </c>
      <c r="B2370">
        <v>0.99542014353169495</v>
      </c>
      <c r="C2370">
        <v>0.933374532152763</v>
      </c>
      <c r="D2370">
        <v>0.98834118973210205</v>
      </c>
      <c r="E2370">
        <v>0.93989858364408996</v>
      </c>
      <c r="F2370">
        <v>0.72649959924247198</v>
      </c>
      <c r="G2370">
        <v>0.36009113586227198</v>
      </c>
      <c r="H2370">
        <v>0.68168341883023897</v>
      </c>
      <c r="I2370">
        <v>0.81333713016486997</v>
      </c>
      <c r="J2370">
        <v>0.82780088796114804</v>
      </c>
      <c r="K2370">
        <v>1.0725477561480501</v>
      </c>
      <c r="L2370">
        <v>11704.343321099601</v>
      </c>
      <c r="M2370">
        <v>250</v>
      </c>
      <c r="O2370">
        <v>46.814377251939199</v>
      </c>
      <c r="P2370">
        <v>-0.33777908528969097</v>
      </c>
      <c r="Q2370">
        <v>0.74699331970340199</v>
      </c>
      <c r="R2370">
        <v>0.28835976362639199</v>
      </c>
      <c r="S2370" t="s">
        <v>8772</v>
      </c>
      <c r="T2370" t="s">
        <v>12802</v>
      </c>
      <c r="U2370" t="s">
        <v>12802</v>
      </c>
      <c r="V2370" t="s">
        <v>12802</v>
      </c>
      <c r="W2370" t="s">
        <v>15126</v>
      </c>
      <c r="X2370">
        <v>5</v>
      </c>
      <c r="Y2370" t="s">
        <v>21399</v>
      </c>
      <c r="Z2370" t="s">
        <v>27688</v>
      </c>
      <c r="AA2370">
        <v>0.82980947514783632</v>
      </c>
      <c r="AB2370" t="str">
        <f>HYPERLINK("Melting_Curves/meltCurve_P28070_PSMB4.pdf", "Melting_Curves/meltCurve_P28070_PSMB4.pdf")</f>
        <v>Melting_Curves/meltCurve_P28070_PSMB4.pdf</v>
      </c>
    </row>
    <row r="2371" spans="1:28" x14ac:dyDescent="0.25">
      <c r="A2371" t="s">
        <v>2375</v>
      </c>
      <c r="B2371">
        <v>0.99542014353169495</v>
      </c>
      <c r="C2371">
        <v>0.86901987960822202</v>
      </c>
      <c r="D2371">
        <v>0.87716887248523301</v>
      </c>
      <c r="E2371">
        <v>0.79541356571187205</v>
      </c>
      <c r="F2371">
        <v>0.65217178216461402</v>
      </c>
      <c r="G2371">
        <v>0.323011777083</v>
      </c>
      <c r="H2371">
        <v>0.690769727233845</v>
      </c>
      <c r="I2371">
        <v>0.86015542111599397</v>
      </c>
      <c r="J2371">
        <v>0.77767131458998695</v>
      </c>
      <c r="K2371">
        <v>1.0821909012756801</v>
      </c>
      <c r="L2371">
        <v>880.512272647298</v>
      </c>
      <c r="M2371">
        <v>21.273287030714801</v>
      </c>
      <c r="O2371">
        <v>41.029971006184198</v>
      </c>
      <c r="P2371">
        <v>-3.37581411910833E-2</v>
      </c>
      <c r="Q2371">
        <v>0.73956816629605404</v>
      </c>
      <c r="R2371">
        <v>0.16973339616510399</v>
      </c>
      <c r="S2371" t="s">
        <v>8773</v>
      </c>
      <c r="T2371" t="s">
        <v>12802</v>
      </c>
      <c r="U2371" t="s">
        <v>12802</v>
      </c>
      <c r="V2371" t="s">
        <v>12802</v>
      </c>
      <c r="W2371" t="s">
        <v>15127</v>
      </c>
      <c r="X2371">
        <v>6</v>
      </c>
      <c r="Y2371" t="s">
        <v>21400</v>
      </c>
      <c r="Z2371" t="s">
        <v>27689</v>
      </c>
      <c r="AA2371">
        <v>0.78132576954695088</v>
      </c>
      <c r="AB2371" t="str">
        <f>HYPERLINK("Melting_Curves/meltCurve_P28072_PSMB6.pdf", "Melting_Curves/meltCurve_P28072_PSMB6.pdf")</f>
        <v>Melting_Curves/meltCurve_P28072_PSMB6.pdf</v>
      </c>
    </row>
    <row r="2372" spans="1:28" x14ac:dyDescent="0.25">
      <c r="A2372" t="s">
        <v>2376</v>
      </c>
      <c r="B2372">
        <v>0.99542014353169495</v>
      </c>
      <c r="C2372">
        <v>0.87858834211977899</v>
      </c>
      <c r="D2372">
        <v>0.75606259271954301</v>
      </c>
      <c r="E2372">
        <v>0.65387572423259499</v>
      </c>
      <c r="F2372">
        <v>0.461669292148842</v>
      </c>
      <c r="G2372">
        <v>0.24107421796133799</v>
      </c>
      <c r="H2372">
        <v>0.274186687915142</v>
      </c>
      <c r="I2372">
        <v>0.29857979318177202</v>
      </c>
      <c r="J2372">
        <v>0.364350044526359</v>
      </c>
      <c r="K2372">
        <v>0.49279882494267002</v>
      </c>
      <c r="L2372">
        <v>719.60785147432603</v>
      </c>
      <c r="M2372">
        <v>15.9801114213313</v>
      </c>
      <c r="N2372">
        <v>48.291220815781301</v>
      </c>
      <c r="O2372">
        <v>44.343975482680598</v>
      </c>
      <c r="P2372">
        <v>-6.0368091759605003E-2</v>
      </c>
      <c r="Q2372">
        <v>0.32997958896990898</v>
      </c>
      <c r="R2372">
        <v>0.90356226772576198</v>
      </c>
      <c r="S2372" t="s">
        <v>8774</v>
      </c>
      <c r="T2372" t="s">
        <v>12802</v>
      </c>
      <c r="U2372" t="s">
        <v>12802</v>
      </c>
      <c r="V2372" t="s">
        <v>12802</v>
      </c>
      <c r="W2372" t="s">
        <v>15128</v>
      </c>
      <c r="X2372">
        <v>13</v>
      </c>
      <c r="Y2372" t="s">
        <v>21401</v>
      </c>
      <c r="Z2372" t="s">
        <v>27690</v>
      </c>
      <c r="AA2372">
        <v>0.52337248588614393</v>
      </c>
      <c r="AB2372" t="str">
        <f>HYPERLINK("Melting_Curves/meltCurve_P28074_PSMB5.pdf", "Melting_Curves/meltCurve_P28074_PSMB5.pdf")</f>
        <v>Melting_Curves/meltCurve_P28074_PSMB5.pdf</v>
      </c>
    </row>
    <row r="2373" spans="1:28" x14ac:dyDescent="0.25">
      <c r="A2373" t="s">
        <v>2377</v>
      </c>
      <c r="B2373">
        <v>0.99542014353169495</v>
      </c>
      <c r="C2373">
        <v>0.97358609411076402</v>
      </c>
      <c r="D2373">
        <v>0.898359292334733</v>
      </c>
      <c r="E2373">
        <v>0.42383808328004102</v>
      </c>
      <c r="F2373">
        <v>0.23059066877609799</v>
      </c>
      <c r="G2373">
        <v>0.10484279345505999</v>
      </c>
      <c r="H2373">
        <v>7.3342109911481101E-2</v>
      </c>
      <c r="I2373">
        <v>4.6342740650633603E-2</v>
      </c>
      <c r="J2373">
        <v>6.7159527512721903E-2</v>
      </c>
      <c r="K2373">
        <v>4.5909805201104797E-2</v>
      </c>
      <c r="L2373">
        <v>1104.84090245824</v>
      </c>
      <c r="M2373">
        <v>23.980816156670699</v>
      </c>
      <c r="N2373">
        <v>46.338339719200398</v>
      </c>
      <c r="O2373">
        <v>45.755074498684699</v>
      </c>
      <c r="P2373">
        <v>-0.122590730463514</v>
      </c>
      <c r="Q2373">
        <v>6.4408984514594203E-2</v>
      </c>
      <c r="R2373">
        <v>0.99512420095686405</v>
      </c>
      <c r="S2373" t="s">
        <v>8775</v>
      </c>
      <c r="T2373" t="s">
        <v>12802</v>
      </c>
      <c r="U2373" t="s">
        <v>12802</v>
      </c>
      <c r="V2373" t="s">
        <v>12802</v>
      </c>
      <c r="W2373" t="s">
        <v>15129</v>
      </c>
      <c r="X2373">
        <v>3</v>
      </c>
      <c r="Y2373" t="s">
        <v>21402</v>
      </c>
      <c r="Z2373" t="s">
        <v>27691</v>
      </c>
      <c r="AA2373">
        <v>0.35577642627949058</v>
      </c>
      <c r="AB2373" t="str">
        <f>HYPERLINK("Melting_Curves/meltCurve_P28289_TMOD1.pdf", "Melting_Curves/meltCurve_P28289_TMOD1.pdf")</f>
        <v>Melting_Curves/meltCurve_P28289_TMOD1.pdf</v>
      </c>
    </row>
    <row r="2374" spans="1:28" x14ac:dyDescent="0.25">
      <c r="A2374" t="s">
        <v>2378</v>
      </c>
      <c r="B2374">
        <v>0.99542014353169495</v>
      </c>
      <c r="C2374">
        <v>0.86343817682376101</v>
      </c>
      <c r="D2374">
        <v>0.86034141726958702</v>
      </c>
      <c r="E2374">
        <v>0.56833829226804</v>
      </c>
      <c r="F2374">
        <v>0.35270501795618397</v>
      </c>
      <c r="G2374">
        <v>0.105826470508034</v>
      </c>
      <c r="H2374">
        <v>6.7591065821282395E-2</v>
      </c>
      <c r="I2374">
        <v>4.5891033260631597E-2</v>
      </c>
      <c r="J2374">
        <v>4.3965335377383397E-2</v>
      </c>
      <c r="K2374">
        <v>4.43866129339551E-2</v>
      </c>
      <c r="L2374">
        <v>711.95942223895804</v>
      </c>
      <c r="M2374">
        <v>14.9964751128353</v>
      </c>
      <c r="N2374">
        <v>47.551867163053402</v>
      </c>
      <c r="O2374">
        <v>46.654925433081502</v>
      </c>
      <c r="P2374">
        <v>-7.9405547661659401E-2</v>
      </c>
      <c r="Q2374">
        <v>1.19584048181901E-2</v>
      </c>
      <c r="R2374">
        <v>0.99089147779479703</v>
      </c>
      <c r="S2374" t="s">
        <v>8776</v>
      </c>
      <c r="T2374" t="s">
        <v>12802</v>
      </c>
      <c r="U2374" t="s">
        <v>12802</v>
      </c>
      <c r="V2374" t="s">
        <v>12802</v>
      </c>
      <c r="W2374" t="s">
        <v>15130</v>
      </c>
      <c r="X2374">
        <v>23</v>
      </c>
      <c r="Y2374" t="s">
        <v>21403</v>
      </c>
      <c r="Z2374" t="s">
        <v>27692</v>
      </c>
      <c r="AA2374">
        <v>0.37897468300471859</v>
      </c>
      <c r="AB2374" t="str">
        <f>HYPERLINK("Melting_Curves/meltCurve_P28331_NDUFS1.pdf", "Melting_Curves/meltCurve_P28331_NDUFS1.pdf")</f>
        <v>Melting_Curves/meltCurve_P28331_NDUFS1.pdf</v>
      </c>
    </row>
    <row r="2375" spans="1:28" x14ac:dyDescent="0.25">
      <c r="A2375" t="s">
        <v>2379</v>
      </c>
      <c r="B2375">
        <v>0.99542014353169495</v>
      </c>
      <c r="C2375">
        <v>1.0083184410394701</v>
      </c>
      <c r="D2375">
        <v>0.97486301701853995</v>
      </c>
      <c r="E2375">
        <v>0.91310986818365603</v>
      </c>
      <c r="F2375">
        <v>0.72486117466398903</v>
      </c>
      <c r="G2375">
        <v>0.62064063808571501</v>
      </c>
      <c r="H2375">
        <v>0.37164283552595301</v>
      </c>
      <c r="I2375">
        <v>0.14999154009534699</v>
      </c>
      <c r="J2375">
        <v>8.9835308633617897E-2</v>
      </c>
      <c r="K2375">
        <v>0.13023210129510701</v>
      </c>
      <c r="L2375">
        <v>739.65822100844605</v>
      </c>
      <c r="M2375">
        <v>13.488746261101401</v>
      </c>
      <c r="N2375">
        <v>54.835209139666397</v>
      </c>
      <c r="O2375">
        <v>53.672071102328204</v>
      </c>
      <c r="P2375">
        <v>-6.2839060773603295E-2</v>
      </c>
      <c r="Q2375">
        <v>0</v>
      </c>
      <c r="R2375">
        <v>0.99007043548738005</v>
      </c>
      <c r="S2375" t="s">
        <v>8777</v>
      </c>
      <c r="T2375" t="s">
        <v>12802</v>
      </c>
      <c r="U2375" t="s">
        <v>12802</v>
      </c>
      <c r="V2375" t="s">
        <v>12802</v>
      </c>
      <c r="W2375" t="s">
        <v>15131</v>
      </c>
      <c r="X2375">
        <v>20</v>
      </c>
      <c r="Y2375" t="s">
        <v>21404</v>
      </c>
      <c r="Z2375" t="s">
        <v>27693</v>
      </c>
      <c r="AA2375">
        <v>0.60945374139370867</v>
      </c>
      <c r="AB2375" t="str">
        <f>HYPERLINK("Melting_Curves/meltCurve_P28482_MAPK1.pdf", "Melting_Curves/meltCurve_P28482_MAPK1.pdf")</f>
        <v>Melting_Curves/meltCurve_P28482_MAPK1.pdf</v>
      </c>
    </row>
    <row r="2376" spans="1:28" x14ac:dyDescent="0.25">
      <c r="A2376" t="s">
        <v>2380</v>
      </c>
      <c r="B2376">
        <v>0.99542014353169495</v>
      </c>
      <c r="C2376">
        <v>0.92014333296996398</v>
      </c>
      <c r="D2376">
        <v>0.79748931176313498</v>
      </c>
      <c r="E2376">
        <v>0.313098169993206</v>
      </c>
      <c r="F2376">
        <v>0.134771858425867</v>
      </c>
      <c r="G2376">
        <v>8.1542347877491705E-2</v>
      </c>
      <c r="H2376">
        <v>4.6890063105178501E-2</v>
      </c>
      <c r="I2376">
        <v>2.8805063656929499E-2</v>
      </c>
      <c r="J2376">
        <v>3.4135718285054198E-2</v>
      </c>
      <c r="K2376">
        <v>1.9839632704539398E-2</v>
      </c>
      <c r="L2376">
        <v>1079.6738692679201</v>
      </c>
      <c r="M2376">
        <v>23.955463973355702</v>
      </c>
      <c r="N2376">
        <v>45.218455889271802</v>
      </c>
      <c r="O2376">
        <v>44.759504277006897</v>
      </c>
      <c r="P2376">
        <v>-0.12874500824003801</v>
      </c>
      <c r="Q2376">
        <v>3.7802824566797101E-2</v>
      </c>
      <c r="R2376">
        <v>0.99695945180903001</v>
      </c>
      <c r="S2376" t="s">
        <v>8778</v>
      </c>
      <c r="T2376" t="s">
        <v>12802</v>
      </c>
      <c r="U2376" t="s">
        <v>12802</v>
      </c>
      <c r="V2376" t="s">
        <v>12802</v>
      </c>
      <c r="W2376" t="s">
        <v>15132</v>
      </c>
      <c r="X2376">
        <v>8</v>
      </c>
      <c r="Y2376" t="s">
        <v>21405</v>
      </c>
      <c r="Z2376" t="s">
        <v>27694</v>
      </c>
      <c r="AA2376">
        <v>0.30527809476264262</v>
      </c>
      <c r="AB2376" t="str">
        <f>HYPERLINK("Melting_Curves/meltCurve_P28702_RXRB.pdf", "Melting_Curves/meltCurve_P28702_RXRB.pdf")</f>
        <v>Melting_Curves/meltCurve_P28702_RXRB.pdf</v>
      </c>
    </row>
    <row r="2377" spans="1:28" x14ac:dyDescent="0.25">
      <c r="A2377" t="s">
        <v>2381</v>
      </c>
      <c r="B2377">
        <v>0.99542014353169495</v>
      </c>
      <c r="C2377">
        <v>0.98947075568046905</v>
      </c>
      <c r="D2377">
        <v>0.99599280508282795</v>
      </c>
      <c r="E2377">
        <v>0.80939900815771304</v>
      </c>
      <c r="F2377">
        <v>0.58009026910444295</v>
      </c>
      <c r="G2377">
        <v>0.17354225148970401</v>
      </c>
      <c r="H2377">
        <v>8.9756177950557306E-2</v>
      </c>
      <c r="I2377">
        <v>6.0358044483197801E-2</v>
      </c>
      <c r="J2377">
        <v>4.78064350512011E-2</v>
      </c>
      <c r="K2377">
        <v>4.8225159828568301E-2</v>
      </c>
      <c r="L2377">
        <v>1125.90841972472</v>
      </c>
      <c r="M2377">
        <v>22.381252910167699</v>
      </c>
      <c r="N2377">
        <v>50.470465286820499</v>
      </c>
      <c r="O2377">
        <v>49.909425651770803</v>
      </c>
      <c r="P2377">
        <v>-0.10816592614290201</v>
      </c>
      <c r="Q2377">
        <v>3.5194846518483598E-2</v>
      </c>
      <c r="R2377">
        <v>0.995453965511927</v>
      </c>
      <c r="S2377" t="s">
        <v>8779</v>
      </c>
      <c r="T2377" t="s">
        <v>12802</v>
      </c>
      <c r="U2377" t="s">
        <v>12802</v>
      </c>
      <c r="V2377" t="s">
        <v>12802</v>
      </c>
      <c r="W2377" t="s">
        <v>15133</v>
      </c>
      <c r="X2377">
        <v>8</v>
      </c>
      <c r="Y2377" t="s">
        <v>21406</v>
      </c>
      <c r="Z2377" t="s">
        <v>27695</v>
      </c>
      <c r="AA2377">
        <v>0.47350894886444062</v>
      </c>
      <c r="AB2377" t="str">
        <f>HYPERLINK("Melting_Curves/meltCurve_P28715_ERCC5.pdf", "Melting_Curves/meltCurve_P28715_ERCC5.pdf")</f>
        <v>Melting_Curves/meltCurve_P28715_ERCC5.pdf</v>
      </c>
    </row>
    <row r="2378" spans="1:28" x14ac:dyDescent="0.25">
      <c r="A2378" t="s">
        <v>2382</v>
      </c>
      <c r="B2378">
        <v>0.99542014353169495</v>
      </c>
      <c r="C2378">
        <v>0.94246298193616296</v>
      </c>
      <c r="D2378">
        <v>0.86496882785667395</v>
      </c>
      <c r="E2378">
        <v>0.28842309283659501</v>
      </c>
      <c r="F2378">
        <v>0.18418495794505599</v>
      </c>
      <c r="G2378">
        <v>0.138356197113503</v>
      </c>
      <c r="H2378">
        <v>0.101591543739516</v>
      </c>
      <c r="I2378">
        <v>9.04997797776219E-2</v>
      </c>
      <c r="J2378">
        <v>0.134893840800964</v>
      </c>
      <c r="K2378">
        <v>0.18418157035791999</v>
      </c>
      <c r="L2378">
        <v>1704.85536807687</v>
      </c>
      <c r="M2378">
        <v>38.044496513785298</v>
      </c>
      <c r="N2378">
        <v>45.186133141227501</v>
      </c>
      <c r="O2378">
        <v>44.688865850769602</v>
      </c>
      <c r="P2378">
        <v>-0.18408504525758401</v>
      </c>
      <c r="Q2378">
        <v>0.13506216584730099</v>
      </c>
      <c r="R2378">
        <v>0.99271768896310997</v>
      </c>
      <c r="S2378" t="s">
        <v>8780</v>
      </c>
      <c r="T2378" t="s">
        <v>12802</v>
      </c>
      <c r="U2378" t="s">
        <v>12802</v>
      </c>
      <c r="V2378" t="s">
        <v>12802</v>
      </c>
      <c r="W2378" t="s">
        <v>15134</v>
      </c>
      <c r="X2378">
        <v>9</v>
      </c>
      <c r="Y2378" t="s">
        <v>21407</v>
      </c>
      <c r="Z2378" t="s">
        <v>27696</v>
      </c>
      <c r="AA2378">
        <v>0.36326832054366442</v>
      </c>
      <c r="AB2378" t="str">
        <f>HYPERLINK("Melting_Curves/meltCurve_P28799_GRN.pdf", "Melting_Curves/meltCurve_P28799_GRN.pdf")</f>
        <v>Melting_Curves/meltCurve_P28799_GRN.pdf</v>
      </c>
    </row>
    <row r="2379" spans="1:28" x14ac:dyDescent="0.25">
      <c r="A2379" t="s">
        <v>2383</v>
      </c>
      <c r="B2379">
        <v>0.99542014353169495</v>
      </c>
      <c r="C2379">
        <v>0.93885560940413004</v>
      </c>
      <c r="D2379">
        <v>0.85089485181157998</v>
      </c>
      <c r="E2379">
        <v>0.94259508053126895</v>
      </c>
      <c r="F2379">
        <v>0.71495824994538903</v>
      </c>
      <c r="G2379">
        <v>0.37815962483398002</v>
      </c>
      <c r="H2379">
        <v>0.212910754643582</v>
      </c>
      <c r="I2379">
        <v>0.16826841317469701</v>
      </c>
      <c r="J2379">
        <v>0.21766721791410201</v>
      </c>
      <c r="K2379">
        <v>0.235838704817252</v>
      </c>
      <c r="L2379">
        <v>1358.4555054068901</v>
      </c>
      <c r="M2379">
        <v>26.508785897968899</v>
      </c>
      <c r="N2379">
        <v>52.221087883475398</v>
      </c>
      <c r="O2379">
        <v>50.956519668094899</v>
      </c>
      <c r="P2379">
        <v>-0.104658584190691</v>
      </c>
      <c r="Q2379">
        <v>0.195288626477918</v>
      </c>
      <c r="R2379">
        <v>0.97434698280681498</v>
      </c>
      <c r="S2379" t="s">
        <v>8781</v>
      </c>
      <c r="T2379" t="s">
        <v>12802</v>
      </c>
      <c r="U2379" t="s">
        <v>12802</v>
      </c>
      <c r="V2379" t="s">
        <v>12802</v>
      </c>
      <c r="W2379" t="s">
        <v>15135</v>
      </c>
      <c r="X2379">
        <v>26</v>
      </c>
      <c r="Y2379" t="s">
        <v>21408</v>
      </c>
      <c r="Z2379" t="s">
        <v>27697</v>
      </c>
      <c r="AA2379">
        <v>0.58378014029630199</v>
      </c>
      <c r="AB2379" t="str">
        <f>HYPERLINK("Melting_Curves/meltCurve_P28838_2_LAP3.pdf", "Melting_Curves/meltCurve_P28838_2_LAP3.pdf")</f>
        <v>Melting_Curves/meltCurve_P28838_2_LAP3.pdf</v>
      </c>
    </row>
    <row r="2380" spans="1:28" x14ac:dyDescent="0.25">
      <c r="A2380" t="s">
        <v>2384</v>
      </c>
      <c r="B2380">
        <v>0.99542014353169495</v>
      </c>
      <c r="C2380">
        <v>1.0346904446027401</v>
      </c>
      <c r="D2380">
        <v>0.99087115304629603</v>
      </c>
      <c r="E2380">
        <v>0.92121512246986803</v>
      </c>
      <c r="F2380">
        <v>0.75021747004496697</v>
      </c>
      <c r="G2380">
        <v>0.52447056221322996</v>
      </c>
      <c r="H2380">
        <v>0.38503331221298898</v>
      </c>
      <c r="I2380">
        <v>0.325498548140431</v>
      </c>
      <c r="J2380">
        <v>0.42882510921669698</v>
      </c>
      <c r="K2380">
        <v>0.51389524546614795</v>
      </c>
      <c r="L2380">
        <v>1389.7241328013299</v>
      </c>
      <c r="M2380">
        <v>27.442439730874501</v>
      </c>
      <c r="N2380">
        <v>54.019753557371999</v>
      </c>
      <c r="O2380">
        <v>50.374802063466497</v>
      </c>
      <c r="P2380">
        <v>-8.0336312365755794E-2</v>
      </c>
      <c r="Q2380">
        <v>0.41012709873775799</v>
      </c>
      <c r="R2380">
        <v>0.96665359243239002</v>
      </c>
      <c r="S2380" t="s">
        <v>8782</v>
      </c>
      <c r="T2380" t="s">
        <v>12802</v>
      </c>
      <c r="U2380" t="s">
        <v>12802</v>
      </c>
      <c r="V2380" t="s">
        <v>12802</v>
      </c>
      <c r="W2380" t="s">
        <v>15136</v>
      </c>
      <c r="X2380">
        <v>9</v>
      </c>
      <c r="Y2380" t="s">
        <v>21409</v>
      </c>
      <c r="Z2380" t="s">
        <v>27698</v>
      </c>
      <c r="AA2380">
        <v>0.6826975781339425</v>
      </c>
      <c r="AB2380" t="str">
        <f>HYPERLINK("Melting_Curves/meltCurve_P28908_TNFRSF8.pdf", "Melting_Curves/meltCurve_P28908_TNFRSF8.pdf")</f>
        <v>Melting_Curves/meltCurve_P28908_TNFRSF8.pdf</v>
      </c>
    </row>
    <row r="2381" spans="1:28" x14ac:dyDescent="0.25">
      <c r="A2381" t="s">
        <v>2385</v>
      </c>
      <c r="B2381">
        <v>0.99542014353169495</v>
      </c>
      <c r="C2381">
        <v>1.03808431164698</v>
      </c>
      <c r="D2381">
        <v>1.0144289860275499</v>
      </c>
      <c r="E2381">
        <v>0.86308329607116097</v>
      </c>
      <c r="F2381">
        <v>0.31723937402984997</v>
      </c>
      <c r="G2381">
        <v>0.13935880823553301</v>
      </c>
      <c r="H2381">
        <v>9.8340781753538803E-2</v>
      </c>
      <c r="I2381">
        <v>6.0627789406188397E-2</v>
      </c>
      <c r="J2381">
        <v>8.6551166022366302E-2</v>
      </c>
      <c r="K2381">
        <v>9.0285147707835703E-2</v>
      </c>
      <c r="L2381">
        <v>1801.2362651061901</v>
      </c>
      <c r="M2381">
        <v>36.936816965243501</v>
      </c>
      <c r="N2381">
        <v>49.0211960422373</v>
      </c>
      <c r="O2381">
        <v>48.623057620671901</v>
      </c>
      <c r="P2381">
        <v>-0.17326453376200199</v>
      </c>
      <c r="Q2381">
        <v>8.7671528827646797E-2</v>
      </c>
      <c r="R2381">
        <v>0.99811660193713603</v>
      </c>
      <c r="S2381" t="s">
        <v>8783</v>
      </c>
      <c r="T2381" t="s">
        <v>12802</v>
      </c>
      <c r="U2381" t="s">
        <v>12802</v>
      </c>
      <c r="V2381" t="s">
        <v>12802</v>
      </c>
      <c r="W2381" t="s">
        <v>15137</v>
      </c>
      <c r="X2381">
        <v>12</v>
      </c>
      <c r="Y2381" t="s">
        <v>21410</v>
      </c>
      <c r="Z2381" t="s">
        <v>27699</v>
      </c>
      <c r="AA2381">
        <v>0.44907628787541942</v>
      </c>
      <c r="AB2381" t="str">
        <f>HYPERLINK("Melting_Curves/meltCurve_P29083_GTF2E1.pdf", "Melting_Curves/meltCurve_P29083_GTF2E1.pdf")</f>
        <v>Melting_Curves/meltCurve_P29083_GTF2E1.pdf</v>
      </c>
    </row>
    <row r="2382" spans="1:28" x14ac:dyDescent="0.25">
      <c r="A2382" t="s">
        <v>2386</v>
      </c>
      <c r="B2382">
        <v>0.99542014353169495</v>
      </c>
      <c r="C2382">
        <v>1.0355366551371501</v>
      </c>
      <c r="D2382">
        <v>1.02023192179446</v>
      </c>
      <c r="E2382">
        <v>0.87209605059443196</v>
      </c>
      <c r="F2382">
        <v>0.34607189288200102</v>
      </c>
      <c r="G2382">
        <v>0.15604156873632299</v>
      </c>
      <c r="H2382">
        <v>7.9076737184061899E-2</v>
      </c>
      <c r="I2382">
        <v>4.9098869900778101E-2</v>
      </c>
      <c r="J2382">
        <v>5.4274278001893397E-2</v>
      </c>
      <c r="K2382">
        <v>5.5714650734912503E-2</v>
      </c>
      <c r="L2382">
        <v>1637.62383048018</v>
      </c>
      <c r="M2382">
        <v>33.384731253627002</v>
      </c>
      <c r="N2382">
        <v>49.2596897224741</v>
      </c>
      <c r="O2382">
        <v>48.878083966311102</v>
      </c>
      <c r="P2382">
        <v>-0.159600272126525</v>
      </c>
      <c r="Q2382">
        <v>6.5330674921775897E-2</v>
      </c>
      <c r="R2382">
        <v>0.99728562231420803</v>
      </c>
      <c r="S2382" t="s">
        <v>8784</v>
      </c>
      <c r="T2382" t="s">
        <v>12802</v>
      </c>
      <c r="U2382" t="s">
        <v>12802</v>
      </c>
      <c r="V2382" t="s">
        <v>12802</v>
      </c>
      <c r="W2382" t="s">
        <v>15138</v>
      </c>
      <c r="X2382">
        <v>11</v>
      </c>
      <c r="Y2382" t="s">
        <v>21411</v>
      </c>
      <c r="Z2382" t="s">
        <v>27700</v>
      </c>
      <c r="AA2382">
        <v>0.44540906353601378</v>
      </c>
      <c r="AB2382" t="str">
        <f>HYPERLINK("Melting_Curves/meltCurve_P29084_GTF2E2.pdf", "Melting_Curves/meltCurve_P29084_GTF2E2.pdf")</f>
        <v>Melting_Curves/meltCurve_P29084_GTF2E2.pdf</v>
      </c>
    </row>
    <row r="2383" spans="1:28" x14ac:dyDescent="0.25">
      <c r="A2383" t="s">
        <v>2387</v>
      </c>
      <c r="B2383">
        <v>0.99542014353169495</v>
      </c>
      <c r="C2383">
        <v>1.0351830606911001</v>
      </c>
      <c r="D2383">
        <v>1.0251070893730601</v>
      </c>
      <c r="E2383">
        <v>1.0119906215013299</v>
      </c>
      <c r="F2383">
        <v>0.86726174854878502</v>
      </c>
      <c r="G2383">
        <v>0.71658295670960204</v>
      </c>
      <c r="H2383">
        <v>0.59577299440738996</v>
      </c>
      <c r="I2383">
        <v>0.60469879683070604</v>
      </c>
      <c r="J2383">
        <v>0.90827285218936005</v>
      </c>
      <c r="K2383">
        <v>1.18644861298122</v>
      </c>
      <c r="L2383">
        <v>12514.085337615899</v>
      </c>
      <c r="M2383">
        <v>250</v>
      </c>
      <c r="O2383">
        <v>50.053136396435399</v>
      </c>
      <c r="P2383">
        <v>-0.246793663333605</v>
      </c>
      <c r="Q2383">
        <v>0.80235524331174402</v>
      </c>
      <c r="R2383">
        <v>0.28987281691140099</v>
      </c>
      <c r="S2383" t="s">
        <v>8785</v>
      </c>
      <c r="T2383" t="s">
        <v>12802</v>
      </c>
      <c r="U2383" t="s">
        <v>12802</v>
      </c>
      <c r="V2383" t="s">
        <v>12802</v>
      </c>
      <c r="W2383" t="s">
        <v>15139</v>
      </c>
      <c r="X2383">
        <v>15</v>
      </c>
      <c r="Y2383" t="s">
        <v>19542</v>
      </c>
      <c r="Z2383" t="s">
        <v>27701</v>
      </c>
      <c r="AA2383">
        <v>0.88838985300980455</v>
      </c>
      <c r="AB2383" t="str">
        <f>HYPERLINK("Melting_Curves/meltCurve_P29218_IMPA1.pdf", "Melting_Curves/meltCurve_P29218_IMPA1.pdf")</f>
        <v>Melting_Curves/meltCurve_P29218_IMPA1.pdf</v>
      </c>
    </row>
    <row r="2384" spans="1:28" x14ac:dyDescent="0.25">
      <c r="A2384" t="s">
        <v>2388</v>
      </c>
      <c r="B2384">
        <v>0.99542014353169495</v>
      </c>
      <c r="C2384">
        <v>1.3255461770316299</v>
      </c>
      <c r="D2384">
        <v>0.94757790073381298</v>
      </c>
      <c r="E2384">
        <v>0.62781078399538004</v>
      </c>
      <c r="F2384">
        <v>0.23756773070797099</v>
      </c>
      <c r="G2384">
        <v>0.22787126672334301</v>
      </c>
      <c r="H2384">
        <v>0.13487826359305499</v>
      </c>
      <c r="I2384">
        <v>4.2553382923717499E-2</v>
      </c>
      <c r="J2384">
        <v>6.6886079088145506E-2</v>
      </c>
      <c r="K2384">
        <v>9.8475865449431599E-2</v>
      </c>
      <c r="L2384">
        <v>1337.0500078591899</v>
      </c>
      <c r="M2384">
        <v>28.287462421768101</v>
      </c>
      <c r="N2384">
        <v>47.6585527008586</v>
      </c>
      <c r="O2384">
        <v>47.0322148738029</v>
      </c>
      <c r="P2384">
        <v>-0.13475541721710099</v>
      </c>
      <c r="Q2384">
        <v>0.103802147348546</v>
      </c>
      <c r="R2384">
        <v>0.93668623501432602</v>
      </c>
      <c r="S2384" t="s">
        <v>8786</v>
      </c>
      <c r="T2384" t="s">
        <v>12802</v>
      </c>
      <c r="U2384" t="s">
        <v>12802</v>
      </c>
      <c r="V2384" t="s">
        <v>12802</v>
      </c>
      <c r="W2384" t="s">
        <v>15140</v>
      </c>
      <c r="X2384">
        <v>3</v>
      </c>
      <c r="Y2384" t="s">
        <v>21412</v>
      </c>
      <c r="Z2384" t="s">
        <v>27702</v>
      </c>
      <c r="AA2384">
        <v>0.41639077805514058</v>
      </c>
      <c r="AB2384" t="str">
        <f>HYPERLINK("Melting_Curves/meltCurve_P29350_PTPN6.pdf", "Melting_Curves/meltCurve_P29350_PTPN6.pdf")</f>
        <v>Melting_Curves/meltCurve_P29350_PTPN6.pdf</v>
      </c>
    </row>
    <row r="2385" spans="1:28" x14ac:dyDescent="0.25">
      <c r="A2385" t="s">
        <v>2389</v>
      </c>
      <c r="B2385">
        <v>0.99542014353169495</v>
      </c>
      <c r="C2385">
        <v>1.0707884912410699</v>
      </c>
      <c r="D2385">
        <v>1.0043281674684199</v>
      </c>
      <c r="E2385">
        <v>0.93209875802383002</v>
      </c>
      <c r="F2385">
        <v>0.74158708953779195</v>
      </c>
      <c r="G2385">
        <v>0.52065618859684604</v>
      </c>
      <c r="H2385">
        <v>0.29680056746121902</v>
      </c>
      <c r="I2385">
        <v>0.142571963164912</v>
      </c>
      <c r="J2385">
        <v>8.3542662837922194E-2</v>
      </c>
      <c r="K2385">
        <v>8.0144083211686298E-2</v>
      </c>
      <c r="L2385">
        <v>866.78862338145598</v>
      </c>
      <c r="M2385">
        <v>16.125785663504999</v>
      </c>
      <c r="N2385">
        <v>53.951440586099402</v>
      </c>
      <c r="O2385">
        <v>52.945485342180199</v>
      </c>
      <c r="P2385">
        <v>-7.3942710047358196E-2</v>
      </c>
      <c r="Q2385">
        <v>2.89750792575919E-2</v>
      </c>
      <c r="R2385">
        <v>0.99520952148528297</v>
      </c>
      <c r="S2385" t="s">
        <v>8787</v>
      </c>
      <c r="T2385" t="s">
        <v>12802</v>
      </c>
      <c r="U2385" t="s">
        <v>12802</v>
      </c>
      <c r="V2385" t="s">
        <v>12802</v>
      </c>
      <c r="W2385" t="s">
        <v>15141</v>
      </c>
      <c r="X2385">
        <v>12</v>
      </c>
      <c r="Y2385" t="s">
        <v>21413</v>
      </c>
      <c r="Z2385" t="s">
        <v>27703</v>
      </c>
      <c r="AA2385">
        <v>0.58637277695172119</v>
      </c>
      <c r="AB2385" t="str">
        <f>HYPERLINK("Melting_Curves/meltCurve_P29353_7_SHC1.pdf", "Melting_Curves/meltCurve_P29353_7_SHC1.pdf")</f>
        <v>Melting_Curves/meltCurve_P29353_7_SHC1.pdf</v>
      </c>
    </row>
    <row r="2386" spans="1:28" x14ac:dyDescent="0.25">
      <c r="A2386" t="s">
        <v>2390</v>
      </c>
      <c r="B2386">
        <v>0.99542014353169495</v>
      </c>
      <c r="C2386">
        <v>1.02592109905483</v>
      </c>
      <c r="D2386">
        <v>0.93386176825356304</v>
      </c>
      <c r="E2386">
        <v>0.77955906985434598</v>
      </c>
      <c r="F2386">
        <v>0.43701493261277602</v>
      </c>
      <c r="G2386">
        <v>0.15910243332935101</v>
      </c>
      <c r="H2386">
        <v>8.6876740174396894E-2</v>
      </c>
      <c r="I2386">
        <v>6.0964842721258801E-2</v>
      </c>
      <c r="J2386">
        <v>5.6072536558277097E-2</v>
      </c>
      <c r="K2386">
        <v>7.7475539736370905E-2</v>
      </c>
      <c r="L2386">
        <v>1079.0176357325799</v>
      </c>
      <c r="M2386">
        <v>21.9463828742422</v>
      </c>
      <c r="N2386">
        <v>49.419719589486</v>
      </c>
      <c r="O2386">
        <v>48.763324932684903</v>
      </c>
      <c r="P2386">
        <v>-0.106524420875695</v>
      </c>
      <c r="Q2386">
        <v>5.3262144370865898E-2</v>
      </c>
      <c r="R2386">
        <v>0.99824162030871999</v>
      </c>
      <c r="S2386" t="s">
        <v>8788</v>
      </c>
      <c r="T2386" t="s">
        <v>12802</v>
      </c>
      <c r="U2386" t="s">
        <v>12802</v>
      </c>
      <c r="V2386" t="s">
        <v>12802</v>
      </c>
      <c r="W2386" t="s">
        <v>15142</v>
      </c>
      <c r="X2386">
        <v>10</v>
      </c>
      <c r="Y2386" t="s">
        <v>21414</v>
      </c>
      <c r="Z2386" t="s">
        <v>27704</v>
      </c>
      <c r="AA2386">
        <v>0.44771056482028582</v>
      </c>
      <c r="AB2386" t="str">
        <f>HYPERLINK("Melting_Curves/meltCurve_P29372_5_MPG.pdf", "Melting_Curves/meltCurve_P29372_5_MPG.pdf")</f>
        <v>Melting_Curves/meltCurve_P29372_5_MPG.pdf</v>
      </c>
    </row>
    <row r="2387" spans="1:28" x14ac:dyDescent="0.25">
      <c r="A2387" t="s">
        <v>2391</v>
      </c>
      <c r="B2387">
        <v>0.99542014353169495</v>
      </c>
      <c r="C2387">
        <v>1.05094445142819</v>
      </c>
      <c r="D2387">
        <v>1.2254283531752499</v>
      </c>
      <c r="E2387">
        <v>1.3139314317130399</v>
      </c>
      <c r="F2387">
        <v>1.0678829112186901</v>
      </c>
      <c r="G2387">
        <v>0.64354488161271906</v>
      </c>
      <c r="H2387">
        <v>0.32253849379711902</v>
      </c>
      <c r="I2387">
        <v>0.25862008467480502</v>
      </c>
      <c r="J2387">
        <v>0.321445108045609</v>
      </c>
      <c r="K2387">
        <v>0.47130238625979398</v>
      </c>
      <c r="L2387">
        <v>13440.7357490946</v>
      </c>
      <c r="M2387">
        <v>250</v>
      </c>
      <c r="N2387">
        <v>54.013870372735198</v>
      </c>
      <c r="O2387">
        <v>53.759502550351598</v>
      </c>
      <c r="P2387">
        <v>-0.76326448315665396</v>
      </c>
      <c r="Q2387">
        <v>0.34347649822202803</v>
      </c>
      <c r="R2387">
        <v>0.87846868591833105</v>
      </c>
      <c r="S2387" t="s">
        <v>8789</v>
      </c>
      <c r="T2387" t="s">
        <v>12802</v>
      </c>
      <c r="U2387" t="s">
        <v>12802</v>
      </c>
      <c r="V2387" t="s">
        <v>12802</v>
      </c>
      <c r="W2387" t="s">
        <v>15143</v>
      </c>
      <c r="X2387">
        <v>1</v>
      </c>
      <c r="Y2387" t="s">
        <v>21415</v>
      </c>
      <c r="Z2387" t="s">
        <v>27705</v>
      </c>
      <c r="AA2387">
        <v>0.71038064447106808</v>
      </c>
      <c r="AB2387" t="str">
        <f>HYPERLINK("Melting_Curves/meltCurve_P29373_CRABP2.pdf", "Melting_Curves/meltCurve_P29373_CRABP2.pdf")</f>
        <v>Melting_Curves/meltCurve_P29373_CRABP2.pdf</v>
      </c>
    </row>
    <row r="2388" spans="1:28" x14ac:dyDescent="0.25">
      <c r="A2388" t="s">
        <v>2392</v>
      </c>
      <c r="B2388">
        <v>0.99542014353169495</v>
      </c>
      <c r="C2388">
        <v>0.90129533735955603</v>
      </c>
      <c r="D2388">
        <v>0.925288057305378</v>
      </c>
      <c r="E2388">
        <v>0.85393968313435897</v>
      </c>
      <c r="F2388">
        <v>0.59475229252414796</v>
      </c>
      <c r="G2388">
        <v>0.39470127531570998</v>
      </c>
      <c r="H2388">
        <v>0.27980176636431398</v>
      </c>
      <c r="I2388">
        <v>0.38162961425146302</v>
      </c>
      <c r="J2388">
        <v>0.53338566087167805</v>
      </c>
      <c r="K2388">
        <v>0.591836174165983</v>
      </c>
      <c r="L2388">
        <v>1487.2138586460001</v>
      </c>
      <c r="M2388">
        <v>30.8481309277009</v>
      </c>
      <c r="N2388">
        <v>51.649109849662899</v>
      </c>
      <c r="O2388">
        <v>48.009600405444097</v>
      </c>
      <c r="P2388">
        <v>-9.0621000334055096E-2</v>
      </c>
      <c r="Q2388">
        <v>0.43586194564077801</v>
      </c>
      <c r="R2388">
        <v>0.86408620531506097</v>
      </c>
      <c r="S2388" t="s">
        <v>8790</v>
      </c>
      <c r="T2388" t="s">
        <v>12802</v>
      </c>
      <c r="U2388" t="s">
        <v>12802</v>
      </c>
      <c r="V2388" t="s">
        <v>12802</v>
      </c>
      <c r="W2388" t="s">
        <v>15144</v>
      </c>
      <c r="X2388">
        <v>37</v>
      </c>
      <c r="Y2388" t="s">
        <v>21416</v>
      </c>
      <c r="Z2388" t="s">
        <v>27706</v>
      </c>
      <c r="AA2388">
        <v>0.64984884252832809</v>
      </c>
      <c r="AB2388" t="str">
        <f>HYPERLINK("Melting_Curves/meltCurve_P29401_TKT.pdf", "Melting_Curves/meltCurve_P29401_TKT.pdf")</f>
        <v>Melting_Curves/meltCurve_P29401_TKT.pdf</v>
      </c>
    </row>
    <row r="2389" spans="1:28" x14ac:dyDescent="0.25">
      <c r="A2389" t="s">
        <v>2393</v>
      </c>
      <c r="B2389">
        <v>0.99542014353169495</v>
      </c>
      <c r="C2389">
        <v>0.88321689587834495</v>
      </c>
      <c r="D2389">
        <v>0.78317650948445905</v>
      </c>
      <c r="E2389">
        <v>0.53196120565587901</v>
      </c>
      <c r="F2389">
        <v>0.281384631502889</v>
      </c>
      <c r="G2389">
        <v>0.14158279078452901</v>
      </c>
      <c r="H2389">
        <v>6.9424338963708407E-2</v>
      </c>
      <c r="I2389">
        <v>4.4460785325344303E-2</v>
      </c>
      <c r="J2389">
        <v>4.3783398166838801E-2</v>
      </c>
      <c r="K2389">
        <v>5.7071848445480598E-2</v>
      </c>
      <c r="L2389">
        <v>668.31192655652603</v>
      </c>
      <c r="M2389">
        <v>14.315380141994799</v>
      </c>
      <c r="N2389">
        <v>46.826397904402398</v>
      </c>
      <c r="O2389">
        <v>45.802229290651297</v>
      </c>
      <c r="P2389">
        <v>-7.6492090151758702E-2</v>
      </c>
      <c r="Q2389">
        <v>2.1169325807860101E-2</v>
      </c>
      <c r="R2389">
        <v>0.99775233974329702</v>
      </c>
      <c r="S2389" t="s">
        <v>8791</v>
      </c>
      <c r="T2389" t="s">
        <v>12802</v>
      </c>
      <c r="U2389" t="s">
        <v>12802</v>
      </c>
      <c r="V2389" t="s">
        <v>12802</v>
      </c>
      <c r="W2389" t="s">
        <v>15145</v>
      </c>
      <c r="X2389">
        <v>14</v>
      </c>
      <c r="Y2389" t="s">
        <v>21417</v>
      </c>
      <c r="Z2389" t="s">
        <v>27707</v>
      </c>
      <c r="AA2389">
        <v>0.36131308865511008</v>
      </c>
      <c r="AB2389" t="str">
        <f>HYPERLINK("Melting_Curves/meltCurve_P29590_2_PML.pdf", "Melting_Curves/meltCurve_P29590_2_PML.pdf")</f>
        <v>Melting_Curves/meltCurve_P29590_2_PML.pdf</v>
      </c>
    </row>
    <row r="2390" spans="1:28" x14ac:dyDescent="0.25">
      <c r="A2390" t="s">
        <v>2394</v>
      </c>
      <c r="B2390">
        <v>0.99542014353169495</v>
      </c>
      <c r="C2390">
        <v>0.94586785705534904</v>
      </c>
      <c r="D2390">
        <v>0.88592704459459004</v>
      </c>
      <c r="E2390">
        <v>0.72346381285841099</v>
      </c>
      <c r="F2390">
        <v>0.36991263742159902</v>
      </c>
      <c r="G2390">
        <v>8.4515867720332594E-2</v>
      </c>
      <c r="H2390">
        <v>3.4605290736533602E-2</v>
      </c>
      <c r="I2390">
        <v>2.9326627965390199E-2</v>
      </c>
      <c r="J2390">
        <v>4.9360555921741898E-2</v>
      </c>
      <c r="K2390">
        <v>0</v>
      </c>
      <c r="L2390">
        <v>975.55861081360797</v>
      </c>
      <c r="M2390">
        <v>20.069845106907799</v>
      </c>
      <c r="N2390">
        <v>48.629086374831303</v>
      </c>
      <c r="O2390">
        <v>48.133315698287099</v>
      </c>
      <c r="P2390">
        <v>-0.103796447777062</v>
      </c>
      <c r="Q2390">
        <v>4.2959332677325697E-3</v>
      </c>
      <c r="R2390">
        <v>0.99486190584368905</v>
      </c>
      <c r="S2390" t="s">
        <v>8792</v>
      </c>
      <c r="T2390" t="s">
        <v>12802</v>
      </c>
      <c r="U2390" t="s">
        <v>12802</v>
      </c>
      <c r="V2390" t="s">
        <v>12802</v>
      </c>
      <c r="W2390" t="s">
        <v>15146</v>
      </c>
      <c r="X2390">
        <v>15</v>
      </c>
      <c r="Y2390" t="s">
        <v>19749</v>
      </c>
      <c r="Z2390" t="s">
        <v>27708</v>
      </c>
      <c r="AA2390">
        <v>0.40259589484193548</v>
      </c>
      <c r="AB2390" t="str">
        <f>HYPERLINK("Melting_Curves/meltCurve_P29692_3_EEF1D.pdf", "Melting_Curves/meltCurve_P29692_3_EEF1D.pdf")</f>
        <v>Melting_Curves/meltCurve_P29692_3_EEF1D.pdf</v>
      </c>
    </row>
    <row r="2391" spans="1:28" x14ac:dyDescent="0.25">
      <c r="A2391" t="s">
        <v>2395</v>
      </c>
      <c r="B2391">
        <v>0.99542014353169495</v>
      </c>
      <c r="C2391">
        <v>1.0396108967727999</v>
      </c>
      <c r="D2391">
        <v>0.73415673801600601</v>
      </c>
      <c r="E2391">
        <v>0.68777171714959795</v>
      </c>
      <c r="F2391">
        <v>0.55829107860768301</v>
      </c>
      <c r="G2391">
        <v>0.54872922014959402</v>
      </c>
      <c r="H2391">
        <v>0.43539420003858298</v>
      </c>
      <c r="I2391">
        <v>0.39151003774863202</v>
      </c>
      <c r="J2391">
        <v>0.76372627532803095</v>
      </c>
      <c r="K2391">
        <v>0.91842041845705502</v>
      </c>
      <c r="L2391">
        <v>10715.55352213</v>
      </c>
      <c r="M2391">
        <v>250</v>
      </c>
      <c r="O2391">
        <v>42.859471202781897</v>
      </c>
      <c r="P2391">
        <v>-0.56166887276481603</v>
      </c>
      <c r="Q2391">
        <v>0.61483470651209104</v>
      </c>
      <c r="R2391">
        <v>0.54483115730380305</v>
      </c>
      <c r="S2391" t="s">
        <v>8793</v>
      </c>
      <c r="T2391" t="s">
        <v>12802</v>
      </c>
      <c r="U2391" t="s">
        <v>12802</v>
      </c>
      <c r="V2391" t="s">
        <v>12802</v>
      </c>
      <c r="W2391" t="s">
        <v>15147</v>
      </c>
      <c r="X2391">
        <v>5</v>
      </c>
      <c r="Y2391" t="s">
        <v>21418</v>
      </c>
      <c r="Z2391" t="s">
        <v>27709</v>
      </c>
      <c r="AA2391">
        <v>0.69012772661201927</v>
      </c>
      <c r="AB2391" t="str">
        <f>HYPERLINK("Melting_Curves/meltCurve_P29966_MARCKS.pdf", "Melting_Curves/meltCurve_P29966_MARCKS.pdf")</f>
        <v>Melting_Curves/meltCurve_P29966_MARCKS.pdf</v>
      </c>
    </row>
    <row r="2392" spans="1:28" x14ac:dyDescent="0.25">
      <c r="A2392" t="s">
        <v>2396</v>
      </c>
      <c r="B2392">
        <v>0.99542014353169495</v>
      </c>
      <c r="C2392">
        <v>0.99070027485374301</v>
      </c>
      <c r="D2392">
        <v>0.99711837688286797</v>
      </c>
      <c r="E2392">
        <v>0.82345194369941699</v>
      </c>
      <c r="F2392">
        <v>0.59288783393579603</v>
      </c>
      <c r="G2392">
        <v>0.127402890212407</v>
      </c>
      <c r="H2392">
        <v>8.7298168839127804E-2</v>
      </c>
      <c r="I2392">
        <v>5.7791480500961299E-2</v>
      </c>
      <c r="J2392">
        <v>9.5876725317954395E-2</v>
      </c>
      <c r="K2392">
        <v>8.0138760263184894E-2</v>
      </c>
      <c r="L2392">
        <v>1359.4097057324</v>
      </c>
      <c r="M2392">
        <v>27.074711706696199</v>
      </c>
      <c r="N2392">
        <v>50.452880728986898</v>
      </c>
      <c r="O2392">
        <v>49.938056449364304</v>
      </c>
      <c r="P2392">
        <v>-0.12724739572249699</v>
      </c>
      <c r="Q2392">
        <v>6.1201356844677098E-2</v>
      </c>
      <c r="R2392">
        <v>0.99099954437111903</v>
      </c>
      <c r="S2392" t="s">
        <v>8794</v>
      </c>
      <c r="T2392" t="s">
        <v>12802</v>
      </c>
      <c r="U2392" t="s">
        <v>12802</v>
      </c>
      <c r="V2392" t="s">
        <v>12802</v>
      </c>
      <c r="W2392" t="s">
        <v>15148</v>
      </c>
      <c r="X2392">
        <v>8</v>
      </c>
      <c r="Y2392" t="s">
        <v>21419</v>
      </c>
      <c r="Z2392" t="s">
        <v>27710</v>
      </c>
      <c r="AA2392">
        <v>0.48163447937820519</v>
      </c>
      <c r="AB2392" t="str">
        <f>HYPERLINK("Melting_Curves/meltCurve_P29992_GNA11.pdf", "Melting_Curves/meltCurve_P29992_GNA11.pdf")</f>
        <v>Melting_Curves/meltCurve_P29992_GNA11.pdf</v>
      </c>
    </row>
    <row r="2393" spans="1:28" x14ac:dyDescent="0.25">
      <c r="A2393" t="s">
        <v>2397</v>
      </c>
      <c r="B2393">
        <v>0.99542014353169495</v>
      </c>
      <c r="C2393">
        <v>1.0131547004725701</v>
      </c>
      <c r="D2393">
        <v>1.0282885959416901</v>
      </c>
      <c r="E2393">
        <v>0.89091823588399599</v>
      </c>
      <c r="F2393">
        <v>0.63157507516825495</v>
      </c>
      <c r="G2393">
        <v>0.27235456523965801</v>
      </c>
      <c r="H2393">
        <v>6.7396597402283903E-2</v>
      </c>
      <c r="I2393">
        <v>4.6621576112180103E-2</v>
      </c>
      <c r="J2393">
        <v>4.4490711454702701E-2</v>
      </c>
      <c r="K2393">
        <v>6.4707234550023404E-2</v>
      </c>
      <c r="L2393">
        <v>1242.2896205597201</v>
      </c>
      <c r="M2393">
        <v>24.291260405299798</v>
      </c>
      <c r="N2393">
        <v>51.2987135492913</v>
      </c>
      <c r="O2393">
        <v>50.798607334567301</v>
      </c>
      <c r="P2393">
        <v>-0.115258566647523</v>
      </c>
      <c r="Q2393">
        <v>3.58859586653077E-2</v>
      </c>
      <c r="R2393">
        <v>0.99759155615137696</v>
      </c>
      <c r="S2393" t="s">
        <v>8795</v>
      </c>
      <c r="T2393" t="s">
        <v>12802</v>
      </c>
      <c r="U2393" t="s">
        <v>12802</v>
      </c>
      <c r="V2393" t="s">
        <v>12802</v>
      </c>
      <c r="W2393" t="s">
        <v>15149</v>
      </c>
      <c r="X2393">
        <v>18</v>
      </c>
      <c r="Y2393" t="s">
        <v>21420</v>
      </c>
      <c r="Z2393" t="s">
        <v>27711</v>
      </c>
      <c r="AA2393">
        <v>0.49932712279454972</v>
      </c>
      <c r="AB2393" t="str">
        <f>HYPERLINK("Melting_Curves/meltCurve_P30038_ALDH4A1.pdf", "Melting_Curves/meltCurve_P30038_ALDH4A1.pdf")</f>
        <v>Melting_Curves/meltCurve_P30038_ALDH4A1.pdf</v>
      </c>
    </row>
    <row r="2394" spans="1:28" x14ac:dyDescent="0.25">
      <c r="A2394" t="s">
        <v>2398</v>
      </c>
      <c r="B2394">
        <v>0.99542014353169495</v>
      </c>
      <c r="C2394">
        <v>0.91741410565315895</v>
      </c>
      <c r="D2394">
        <v>0.87047479183375698</v>
      </c>
      <c r="E2394">
        <v>0.84051865416790805</v>
      </c>
      <c r="F2394">
        <v>0.65035587517729598</v>
      </c>
      <c r="G2394">
        <v>0.41719477551872203</v>
      </c>
      <c r="H2394">
        <v>0.17672280671714</v>
      </c>
      <c r="I2394">
        <v>0.123170076602363</v>
      </c>
      <c r="J2394">
        <v>0.149405114653093</v>
      </c>
      <c r="K2394">
        <v>0.16230711780245</v>
      </c>
      <c r="L2394">
        <v>756.80427242753603</v>
      </c>
      <c r="M2394">
        <v>14.754004604401199</v>
      </c>
      <c r="N2394">
        <v>51.953847115814</v>
      </c>
      <c r="O2394">
        <v>50.380152646002401</v>
      </c>
      <c r="P2394">
        <v>-6.6972784125087906E-2</v>
      </c>
      <c r="Q2394">
        <v>8.5337019840341199E-2</v>
      </c>
      <c r="R2394">
        <v>0.981352282076</v>
      </c>
      <c r="S2394" t="s">
        <v>8796</v>
      </c>
      <c r="T2394" t="s">
        <v>12802</v>
      </c>
      <c r="U2394" t="s">
        <v>12802</v>
      </c>
      <c r="V2394" t="s">
        <v>12802</v>
      </c>
      <c r="W2394" t="s">
        <v>15150</v>
      </c>
      <c r="X2394">
        <v>15</v>
      </c>
      <c r="Y2394" t="s">
        <v>21421</v>
      </c>
      <c r="Z2394" t="s">
        <v>27712</v>
      </c>
      <c r="AA2394">
        <v>0.53971863946139342</v>
      </c>
      <c r="AB2394" t="str">
        <f>HYPERLINK("Melting_Curves/meltCurve_P30040_ERP29.pdf", "Melting_Curves/meltCurve_P30040_ERP29.pdf")</f>
        <v>Melting_Curves/meltCurve_P30040_ERP29.pdf</v>
      </c>
    </row>
    <row r="2395" spans="1:28" x14ac:dyDescent="0.25">
      <c r="A2395" t="s">
        <v>2399</v>
      </c>
      <c r="B2395">
        <v>0.99542014353169495</v>
      </c>
      <c r="C2395">
        <v>1.04347436264004</v>
      </c>
      <c r="D2395">
        <v>0.98760937035756502</v>
      </c>
      <c r="E2395">
        <v>1.01595533732655</v>
      </c>
      <c r="F2395">
        <v>0.83162242896934602</v>
      </c>
      <c r="G2395">
        <v>0.64155273066018803</v>
      </c>
      <c r="H2395">
        <v>0.13679293633166401</v>
      </c>
      <c r="I2395">
        <v>6.2466819355339098E-2</v>
      </c>
      <c r="J2395">
        <v>5.5546293002787898E-2</v>
      </c>
      <c r="K2395">
        <v>5.4761036798107399E-2</v>
      </c>
      <c r="L2395">
        <v>1636.4888902201101</v>
      </c>
      <c r="M2395">
        <v>30.1347745437184</v>
      </c>
      <c r="N2395">
        <v>54.426906869486501</v>
      </c>
      <c r="O2395">
        <v>54.068198861144602</v>
      </c>
      <c r="P2395">
        <v>-0.13481441566650201</v>
      </c>
      <c r="Q2395">
        <v>3.2463172692853197E-2</v>
      </c>
      <c r="R2395">
        <v>0.99014733942879296</v>
      </c>
      <c r="S2395" t="s">
        <v>8797</v>
      </c>
      <c r="T2395" t="s">
        <v>12802</v>
      </c>
      <c r="U2395" t="s">
        <v>12802</v>
      </c>
      <c r="V2395" t="s">
        <v>12802</v>
      </c>
      <c r="W2395" t="s">
        <v>15151</v>
      </c>
      <c r="X2395">
        <v>27</v>
      </c>
      <c r="Y2395" t="s">
        <v>21422</v>
      </c>
      <c r="Z2395" t="s">
        <v>27713</v>
      </c>
      <c r="AA2395">
        <v>0.59671691780565161</v>
      </c>
      <c r="AB2395" t="str">
        <f>HYPERLINK("Melting_Curves/meltCurve_P30041_PRDX6.pdf", "Melting_Curves/meltCurve_P30041_PRDX6.pdf")</f>
        <v>Melting_Curves/meltCurve_P30041_PRDX6.pdf</v>
      </c>
    </row>
    <row r="2396" spans="1:28" x14ac:dyDescent="0.25">
      <c r="A2396" t="s">
        <v>2400</v>
      </c>
      <c r="B2396">
        <v>0.99542014353169495</v>
      </c>
      <c r="C2396">
        <v>1.03898163958723</v>
      </c>
      <c r="D2396">
        <v>1.05547703039736</v>
      </c>
      <c r="E2396">
        <v>1.06630879035994</v>
      </c>
      <c r="F2396">
        <v>0.933508546793961</v>
      </c>
      <c r="G2396">
        <v>0.77395522168761</v>
      </c>
      <c r="H2396">
        <v>0.595358581862237</v>
      </c>
      <c r="I2396">
        <v>0.55690768399386903</v>
      </c>
      <c r="J2396">
        <v>0.78561672877753697</v>
      </c>
      <c r="K2396">
        <v>0.91800052027127899</v>
      </c>
      <c r="L2396">
        <v>2523.4504416478499</v>
      </c>
      <c r="M2396">
        <v>48.872943620773498</v>
      </c>
      <c r="O2396">
        <v>51.546636507479597</v>
      </c>
      <c r="P2396">
        <v>-6.6859209602157299E-2</v>
      </c>
      <c r="Q2396">
        <v>0.717932702238957</v>
      </c>
      <c r="R2396">
        <v>0.69393771127665405</v>
      </c>
      <c r="S2396" t="s">
        <v>8798</v>
      </c>
      <c r="T2396" t="s">
        <v>12802</v>
      </c>
      <c r="U2396" t="s">
        <v>12802</v>
      </c>
      <c r="V2396" t="s">
        <v>12802</v>
      </c>
      <c r="W2396" t="s">
        <v>15152</v>
      </c>
      <c r="X2396">
        <v>15</v>
      </c>
      <c r="Y2396" t="s">
        <v>21423</v>
      </c>
      <c r="Z2396" t="s">
        <v>27714</v>
      </c>
      <c r="AA2396">
        <v>0.85618685508203152</v>
      </c>
      <c r="AB2396" t="str">
        <f>HYPERLINK("Melting_Curves/meltCurve_P30042_C21orf33.pdf", "Melting_Curves/meltCurve_P30042_C21orf33.pdf")</f>
        <v>Melting_Curves/meltCurve_P30042_C21orf33.pdf</v>
      </c>
    </row>
    <row r="2397" spans="1:28" x14ac:dyDescent="0.25">
      <c r="A2397" t="s">
        <v>2401</v>
      </c>
      <c r="B2397">
        <v>0.99542014353169495</v>
      </c>
      <c r="C2397">
        <v>1.0887773637993901</v>
      </c>
      <c r="D2397">
        <v>1.0014920188082701</v>
      </c>
      <c r="E2397">
        <v>0.84643673688675303</v>
      </c>
      <c r="F2397">
        <v>0.44283629058160201</v>
      </c>
      <c r="G2397">
        <v>0.120697675286234</v>
      </c>
      <c r="H2397">
        <v>7.0841725375943701E-2</v>
      </c>
      <c r="I2397">
        <v>4.8038257187945799E-2</v>
      </c>
      <c r="J2397">
        <v>5.02405134196756E-2</v>
      </c>
      <c r="K2397">
        <v>4.9999153054756301E-2</v>
      </c>
      <c r="L2397">
        <v>1399.3129755094899</v>
      </c>
      <c r="M2397">
        <v>28.262970195215999</v>
      </c>
      <c r="N2397">
        <v>49.679760116504497</v>
      </c>
      <c r="O2397">
        <v>49.264601804369903</v>
      </c>
      <c r="P2397">
        <v>-0.136841111984154</v>
      </c>
      <c r="Q2397">
        <v>4.5908302220188699E-2</v>
      </c>
      <c r="R2397">
        <v>0.99528387443104804</v>
      </c>
      <c r="S2397" t="s">
        <v>8799</v>
      </c>
      <c r="T2397" t="s">
        <v>12802</v>
      </c>
      <c r="U2397" t="s">
        <v>12802</v>
      </c>
      <c r="V2397" t="s">
        <v>12802</v>
      </c>
      <c r="W2397" t="s">
        <v>15153</v>
      </c>
      <c r="X2397">
        <v>12</v>
      </c>
      <c r="Y2397" t="s">
        <v>21424</v>
      </c>
      <c r="Z2397" t="s">
        <v>27715</v>
      </c>
      <c r="AA2397">
        <v>0.45031256185498708</v>
      </c>
      <c r="AB2397" t="str">
        <f>HYPERLINK("Melting_Curves/meltCurve_P30043_BLVRB.pdf", "Melting_Curves/meltCurve_P30043_BLVRB.pdf")</f>
        <v>Melting_Curves/meltCurve_P30043_BLVRB.pdf</v>
      </c>
    </row>
    <row r="2398" spans="1:28" x14ac:dyDescent="0.25">
      <c r="A2398" t="s">
        <v>2402</v>
      </c>
      <c r="B2398">
        <v>0.99542014353169495</v>
      </c>
      <c r="C2398">
        <v>1.05868909388613</v>
      </c>
      <c r="D2398">
        <v>0.94778786868353904</v>
      </c>
      <c r="E2398">
        <v>0.98855290443713695</v>
      </c>
      <c r="F2398">
        <v>0.84491522991606005</v>
      </c>
      <c r="G2398">
        <v>0.77039333171134305</v>
      </c>
      <c r="H2398">
        <v>0.51158047535525297</v>
      </c>
      <c r="I2398">
        <v>0.32978579472751002</v>
      </c>
      <c r="J2398">
        <v>0.16214371168144601</v>
      </c>
      <c r="K2398">
        <v>0.13913924619190701</v>
      </c>
      <c r="L2398">
        <v>818.34341866089301</v>
      </c>
      <c r="M2398">
        <v>14.182542116004701</v>
      </c>
      <c r="N2398">
        <v>57.700757278123497</v>
      </c>
      <c r="O2398">
        <v>56.589943682886698</v>
      </c>
      <c r="P2398">
        <v>-6.2662751248682605E-2</v>
      </c>
      <c r="Q2398">
        <v>0</v>
      </c>
      <c r="R2398">
        <v>0.99037899213156899</v>
      </c>
      <c r="S2398" t="s">
        <v>8800</v>
      </c>
      <c r="T2398" t="s">
        <v>12802</v>
      </c>
      <c r="U2398" t="s">
        <v>12802</v>
      </c>
      <c r="V2398" t="s">
        <v>12802</v>
      </c>
      <c r="W2398" t="s">
        <v>15154</v>
      </c>
      <c r="X2398">
        <v>9</v>
      </c>
      <c r="Y2398" t="s">
        <v>21425</v>
      </c>
      <c r="Z2398" t="s">
        <v>27716</v>
      </c>
      <c r="AA2398">
        <v>0.69455853039587578</v>
      </c>
      <c r="AB2398" t="str">
        <f>HYPERLINK("Melting_Curves/meltCurve_P30044_2_PRDX5.pdf", "Melting_Curves/meltCurve_P30044_2_PRDX5.pdf")</f>
        <v>Melting_Curves/meltCurve_P30044_2_PRDX5.pdf</v>
      </c>
    </row>
    <row r="2399" spans="1:28" x14ac:dyDescent="0.25">
      <c r="A2399" t="s">
        <v>2403</v>
      </c>
      <c r="B2399">
        <v>0.99542014353169495</v>
      </c>
      <c r="C2399">
        <v>1.01944895885826</v>
      </c>
      <c r="D2399">
        <v>1.08611389328875</v>
      </c>
      <c r="E2399">
        <v>1.02022245978028</v>
      </c>
      <c r="F2399">
        <v>0.89891733471992197</v>
      </c>
      <c r="G2399">
        <v>0.63037963411701503</v>
      </c>
      <c r="H2399">
        <v>0.49862365901706401</v>
      </c>
      <c r="I2399">
        <v>0.51534197878329802</v>
      </c>
      <c r="J2399">
        <v>0.86497546652688595</v>
      </c>
      <c r="K2399">
        <v>1.1598708945614</v>
      </c>
      <c r="L2399">
        <v>12574.6223464919</v>
      </c>
      <c r="M2399">
        <v>250</v>
      </c>
      <c r="O2399">
        <v>50.2952705889561</v>
      </c>
      <c r="P2399">
        <v>-0.33074888389343499</v>
      </c>
      <c r="Q2399">
        <v>0.73383832636878499</v>
      </c>
      <c r="R2399">
        <v>0.37526949230422602</v>
      </c>
      <c r="S2399" t="s">
        <v>8801</v>
      </c>
      <c r="T2399" t="s">
        <v>12802</v>
      </c>
      <c r="U2399" t="s">
        <v>12802</v>
      </c>
      <c r="V2399" t="s">
        <v>12802</v>
      </c>
      <c r="W2399" t="s">
        <v>15155</v>
      </c>
      <c r="X2399">
        <v>4</v>
      </c>
      <c r="Y2399" t="s">
        <v>21426</v>
      </c>
      <c r="Z2399" t="s">
        <v>27717</v>
      </c>
      <c r="AA2399">
        <v>0.85184676100031864</v>
      </c>
      <c r="AB2399" t="str">
        <f>HYPERLINK("Melting_Curves/meltCurve_P30046_DDT.pdf", "Melting_Curves/meltCurve_P30046_DDT.pdf")</f>
        <v>Melting_Curves/meltCurve_P30046_DDT.pdf</v>
      </c>
    </row>
    <row r="2400" spans="1:28" x14ac:dyDescent="0.25">
      <c r="A2400" t="s">
        <v>2404</v>
      </c>
      <c r="B2400">
        <v>0.99542014353169495</v>
      </c>
      <c r="C2400">
        <v>0.94083176612998098</v>
      </c>
      <c r="D2400">
        <v>1.03453958445839</v>
      </c>
      <c r="E2400">
        <v>0.84776938408667801</v>
      </c>
      <c r="F2400">
        <v>0.63922370597941602</v>
      </c>
      <c r="G2400">
        <v>0.29026008622315103</v>
      </c>
      <c r="H2400">
        <v>0.23555394530873699</v>
      </c>
      <c r="I2400">
        <v>0.234434541871781</v>
      </c>
      <c r="J2400">
        <v>0.363502369316622</v>
      </c>
      <c r="K2400">
        <v>0.49820817034651999</v>
      </c>
      <c r="L2400">
        <v>1562.3885291182401</v>
      </c>
      <c r="M2400">
        <v>31.5872693290119</v>
      </c>
      <c r="N2400">
        <v>51.107796459535301</v>
      </c>
      <c r="O2400">
        <v>49.265622024099201</v>
      </c>
      <c r="P2400">
        <v>-0.109138060410145</v>
      </c>
      <c r="Q2400">
        <v>0.31912749186723299</v>
      </c>
      <c r="R2400">
        <v>0.92769399783418205</v>
      </c>
      <c r="S2400" t="s">
        <v>8802</v>
      </c>
      <c r="T2400" t="s">
        <v>12802</v>
      </c>
      <c r="U2400" t="s">
        <v>12802</v>
      </c>
      <c r="V2400" t="s">
        <v>12802</v>
      </c>
      <c r="W2400" t="s">
        <v>15156</v>
      </c>
      <c r="X2400">
        <v>3</v>
      </c>
      <c r="Y2400" t="s">
        <v>21427</v>
      </c>
      <c r="Z2400" t="s">
        <v>27718</v>
      </c>
      <c r="AA2400">
        <v>0.60571210640866602</v>
      </c>
      <c r="AB2400" t="str">
        <f>HYPERLINK("Melting_Curves/meltCurve_P30049_ATP5D.pdf", "Melting_Curves/meltCurve_P30049_ATP5D.pdf")</f>
        <v>Melting_Curves/meltCurve_P30049_ATP5D.pdf</v>
      </c>
    </row>
    <row r="2401" spans="1:28" x14ac:dyDescent="0.25">
      <c r="A2401" t="s">
        <v>2405</v>
      </c>
      <c r="B2401">
        <v>0.99542014353169495</v>
      </c>
      <c r="C2401">
        <v>1.07197317604169</v>
      </c>
      <c r="D2401">
        <v>1.02921929399644</v>
      </c>
      <c r="E2401">
        <v>0.82882781325658195</v>
      </c>
      <c r="F2401">
        <v>0.699679264332011</v>
      </c>
      <c r="G2401">
        <v>0.43394765210556402</v>
      </c>
      <c r="H2401">
        <v>0.26237617245567002</v>
      </c>
      <c r="I2401">
        <v>0.204707958560265</v>
      </c>
      <c r="J2401">
        <v>0.14900894602301401</v>
      </c>
      <c r="K2401">
        <v>0.14819477434685999</v>
      </c>
      <c r="L2401">
        <v>862.98787298150899</v>
      </c>
      <c r="M2401">
        <v>16.6444672377804</v>
      </c>
      <c r="N2401">
        <v>52.7609104131595</v>
      </c>
      <c r="O2401">
        <v>51.117253282600998</v>
      </c>
      <c r="P2401">
        <v>-7.1226285573522799E-2</v>
      </c>
      <c r="Q2401">
        <v>0.12507921690871901</v>
      </c>
      <c r="R2401">
        <v>0.99012971281990203</v>
      </c>
      <c r="S2401" t="s">
        <v>8803</v>
      </c>
      <c r="T2401" t="s">
        <v>12802</v>
      </c>
      <c r="U2401" t="s">
        <v>12802</v>
      </c>
      <c r="V2401" t="s">
        <v>12802</v>
      </c>
      <c r="W2401" t="s">
        <v>15157</v>
      </c>
      <c r="X2401">
        <v>9</v>
      </c>
      <c r="Y2401" t="s">
        <v>21428</v>
      </c>
      <c r="Z2401" t="s">
        <v>27719</v>
      </c>
      <c r="AA2401">
        <v>0.57293579478706402</v>
      </c>
      <c r="AB2401" t="str">
        <f>HYPERLINK("Melting_Curves/meltCurve_P30050_RPL12.pdf", "Melting_Curves/meltCurve_P30050_RPL12.pdf")</f>
        <v>Melting_Curves/meltCurve_P30050_RPL12.pdf</v>
      </c>
    </row>
    <row r="2402" spans="1:28" x14ac:dyDescent="0.25">
      <c r="A2402" t="s">
        <v>2406</v>
      </c>
      <c r="B2402">
        <v>0.99542014353169495</v>
      </c>
      <c r="C2402">
        <v>0.88369410120894798</v>
      </c>
      <c r="D2402">
        <v>0.99021559153376404</v>
      </c>
      <c r="E2402">
        <v>0.84160327150574199</v>
      </c>
      <c r="F2402">
        <v>0.81778037087835198</v>
      </c>
      <c r="G2402">
        <v>0.26447172459256502</v>
      </c>
      <c r="H2402">
        <v>4.6177289939690801E-2</v>
      </c>
      <c r="I2402">
        <v>2.77742347123516E-2</v>
      </c>
      <c r="J2402">
        <v>2.3858760506573901E-2</v>
      </c>
      <c r="K2402">
        <v>2.8211128728911301E-2</v>
      </c>
      <c r="L2402">
        <v>1747.9320929604201</v>
      </c>
      <c r="M2402">
        <v>33.528173648986602</v>
      </c>
      <c r="N2402">
        <v>52.188646066084303</v>
      </c>
      <c r="O2402">
        <v>51.9488288043176</v>
      </c>
      <c r="P2402">
        <v>-0.15853107413124701</v>
      </c>
      <c r="Q2402">
        <v>1.74868414209523E-2</v>
      </c>
      <c r="R2402">
        <v>0.98057243011221495</v>
      </c>
      <c r="S2402" t="s">
        <v>8804</v>
      </c>
      <c r="T2402" t="s">
        <v>12802</v>
      </c>
      <c r="U2402" t="s">
        <v>12802</v>
      </c>
      <c r="V2402" t="s">
        <v>12802</v>
      </c>
      <c r="W2402" t="s">
        <v>15158</v>
      </c>
      <c r="X2402">
        <v>14</v>
      </c>
      <c r="Y2402" t="s">
        <v>21429</v>
      </c>
      <c r="Z2402" t="s">
        <v>27720</v>
      </c>
      <c r="AA2402">
        <v>0.51811318553231145</v>
      </c>
      <c r="AB2402" t="str">
        <f>HYPERLINK("Melting_Curves/meltCurve_P30084_ECHS1.pdf", "Melting_Curves/meltCurve_P30084_ECHS1.pdf")</f>
        <v>Melting_Curves/meltCurve_P30084_ECHS1.pdf</v>
      </c>
    </row>
    <row r="2403" spans="1:28" x14ac:dyDescent="0.25">
      <c r="A2403" t="s">
        <v>2407</v>
      </c>
      <c r="B2403">
        <v>0.99542014353169495</v>
      </c>
      <c r="C2403">
        <v>0.80903253482204796</v>
      </c>
      <c r="D2403">
        <v>0.65248278652002401</v>
      </c>
      <c r="E2403">
        <v>0.70180037095041503</v>
      </c>
      <c r="F2403">
        <v>0.55230395301462798</v>
      </c>
      <c r="G2403">
        <v>0.27519327570584101</v>
      </c>
      <c r="H2403">
        <v>5.4264546411078397E-2</v>
      </c>
      <c r="I2403">
        <v>3.3267522628100302E-2</v>
      </c>
      <c r="J2403">
        <v>3.44582591623524E-2</v>
      </c>
      <c r="K2403">
        <v>4.1594447651598497E-2</v>
      </c>
      <c r="L2403">
        <v>505.931863696721</v>
      </c>
      <c r="M2403">
        <v>10.413978446272701</v>
      </c>
      <c r="N2403">
        <v>48.581996447012102</v>
      </c>
      <c r="O2403">
        <v>46.893041062915103</v>
      </c>
      <c r="P2403">
        <v>-5.5542969506457401E-2</v>
      </c>
      <c r="Q2403">
        <v>0</v>
      </c>
      <c r="R2403">
        <v>0.936723252217039</v>
      </c>
      <c r="S2403" t="s">
        <v>8805</v>
      </c>
      <c r="T2403" t="s">
        <v>12802</v>
      </c>
      <c r="U2403" t="s">
        <v>12802</v>
      </c>
      <c r="V2403" t="s">
        <v>12802</v>
      </c>
      <c r="W2403" t="s">
        <v>15159</v>
      </c>
      <c r="X2403">
        <v>14</v>
      </c>
      <c r="Y2403" t="s">
        <v>21430</v>
      </c>
      <c r="Z2403" t="s">
        <v>27721</v>
      </c>
      <c r="AA2403">
        <v>0.42264281428621991</v>
      </c>
      <c r="AB2403" t="str">
        <f>HYPERLINK("Melting_Curves/meltCurve_P30085_CMPK1.pdf", "Melting_Curves/meltCurve_P30085_CMPK1.pdf")</f>
        <v>Melting_Curves/meltCurve_P30085_CMPK1.pdf</v>
      </c>
    </row>
    <row r="2404" spans="1:28" x14ac:dyDescent="0.25">
      <c r="A2404" t="s">
        <v>2408</v>
      </c>
      <c r="B2404">
        <v>0.99542014353169495</v>
      </c>
      <c r="C2404">
        <v>1.0421878069099799</v>
      </c>
      <c r="D2404">
        <v>1.0260309971522299</v>
      </c>
      <c r="E2404">
        <v>1.09030491647836</v>
      </c>
      <c r="F2404">
        <v>0.90289932002503703</v>
      </c>
      <c r="G2404">
        <v>0.83586314625288605</v>
      </c>
      <c r="H2404">
        <v>0.498670571453735</v>
      </c>
      <c r="I2404">
        <v>0.34228393828095699</v>
      </c>
      <c r="J2404">
        <v>0.22145176393403801</v>
      </c>
      <c r="K2404">
        <v>0.16497529740640801</v>
      </c>
      <c r="L2404">
        <v>1201.9739241330501</v>
      </c>
      <c r="M2404">
        <v>21.1301589509035</v>
      </c>
      <c r="N2404">
        <v>57.830249901580899</v>
      </c>
      <c r="O2404">
        <v>56.382161563090101</v>
      </c>
      <c r="P2404">
        <v>-8.0003917574457406E-2</v>
      </c>
      <c r="Q2404">
        <v>0.14611637834851099</v>
      </c>
      <c r="R2404">
        <v>0.985132323805608</v>
      </c>
      <c r="S2404" t="s">
        <v>8806</v>
      </c>
      <c r="T2404" t="s">
        <v>12802</v>
      </c>
      <c r="U2404" t="s">
        <v>12802</v>
      </c>
      <c r="V2404" t="s">
        <v>12802</v>
      </c>
      <c r="W2404" t="s">
        <v>15160</v>
      </c>
      <c r="X2404">
        <v>18</v>
      </c>
      <c r="Y2404" t="s">
        <v>21431</v>
      </c>
      <c r="Z2404" t="s">
        <v>27722</v>
      </c>
      <c r="AA2404">
        <v>0.71953013145996392</v>
      </c>
      <c r="AB2404" t="str">
        <f>HYPERLINK("Melting_Curves/meltCurve_P30086_PEBP1.pdf", "Melting_Curves/meltCurve_P30086_PEBP1.pdf")</f>
        <v>Melting_Curves/meltCurve_P30086_PEBP1.pdf</v>
      </c>
    </row>
    <row r="2405" spans="1:28" x14ac:dyDescent="0.25">
      <c r="A2405" t="s">
        <v>2409</v>
      </c>
      <c r="B2405">
        <v>0.99542014353169495</v>
      </c>
      <c r="C2405">
        <v>0.9591173656709</v>
      </c>
      <c r="D2405">
        <v>0.94912255207979301</v>
      </c>
      <c r="E2405">
        <v>0.82836959970554003</v>
      </c>
      <c r="F2405">
        <v>0.70249968731831203</v>
      </c>
      <c r="G2405">
        <v>0.273782063227196</v>
      </c>
      <c r="H2405">
        <v>8.3946323506777304E-2</v>
      </c>
      <c r="I2405">
        <v>4.9685866611066803E-2</v>
      </c>
      <c r="J2405">
        <v>4.2205786825041197E-2</v>
      </c>
      <c r="K2405">
        <v>4.4566930502135498E-2</v>
      </c>
      <c r="L2405">
        <v>1093.39602943871</v>
      </c>
      <c r="M2405">
        <v>21.237093006328202</v>
      </c>
      <c r="N2405">
        <v>51.566432369423701</v>
      </c>
      <c r="O2405">
        <v>51.035220327077703</v>
      </c>
      <c r="P2405">
        <v>-0.10232284088560301</v>
      </c>
      <c r="Q2405">
        <v>1.6450168763434001E-2</v>
      </c>
      <c r="R2405">
        <v>0.99103046671557304</v>
      </c>
      <c r="S2405" t="s">
        <v>8807</v>
      </c>
      <c r="T2405" t="s">
        <v>12802</v>
      </c>
      <c r="U2405" t="s">
        <v>12802</v>
      </c>
      <c r="V2405" t="s">
        <v>12802</v>
      </c>
      <c r="W2405" t="s">
        <v>15161</v>
      </c>
      <c r="X2405">
        <v>33</v>
      </c>
      <c r="Y2405" t="s">
        <v>21432</v>
      </c>
      <c r="Z2405" t="s">
        <v>27723</v>
      </c>
      <c r="AA2405">
        <v>0.50294494843224569</v>
      </c>
      <c r="AB2405" t="str">
        <f>HYPERLINK("Melting_Curves/meltCurve_P30153_PPP2R1A.pdf", "Melting_Curves/meltCurve_P30153_PPP2R1A.pdf")</f>
        <v>Melting_Curves/meltCurve_P30153_PPP2R1A.pdf</v>
      </c>
    </row>
    <row r="2406" spans="1:28" x14ac:dyDescent="0.25">
      <c r="A2406" t="s">
        <v>2410</v>
      </c>
      <c r="B2406">
        <v>0.99542014353169495</v>
      </c>
      <c r="C2406">
        <v>0.96275161932991304</v>
      </c>
      <c r="D2406">
        <v>0.81406870122552399</v>
      </c>
      <c r="E2406">
        <v>0.40141670725974599</v>
      </c>
      <c r="F2406">
        <v>0.16534499580357001</v>
      </c>
      <c r="G2406">
        <v>9.1564578328195506E-2</v>
      </c>
      <c r="H2406">
        <v>5.2338286421511802E-2</v>
      </c>
      <c r="I2406">
        <v>4.0414802653705097E-2</v>
      </c>
      <c r="J2406">
        <v>4.98837494712073E-2</v>
      </c>
      <c r="K2406">
        <v>5.34075276524505E-2</v>
      </c>
      <c r="L2406">
        <v>1029.3448483289301</v>
      </c>
      <c r="M2406">
        <v>22.573952458450002</v>
      </c>
      <c r="N2406">
        <v>45.809838741424798</v>
      </c>
      <c r="O2406">
        <v>45.245491372550902</v>
      </c>
      <c r="P2406">
        <v>-0.118572683775422</v>
      </c>
      <c r="Q2406">
        <v>4.9387795093117998E-2</v>
      </c>
      <c r="R2406">
        <v>0.99958711873875095</v>
      </c>
      <c r="S2406" t="s">
        <v>8808</v>
      </c>
      <c r="T2406" t="s">
        <v>12802</v>
      </c>
      <c r="U2406" t="s">
        <v>12802</v>
      </c>
      <c r="V2406" t="s">
        <v>12802</v>
      </c>
      <c r="W2406" t="s">
        <v>15162</v>
      </c>
      <c r="X2406">
        <v>17</v>
      </c>
      <c r="Y2406" t="s">
        <v>21433</v>
      </c>
      <c r="Z2406" t="s">
        <v>27724</v>
      </c>
      <c r="AA2406">
        <v>0.33154498031363888</v>
      </c>
      <c r="AB2406" t="str">
        <f>HYPERLINK("Melting_Curves/meltCurve_P30154_PPP2R1B.pdf", "Melting_Curves/meltCurve_P30154_PPP2R1B.pdf")</f>
        <v>Melting_Curves/meltCurve_P30154_PPP2R1B.pdf</v>
      </c>
    </row>
    <row r="2407" spans="1:28" x14ac:dyDescent="0.25">
      <c r="A2407" t="s">
        <v>2411</v>
      </c>
      <c r="B2407">
        <v>0.99542014353169495</v>
      </c>
      <c r="C2407">
        <v>0.85015500779159803</v>
      </c>
      <c r="D2407">
        <v>0.89370489894281002</v>
      </c>
      <c r="E2407">
        <v>0.64766251337213299</v>
      </c>
      <c r="F2407">
        <v>0.38829809060443798</v>
      </c>
      <c r="G2407">
        <v>0.21595661343096201</v>
      </c>
      <c r="H2407">
        <v>0.100910247673518</v>
      </c>
      <c r="I2407">
        <v>6.9649603009851194E-2</v>
      </c>
      <c r="J2407">
        <v>7.9560250197271795E-2</v>
      </c>
      <c r="K2407">
        <v>6.3255699378555796E-2</v>
      </c>
      <c r="L2407">
        <v>681.29845199801002</v>
      </c>
      <c r="M2407">
        <v>14.104930751389601</v>
      </c>
      <c r="N2407">
        <v>48.529804701837101</v>
      </c>
      <c r="O2407">
        <v>47.3623387471225</v>
      </c>
      <c r="P2407">
        <v>-7.2078090339929499E-2</v>
      </c>
      <c r="Q2407">
        <v>3.2012782009266702E-2</v>
      </c>
      <c r="R2407">
        <v>0.98970542600419198</v>
      </c>
      <c r="S2407" t="s">
        <v>8809</v>
      </c>
      <c r="T2407" t="s">
        <v>12802</v>
      </c>
      <c r="U2407" t="s">
        <v>12802</v>
      </c>
      <c r="V2407" t="s">
        <v>12802</v>
      </c>
      <c r="W2407" t="s">
        <v>15163</v>
      </c>
      <c r="X2407">
        <v>5</v>
      </c>
      <c r="Y2407" t="s">
        <v>21434</v>
      </c>
      <c r="Z2407" t="s">
        <v>27725</v>
      </c>
      <c r="AA2407">
        <v>0.42008555145321919</v>
      </c>
      <c r="AB2407" t="str">
        <f>HYPERLINK("Melting_Curves/meltCurve_P30260_CDC27.pdf", "Melting_Curves/meltCurve_P30260_CDC27.pdf")</f>
        <v>Melting_Curves/meltCurve_P30260_CDC27.pdf</v>
      </c>
    </row>
    <row r="2408" spans="1:28" x14ac:dyDescent="0.25">
      <c r="A2408" t="s">
        <v>2412</v>
      </c>
      <c r="B2408">
        <v>0.99542014353169495</v>
      </c>
      <c r="C2408">
        <v>1.11004488581198</v>
      </c>
      <c r="D2408">
        <v>0.97187755386529695</v>
      </c>
      <c r="E2408">
        <v>0.79054765627490298</v>
      </c>
      <c r="F2408">
        <v>0.68604415923058604</v>
      </c>
      <c r="G2408">
        <v>0.41219903645337302</v>
      </c>
      <c r="H2408">
        <v>0.23851622312780801</v>
      </c>
      <c r="I2408">
        <v>0.132886871979329</v>
      </c>
      <c r="J2408">
        <v>0.15637115500408699</v>
      </c>
      <c r="K2408">
        <v>0.16813901617854801</v>
      </c>
      <c r="L2408">
        <v>835.00182794547902</v>
      </c>
      <c r="M2408">
        <v>16.236263791714102</v>
      </c>
      <c r="N2408">
        <v>52.260555412967399</v>
      </c>
      <c r="O2408">
        <v>50.667017827585497</v>
      </c>
      <c r="P2408">
        <v>-7.0990419960377402E-2</v>
      </c>
      <c r="Q2408">
        <v>0.11393228750048701</v>
      </c>
      <c r="R2408">
        <v>0.98205980818335903</v>
      </c>
      <c r="S2408" t="s">
        <v>8810</v>
      </c>
      <c r="T2408" t="s">
        <v>12802</v>
      </c>
      <c r="U2408" t="s">
        <v>12802</v>
      </c>
      <c r="V2408" t="s">
        <v>12802</v>
      </c>
      <c r="W2408" t="s">
        <v>15164</v>
      </c>
      <c r="X2408">
        <v>3</v>
      </c>
      <c r="Y2408" t="s">
        <v>21435</v>
      </c>
      <c r="Z2408" t="s">
        <v>27726</v>
      </c>
      <c r="AA2408">
        <v>0.55585183312985109</v>
      </c>
      <c r="AB2408" t="str">
        <f>HYPERLINK("Melting_Curves/meltCurve_P30291_WEE1.pdf", "Melting_Curves/meltCurve_P30291_WEE1.pdf")</f>
        <v>Melting_Curves/meltCurve_P30291_WEE1.pdf</v>
      </c>
    </row>
    <row r="2409" spans="1:28" x14ac:dyDescent="0.25">
      <c r="A2409" t="s">
        <v>2413</v>
      </c>
      <c r="B2409">
        <v>0.99542014353169495</v>
      </c>
      <c r="C2409">
        <v>0.99175799588227498</v>
      </c>
      <c r="D2409">
        <v>0.66466247624694097</v>
      </c>
      <c r="E2409">
        <v>0.38704608139674102</v>
      </c>
      <c r="F2409">
        <v>0.29988875874786702</v>
      </c>
      <c r="G2409">
        <v>0.16884002178973401</v>
      </c>
      <c r="H2409">
        <v>0.145945579592275</v>
      </c>
      <c r="I2409">
        <v>9.0875632110330506E-2</v>
      </c>
      <c r="J2409">
        <v>0.13584966428067599</v>
      </c>
      <c r="K2409">
        <v>0.13871494874993101</v>
      </c>
      <c r="L2409">
        <v>822.80906884218098</v>
      </c>
      <c r="M2409">
        <v>18.438037898301602</v>
      </c>
      <c r="N2409">
        <v>45.381153063120301</v>
      </c>
      <c r="O2409">
        <v>44.110649735443403</v>
      </c>
      <c r="P2409">
        <v>-9.0692292645527695E-2</v>
      </c>
      <c r="Q2409">
        <v>0.13216039122321899</v>
      </c>
      <c r="R2409">
        <v>0.98591082883792003</v>
      </c>
      <c r="S2409" t="s">
        <v>8811</v>
      </c>
      <c r="T2409" t="s">
        <v>12802</v>
      </c>
      <c r="U2409" t="s">
        <v>12802</v>
      </c>
      <c r="V2409" t="s">
        <v>12802</v>
      </c>
      <c r="W2409" t="s">
        <v>15165</v>
      </c>
      <c r="X2409">
        <v>3</v>
      </c>
      <c r="Y2409" t="s">
        <v>21436</v>
      </c>
      <c r="Z2409" t="s">
        <v>27727</v>
      </c>
      <c r="AA2409">
        <v>0.36638256834017768</v>
      </c>
      <c r="AB2409" t="str">
        <f>HYPERLINK("Melting_Curves/meltCurve_P30307_CDC25C.pdf", "Melting_Curves/meltCurve_P30307_CDC25C.pdf")</f>
        <v>Melting_Curves/meltCurve_P30307_CDC25C.pdf</v>
      </c>
    </row>
    <row r="2410" spans="1:28" x14ac:dyDescent="0.25">
      <c r="A2410" t="s">
        <v>2414</v>
      </c>
      <c r="B2410">
        <v>0.99542014353169495</v>
      </c>
      <c r="C2410">
        <v>1.03156248488255</v>
      </c>
      <c r="D2410">
        <v>0.81338468927666996</v>
      </c>
      <c r="E2410">
        <v>0.74122122785349098</v>
      </c>
      <c r="F2410">
        <v>0.52857334295327096</v>
      </c>
      <c r="G2410">
        <v>0.26730859672240298</v>
      </c>
      <c r="H2410">
        <v>9.3691762565614498E-2</v>
      </c>
      <c r="I2410">
        <v>5.7758932884260199E-2</v>
      </c>
      <c r="J2410">
        <v>7.5671993694718401E-2</v>
      </c>
      <c r="K2410">
        <v>6.1244727174530403E-2</v>
      </c>
      <c r="L2410">
        <v>695.21161698524304</v>
      </c>
      <c r="M2410">
        <v>13.928255931130099</v>
      </c>
      <c r="N2410">
        <v>49.963069523426299</v>
      </c>
      <c r="O2410">
        <v>48.918614404131098</v>
      </c>
      <c r="P2410">
        <v>-7.0704561016695103E-2</v>
      </c>
      <c r="Q2410">
        <v>6.8240435935082401E-3</v>
      </c>
      <c r="R2410">
        <v>0.98720894536352</v>
      </c>
      <c r="S2410" t="s">
        <v>8812</v>
      </c>
      <c r="T2410" t="s">
        <v>12802</v>
      </c>
      <c r="U2410" t="s">
        <v>12802</v>
      </c>
      <c r="V2410" t="s">
        <v>12802</v>
      </c>
      <c r="W2410" t="s">
        <v>15166</v>
      </c>
      <c r="X2410">
        <v>13</v>
      </c>
      <c r="Y2410" t="s">
        <v>21437</v>
      </c>
      <c r="Z2410" t="s">
        <v>27728</v>
      </c>
      <c r="AA2410">
        <v>0.45746180518864532</v>
      </c>
      <c r="AB2410" t="str">
        <f>HYPERLINK("Melting_Curves/meltCurve_P30405_PPIF.pdf", "Melting_Curves/meltCurve_P30405_PPIF.pdf")</f>
        <v>Melting_Curves/meltCurve_P30405_PPIF.pdf</v>
      </c>
    </row>
    <row r="2411" spans="1:28" x14ac:dyDescent="0.25">
      <c r="A2411" t="s">
        <v>2415</v>
      </c>
      <c r="B2411">
        <v>0.99542014353169495</v>
      </c>
      <c r="C2411">
        <v>1.03519304672039</v>
      </c>
      <c r="D2411">
        <v>0.96991466129308701</v>
      </c>
      <c r="E2411">
        <v>0.93806673396801799</v>
      </c>
      <c r="F2411">
        <v>0.69839986180216596</v>
      </c>
      <c r="G2411">
        <v>0.25428880122376102</v>
      </c>
      <c r="H2411">
        <v>4.9133086376610402E-2</v>
      </c>
      <c r="I2411">
        <v>3.8028732582358601E-2</v>
      </c>
      <c r="J2411">
        <v>3.46865911311946E-2</v>
      </c>
      <c r="K2411">
        <v>4.0939002231791803E-2</v>
      </c>
      <c r="L2411">
        <v>1496.3390810824999</v>
      </c>
      <c r="M2411">
        <v>29.029951068912698</v>
      </c>
      <c r="N2411">
        <v>51.641261246205801</v>
      </c>
      <c r="O2411">
        <v>51.301930216879597</v>
      </c>
      <c r="P2411">
        <v>-0.13772875795931999</v>
      </c>
      <c r="Q2411">
        <v>2.6426401692651601E-2</v>
      </c>
      <c r="R2411">
        <v>0.99827100735083896</v>
      </c>
      <c r="S2411" t="s">
        <v>8813</v>
      </c>
      <c r="T2411" t="s">
        <v>12802</v>
      </c>
      <c r="U2411" t="s">
        <v>12802</v>
      </c>
      <c r="V2411" t="s">
        <v>12802</v>
      </c>
      <c r="W2411" t="s">
        <v>15167</v>
      </c>
      <c r="X2411">
        <v>16</v>
      </c>
      <c r="Y2411" t="s">
        <v>21438</v>
      </c>
      <c r="Z2411" t="s">
        <v>27729</v>
      </c>
      <c r="AA2411">
        <v>0.5049454122664635</v>
      </c>
      <c r="AB2411" t="str">
        <f>HYPERLINK("Melting_Curves/meltCurve_P30419_NMT1.pdf", "Melting_Curves/meltCurve_P30419_NMT1.pdf")</f>
        <v>Melting_Curves/meltCurve_P30419_NMT1.pdf</v>
      </c>
    </row>
    <row r="2412" spans="1:28" x14ac:dyDescent="0.25">
      <c r="A2412" t="s">
        <v>2416</v>
      </c>
      <c r="B2412">
        <v>0.99542014353169495</v>
      </c>
      <c r="C2412">
        <v>0.95262320549135604</v>
      </c>
      <c r="D2412">
        <v>0.96063080435130199</v>
      </c>
      <c r="E2412">
        <v>0.78827146250396296</v>
      </c>
      <c r="F2412">
        <v>0.25189455753428303</v>
      </c>
      <c r="G2412">
        <v>0.10821506457288201</v>
      </c>
      <c r="H2412">
        <v>6.46136753404771E-2</v>
      </c>
      <c r="I2412">
        <v>4.7549550349796001E-2</v>
      </c>
      <c r="J2412">
        <v>5.35247715612268E-2</v>
      </c>
      <c r="K2412">
        <v>5.1948867963686203E-2</v>
      </c>
      <c r="L2412">
        <v>1600.09905513902</v>
      </c>
      <c r="M2412">
        <v>33.149360909455197</v>
      </c>
      <c r="N2412">
        <v>48.444362936540301</v>
      </c>
      <c r="O2412">
        <v>48.094733242730896</v>
      </c>
      <c r="P2412">
        <v>-0.16259107011563301</v>
      </c>
      <c r="Q2412">
        <v>5.6423446879963798E-2</v>
      </c>
      <c r="R2412">
        <v>0.99793161809208497</v>
      </c>
      <c r="S2412" t="s">
        <v>8814</v>
      </c>
      <c r="T2412" t="s">
        <v>12802</v>
      </c>
      <c r="U2412" t="s">
        <v>12802</v>
      </c>
      <c r="V2412" t="s">
        <v>12802</v>
      </c>
      <c r="W2412" t="s">
        <v>15168</v>
      </c>
      <c r="X2412">
        <v>21</v>
      </c>
      <c r="Y2412" t="s">
        <v>21439</v>
      </c>
      <c r="Z2412" t="s">
        <v>27730</v>
      </c>
      <c r="AA2412">
        <v>0.4154701816420393</v>
      </c>
      <c r="AB2412" t="str">
        <f>HYPERLINK("Melting_Curves/meltCurve_P30519_HMOX2.pdf", "Melting_Curves/meltCurve_P30519_HMOX2.pdf")</f>
        <v>Melting_Curves/meltCurve_P30519_HMOX2.pdf</v>
      </c>
    </row>
    <row r="2413" spans="1:28" x14ac:dyDescent="0.25">
      <c r="A2413" t="s">
        <v>2417</v>
      </c>
      <c r="B2413">
        <v>0.99542014353169495</v>
      </c>
      <c r="C2413">
        <v>0.985810103544425</v>
      </c>
      <c r="D2413">
        <v>0.92048799249970603</v>
      </c>
      <c r="E2413">
        <v>0.87530364716671905</v>
      </c>
      <c r="F2413">
        <v>0.76139563770024399</v>
      </c>
      <c r="G2413">
        <v>0.690228477804123</v>
      </c>
      <c r="H2413">
        <v>0.43038034348927701</v>
      </c>
      <c r="I2413">
        <v>0.17296551045139899</v>
      </c>
      <c r="J2413">
        <v>9.2471095039164106E-2</v>
      </c>
      <c r="K2413">
        <v>9.1430514897590701E-2</v>
      </c>
      <c r="L2413">
        <v>763.60726085872398</v>
      </c>
      <c r="M2413">
        <v>13.738329278885001</v>
      </c>
      <c r="N2413">
        <v>55.582250867549099</v>
      </c>
      <c r="O2413">
        <v>54.444281786332503</v>
      </c>
      <c r="P2413">
        <v>-6.3093340122467104E-2</v>
      </c>
      <c r="Q2413">
        <v>0</v>
      </c>
      <c r="R2413">
        <v>0.98168638753316395</v>
      </c>
      <c r="S2413" t="s">
        <v>8815</v>
      </c>
      <c r="T2413" t="s">
        <v>12802</v>
      </c>
      <c r="U2413" t="s">
        <v>12802</v>
      </c>
      <c r="V2413" t="s">
        <v>12802</v>
      </c>
      <c r="W2413" t="s">
        <v>15169</v>
      </c>
      <c r="X2413">
        <v>25</v>
      </c>
      <c r="Y2413" t="s">
        <v>21440</v>
      </c>
      <c r="Z2413" t="s">
        <v>27731</v>
      </c>
      <c r="AA2413">
        <v>0.6320023835297377</v>
      </c>
      <c r="AB2413" t="str">
        <f>HYPERLINK("Melting_Curves/meltCurve_P30520_ADSS.pdf", "Melting_Curves/meltCurve_P30520_ADSS.pdf")</f>
        <v>Melting_Curves/meltCurve_P30520_ADSS.pdf</v>
      </c>
    </row>
    <row r="2414" spans="1:28" x14ac:dyDescent="0.25">
      <c r="A2414" t="s">
        <v>2418</v>
      </c>
      <c r="B2414">
        <v>0.99542014353169495</v>
      </c>
      <c r="C2414">
        <v>1.0226446657627299</v>
      </c>
      <c r="D2414">
        <v>0.95143375033378497</v>
      </c>
      <c r="E2414">
        <v>0.92355892833794495</v>
      </c>
      <c r="F2414">
        <v>0.76420124581307802</v>
      </c>
      <c r="G2414">
        <v>0.62296275757078601</v>
      </c>
      <c r="H2414">
        <v>0.43834698331397298</v>
      </c>
      <c r="I2414">
        <v>0.37382521794384099</v>
      </c>
      <c r="J2414">
        <v>0.54147083939094798</v>
      </c>
      <c r="K2414">
        <v>0.72358905669312301</v>
      </c>
      <c r="L2414">
        <v>1357.4822930074699</v>
      </c>
      <c r="M2414">
        <v>27.101222905381</v>
      </c>
      <c r="O2414">
        <v>49.819019682568097</v>
      </c>
      <c r="P2414">
        <v>-6.4800617105914601E-2</v>
      </c>
      <c r="Q2414">
        <v>0.52352403621247101</v>
      </c>
      <c r="R2414">
        <v>0.84507800110335896</v>
      </c>
      <c r="S2414" t="s">
        <v>8816</v>
      </c>
      <c r="T2414" t="s">
        <v>12802</v>
      </c>
      <c r="U2414" t="s">
        <v>12802</v>
      </c>
      <c r="V2414" t="s">
        <v>12802</v>
      </c>
      <c r="W2414" t="s">
        <v>15170</v>
      </c>
      <c r="X2414">
        <v>24</v>
      </c>
      <c r="Y2414" t="s">
        <v>21441</v>
      </c>
      <c r="Z2414" t="s">
        <v>27732</v>
      </c>
      <c r="AA2414">
        <v>0.73498770376038403</v>
      </c>
      <c r="AB2414" t="str">
        <f>HYPERLINK("Melting_Curves/meltCurve_P30533_LRPAP1.pdf", "Melting_Curves/meltCurve_P30533_LRPAP1.pdf")</f>
        <v>Melting_Curves/meltCurve_P30533_LRPAP1.pdf</v>
      </c>
    </row>
    <row r="2415" spans="1:28" x14ac:dyDescent="0.25">
      <c r="A2415" t="s">
        <v>2419</v>
      </c>
      <c r="B2415">
        <v>0.99542014353169495</v>
      </c>
      <c r="C2415">
        <v>0.86816008403732703</v>
      </c>
      <c r="D2415">
        <v>0.91887301864168203</v>
      </c>
      <c r="E2415">
        <v>0.79906772258502501</v>
      </c>
      <c r="F2415">
        <v>0.70239456409532997</v>
      </c>
      <c r="G2415">
        <v>0.53642136468388602</v>
      </c>
      <c r="H2415">
        <v>0.45324259807255801</v>
      </c>
      <c r="I2415">
        <v>0.40077501940475502</v>
      </c>
      <c r="J2415">
        <v>7.0016476684673007E-2</v>
      </c>
      <c r="K2415">
        <v>7.3087871735613999E-2</v>
      </c>
      <c r="L2415">
        <v>506.02751044128598</v>
      </c>
      <c r="M2415">
        <v>9.2543802919042104</v>
      </c>
      <c r="N2415">
        <v>54.679783460043701</v>
      </c>
      <c r="O2415">
        <v>52.308477973414</v>
      </c>
      <c r="P2415">
        <v>-4.4258731718496001E-2</v>
      </c>
      <c r="Q2415">
        <v>0</v>
      </c>
      <c r="R2415">
        <v>0.945042787314192</v>
      </c>
      <c r="S2415" t="s">
        <v>8817</v>
      </c>
      <c r="T2415" t="s">
        <v>12802</v>
      </c>
      <c r="U2415" t="s">
        <v>12802</v>
      </c>
      <c r="V2415" t="s">
        <v>12802</v>
      </c>
      <c r="W2415" t="s">
        <v>15171</v>
      </c>
      <c r="X2415">
        <v>23</v>
      </c>
      <c r="Y2415" t="s">
        <v>21442</v>
      </c>
      <c r="Z2415" t="s">
        <v>27733</v>
      </c>
      <c r="AA2415">
        <v>0.60205372447602101</v>
      </c>
      <c r="AB2415" t="str">
        <f>HYPERLINK("Melting_Curves/meltCurve_P30566_ADSL.pdf", "Melting_Curves/meltCurve_P30566_ADSL.pdf")</f>
        <v>Melting_Curves/meltCurve_P30566_ADSL.pdf</v>
      </c>
    </row>
    <row r="2416" spans="1:28" x14ac:dyDescent="0.25">
      <c r="A2416" t="s">
        <v>2420</v>
      </c>
      <c r="B2416">
        <v>0.99542014353169495</v>
      </c>
      <c r="C2416">
        <v>0.94819384726516798</v>
      </c>
      <c r="D2416">
        <v>0.94496970349943898</v>
      </c>
      <c r="E2416">
        <v>0.78822527054796798</v>
      </c>
      <c r="F2416">
        <v>0.67531161039018806</v>
      </c>
      <c r="G2416">
        <v>0.44998678657536001</v>
      </c>
      <c r="H2416">
        <v>0.34039331550746299</v>
      </c>
      <c r="I2416">
        <v>0.194876243738658</v>
      </c>
      <c r="J2416">
        <v>6.6436802135185602E-2</v>
      </c>
      <c r="K2416">
        <v>5.5977781999541301E-2</v>
      </c>
      <c r="L2416">
        <v>604.95128845148804</v>
      </c>
      <c r="M2416">
        <v>11.4113063422017</v>
      </c>
      <c r="N2416">
        <v>53.013328615940203</v>
      </c>
      <c r="O2416">
        <v>51.463618103410603</v>
      </c>
      <c r="P2416">
        <v>-5.5450083855706198E-2</v>
      </c>
      <c r="Q2416">
        <v>0</v>
      </c>
      <c r="R2416">
        <v>0.99265651140306199</v>
      </c>
      <c r="S2416" t="s">
        <v>8818</v>
      </c>
      <c r="T2416" t="s">
        <v>12802</v>
      </c>
      <c r="U2416" t="s">
        <v>12802</v>
      </c>
      <c r="V2416" t="s">
        <v>12802</v>
      </c>
      <c r="W2416" t="s">
        <v>15172</v>
      </c>
      <c r="X2416">
        <v>30</v>
      </c>
      <c r="Y2416" t="s">
        <v>21443</v>
      </c>
      <c r="Z2416" t="s">
        <v>27734</v>
      </c>
      <c r="AA2416">
        <v>0.5553167664756955</v>
      </c>
      <c r="AB2416" t="str">
        <f>HYPERLINK("Melting_Curves/meltCurve_P30613_PKLR.pdf", "Melting_Curves/meltCurve_P30613_PKLR.pdf")</f>
        <v>Melting_Curves/meltCurve_P30613_PKLR.pdf</v>
      </c>
    </row>
    <row r="2417" spans="1:28" x14ac:dyDescent="0.25">
      <c r="A2417" t="s">
        <v>2421</v>
      </c>
      <c r="B2417">
        <v>0.99542014353169495</v>
      </c>
      <c r="C2417">
        <v>1.0296298531554999</v>
      </c>
      <c r="D2417">
        <v>0.98558353105117003</v>
      </c>
      <c r="E2417">
        <v>0.87478884445339899</v>
      </c>
      <c r="F2417">
        <v>0.67112827188692503</v>
      </c>
      <c r="G2417">
        <v>0.41996565378268602</v>
      </c>
      <c r="H2417">
        <v>0.25653484582557901</v>
      </c>
      <c r="I2417">
        <v>0.16995644768142101</v>
      </c>
      <c r="J2417">
        <v>0.21901230921450099</v>
      </c>
      <c r="K2417">
        <v>0.32359603162075901</v>
      </c>
      <c r="L2417">
        <v>1110.2396013545299</v>
      </c>
      <c r="M2417">
        <v>21.872124366625801</v>
      </c>
      <c r="N2417">
        <v>52.1899908087913</v>
      </c>
      <c r="O2417">
        <v>50.341872923243798</v>
      </c>
      <c r="P2417">
        <v>-8.4143496385822303E-2</v>
      </c>
      <c r="Q2417">
        <v>0.22534369633892301</v>
      </c>
      <c r="R2417">
        <v>0.98424073398508705</v>
      </c>
      <c r="S2417" t="s">
        <v>8819</v>
      </c>
      <c r="T2417" t="s">
        <v>12802</v>
      </c>
      <c r="U2417" t="s">
        <v>12802</v>
      </c>
      <c r="V2417" t="s">
        <v>12802</v>
      </c>
      <c r="W2417" t="s">
        <v>15173</v>
      </c>
      <c r="X2417">
        <v>56</v>
      </c>
      <c r="Y2417" t="s">
        <v>21444</v>
      </c>
      <c r="Z2417" t="s">
        <v>27735</v>
      </c>
      <c r="AA2417">
        <v>0.5893703407507207</v>
      </c>
      <c r="AB2417" t="str">
        <f>HYPERLINK("Melting_Curves/meltCurve_P30622_1_CLIP1.pdf", "Melting_Curves/meltCurve_P30622_1_CLIP1.pdf")</f>
        <v>Melting_Curves/meltCurve_P30622_1_CLIP1.pdf</v>
      </c>
    </row>
    <row r="2418" spans="1:28" x14ac:dyDescent="0.25">
      <c r="A2418" t="s">
        <v>2422</v>
      </c>
      <c r="B2418">
        <v>0.99542014353169495</v>
      </c>
      <c r="C2418">
        <v>1.02708204032117</v>
      </c>
      <c r="D2418">
        <v>0.94569494116187602</v>
      </c>
      <c r="E2418">
        <v>0.89883445863062905</v>
      </c>
      <c r="F2418">
        <v>0.86383197299799497</v>
      </c>
      <c r="G2418">
        <v>0.72854608085420203</v>
      </c>
      <c r="H2418">
        <v>0.54159066657930299</v>
      </c>
      <c r="I2418">
        <v>0.51664471119593303</v>
      </c>
      <c r="J2418">
        <v>0.71836717356288204</v>
      </c>
      <c r="K2418">
        <v>0.74795987508032602</v>
      </c>
      <c r="L2418">
        <v>1190.8145946946399</v>
      </c>
      <c r="M2418">
        <v>23.623537676619598</v>
      </c>
      <c r="O2418">
        <v>50.050930586300197</v>
      </c>
      <c r="P2418">
        <v>-4.3203881198449E-2</v>
      </c>
      <c r="Q2418">
        <v>0.63386382950682196</v>
      </c>
      <c r="R2418">
        <v>0.80619266936380596</v>
      </c>
      <c r="S2418" t="s">
        <v>8820</v>
      </c>
      <c r="T2418" t="s">
        <v>12802</v>
      </c>
      <c r="U2418" t="s">
        <v>12802</v>
      </c>
      <c r="V2418" t="s">
        <v>12802</v>
      </c>
      <c r="W2418" t="s">
        <v>15174</v>
      </c>
      <c r="X2418">
        <v>5</v>
      </c>
      <c r="Y2418" t="s">
        <v>21445</v>
      </c>
      <c r="Z2418" t="s">
        <v>27736</v>
      </c>
      <c r="AA2418">
        <v>0.80107606946322674</v>
      </c>
      <c r="AB2418" t="str">
        <f>HYPERLINK("Melting_Curves/meltCurve_P30711_GSTT1.pdf", "Melting_Curves/meltCurve_P30711_GSTT1.pdf")</f>
        <v>Melting_Curves/meltCurve_P30711_GSTT1.pdf</v>
      </c>
    </row>
    <row r="2419" spans="1:28" x14ac:dyDescent="0.25">
      <c r="A2419" t="s">
        <v>2423</v>
      </c>
      <c r="B2419">
        <v>0.99542014353169495</v>
      </c>
      <c r="C2419">
        <v>1.02400362487046</v>
      </c>
      <c r="D2419">
        <v>0.95699819768137695</v>
      </c>
      <c r="E2419">
        <v>0.95383362072336697</v>
      </c>
      <c r="F2419">
        <v>0.74863858617867396</v>
      </c>
      <c r="G2419">
        <v>0.36416133296092201</v>
      </c>
      <c r="H2419">
        <v>9.6208120410501002E-2</v>
      </c>
      <c r="I2419">
        <v>6.4483065785290103E-2</v>
      </c>
      <c r="J2419">
        <v>6.8846636605586903E-2</v>
      </c>
      <c r="K2419">
        <v>7.3234561106666096E-2</v>
      </c>
      <c r="L2419">
        <v>1389.8940400249101</v>
      </c>
      <c r="M2419">
        <v>26.639776751043701</v>
      </c>
      <c r="N2419">
        <v>52.392774005640497</v>
      </c>
      <c r="O2419">
        <v>51.882300297939103</v>
      </c>
      <c r="P2419">
        <v>-0.121600210475066</v>
      </c>
      <c r="Q2419">
        <v>5.2719879908265099E-2</v>
      </c>
      <c r="R2419">
        <v>0.99753857969041404</v>
      </c>
      <c r="S2419" t="s">
        <v>8821</v>
      </c>
      <c r="T2419" t="s">
        <v>12802</v>
      </c>
      <c r="U2419" t="s">
        <v>12802</v>
      </c>
      <c r="V2419" t="s">
        <v>12802</v>
      </c>
      <c r="W2419" t="s">
        <v>15175</v>
      </c>
      <c r="X2419">
        <v>19</v>
      </c>
      <c r="Y2419" t="s">
        <v>21446</v>
      </c>
      <c r="Z2419" t="s">
        <v>27737</v>
      </c>
      <c r="AA2419">
        <v>0.5393237763368276</v>
      </c>
      <c r="AB2419" t="str">
        <f>HYPERLINK("Melting_Curves/meltCurve_P30740_SERPINB1.pdf", "Melting_Curves/meltCurve_P30740_SERPINB1.pdf")</f>
        <v>Melting_Curves/meltCurve_P30740_SERPINB1.pdf</v>
      </c>
    </row>
    <row r="2420" spans="1:28" x14ac:dyDescent="0.25">
      <c r="A2420" t="s">
        <v>2424</v>
      </c>
      <c r="B2420">
        <v>0.99542014353169495</v>
      </c>
      <c r="C2420">
        <v>1.0287226096834701</v>
      </c>
      <c r="D2420">
        <v>1.0586805464370801</v>
      </c>
      <c r="E2420">
        <v>0.84208971343918104</v>
      </c>
      <c r="F2420">
        <v>0.86298627750619095</v>
      </c>
      <c r="G2420">
        <v>0.59054099751460198</v>
      </c>
      <c r="H2420">
        <v>0.50733661825464604</v>
      </c>
      <c r="I2420">
        <v>0.50170953796044904</v>
      </c>
      <c r="J2420">
        <v>0.67639406268338498</v>
      </c>
      <c r="K2420">
        <v>0.71999389517321499</v>
      </c>
      <c r="L2420">
        <v>1374.7445659094799</v>
      </c>
      <c r="M2420">
        <v>27.509625728974399</v>
      </c>
      <c r="O2420">
        <v>49.711392579873497</v>
      </c>
      <c r="P2420">
        <v>-5.6184670789256999E-2</v>
      </c>
      <c r="Q2420">
        <v>0.59388873609784898</v>
      </c>
      <c r="R2420">
        <v>0.83221384443456703</v>
      </c>
      <c r="S2420" t="s">
        <v>8822</v>
      </c>
      <c r="T2420" t="s">
        <v>12802</v>
      </c>
      <c r="U2420" t="s">
        <v>12802</v>
      </c>
      <c r="V2420" t="s">
        <v>12802</v>
      </c>
      <c r="W2420" t="s">
        <v>15176</v>
      </c>
      <c r="X2420">
        <v>3</v>
      </c>
      <c r="Y2420" t="s">
        <v>21447</v>
      </c>
      <c r="Z2420" t="s">
        <v>27738</v>
      </c>
      <c r="AA2420">
        <v>0.77246016823588159</v>
      </c>
      <c r="AB2420" t="str">
        <f>HYPERLINK("Melting_Curves/meltCurve_P30825_SLC7A1.pdf", "Melting_Curves/meltCurve_P30825_SLC7A1.pdf")</f>
        <v>Melting_Curves/meltCurve_P30825_SLC7A1.pdf</v>
      </c>
    </row>
    <row r="2421" spans="1:28" x14ac:dyDescent="0.25">
      <c r="A2421" t="s">
        <v>2425</v>
      </c>
      <c r="B2421">
        <v>0.99542014353169495</v>
      </c>
      <c r="C2421">
        <v>0.91479949999112098</v>
      </c>
      <c r="D2421">
        <v>0.94082068327503698</v>
      </c>
      <c r="E2421">
        <v>0.82921694677871605</v>
      </c>
      <c r="F2421">
        <v>0.66812524297925902</v>
      </c>
      <c r="G2421">
        <v>0.37027714785418298</v>
      </c>
      <c r="H2421">
        <v>0.14202058172065599</v>
      </c>
      <c r="I2421">
        <v>8.6380779379625697E-2</v>
      </c>
      <c r="J2421">
        <v>8.0872209061981906E-2</v>
      </c>
      <c r="K2421">
        <v>8.7790041605552399E-2</v>
      </c>
      <c r="L2421">
        <v>854.88592910907198</v>
      </c>
      <c r="M2421">
        <v>16.564177875844301</v>
      </c>
      <c r="N2421">
        <v>51.837440945325802</v>
      </c>
      <c r="O2421">
        <v>50.875893087871802</v>
      </c>
      <c r="P2421">
        <v>-7.8553923814940405E-2</v>
      </c>
      <c r="Q2421">
        <v>3.4971100164548401E-2</v>
      </c>
      <c r="R2421">
        <v>0.99080382422230295</v>
      </c>
      <c r="S2421" t="s">
        <v>8823</v>
      </c>
      <c r="T2421" t="s">
        <v>12802</v>
      </c>
      <c r="U2421" t="s">
        <v>12802</v>
      </c>
      <c r="V2421" t="s">
        <v>12802</v>
      </c>
      <c r="W2421" t="s">
        <v>15177</v>
      </c>
      <c r="X2421">
        <v>15</v>
      </c>
      <c r="Y2421" t="s">
        <v>21448</v>
      </c>
      <c r="Z2421" t="s">
        <v>27739</v>
      </c>
      <c r="AA2421">
        <v>0.52156192479926167</v>
      </c>
      <c r="AB2421" t="str">
        <f>HYPERLINK("Melting_Curves/meltCurve_P30837_ALDH1B1.pdf", "Melting_Curves/meltCurve_P30837_ALDH1B1.pdf")</f>
        <v>Melting_Curves/meltCurve_P30837_ALDH1B1.pdf</v>
      </c>
    </row>
    <row r="2422" spans="1:28" x14ac:dyDescent="0.25">
      <c r="A2422" t="s">
        <v>2426</v>
      </c>
      <c r="B2422">
        <v>0.99542014353169495</v>
      </c>
      <c r="C2422">
        <v>0.94203363248935001</v>
      </c>
      <c r="D2422">
        <v>1.0140525625841701</v>
      </c>
      <c r="E2422">
        <v>0.88533992905980796</v>
      </c>
      <c r="F2422">
        <v>0.76704663512007998</v>
      </c>
      <c r="G2422">
        <v>0.55449335350244899</v>
      </c>
      <c r="H2422">
        <v>0.363416246652014</v>
      </c>
      <c r="I2422">
        <v>0.21254392403903799</v>
      </c>
      <c r="J2422">
        <v>7.3962163381208798E-2</v>
      </c>
      <c r="K2422">
        <v>7.8631153292931494E-2</v>
      </c>
      <c r="L2422">
        <v>737.68035504656996</v>
      </c>
      <c r="M2422">
        <v>13.493946846583301</v>
      </c>
      <c r="N2422">
        <v>54.667501240566899</v>
      </c>
      <c r="O2422">
        <v>53.508782951074799</v>
      </c>
      <c r="P2422">
        <v>-6.3055108351024E-2</v>
      </c>
      <c r="Q2422">
        <v>0</v>
      </c>
      <c r="R2422">
        <v>0.99417612139504996</v>
      </c>
      <c r="S2422" t="s">
        <v>8824</v>
      </c>
      <c r="T2422" t="s">
        <v>12802</v>
      </c>
      <c r="U2422" t="s">
        <v>12802</v>
      </c>
      <c r="V2422" t="s">
        <v>12802</v>
      </c>
      <c r="W2422" t="s">
        <v>15178</v>
      </c>
      <c r="X2422">
        <v>30</v>
      </c>
      <c r="Y2422" t="s">
        <v>21449</v>
      </c>
      <c r="Z2422" t="s">
        <v>27740</v>
      </c>
      <c r="AA2422">
        <v>0.60435701053658231</v>
      </c>
      <c r="AB2422" t="str">
        <f>HYPERLINK("Melting_Curves/meltCurve_P31040_SDHA.pdf", "Melting_Curves/meltCurve_P31040_SDHA.pdf")</f>
        <v>Melting_Curves/meltCurve_P31040_SDHA.pdf</v>
      </c>
    </row>
    <row r="2423" spans="1:28" x14ac:dyDescent="0.25">
      <c r="A2423" t="s">
        <v>2427</v>
      </c>
      <c r="B2423">
        <v>0.99542014353169495</v>
      </c>
      <c r="C2423">
        <v>0.99960647841885897</v>
      </c>
      <c r="D2423">
        <v>1.0079332503677101</v>
      </c>
      <c r="E2423">
        <v>0.804308127615466</v>
      </c>
      <c r="F2423">
        <v>0.29033074603704701</v>
      </c>
      <c r="G2423">
        <v>0.23739999402067699</v>
      </c>
      <c r="H2423">
        <v>0.13054463351523901</v>
      </c>
      <c r="I2423">
        <v>0.105451004960187</v>
      </c>
      <c r="J2423">
        <v>0.138536939128592</v>
      </c>
      <c r="K2423">
        <v>0.11542941849971</v>
      </c>
      <c r="L2423">
        <v>1671.4705506559601</v>
      </c>
      <c r="M2423">
        <v>34.676630082839999</v>
      </c>
      <c r="N2423">
        <v>48.650168362604397</v>
      </c>
      <c r="O2423">
        <v>48.042184013858702</v>
      </c>
      <c r="P2423">
        <v>-0.15576051350369799</v>
      </c>
      <c r="Q2423">
        <v>0.1368194791057</v>
      </c>
      <c r="R2423">
        <v>0.99442529636587795</v>
      </c>
      <c r="S2423" t="s">
        <v>8825</v>
      </c>
      <c r="T2423" t="s">
        <v>12802</v>
      </c>
      <c r="U2423" t="s">
        <v>12802</v>
      </c>
      <c r="V2423" t="s">
        <v>12802</v>
      </c>
      <c r="W2423" t="s">
        <v>15179</v>
      </c>
      <c r="X2423">
        <v>6</v>
      </c>
      <c r="Y2423" t="s">
        <v>21450</v>
      </c>
      <c r="Z2423" t="s">
        <v>27741</v>
      </c>
      <c r="AA2423">
        <v>0.46295564660227118</v>
      </c>
      <c r="AB2423" t="str">
        <f>HYPERLINK("Melting_Curves/meltCurve_P31146_CORO1A.pdf", "Melting_Curves/meltCurve_P31146_CORO1A.pdf")</f>
        <v>Melting_Curves/meltCurve_P31146_CORO1A.pdf</v>
      </c>
    </row>
    <row r="2424" spans="1:28" x14ac:dyDescent="0.25">
      <c r="A2424" t="s">
        <v>2428</v>
      </c>
      <c r="B2424">
        <v>0.99542014353169495</v>
      </c>
      <c r="C2424">
        <v>1.0240282605198601</v>
      </c>
      <c r="D2424">
        <v>0.96650146278265903</v>
      </c>
      <c r="E2424">
        <v>0.93441624746351704</v>
      </c>
      <c r="F2424">
        <v>0.77532933759693501</v>
      </c>
      <c r="G2424">
        <v>0.51422815839106395</v>
      </c>
      <c r="H2424">
        <v>0.105743391983859</v>
      </c>
      <c r="I2424">
        <v>5.6940905655399797E-2</v>
      </c>
      <c r="J2424">
        <v>4.7543642344643901E-2</v>
      </c>
      <c r="K2424">
        <v>4.8046570922870603E-2</v>
      </c>
      <c r="L2424">
        <v>1221.9082998186</v>
      </c>
      <c r="M2424">
        <v>22.9324724955571</v>
      </c>
      <c r="N2424">
        <v>53.348912123956801</v>
      </c>
      <c r="O2424">
        <v>52.882677428220802</v>
      </c>
      <c r="P2424">
        <v>-0.106897183625286</v>
      </c>
      <c r="Q2424">
        <v>1.39916696997575E-2</v>
      </c>
      <c r="R2424">
        <v>0.99276950503884398</v>
      </c>
      <c r="S2424" t="s">
        <v>8826</v>
      </c>
      <c r="T2424" t="s">
        <v>12802</v>
      </c>
      <c r="U2424" t="s">
        <v>12802</v>
      </c>
      <c r="V2424" t="s">
        <v>12802</v>
      </c>
      <c r="W2424" t="s">
        <v>15180</v>
      </c>
      <c r="X2424">
        <v>25</v>
      </c>
      <c r="Y2424" t="s">
        <v>21451</v>
      </c>
      <c r="Z2424" t="s">
        <v>27742</v>
      </c>
      <c r="AA2424">
        <v>0.55917872681778313</v>
      </c>
      <c r="AB2424" t="str">
        <f>HYPERLINK("Melting_Curves/meltCurve_P31150_GDI1.pdf", "Melting_Curves/meltCurve_P31150_GDI1.pdf")</f>
        <v>Melting_Curves/meltCurve_P31150_GDI1.pdf</v>
      </c>
    </row>
    <row r="2425" spans="1:28" x14ac:dyDescent="0.25">
      <c r="A2425" t="s">
        <v>2429</v>
      </c>
      <c r="B2425">
        <v>0.99542014353169495</v>
      </c>
      <c r="C2425">
        <v>0.92466627120329303</v>
      </c>
      <c r="D2425">
        <v>0.95790378866316805</v>
      </c>
      <c r="E2425">
        <v>0.85757931854473801</v>
      </c>
      <c r="F2425">
        <v>0.77322113518010505</v>
      </c>
      <c r="G2425">
        <v>0.59309014481275202</v>
      </c>
      <c r="H2425">
        <v>0.488155548062365</v>
      </c>
      <c r="I2425">
        <v>0.44631314704856501</v>
      </c>
      <c r="J2425">
        <v>0.20745659009870501</v>
      </c>
      <c r="K2425">
        <v>0.187802815118011</v>
      </c>
      <c r="L2425">
        <v>494.45898325019101</v>
      </c>
      <c r="M2425">
        <v>8.69695151304321</v>
      </c>
      <c r="N2425">
        <v>56.854284370144399</v>
      </c>
      <c r="O2425">
        <v>54.088341583374799</v>
      </c>
      <c r="P2425">
        <v>-4.0231143116148803E-2</v>
      </c>
      <c r="Q2425">
        <v>0</v>
      </c>
      <c r="R2425">
        <v>0.97955229646514197</v>
      </c>
      <c r="S2425" t="s">
        <v>8827</v>
      </c>
      <c r="T2425" t="s">
        <v>12802</v>
      </c>
      <c r="U2425" t="s">
        <v>12802</v>
      </c>
      <c r="V2425" t="s">
        <v>12802</v>
      </c>
      <c r="W2425" t="s">
        <v>15181</v>
      </c>
      <c r="X2425">
        <v>26</v>
      </c>
      <c r="Y2425" t="s">
        <v>21452</v>
      </c>
      <c r="Z2425" t="s">
        <v>27743</v>
      </c>
      <c r="AA2425">
        <v>0.65634927579012758</v>
      </c>
      <c r="AB2425" t="str">
        <f>HYPERLINK("Melting_Curves/meltCurve_P31153_MAT2A.pdf", "Melting_Curves/meltCurve_P31153_MAT2A.pdf")</f>
        <v>Melting_Curves/meltCurve_P31153_MAT2A.pdf</v>
      </c>
    </row>
    <row r="2426" spans="1:28" x14ac:dyDescent="0.25">
      <c r="A2426" t="s">
        <v>2430</v>
      </c>
      <c r="B2426">
        <v>0.99542014353169495</v>
      </c>
      <c r="C2426">
        <v>1.0156431612163099</v>
      </c>
      <c r="D2426">
        <v>0.97062016063319101</v>
      </c>
      <c r="E2426">
        <v>0.82988267440381502</v>
      </c>
      <c r="F2426">
        <v>0.55738324208211898</v>
      </c>
      <c r="G2426">
        <v>0.27148018566366899</v>
      </c>
      <c r="H2426">
        <v>0.12669336776892001</v>
      </c>
      <c r="I2426">
        <v>7.9472712484076294E-2</v>
      </c>
      <c r="J2426">
        <v>6.3037170668713602E-2</v>
      </c>
      <c r="K2426">
        <v>5.4030028944055397E-2</v>
      </c>
      <c r="L2426">
        <v>962.372835630434</v>
      </c>
      <c r="M2426">
        <v>19.0498971522182</v>
      </c>
      <c r="N2426">
        <v>50.764619584326098</v>
      </c>
      <c r="O2426">
        <v>49.971694583807398</v>
      </c>
      <c r="P2426">
        <v>-9.1103591971210401E-2</v>
      </c>
      <c r="Q2426">
        <v>4.4105451062295298E-2</v>
      </c>
      <c r="R2426">
        <v>0.99958036709123699</v>
      </c>
      <c r="S2426" t="s">
        <v>8828</v>
      </c>
      <c r="T2426" t="s">
        <v>12802</v>
      </c>
      <c r="U2426" t="s">
        <v>12802</v>
      </c>
      <c r="V2426" t="s">
        <v>12802</v>
      </c>
      <c r="W2426" t="s">
        <v>15182</v>
      </c>
      <c r="X2426">
        <v>9</v>
      </c>
      <c r="Y2426" t="s">
        <v>21453</v>
      </c>
      <c r="Z2426" t="s">
        <v>27744</v>
      </c>
      <c r="AA2426">
        <v>0.48848190030757949</v>
      </c>
      <c r="AB2426" t="str">
        <f>HYPERLINK("Melting_Curves/meltCurve_P31321_PRKAR1B.pdf", "Melting_Curves/meltCurve_P31321_PRKAR1B.pdf")</f>
        <v>Melting_Curves/meltCurve_P31321_PRKAR1B.pdf</v>
      </c>
    </row>
    <row r="2427" spans="1:28" x14ac:dyDescent="0.25">
      <c r="A2427" t="s">
        <v>2431</v>
      </c>
      <c r="B2427">
        <v>0.99542014353169495</v>
      </c>
      <c r="C2427">
        <v>0.94884208482518995</v>
      </c>
      <c r="D2427">
        <v>0.86198026249246096</v>
      </c>
      <c r="E2427">
        <v>0.56665149832997797</v>
      </c>
      <c r="F2427">
        <v>0.25175570984344797</v>
      </c>
      <c r="G2427">
        <v>9.4755052534203604E-2</v>
      </c>
      <c r="H2427">
        <v>5.73847833382711E-2</v>
      </c>
      <c r="I2427">
        <v>4.1225449462023701E-2</v>
      </c>
      <c r="J2427">
        <v>4.7401783323270399E-2</v>
      </c>
      <c r="K2427">
        <v>4.6637678671964798E-2</v>
      </c>
      <c r="L2427">
        <v>917.65442094310902</v>
      </c>
      <c r="M2427">
        <v>19.5201367503971</v>
      </c>
      <c r="N2427">
        <v>47.180716342459199</v>
      </c>
      <c r="O2427">
        <v>46.525639815244801</v>
      </c>
      <c r="P2427">
        <v>-0.101329664751015</v>
      </c>
      <c r="Q2427">
        <v>3.3970679430399497E-2</v>
      </c>
      <c r="R2427">
        <v>0.99934100942904203</v>
      </c>
      <c r="S2427" t="s">
        <v>8829</v>
      </c>
      <c r="T2427" t="s">
        <v>12802</v>
      </c>
      <c r="U2427" t="s">
        <v>12802</v>
      </c>
      <c r="V2427" t="s">
        <v>12802</v>
      </c>
      <c r="W2427" t="s">
        <v>15183</v>
      </c>
      <c r="X2427">
        <v>21</v>
      </c>
      <c r="Y2427" t="s">
        <v>21454</v>
      </c>
      <c r="Z2427" t="s">
        <v>27745</v>
      </c>
      <c r="AA2427">
        <v>0.36958513548960492</v>
      </c>
      <c r="AB2427" t="str">
        <f>HYPERLINK("Melting_Curves/meltCurve_P31323_PRKAR2B.pdf", "Melting_Curves/meltCurve_P31323_PRKAR2B.pdf")</f>
        <v>Melting_Curves/meltCurve_P31323_PRKAR2B.pdf</v>
      </c>
    </row>
    <row r="2428" spans="1:28" x14ac:dyDescent="0.25">
      <c r="A2428" t="s">
        <v>2432</v>
      </c>
      <c r="B2428">
        <v>0.99542014353169495</v>
      </c>
      <c r="C2428">
        <v>1.0126671082637</v>
      </c>
      <c r="D2428">
        <v>0.97861053954780897</v>
      </c>
      <c r="E2428">
        <v>0.88918743974361003</v>
      </c>
      <c r="F2428">
        <v>0.73198421140158598</v>
      </c>
      <c r="G2428">
        <v>0.57707872041773001</v>
      </c>
      <c r="H2428">
        <v>0.47986902966464401</v>
      </c>
      <c r="I2428">
        <v>0.45434447784514997</v>
      </c>
      <c r="J2428">
        <v>0.64279860686630697</v>
      </c>
      <c r="K2428">
        <v>0.53757899773957296</v>
      </c>
      <c r="L2428">
        <v>1219.5239079779601</v>
      </c>
      <c r="M2428">
        <v>24.749428929730101</v>
      </c>
      <c r="O2428">
        <v>48.956511230815103</v>
      </c>
      <c r="P2428">
        <v>-5.98850208519262E-2</v>
      </c>
      <c r="Q2428">
        <v>0.526175617053664</v>
      </c>
      <c r="R2428">
        <v>0.94626072520711502</v>
      </c>
      <c r="S2428" t="s">
        <v>8830</v>
      </c>
      <c r="T2428" t="s">
        <v>12802</v>
      </c>
      <c r="U2428" t="s">
        <v>12802</v>
      </c>
      <c r="V2428" t="s">
        <v>12802</v>
      </c>
      <c r="W2428" t="s">
        <v>15184</v>
      </c>
      <c r="X2428">
        <v>23</v>
      </c>
      <c r="Y2428" t="s">
        <v>21455</v>
      </c>
      <c r="Z2428" t="s">
        <v>27746</v>
      </c>
      <c r="AA2428">
        <v>0.72423576395777511</v>
      </c>
      <c r="AB2428" t="str">
        <f>HYPERLINK("Melting_Curves/meltCurve_P31350_RRM2.pdf", "Melting_Curves/meltCurve_P31350_RRM2.pdf")</f>
        <v>Melting_Curves/meltCurve_P31350_RRM2.pdf</v>
      </c>
    </row>
    <row r="2429" spans="1:28" x14ac:dyDescent="0.25">
      <c r="A2429" t="s">
        <v>2433</v>
      </c>
      <c r="B2429">
        <v>0.99542014353169495</v>
      </c>
      <c r="C2429">
        <v>0.86194944668419304</v>
      </c>
      <c r="D2429">
        <v>0.98855960841491697</v>
      </c>
      <c r="E2429">
        <v>0.79567166068986805</v>
      </c>
      <c r="F2429">
        <v>0.55986157940746495</v>
      </c>
      <c r="G2429">
        <v>0.33364788038873</v>
      </c>
      <c r="H2429">
        <v>0.17677364702489301</v>
      </c>
      <c r="I2429">
        <v>7.9317710325812099E-2</v>
      </c>
      <c r="J2429">
        <v>8.5059199673890307E-2</v>
      </c>
      <c r="K2429">
        <v>9.0390967685618898E-2</v>
      </c>
      <c r="L2429">
        <v>776.22589755484705</v>
      </c>
      <c r="M2429">
        <v>15.310234397983599</v>
      </c>
      <c r="N2429">
        <v>51.007902908354801</v>
      </c>
      <c r="O2429">
        <v>49.858460054013101</v>
      </c>
      <c r="P2429">
        <v>-7.3385007665754995E-2</v>
      </c>
      <c r="Q2429">
        <v>4.4162940614638498E-2</v>
      </c>
      <c r="R2429">
        <v>0.985923511549751</v>
      </c>
      <c r="S2429" t="s">
        <v>8831</v>
      </c>
      <c r="T2429" t="s">
        <v>12802</v>
      </c>
      <c r="U2429" t="s">
        <v>12802</v>
      </c>
      <c r="V2429" t="s">
        <v>12802</v>
      </c>
      <c r="W2429" t="s">
        <v>15185</v>
      </c>
      <c r="X2429">
        <v>23</v>
      </c>
      <c r="Y2429" t="s">
        <v>21456</v>
      </c>
      <c r="Z2429" t="s">
        <v>27747</v>
      </c>
      <c r="AA2429">
        <v>0.49960216246815892</v>
      </c>
      <c r="AB2429" t="str">
        <f>HYPERLINK("Melting_Curves/meltCurve_P31689_DNAJA1.pdf", "Melting_Curves/meltCurve_P31689_DNAJA1.pdf")</f>
        <v>Melting_Curves/meltCurve_P31689_DNAJA1.pdf</v>
      </c>
    </row>
    <row r="2430" spans="1:28" x14ac:dyDescent="0.25">
      <c r="A2430" t="s">
        <v>2434</v>
      </c>
      <c r="B2430">
        <v>0.99542014353169495</v>
      </c>
      <c r="C2430">
        <v>0.98760444307253803</v>
      </c>
      <c r="D2430">
        <v>0.84047306151207901</v>
      </c>
      <c r="E2430">
        <v>0.55051272952526298</v>
      </c>
      <c r="F2430">
        <v>0.21866831466592501</v>
      </c>
      <c r="G2430">
        <v>0.111560190193189</v>
      </c>
      <c r="H2430">
        <v>7.4391043802536402E-2</v>
      </c>
      <c r="I2430">
        <v>4.7915438193107902E-2</v>
      </c>
      <c r="J2430">
        <v>4.9815411938345898E-2</v>
      </c>
      <c r="K2430">
        <v>5.1404746464860498E-2</v>
      </c>
      <c r="L2430">
        <v>949.06308735739401</v>
      </c>
      <c r="M2430">
        <v>20.3165264932932</v>
      </c>
      <c r="N2430">
        <v>46.938439788741398</v>
      </c>
      <c r="O2430">
        <v>46.268328121078902</v>
      </c>
      <c r="P2430">
        <v>-0.104694175337587</v>
      </c>
      <c r="Q2430">
        <v>4.6318025785289603E-2</v>
      </c>
      <c r="R2430">
        <v>0.99920631196923804</v>
      </c>
      <c r="S2430" t="s">
        <v>8832</v>
      </c>
      <c r="T2430" t="s">
        <v>12802</v>
      </c>
      <c r="U2430" t="s">
        <v>12802</v>
      </c>
      <c r="V2430" t="s">
        <v>12802</v>
      </c>
      <c r="W2430" t="s">
        <v>15186</v>
      </c>
      <c r="X2430">
        <v>7</v>
      </c>
      <c r="Y2430" t="s">
        <v>21457</v>
      </c>
      <c r="Z2430" t="s">
        <v>27748</v>
      </c>
      <c r="AA2430">
        <v>0.36720905605490778</v>
      </c>
      <c r="AB2430" t="str">
        <f>HYPERLINK("Melting_Curves/meltCurve_P31749_AKT1.pdf", "Melting_Curves/meltCurve_P31749_AKT1.pdf")</f>
        <v>Melting_Curves/meltCurve_P31749_AKT1.pdf</v>
      </c>
    </row>
    <row r="2431" spans="1:28" x14ac:dyDescent="0.25">
      <c r="A2431" t="s">
        <v>2435</v>
      </c>
      <c r="B2431">
        <v>0.99542014353169495</v>
      </c>
      <c r="C2431">
        <v>0.98175818698008699</v>
      </c>
      <c r="D2431">
        <v>0.94908949397196696</v>
      </c>
      <c r="E2431">
        <v>0.76849482990705598</v>
      </c>
      <c r="F2431">
        <v>0.35191156296126502</v>
      </c>
      <c r="G2431">
        <v>0.12781343515305199</v>
      </c>
      <c r="H2431">
        <v>7.7527832691228898E-2</v>
      </c>
      <c r="I2431">
        <v>4.6604520790586301E-2</v>
      </c>
      <c r="J2431">
        <v>6.6397621543742805E-2</v>
      </c>
      <c r="K2431">
        <v>7.3801556542425595E-2</v>
      </c>
      <c r="L2431">
        <v>1227.35408640113</v>
      </c>
      <c r="M2431">
        <v>25.245494246018801</v>
      </c>
      <c r="N2431">
        <v>48.8553978010167</v>
      </c>
      <c r="O2431">
        <v>48.314786533578797</v>
      </c>
      <c r="P2431">
        <v>-0.123054707385425</v>
      </c>
      <c r="Q2431">
        <v>5.8004576525233699E-2</v>
      </c>
      <c r="R2431">
        <v>0.999301087764354</v>
      </c>
      <c r="S2431" t="s">
        <v>8833</v>
      </c>
      <c r="T2431" t="s">
        <v>12802</v>
      </c>
      <c r="U2431" t="s">
        <v>12802</v>
      </c>
      <c r="V2431" t="s">
        <v>12802</v>
      </c>
      <c r="W2431" t="s">
        <v>15187</v>
      </c>
      <c r="X2431">
        <v>9</v>
      </c>
      <c r="Y2431" t="s">
        <v>21458</v>
      </c>
      <c r="Z2431" t="s">
        <v>27749</v>
      </c>
      <c r="AA2431">
        <v>0.43071343867823558</v>
      </c>
      <c r="AB2431" t="str">
        <f>HYPERLINK("Melting_Curves/meltCurve_P31751_AKT2.pdf", "Melting_Curves/meltCurve_P31751_AKT2.pdf")</f>
        <v>Melting_Curves/meltCurve_P31751_AKT2.pdf</v>
      </c>
    </row>
    <row r="2432" spans="1:28" x14ac:dyDescent="0.25">
      <c r="A2432" t="s">
        <v>2436</v>
      </c>
      <c r="B2432">
        <v>0.99542014353169495</v>
      </c>
      <c r="C2432">
        <v>0.90673831640214997</v>
      </c>
      <c r="D2432">
        <v>0.93511544384312895</v>
      </c>
      <c r="E2432">
        <v>0.65986486538674805</v>
      </c>
      <c r="F2432">
        <v>0.52323746767688095</v>
      </c>
      <c r="G2432">
        <v>0.28961157175265201</v>
      </c>
      <c r="H2432">
        <v>0.18689194003819401</v>
      </c>
      <c r="I2432">
        <v>9.4349035540447795E-2</v>
      </c>
      <c r="J2432">
        <v>9.9675753000885006E-2</v>
      </c>
      <c r="K2432">
        <v>0.11006401590180601</v>
      </c>
      <c r="L2432">
        <v>642.23550626324402</v>
      </c>
      <c r="M2432">
        <v>12.9774801578069</v>
      </c>
      <c r="N2432">
        <v>49.9120255109315</v>
      </c>
      <c r="O2432">
        <v>48.357571028328302</v>
      </c>
      <c r="P2432">
        <v>-6.36043472313777E-2</v>
      </c>
      <c r="Q2432">
        <v>5.2141174265267903E-2</v>
      </c>
      <c r="R2432">
        <v>0.99079996293343797</v>
      </c>
      <c r="S2432" t="s">
        <v>8834</v>
      </c>
      <c r="T2432" t="s">
        <v>12802</v>
      </c>
      <c r="U2432" t="s">
        <v>12802</v>
      </c>
      <c r="V2432" t="s">
        <v>12802</v>
      </c>
      <c r="W2432" t="s">
        <v>15188</v>
      </c>
      <c r="X2432">
        <v>19</v>
      </c>
      <c r="Y2432" t="s">
        <v>21459</v>
      </c>
      <c r="Z2432" t="s">
        <v>27750</v>
      </c>
      <c r="AA2432">
        <v>0.47146449451230132</v>
      </c>
      <c r="AB2432" t="str">
        <f>HYPERLINK("Melting_Curves/meltCurve_P31930_UQCRC1.pdf", "Melting_Curves/meltCurve_P31930_UQCRC1.pdf")</f>
        <v>Melting_Curves/meltCurve_P31930_UQCRC1.pdf</v>
      </c>
    </row>
    <row r="2433" spans="1:28" x14ac:dyDescent="0.25">
      <c r="A2433" t="s">
        <v>2437</v>
      </c>
      <c r="B2433">
        <v>0.99542014353169495</v>
      </c>
      <c r="C2433">
        <v>1.0274218871510199</v>
      </c>
      <c r="D2433">
        <v>0.99407056822155604</v>
      </c>
      <c r="E2433">
        <v>0.93713589421747701</v>
      </c>
      <c r="F2433">
        <v>0.78729152058573904</v>
      </c>
      <c r="G2433">
        <v>0.65035869110546796</v>
      </c>
      <c r="H2433">
        <v>0.46802821087726698</v>
      </c>
      <c r="I2433">
        <v>0.384189914485488</v>
      </c>
      <c r="J2433">
        <v>0.178045621669566</v>
      </c>
      <c r="K2433">
        <v>9.0386208316871899E-2</v>
      </c>
      <c r="L2433">
        <v>665.55485443240798</v>
      </c>
      <c r="M2433">
        <v>11.7244880279735</v>
      </c>
      <c r="N2433">
        <v>56.766219028174604</v>
      </c>
      <c r="O2433">
        <v>55.190286569387503</v>
      </c>
      <c r="P2433">
        <v>-5.3123389656481002E-2</v>
      </c>
      <c r="Q2433">
        <v>0</v>
      </c>
      <c r="R2433">
        <v>0.98893873869931503</v>
      </c>
      <c r="S2433" t="s">
        <v>8835</v>
      </c>
      <c r="T2433" t="s">
        <v>12802</v>
      </c>
      <c r="U2433" t="s">
        <v>12802</v>
      </c>
      <c r="V2433" t="s">
        <v>12802</v>
      </c>
      <c r="W2433" t="s">
        <v>15189</v>
      </c>
      <c r="X2433">
        <v>9</v>
      </c>
      <c r="Y2433" t="s">
        <v>21460</v>
      </c>
      <c r="Z2433" t="s">
        <v>27751</v>
      </c>
      <c r="AA2433">
        <v>0.66428554507150539</v>
      </c>
      <c r="AB2433" t="str">
        <f>HYPERLINK("Melting_Curves/meltCurve_P31937_HIBADH.pdf", "Melting_Curves/meltCurve_P31937_HIBADH.pdf")</f>
        <v>Melting_Curves/meltCurve_P31937_HIBADH.pdf</v>
      </c>
    </row>
    <row r="2434" spans="1:28" x14ac:dyDescent="0.25">
      <c r="A2434" t="s">
        <v>2438</v>
      </c>
      <c r="B2434">
        <v>0.99542014353169495</v>
      </c>
      <c r="C2434">
        <v>0.94791425651522598</v>
      </c>
      <c r="D2434">
        <v>0.91606447508188005</v>
      </c>
      <c r="E2434">
        <v>0.87732370554475703</v>
      </c>
      <c r="F2434">
        <v>0.69543370583947495</v>
      </c>
      <c r="G2434">
        <v>0.569694444392703</v>
      </c>
      <c r="H2434">
        <v>0.30606013578892199</v>
      </c>
      <c r="I2434">
        <v>9.8079791869356697E-2</v>
      </c>
      <c r="J2434">
        <v>7.2021953719384996E-2</v>
      </c>
      <c r="K2434">
        <v>5.9101677594791402E-2</v>
      </c>
      <c r="L2434">
        <v>744.95302759552806</v>
      </c>
      <c r="M2434">
        <v>13.857424023825599</v>
      </c>
      <c r="N2434">
        <v>53.758421527092302</v>
      </c>
      <c r="O2434">
        <v>52.675989858232498</v>
      </c>
      <c r="P2434">
        <v>-6.5776328437083503E-2</v>
      </c>
      <c r="Q2434">
        <v>0</v>
      </c>
      <c r="R2434">
        <v>0.98803068272997296</v>
      </c>
      <c r="S2434" t="s">
        <v>8836</v>
      </c>
      <c r="T2434" t="s">
        <v>12802</v>
      </c>
      <c r="U2434" t="s">
        <v>12802</v>
      </c>
      <c r="V2434" t="s">
        <v>12802</v>
      </c>
      <c r="W2434" t="s">
        <v>15190</v>
      </c>
      <c r="X2434">
        <v>45</v>
      </c>
      <c r="Y2434" t="s">
        <v>21461</v>
      </c>
      <c r="Z2434" t="s">
        <v>27752</v>
      </c>
      <c r="AA2434">
        <v>0.57619204225990139</v>
      </c>
      <c r="AB2434" t="str">
        <f>HYPERLINK("Melting_Curves/meltCurve_P31939_ATIC.pdf", "Melting_Curves/meltCurve_P31939_ATIC.pdf")</f>
        <v>Melting_Curves/meltCurve_P31939_ATIC.pdf</v>
      </c>
    </row>
    <row r="2435" spans="1:28" x14ac:dyDescent="0.25">
      <c r="A2435" t="s">
        <v>2439</v>
      </c>
      <c r="B2435">
        <v>0.99542014353169495</v>
      </c>
      <c r="C2435">
        <v>0.97649278418940599</v>
      </c>
      <c r="D2435">
        <v>0.98849430319064802</v>
      </c>
      <c r="E2435">
        <v>0.38974880528550498</v>
      </c>
      <c r="F2435">
        <v>0.19973836428171099</v>
      </c>
      <c r="G2435">
        <v>9.24094563272293E-2</v>
      </c>
      <c r="H2435">
        <v>6.6675709273524106E-2</v>
      </c>
      <c r="I2435">
        <v>4.7063757595972699E-2</v>
      </c>
      <c r="J2435">
        <v>5.2738498032677099E-2</v>
      </c>
      <c r="K2435">
        <v>7.28276656432221E-2</v>
      </c>
      <c r="L2435">
        <v>1846.13257979591</v>
      </c>
      <c r="M2435">
        <v>40.188290277340698</v>
      </c>
      <c r="N2435">
        <v>46.1392527711551</v>
      </c>
      <c r="O2435">
        <v>45.823775322283403</v>
      </c>
      <c r="P2435">
        <v>-0.20155338293042899</v>
      </c>
      <c r="Q2435">
        <v>8.0735401513939806E-2</v>
      </c>
      <c r="R2435">
        <v>0.99187443620593896</v>
      </c>
      <c r="S2435" t="s">
        <v>8837</v>
      </c>
      <c r="T2435" t="s">
        <v>12802</v>
      </c>
      <c r="U2435" t="s">
        <v>12802</v>
      </c>
      <c r="V2435" t="s">
        <v>12802</v>
      </c>
      <c r="W2435" t="s">
        <v>15191</v>
      </c>
      <c r="X2435">
        <v>7</v>
      </c>
      <c r="Y2435" t="s">
        <v>21462</v>
      </c>
      <c r="Z2435" t="s">
        <v>27753</v>
      </c>
      <c r="AA2435">
        <v>0.35747999671643599</v>
      </c>
      <c r="AB2435" t="str">
        <f>HYPERLINK("Melting_Curves/meltCurve_P31942_2_HNRNPH3.pdf", "Melting_Curves/meltCurve_P31942_2_HNRNPH3.pdf")</f>
        <v>Melting_Curves/meltCurve_P31942_2_HNRNPH3.pdf</v>
      </c>
    </row>
    <row r="2436" spans="1:28" x14ac:dyDescent="0.25">
      <c r="A2436" t="s">
        <v>2440</v>
      </c>
      <c r="B2436">
        <v>0.99542014353169495</v>
      </c>
      <c r="C2436">
        <v>1.0001566067612</v>
      </c>
      <c r="D2436">
        <v>0.81015682213199602</v>
      </c>
      <c r="E2436">
        <v>0.82521563155574096</v>
      </c>
      <c r="F2436">
        <v>0.69268500821714496</v>
      </c>
      <c r="G2436">
        <v>0.495420839885303</v>
      </c>
      <c r="H2436">
        <v>8.2488173743598805E-2</v>
      </c>
      <c r="I2436">
        <v>5.1126135002838399E-2</v>
      </c>
      <c r="J2436">
        <v>3.9372255102779197E-2</v>
      </c>
      <c r="K2436">
        <v>4.6747389421696303E-2</v>
      </c>
      <c r="L2436">
        <v>834.44330620825895</v>
      </c>
      <c r="M2436">
        <v>15.9508976480775</v>
      </c>
      <c r="N2436">
        <v>52.313250555676099</v>
      </c>
      <c r="O2436">
        <v>51.511735423928002</v>
      </c>
      <c r="P2436">
        <v>-7.7420047110081797E-2</v>
      </c>
      <c r="Q2436">
        <v>0</v>
      </c>
      <c r="R2436">
        <v>0.96415591854816496</v>
      </c>
      <c r="S2436" t="s">
        <v>8838</v>
      </c>
      <c r="T2436" t="s">
        <v>12802</v>
      </c>
      <c r="U2436" t="s">
        <v>12802</v>
      </c>
      <c r="V2436" t="s">
        <v>12802</v>
      </c>
      <c r="W2436" t="s">
        <v>15192</v>
      </c>
      <c r="X2436">
        <v>18</v>
      </c>
      <c r="Y2436" t="s">
        <v>21463</v>
      </c>
      <c r="Z2436" t="s">
        <v>27754</v>
      </c>
      <c r="AA2436">
        <v>0.52793132718070612</v>
      </c>
      <c r="AB2436" t="str">
        <f>HYPERLINK("Melting_Curves/meltCurve_P31946_YWHAB.pdf", "Melting_Curves/meltCurve_P31946_YWHAB.pdf")</f>
        <v>Melting_Curves/meltCurve_P31946_YWHAB.pdf</v>
      </c>
    </row>
    <row r="2437" spans="1:28" x14ac:dyDescent="0.25">
      <c r="A2437" t="s">
        <v>2441</v>
      </c>
      <c r="B2437">
        <v>0.99542014353169495</v>
      </c>
      <c r="C2437">
        <v>1.05508266170442</v>
      </c>
      <c r="D2437">
        <v>1.03632881264117</v>
      </c>
      <c r="E2437">
        <v>0.81025725842890794</v>
      </c>
      <c r="F2437">
        <v>0.70889140315112498</v>
      </c>
      <c r="G2437">
        <v>0.45337475737257199</v>
      </c>
      <c r="H2437">
        <v>0.18733819122235101</v>
      </c>
      <c r="I2437">
        <v>9.4276992534620505E-2</v>
      </c>
      <c r="J2437">
        <v>7.6577387178918793E-2</v>
      </c>
      <c r="K2437">
        <v>6.7463866962422306E-2</v>
      </c>
      <c r="L2437">
        <v>846.75173543483004</v>
      </c>
      <c r="M2437">
        <v>16.100240688902101</v>
      </c>
      <c r="N2437">
        <v>52.711994433157997</v>
      </c>
      <c r="O2437">
        <v>51.801205768723598</v>
      </c>
      <c r="P2437">
        <v>-7.6315544965939897E-2</v>
      </c>
      <c r="Q2437">
        <v>1.7919115665985499E-2</v>
      </c>
      <c r="R2437">
        <v>0.98906091581702604</v>
      </c>
      <c r="S2437" t="s">
        <v>8839</v>
      </c>
      <c r="T2437" t="s">
        <v>12802</v>
      </c>
      <c r="U2437" t="s">
        <v>12802</v>
      </c>
      <c r="V2437" t="s">
        <v>12802</v>
      </c>
      <c r="W2437" t="s">
        <v>15193</v>
      </c>
      <c r="X2437">
        <v>12</v>
      </c>
      <c r="Y2437" t="s">
        <v>21464</v>
      </c>
      <c r="Z2437" t="s">
        <v>27755</v>
      </c>
      <c r="AA2437">
        <v>0.54507809943360075</v>
      </c>
      <c r="AB2437" t="str">
        <f>HYPERLINK("Melting_Curves/meltCurve_P31947_2_SFN.pdf", "Melting_Curves/meltCurve_P31947_2_SFN.pdf")</f>
        <v>Melting_Curves/meltCurve_P31947_2_SFN.pdf</v>
      </c>
    </row>
    <row r="2438" spans="1:28" x14ac:dyDescent="0.25">
      <c r="A2438" t="s">
        <v>2442</v>
      </c>
      <c r="B2438">
        <v>0.99542014353169495</v>
      </c>
      <c r="C2438">
        <v>0.92739030094300201</v>
      </c>
      <c r="D2438">
        <v>1.01039387491766</v>
      </c>
      <c r="E2438">
        <v>0.90437106562115799</v>
      </c>
      <c r="F2438">
        <v>0.67101231467392997</v>
      </c>
      <c r="G2438">
        <v>0.48616767907951702</v>
      </c>
      <c r="H2438">
        <v>0.27889630840123703</v>
      </c>
      <c r="I2438">
        <v>0.131464514080571</v>
      </c>
      <c r="J2438">
        <v>0.14023255693113801</v>
      </c>
      <c r="K2438">
        <v>0.17746918211212701</v>
      </c>
      <c r="L2438">
        <v>877.41290289104097</v>
      </c>
      <c r="M2438">
        <v>16.7955566098899</v>
      </c>
      <c r="N2438">
        <v>53.047692874942904</v>
      </c>
      <c r="O2438">
        <v>51.517054350760802</v>
      </c>
      <c r="P2438">
        <v>-7.23217227597482E-2</v>
      </c>
      <c r="Q2438">
        <v>0.112727092645692</v>
      </c>
      <c r="R2438">
        <v>0.98957842150917197</v>
      </c>
      <c r="S2438" t="s">
        <v>8840</v>
      </c>
      <c r="T2438" t="s">
        <v>12802</v>
      </c>
      <c r="U2438" t="s">
        <v>12802</v>
      </c>
      <c r="V2438" t="s">
        <v>12802</v>
      </c>
      <c r="W2438" t="s">
        <v>15194</v>
      </c>
      <c r="X2438">
        <v>70</v>
      </c>
      <c r="Y2438" t="s">
        <v>21465</v>
      </c>
      <c r="Z2438" t="s">
        <v>27756</v>
      </c>
      <c r="AA2438">
        <v>0.57809063134446037</v>
      </c>
      <c r="AB2438" t="str">
        <f>HYPERLINK("Melting_Curves/meltCurve_P31948_STIP1.pdf", "Melting_Curves/meltCurve_P31948_STIP1.pdf")</f>
        <v>Melting_Curves/meltCurve_P31948_STIP1.pdf</v>
      </c>
    </row>
    <row r="2439" spans="1:28" x14ac:dyDescent="0.25">
      <c r="A2439" t="s">
        <v>2443</v>
      </c>
      <c r="B2439">
        <v>0.99542014353169495</v>
      </c>
      <c r="C2439">
        <v>0.96371057811158101</v>
      </c>
      <c r="D2439">
        <v>0.93344065561966805</v>
      </c>
      <c r="E2439">
        <v>0.95528760758258902</v>
      </c>
      <c r="F2439">
        <v>0.706633639514885</v>
      </c>
      <c r="G2439">
        <v>0.67224295771915199</v>
      </c>
      <c r="H2439">
        <v>0.41629038859078599</v>
      </c>
      <c r="I2439">
        <v>0.26024373602589601</v>
      </c>
      <c r="J2439">
        <v>0.19782926662914899</v>
      </c>
      <c r="K2439">
        <v>0.18654017531044001</v>
      </c>
      <c r="L2439">
        <v>644.07637984900202</v>
      </c>
      <c r="M2439">
        <v>11.638699173646399</v>
      </c>
      <c r="N2439">
        <v>55.838161648844299</v>
      </c>
      <c r="O2439">
        <v>53.781220575316297</v>
      </c>
      <c r="P2439">
        <v>-5.1444163391003501E-2</v>
      </c>
      <c r="Q2439">
        <v>4.9385574617245902E-2</v>
      </c>
      <c r="R2439">
        <v>0.98395204744165399</v>
      </c>
      <c r="S2439" t="s">
        <v>8841</v>
      </c>
      <c r="T2439" t="s">
        <v>12802</v>
      </c>
      <c r="U2439" t="s">
        <v>12802</v>
      </c>
      <c r="V2439" t="s">
        <v>12802</v>
      </c>
      <c r="W2439" t="s">
        <v>15195</v>
      </c>
      <c r="X2439">
        <v>6</v>
      </c>
      <c r="Y2439" t="s">
        <v>21466</v>
      </c>
      <c r="Z2439" t="s">
        <v>27757</v>
      </c>
      <c r="AA2439">
        <v>0.64237324712365007</v>
      </c>
      <c r="AB2439" t="str">
        <f>HYPERLINK("Melting_Curves/meltCurve_P31949_S100A11.pdf", "Melting_Curves/meltCurve_P31949_S100A11.pdf")</f>
        <v>Melting_Curves/meltCurve_P31949_S100A11.pdf</v>
      </c>
    </row>
    <row r="2440" spans="1:28" x14ac:dyDescent="0.25">
      <c r="A2440" t="s">
        <v>2444</v>
      </c>
      <c r="B2440">
        <v>0.99542014353169495</v>
      </c>
      <c r="C2440">
        <v>1.0390042073387999</v>
      </c>
      <c r="D2440">
        <v>1.0245519305283699</v>
      </c>
      <c r="E2440">
        <v>0.78885182812492805</v>
      </c>
      <c r="F2440">
        <v>0.42218972456807502</v>
      </c>
      <c r="G2440">
        <v>0.150148660851778</v>
      </c>
      <c r="H2440">
        <v>0.10599129152143399</v>
      </c>
      <c r="I2440">
        <v>7.9187688677628598E-2</v>
      </c>
      <c r="J2440">
        <v>0.10154955612267499</v>
      </c>
      <c r="K2440">
        <v>0.112022527209638</v>
      </c>
      <c r="L2440">
        <v>1304.9524481886001</v>
      </c>
      <c r="M2440">
        <v>26.647224048762901</v>
      </c>
      <c r="N2440">
        <v>49.346458732439103</v>
      </c>
      <c r="O2440">
        <v>48.6981198560255</v>
      </c>
      <c r="P2440">
        <v>-0.12425967979998701</v>
      </c>
      <c r="Q2440">
        <v>9.1665330127638098E-2</v>
      </c>
      <c r="R2440">
        <v>0.99642089737740103</v>
      </c>
      <c r="S2440" t="s">
        <v>8842</v>
      </c>
      <c r="T2440" t="s">
        <v>12802</v>
      </c>
      <c r="U2440" t="s">
        <v>12802</v>
      </c>
      <c r="V2440" t="s">
        <v>12802</v>
      </c>
      <c r="W2440" t="s">
        <v>15196</v>
      </c>
      <c r="X2440">
        <v>10</v>
      </c>
      <c r="Y2440" t="s">
        <v>21467</v>
      </c>
      <c r="Z2440" t="s">
        <v>27758</v>
      </c>
      <c r="AA2440">
        <v>0.4610592760298482</v>
      </c>
      <c r="AB2440" t="str">
        <f>HYPERLINK("Melting_Curves/meltCurve_P32019_2_INPP5B.pdf", "Melting_Curves/meltCurve_P32019_2_INPP5B.pdf")</f>
        <v>Melting_Curves/meltCurve_P32019_2_INPP5B.pdf</v>
      </c>
    </row>
    <row r="2441" spans="1:28" x14ac:dyDescent="0.25">
      <c r="A2441" t="s">
        <v>2445</v>
      </c>
      <c r="B2441">
        <v>0.99542014353169495</v>
      </c>
      <c r="C2441">
        <v>0.94875381066896403</v>
      </c>
      <c r="D2441">
        <v>0.99027331919404804</v>
      </c>
      <c r="E2441">
        <v>0.91100370070529602</v>
      </c>
      <c r="F2441">
        <v>0.798113118702932</v>
      </c>
      <c r="G2441">
        <v>0.64529511574790699</v>
      </c>
      <c r="H2441">
        <v>0.29524244374147501</v>
      </c>
      <c r="I2441">
        <v>8.6877476624254199E-2</v>
      </c>
      <c r="J2441">
        <v>8.4240143737745798E-2</v>
      </c>
      <c r="K2441">
        <v>7.7957021538031704E-2</v>
      </c>
      <c r="L2441">
        <v>972.67703920225995</v>
      </c>
      <c r="M2441">
        <v>17.760231079363901</v>
      </c>
      <c r="N2441">
        <v>54.801883063694902</v>
      </c>
      <c r="O2441">
        <v>54.0869527719206</v>
      </c>
      <c r="P2441">
        <v>-8.1635801973003699E-2</v>
      </c>
      <c r="Q2441">
        <v>5.5980596745465799E-3</v>
      </c>
      <c r="R2441">
        <v>0.98969857639334102</v>
      </c>
      <c r="S2441" t="s">
        <v>8843</v>
      </c>
      <c r="T2441" t="s">
        <v>12802</v>
      </c>
      <c r="U2441" t="s">
        <v>12802</v>
      </c>
      <c r="V2441" t="s">
        <v>12802</v>
      </c>
      <c r="W2441" t="s">
        <v>15197</v>
      </c>
      <c r="X2441">
        <v>19</v>
      </c>
      <c r="Y2441" t="s">
        <v>21468</v>
      </c>
      <c r="Z2441" t="s">
        <v>27759</v>
      </c>
      <c r="AA2441">
        <v>0.60747328397795541</v>
      </c>
      <c r="AB2441" t="str">
        <f>HYPERLINK("Melting_Curves/meltCurve_P32119_PRDX2.pdf", "Melting_Curves/meltCurve_P32119_PRDX2.pdf")</f>
        <v>Melting_Curves/meltCurve_P32119_PRDX2.pdf</v>
      </c>
    </row>
    <row r="2442" spans="1:28" x14ac:dyDescent="0.25">
      <c r="A2442" t="s">
        <v>2446</v>
      </c>
      <c r="B2442">
        <v>0.99542014353169495</v>
      </c>
      <c r="C2442">
        <v>0.83887973119042802</v>
      </c>
      <c r="D2442">
        <v>0.92253572280209695</v>
      </c>
      <c r="E2442">
        <v>0.75809790265043797</v>
      </c>
      <c r="F2442">
        <v>0.41977909195442598</v>
      </c>
      <c r="G2442">
        <v>0.16588029524106199</v>
      </c>
      <c r="H2442">
        <v>7.4135374237790999E-2</v>
      </c>
      <c r="I2442">
        <v>8.0464578619393198E-2</v>
      </c>
      <c r="J2442">
        <v>2.43068886017885E-2</v>
      </c>
      <c r="K2442">
        <v>4.80401071982961E-2</v>
      </c>
      <c r="L2442">
        <v>890.15387796947596</v>
      </c>
      <c r="M2442">
        <v>18.1366378026134</v>
      </c>
      <c r="N2442">
        <v>49.220095022993902</v>
      </c>
      <c r="O2442">
        <v>48.495409302335098</v>
      </c>
      <c r="P2442">
        <v>-9.1155939011898501E-2</v>
      </c>
      <c r="Q2442">
        <v>2.5082174407553701E-2</v>
      </c>
      <c r="R2442">
        <v>0.98341565666674102</v>
      </c>
      <c r="S2442" t="s">
        <v>8844</v>
      </c>
      <c r="T2442" t="s">
        <v>12802</v>
      </c>
      <c r="U2442" t="s">
        <v>12802</v>
      </c>
      <c r="V2442" t="s">
        <v>12802</v>
      </c>
      <c r="W2442" t="s">
        <v>15198</v>
      </c>
      <c r="X2442">
        <v>2</v>
      </c>
      <c r="Y2442" t="s">
        <v>21469</v>
      </c>
      <c r="Z2442" t="s">
        <v>27760</v>
      </c>
      <c r="AA2442">
        <v>0.43295233324376903</v>
      </c>
      <c r="AB2442" t="str">
        <f>HYPERLINK("Melting_Curves/meltCurve_P32121_5_ARRB2.pdf", "Melting_Curves/meltCurve_P32121_5_ARRB2.pdf")</f>
        <v>Melting_Curves/meltCurve_P32121_5_ARRB2.pdf</v>
      </c>
    </row>
    <row r="2443" spans="1:28" x14ac:dyDescent="0.25">
      <c r="A2443" t="s">
        <v>2447</v>
      </c>
      <c r="B2443">
        <v>0.99542014353169495</v>
      </c>
      <c r="C2443">
        <v>1.3392882597118501</v>
      </c>
      <c r="D2443">
        <v>1.19966316989638</v>
      </c>
      <c r="E2443">
        <v>0.94927703681137099</v>
      </c>
      <c r="F2443">
        <v>0.88131395703269</v>
      </c>
      <c r="G2443">
        <v>0.40596884239370701</v>
      </c>
      <c r="H2443">
        <v>0.28885853638188103</v>
      </c>
      <c r="I2443">
        <v>0.358082363273452</v>
      </c>
      <c r="J2443">
        <v>0.15929478441018</v>
      </c>
      <c r="K2443">
        <v>0.14264458641305</v>
      </c>
      <c r="L2443">
        <v>1942.2514890462201</v>
      </c>
      <c r="M2443">
        <v>37.149203447820497</v>
      </c>
      <c r="N2443">
        <v>53.140816398860203</v>
      </c>
      <c r="O2443">
        <v>52.131651910647903</v>
      </c>
      <c r="P2443">
        <v>-0.13795853697848401</v>
      </c>
      <c r="Q2443">
        <v>0.225610804945506</v>
      </c>
      <c r="R2443">
        <v>0.89661507981391098</v>
      </c>
      <c r="S2443" t="s">
        <v>8845</v>
      </c>
      <c r="T2443" t="s">
        <v>12802</v>
      </c>
      <c r="U2443" t="s">
        <v>12802</v>
      </c>
      <c r="V2443" t="s">
        <v>12802</v>
      </c>
      <c r="W2443" t="s">
        <v>15199</v>
      </c>
      <c r="X2443">
        <v>3</v>
      </c>
      <c r="Y2443" t="s">
        <v>21470</v>
      </c>
      <c r="Z2443" t="s">
        <v>27761</v>
      </c>
      <c r="AA2443">
        <v>0.62332813558900024</v>
      </c>
      <c r="AB2443" t="str">
        <f>HYPERLINK("Melting_Curves/meltCurve_P32189_1_GK.pdf", "Melting_Curves/meltCurve_P32189_1_GK.pdf")</f>
        <v>Melting_Curves/meltCurve_P32189_1_GK.pdf</v>
      </c>
    </row>
    <row r="2444" spans="1:28" x14ac:dyDescent="0.25">
      <c r="A2444" t="s">
        <v>2448</v>
      </c>
      <c r="B2444">
        <v>0.99542014353169495</v>
      </c>
      <c r="C2444">
        <v>1.03024838102813</v>
      </c>
      <c r="D2444">
        <v>1.1233534614074501</v>
      </c>
      <c r="E2444">
        <v>1.0822618454730999</v>
      </c>
      <c r="F2444">
        <v>0.93823490377318697</v>
      </c>
      <c r="G2444">
        <v>0.762166643500231</v>
      </c>
      <c r="H2444">
        <v>0.63814197726305899</v>
      </c>
      <c r="I2444">
        <v>0.66479295250673398</v>
      </c>
      <c r="J2444">
        <v>0.64654179511507603</v>
      </c>
      <c r="K2444">
        <v>0.25126883894141999</v>
      </c>
      <c r="L2444">
        <v>601.63082827131905</v>
      </c>
      <c r="M2444">
        <v>9.4523938195120198</v>
      </c>
      <c r="N2444">
        <v>63.648512631570703</v>
      </c>
      <c r="O2444">
        <v>60.994905110089903</v>
      </c>
      <c r="P2444">
        <v>-3.8765908504922598E-2</v>
      </c>
      <c r="Q2444">
        <v>0</v>
      </c>
      <c r="R2444">
        <v>0.85291625126364701</v>
      </c>
      <c r="S2444" t="s">
        <v>8846</v>
      </c>
      <c r="T2444" t="s">
        <v>12802</v>
      </c>
      <c r="U2444" t="s">
        <v>12802</v>
      </c>
      <c r="V2444" t="s">
        <v>12802</v>
      </c>
      <c r="W2444" t="s">
        <v>15200</v>
      </c>
      <c r="X2444">
        <v>5</v>
      </c>
      <c r="Y2444" t="s">
        <v>21471</v>
      </c>
      <c r="Z2444" t="s">
        <v>27762</v>
      </c>
      <c r="AA2444">
        <v>0.8114548725701608</v>
      </c>
      <c r="AB2444" t="str">
        <f>HYPERLINK("Melting_Curves/meltCurve_P32321_DCTD.pdf", "Melting_Curves/meltCurve_P32321_DCTD.pdf")</f>
        <v>Melting_Curves/meltCurve_P32321_DCTD.pdf</v>
      </c>
    </row>
    <row r="2445" spans="1:28" x14ac:dyDescent="0.25">
      <c r="A2445" t="s">
        <v>2449</v>
      </c>
      <c r="B2445">
        <v>0.99542014353169495</v>
      </c>
      <c r="C2445">
        <v>0.85952386369053302</v>
      </c>
      <c r="D2445">
        <v>0.91701692403602197</v>
      </c>
      <c r="E2445">
        <v>0.81038013271268505</v>
      </c>
      <c r="F2445">
        <v>0.60054719398852696</v>
      </c>
      <c r="G2445">
        <v>0.43285341702000801</v>
      </c>
      <c r="H2445">
        <v>0.28521489162436198</v>
      </c>
      <c r="I2445">
        <v>0.27923482713388198</v>
      </c>
      <c r="J2445">
        <v>0.288810100795373</v>
      </c>
      <c r="K2445">
        <v>0.35571698115664102</v>
      </c>
      <c r="L2445">
        <v>759.94732840716404</v>
      </c>
      <c r="M2445">
        <v>15.4318521164542</v>
      </c>
      <c r="N2445">
        <v>51.899797796938003</v>
      </c>
      <c r="O2445">
        <v>48.440648289749198</v>
      </c>
      <c r="P2445">
        <v>-5.7912939100301798E-2</v>
      </c>
      <c r="Q2445">
        <v>0.27290988987801601</v>
      </c>
      <c r="R2445">
        <v>0.96625174941485004</v>
      </c>
      <c r="S2445" t="s">
        <v>8847</v>
      </c>
      <c r="T2445" t="s">
        <v>12802</v>
      </c>
      <c r="U2445" t="s">
        <v>12802</v>
      </c>
      <c r="V2445" t="s">
        <v>12802</v>
      </c>
      <c r="W2445" t="s">
        <v>15201</v>
      </c>
      <c r="X2445">
        <v>13</v>
      </c>
      <c r="Y2445" t="s">
        <v>21472</v>
      </c>
      <c r="Z2445" t="s">
        <v>27763</v>
      </c>
      <c r="AA2445">
        <v>0.58456296350716852</v>
      </c>
      <c r="AB2445" t="str">
        <f>HYPERLINK("Melting_Curves/meltCurve_P32322_PYCR1.pdf", "Melting_Curves/meltCurve_P32322_PYCR1.pdf")</f>
        <v>Melting_Curves/meltCurve_P32322_PYCR1.pdf</v>
      </c>
    </row>
    <row r="2446" spans="1:28" x14ac:dyDescent="0.25">
      <c r="A2446" t="s">
        <v>2450</v>
      </c>
      <c r="B2446">
        <v>0.99542014353169495</v>
      </c>
      <c r="C2446">
        <v>0.77581239523169998</v>
      </c>
      <c r="D2446">
        <v>0.38017433078728302</v>
      </c>
      <c r="E2446">
        <v>0.14210762273920599</v>
      </c>
      <c r="F2446">
        <v>8.4828192304923902E-2</v>
      </c>
      <c r="G2446">
        <v>5.0293055274863503E-2</v>
      </c>
      <c r="H2446">
        <v>2.9864519197675101E-2</v>
      </c>
      <c r="I2446">
        <v>2.9280956359137401E-2</v>
      </c>
      <c r="J2446">
        <v>3.1739313811703099E-2</v>
      </c>
      <c r="K2446">
        <v>4.7299319801114501E-2</v>
      </c>
      <c r="L2446">
        <v>984.31294912746603</v>
      </c>
      <c r="M2446">
        <v>23.4546603090137</v>
      </c>
      <c r="N2446">
        <v>42.124672112330799</v>
      </c>
      <c r="O2446">
        <v>41.6651283176516</v>
      </c>
      <c r="P2446">
        <v>-0.13480767504242899</v>
      </c>
      <c r="Q2446">
        <v>4.21209796023094E-2</v>
      </c>
      <c r="R2446">
        <v>0.99766764602937197</v>
      </c>
      <c r="S2446" t="s">
        <v>8848</v>
      </c>
      <c r="T2446" t="s">
        <v>12802</v>
      </c>
      <c r="U2446" t="s">
        <v>12802</v>
      </c>
      <c r="V2446" t="s">
        <v>12802</v>
      </c>
      <c r="W2446" t="s">
        <v>15202</v>
      </c>
      <c r="X2446">
        <v>4</v>
      </c>
      <c r="Y2446" t="s">
        <v>21473</v>
      </c>
      <c r="Z2446" t="s">
        <v>27764</v>
      </c>
      <c r="AA2446">
        <v>0.21064106349174999</v>
      </c>
      <c r="AB2446" t="str">
        <f>HYPERLINK("Melting_Curves/meltCurve_P32519_2_ELF1.pdf", "Melting_Curves/meltCurve_P32519_2_ELF1.pdf")</f>
        <v>Melting_Curves/meltCurve_P32519_2_ELF1.pdf</v>
      </c>
    </row>
    <row r="2447" spans="1:28" x14ac:dyDescent="0.25">
      <c r="A2447" t="s">
        <v>2451</v>
      </c>
      <c r="B2447">
        <v>0.99542014353169495</v>
      </c>
      <c r="C2447">
        <v>0.825942851176941</v>
      </c>
      <c r="D2447">
        <v>0.910754855836854</v>
      </c>
      <c r="E2447">
        <v>0.48440351070875398</v>
      </c>
      <c r="F2447">
        <v>0.21700622014138499</v>
      </c>
      <c r="G2447">
        <v>0.139063636678979</v>
      </c>
      <c r="H2447">
        <v>8.7216638456445394E-2</v>
      </c>
      <c r="I2447">
        <v>5.3145071709036998E-2</v>
      </c>
      <c r="J2447">
        <v>6.9051887927333105E-2</v>
      </c>
      <c r="K2447">
        <v>5.8932822757186303E-2</v>
      </c>
      <c r="L2447">
        <v>924.47046882801897</v>
      </c>
      <c r="M2447">
        <v>19.9442820196989</v>
      </c>
      <c r="N2447">
        <v>46.656242668619498</v>
      </c>
      <c r="O2447">
        <v>45.894199818635698</v>
      </c>
      <c r="P2447">
        <v>-0.102034817935839</v>
      </c>
      <c r="Q2447">
        <v>6.0853155265602497E-2</v>
      </c>
      <c r="R2447">
        <v>0.98067261001408301</v>
      </c>
      <c r="S2447" t="s">
        <v>8849</v>
      </c>
      <c r="T2447" t="s">
        <v>12802</v>
      </c>
      <c r="U2447" t="s">
        <v>12802</v>
      </c>
      <c r="V2447" t="s">
        <v>12802</v>
      </c>
      <c r="W2447" t="s">
        <v>15203</v>
      </c>
      <c r="X2447">
        <v>6</v>
      </c>
      <c r="Y2447" t="s">
        <v>21474</v>
      </c>
      <c r="Z2447" t="s">
        <v>27765</v>
      </c>
      <c r="AA2447">
        <v>0.365983912309852</v>
      </c>
      <c r="AB2447" t="str">
        <f>HYPERLINK("Melting_Curves/meltCurve_P32780_GTF2H1.pdf", "Melting_Curves/meltCurve_P32780_GTF2H1.pdf")</f>
        <v>Melting_Curves/meltCurve_P32780_GTF2H1.pdf</v>
      </c>
    </row>
    <row r="2448" spans="1:28" x14ac:dyDescent="0.25">
      <c r="A2448" t="s">
        <v>2452</v>
      </c>
      <c r="B2448">
        <v>0.99542014353169495</v>
      </c>
      <c r="C2448">
        <v>1.0206491356536</v>
      </c>
      <c r="D2448">
        <v>1.00445194456497</v>
      </c>
      <c r="E2448">
        <v>0.99286029673334497</v>
      </c>
      <c r="F2448">
        <v>0.65318578466817201</v>
      </c>
      <c r="G2448">
        <v>0.44926458154107302</v>
      </c>
      <c r="H2448">
        <v>0.239867717854235</v>
      </c>
      <c r="I2448">
        <v>0.16490938751967299</v>
      </c>
      <c r="J2448">
        <v>9.0207072248736697E-2</v>
      </c>
      <c r="K2448">
        <v>5.5151676407521201E-2</v>
      </c>
      <c r="L2448">
        <v>942.73074885365099</v>
      </c>
      <c r="M2448">
        <v>17.9427648551444</v>
      </c>
      <c r="N2448">
        <v>52.934527305153502</v>
      </c>
      <c r="O2448">
        <v>51.901401336952098</v>
      </c>
      <c r="P2448">
        <v>-8.1034594207766597E-2</v>
      </c>
      <c r="Q2448">
        <v>6.2441296138300698E-2</v>
      </c>
      <c r="R2448">
        <v>0.99133137266390103</v>
      </c>
      <c r="S2448" t="s">
        <v>8850</v>
      </c>
      <c r="T2448" t="s">
        <v>12802</v>
      </c>
      <c r="U2448" t="s">
        <v>12802</v>
      </c>
      <c r="V2448" t="s">
        <v>12802</v>
      </c>
      <c r="W2448" t="s">
        <v>15204</v>
      </c>
      <c r="X2448">
        <v>3</v>
      </c>
      <c r="Y2448" t="s">
        <v>21475</v>
      </c>
      <c r="Z2448" t="s">
        <v>27766</v>
      </c>
      <c r="AA2448">
        <v>0.56209557257410725</v>
      </c>
      <c r="AB2448" t="str">
        <f>HYPERLINK("Melting_Curves/meltCurve_P32856_3_STX2.pdf", "Melting_Curves/meltCurve_P32856_3_STX2.pdf")</f>
        <v>Melting_Curves/meltCurve_P32856_3_STX2.pdf</v>
      </c>
    </row>
    <row r="2449" spans="1:28" x14ac:dyDescent="0.25">
      <c r="A2449" t="s">
        <v>2453</v>
      </c>
      <c r="B2449">
        <v>0.99542014353169495</v>
      </c>
      <c r="C2449">
        <v>0.91797549997152195</v>
      </c>
      <c r="D2449">
        <v>0.92264218734922299</v>
      </c>
      <c r="E2449">
        <v>0.75922917744388296</v>
      </c>
      <c r="F2449">
        <v>0.64632619445393902</v>
      </c>
      <c r="G2449">
        <v>0.509591319283343</v>
      </c>
      <c r="H2449">
        <v>0.470477297367142</v>
      </c>
      <c r="I2449">
        <v>0.503355079870767</v>
      </c>
      <c r="J2449">
        <v>0.67586984934774896</v>
      </c>
      <c r="K2449">
        <v>0.81686415454624695</v>
      </c>
      <c r="L2449">
        <v>1122.38875717971</v>
      </c>
      <c r="M2449">
        <v>24.662844941482</v>
      </c>
      <c r="O2449">
        <v>45.213259872309102</v>
      </c>
      <c r="P2449">
        <v>-5.49103764065587E-2</v>
      </c>
      <c r="Q2449">
        <v>0.59734703871896999</v>
      </c>
      <c r="R2449">
        <v>0.71147317752276795</v>
      </c>
      <c r="S2449" t="s">
        <v>8851</v>
      </c>
      <c r="T2449" t="s">
        <v>12802</v>
      </c>
      <c r="U2449" t="s">
        <v>12802</v>
      </c>
      <c r="V2449" t="s">
        <v>12802</v>
      </c>
      <c r="W2449" t="s">
        <v>15205</v>
      </c>
      <c r="X2449">
        <v>12</v>
      </c>
      <c r="Y2449" t="s">
        <v>21476</v>
      </c>
      <c r="Z2449" t="s">
        <v>27767</v>
      </c>
      <c r="AA2449">
        <v>0.71497012179511532</v>
      </c>
      <c r="AB2449" t="str">
        <f>HYPERLINK("Melting_Curves/meltCurve_P32929_CTH.pdf", "Melting_Curves/meltCurve_P32929_CTH.pdf")</f>
        <v>Melting_Curves/meltCurve_P32929_CTH.pdf</v>
      </c>
    </row>
    <row r="2450" spans="1:28" x14ac:dyDescent="0.25">
      <c r="A2450" t="s">
        <v>2454</v>
      </c>
      <c r="B2450">
        <v>0.99542014353169495</v>
      </c>
      <c r="C2450">
        <v>0.94199650209038999</v>
      </c>
      <c r="D2450">
        <v>0.92321163381291305</v>
      </c>
      <c r="E2450">
        <v>0.76133615793706599</v>
      </c>
      <c r="F2450">
        <v>0.51128261807346198</v>
      </c>
      <c r="G2450">
        <v>0.38497865379969398</v>
      </c>
      <c r="H2450">
        <v>0.17108842631589799</v>
      </c>
      <c r="I2450">
        <v>7.9884735556715797E-2</v>
      </c>
      <c r="J2450">
        <v>7.1562342584083602E-2</v>
      </c>
      <c r="K2450">
        <v>8.7430524430510206E-2</v>
      </c>
      <c r="L2450">
        <v>649.60187361317196</v>
      </c>
      <c r="M2450">
        <v>12.812610536639299</v>
      </c>
      <c r="N2450">
        <v>50.8071754491992</v>
      </c>
      <c r="O2450">
        <v>49.512766644193697</v>
      </c>
      <c r="P2450">
        <v>-6.3844439833863606E-2</v>
      </c>
      <c r="Q2450">
        <v>1.33083169333688E-2</v>
      </c>
      <c r="R2450">
        <v>0.99454141053895495</v>
      </c>
      <c r="S2450" t="s">
        <v>8852</v>
      </c>
      <c r="T2450" t="s">
        <v>12802</v>
      </c>
      <c r="U2450" t="s">
        <v>12802</v>
      </c>
      <c r="V2450" t="s">
        <v>12802</v>
      </c>
      <c r="W2450" t="s">
        <v>15206</v>
      </c>
      <c r="X2450">
        <v>8</v>
      </c>
      <c r="Y2450" t="s">
        <v>21477</v>
      </c>
      <c r="Z2450" t="s">
        <v>27768</v>
      </c>
      <c r="AA2450">
        <v>0.48838116877956123</v>
      </c>
      <c r="AB2450" t="str">
        <f>HYPERLINK("Melting_Curves/meltCurve_P32969_RPL9.pdf", "Melting_Curves/meltCurve_P32969_RPL9.pdf")</f>
        <v>Melting_Curves/meltCurve_P32969_RPL9.pdf</v>
      </c>
    </row>
    <row r="2451" spans="1:28" x14ac:dyDescent="0.25">
      <c r="A2451" t="s">
        <v>2455</v>
      </c>
      <c r="B2451">
        <v>0.99542014353169495</v>
      </c>
      <c r="C2451">
        <v>0.92262532065274006</v>
      </c>
      <c r="D2451">
        <v>0.86687784087370001</v>
      </c>
      <c r="E2451">
        <v>0.75735526235916995</v>
      </c>
      <c r="F2451">
        <v>0.454661969580892</v>
      </c>
      <c r="G2451">
        <v>0.20724612597582401</v>
      </c>
      <c r="H2451">
        <v>0.14567258632320701</v>
      </c>
      <c r="I2451">
        <v>8.4256575598400399E-2</v>
      </c>
      <c r="J2451">
        <v>6.4564361312922397E-2</v>
      </c>
      <c r="K2451">
        <v>6.9382015318853907E-2</v>
      </c>
      <c r="L2451">
        <v>759.21775863701896</v>
      </c>
      <c r="M2451">
        <v>15.423285622366</v>
      </c>
      <c r="N2451">
        <v>49.492912748115799</v>
      </c>
      <c r="O2451">
        <v>48.420165893779298</v>
      </c>
      <c r="P2451">
        <v>-7.6455104540260097E-2</v>
      </c>
      <c r="Q2451">
        <v>3.9988577219862299E-2</v>
      </c>
      <c r="R2451">
        <v>0.99440537702744303</v>
      </c>
      <c r="S2451" t="s">
        <v>8853</v>
      </c>
      <c r="T2451" t="s">
        <v>12802</v>
      </c>
      <c r="U2451" t="s">
        <v>12802</v>
      </c>
      <c r="V2451" t="s">
        <v>12802</v>
      </c>
      <c r="W2451" t="s">
        <v>15207</v>
      </c>
      <c r="X2451">
        <v>15</v>
      </c>
      <c r="Y2451" t="s">
        <v>21478</v>
      </c>
      <c r="Z2451" t="s">
        <v>27769</v>
      </c>
      <c r="AA2451">
        <v>0.45086679025571008</v>
      </c>
      <c r="AB2451" t="str">
        <f>HYPERLINK("Melting_Curves/meltCurve_P33121_2_ACSL1.pdf", "Melting_Curves/meltCurve_P33121_2_ACSL1.pdf")</f>
        <v>Melting_Curves/meltCurve_P33121_2_ACSL1.pdf</v>
      </c>
    </row>
    <row r="2452" spans="1:28" x14ac:dyDescent="0.25">
      <c r="A2452" t="s">
        <v>2456</v>
      </c>
      <c r="B2452">
        <v>0.99542014353169495</v>
      </c>
      <c r="C2452">
        <v>0.86681305735825598</v>
      </c>
      <c r="D2452">
        <v>0.96274572253387802</v>
      </c>
      <c r="E2452">
        <v>0.76630599836564905</v>
      </c>
      <c r="F2452">
        <v>0.63324882302395502</v>
      </c>
      <c r="G2452">
        <v>0.109260871159442</v>
      </c>
      <c r="H2452">
        <v>7.3636464033953006E-2</v>
      </c>
      <c r="I2452">
        <v>4.7626401134756101E-2</v>
      </c>
      <c r="J2452">
        <v>5.2805057619510799E-2</v>
      </c>
      <c r="K2452">
        <v>5.6945124608316203E-2</v>
      </c>
      <c r="L2452">
        <v>1117.6233616761299</v>
      </c>
      <c r="M2452">
        <v>22.224909033042501</v>
      </c>
      <c r="N2452">
        <v>50.403988178107397</v>
      </c>
      <c r="O2452">
        <v>49.885157746456599</v>
      </c>
      <c r="P2452">
        <v>-0.108582126234283</v>
      </c>
      <c r="Q2452">
        <v>2.5144209016838899E-2</v>
      </c>
      <c r="R2452">
        <v>0.96922150007263297</v>
      </c>
      <c r="S2452" t="s">
        <v>8854</v>
      </c>
      <c r="T2452" t="s">
        <v>12802</v>
      </c>
      <c r="U2452" t="s">
        <v>12802</v>
      </c>
      <c r="V2452" t="s">
        <v>12802</v>
      </c>
      <c r="W2452" t="s">
        <v>15208</v>
      </c>
      <c r="X2452">
        <v>59</v>
      </c>
      <c r="Y2452" t="s">
        <v>21479</v>
      </c>
      <c r="Z2452" t="s">
        <v>27770</v>
      </c>
      <c r="AA2452">
        <v>0.46754420724513179</v>
      </c>
      <c r="AB2452" t="str">
        <f>HYPERLINK("Melting_Curves/meltCurve_P33176_KIF5B.pdf", "Melting_Curves/meltCurve_P33176_KIF5B.pdf")</f>
        <v>Melting_Curves/meltCurve_P33176_KIF5B.pdf</v>
      </c>
    </row>
    <row r="2453" spans="1:28" x14ac:dyDescent="0.25">
      <c r="A2453" t="s">
        <v>2457</v>
      </c>
      <c r="B2453">
        <v>0.99542014353169495</v>
      </c>
      <c r="C2453">
        <v>0.96239609680814697</v>
      </c>
      <c r="D2453">
        <v>0.89659581404336597</v>
      </c>
      <c r="E2453">
        <v>0.67499907613365295</v>
      </c>
      <c r="F2453">
        <v>0.57806305603234198</v>
      </c>
      <c r="G2453">
        <v>0.42508350593412703</v>
      </c>
      <c r="H2453">
        <v>0.21964645251333101</v>
      </c>
      <c r="I2453">
        <v>0.13762110267219901</v>
      </c>
      <c r="J2453">
        <v>0.163037471794202</v>
      </c>
      <c r="K2453">
        <v>0.184912599896323</v>
      </c>
      <c r="L2453">
        <v>576.21707923120505</v>
      </c>
      <c r="M2453">
        <v>11.491216341362501</v>
      </c>
      <c r="N2453">
        <v>51.027829572678897</v>
      </c>
      <c r="O2453">
        <v>48.697654587400898</v>
      </c>
      <c r="P2453">
        <v>-5.3685241379840598E-2</v>
      </c>
      <c r="Q2453">
        <v>9.0226749360951194E-2</v>
      </c>
      <c r="R2453">
        <v>0.98641575807207704</v>
      </c>
      <c r="S2453" t="s">
        <v>8855</v>
      </c>
      <c r="T2453" t="s">
        <v>12802</v>
      </c>
      <c r="U2453" t="s">
        <v>12802</v>
      </c>
      <c r="V2453" t="s">
        <v>12802</v>
      </c>
      <c r="W2453" t="s">
        <v>15209</v>
      </c>
      <c r="X2453">
        <v>19</v>
      </c>
      <c r="Y2453" t="s">
        <v>21480</v>
      </c>
      <c r="Z2453" t="s">
        <v>27771</v>
      </c>
      <c r="AA2453">
        <v>0.51530876613867593</v>
      </c>
      <c r="AB2453" t="str">
        <f>HYPERLINK("Melting_Curves/meltCurve_P33240_2_CSTF2.pdf", "Melting_Curves/meltCurve_P33240_2_CSTF2.pdf")</f>
        <v>Melting_Curves/meltCurve_P33240_2_CSTF2.pdf</v>
      </c>
    </row>
    <row r="2454" spans="1:28" x14ac:dyDescent="0.25">
      <c r="A2454" t="s">
        <v>2458</v>
      </c>
      <c r="B2454">
        <v>0.99542014353169495</v>
      </c>
      <c r="C2454">
        <v>1.19198619759795</v>
      </c>
      <c r="D2454">
        <v>1.0754781294913001</v>
      </c>
      <c r="E2454">
        <v>1.2026763097614399</v>
      </c>
      <c r="F2454">
        <v>0.91319557084944503</v>
      </c>
      <c r="G2454">
        <v>0.74355321291948595</v>
      </c>
      <c r="H2454">
        <v>0.92178453339297595</v>
      </c>
      <c r="I2454">
        <v>0.52076633303993902</v>
      </c>
      <c r="J2454">
        <v>0.48397510655999898</v>
      </c>
      <c r="K2454">
        <v>0.34091505342218698</v>
      </c>
      <c r="L2454">
        <v>817.07045113281595</v>
      </c>
      <c r="M2454">
        <v>13.1486650997856</v>
      </c>
      <c r="N2454">
        <v>63.119270170379302</v>
      </c>
      <c r="O2454">
        <v>60.756310947819401</v>
      </c>
      <c r="P2454">
        <v>-4.9124709137527901E-2</v>
      </c>
      <c r="Q2454">
        <v>9.2187165964634998E-2</v>
      </c>
      <c r="R2454">
        <v>0.82680800131676602</v>
      </c>
      <c r="S2454" t="s">
        <v>8856</v>
      </c>
      <c r="T2454" t="s">
        <v>12802</v>
      </c>
      <c r="U2454" t="s">
        <v>12802</v>
      </c>
      <c r="V2454" t="s">
        <v>12802</v>
      </c>
      <c r="W2454" t="s">
        <v>15210</v>
      </c>
      <c r="X2454">
        <v>16</v>
      </c>
      <c r="Y2454" t="s">
        <v>21481</v>
      </c>
      <c r="Z2454" t="s">
        <v>27772</v>
      </c>
      <c r="AA2454">
        <v>0.82450708644718673</v>
      </c>
      <c r="AB2454" t="str">
        <f>HYPERLINK("Melting_Curves/meltCurve_P33316_DUT.pdf", "Melting_Curves/meltCurve_P33316_DUT.pdf")</f>
        <v>Melting_Curves/meltCurve_P33316_DUT.pdf</v>
      </c>
    </row>
    <row r="2455" spans="1:28" x14ac:dyDescent="0.25">
      <c r="A2455" t="s">
        <v>2459</v>
      </c>
      <c r="B2455">
        <v>0.99542014353169495</v>
      </c>
      <c r="C2455">
        <v>1.02121249479646</v>
      </c>
      <c r="D2455">
        <v>0.92296460846377004</v>
      </c>
      <c r="E2455">
        <v>0.97288227927527104</v>
      </c>
      <c r="F2455">
        <v>0.77733222893985598</v>
      </c>
      <c r="G2455">
        <v>0.65074545764076697</v>
      </c>
      <c r="H2455">
        <v>0.303740819684851</v>
      </c>
      <c r="I2455">
        <v>0.140173313003532</v>
      </c>
      <c r="J2455">
        <v>0.13574554205348</v>
      </c>
      <c r="K2455">
        <v>0.15809497867846201</v>
      </c>
      <c r="L2455">
        <v>1022.9435849745699</v>
      </c>
      <c r="M2455">
        <v>18.855299184378801</v>
      </c>
      <c r="N2455">
        <v>54.8271314234049</v>
      </c>
      <c r="O2455">
        <v>53.653122258408402</v>
      </c>
      <c r="P2455">
        <v>-7.9981213876249804E-2</v>
      </c>
      <c r="Q2455">
        <v>8.9684988562804505E-2</v>
      </c>
      <c r="R2455">
        <v>0.98551666286601103</v>
      </c>
      <c r="S2455" t="s">
        <v>8857</v>
      </c>
      <c r="T2455" t="s">
        <v>12802</v>
      </c>
      <c r="U2455" t="s">
        <v>12802</v>
      </c>
      <c r="V2455" t="s">
        <v>12802</v>
      </c>
      <c r="W2455" t="s">
        <v>15211</v>
      </c>
      <c r="X2455">
        <v>16</v>
      </c>
      <c r="Y2455" t="s">
        <v>21481</v>
      </c>
      <c r="Z2455" t="s">
        <v>27773</v>
      </c>
      <c r="AA2455">
        <v>0.62483384565011846</v>
      </c>
      <c r="AB2455" t="str">
        <f>HYPERLINK("Melting_Curves/meltCurve_P33316_2_DUT.pdf", "Melting_Curves/meltCurve_P33316_2_DUT.pdf")</f>
        <v>Melting_Curves/meltCurve_P33316_2_DUT.pdf</v>
      </c>
    </row>
    <row r="2456" spans="1:28" x14ac:dyDescent="0.25">
      <c r="A2456" t="s">
        <v>2460</v>
      </c>
      <c r="B2456">
        <v>0.99542014353169495</v>
      </c>
      <c r="C2456">
        <v>1.0462838088399</v>
      </c>
      <c r="D2456">
        <v>0.93009175641644803</v>
      </c>
      <c r="E2456">
        <v>0.811028048312182</v>
      </c>
      <c r="F2456">
        <v>0.51981703810257596</v>
      </c>
      <c r="G2456">
        <v>0.30557106671041501</v>
      </c>
      <c r="H2456">
        <v>0.20028393827125901</v>
      </c>
      <c r="I2456">
        <v>0.126618353911786</v>
      </c>
      <c r="J2456">
        <v>0.17134879951435</v>
      </c>
      <c r="K2456">
        <v>0.189152330178297</v>
      </c>
      <c r="L2456">
        <v>977.50083154141396</v>
      </c>
      <c r="M2456">
        <v>19.745085217681201</v>
      </c>
      <c r="N2456">
        <v>50.432859732424099</v>
      </c>
      <c r="O2456">
        <v>49.006639416325903</v>
      </c>
      <c r="P2456">
        <v>-8.5403019184518203E-2</v>
      </c>
      <c r="Q2456">
        <v>0.15215956641754599</v>
      </c>
      <c r="R2456">
        <v>0.99454316554014199</v>
      </c>
      <c r="S2456" t="s">
        <v>8858</v>
      </c>
      <c r="T2456" t="s">
        <v>12802</v>
      </c>
      <c r="U2456" t="s">
        <v>12802</v>
      </c>
      <c r="V2456" t="s">
        <v>12802</v>
      </c>
      <c r="W2456" t="s">
        <v>15212</v>
      </c>
      <c r="X2456">
        <v>4</v>
      </c>
      <c r="Y2456" t="s">
        <v>21482</v>
      </c>
      <c r="Z2456" t="s">
        <v>27774</v>
      </c>
      <c r="AA2456">
        <v>0.51702885719993474</v>
      </c>
      <c r="AB2456" t="str">
        <f>HYPERLINK("Melting_Curves/meltCurve_P33552_CKS2.pdf", "Melting_Curves/meltCurve_P33552_CKS2.pdf")</f>
        <v>Melting_Curves/meltCurve_P33552_CKS2.pdf</v>
      </c>
    </row>
    <row r="2457" spans="1:28" x14ac:dyDescent="0.25">
      <c r="A2457" t="s">
        <v>2461</v>
      </c>
      <c r="B2457">
        <v>0.99542014353169495</v>
      </c>
      <c r="C2457">
        <v>0.99133806364870203</v>
      </c>
      <c r="D2457">
        <v>0.93216626413861803</v>
      </c>
      <c r="E2457">
        <v>0.880104634596791</v>
      </c>
      <c r="F2457">
        <v>0.77540113762819796</v>
      </c>
      <c r="G2457">
        <v>0.59028908839983296</v>
      </c>
      <c r="H2457">
        <v>0.43097159062359802</v>
      </c>
      <c r="I2457">
        <v>0.39011894474624098</v>
      </c>
      <c r="J2457">
        <v>0.55787232228129802</v>
      </c>
      <c r="K2457">
        <v>0.65872768394997605</v>
      </c>
      <c r="L2457">
        <v>1146.7072598822299</v>
      </c>
      <c r="M2457">
        <v>23.0284995140216</v>
      </c>
      <c r="O2457">
        <v>49.424207510055702</v>
      </c>
      <c r="P2457">
        <v>-5.7299423253786001E-2</v>
      </c>
      <c r="Q2457">
        <v>0.50810076389981296</v>
      </c>
      <c r="R2457">
        <v>0.87804213412273202</v>
      </c>
      <c r="S2457" t="s">
        <v>8859</v>
      </c>
      <c r="T2457" t="s">
        <v>12802</v>
      </c>
      <c r="U2457" t="s">
        <v>12802</v>
      </c>
      <c r="V2457" t="s">
        <v>12802</v>
      </c>
      <c r="W2457" t="s">
        <v>15213</v>
      </c>
      <c r="X2457">
        <v>8</v>
      </c>
      <c r="Y2457" t="s">
        <v>21483</v>
      </c>
      <c r="Z2457" t="s">
        <v>27775</v>
      </c>
      <c r="AA2457">
        <v>0.72291200789746146</v>
      </c>
      <c r="AB2457" t="str">
        <f>HYPERLINK("Melting_Curves/meltCurve_P33908_MAN1A1.pdf", "Melting_Curves/meltCurve_P33908_MAN1A1.pdf")</f>
        <v>Melting_Curves/meltCurve_P33908_MAN1A1.pdf</v>
      </c>
    </row>
    <row r="2458" spans="1:28" x14ac:dyDescent="0.25">
      <c r="A2458" t="s">
        <v>2462</v>
      </c>
      <c r="B2458">
        <v>0.99542014353169495</v>
      </c>
      <c r="C2458">
        <v>0.93436852887129895</v>
      </c>
      <c r="D2458">
        <v>0.83285835228326299</v>
      </c>
      <c r="E2458">
        <v>0.40702551604436998</v>
      </c>
      <c r="F2458">
        <v>0.172584832053707</v>
      </c>
      <c r="G2458">
        <v>0.10391586504403599</v>
      </c>
      <c r="H2458">
        <v>5.1761678908013101E-2</v>
      </c>
      <c r="I2458">
        <v>3.8140149473616998E-2</v>
      </c>
      <c r="J2458">
        <v>2.9367468464007101E-2</v>
      </c>
      <c r="K2458">
        <v>3.2303923844383298E-2</v>
      </c>
      <c r="L2458">
        <v>980.65144318428395</v>
      </c>
      <c r="M2458">
        <v>21.428928673408901</v>
      </c>
      <c r="N2458">
        <v>45.937405011112403</v>
      </c>
      <c r="O2458">
        <v>45.370052011318798</v>
      </c>
      <c r="P2458">
        <v>-0.11346769134594401</v>
      </c>
      <c r="Q2458">
        <v>3.9073741847909599E-2</v>
      </c>
      <c r="R2458">
        <v>0.99805647968965905</v>
      </c>
      <c r="S2458" t="s">
        <v>8860</v>
      </c>
      <c r="T2458" t="s">
        <v>12802</v>
      </c>
      <c r="U2458" t="s">
        <v>12802</v>
      </c>
      <c r="V2458" t="s">
        <v>12802</v>
      </c>
      <c r="W2458" t="s">
        <v>15214</v>
      </c>
      <c r="X2458">
        <v>12</v>
      </c>
      <c r="Y2458" t="s">
        <v>21484</v>
      </c>
      <c r="Z2458" t="s">
        <v>27776</v>
      </c>
      <c r="AA2458">
        <v>0.33066801455017181</v>
      </c>
      <c r="AB2458" t="str">
        <f>HYPERLINK("Melting_Curves/meltCurve_P33981_2_TTK.pdf", "Melting_Curves/meltCurve_P33981_2_TTK.pdf")</f>
        <v>Melting_Curves/meltCurve_P33981_2_TTK.pdf</v>
      </c>
    </row>
    <row r="2459" spans="1:28" x14ac:dyDescent="0.25">
      <c r="A2459" t="s">
        <v>2463</v>
      </c>
      <c r="B2459">
        <v>0.99542014353169495</v>
      </c>
      <c r="C2459">
        <v>0.90106904280548805</v>
      </c>
      <c r="D2459">
        <v>0.94955223992688897</v>
      </c>
      <c r="E2459">
        <v>0.69811530952751</v>
      </c>
      <c r="F2459">
        <v>0.43563708432956</v>
      </c>
      <c r="G2459">
        <v>0.12167034022183899</v>
      </c>
      <c r="H2459">
        <v>6.5267708997638396E-2</v>
      </c>
      <c r="I2459">
        <v>4.34690819497872E-2</v>
      </c>
      <c r="J2459">
        <v>4.1825138948009599E-2</v>
      </c>
      <c r="K2459">
        <v>4.1068610430278298E-2</v>
      </c>
      <c r="L2459">
        <v>915.50012167294801</v>
      </c>
      <c r="M2459">
        <v>18.732492538434101</v>
      </c>
      <c r="N2459">
        <v>48.974521008845699</v>
      </c>
      <c r="O2459">
        <v>48.325566343437899</v>
      </c>
      <c r="P2459">
        <v>-9.5053964254935799E-2</v>
      </c>
      <c r="Q2459">
        <v>1.9170994984910102E-2</v>
      </c>
      <c r="R2459">
        <v>0.99183914185695699</v>
      </c>
      <c r="S2459" t="s">
        <v>8861</v>
      </c>
      <c r="T2459" t="s">
        <v>12802</v>
      </c>
      <c r="U2459" t="s">
        <v>12802</v>
      </c>
      <c r="V2459" t="s">
        <v>12802</v>
      </c>
      <c r="W2459" t="s">
        <v>15215</v>
      </c>
      <c r="X2459">
        <v>41</v>
      </c>
      <c r="Y2459" t="s">
        <v>21485</v>
      </c>
      <c r="Z2459" t="s">
        <v>27777</v>
      </c>
      <c r="AA2459">
        <v>0.42187170456298417</v>
      </c>
      <c r="AB2459" t="str">
        <f>HYPERLINK("Melting_Curves/meltCurve_P33991_MCM4.pdf", "Melting_Curves/meltCurve_P33991_MCM4.pdf")</f>
        <v>Melting_Curves/meltCurve_P33991_MCM4.pdf</v>
      </c>
    </row>
    <row r="2460" spans="1:28" x14ac:dyDescent="0.25">
      <c r="A2460" t="s">
        <v>2464</v>
      </c>
      <c r="B2460">
        <v>0.99542014353169495</v>
      </c>
      <c r="C2460">
        <v>0.96059091928878104</v>
      </c>
      <c r="D2460">
        <v>0.97121377152857502</v>
      </c>
      <c r="E2460">
        <v>0.80411384908017602</v>
      </c>
      <c r="F2460">
        <v>0.64436143234541599</v>
      </c>
      <c r="G2460">
        <v>0.37700424614914901</v>
      </c>
      <c r="H2460">
        <v>0.11871406230472099</v>
      </c>
      <c r="I2460">
        <v>6.2343702700353498E-2</v>
      </c>
      <c r="J2460">
        <v>6.0933445483464001E-2</v>
      </c>
      <c r="K2460">
        <v>6.2053768529805799E-2</v>
      </c>
      <c r="L2460">
        <v>829.916537255153</v>
      </c>
      <c r="M2460">
        <v>16.076823002101101</v>
      </c>
      <c r="N2460">
        <v>51.670223836383201</v>
      </c>
      <c r="O2460">
        <v>50.843034664835898</v>
      </c>
      <c r="P2460">
        <v>-7.8467741265950602E-2</v>
      </c>
      <c r="Q2460">
        <v>7.4578703609481196E-3</v>
      </c>
      <c r="R2460">
        <v>0.99390430642627403</v>
      </c>
      <c r="S2460" t="s">
        <v>8862</v>
      </c>
      <c r="T2460" t="s">
        <v>12802</v>
      </c>
      <c r="U2460" t="s">
        <v>12802</v>
      </c>
      <c r="V2460" t="s">
        <v>12802</v>
      </c>
      <c r="W2460" t="s">
        <v>15216</v>
      </c>
      <c r="X2460">
        <v>41</v>
      </c>
      <c r="Y2460" t="s">
        <v>21486</v>
      </c>
      <c r="Z2460" t="s">
        <v>27778</v>
      </c>
      <c r="AA2460">
        <v>0.50898752165976191</v>
      </c>
      <c r="AB2460" t="str">
        <f>HYPERLINK("Melting_Curves/meltCurve_P33992_MCM5.pdf", "Melting_Curves/meltCurve_P33992_MCM5.pdf")</f>
        <v>Melting_Curves/meltCurve_P33992_MCM5.pdf</v>
      </c>
    </row>
    <row r="2461" spans="1:28" x14ac:dyDescent="0.25">
      <c r="A2461" t="s">
        <v>2465</v>
      </c>
      <c r="B2461">
        <v>0.99542014353169495</v>
      </c>
      <c r="C2461">
        <v>0.838899865201296</v>
      </c>
      <c r="D2461">
        <v>0.86303404100433501</v>
      </c>
      <c r="E2461">
        <v>0.60332974303098996</v>
      </c>
      <c r="F2461">
        <v>0.32207409831919398</v>
      </c>
      <c r="G2461">
        <v>8.6173451681392996E-2</v>
      </c>
      <c r="H2461">
        <v>5.1766046939802697E-2</v>
      </c>
      <c r="I2461">
        <v>3.4044030242428899E-2</v>
      </c>
      <c r="J2461">
        <v>3.5045751485174602E-2</v>
      </c>
      <c r="K2461">
        <v>3.4963549043337497E-2</v>
      </c>
      <c r="L2461">
        <v>749.68578354649901</v>
      </c>
      <c r="M2461">
        <v>15.7631151242333</v>
      </c>
      <c r="N2461">
        <v>47.572631103359299</v>
      </c>
      <c r="O2461">
        <v>46.813804991257697</v>
      </c>
      <c r="P2461">
        <v>-8.4003971156642904E-2</v>
      </c>
      <c r="Q2461">
        <v>2.1722995457208898E-3</v>
      </c>
      <c r="R2461">
        <v>0.98716016754725999</v>
      </c>
      <c r="S2461" t="s">
        <v>8863</v>
      </c>
      <c r="T2461" t="s">
        <v>12802</v>
      </c>
      <c r="U2461" t="s">
        <v>12802</v>
      </c>
      <c r="V2461" t="s">
        <v>12802</v>
      </c>
      <c r="W2461" t="s">
        <v>15217</v>
      </c>
      <c r="X2461">
        <v>33</v>
      </c>
      <c r="Y2461" t="s">
        <v>21487</v>
      </c>
      <c r="Z2461" t="s">
        <v>27779</v>
      </c>
      <c r="AA2461">
        <v>0.3737331730186994</v>
      </c>
      <c r="AB2461" t="str">
        <f>HYPERLINK("Melting_Curves/meltCurve_P33993_MCM7.pdf", "Melting_Curves/meltCurve_P33993_MCM7.pdf")</f>
        <v>Melting_Curves/meltCurve_P33993_MCM7.pdf</v>
      </c>
    </row>
    <row r="2462" spans="1:28" x14ac:dyDescent="0.25">
      <c r="A2462" t="s">
        <v>2466</v>
      </c>
      <c r="B2462">
        <v>0.99542014353169495</v>
      </c>
      <c r="C2462">
        <v>1.1828823827809101</v>
      </c>
      <c r="D2462">
        <v>0.92150783263958602</v>
      </c>
      <c r="E2462">
        <v>0.98226497167234395</v>
      </c>
      <c r="F2462">
        <v>0.83487271024365495</v>
      </c>
      <c r="G2462">
        <v>0.53401585925116601</v>
      </c>
      <c r="H2462">
        <v>0.43660133042840699</v>
      </c>
      <c r="I2462">
        <v>0.43316592763692002</v>
      </c>
      <c r="J2462">
        <v>0.49867259724581198</v>
      </c>
      <c r="K2462">
        <v>0.49723270742020798</v>
      </c>
      <c r="L2462">
        <v>2118.6110942380201</v>
      </c>
      <c r="M2462">
        <v>41.400655469694101</v>
      </c>
      <c r="N2462">
        <v>54.727776687571499</v>
      </c>
      <c r="O2462">
        <v>51.054409800536298</v>
      </c>
      <c r="P2462">
        <v>-0.108252861354313</v>
      </c>
      <c r="Q2462">
        <v>0.46602043805132898</v>
      </c>
      <c r="R2462">
        <v>0.93762480481057497</v>
      </c>
      <c r="S2462" t="s">
        <v>8864</v>
      </c>
      <c r="T2462" t="s">
        <v>12802</v>
      </c>
      <c r="U2462" t="s">
        <v>12802</v>
      </c>
      <c r="V2462" t="s">
        <v>12802</v>
      </c>
      <c r="W2462" t="s">
        <v>15218</v>
      </c>
      <c r="X2462">
        <v>3</v>
      </c>
      <c r="Y2462" t="s">
        <v>21488</v>
      </c>
      <c r="Z2462" t="s">
        <v>27780</v>
      </c>
      <c r="AA2462">
        <v>0.7200571412628104</v>
      </c>
      <c r="AB2462" t="str">
        <f>HYPERLINK("Melting_Curves/meltCurve_P34059_GALNS.pdf", "Melting_Curves/meltCurve_P34059_GALNS.pdf")</f>
        <v>Melting_Curves/meltCurve_P34059_GALNS.pdf</v>
      </c>
    </row>
    <row r="2463" spans="1:28" x14ac:dyDescent="0.25">
      <c r="A2463" t="s">
        <v>2467</v>
      </c>
      <c r="B2463">
        <v>0.99542014353169495</v>
      </c>
      <c r="C2463">
        <v>0.94751299066098404</v>
      </c>
      <c r="D2463">
        <v>0.99578249186924594</v>
      </c>
      <c r="E2463">
        <v>0.89498632623385699</v>
      </c>
      <c r="F2463">
        <v>0.79099615791718103</v>
      </c>
      <c r="G2463">
        <v>0.562544769851551</v>
      </c>
      <c r="H2463">
        <v>0.52210117256897204</v>
      </c>
      <c r="I2463">
        <v>0.516036767025151</v>
      </c>
      <c r="J2463">
        <v>0.61499536686185097</v>
      </c>
      <c r="K2463">
        <v>0.25300325562694098</v>
      </c>
      <c r="L2463">
        <v>668.121354597508</v>
      </c>
      <c r="M2463">
        <v>12.853098561972599</v>
      </c>
      <c r="N2463">
        <v>59.033984997479799</v>
      </c>
      <c r="O2463">
        <v>50.771274854779598</v>
      </c>
      <c r="P2463">
        <v>-3.84661383613032E-2</v>
      </c>
      <c r="Q2463">
        <v>0.39232884336910301</v>
      </c>
      <c r="R2463">
        <v>0.87792710213113601</v>
      </c>
      <c r="S2463" t="s">
        <v>8865</v>
      </c>
      <c r="T2463" t="s">
        <v>12802</v>
      </c>
      <c r="U2463" t="s">
        <v>12802</v>
      </c>
      <c r="V2463" t="s">
        <v>12802</v>
      </c>
      <c r="W2463" t="s">
        <v>15219</v>
      </c>
      <c r="X2463">
        <v>11</v>
      </c>
      <c r="Y2463" t="s">
        <v>21489</v>
      </c>
      <c r="Z2463" t="s">
        <v>27781</v>
      </c>
      <c r="AA2463">
        <v>0.70943418205876574</v>
      </c>
      <c r="AB2463" t="str">
        <f>HYPERLINK("Melting_Curves/meltCurve_P34896_2_SHMT1.pdf", "Melting_Curves/meltCurve_P34896_2_SHMT1.pdf")</f>
        <v>Melting_Curves/meltCurve_P34896_2_SHMT1.pdf</v>
      </c>
    </row>
    <row r="2464" spans="1:28" x14ac:dyDescent="0.25">
      <c r="A2464" t="s">
        <v>2468</v>
      </c>
      <c r="B2464">
        <v>0.99542014353169495</v>
      </c>
      <c r="C2464">
        <v>0.908399072640804</v>
      </c>
      <c r="D2464">
        <v>0.93041906069427605</v>
      </c>
      <c r="E2464">
        <v>0.806401234418608</v>
      </c>
      <c r="F2464">
        <v>0.64922958272865205</v>
      </c>
      <c r="G2464">
        <v>0.46848390605342799</v>
      </c>
      <c r="H2464">
        <v>0.33116033617733698</v>
      </c>
      <c r="I2464">
        <v>0.285756425503289</v>
      </c>
      <c r="J2464">
        <v>0.16351585968683899</v>
      </c>
      <c r="K2464">
        <v>9.9704373279569797E-2</v>
      </c>
      <c r="L2464">
        <v>504.27468497191302</v>
      </c>
      <c r="M2464">
        <v>9.4394023817528403</v>
      </c>
      <c r="N2464">
        <v>53.422330541958402</v>
      </c>
      <c r="O2464">
        <v>51.189336990537797</v>
      </c>
      <c r="P2464">
        <v>-4.6128372784374899E-2</v>
      </c>
      <c r="Q2464">
        <v>0</v>
      </c>
      <c r="R2464">
        <v>0.99304665248129598</v>
      </c>
      <c r="S2464" t="s">
        <v>8866</v>
      </c>
      <c r="T2464" t="s">
        <v>12802</v>
      </c>
      <c r="U2464" t="s">
        <v>12802</v>
      </c>
      <c r="V2464" t="s">
        <v>12802</v>
      </c>
      <c r="W2464" t="s">
        <v>15220</v>
      </c>
      <c r="X2464">
        <v>35</v>
      </c>
      <c r="Y2464" t="s">
        <v>21490</v>
      </c>
      <c r="Z2464" t="s">
        <v>27782</v>
      </c>
      <c r="AA2464">
        <v>0.56769247778750975</v>
      </c>
      <c r="AB2464" t="str">
        <f>HYPERLINK("Melting_Curves/meltCurve_P34897_3_SHMT2.pdf", "Melting_Curves/meltCurve_P34897_3_SHMT2.pdf")</f>
        <v>Melting_Curves/meltCurve_P34897_3_SHMT2.pdf</v>
      </c>
    </row>
    <row r="2465" spans="1:28" x14ac:dyDescent="0.25">
      <c r="A2465" t="s">
        <v>2469</v>
      </c>
      <c r="B2465">
        <v>0.99542014353169495</v>
      </c>
      <c r="C2465">
        <v>0.97226006751399296</v>
      </c>
      <c r="D2465">
        <v>0.91771033080103304</v>
      </c>
      <c r="E2465">
        <v>0.86609793807041202</v>
      </c>
      <c r="F2465">
        <v>0.72261002985006595</v>
      </c>
      <c r="G2465">
        <v>0.50977373789358205</v>
      </c>
      <c r="H2465">
        <v>0.28556724321587801</v>
      </c>
      <c r="I2465">
        <v>0.108856563568471</v>
      </c>
      <c r="J2465">
        <v>8.7181898365737101E-2</v>
      </c>
      <c r="K2465">
        <v>8.0720821700791395E-2</v>
      </c>
      <c r="L2465">
        <v>733.31564330959998</v>
      </c>
      <c r="M2465">
        <v>13.7019654833339</v>
      </c>
      <c r="N2465">
        <v>53.5190000507286</v>
      </c>
      <c r="O2465">
        <v>52.4176422160809</v>
      </c>
      <c r="P2465">
        <v>-6.5359356547587302E-2</v>
      </c>
      <c r="Q2465">
        <v>0</v>
      </c>
      <c r="R2465">
        <v>0.99499015218986597</v>
      </c>
      <c r="S2465" t="s">
        <v>8867</v>
      </c>
      <c r="T2465" t="s">
        <v>12802</v>
      </c>
      <c r="U2465" t="s">
        <v>12802</v>
      </c>
      <c r="V2465" t="s">
        <v>12802</v>
      </c>
      <c r="W2465" t="s">
        <v>15221</v>
      </c>
      <c r="X2465">
        <v>14</v>
      </c>
      <c r="Y2465" t="s">
        <v>21491</v>
      </c>
      <c r="Z2465" t="s">
        <v>27783</v>
      </c>
      <c r="AA2465">
        <v>0.56887121864842272</v>
      </c>
      <c r="AB2465" t="str">
        <f>HYPERLINK("Melting_Curves/meltCurve_P34913_EPHX2.pdf", "Melting_Curves/meltCurve_P34913_EPHX2.pdf")</f>
        <v>Melting_Curves/meltCurve_P34913_EPHX2.pdf</v>
      </c>
    </row>
    <row r="2466" spans="1:28" x14ac:dyDescent="0.25">
      <c r="A2466" t="s">
        <v>2470</v>
      </c>
      <c r="B2466">
        <v>0.99542014353169495</v>
      </c>
      <c r="C2466">
        <v>0.97040985254719303</v>
      </c>
      <c r="D2466">
        <v>1.0393334835927801</v>
      </c>
      <c r="E2466">
        <v>0.88641924576672504</v>
      </c>
      <c r="F2466">
        <v>0.78018394545569603</v>
      </c>
      <c r="G2466">
        <v>0.52646482120698801</v>
      </c>
      <c r="H2466">
        <v>0.38421318226164197</v>
      </c>
      <c r="I2466">
        <v>0.33114592955301297</v>
      </c>
      <c r="J2466">
        <v>0.31764979972833102</v>
      </c>
      <c r="K2466">
        <v>0.47566744462207899</v>
      </c>
      <c r="L2466">
        <v>1212.13757290443</v>
      </c>
      <c r="M2466">
        <v>23.663031036996401</v>
      </c>
      <c r="N2466">
        <v>54.196713561966398</v>
      </c>
      <c r="O2466">
        <v>50.8633162021479</v>
      </c>
      <c r="P2466">
        <v>-7.4042924833474993E-2</v>
      </c>
      <c r="Q2466">
        <v>0.363394209587315</v>
      </c>
      <c r="R2466">
        <v>0.96829550372967399</v>
      </c>
      <c r="S2466" t="s">
        <v>8868</v>
      </c>
      <c r="T2466" t="s">
        <v>12802</v>
      </c>
      <c r="U2466" t="s">
        <v>12802</v>
      </c>
      <c r="V2466" t="s">
        <v>12802</v>
      </c>
      <c r="W2466" t="s">
        <v>15222</v>
      </c>
      <c r="X2466">
        <v>22</v>
      </c>
      <c r="Y2466" t="s">
        <v>21492</v>
      </c>
      <c r="Z2466" t="s">
        <v>27784</v>
      </c>
      <c r="AA2466">
        <v>0.67146826946862048</v>
      </c>
      <c r="AB2466" t="str">
        <f>HYPERLINK("Melting_Curves/meltCurve_P34931_HSPA1L.pdf", "Melting_Curves/meltCurve_P34931_HSPA1L.pdf")</f>
        <v>Melting_Curves/meltCurve_P34931_HSPA1L.pdf</v>
      </c>
    </row>
    <row r="2467" spans="1:28" x14ac:dyDescent="0.25">
      <c r="A2467" t="s">
        <v>2471</v>
      </c>
      <c r="B2467">
        <v>0.99542014353169495</v>
      </c>
      <c r="C2467">
        <v>0.99810162000407299</v>
      </c>
      <c r="D2467">
        <v>0.97321077245152599</v>
      </c>
      <c r="E2467">
        <v>0.94268674273592701</v>
      </c>
      <c r="F2467">
        <v>0.63968624333599799</v>
      </c>
      <c r="G2467">
        <v>0.102288263274602</v>
      </c>
      <c r="H2467">
        <v>6.2031407543075297E-2</v>
      </c>
      <c r="I2467">
        <v>4.1217160412084501E-2</v>
      </c>
      <c r="J2467">
        <v>4.33347596634256E-2</v>
      </c>
      <c r="K2467">
        <v>4.40143043874687E-2</v>
      </c>
      <c r="L2467">
        <v>2215.8880676648901</v>
      </c>
      <c r="M2467">
        <v>43.669201393776198</v>
      </c>
      <c r="N2467">
        <v>50.8474993792614</v>
      </c>
      <c r="O2467">
        <v>50.6365112344793</v>
      </c>
      <c r="P2467">
        <v>-0.206314738959789</v>
      </c>
      <c r="Q2467">
        <v>4.3074329898415697E-2</v>
      </c>
      <c r="R2467">
        <v>0.99863305761644805</v>
      </c>
      <c r="S2467" t="s">
        <v>8869</v>
      </c>
      <c r="T2467" t="s">
        <v>12802</v>
      </c>
      <c r="U2467" t="s">
        <v>12802</v>
      </c>
      <c r="V2467" t="s">
        <v>12802</v>
      </c>
      <c r="W2467" t="s">
        <v>15223</v>
      </c>
      <c r="X2467">
        <v>72</v>
      </c>
      <c r="Y2467" t="s">
        <v>21493</v>
      </c>
      <c r="Z2467" t="s">
        <v>27785</v>
      </c>
      <c r="AA2467">
        <v>0.48423979361257341</v>
      </c>
      <c r="AB2467" t="str">
        <f>HYPERLINK("Melting_Curves/meltCurve_P34932_HSPA4.pdf", "Melting_Curves/meltCurve_P34932_HSPA4.pdf")</f>
        <v>Melting_Curves/meltCurve_P34932_HSPA4.pdf</v>
      </c>
    </row>
    <row r="2468" spans="1:28" x14ac:dyDescent="0.25">
      <c r="A2468" t="s">
        <v>2472</v>
      </c>
      <c r="B2468">
        <v>0.99542014353169495</v>
      </c>
      <c r="C2468">
        <v>1.0042472946312</v>
      </c>
      <c r="D2468">
        <v>1.00057099834941</v>
      </c>
      <c r="E2468">
        <v>0.92690760997220201</v>
      </c>
      <c r="F2468">
        <v>0.40826963524860999</v>
      </c>
      <c r="G2468">
        <v>0.13055709456835601</v>
      </c>
      <c r="H2468">
        <v>6.1758078134991901E-2</v>
      </c>
      <c r="I2468">
        <v>4.1533488737457401E-2</v>
      </c>
      <c r="J2468">
        <v>3.9397458260421001E-2</v>
      </c>
      <c r="K2468">
        <v>3.0583431540870801E-2</v>
      </c>
      <c r="L2468">
        <v>1756.76054798258</v>
      </c>
      <c r="M2468">
        <v>35.430082376511699</v>
      </c>
      <c r="N2468">
        <v>49.7197827679787</v>
      </c>
      <c r="O2468">
        <v>49.426703590054899</v>
      </c>
      <c r="P2468">
        <v>-0.170934447897098</v>
      </c>
      <c r="Q2468">
        <v>4.61554436162065E-2</v>
      </c>
      <c r="R2468">
        <v>0.99910591798257298</v>
      </c>
      <c r="S2468" t="s">
        <v>8870</v>
      </c>
      <c r="T2468" t="s">
        <v>12802</v>
      </c>
      <c r="U2468" t="s">
        <v>12802</v>
      </c>
      <c r="V2468" t="s">
        <v>12802</v>
      </c>
      <c r="W2468" t="s">
        <v>15224</v>
      </c>
      <c r="X2468">
        <v>11</v>
      </c>
      <c r="Y2468" t="s">
        <v>21494</v>
      </c>
      <c r="Z2468" t="s">
        <v>27786</v>
      </c>
      <c r="AA2468">
        <v>0.45042695334539412</v>
      </c>
      <c r="AB2468" t="str">
        <f>HYPERLINK("Melting_Curves/meltCurve_P35219_CA8.pdf", "Melting_Curves/meltCurve_P35219_CA8.pdf")</f>
        <v>Melting_Curves/meltCurve_P35219_CA8.pdf</v>
      </c>
    </row>
    <row r="2469" spans="1:28" x14ac:dyDescent="0.25">
      <c r="A2469" t="s">
        <v>2473</v>
      </c>
      <c r="B2469">
        <v>0.99542014353169495</v>
      </c>
      <c r="C2469">
        <v>1.0240089676567901</v>
      </c>
      <c r="D2469">
        <v>0.99243432728454795</v>
      </c>
      <c r="E2469">
        <v>0.95704393203889004</v>
      </c>
      <c r="F2469">
        <v>0.75961233046566401</v>
      </c>
      <c r="G2469">
        <v>0.47517263360211898</v>
      </c>
      <c r="H2469">
        <v>0.149791608594642</v>
      </c>
      <c r="I2469">
        <v>6.0567330879576803E-2</v>
      </c>
      <c r="J2469">
        <v>5.3028787315110598E-2</v>
      </c>
      <c r="K2469">
        <v>4.8526679156829199E-2</v>
      </c>
      <c r="L2469">
        <v>1162.9649508866601</v>
      </c>
      <c r="M2469">
        <v>21.9082555937064</v>
      </c>
      <c r="N2469">
        <v>53.192630055650199</v>
      </c>
      <c r="O2469">
        <v>52.647062134436602</v>
      </c>
      <c r="P2469">
        <v>-0.10174785509980599</v>
      </c>
      <c r="Q2469">
        <v>2.19933245739098E-2</v>
      </c>
      <c r="R2469">
        <v>0.99773583703851998</v>
      </c>
      <c r="S2469" t="s">
        <v>8871</v>
      </c>
      <c r="T2469" t="s">
        <v>12802</v>
      </c>
      <c r="U2469" t="s">
        <v>12802</v>
      </c>
      <c r="V2469" t="s">
        <v>12802</v>
      </c>
      <c r="W2469" t="s">
        <v>15225</v>
      </c>
      <c r="X2469">
        <v>27</v>
      </c>
      <c r="Y2469" t="s">
        <v>21495</v>
      </c>
      <c r="Z2469" t="s">
        <v>27787</v>
      </c>
      <c r="AA2469">
        <v>0.55703723736144262</v>
      </c>
      <c r="AB2469" t="str">
        <f>HYPERLINK("Melting_Curves/meltCurve_P35221_CTNNA1.pdf", "Melting_Curves/meltCurve_P35221_CTNNA1.pdf")</f>
        <v>Melting_Curves/meltCurve_P35221_CTNNA1.pdf</v>
      </c>
    </row>
    <row r="2470" spans="1:28" x14ac:dyDescent="0.25">
      <c r="A2470" t="s">
        <v>2474</v>
      </c>
      <c r="B2470">
        <v>0.99542014353169495</v>
      </c>
      <c r="C2470">
        <v>0.746007367281733</v>
      </c>
      <c r="D2470">
        <v>0.90634822447320895</v>
      </c>
      <c r="E2470">
        <v>0.51744526337010599</v>
      </c>
      <c r="F2470">
        <v>0.54092172642020797</v>
      </c>
      <c r="G2470">
        <v>0.21902716781052001</v>
      </c>
      <c r="H2470">
        <v>0.17492410336344599</v>
      </c>
      <c r="I2470">
        <v>8.5745614313615701E-2</v>
      </c>
      <c r="J2470">
        <v>0.12069468019856</v>
      </c>
      <c r="K2470">
        <v>0.13647850278204901</v>
      </c>
      <c r="L2470">
        <v>489.59768950416299</v>
      </c>
      <c r="M2470">
        <v>10.1457896245591</v>
      </c>
      <c r="N2470">
        <v>48.584438537564303</v>
      </c>
      <c r="O2470">
        <v>46.494125953179903</v>
      </c>
      <c r="P2470">
        <v>-5.2771581016388201E-2</v>
      </c>
      <c r="Q2470">
        <v>3.31202570535859E-2</v>
      </c>
      <c r="R2470">
        <v>0.93432049094227698</v>
      </c>
      <c r="S2470" t="s">
        <v>8872</v>
      </c>
      <c r="T2470" t="s">
        <v>12802</v>
      </c>
      <c r="U2470" t="s">
        <v>12802</v>
      </c>
      <c r="V2470" t="s">
        <v>12802</v>
      </c>
      <c r="W2470" t="s">
        <v>15226</v>
      </c>
      <c r="X2470">
        <v>18</v>
      </c>
      <c r="Y2470" t="s">
        <v>21496</v>
      </c>
      <c r="Z2470" t="s">
        <v>27788</v>
      </c>
      <c r="AA2470">
        <v>0.43331322362723701</v>
      </c>
      <c r="AB2470" t="str">
        <f>HYPERLINK("Melting_Curves/meltCurve_P35232_PHB.pdf", "Melting_Curves/meltCurve_P35232_PHB.pdf")</f>
        <v>Melting_Curves/meltCurve_P35232_PHB.pdf</v>
      </c>
    </row>
    <row r="2471" spans="1:28" x14ac:dyDescent="0.25">
      <c r="A2471" t="s">
        <v>2475</v>
      </c>
      <c r="B2471">
        <v>0.99542014353169495</v>
      </c>
      <c r="C2471">
        <v>0.87906783819082301</v>
      </c>
      <c r="D2471">
        <v>0.77757173065136798</v>
      </c>
      <c r="E2471">
        <v>0.73195729694822598</v>
      </c>
      <c r="F2471">
        <v>0.59742116401907497</v>
      </c>
      <c r="G2471">
        <v>0.47398525998753199</v>
      </c>
      <c r="H2471">
        <v>0.26085456642434601</v>
      </c>
      <c r="I2471">
        <v>8.4726640853127602E-2</v>
      </c>
      <c r="J2471">
        <v>4.5110121921096299E-2</v>
      </c>
      <c r="K2471">
        <v>4.5622281690555301E-2</v>
      </c>
      <c r="L2471">
        <v>519.41522580441494</v>
      </c>
      <c r="M2471">
        <v>10.1394236956413</v>
      </c>
      <c r="N2471">
        <v>51.227292505820799</v>
      </c>
      <c r="O2471">
        <v>49.354469881998703</v>
      </c>
      <c r="P2471">
        <v>-5.1383902326547298E-2</v>
      </c>
      <c r="Q2471">
        <v>0</v>
      </c>
      <c r="R2471">
        <v>0.96774534898118003</v>
      </c>
      <c r="S2471" t="s">
        <v>8873</v>
      </c>
      <c r="T2471" t="s">
        <v>12802</v>
      </c>
      <c r="U2471" t="s">
        <v>12802</v>
      </c>
      <c r="V2471" t="s">
        <v>12802</v>
      </c>
      <c r="W2471" t="s">
        <v>15227</v>
      </c>
      <c r="X2471">
        <v>19</v>
      </c>
      <c r="Y2471" t="s">
        <v>21497</v>
      </c>
      <c r="Z2471" t="s">
        <v>27789</v>
      </c>
      <c r="AA2471">
        <v>0.50360486084496869</v>
      </c>
      <c r="AB2471" t="str">
        <f>HYPERLINK("Melting_Curves/meltCurve_P35237_SERPINB6.pdf", "Melting_Curves/meltCurve_P35237_SERPINB6.pdf")</f>
        <v>Melting_Curves/meltCurve_P35237_SERPINB6.pdf</v>
      </c>
    </row>
    <row r="2472" spans="1:28" x14ac:dyDescent="0.25">
      <c r="A2472" t="s">
        <v>2476</v>
      </c>
      <c r="B2472">
        <v>0.99542014353169495</v>
      </c>
      <c r="C2472">
        <v>1.01148091913454</v>
      </c>
      <c r="D2472">
        <v>0.97279210653088199</v>
      </c>
      <c r="E2472">
        <v>0.88422788287517595</v>
      </c>
      <c r="F2472">
        <v>0.49434132287952598</v>
      </c>
      <c r="G2472">
        <v>0.17504808821644499</v>
      </c>
      <c r="H2472">
        <v>0.1070571444891</v>
      </c>
      <c r="I2472">
        <v>6.0274344805405201E-2</v>
      </c>
      <c r="J2472">
        <v>4.7258831201915798E-2</v>
      </c>
      <c r="K2472">
        <v>6.2491692636461003E-2</v>
      </c>
      <c r="L2472">
        <v>1327.7979328168799</v>
      </c>
      <c r="M2472">
        <v>26.588427562114099</v>
      </c>
      <c r="N2472">
        <v>50.171524071626003</v>
      </c>
      <c r="O2472">
        <v>49.659032514136399</v>
      </c>
      <c r="P2472">
        <v>-0.12609515009623201</v>
      </c>
      <c r="Q2472">
        <v>5.7981887310711702E-2</v>
      </c>
      <c r="R2472">
        <v>0.99937181044033396</v>
      </c>
      <c r="S2472" t="s">
        <v>8874</v>
      </c>
      <c r="T2472" t="s">
        <v>12802</v>
      </c>
      <c r="U2472" t="s">
        <v>12802</v>
      </c>
      <c r="V2472" t="s">
        <v>12802</v>
      </c>
      <c r="W2472" t="s">
        <v>15228</v>
      </c>
      <c r="X2472">
        <v>7</v>
      </c>
      <c r="Y2472" t="s">
        <v>21498</v>
      </c>
      <c r="Z2472" t="s">
        <v>27790</v>
      </c>
      <c r="AA2472">
        <v>0.47158587122358508</v>
      </c>
      <c r="AB2472" t="str">
        <f>HYPERLINK("Melting_Curves/meltCurve_P35240_4_NF2.pdf", "Melting_Curves/meltCurve_P35240_4_NF2.pdf")</f>
        <v>Melting_Curves/meltCurve_P35240_4_NF2.pdf</v>
      </c>
    </row>
    <row r="2473" spans="1:28" x14ac:dyDescent="0.25">
      <c r="A2473" t="s">
        <v>2477</v>
      </c>
      <c r="B2473">
        <v>0.99542014353169495</v>
      </c>
      <c r="C2473">
        <v>1.0507719293403299</v>
      </c>
      <c r="D2473">
        <v>0.97911199387006398</v>
      </c>
      <c r="E2473">
        <v>0.96150693961978095</v>
      </c>
      <c r="F2473">
        <v>0.81936567731813403</v>
      </c>
      <c r="G2473">
        <v>0.75808884468858595</v>
      </c>
      <c r="H2473">
        <v>0.49544545885458202</v>
      </c>
      <c r="I2473">
        <v>9.6753300420808902E-2</v>
      </c>
      <c r="J2473">
        <v>8.0442592206691005E-2</v>
      </c>
      <c r="K2473">
        <v>8.9747590371736505E-2</v>
      </c>
      <c r="L2473">
        <v>1093.02033660046</v>
      </c>
      <c r="M2473">
        <v>19.332067149130999</v>
      </c>
      <c r="N2473">
        <v>56.539237785351197</v>
      </c>
      <c r="O2473">
        <v>55.944670091577301</v>
      </c>
      <c r="P2473">
        <v>-8.6392429626483996E-2</v>
      </c>
      <c r="Q2473">
        <v>0</v>
      </c>
      <c r="R2473">
        <v>0.97931168960457704</v>
      </c>
      <c r="S2473" t="s">
        <v>8875</v>
      </c>
      <c r="T2473" t="s">
        <v>12802</v>
      </c>
      <c r="U2473" t="s">
        <v>12802</v>
      </c>
      <c r="V2473" t="s">
        <v>12802</v>
      </c>
      <c r="W2473" t="s">
        <v>15229</v>
      </c>
      <c r="X2473">
        <v>44</v>
      </c>
      <c r="Y2473" t="s">
        <v>21499</v>
      </c>
      <c r="Z2473" t="s">
        <v>27791</v>
      </c>
      <c r="AA2473">
        <v>0.66102447989953939</v>
      </c>
      <c r="AB2473" t="str">
        <f>HYPERLINK("Melting_Curves/meltCurve_P35241_RDX.pdf", "Melting_Curves/meltCurve_P35241_RDX.pdf")</f>
        <v>Melting_Curves/meltCurve_P35241_RDX.pdf</v>
      </c>
    </row>
    <row r="2474" spans="1:28" x14ac:dyDescent="0.25">
      <c r="A2474" t="s">
        <v>2478</v>
      </c>
      <c r="B2474">
        <v>0.99542014353169495</v>
      </c>
      <c r="C2474">
        <v>1.0104459987241201</v>
      </c>
      <c r="D2474">
        <v>0.86384511064624103</v>
      </c>
      <c r="E2474">
        <v>0.80007972601808397</v>
      </c>
      <c r="F2474">
        <v>0.66203555678945603</v>
      </c>
      <c r="G2474">
        <v>0.54106592947226095</v>
      </c>
      <c r="H2474">
        <v>0.37694151712364199</v>
      </c>
      <c r="I2474">
        <v>0.18122251694979299</v>
      </c>
      <c r="J2474">
        <v>0.11353227408897899</v>
      </c>
      <c r="K2474">
        <v>8.7383282525458003E-2</v>
      </c>
      <c r="L2474">
        <v>559.32598161341605</v>
      </c>
      <c r="M2474">
        <v>10.437889893301399</v>
      </c>
      <c r="N2474">
        <v>53.586116636548297</v>
      </c>
      <c r="O2474">
        <v>51.731235614176001</v>
      </c>
      <c r="P2474">
        <v>-5.0463701434679799E-2</v>
      </c>
      <c r="Q2474">
        <v>0</v>
      </c>
      <c r="R2474">
        <v>0.98740080952281895</v>
      </c>
      <c r="S2474" t="s">
        <v>8876</v>
      </c>
      <c r="T2474" t="s">
        <v>12802</v>
      </c>
      <c r="U2474" t="s">
        <v>12802</v>
      </c>
      <c r="V2474" t="s">
        <v>12802</v>
      </c>
      <c r="W2474" t="s">
        <v>15230</v>
      </c>
      <c r="X2474">
        <v>6</v>
      </c>
      <c r="Y2474" t="s">
        <v>21500</v>
      </c>
      <c r="Z2474" t="s">
        <v>27792</v>
      </c>
      <c r="AA2474">
        <v>0.57258628322903815</v>
      </c>
      <c r="AB2474" t="str">
        <f>HYPERLINK("Melting_Curves/meltCurve_P35244_RPA3.pdf", "Melting_Curves/meltCurve_P35244_RPA3.pdf")</f>
        <v>Melting_Curves/meltCurve_P35244_RPA3.pdf</v>
      </c>
    </row>
    <row r="2475" spans="1:28" x14ac:dyDescent="0.25">
      <c r="A2475" t="s">
        <v>2479</v>
      </c>
      <c r="B2475">
        <v>0.99542014353169495</v>
      </c>
      <c r="C2475">
        <v>0.95443964660085601</v>
      </c>
      <c r="D2475">
        <v>0.923603848775572</v>
      </c>
      <c r="E2475">
        <v>0.79775412043198901</v>
      </c>
      <c r="F2475">
        <v>0.50520985148187902</v>
      </c>
      <c r="G2475">
        <v>0.202717853540298</v>
      </c>
      <c r="H2475">
        <v>7.8202333643363597E-2</v>
      </c>
      <c r="I2475">
        <v>5.2935496601792399E-2</v>
      </c>
      <c r="J2475">
        <v>5.7013346227402499E-2</v>
      </c>
      <c r="K2475">
        <v>5.53593297635969E-2</v>
      </c>
      <c r="L2475">
        <v>962.30738994059902</v>
      </c>
      <c r="M2475">
        <v>19.310995254572099</v>
      </c>
      <c r="N2475">
        <v>49.9990188731066</v>
      </c>
      <c r="O2475">
        <v>49.306963536673003</v>
      </c>
      <c r="P2475">
        <v>-9.4858797685360999E-2</v>
      </c>
      <c r="Q2475">
        <v>3.1220790778622099E-2</v>
      </c>
      <c r="R2475">
        <v>0.99717092963118104</v>
      </c>
      <c r="S2475" t="s">
        <v>8877</v>
      </c>
      <c r="T2475" t="s">
        <v>12802</v>
      </c>
      <c r="U2475" t="s">
        <v>12802</v>
      </c>
      <c r="V2475" t="s">
        <v>12802</v>
      </c>
      <c r="W2475" t="s">
        <v>15231</v>
      </c>
      <c r="X2475">
        <v>24</v>
      </c>
      <c r="Y2475" t="s">
        <v>21501</v>
      </c>
      <c r="Z2475" t="s">
        <v>27793</v>
      </c>
      <c r="AA2475">
        <v>0.45917246196879441</v>
      </c>
      <c r="AB2475" t="str">
        <f>HYPERLINK("Melting_Curves/meltCurve_P35249_RFC4.pdf", "Melting_Curves/meltCurve_P35249_RFC4.pdf")</f>
        <v>Melting_Curves/meltCurve_P35249_RFC4.pdf</v>
      </c>
    </row>
    <row r="2476" spans="1:28" x14ac:dyDescent="0.25">
      <c r="A2476" t="s">
        <v>2480</v>
      </c>
      <c r="B2476">
        <v>0.99542014353169495</v>
      </c>
      <c r="C2476">
        <v>1.02397954963634</v>
      </c>
      <c r="D2476">
        <v>1.0344309853877101</v>
      </c>
      <c r="E2476">
        <v>0.95097976866651102</v>
      </c>
      <c r="F2476">
        <v>0.59329458328514695</v>
      </c>
      <c r="G2476">
        <v>0.15305123314632099</v>
      </c>
      <c r="H2476">
        <v>6.6447462864424101E-2</v>
      </c>
      <c r="I2476">
        <v>4.8507353653027198E-2</v>
      </c>
      <c r="J2476">
        <v>4.2907030725647097E-2</v>
      </c>
      <c r="K2476">
        <v>4.2300875498157801E-2</v>
      </c>
      <c r="L2476">
        <v>1754.2467715242101</v>
      </c>
      <c r="M2476">
        <v>34.6487872484741</v>
      </c>
      <c r="N2476">
        <v>50.767236514416197</v>
      </c>
      <c r="O2476">
        <v>50.461626327958498</v>
      </c>
      <c r="P2476">
        <v>-0.16395255897826799</v>
      </c>
      <c r="Q2476">
        <v>4.4897896154739603E-2</v>
      </c>
      <c r="R2476">
        <v>0.99897608960814799</v>
      </c>
      <c r="S2476" t="s">
        <v>8878</v>
      </c>
      <c r="T2476" t="s">
        <v>12802</v>
      </c>
      <c r="U2476" t="s">
        <v>12802</v>
      </c>
      <c r="V2476" t="s">
        <v>12802</v>
      </c>
      <c r="W2476" t="s">
        <v>15232</v>
      </c>
      <c r="X2476">
        <v>23</v>
      </c>
      <c r="Y2476" t="s">
        <v>21502</v>
      </c>
      <c r="Z2476" t="s">
        <v>27794</v>
      </c>
      <c r="AA2476">
        <v>0.48326374508167419</v>
      </c>
      <c r="AB2476" t="str">
        <f>HYPERLINK("Melting_Curves/meltCurve_P35250_RFC2.pdf", "Melting_Curves/meltCurve_P35250_RFC2.pdf")</f>
        <v>Melting_Curves/meltCurve_P35250_RFC2.pdf</v>
      </c>
    </row>
    <row r="2477" spans="1:28" x14ac:dyDescent="0.25">
      <c r="A2477" t="s">
        <v>2481</v>
      </c>
      <c r="B2477">
        <v>0.99542014353169495</v>
      </c>
      <c r="C2477">
        <v>0.85756440246620202</v>
      </c>
      <c r="D2477">
        <v>0.74855866467152299</v>
      </c>
      <c r="E2477">
        <v>0.33701127377193202</v>
      </c>
      <c r="F2477">
        <v>0.20003344426035299</v>
      </c>
      <c r="G2477">
        <v>0.143675218198525</v>
      </c>
      <c r="H2477">
        <v>9.3005370165800003E-2</v>
      </c>
      <c r="I2477">
        <v>5.4857468776803801E-2</v>
      </c>
      <c r="J2477">
        <v>6.5443657558063806E-2</v>
      </c>
      <c r="K2477">
        <v>5.8661724303551203E-2</v>
      </c>
      <c r="L2477">
        <v>790.71923436113195</v>
      </c>
      <c r="M2477">
        <v>17.643142397471401</v>
      </c>
      <c r="N2477">
        <v>45.174824227099599</v>
      </c>
      <c r="O2477">
        <v>44.253504048312799</v>
      </c>
      <c r="P2477">
        <v>-9.3182363554506403E-2</v>
      </c>
      <c r="Q2477">
        <v>6.5149451759440397E-2</v>
      </c>
      <c r="R2477">
        <v>0.99297613961704301</v>
      </c>
      <c r="S2477" t="s">
        <v>8879</v>
      </c>
      <c r="T2477" t="s">
        <v>12802</v>
      </c>
      <c r="U2477" t="s">
        <v>12802</v>
      </c>
      <c r="V2477" t="s">
        <v>12802</v>
      </c>
      <c r="W2477" t="s">
        <v>15233</v>
      </c>
      <c r="X2477">
        <v>11</v>
      </c>
      <c r="Y2477" t="s">
        <v>21503</v>
      </c>
      <c r="Z2477" t="s">
        <v>27795</v>
      </c>
      <c r="AA2477">
        <v>0.32478988944565179</v>
      </c>
      <c r="AB2477" t="str">
        <f>HYPERLINK("Melting_Curves/meltCurve_P35251_2_RFC1.pdf", "Melting_Curves/meltCurve_P35251_2_RFC1.pdf")</f>
        <v>Melting_Curves/meltCurve_P35251_2_RFC1.pdf</v>
      </c>
    </row>
    <row r="2478" spans="1:28" x14ac:dyDescent="0.25">
      <c r="A2478" t="s">
        <v>2482</v>
      </c>
      <c r="B2478">
        <v>0.99542014353169495</v>
      </c>
      <c r="C2478">
        <v>1.0010489496291299</v>
      </c>
      <c r="D2478">
        <v>0.91519800423064401</v>
      </c>
      <c r="E2478">
        <v>0.85193148181387701</v>
      </c>
      <c r="F2478">
        <v>0.58295868964853603</v>
      </c>
      <c r="G2478">
        <v>0.40230639261955198</v>
      </c>
      <c r="H2478">
        <v>0.19629899711829699</v>
      </c>
      <c r="I2478">
        <v>8.9712407974046698E-2</v>
      </c>
      <c r="J2478">
        <v>7.3574971910599807E-2</v>
      </c>
      <c r="K2478">
        <v>7.5088677517416297E-2</v>
      </c>
      <c r="L2478">
        <v>741.92554926167304</v>
      </c>
      <c r="M2478">
        <v>14.3716034681428</v>
      </c>
      <c r="N2478">
        <v>51.763606629150502</v>
      </c>
      <c r="O2478">
        <v>50.655747385157397</v>
      </c>
      <c r="P2478">
        <v>-6.9591710367006704E-2</v>
      </c>
      <c r="Q2478">
        <v>1.8954581078853699E-2</v>
      </c>
      <c r="R2478">
        <v>0.99668615642885205</v>
      </c>
      <c r="S2478" t="s">
        <v>8880</v>
      </c>
      <c r="T2478" t="s">
        <v>12802</v>
      </c>
      <c r="U2478" t="s">
        <v>12802</v>
      </c>
      <c r="V2478" t="s">
        <v>12802</v>
      </c>
      <c r="W2478" t="s">
        <v>15234</v>
      </c>
      <c r="X2478">
        <v>7</v>
      </c>
      <c r="Y2478" t="s">
        <v>21504</v>
      </c>
      <c r="Z2478" t="s">
        <v>27796</v>
      </c>
      <c r="AA2478">
        <v>0.51735884326000903</v>
      </c>
      <c r="AB2478" t="str">
        <f>HYPERLINK("Melting_Curves/meltCurve_P35268_RPL22.pdf", "Melting_Curves/meltCurve_P35268_RPL22.pdf")</f>
        <v>Melting_Curves/meltCurve_P35268_RPL22.pdf</v>
      </c>
    </row>
    <row r="2479" spans="1:28" x14ac:dyDescent="0.25">
      <c r="A2479" t="s">
        <v>2483</v>
      </c>
      <c r="B2479">
        <v>0.99542014353169495</v>
      </c>
      <c r="C2479">
        <v>1.04093776861849</v>
      </c>
      <c r="D2479">
        <v>0.96923068824659198</v>
      </c>
      <c r="E2479">
        <v>0.88312399733074798</v>
      </c>
      <c r="F2479">
        <v>0.70224648804626499</v>
      </c>
      <c r="G2479">
        <v>0.49617560535398397</v>
      </c>
      <c r="H2479">
        <v>0.241971752625878</v>
      </c>
      <c r="I2479">
        <v>0.15553311054636099</v>
      </c>
      <c r="J2479">
        <v>0.20178323733067799</v>
      </c>
      <c r="K2479">
        <v>0.24655626636536199</v>
      </c>
      <c r="L2479">
        <v>983.15472914451595</v>
      </c>
      <c r="M2479">
        <v>18.986386978423401</v>
      </c>
      <c r="N2479">
        <v>52.974154395044401</v>
      </c>
      <c r="O2479">
        <v>51.217908431139598</v>
      </c>
      <c r="P2479">
        <v>-7.6566250910959296E-2</v>
      </c>
      <c r="Q2479">
        <v>0.173848876429476</v>
      </c>
      <c r="R2479">
        <v>0.98735878492829199</v>
      </c>
      <c r="S2479" t="s">
        <v>8881</v>
      </c>
      <c r="T2479" t="s">
        <v>12802</v>
      </c>
      <c r="U2479" t="s">
        <v>12802</v>
      </c>
      <c r="V2479" t="s">
        <v>12802</v>
      </c>
      <c r="W2479" t="s">
        <v>15235</v>
      </c>
      <c r="X2479">
        <v>18</v>
      </c>
      <c r="Y2479" t="s">
        <v>21505</v>
      </c>
      <c r="Z2479" t="s">
        <v>27797</v>
      </c>
      <c r="AA2479">
        <v>0.59253668888420741</v>
      </c>
      <c r="AB2479" t="str">
        <f>HYPERLINK("Melting_Curves/meltCurve_P35269_GTF2F1.pdf", "Melting_Curves/meltCurve_P35269_GTF2F1.pdf")</f>
        <v>Melting_Curves/meltCurve_P35269_GTF2F1.pdf</v>
      </c>
    </row>
    <row r="2480" spans="1:28" x14ac:dyDescent="0.25">
      <c r="A2480" t="s">
        <v>2484</v>
      </c>
      <c r="B2480">
        <v>0.99542014353169495</v>
      </c>
      <c r="C2480">
        <v>1.0609632506958699</v>
      </c>
      <c r="D2480">
        <v>0.92719814386656696</v>
      </c>
      <c r="E2480">
        <v>0.88164746854998299</v>
      </c>
      <c r="F2480">
        <v>0.63628109883390505</v>
      </c>
      <c r="G2480">
        <v>0.24068932683479799</v>
      </c>
      <c r="H2480">
        <v>9.3971142343332495E-2</v>
      </c>
      <c r="I2480">
        <v>6.7477972387447405E-2</v>
      </c>
      <c r="J2480">
        <v>7.2865741960409097E-2</v>
      </c>
      <c r="K2480">
        <v>7.5034559710707396E-2</v>
      </c>
      <c r="L2480">
        <v>1245.4342237575299</v>
      </c>
      <c r="M2480">
        <v>24.464379627547299</v>
      </c>
      <c r="N2480">
        <v>51.158256294105797</v>
      </c>
      <c r="O2480">
        <v>50.571592890028597</v>
      </c>
      <c r="P2480">
        <v>-0.114122262490816</v>
      </c>
      <c r="Q2480">
        <v>5.6381928743099601E-2</v>
      </c>
      <c r="R2480">
        <v>0.99387482065635102</v>
      </c>
      <c r="S2480" t="s">
        <v>8882</v>
      </c>
      <c r="T2480" t="s">
        <v>12802</v>
      </c>
      <c r="U2480" t="s">
        <v>12802</v>
      </c>
      <c r="V2480" t="s">
        <v>12802</v>
      </c>
      <c r="W2480" t="s">
        <v>15236</v>
      </c>
      <c r="X2480">
        <v>11</v>
      </c>
      <c r="Y2480" t="s">
        <v>21506</v>
      </c>
      <c r="Z2480" t="s">
        <v>27798</v>
      </c>
      <c r="AA2480">
        <v>0.50250627837939232</v>
      </c>
      <c r="AB2480" t="str">
        <f>HYPERLINK("Melting_Curves/meltCurve_P35270_SPR.pdf", "Melting_Curves/meltCurve_P35270_SPR.pdf")</f>
        <v>Melting_Curves/meltCurve_P35270_SPR.pdf</v>
      </c>
    </row>
    <row r="2481" spans="1:28" x14ac:dyDescent="0.25">
      <c r="A2481" t="s">
        <v>2485</v>
      </c>
      <c r="B2481">
        <v>0.99542014353169495</v>
      </c>
      <c r="C2481">
        <v>0.88268988229077305</v>
      </c>
      <c r="D2481">
        <v>0.869993921293157</v>
      </c>
      <c r="E2481">
        <v>0.78447753146110799</v>
      </c>
      <c r="F2481">
        <v>0.62829242547115804</v>
      </c>
      <c r="G2481">
        <v>0.38640356748375199</v>
      </c>
      <c r="H2481">
        <v>0.25730377678474398</v>
      </c>
      <c r="I2481">
        <v>0.17426156435015899</v>
      </c>
      <c r="J2481">
        <v>6.4293156212555505E-2</v>
      </c>
      <c r="K2481">
        <v>6.1518441991935298E-2</v>
      </c>
      <c r="L2481">
        <v>568.40760187876595</v>
      </c>
      <c r="M2481">
        <v>10.9721516791612</v>
      </c>
      <c r="N2481">
        <v>51.804570162409298</v>
      </c>
      <c r="O2481">
        <v>50.172942086081797</v>
      </c>
      <c r="P2481">
        <v>-5.4690284503924498E-2</v>
      </c>
      <c r="Q2481">
        <v>0</v>
      </c>
      <c r="R2481">
        <v>0.98971478799136003</v>
      </c>
      <c r="S2481" t="s">
        <v>8883</v>
      </c>
      <c r="T2481" t="s">
        <v>12802</v>
      </c>
      <c r="U2481" t="s">
        <v>12802</v>
      </c>
      <c r="V2481" t="s">
        <v>12802</v>
      </c>
      <c r="W2481" t="s">
        <v>15237</v>
      </c>
      <c r="X2481">
        <v>22</v>
      </c>
      <c r="Y2481" t="s">
        <v>21507</v>
      </c>
      <c r="Z2481" t="s">
        <v>27799</v>
      </c>
      <c r="AA2481">
        <v>0.51941323928027106</v>
      </c>
      <c r="AB2481" t="str">
        <f>HYPERLINK("Melting_Curves/meltCurve_P35520_CBS.pdf", "Melting_Curves/meltCurve_P35520_CBS.pdf")</f>
        <v>Melting_Curves/meltCurve_P35520_CBS.pdf</v>
      </c>
    </row>
    <row r="2482" spans="1:28" x14ac:dyDescent="0.25">
      <c r="A2482" t="s">
        <v>2486</v>
      </c>
      <c r="B2482">
        <v>0.99542014353169495</v>
      </c>
      <c r="C2482">
        <v>0.97014433612225304</v>
      </c>
      <c r="D2482">
        <v>1.03402660017452</v>
      </c>
      <c r="E2482">
        <v>0.81531725841879499</v>
      </c>
      <c r="F2482">
        <v>0.37098653020254102</v>
      </c>
      <c r="G2482">
        <v>0.12650312814293499</v>
      </c>
      <c r="H2482">
        <v>7.0740156064251394E-2</v>
      </c>
      <c r="I2482">
        <v>5.3919231981348903E-2</v>
      </c>
      <c r="J2482">
        <v>5.1548906602788103E-2</v>
      </c>
      <c r="K2482">
        <v>5.9571903419555899E-2</v>
      </c>
      <c r="L2482">
        <v>1416.5303805465401</v>
      </c>
      <c r="M2482">
        <v>28.915352798022798</v>
      </c>
      <c r="N2482">
        <v>49.189235562267697</v>
      </c>
      <c r="O2482">
        <v>48.7563366916877</v>
      </c>
      <c r="P2482">
        <v>-0.140028667693475</v>
      </c>
      <c r="Q2482">
        <v>5.5555673573722597E-2</v>
      </c>
      <c r="R2482">
        <v>0.99797179490425503</v>
      </c>
      <c r="S2482" t="s">
        <v>8884</v>
      </c>
      <c r="T2482" t="s">
        <v>12802</v>
      </c>
      <c r="U2482" t="s">
        <v>12802</v>
      </c>
      <c r="V2482" t="s">
        <v>12802</v>
      </c>
      <c r="W2482" t="s">
        <v>15238</v>
      </c>
      <c r="X2482">
        <v>10</v>
      </c>
      <c r="Y2482" t="s">
        <v>21508</v>
      </c>
      <c r="Z2482" t="s">
        <v>27800</v>
      </c>
      <c r="AA2482">
        <v>0.43911145358167508</v>
      </c>
      <c r="AB2482" t="str">
        <f>HYPERLINK("Melting_Curves/meltCurve_P35573_AGL.pdf", "Melting_Curves/meltCurve_P35573_AGL.pdf")</f>
        <v>Melting_Curves/meltCurve_P35573_AGL.pdf</v>
      </c>
    </row>
    <row r="2483" spans="1:28" x14ac:dyDescent="0.25">
      <c r="A2483" t="s">
        <v>2487</v>
      </c>
      <c r="B2483">
        <v>0.99542014353169495</v>
      </c>
      <c r="C2483">
        <v>0.89895269214543605</v>
      </c>
      <c r="D2483">
        <v>0.92292140981420201</v>
      </c>
      <c r="E2483">
        <v>0.82123120319486997</v>
      </c>
      <c r="F2483">
        <v>0.60428396227231496</v>
      </c>
      <c r="G2483">
        <v>0.26467875578996802</v>
      </c>
      <c r="H2483">
        <v>8.27969589427381E-2</v>
      </c>
      <c r="I2483">
        <v>5.6219339685670597E-2</v>
      </c>
      <c r="J2483">
        <v>5.7845888495882097E-2</v>
      </c>
      <c r="K2483">
        <v>6.8634261177342504E-2</v>
      </c>
      <c r="L2483">
        <v>936.43049332435703</v>
      </c>
      <c r="M2483">
        <v>18.461114231275602</v>
      </c>
      <c r="N2483">
        <v>50.867352186666601</v>
      </c>
      <c r="O2483">
        <v>50.140537827349</v>
      </c>
      <c r="P2483">
        <v>-8.9725353849158099E-2</v>
      </c>
      <c r="Q2483">
        <v>2.5264341487059801E-2</v>
      </c>
      <c r="R2483">
        <v>0.98890943686536503</v>
      </c>
      <c r="S2483" t="s">
        <v>8885</v>
      </c>
      <c r="T2483" t="s">
        <v>12802</v>
      </c>
      <c r="U2483" t="s">
        <v>12802</v>
      </c>
      <c r="V2483" t="s">
        <v>12802</v>
      </c>
      <c r="W2483" t="s">
        <v>15239</v>
      </c>
      <c r="X2483">
        <v>145</v>
      </c>
      <c r="Y2483" t="s">
        <v>21509</v>
      </c>
      <c r="Z2483" t="s">
        <v>27801</v>
      </c>
      <c r="AA2483">
        <v>0.4857850346230404</v>
      </c>
      <c r="AB2483" t="str">
        <f>HYPERLINK("Melting_Curves/meltCurve_P35579_MYH9.pdf", "Melting_Curves/meltCurve_P35579_MYH9.pdf")</f>
        <v>Melting_Curves/meltCurve_P35579_MYH9.pdf</v>
      </c>
    </row>
    <row r="2484" spans="1:28" x14ac:dyDescent="0.25">
      <c r="A2484" t="s">
        <v>2488</v>
      </c>
      <c r="B2484">
        <v>0.99542014353169495</v>
      </c>
      <c r="C2484">
        <v>0.84564137376417703</v>
      </c>
      <c r="D2484">
        <v>0.88382663538676598</v>
      </c>
      <c r="E2484">
        <v>0.71174066495414201</v>
      </c>
      <c r="F2484">
        <v>0.44510106360089902</v>
      </c>
      <c r="G2484">
        <v>0.19698474132503099</v>
      </c>
      <c r="H2484">
        <v>6.6558131790655298E-2</v>
      </c>
      <c r="I2484">
        <v>4.4326705051678801E-2</v>
      </c>
      <c r="J2484">
        <v>4.4915019874309903E-2</v>
      </c>
      <c r="K2484">
        <v>4.7812024544960398E-2</v>
      </c>
      <c r="L2484">
        <v>715.19883151614499</v>
      </c>
      <c r="M2484">
        <v>14.567535568223599</v>
      </c>
      <c r="N2484">
        <v>49.095411698442398</v>
      </c>
      <c r="O2484">
        <v>48.198049855411902</v>
      </c>
      <c r="P2484">
        <v>-7.5569374497629294E-2</v>
      </c>
      <c r="Q2484">
        <v>0</v>
      </c>
      <c r="R2484">
        <v>0.98639467741279696</v>
      </c>
      <c r="S2484" t="s">
        <v>8886</v>
      </c>
      <c r="T2484" t="s">
        <v>12802</v>
      </c>
      <c r="U2484" t="s">
        <v>12802</v>
      </c>
      <c r="V2484" t="s">
        <v>12802</v>
      </c>
      <c r="W2484" t="s">
        <v>15240</v>
      </c>
      <c r="X2484">
        <v>133</v>
      </c>
      <c r="Y2484" t="s">
        <v>21510</v>
      </c>
      <c r="Z2484" t="s">
        <v>27802</v>
      </c>
      <c r="AA2484">
        <v>0.42562948142830259</v>
      </c>
      <c r="AB2484" t="str">
        <f>HYPERLINK("Melting_Curves/meltCurve_P35580_MYH10.pdf", "Melting_Curves/meltCurve_P35580_MYH10.pdf")</f>
        <v>Melting_Curves/meltCurve_P35580_MYH10.pdf</v>
      </c>
    </row>
    <row r="2485" spans="1:28" x14ac:dyDescent="0.25">
      <c r="A2485" t="s">
        <v>2489</v>
      </c>
      <c r="B2485">
        <v>0.99542014353169495</v>
      </c>
      <c r="C2485">
        <v>0.81958491181067505</v>
      </c>
      <c r="D2485">
        <v>0.89805723599012599</v>
      </c>
      <c r="E2485">
        <v>0.66924110344285603</v>
      </c>
      <c r="F2485">
        <v>0.46734898657212798</v>
      </c>
      <c r="G2485">
        <v>0.21492495590236299</v>
      </c>
      <c r="H2485">
        <v>9.1296825205342894E-2</v>
      </c>
      <c r="I2485">
        <v>4.3698772873073402E-2</v>
      </c>
      <c r="J2485">
        <v>4.7911518856096597E-2</v>
      </c>
      <c r="K2485">
        <v>4.3547175140499897E-2</v>
      </c>
      <c r="L2485">
        <v>653.48890145601899</v>
      </c>
      <c r="M2485">
        <v>13.322124934143799</v>
      </c>
      <c r="N2485">
        <v>49.052897477471497</v>
      </c>
      <c r="O2485">
        <v>47.987164798288198</v>
      </c>
      <c r="P2485">
        <v>-6.9415772776289797E-2</v>
      </c>
      <c r="Q2485">
        <v>0</v>
      </c>
      <c r="R2485">
        <v>0.98245556837721904</v>
      </c>
      <c r="S2485" t="s">
        <v>8887</v>
      </c>
      <c r="T2485" t="s">
        <v>12802</v>
      </c>
      <c r="U2485" t="s">
        <v>12802</v>
      </c>
      <c r="V2485" t="s">
        <v>12802</v>
      </c>
      <c r="W2485" t="s">
        <v>15241</v>
      </c>
      <c r="X2485">
        <v>35</v>
      </c>
      <c r="Y2485" t="s">
        <v>21511</v>
      </c>
      <c r="Z2485" t="s">
        <v>27803</v>
      </c>
      <c r="AA2485">
        <v>0.42742797935703353</v>
      </c>
      <c r="AB2485" t="str">
        <f>HYPERLINK("Melting_Curves/meltCurve_P35606_COPB2.pdf", "Melting_Curves/meltCurve_P35606_COPB2.pdf")</f>
        <v>Melting_Curves/meltCurve_P35606_COPB2.pdf</v>
      </c>
    </row>
    <row r="2486" spans="1:28" x14ac:dyDescent="0.25">
      <c r="A2486" t="s">
        <v>2490</v>
      </c>
      <c r="B2486">
        <v>0.99542014353169495</v>
      </c>
      <c r="C2486">
        <v>0.98104654553578996</v>
      </c>
      <c r="D2486">
        <v>0.976727512749472</v>
      </c>
      <c r="E2486">
        <v>0.89198045873308096</v>
      </c>
      <c r="F2486">
        <v>0.71353988756787001</v>
      </c>
      <c r="G2486">
        <v>0.52101958171014195</v>
      </c>
      <c r="H2486">
        <v>0.32914166249597399</v>
      </c>
      <c r="I2486">
        <v>0.24267288121599601</v>
      </c>
      <c r="J2486">
        <v>0.28494621899009998</v>
      </c>
      <c r="K2486">
        <v>0.20801514037242</v>
      </c>
      <c r="L2486">
        <v>843.514354975174</v>
      </c>
      <c r="M2486">
        <v>16.196857373359901</v>
      </c>
      <c r="N2486">
        <v>53.798887978306198</v>
      </c>
      <c r="O2486">
        <v>51.304425204913301</v>
      </c>
      <c r="P2486">
        <v>-6.2979702936240306E-2</v>
      </c>
      <c r="Q2486">
        <v>0.20209314982841201</v>
      </c>
      <c r="R2486">
        <v>0.99583532567513799</v>
      </c>
      <c r="S2486" t="s">
        <v>8888</v>
      </c>
      <c r="T2486" t="s">
        <v>12802</v>
      </c>
      <c r="U2486" t="s">
        <v>12802</v>
      </c>
      <c r="V2486" t="s">
        <v>12802</v>
      </c>
      <c r="W2486" t="s">
        <v>15242</v>
      </c>
      <c r="X2486">
        <v>24</v>
      </c>
      <c r="Y2486" t="s">
        <v>21512</v>
      </c>
      <c r="Z2486" t="s">
        <v>27804</v>
      </c>
      <c r="AA2486">
        <v>0.61700518190827003</v>
      </c>
      <c r="AB2486" t="str">
        <f>HYPERLINK("Melting_Curves/meltCurve_P35612_ADD2.pdf", "Melting_Curves/meltCurve_P35612_ADD2.pdf")</f>
        <v>Melting_Curves/meltCurve_P35612_ADD2.pdf</v>
      </c>
    </row>
    <row r="2487" spans="1:28" x14ac:dyDescent="0.25">
      <c r="A2487" t="s">
        <v>2491</v>
      </c>
      <c r="B2487">
        <v>0.99542014353169495</v>
      </c>
      <c r="C2487">
        <v>0.91456845066665504</v>
      </c>
      <c r="D2487">
        <v>0.91158300128126002</v>
      </c>
      <c r="E2487">
        <v>0.80666676063174803</v>
      </c>
      <c r="F2487">
        <v>0.66928740469584602</v>
      </c>
      <c r="G2487">
        <v>0.50826309603825304</v>
      </c>
      <c r="H2487">
        <v>0.42230923149476801</v>
      </c>
      <c r="I2487">
        <v>0.38806371046513699</v>
      </c>
      <c r="J2487">
        <v>0.55924836515721099</v>
      </c>
      <c r="K2487">
        <v>0.65877689250835003</v>
      </c>
      <c r="L2487">
        <v>909.09055522410097</v>
      </c>
      <c r="M2487">
        <v>19.180610092121999</v>
      </c>
      <c r="O2487">
        <v>46.890155391503498</v>
      </c>
      <c r="P2487">
        <v>-5.1109246930799497E-2</v>
      </c>
      <c r="Q2487">
        <v>0.50023935500143102</v>
      </c>
      <c r="R2487">
        <v>0.85673836413460902</v>
      </c>
      <c r="S2487" t="s">
        <v>8889</v>
      </c>
      <c r="T2487" t="s">
        <v>12802</v>
      </c>
      <c r="U2487" t="s">
        <v>12802</v>
      </c>
      <c r="V2487" t="s">
        <v>12802</v>
      </c>
      <c r="W2487" t="s">
        <v>15243</v>
      </c>
      <c r="X2487">
        <v>12</v>
      </c>
      <c r="Y2487" t="s">
        <v>21513</v>
      </c>
      <c r="Z2487" t="s">
        <v>27805</v>
      </c>
      <c r="AA2487">
        <v>0.68052857539415823</v>
      </c>
      <c r="AB2487" t="str">
        <f>HYPERLINK("Melting_Curves/meltCurve_P35613_2_BSG.pdf", "Melting_Curves/meltCurve_P35613_2_BSG.pdf")</f>
        <v>Melting_Curves/meltCurve_P35613_2_BSG.pdf</v>
      </c>
    </row>
    <row r="2488" spans="1:28" x14ac:dyDescent="0.25">
      <c r="A2488" t="s">
        <v>2492</v>
      </c>
      <c r="B2488">
        <v>0.99542014353169495</v>
      </c>
      <c r="C2488">
        <v>0.97286925089484</v>
      </c>
      <c r="D2488">
        <v>1.06622898250717</v>
      </c>
      <c r="E2488">
        <v>0.99321054920447305</v>
      </c>
      <c r="F2488">
        <v>0.67929102699381205</v>
      </c>
      <c r="G2488">
        <v>0.49315501182101801</v>
      </c>
      <c r="H2488">
        <v>0.36539534434932402</v>
      </c>
      <c r="I2488">
        <v>0.29413400057897499</v>
      </c>
      <c r="J2488">
        <v>0.47952327524386701</v>
      </c>
      <c r="K2488">
        <v>0.607846394782521</v>
      </c>
      <c r="L2488">
        <v>2326.71461648688</v>
      </c>
      <c r="M2488">
        <v>46.6180989937776</v>
      </c>
      <c r="N2488">
        <v>52.356427025292398</v>
      </c>
      <c r="O2488">
        <v>49.818531495295403</v>
      </c>
      <c r="P2488">
        <v>-0.13021627175037401</v>
      </c>
      <c r="Q2488">
        <v>0.44337703139312601</v>
      </c>
      <c r="R2488">
        <v>0.91655677609714703</v>
      </c>
      <c r="S2488" t="s">
        <v>8890</v>
      </c>
      <c r="T2488" t="s">
        <v>12802</v>
      </c>
      <c r="U2488" t="s">
        <v>12802</v>
      </c>
      <c r="V2488" t="s">
        <v>12802</v>
      </c>
      <c r="W2488" t="s">
        <v>15244</v>
      </c>
      <c r="X2488">
        <v>14</v>
      </c>
      <c r="Y2488" t="s">
        <v>21514</v>
      </c>
      <c r="Z2488" t="s">
        <v>27806</v>
      </c>
      <c r="AA2488">
        <v>0.68432317898993678</v>
      </c>
      <c r="AB2488" t="str">
        <f>HYPERLINK("Melting_Curves/meltCurve_P35637_2_FUS.pdf", "Melting_Curves/meltCurve_P35637_2_FUS.pdf")</f>
        <v>Melting_Curves/meltCurve_P35637_2_FUS.pdf</v>
      </c>
    </row>
    <row r="2489" spans="1:28" x14ac:dyDescent="0.25">
      <c r="A2489" t="s">
        <v>2493</v>
      </c>
      <c r="B2489">
        <v>0.99542014353169495</v>
      </c>
      <c r="C2489">
        <v>0.81637445945140097</v>
      </c>
      <c r="D2489">
        <v>0.65759457332148297</v>
      </c>
      <c r="E2489">
        <v>0.36994287687257899</v>
      </c>
      <c r="F2489">
        <v>0.18819499257300701</v>
      </c>
      <c r="G2489">
        <v>7.7133851874459702E-2</v>
      </c>
      <c r="H2489">
        <v>4.8359122848511397E-2</v>
      </c>
      <c r="I2489">
        <v>3.24639141609347E-2</v>
      </c>
      <c r="J2489">
        <v>3.9633531193719103E-2</v>
      </c>
      <c r="K2489">
        <v>3.9159780302636601E-2</v>
      </c>
      <c r="L2489">
        <v>654.16540624455195</v>
      </c>
      <c r="M2489">
        <v>14.643206593465701</v>
      </c>
      <c r="N2489">
        <v>44.793739058512898</v>
      </c>
      <c r="O2489">
        <v>43.865292291468201</v>
      </c>
      <c r="P2489">
        <v>-8.1858274224875294E-2</v>
      </c>
      <c r="Q2489">
        <v>1.9248073335354301E-2</v>
      </c>
      <c r="R2489">
        <v>0.99672862020768904</v>
      </c>
      <c r="S2489" t="s">
        <v>8891</v>
      </c>
      <c r="T2489" t="s">
        <v>12802</v>
      </c>
      <c r="U2489" t="s">
        <v>12802</v>
      </c>
      <c r="V2489" t="s">
        <v>12802</v>
      </c>
      <c r="W2489" t="s">
        <v>15245</v>
      </c>
      <c r="X2489">
        <v>33</v>
      </c>
      <c r="Y2489" t="s">
        <v>21515</v>
      </c>
      <c r="Z2489" t="s">
        <v>27807</v>
      </c>
      <c r="AA2489">
        <v>0.29490762398937231</v>
      </c>
      <c r="AB2489" t="str">
        <f>HYPERLINK("Melting_Curves/meltCurve_P35658_2_NUP214.pdf", "Melting_Curves/meltCurve_P35658_2_NUP214.pdf")</f>
        <v>Melting_Curves/meltCurve_P35658_2_NUP214.pdf</v>
      </c>
    </row>
    <row r="2490" spans="1:28" x14ac:dyDescent="0.25">
      <c r="A2490" t="s">
        <v>2494</v>
      </c>
      <c r="B2490">
        <v>0.99542014353169495</v>
      </c>
      <c r="C2490">
        <v>1.0058741173794801</v>
      </c>
      <c r="D2490">
        <v>0.96084673975650203</v>
      </c>
      <c r="E2490">
        <v>0.70371115135320705</v>
      </c>
      <c r="F2490">
        <v>0.27024786829049402</v>
      </c>
      <c r="G2490">
        <v>0.15211726528184699</v>
      </c>
      <c r="H2490">
        <v>8.5616682456806897E-2</v>
      </c>
      <c r="I2490">
        <v>6.4272886405959503E-2</v>
      </c>
      <c r="J2490">
        <v>7.23316830426705E-2</v>
      </c>
      <c r="K2490">
        <v>8.1523264414146604E-2</v>
      </c>
      <c r="L2490">
        <v>1290.2158293397799</v>
      </c>
      <c r="M2490">
        <v>26.953297550424899</v>
      </c>
      <c r="N2490">
        <v>48.168746591076001</v>
      </c>
      <c r="O2490">
        <v>47.607401462196101</v>
      </c>
      <c r="P2490">
        <v>-0.13059856003870701</v>
      </c>
      <c r="Q2490">
        <v>7.7308321105566902E-2</v>
      </c>
      <c r="R2490">
        <v>0.99908104581044399</v>
      </c>
      <c r="S2490" t="s">
        <v>8892</v>
      </c>
      <c r="T2490" t="s">
        <v>12802</v>
      </c>
      <c r="U2490" t="s">
        <v>12802</v>
      </c>
      <c r="V2490" t="s">
        <v>12802</v>
      </c>
      <c r="W2490" t="s">
        <v>15246</v>
      </c>
      <c r="X2490">
        <v>17</v>
      </c>
      <c r="Y2490" t="s">
        <v>21516</v>
      </c>
      <c r="Z2490" t="s">
        <v>27808</v>
      </c>
      <c r="AA2490">
        <v>0.41834278459729002</v>
      </c>
      <c r="AB2490" t="str">
        <f>HYPERLINK("Melting_Curves/meltCurve_P35659_DEK.pdf", "Melting_Curves/meltCurve_P35659_DEK.pdf")</f>
        <v>Melting_Curves/meltCurve_P35659_DEK.pdf</v>
      </c>
    </row>
    <row r="2491" spans="1:28" x14ac:dyDescent="0.25">
      <c r="A2491" t="s">
        <v>2495</v>
      </c>
      <c r="B2491">
        <v>0.99542014353169495</v>
      </c>
      <c r="C2491">
        <v>0.95080003812847802</v>
      </c>
      <c r="D2491">
        <v>1.0607172309631101</v>
      </c>
      <c r="E2491">
        <v>1.04256878196311</v>
      </c>
      <c r="F2491">
        <v>0.98746465930425698</v>
      </c>
      <c r="G2491">
        <v>0.48973829043741901</v>
      </c>
      <c r="H2491">
        <v>0.13788167392411699</v>
      </c>
      <c r="I2491">
        <v>6.0418921249190301E-2</v>
      </c>
      <c r="J2491">
        <v>5.4474180550492697E-2</v>
      </c>
      <c r="K2491">
        <v>4.8266826908385199E-2</v>
      </c>
      <c r="L2491">
        <v>2436.91825699522</v>
      </c>
      <c r="M2491">
        <v>45.426458628452899</v>
      </c>
      <c r="N2491">
        <v>53.800084149693099</v>
      </c>
      <c r="O2491">
        <v>53.541698538548403</v>
      </c>
      <c r="P2491">
        <v>-0.19911902951360599</v>
      </c>
      <c r="Q2491">
        <v>6.1238047284745301E-2</v>
      </c>
      <c r="R2491">
        <v>0.99484237794769603</v>
      </c>
      <c r="S2491" t="s">
        <v>8893</v>
      </c>
      <c r="T2491" t="s">
        <v>12802</v>
      </c>
      <c r="U2491" t="s">
        <v>12802</v>
      </c>
      <c r="V2491" t="s">
        <v>12802</v>
      </c>
      <c r="W2491" t="s">
        <v>15247</v>
      </c>
      <c r="X2491">
        <v>23</v>
      </c>
      <c r="Y2491" t="s">
        <v>21517</v>
      </c>
      <c r="Z2491" t="s">
        <v>27809</v>
      </c>
      <c r="AA2491">
        <v>0.5847927229057156</v>
      </c>
      <c r="AB2491" t="str">
        <f>HYPERLINK("Melting_Curves/meltCurve_P35749_4_MYH11.pdf", "Melting_Curves/meltCurve_P35749_4_MYH11.pdf")</f>
        <v>Melting_Curves/meltCurve_P35749_4_MYH11.pdf</v>
      </c>
    </row>
    <row r="2492" spans="1:28" x14ac:dyDescent="0.25">
      <c r="A2492" t="s">
        <v>2496</v>
      </c>
      <c r="B2492">
        <v>0.99542014353169495</v>
      </c>
      <c r="C2492">
        <v>1.00093952470739</v>
      </c>
      <c r="D2492">
        <v>0.91202888613508404</v>
      </c>
      <c r="E2492">
        <v>1.07854557801855</v>
      </c>
      <c r="F2492">
        <v>0.98510681422839197</v>
      </c>
      <c r="G2492">
        <v>0.84182717119412298</v>
      </c>
      <c r="H2492">
        <v>0.78504784005883199</v>
      </c>
      <c r="I2492">
        <v>0.79011795806132401</v>
      </c>
      <c r="J2492">
        <v>1.22846824844814</v>
      </c>
      <c r="K2492">
        <v>1.38218248171823</v>
      </c>
      <c r="L2492">
        <v>15000</v>
      </c>
      <c r="M2492">
        <v>234.405478352046</v>
      </c>
      <c r="O2492">
        <v>63.9870206394693</v>
      </c>
      <c r="P2492">
        <v>0.350027305667441</v>
      </c>
      <c r="Q2492">
        <v>1.3821959197029901</v>
      </c>
      <c r="R2492">
        <v>0.60502772575258701</v>
      </c>
      <c r="S2492" t="s">
        <v>8894</v>
      </c>
      <c r="T2492" t="s">
        <v>12802</v>
      </c>
      <c r="U2492" t="s">
        <v>12802</v>
      </c>
      <c r="V2492" t="s">
        <v>12802</v>
      </c>
      <c r="W2492" t="s">
        <v>15248</v>
      </c>
      <c r="X2492">
        <v>3</v>
      </c>
      <c r="Y2492" t="s">
        <v>21518</v>
      </c>
      <c r="Z2492" t="s">
        <v>27810</v>
      </c>
      <c r="AA2492">
        <v>1.038276885781668</v>
      </c>
      <c r="AB2492" t="str">
        <f>HYPERLINK("Melting_Curves/meltCurve_P35754_GLRX.pdf", "Melting_Curves/meltCurve_P35754_GLRX.pdf")</f>
        <v>Melting_Curves/meltCurve_P35754_GLRX.pdf</v>
      </c>
    </row>
    <row r="2493" spans="1:28" x14ac:dyDescent="0.25">
      <c r="A2493" t="s">
        <v>2497</v>
      </c>
      <c r="B2493">
        <v>0.99542014353169495</v>
      </c>
      <c r="C2493">
        <v>1.0779629584135899</v>
      </c>
      <c r="D2493">
        <v>1.0672310926544399</v>
      </c>
      <c r="E2493">
        <v>0.86307457741077398</v>
      </c>
      <c r="F2493">
        <v>0.77956197817516804</v>
      </c>
      <c r="G2493">
        <v>0.52021438638492001</v>
      </c>
      <c r="H2493">
        <v>0.38394126742947599</v>
      </c>
      <c r="I2493">
        <v>0.338445189328826</v>
      </c>
      <c r="J2493">
        <v>0.51387482849746202</v>
      </c>
      <c r="K2493">
        <v>0.42598851748293698</v>
      </c>
      <c r="L2493">
        <v>1283.8677633913301</v>
      </c>
      <c r="M2493">
        <v>25.3164375307976</v>
      </c>
      <c r="N2493">
        <v>54.352342867569298</v>
      </c>
      <c r="O2493">
        <v>50.399566674477299</v>
      </c>
      <c r="P2493">
        <v>-7.4315649628176605E-2</v>
      </c>
      <c r="Q2493">
        <v>0.40822184718153898</v>
      </c>
      <c r="R2493">
        <v>0.94922268935211596</v>
      </c>
      <c r="S2493" t="s">
        <v>8895</v>
      </c>
      <c r="T2493" t="s">
        <v>12802</v>
      </c>
      <c r="U2493" t="s">
        <v>12802</v>
      </c>
      <c r="V2493" t="s">
        <v>12802</v>
      </c>
      <c r="W2493" t="s">
        <v>15249</v>
      </c>
      <c r="X2493">
        <v>7</v>
      </c>
      <c r="Y2493" t="s">
        <v>21519</v>
      </c>
      <c r="Z2493" t="s">
        <v>27811</v>
      </c>
      <c r="AA2493">
        <v>0.68380839760284562</v>
      </c>
      <c r="AB2493" t="str">
        <f>HYPERLINK("Melting_Curves/meltCurve_P35790_2_CHKA.pdf", "Melting_Curves/meltCurve_P35790_2_CHKA.pdf")</f>
        <v>Melting_Curves/meltCurve_P35790_2_CHKA.pdf</v>
      </c>
    </row>
    <row r="2494" spans="1:28" x14ac:dyDescent="0.25">
      <c r="A2494" t="s">
        <v>2498</v>
      </c>
      <c r="B2494">
        <v>0.99542014353169495</v>
      </c>
      <c r="C2494">
        <v>0.93972444961158896</v>
      </c>
      <c r="D2494">
        <v>0.88926917307355002</v>
      </c>
      <c r="E2494">
        <v>0.80393045000616403</v>
      </c>
      <c r="F2494">
        <v>0.61422170766200301</v>
      </c>
      <c r="G2494">
        <v>0.180758174723745</v>
      </c>
      <c r="H2494">
        <v>9.3640833190058698E-2</v>
      </c>
      <c r="I2494">
        <v>5.0763551358328197E-2</v>
      </c>
      <c r="J2494">
        <v>4.88373098795074E-2</v>
      </c>
      <c r="K2494">
        <v>4.6427416661916798E-2</v>
      </c>
      <c r="L2494">
        <v>968.02804264907002</v>
      </c>
      <c r="M2494">
        <v>19.1778331942973</v>
      </c>
      <c r="N2494">
        <v>50.571151341609003</v>
      </c>
      <c r="O2494">
        <v>49.9371800038397</v>
      </c>
      <c r="P2494">
        <v>-9.4319182085641898E-2</v>
      </c>
      <c r="Q2494">
        <v>1.7646476526254999E-2</v>
      </c>
      <c r="R2494">
        <v>0.98631591955362097</v>
      </c>
      <c r="S2494" t="s">
        <v>8896</v>
      </c>
      <c r="T2494" t="s">
        <v>12802</v>
      </c>
      <c r="U2494" t="s">
        <v>12802</v>
      </c>
      <c r="V2494" t="s">
        <v>12802</v>
      </c>
      <c r="W2494" t="s">
        <v>15250</v>
      </c>
      <c r="X2494">
        <v>13</v>
      </c>
      <c r="Y2494" t="s">
        <v>21520</v>
      </c>
      <c r="Z2494" t="s">
        <v>27812</v>
      </c>
      <c r="AA2494">
        <v>0.47279408386230409</v>
      </c>
      <c r="AB2494" t="str">
        <f>HYPERLINK("Melting_Curves/meltCurve_P35813_PPM1A.pdf", "Melting_Curves/meltCurve_P35813_PPM1A.pdf")</f>
        <v>Melting_Curves/meltCurve_P35813_PPM1A.pdf</v>
      </c>
    </row>
    <row r="2495" spans="1:28" x14ac:dyDescent="0.25">
      <c r="A2495" t="s">
        <v>2499</v>
      </c>
      <c r="B2495">
        <v>0.99542014353169495</v>
      </c>
      <c r="C2495">
        <v>0.91983882943601802</v>
      </c>
      <c r="D2495">
        <v>0.91374881300724897</v>
      </c>
      <c r="E2495">
        <v>0.73423950419815398</v>
      </c>
      <c r="F2495">
        <v>0.52597754008636999</v>
      </c>
      <c r="G2495">
        <v>0.27170968262202899</v>
      </c>
      <c r="H2495">
        <v>0.135939899172588</v>
      </c>
      <c r="I2495">
        <v>5.2628302253122497E-2</v>
      </c>
      <c r="J2495">
        <v>5.1059617938310903E-2</v>
      </c>
      <c r="K2495">
        <v>5.7397516901431703E-2</v>
      </c>
      <c r="L2495">
        <v>695.45051767800999</v>
      </c>
      <c r="M2495">
        <v>13.864174122087499</v>
      </c>
      <c r="N2495">
        <v>50.1630859254565</v>
      </c>
      <c r="O2495">
        <v>49.1526507934528</v>
      </c>
      <c r="P2495">
        <v>-7.0512138932592602E-2</v>
      </c>
      <c r="Q2495">
        <v>1.9081275032576401E-4</v>
      </c>
      <c r="R2495">
        <v>0.99620747910915897</v>
      </c>
      <c r="S2495" t="s">
        <v>8897</v>
      </c>
      <c r="T2495" t="s">
        <v>12802</v>
      </c>
      <c r="U2495" t="s">
        <v>12802</v>
      </c>
      <c r="V2495" t="s">
        <v>12802</v>
      </c>
      <c r="W2495" t="s">
        <v>15251</v>
      </c>
      <c r="X2495">
        <v>30</v>
      </c>
      <c r="Y2495" t="s">
        <v>21521</v>
      </c>
      <c r="Z2495" t="s">
        <v>27813</v>
      </c>
      <c r="AA2495">
        <v>0.46199666004581952</v>
      </c>
      <c r="AB2495" t="str">
        <f>HYPERLINK("Melting_Curves/meltCurve_P35998_PSMC2.pdf", "Melting_Curves/meltCurve_P35998_PSMC2.pdf")</f>
        <v>Melting_Curves/meltCurve_P35998_PSMC2.pdf</v>
      </c>
    </row>
    <row r="2496" spans="1:28" x14ac:dyDescent="0.25">
      <c r="A2496" t="s">
        <v>2500</v>
      </c>
      <c r="B2496">
        <v>0.99542014353169495</v>
      </c>
      <c r="C2496">
        <v>1.0121422210378099</v>
      </c>
      <c r="D2496">
        <v>0.98830875919795902</v>
      </c>
      <c r="E2496">
        <v>0.93042070938403298</v>
      </c>
      <c r="F2496">
        <v>0.79328673382774795</v>
      </c>
      <c r="G2496">
        <v>0.63909448611784303</v>
      </c>
      <c r="H2496">
        <v>0.26331515323569499</v>
      </c>
      <c r="I2496">
        <v>0.13872116971362999</v>
      </c>
      <c r="J2496">
        <v>0.14658842682342699</v>
      </c>
      <c r="K2496">
        <v>0.15583043762852999</v>
      </c>
      <c r="L2496">
        <v>1094.52886846345</v>
      </c>
      <c r="M2496">
        <v>20.276418854863099</v>
      </c>
      <c r="N2496">
        <v>54.588672228128701</v>
      </c>
      <c r="O2496">
        <v>53.463548829221303</v>
      </c>
      <c r="P2496">
        <v>-8.5229398936849804E-2</v>
      </c>
      <c r="Q2496">
        <v>0.101118120104492</v>
      </c>
      <c r="R2496">
        <v>0.98950355129833101</v>
      </c>
      <c r="S2496" t="s">
        <v>8898</v>
      </c>
      <c r="T2496" t="s">
        <v>12802</v>
      </c>
      <c r="U2496" t="s">
        <v>12802</v>
      </c>
      <c r="V2496" t="s">
        <v>12802</v>
      </c>
      <c r="W2496" t="s">
        <v>15252</v>
      </c>
      <c r="X2496">
        <v>7</v>
      </c>
      <c r="Y2496" t="s">
        <v>21522</v>
      </c>
      <c r="Z2496" t="s">
        <v>27814</v>
      </c>
      <c r="AA2496">
        <v>0.62058507551946995</v>
      </c>
      <c r="AB2496" t="str">
        <f>HYPERLINK("Melting_Curves/meltCurve_P36404_ARL2.pdf", "Melting_Curves/meltCurve_P36404_ARL2.pdf")</f>
        <v>Melting_Curves/meltCurve_P36404_ARL2.pdf</v>
      </c>
    </row>
    <row r="2497" spans="1:28" x14ac:dyDescent="0.25">
      <c r="A2497" t="s">
        <v>2501</v>
      </c>
      <c r="B2497">
        <v>0.99542014353169495</v>
      </c>
      <c r="C2497">
        <v>1.09766117812955</v>
      </c>
      <c r="D2497">
        <v>0.855945874016387</v>
      </c>
      <c r="E2497">
        <v>0.89941106946342597</v>
      </c>
      <c r="F2497">
        <v>0.65355181639119697</v>
      </c>
      <c r="G2497">
        <v>0.55787428162591302</v>
      </c>
      <c r="H2497">
        <v>0.29076659031589502</v>
      </c>
      <c r="I2497">
        <v>0.167916681075923</v>
      </c>
      <c r="J2497">
        <v>0.16339463791070499</v>
      </c>
      <c r="K2497">
        <v>0.14731719119499201</v>
      </c>
      <c r="L2497">
        <v>683.79114144580205</v>
      </c>
      <c r="M2497">
        <v>12.889534564707301</v>
      </c>
      <c r="N2497">
        <v>53.609380112512497</v>
      </c>
      <c r="O2497">
        <v>51.821858924636103</v>
      </c>
      <c r="P2497">
        <v>-5.8280687824535798E-2</v>
      </c>
      <c r="Q2497">
        <v>6.2910424317846103E-2</v>
      </c>
      <c r="R2497">
        <v>0.97319315945777796</v>
      </c>
      <c r="S2497" t="s">
        <v>8899</v>
      </c>
      <c r="T2497" t="s">
        <v>12802</v>
      </c>
      <c r="U2497" t="s">
        <v>12802</v>
      </c>
      <c r="V2497" t="s">
        <v>12802</v>
      </c>
      <c r="W2497" t="s">
        <v>15253</v>
      </c>
      <c r="X2497">
        <v>10</v>
      </c>
      <c r="Y2497" t="s">
        <v>21523</v>
      </c>
      <c r="Z2497" t="s">
        <v>27815</v>
      </c>
      <c r="AA2497">
        <v>0.58307305842135237</v>
      </c>
      <c r="AB2497" t="str">
        <f>HYPERLINK("Melting_Curves/meltCurve_P36405_ARL3.pdf", "Melting_Curves/meltCurve_P36405_ARL3.pdf")</f>
        <v>Melting_Curves/meltCurve_P36405_ARL3.pdf</v>
      </c>
    </row>
    <row r="2498" spans="1:28" x14ac:dyDescent="0.25">
      <c r="A2498" t="s">
        <v>2502</v>
      </c>
      <c r="B2498">
        <v>0.99542014353169495</v>
      </c>
      <c r="C2498">
        <v>0.81795001486553798</v>
      </c>
      <c r="D2498">
        <v>0.76651838239990899</v>
      </c>
      <c r="E2498">
        <v>0.78595867222354199</v>
      </c>
      <c r="F2498">
        <v>0.64935766778281001</v>
      </c>
      <c r="G2498">
        <v>0.44148894733483501</v>
      </c>
      <c r="H2498">
        <v>0.18991433563944099</v>
      </c>
      <c r="I2498">
        <v>0.19925415345452999</v>
      </c>
      <c r="J2498">
        <v>8.7108776979197403E-2</v>
      </c>
      <c r="K2498">
        <v>6.41004371554552E-2</v>
      </c>
      <c r="L2498">
        <v>497.594318912971</v>
      </c>
      <c r="M2498">
        <v>9.6507527854205506</v>
      </c>
      <c r="N2498">
        <v>51.560155878328302</v>
      </c>
      <c r="O2498">
        <v>49.492266649429098</v>
      </c>
      <c r="P2498">
        <v>-4.8775948245758198E-2</v>
      </c>
      <c r="Q2498">
        <v>0</v>
      </c>
      <c r="R2498">
        <v>0.954573838477353</v>
      </c>
      <c r="S2498" t="s">
        <v>8900</v>
      </c>
      <c r="T2498" t="s">
        <v>12802</v>
      </c>
      <c r="U2498" t="s">
        <v>12802</v>
      </c>
      <c r="V2498" t="s">
        <v>12802</v>
      </c>
      <c r="W2498" t="s">
        <v>15254</v>
      </c>
      <c r="X2498">
        <v>1</v>
      </c>
      <c r="Y2498" t="s">
        <v>21524</v>
      </c>
      <c r="Z2498" t="s">
        <v>27816</v>
      </c>
      <c r="AA2498">
        <v>0.51431820311249288</v>
      </c>
      <c r="AB2498" t="str">
        <f>HYPERLINK("Melting_Curves/meltCurve_P36406_3_TRIM23.pdf", "Melting_Curves/meltCurve_P36406_3_TRIM23.pdf")</f>
        <v>Melting_Curves/meltCurve_P36406_3_TRIM23.pdf</v>
      </c>
    </row>
    <row r="2499" spans="1:28" x14ac:dyDescent="0.25">
      <c r="A2499" t="s">
        <v>2503</v>
      </c>
      <c r="B2499">
        <v>0.99542014353169495</v>
      </c>
      <c r="C2499">
        <v>1.0464036497770799</v>
      </c>
      <c r="D2499">
        <v>1.02070849673633</v>
      </c>
      <c r="E2499">
        <v>0.98751803336857802</v>
      </c>
      <c r="F2499">
        <v>0.72963279149704496</v>
      </c>
      <c r="G2499">
        <v>0.30894176109640098</v>
      </c>
      <c r="H2499">
        <v>7.4469424211252397E-2</v>
      </c>
      <c r="I2499">
        <v>5.1437589176467499E-2</v>
      </c>
      <c r="J2499">
        <v>4.9642098971388597E-2</v>
      </c>
      <c r="K2499">
        <v>5.9223045124931199E-2</v>
      </c>
      <c r="L2499">
        <v>1534.77147885971</v>
      </c>
      <c r="M2499">
        <v>29.572899924471599</v>
      </c>
      <c r="N2499">
        <v>52.060168156935902</v>
      </c>
      <c r="O2499">
        <v>51.662328229695902</v>
      </c>
      <c r="P2499">
        <v>-0.136807028747406</v>
      </c>
      <c r="Q2499">
        <v>4.40273477382375E-2</v>
      </c>
      <c r="R2499">
        <v>0.99777189350801299</v>
      </c>
      <c r="S2499" t="s">
        <v>8901</v>
      </c>
      <c r="T2499" t="s">
        <v>12802</v>
      </c>
      <c r="U2499" t="s">
        <v>12802</v>
      </c>
      <c r="V2499" t="s">
        <v>12802</v>
      </c>
      <c r="W2499" t="s">
        <v>15255</v>
      </c>
      <c r="X2499">
        <v>19</v>
      </c>
      <c r="Y2499" t="s">
        <v>21525</v>
      </c>
      <c r="Z2499" t="s">
        <v>27817</v>
      </c>
      <c r="AA2499">
        <v>0.52495290163959674</v>
      </c>
      <c r="AB2499" t="str">
        <f>HYPERLINK("Melting_Curves/meltCurve_P36507_MAP2K2.pdf", "Melting_Curves/meltCurve_P36507_MAP2K2.pdf")</f>
        <v>Melting_Curves/meltCurve_P36507_MAP2K2.pdf</v>
      </c>
    </row>
    <row r="2500" spans="1:28" x14ac:dyDescent="0.25">
      <c r="A2500" t="s">
        <v>2504</v>
      </c>
      <c r="B2500">
        <v>0.99542014353169495</v>
      </c>
      <c r="C2500">
        <v>0.81243132977880705</v>
      </c>
      <c r="D2500">
        <v>0.87748561539324199</v>
      </c>
      <c r="E2500">
        <v>0.63164088633489901</v>
      </c>
      <c r="F2500">
        <v>0.50470136708425395</v>
      </c>
      <c r="G2500">
        <v>0.24357584204899199</v>
      </c>
      <c r="H2500">
        <v>0.196099384294292</v>
      </c>
      <c r="I2500">
        <v>0.16653657965684601</v>
      </c>
      <c r="J2500">
        <v>0.19043346301707001</v>
      </c>
      <c r="K2500">
        <v>9.9341615897597699E-2</v>
      </c>
      <c r="L2500">
        <v>542.37549249563006</v>
      </c>
      <c r="M2500">
        <v>11.1951484850957</v>
      </c>
      <c r="N2500">
        <v>49.2131788757275</v>
      </c>
      <c r="O2500">
        <v>46.9786687142266</v>
      </c>
      <c r="P2500">
        <v>-5.48305579495936E-2</v>
      </c>
      <c r="Q2500">
        <v>7.9939047971398197E-2</v>
      </c>
      <c r="R2500">
        <v>0.973661625539334</v>
      </c>
      <c r="S2500" t="s">
        <v>8902</v>
      </c>
      <c r="T2500" t="s">
        <v>12802</v>
      </c>
      <c r="U2500" t="s">
        <v>12802</v>
      </c>
      <c r="V2500" t="s">
        <v>12802</v>
      </c>
      <c r="W2500" t="s">
        <v>15256</v>
      </c>
      <c r="X2500">
        <v>12</v>
      </c>
      <c r="Y2500" t="s">
        <v>21526</v>
      </c>
      <c r="Z2500" t="s">
        <v>27818</v>
      </c>
      <c r="AA2500">
        <v>0.46197540591093539</v>
      </c>
      <c r="AB2500" t="str">
        <f>HYPERLINK("Melting_Curves/meltCurve_P36542_ATP5C1.pdf", "Melting_Curves/meltCurve_P36542_ATP5C1.pdf")</f>
        <v>Melting_Curves/meltCurve_P36542_ATP5C1.pdf</v>
      </c>
    </row>
    <row r="2501" spans="1:28" x14ac:dyDescent="0.25">
      <c r="A2501" t="s">
        <v>2505</v>
      </c>
      <c r="B2501">
        <v>0.99542014353169495</v>
      </c>
      <c r="C2501">
        <v>0.87579064862844802</v>
      </c>
      <c r="D2501">
        <v>0.99408462729368197</v>
      </c>
      <c r="E2501">
        <v>0.72144136401301096</v>
      </c>
      <c r="F2501">
        <v>0.52476228342777298</v>
      </c>
      <c r="G2501">
        <v>0.20028439412076501</v>
      </c>
      <c r="H2501">
        <v>0.105334024548043</v>
      </c>
      <c r="I2501">
        <v>6.7117869868089194E-2</v>
      </c>
      <c r="J2501">
        <v>6.4485799554264506E-2</v>
      </c>
      <c r="K2501">
        <v>6.8887993322729102E-2</v>
      </c>
      <c r="L2501">
        <v>868.620193277628</v>
      </c>
      <c r="M2501">
        <v>17.5039810481628</v>
      </c>
      <c r="N2501">
        <v>49.852446208821704</v>
      </c>
      <c r="O2501">
        <v>48.990025455255001</v>
      </c>
      <c r="P2501">
        <v>-8.5888699163747806E-2</v>
      </c>
      <c r="Q2501">
        <v>3.8513689585954303E-2</v>
      </c>
      <c r="R2501">
        <v>0.98497080258232905</v>
      </c>
      <c r="S2501" t="s">
        <v>8903</v>
      </c>
      <c r="T2501" t="s">
        <v>12802</v>
      </c>
      <c r="U2501" t="s">
        <v>12802</v>
      </c>
      <c r="V2501" t="s">
        <v>12802</v>
      </c>
      <c r="W2501" t="s">
        <v>15257</v>
      </c>
      <c r="X2501">
        <v>14</v>
      </c>
      <c r="Y2501" t="s">
        <v>21527</v>
      </c>
      <c r="Z2501" t="s">
        <v>27819</v>
      </c>
      <c r="AA2501">
        <v>0.45904884759455122</v>
      </c>
      <c r="AB2501" t="str">
        <f>HYPERLINK("Melting_Curves/meltCurve_P36543_ATP6V1E1.pdf", "Melting_Curves/meltCurve_P36543_ATP6V1E1.pdf")</f>
        <v>Melting_Curves/meltCurve_P36543_ATP6V1E1.pdf</v>
      </c>
    </row>
    <row r="2502" spans="1:28" x14ac:dyDescent="0.25">
      <c r="A2502" t="s">
        <v>2506</v>
      </c>
      <c r="B2502">
        <v>0.99542014353169495</v>
      </c>
      <c r="C2502">
        <v>1.0337591979167799</v>
      </c>
      <c r="D2502">
        <v>0.96073960843000294</v>
      </c>
      <c r="E2502">
        <v>0.95709297831864104</v>
      </c>
      <c r="F2502">
        <v>0.789310936553137</v>
      </c>
      <c r="G2502">
        <v>0.64249222270712503</v>
      </c>
      <c r="H2502">
        <v>0.39985382502253503</v>
      </c>
      <c r="I2502">
        <v>0.240052191085739</v>
      </c>
      <c r="J2502">
        <v>0.150929892170623</v>
      </c>
      <c r="K2502">
        <v>0.10691119568491</v>
      </c>
      <c r="L2502">
        <v>759.66111677753497</v>
      </c>
      <c r="M2502">
        <v>13.648396820705999</v>
      </c>
      <c r="N2502">
        <v>55.771017606778003</v>
      </c>
      <c r="O2502">
        <v>54.505266949823202</v>
      </c>
      <c r="P2502">
        <v>-6.1766636982566701E-2</v>
      </c>
      <c r="Q2502">
        <v>1.34767873173866E-2</v>
      </c>
      <c r="R2502">
        <v>0.99696931385283505</v>
      </c>
      <c r="S2502" t="s">
        <v>8904</v>
      </c>
      <c r="T2502" t="s">
        <v>12802</v>
      </c>
      <c r="U2502" t="s">
        <v>12802</v>
      </c>
      <c r="V2502" t="s">
        <v>12802</v>
      </c>
      <c r="W2502" t="s">
        <v>15258</v>
      </c>
      <c r="X2502">
        <v>22</v>
      </c>
      <c r="Y2502" t="s">
        <v>21528</v>
      </c>
      <c r="Z2502" t="s">
        <v>27820</v>
      </c>
      <c r="AA2502">
        <v>0.63922045120157422</v>
      </c>
      <c r="AB2502" t="str">
        <f>HYPERLINK("Melting_Curves/meltCurve_P36551_CPOX.pdf", "Melting_Curves/meltCurve_P36551_CPOX.pdf")</f>
        <v>Melting_Curves/meltCurve_P36551_CPOX.pdf</v>
      </c>
    </row>
    <row r="2503" spans="1:28" x14ac:dyDescent="0.25">
      <c r="A2503" t="s">
        <v>2507</v>
      </c>
      <c r="B2503">
        <v>0.99542014353169495</v>
      </c>
      <c r="C2503">
        <v>0.86651659210120102</v>
      </c>
      <c r="D2503">
        <v>0.91186782498111996</v>
      </c>
      <c r="E2503">
        <v>0.73313637070692395</v>
      </c>
      <c r="F2503">
        <v>0.56753552274319397</v>
      </c>
      <c r="G2503">
        <v>0.25831009743981398</v>
      </c>
      <c r="H2503">
        <v>0.14902393496712801</v>
      </c>
      <c r="I2503">
        <v>6.5533946502960905E-2</v>
      </c>
      <c r="J2503">
        <v>8.78136427929362E-2</v>
      </c>
      <c r="K2503">
        <v>8.9517089457806703E-2</v>
      </c>
      <c r="L2503">
        <v>688.62819963115203</v>
      </c>
      <c r="M2503">
        <v>13.7474353032881</v>
      </c>
      <c r="N2503">
        <v>50.274119427451801</v>
      </c>
      <c r="O2503">
        <v>49.067154967837297</v>
      </c>
      <c r="P2503">
        <v>-6.8346971788667693E-2</v>
      </c>
      <c r="Q2503">
        <v>2.4366372054041002E-2</v>
      </c>
      <c r="R2503">
        <v>0.98484677674648302</v>
      </c>
      <c r="S2503" t="s">
        <v>8905</v>
      </c>
      <c r="T2503" t="s">
        <v>12802</v>
      </c>
      <c r="U2503" t="s">
        <v>12802</v>
      </c>
      <c r="V2503" t="s">
        <v>12802</v>
      </c>
      <c r="W2503" t="s">
        <v>15259</v>
      </c>
      <c r="X2503">
        <v>12</v>
      </c>
      <c r="Y2503" t="s">
        <v>21529</v>
      </c>
      <c r="Z2503" t="s">
        <v>27821</v>
      </c>
      <c r="AA2503">
        <v>0.47304692595670528</v>
      </c>
      <c r="AB2503" t="str">
        <f>HYPERLINK("Melting_Curves/meltCurve_P36578_RPL4.pdf", "Melting_Curves/meltCurve_P36578_RPL4.pdf")</f>
        <v>Melting_Curves/meltCurve_P36578_RPL4.pdf</v>
      </c>
    </row>
    <row r="2504" spans="1:28" x14ac:dyDescent="0.25">
      <c r="A2504" t="s">
        <v>2508</v>
      </c>
      <c r="B2504">
        <v>0.99542014353169495</v>
      </c>
      <c r="C2504">
        <v>1.01566077527887</v>
      </c>
      <c r="D2504">
        <v>0.97009676416205604</v>
      </c>
      <c r="E2504">
        <v>0.96661808701380902</v>
      </c>
      <c r="F2504">
        <v>0.68330936725325098</v>
      </c>
      <c r="G2504">
        <v>0.46788657521888799</v>
      </c>
      <c r="H2504">
        <v>0.22879435584333799</v>
      </c>
      <c r="I2504">
        <v>0.14349792021184199</v>
      </c>
      <c r="J2504">
        <v>0.156385332110338</v>
      </c>
      <c r="K2504">
        <v>0.161106992405365</v>
      </c>
      <c r="L2504">
        <v>1062.41336761503</v>
      </c>
      <c r="M2504">
        <v>20.401706219129998</v>
      </c>
      <c r="N2504">
        <v>52.865479110372</v>
      </c>
      <c r="O2504">
        <v>51.582154027566197</v>
      </c>
      <c r="P2504">
        <v>-8.5879719399430204E-2</v>
      </c>
      <c r="Q2504">
        <v>0.131498506736622</v>
      </c>
      <c r="R2504">
        <v>0.99485922256224901</v>
      </c>
      <c r="S2504" t="s">
        <v>8906</v>
      </c>
      <c r="T2504" t="s">
        <v>12802</v>
      </c>
      <c r="U2504" t="s">
        <v>12802</v>
      </c>
      <c r="V2504" t="s">
        <v>12802</v>
      </c>
      <c r="W2504" t="s">
        <v>15260</v>
      </c>
      <c r="X2504">
        <v>5</v>
      </c>
      <c r="Y2504" t="s">
        <v>21530</v>
      </c>
      <c r="Z2504" t="s">
        <v>27822</v>
      </c>
      <c r="AA2504">
        <v>0.5787686338768212</v>
      </c>
      <c r="AB2504" t="str">
        <f>HYPERLINK("Melting_Curves/meltCurve_P36639_4_NUDT1.pdf", "Melting_Curves/meltCurve_P36639_4_NUDT1.pdf")</f>
        <v>Melting_Curves/meltCurve_P36639_4_NUDT1.pdf</v>
      </c>
    </row>
    <row r="2505" spans="1:28" x14ac:dyDescent="0.25">
      <c r="A2505" t="s">
        <v>2509</v>
      </c>
      <c r="B2505">
        <v>0.99542014353169495</v>
      </c>
      <c r="C2505">
        <v>1.0421121555270101</v>
      </c>
      <c r="D2505">
        <v>1.00280524294066</v>
      </c>
      <c r="E2505">
        <v>0.93174357536833297</v>
      </c>
      <c r="F2505">
        <v>0.42066484873041599</v>
      </c>
      <c r="G2505">
        <v>0.105973803266184</v>
      </c>
      <c r="H2505">
        <v>5.6153095467367797E-2</v>
      </c>
      <c r="I2505">
        <v>3.9089653768110202E-2</v>
      </c>
      <c r="J2505">
        <v>3.9343607507533698E-2</v>
      </c>
      <c r="K2505">
        <v>4.5622373429760797E-2</v>
      </c>
      <c r="L2505">
        <v>1873.1308578824301</v>
      </c>
      <c r="M2505">
        <v>37.728518372415799</v>
      </c>
      <c r="N2505">
        <v>49.773371716778101</v>
      </c>
      <c r="O2505">
        <v>49.508763379299303</v>
      </c>
      <c r="P2505">
        <v>-0.18185336375522401</v>
      </c>
      <c r="Q2505">
        <v>4.5463833933738103E-2</v>
      </c>
      <c r="R2505">
        <v>0.99890861467648795</v>
      </c>
      <c r="S2505" t="s">
        <v>8907</v>
      </c>
      <c r="T2505" t="s">
        <v>12802</v>
      </c>
      <c r="U2505" t="s">
        <v>12802</v>
      </c>
      <c r="V2505" t="s">
        <v>12802</v>
      </c>
      <c r="W2505" t="s">
        <v>15261</v>
      </c>
      <c r="X2505">
        <v>17</v>
      </c>
      <c r="Y2505" t="s">
        <v>21531</v>
      </c>
      <c r="Z2505" t="s">
        <v>27823</v>
      </c>
      <c r="AA2505">
        <v>0.45156652701663019</v>
      </c>
      <c r="AB2505" t="str">
        <f>HYPERLINK("Melting_Curves/meltCurve_P36915_GNL1.pdf", "Melting_Curves/meltCurve_P36915_GNL1.pdf")</f>
        <v>Melting_Curves/meltCurve_P36915_GNL1.pdf</v>
      </c>
    </row>
    <row r="2506" spans="1:28" x14ac:dyDescent="0.25">
      <c r="A2506" t="s">
        <v>2510</v>
      </c>
      <c r="B2506">
        <v>0.99542014353169495</v>
      </c>
      <c r="C2506">
        <v>0.86324774975104002</v>
      </c>
      <c r="D2506">
        <v>0.92264481892687</v>
      </c>
      <c r="E2506">
        <v>0.87095864229054598</v>
      </c>
      <c r="F2506">
        <v>0.73690859497597105</v>
      </c>
      <c r="G2506">
        <v>0.76658452033896696</v>
      </c>
      <c r="H2506">
        <v>0.66238372349472496</v>
      </c>
      <c r="I2506">
        <v>0.457898563063385</v>
      </c>
      <c r="J2506">
        <v>0.67664474146407505</v>
      </c>
      <c r="K2506">
        <v>0.894317002592942</v>
      </c>
      <c r="L2506">
        <v>541.02159846785298</v>
      </c>
      <c r="M2506">
        <v>11.7899780049484</v>
      </c>
      <c r="O2506">
        <v>44.627797152970302</v>
      </c>
      <c r="P2506">
        <v>-2.1740666323956399E-2</v>
      </c>
      <c r="Q2506">
        <v>0.67091111737748199</v>
      </c>
      <c r="R2506">
        <v>0.491161561624263</v>
      </c>
      <c r="S2506" t="s">
        <v>8908</v>
      </c>
      <c r="T2506" t="s">
        <v>12802</v>
      </c>
      <c r="U2506" t="s">
        <v>12802</v>
      </c>
      <c r="V2506" t="s">
        <v>12802</v>
      </c>
      <c r="W2506" t="s">
        <v>15262</v>
      </c>
      <c r="X2506">
        <v>5</v>
      </c>
      <c r="Y2506" t="s">
        <v>21532</v>
      </c>
      <c r="Z2506" t="s">
        <v>27824</v>
      </c>
      <c r="AA2506">
        <v>0.78017777236164632</v>
      </c>
      <c r="AB2506" t="str">
        <f>HYPERLINK("Melting_Curves/meltCurve_P36954_POLR2I.pdf", "Melting_Curves/meltCurve_P36954_POLR2I.pdf")</f>
        <v>Melting_Curves/meltCurve_P36954_POLR2I.pdf</v>
      </c>
    </row>
    <row r="2507" spans="1:28" x14ac:dyDescent="0.25">
      <c r="A2507" t="s">
        <v>2511</v>
      </c>
      <c r="B2507">
        <v>0.99542014353169495</v>
      </c>
      <c r="C2507">
        <v>0.93185690177729996</v>
      </c>
      <c r="D2507">
        <v>0.86566879228718596</v>
      </c>
      <c r="E2507">
        <v>0.75015205672408203</v>
      </c>
      <c r="F2507">
        <v>0.71314797924755602</v>
      </c>
      <c r="G2507">
        <v>0.49163133533658498</v>
      </c>
      <c r="H2507">
        <v>0.47398826688972701</v>
      </c>
      <c r="I2507">
        <v>0.59446671090957404</v>
      </c>
      <c r="J2507">
        <v>0.65677359914074795</v>
      </c>
      <c r="K2507">
        <v>0.82341359581914098</v>
      </c>
      <c r="L2507">
        <v>857.45444220803495</v>
      </c>
      <c r="M2507">
        <v>19.289149601216799</v>
      </c>
      <c r="O2507">
        <v>43.983174411142201</v>
      </c>
      <c r="P2507">
        <v>-4.1927232191793999E-2</v>
      </c>
      <c r="Q2507">
        <v>0.61760394733095503</v>
      </c>
      <c r="R2507">
        <v>0.68345289440004797</v>
      </c>
      <c r="S2507" t="s">
        <v>8909</v>
      </c>
      <c r="T2507" t="s">
        <v>12802</v>
      </c>
      <c r="U2507" t="s">
        <v>12802</v>
      </c>
      <c r="V2507" t="s">
        <v>12802</v>
      </c>
      <c r="W2507" t="s">
        <v>15263</v>
      </c>
      <c r="X2507">
        <v>11</v>
      </c>
      <c r="Y2507" t="s">
        <v>21533</v>
      </c>
      <c r="Z2507" t="s">
        <v>27825</v>
      </c>
      <c r="AA2507">
        <v>0.71807402143865551</v>
      </c>
      <c r="AB2507" t="str">
        <f>HYPERLINK("Melting_Curves/meltCurve_P36957_DLST.pdf", "Melting_Curves/meltCurve_P36957_DLST.pdf")</f>
        <v>Melting_Curves/meltCurve_P36957_DLST.pdf</v>
      </c>
    </row>
    <row r="2508" spans="1:28" x14ac:dyDescent="0.25">
      <c r="A2508" t="s">
        <v>2512</v>
      </c>
      <c r="B2508">
        <v>0.99542014353169495</v>
      </c>
      <c r="C2508">
        <v>0.96546542594945906</v>
      </c>
      <c r="D2508">
        <v>1.0327374185581</v>
      </c>
      <c r="E2508">
        <v>0.83420302570870397</v>
      </c>
      <c r="F2508">
        <v>0.79790379872872197</v>
      </c>
      <c r="G2508">
        <v>0.54185132712433404</v>
      </c>
      <c r="H2508">
        <v>0.56416680225780802</v>
      </c>
      <c r="I2508">
        <v>0.585911094375553</v>
      </c>
      <c r="J2508">
        <v>0.64373369763469301</v>
      </c>
      <c r="K2508">
        <v>0.81623286139434104</v>
      </c>
      <c r="L2508">
        <v>1291.30130516603</v>
      </c>
      <c r="M2508">
        <v>27.013375752134401</v>
      </c>
      <c r="O2508">
        <v>47.542632803516</v>
      </c>
      <c r="P2508">
        <v>-5.1502403275879502E-2</v>
      </c>
      <c r="Q2508">
        <v>0.637433599306653</v>
      </c>
      <c r="R2508">
        <v>0.78714515056908596</v>
      </c>
      <c r="S2508" t="s">
        <v>8910</v>
      </c>
      <c r="T2508" t="s">
        <v>12802</v>
      </c>
      <c r="U2508" t="s">
        <v>12802</v>
      </c>
      <c r="V2508" t="s">
        <v>12802</v>
      </c>
      <c r="W2508" t="s">
        <v>15264</v>
      </c>
      <c r="X2508">
        <v>10</v>
      </c>
      <c r="Y2508" t="s">
        <v>21534</v>
      </c>
      <c r="Z2508" t="s">
        <v>27826</v>
      </c>
      <c r="AA2508">
        <v>0.77062541352392722</v>
      </c>
      <c r="AB2508" t="str">
        <f>HYPERLINK("Melting_Curves/meltCurve_P36959_GMPR.pdf", "Melting_Curves/meltCurve_P36959_GMPR.pdf")</f>
        <v>Melting_Curves/meltCurve_P36959_GMPR.pdf</v>
      </c>
    </row>
    <row r="2509" spans="1:28" x14ac:dyDescent="0.25">
      <c r="A2509" t="s">
        <v>2513</v>
      </c>
      <c r="B2509">
        <v>0.99542014353169495</v>
      </c>
      <c r="C2509">
        <v>1.00852747365067</v>
      </c>
      <c r="D2509">
        <v>0.98968073352806296</v>
      </c>
      <c r="E2509">
        <v>1.0304478625715101</v>
      </c>
      <c r="F2509">
        <v>0.78557165324214395</v>
      </c>
      <c r="G2509">
        <v>0.71731989922325701</v>
      </c>
      <c r="H2509">
        <v>0.44903545031715902</v>
      </c>
      <c r="I2509">
        <v>0.17649814805399699</v>
      </c>
      <c r="J2509">
        <v>8.1128323207940306E-2</v>
      </c>
      <c r="K2509">
        <v>6.8010472584221604E-2</v>
      </c>
      <c r="L2509">
        <v>955.20319423091803</v>
      </c>
      <c r="M2509">
        <v>16.990808024937799</v>
      </c>
      <c r="N2509">
        <v>56.218821532423199</v>
      </c>
      <c r="O2509">
        <v>55.457386461834503</v>
      </c>
      <c r="P2509">
        <v>-7.6598724124064294E-2</v>
      </c>
      <c r="Q2509">
        <v>0</v>
      </c>
      <c r="R2509">
        <v>0.98766387051892301</v>
      </c>
      <c r="S2509" t="s">
        <v>8911</v>
      </c>
      <c r="T2509" t="s">
        <v>12802</v>
      </c>
      <c r="U2509" t="s">
        <v>12802</v>
      </c>
      <c r="V2509" t="s">
        <v>12802</v>
      </c>
      <c r="W2509" t="s">
        <v>15265</v>
      </c>
      <c r="X2509">
        <v>11</v>
      </c>
      <c r="Y2509" t="s">
        <v>21535</v>
      </c>
      <c r="Z2509" t="s">
        <v>27827</v>
      </c>
      <c r="AA2509">
        <v>0.65145304078304067</v>
      </c>
      <c r="AB2509" t="str">
        <f>HYPERLINK("Melting_Curves/meltCurve_P36969_2_GPX4.pdf", "Melting_Curves/meltCurve_P36969_2_GPX4.pdf")</f>
        <v>Melting_Curves/meltCurve_P36969_2_GPX4.pdf</v>
      </c>
    </row>
    <row r="2510" spans="1:28" x14ac:dyDescent="0.25">
      <c r="A2510" t="s">
        <v>2514</v>
      </c>
      <c r="B2510">
        <v>0.99542014353169495</v>
      </c>
      <c r="C2510">
        <v>0.93475352883964002</v>
      </c>
      <c r="D2510">
        <v>0.91836821257977597</v>
      </c>
      <c r="E2510">
        <v>0.858651267104099</v>
      </c>
      <c r="F2510">
        <v>0.54461964918583505</v>
      </c>
      <c r="G2510">
        <v>0.46063398656072402</v>
      </c>
      <c r="H2510">
        <v>0.243061124722072</v>
      </c>
      <c r="I2510">
        <v>0.21009971225401899</v>
      </c>
      <c r="J2510">
        <v>0.316593969837558</v>
      </c>
      <c r="K2510">
        <v>0.17941544099001999</v>
      </c>
      <c r="L2510">
        <v>791.07360954661101</v>
      </c>
      <c r="M2510">
        <v>15.8037228474203</v>
      </c>
      <c r="N2510">
        <v>51.750184775466302</v>
      </c>
      <c r="O2510">
        <v>49.275241641096599</v>
      </c>
      <c r="P2510">
        <v>-6.3993976354526499E-2</v>
      </c>
      <c r="Q2510">
        <v>0.201945239214738</v>
      </c>
      <c r="R2510">
        <v>0.97473223430358302</v>
      </c>
      <c r="S2510" t="s">
        <v>8912</v>
      </c>
      <c r="T2510" t="s">
        <v>12802</v>
      </c>
      <c r="U2510" t="s">
        <v>12802</v>
      </c>
      <c r="V2510" t="s">
        <v>12802</v>
      </c>
      <c r="W2510" t="s">
        <v>15266</v>
      </c>
      <c r="X2510">
        <v>12</v>
      </c>
      <c r="Y2510" t="s">
        <v>21536</v>
      </c>
      <c r="Z2510" t="s">
        <v>27828</v>
      </c>
      <c r="AA2510">
        <v>0.56468388408972658</v>
      </c>
      <c r="AB2510" t="str">
        <f>HYPERLINK("Melting_Curves/meltCurve_P37108_SRP14.pdf", "Melting_Curves/meltCurve_P37108_SRP14.pdf")</f>
        <v>Melting_Curves/meltCurve_P37108_SRP14.pdf</v>
      </c>
    </row>
    <row r="2511" spans="1:28" x14ac:dyDescent="0.25">
      <c r="A2511" t="s">
        <v>2515</v>
      </c>
      <c r="B2511">
        <v>0.99542014353169495</v>
      </c>
      <c r="C2511">
        <v>0.986695673379125</v>
      </c>
      <c r="D2511">
        <v>0.85026641404732095</v>
      </c>
      <c r="E2511">
        <v>0.65896474908862901</v>
      </c>
      <c r="F2511">
        <v>0.48947344002085802</v>
      </c>
      <c r="G2511">
        <v>0.276331515773724</v>
      </c>
      <c r="H2511">
        <v>0.162449841444501</v>
      </c>
      <c r="I2511">
        <v>0.13408551147068001</v>
      </c>
      <c r="J2511">
        <v>0.16442490769482099</v>
      </c>
      <c r="K2511">
        <v>0.198359849603436</v>
      </c>
      <c r="L2511">
        <v>716.00514701168902</v>
      </c>
      <c r="M2511">
        <v>14.8574068861426</v>
      </c>
      <c r="N2511">
        <v>49.221448440657099</v>
      </c>
      <c r="O2511">
        <v>47.344021205712899</v>
      </c>
      <c r="P2511">
        <v>-6.7982573542063093E-2</v>
      </c>
      <c r="Q2511">
        <v>0.13356865416077501</v>
      </c>
      <c r="R2511">
        <v>0.99121346953259104</v>
      </c>
      <c r="S2511" t="s">
        <v>8913</v>
      </c>
      <c r="T2511" t="s">
        <v>12802</v>
      </c>
      <c r="U2511" t="s">
        <v>12802</v>
      </c>
      <c r="V2511" t="s">
        <v>12802</v>
      </c>
      <c r="W2511" t="s">
        <v>15267</v>
      </c>
      <c r="X2511">
        <v>3</v>
      </c>
      <c r="Y2511" t="s">
        <v>21537</v>
      </c>
      <c r="Z2511" t="s">
        <v>27829</v>
      </c>
      <c r="AA2511">
        <v>0.47610411598587687</v>
      </c>
      <c r="AB2511" t="str">
        <f>HYPERLINK("Melting_Curves/meltCurve_P37198_NUP62.pdf", "Melting_Curves/meltCurve_P37198_NUP62.pdf")</f>
        <v>Melting_Curves/meltCurve_P37198_NUP62.pdf</v>
      </c>
    </row>
    <row r="2512" spans="1:28" x14ac:dyDescent="0.25">
      <c r="A2512" t="s">
        <v>2516</v>
      </c>
      <c r="B2512">
        <v>0.99542014353169495</v>
      </c>
      <c r="C2512">
        <v>1.0255923354861201</v>
      </c>
      <c r="D2512">
        <v>1.0093607837946701</v>
      </c>
      <c r="E2512">
        <v>0.93745860881061305</v>
      </c>
      <c r="F2512">
        <v>0.76640150167138199</v>
      </c>
      <c r="G2512">
        <v>0.55514360822387998</v>
      </c>
      <c r="H2512">
        <v>0.234621930257355</v>
      </c>
      <c r="I2512">
        <v>0.146593257578955</v>
      </c>
      <c r="J2512">
        <v>0.17922355123630301</v>
      </c>
      <c r="K2512">
        <v>0.191631198018404</v>
      </c>
      <c r="L2512">
        <v>1136.6876165757401</v>
      </c>
      <c r="M2512">
        <v>21.473667589678499</v>
      </c>
      <c r="N2512">
        <v>53.780801314765696</v>
      </c>
      <c r="O2512">
        <v>52.481374068817502</v>
      </c>
      <c r="P2512">
        <v>-8.7621446503644507E-2</v>
      </c>
      <c r="Q2512">
        <v>0.143438190732808</v>
      </c>
      <c r="R2512">
        <v>0.99163247719900305</v>
      </c>
      <c r="S2512" t="s">
        <v>8914</v>
      </c>
      <c r="T2512" t="s">
        <v>12802</v>
      </c>
      <c r="U2512" t="s">
        <v>12802</v>
      </c>
      <c r="V2512" t="s">
        <v>12802</v>
      </c>
      <c r="W2512" t="s">
        <v>15268</v>
      </c>
      <c r="X2512">
        <v>12</v>
      </c>
      <c r="Y2512" t="s">
        <v>21538</v>
      </c>
      <c r="Z2512" t="s">
        <v>27830</v>
      </c>
      <c r="AA2512">
        <v>0.60810527913621792</v>
      </c>
      <c r="AB2512" t="str">
        <f>HYPERLINK("Melting_Curves/meltCurve_P37235_HPCAL1.pdf", "Melting_Curves/meltCurve_P37235_HPCAL1.pdf")</f>
        <v>Melting_Curves/meltCurve_P37235_HPCAL1.pdf</v>
      </c>
    </row>
    <row r="2513" spans="1:28" x14ac:dyDescent="0.25">
      <c r="A2513" t="s">
        <v>2517</v>
      </c>
      <c r="B2513">
        <v>0.99542014353169495</v>
      </c>
      <c r="C2513">
        <v>0.98180735661688801</v>
      </c>
      <c r="D2513">
        <v>0.88167258034696705</v>
      </c>
      <c r="E2513">
        <v>0.82702276995826696</v>
      </c>
      <c r="F2513">
        <v>0.58793469000382304</v>
      </c>
      <c r="G2513">
        <v>0.27329860242228099</v>
      </c>
      <c r="H2513">
        <v>0.11897384888113</v>
      </c>
      <c r="I2513">
        <v>8.9780737420461804E-2</v>
      </c>
      <c r="J2513">
        <v>7.6685277979322702E-2</v>
      </c>
      <c r="K2513">
        <v>6.7634390178104797E-2</v>
      </c>
      <c r="L2513">
        <v>874.18317121493203</v>
      </c>
      <c r="M2513">
        <v>17.278527837162301</v>
      </c>
      <c r="N2513">
        <v>50.838900296392403</v>
      </c>
      <c r="O2513">
        <v>49.930495081862198</v>
      </c>
      <c r="P2513">
        <v>-8.30579772968843E-2</v>
      </c>
      <c r="Q2513">
        <v>3.9990744325310301E-2</v>
      </c>
      <c r="R2513">
        <v>0.99411012081790795</v>
      </c>
      <c r="S2513" t="s">
        <v>8915</v>
      </c>
      <c r="T2513" t="s">
        <v>12802</v>
      </c>
      <c r="U2513" t="s">
        <v>12802</v>
      </c>
      <c r="V2513" t="s">
        <v>12802</v>
      </c>
      <c r="W2513" t="s">
        <v>15269</v>
      </c>
      <c r="X2513">
        <v>26</v>
      </c>
      <c r="Y2513" t="s">
        <v>21539</v>
      </c>
      <c r="Z2513" t="s">
        <v>27831</v>
      </c>
      <c r="AA2513">
        <v>0.4909824544273832</v>
      </c>
      <c r="AB2513" t="str">
        <f>HYPERLINK("Melting_Curves/meltCurve_P37268_FDFT1.pdf", "Melting_Curves/meltCurve_P37268_FDFT1.pdf")</f>
        <v>Melting_Curves/meltCurve_P37268_FDFT1.pdf</v>
      </c>
    </row>
    <row r="2514" spans="1:28" x14ac:dyDescent="0.25">
      <c r="A2514" t="s">
        <v>2518</v>
      </c>
      <c r="B2514">
        <v>0.99542014353169495</v>
      </c>
      <c r="C2514">
        <v>0.97426135984870099</v>
      </c>
      <c r="D2514">
        <v>1.0869379971346</v>
      </c>
      <c r="E2514">
        <v>0.80526493492645301</v>
      </c>
      <c r="F2514">
        <v>0.83806940520405704</v>
      </c>
      <c r="G2514">
        <v>0.56828887645695603</v>
      </c>
      <c r="H2514">
        <v>0.335380026282455</v>
      </c>
      <c r="I2514">
        <v>0.161370996154479</v>
      </c>
      <c r="J2514">
        <v>8.8655192959507204E-2</v>
      </c>
      <c r="K2514">
        <v>8.2550803336582004E-2</v>
      </c>
      <c r="L2514">
        <v>808.63642497323895</v>
      </c>
      <c r="M2514">
        <v>14.776663411466201</v>
      </c>
      <c r="N2514">
        <v>54.723884981867002</v>
      </c>
      <c r="O2514">
        <v>53.750955784690603</v>
      </c>
      <c r="P2514">
        <v>-6.8734808262523497E-2</v>
      </c>
      <c r="Q2514">
        <v>0</v>
      </c>
      <c r="R2514">
        <v>0.97898039302645101</v>
      </c>
      <c r="S2514" t="s">
        <v>8916</v>
      </c>
      <c r="T2514" t="s">
        <v>12802</v>
      </c>
      <c r="U2514" t="s">
        <v>12802</v>
      </c>
      <c r="V2514" t="s">
        <v>12802</v>
      </c>
      <c r="W2514" t="s">
        <v>15270</v>
      </c>
      <c r="X2514">
        <v>4</v>
      </c>
      <c r="Y2514" t="s">
        <v>21540</v>
      </c>
      <c r="Z2514" t="s">
        <v>27832</v>
      </c>
      <c r="AA2514">
        <v>0.60563029598461748</v>
      </c>
      <c r="AB2514" t="str">
        <f>HYPERLINK("Melting_Curves/meltCurve_P37287_3_PIGA.pdf", "Melting_Curves/meltCurve_P37287_3_PIGA.pdf")</f>
        <v>Melting_Curves/meltCurve_P37287_3_PIGA.pdf</v>
      </c>
    </row>
    <row r="2515" spans="1:28" x14ac:dyDescent="0.25">
      <c r="A2515" t="s">
        <v>2519</v>
      </c>
      <c r="B2515">
        <v>0.99542014353169495</v>
      </c>
      <c r="C2515">
        <v>0.94370484444599501</v>
      </c>
      <c r="D2515">
        <v>0.83801915136149896</v>
      </c>
      <c r="E2515">
        <v>0.840475777235975</v>
      </c>
      <c r="F2515">
        <v>0.43186576260772802</v>
      </c>
      <c r="G2515">
        <v>0.17568817573161999</v>
      </c>
      <c r="H2515">
        <v>9.4692279781137104E-2</v>
      </c>
      <c r="I2515">
        <v>6.8284699361962797E-2</v>
      </c>
      <c r="J2515">
        <v>8.2682810891341496E-2</v>
      </c>
      <c r="K2515">
        <v>9.2198783051705493E-2</v>
      </c>
      <c r="L2515">
        <v>1070.23147949242</v>
      </c>
      <c r="M2515">
        <v>21.7350844756056</v>
      </c>
      <c r="N2515">
        <v>49.560813187996203</v>
      </c>
      <c r="O2515">
        <v>48.828662643599003</v>
      </c>
      <c r="P2515">
        <v>-0.10397822456598101</v>
      </c>
      <c r="Q2515">
        <v>6.5657988635993994E-2</v>
      </c>
      <c r="R2515">
        <v>0.98498985237852399</v>
      </c>
      <c r="S2515" t="s">
        <v>8917</v>
      </c>
      <c r="T2515" t="s">
        <v>12802</v>
      </c>
      <c r="U2515" t="s">
        <v>12802</v>
      </c>
      <c r="V2515" t="s">
        <v>12802</v>
      </c>
      <c r="W2515" t="s">
        <v>15271</v>
      </c>
      <c r="X2515">
        <v>19</v>
      </c>
      <c r="Y2515" t="s">
        <v>21541</v>
      </c>
      <c r="Z2515" t="s">
        <v>27833</v>
      </c>
      <c r="AA2515">
        <v>0.45743243323400468</v>
      </c>
      <c r="AB2515" t="str">
        <f>HYPERLINK("Melting_Curves/meltCurve_P37802_TAGLN2.pdf", "Melting_Curves/meltCurve_P37802_TAGLN2.pdf")</f>
        <v>Melting_Curves/meltCurve_P37802_TAGLN2.pdf</v>
      </c>
    </row>
    <row r="2516" spans="1:28" x14ac:dyDescent="0.25">
      <c r="A2516" t="s">
        <v>2520</v>
      </c>
      <c r="B2516">
        <v>0.99542014353169495</v>
      </c>
      <c r="C2516">
        <v>1.0089792070438499</v>
      </c>
      <c r="D2516">
        <v>0.94266020262852501</v>
      </c>
      <c r="E2516">
        <v>0.87569387525882703</v>
      </c>
      <c r="F2516">
        <v>0.50598647575742195</v>
      </c>
      <c r="G2516">
        <v>0.22297998760535501</v>
      </c>
      <c r="H2516">
        <v>0.11503137560379099</v>
      </c>
      <c r="I2516">
        <v>8.9862659078177906E-2</v>
      </c>
      <c r="J2516">
        <v>0.11595748614701</v>
      </c>
      <c r="K2516">
        <v>0.11725354513379201</v>
      </c>
      <c r="L2516">
        <v>1270.3156337540399</v>
      </c>
      <c r="M2516">
        <v>25.4979103054063</v>
      </c>
      <c r="N2516">
        <v>50.2600993865791</v>
      </c>
      <c r="O2516">
        <v>49.516970141091498</v>
      </c>
      <c r="P2516">
        <v>-0.115864780626008</v>
      </c>
      <c r="Q2516">
        <v>9.9973077506816402E-2</v>
      </c>
      <c r="R2516">
        <v>0.99807284094065896</v>
      </c>
      <c r="S2516" t="s">
        <v>8918</v>
      </c>
      <c r="T2516" t="s">
        <v>12802</v>
      </c>
      <c r="U2516" t="s">
        <v>12802</v>
      </c>
      <c r="V2516" t="s">
        <v>12802</v>
      </c>
      <c r="W2516" t="s">
        <v>15272</v>
      </c>
      <c r="X2516">
        <v>32</v>
      </c>
      <c r="Y2516" t="s">
        <v>21542</v>
      </c>
      <c r="Z2516" t="s">
        <v>27834</v>
      </c>
      <c r="AA2516">
        <v>0.49216020041900138</v>
      </c>
      <c r="AB2516" t="str">
        <f>HYPERLINK("Melting_Curves/meltCurve_P37837_TALDO1.pdf", "Melting_Curves/meltCurve_P37837_TALDO1.pdf")</f>
        <v>Melting_Curves/meltCurve_P37837_TALDO1.pdf</v>
      </c>
    </row>
    <row r="2517" spans="1:28" x14ac:dyDescent="0.25">
      <c r="A2517" t="s">
        <v>2521</v>
      </c>
      <c r="B2517">
        <v>0.99542014353169495</v>
      </c>
      <c r="C2517">
        <v>1.01268059649983</v>
      </c>
      <c r="D2517">
        <v>0.92442930507221999</v>
      </c>
      <c r="E2517">
        <v>0.862836976956459</v>
      </c>
      <c r="F2517">
        <v>0.61101313183518502</v>
      </c>
      <c r="G2517">
        <v>0.410182789746523</v>
      </c>
      <c r="H2517">
        <v>0.16205954252565499</v>
      </c>
      <c r="I2517">
        <v>0.13814131400718799</v>
      </c>
      <c r="J2517">
        <v>5.2817947861480002E-2</v>
      </c>
      <c r="K2517">
        <v>5.00439151417503E-2</v>
      </c>
      <c r="L2517">
        <v>769.55574968794303</v>
      </c>
      <c r="M2517">
        <v>14.8248194273339</v>
      </c>
      <c r="N2517">
        <v>51.986267316565403</v>
      </c>
      <c r="O2517">
        <v>50.992893457368801</v>
      </c>
      <c r="P2517">
        <v>-7.1906249001916403E-2</v>
      </c>
      <c r="Q2517">
        <v>1.07621628861852E-2</v>
      </c>
      <c r="R2517">
        <v>0.99601033115025805</v>
      </c>
      <c r="S2517" t="s">
        <v>8919</v>
      </c>
      <c r="T2517" t="s">
        <v>12802</v>
      </c>
      <c r="U2517" t="s">
        <v>12802</v>
      </c>
      <c r="V2517" t="s">
        <v>12802</v>
      </c>
      <c r="W2517" t="s">
        <v>15273</v>
      </c>
      <c r="X2517">
        <v>22</v>
      </c>
      <c r="Y2517" t="s">
        <v>21543</v>
      </c>
      <c r="Z2517" t="s">
        <v>27835</v>
      </c>
      <c r="AA2517">
        <v>0.52170158002061651</v>
      </c>
      <c r="AB2517" t="str">
        <f>HYPERLINK("Melting_Curves/meltCurve_P38117_ETFB.pdf", "Melting_Curves/meltCurve_P38117_ETFB.pdf")</f>
        <v>Melting_Curves/meltCurve_P38117_ETFB.pdf</v>
      </c>
    </row>
    <row r="2518" spans="1:28" x14ac:dyDescent="0.25">
      <c r="A2518" t="s">
        <v>2522</v>
      </c>
      <c r="B2518">
        <v>0.99542014353169495</v>
      </c>
      <c r="C2518">
        <v>0.98830264592837402</v>
      </c>
      <c r="D2518">
        <v>0.95989771208826002</v>
      </c>
      <c r="E2518">
        <v>0.84333471430113305</v>
      </c>
      <c r="F2518">
        <v>0.64151049728320297</v>
      </c>
      <c r="G2518">
        <v>0.36802175667902198</v>
      </c>
      <c r="H2518">
        <v>0.22760797797139601</v>
      </c>
      <c r="I2518">
        <v>0.19793194399085201</v>
      </c>
      <c r="J2518">
        <v>0.235803884700511</v>
      </c>
      <c r="K2518">
        <v>0.24482565920601401</v>
      </c>
      <c r="L2518">
        <v>1033.08525432956</v>
      </c>
      <c r="M2518">
        <v>20.535933145099701</v>
      </c>
      <c r="N2518">
        <v>51.6389263774821</v>
      </c>
      <c r="O2518">
        <v>49.836484474223802</v>
      </c>
      <c r="P2518">
        <v>-8.1828912040030802E-2</v>
      </c>
      <c r="Q2518">
        <v>0.20569555607993001</v>
      </c>
      <c r="R2518">
        <v>0.99478025449671104</v>
      </c>
      <c r="S2518" t="s">
        <v>8920</v>
      </c>
      <c r="T2518" t="s">
        <v>12802</v>
      </c>
      <c r="U2518" t="s">
        <v>12802</v>
      </c>
      <c r="V2518" t="s">
        <v>12802</v>
      </c>
      <c r="W2518" t="s">
        <v>15274</v>
      </c>
      <c r="X2518">
        <v>6</v>
      </c>
      <c r="Y2518" t="s">
        <v>21544</v>
      </c>
      <c r="Z2518" t="s">
        <v>27836</v>
      </c>
      <c r="AA2518">
        <v>0.56798140739038294</v>
      </c>
      <c r="AB2518" t="str">
        <f>HYPERLINK("Melting_Curves/meltCurve_P38159_RBMX.pdf", "Melting_Curves/meltCurve_P38159_RBMX.pdf")</f>
        <v>Melting_Curves/meltCurve_P38159_RBMX.pdf</v>
      </c>
    </row>
    <row r="2519" spans="1:28" x14ac:dyDescent="0.25">
      <c r="A2519" t="s">
        <v>2523</v>
      </c>
      <c r="B2519">
        <v>0.99542014353169495</v>
      </c>
      <c r="C2519">
        <v>1.02726941906618</v>
      </c>
      <c r="D2519">
        <v>1.02177909964615</v>
      </c>
      <c r="E2519">
        <v>0.43983065510813102</v>
      </c>
      <c r="F2519">
        <v>0.15818269804189999</v>
      </c>
      <c r="G2519">
        <v>9.3343810044797096E-2</v>
      </c>
      <c r="H2519">
        <v>6.0851967243420998E-2</v>
      </c>
      <c r="I2519">
        <v>4.9469499492908499E-2</v>
      </c>
      <c r="J2519">
        <v>8.1486737973126597E-2</v>
      </c>
      <c r="K2519">
        <v>6.6696508864288004E-2</v>
      </c>
      <c r="L2519">
        <v>2341.42134184514</v>
      </c>
      <c r="M2519">
        <v>50.653844041756301</v>
      </c>
      <c r="N2519">
        <v>46.386471457753302</v>
      </c>
      <c r="O2519">
        <v>46.152080617687098</v>
      </c>
      <c r="P2519">
        <v>-0.25207735801369502</v>
      </c>
      <c r="Q2519">
        <v>8.1302754264026403E-2</v>
      </c>
      <c r="R2519">
        <v>0.99537261683243194</v>
      </c>
      <c r="S2519" t="s">
        <v>8921</v>
      </c>
      <c r="T2519" t="s">
        <v>12802</v>
      </c>
      <c r="U2519" t="s">
        <v>12802</v>
      </c>
      <c r="V2519" t="s">
        <v>12802</v>
      </c>
      <c r="W2519" t="s">
        <v>15275</v>
      </c>
      <c r="X2519">
        <v>3</v>
      </c>
      <c r="Y2519" t="s">
        <v>21545</v>
      </c>
      <c r="Z2519" t="s">
        <v>27837</v>
      </c>
      <c r="AA2519">
        <v>0.36559528201629771</v>
      </c>
      <c r="AB2519" t="str">
        <f>HYPERLINK("Melting_Curves/meltCurve_P38432_COIL.pdf", "Melting_Curves/meltCurve_P38432_COIL.pdf")</f>
        <v>Melting_Curves/meltCurve_P38432_COIL.pdf</v>
      </c>
    </row>
    <row r="2520" spans="1:28" x14ac:dyDescent="0.25">
      <c r="A2520" t="s">
        <v>2524</v>
      </c>
      <c r="B2520">
        <v>0.99542014353169495</v>
      </c>
      <c r="C2520">
        <v>0.89292861036280402</v>
      </c>
      <c r="D2520">
        <v>0.84736954524777797</v>
      </c>
      <c r="E2520">
        <v>0.86440650448455802</v>
      </c>
      <c r="F2520">
        <v>0.45520950221582701</v>
      </c>
      <c r="G2520">
        <v>0.13979907806335601</v>
      </c>
      <c r="H2520">
        <v>7.3591933064594703E-2</v>
      </c>
      <c r="I2520">
        <v>1.8146462688186399E-2</v>
      </c>
      <c r="J2520">
        <v>2.3771819796857899E-2</v>
      </c>
      <c r="K2520">
        <v>1.7989111165235799E-2</v>
      </c>
      <c r="L2520">
        <v>1093.50271573994</v>
      </c>
      <c r="M2520">
        <v>21.983173572186299</v>
      </c>
      <c r="N2520">
        <v>49.784435478587703</v>
      </c>
      <c r="O2520">
        <v>49.336590094976501</v>
      </c>
      <c r="P2520">
        <v>-0.11037965864701001</v>
      </c>
      <c r="Q2520">
        <v>9.1270921191588597E-3</v>
      </c>
      <c r="R2520">
        <v>0.98209725767853495</v>
      </c>
      <c r="S2520" t="s">
        <v>8922</v>
      </c>
      <c r="T2520" t="s">
        <v>12802</v>
      </c>
      <c r="U2520" t="s">
        <v>12802</v>
      </c>
      <c r="V2520" t="s">
        <v>12802</v>
      </c>
      <c r="W2520" t="s">
        <v>15276</v>
      </c>
      <c r="X2520">
        <v>4</v>
      </c>
      <c r="Y2520" t="s">
        <v>21546</v>
      </c>
      <c r="Z2520" t="s">
        <v>27838</v>
      </c>
      <c r="AA2520">
        <v>0.4410130578466831</v>
      </c>
      <c r="AB2520" t="str">
        <f>HYPERLINK("Melting_Curves/meltCurve_P38435_GGCX.pdf", "Melting_Curves/meltCurve_P38435_GGCX.pdf")</f>
        <v>Melting_Curves/meltCurve_P38435_GGCX.pdf</v>
      </c>
    </row>
    <row r="2521" spans="1:28" x14ac:dyDescent="0.25">
      <c r="A2521" t="s">
        <v>2525</v>
      </c>
      <c r="B2521">
        <v>0.99542014353169495</v>
      </c>
      <c r="C2521">
        <v>0.90638626886025597</v>
      </c>
      <c r="D2521">
        <v>0.91159621757100096</v>
      </c>
      <c r="E2521">
        <v>0.73548051196681896</v>
      </c>
      <c r="F2521">
        <v>0.50922647402962196</v>
      </c>
      <c r="G2521">
        <v>0.275009664527535</v>
      </c>
      <c r="H2521">
        <v>0.21174256294878899</v>
      </c>
      <c r="I2521">
        <v>0.186982696290379</v>
      </c>
      <c r="J2521">
        <v>0.142722742553159</v>
      </c>
      <c r="K2521">
        <v>0.10628537653386699</v>
      </c>
      <c r="L2521">
        <v>700.54025920218101</v>
      </c>
      <c r="M2521">
        <v>14.2147852968021</v>
      </c>
      <c r="N2521">
        <v>50.1015465540371</v>
      </c>
      <c r="O2521">
        <v>48.337932478782498</v>
      </c>
      <c r="P2521">
        <v>-6.5903944650907195E-2</v>
      </c>
      <c r="Q2521">
        <v>0.10367625990738601</v>
      </c>
      <c r="R2521">
        <v>0.99391088047332199</v>
      </c>
      <c r="S2521" t="s">
        <v>8923</v>
      </c>
      <c r="T2521" t="s">
        <v>12802</v>
      </c>
      <c r="U2521" t="s">
        <v>12802</v>
      </c>
      <c r="V2521" t="s">
        <v>12802</v>
      </c>
      <c r="W2521" t="s">
        <v>15277</v>
      </c>
      <c r="X2521">
        <v>27</v>
      </c>
      <c r="Y2521" t="s">
        <v>21547</v>
      </c>
      <c r="Z2521" t="s">
        <v>27839</v>
      </c>
      <c r="AA2521">
        <v>0.49139973163144851</v>
      </c>
      <c r="AB2521" t="str">
        <f>HYPERLINK("Melting_Curves/meltCurve_P38606_ATP6V1A.pdf", "Melting_Curves/meltCurve_P38606_ATP6V1A.pdf")</f>
        <v>Melting_Curves/meltCurve_P38606_ATP6V1A.pdf</v>
      </c>
    </row>
    <row r="2522" spans="1:28" x14ac:dyDescent="0.25">
      <c r="A2522" t="s">
        <v>2526</v>
      </c>
      <c r="B2522">
        <v>0.99542014353169495</v>
      </c>
      <c r="C2522">
        <v>0.91940075012956302</v>
      </c>
      <c r="D2522">
        <v>0.90013715371321501</v>
      </c>
      <c r="E2522">
        <v>0.78424309570604001</v>
      </c>
      <c r="F2522">
        <v>0.61227227011371199</v>
      </c>
      <c r="G2522">
        <v>0.538815473912995</v>
      </c>
      <c r="H2522">
        <v>0.458858910874682</v>
      </c>
      <c r="I2522">
        <v>0.27403656763256301</v>
      </c>
      <c r="J2522">
        <v>5.9455438886710101E-2</v>
      </c>
      <c r="K2522">
        <v>5.15801435975628E-2</v>
      </c>
      <c r="L2522">
        <v>512.46118041211901</v>
      </c>
      <c r="M2522">
        <v>9.5502804965564003</v>
      </c>
      <c r="N2522">
        <v>53.659286658663802</v>
      </c>
      <c r="O2522">
        <v>51.464723032979201</v>
      </c>
      <c r="P2522">
        <v>-4.6419257958807497E-2</v>
      </c>
      <c r="Q2522">
        <v>0</v>
      </c>
      <c r="R2522">
        <v>0.96365462308653205</v>
      </c>
      <c r="S2522" t="s">
        <v>8924</v>
      </c>
      <c r="T2522" t="s">
        <v>12802</v>
      </c>
      <c r="U2522" t="s">
        <v>12802</v>
      </c>
      <c r="V2522" t="s">
        <v>12802</v>
      </c>
      <c r="W2522" t="s">
        <v>15278</v>
      </c>
      <c r="X2522">
        <v>70</v>
      </c>
      <c r="Y2522" t="s">
        <v>21548</v>
      </c>
      <c r="Z2522" t="s">
        <v>27840</v>
      </c>
      <c r="AA2522">
        <v>0.57438302476190117</v>
      </c>
      <c r="AB2522" t="str">
        <f>HYPERLINK("Melting_Curves/meltCurve_P38646_HSPA9.pdf", "Melting_Curves/meltCurve_P38646_HSPA9.pdf")</f>
        <v>Melting_Curves/meltCurve_P38646_HSPA9.pdf</v>
      </c>
    </row>
    <row r="2523" spans="1:28" x14ac:dyDescent="0.25">
      <c r="A2523" t="s">
        <v>2527</v>
      </c>
      <c r="B2523">
        <v>0.99542014353169495</v>
      </c>
      <c r="C2523">
        <v>1.02745377436838</v>
      </c>
      <c r="D2523">
        <v>0.93456825814406597</v>
      </c>
      <c r="E2523">
        <v>0.960340562060369</v>
      </c>
      <c r="F2523">
        <v>0.88217880086335898</v>
      </c>
      <c r="G2523">
        <v>0.69596814914196403</v>
      </c>
      <c r="H2523">
        <v>0.158422469696755</v>
      </c>
      <c r="I2523">
        <v>7.88925299648537E-2</v>
      </c>
      <c r="J2523">
        <v>6.0626961674798398E-2</v>
      </c>
      <c r="K2523">
        <v>6.7145176619272995E-2</v>
      </c>
      <c r="L2523">
        <v>2086.5672934651798</v>
      </c>
      <c r="M2523">
        <v>38.167177371768702</v>
      </c>
      <c r="N2523">
        <v>54.8378512380717</v>
      </c>
      <c r="O2523">
        <v>54.519741367646397</v>
      </c>
      <c r="P2523">
        <v>-0.16532156575541199</v>
      </c>
      <c r="Q2523">
        <v>5.5391142446711297E-2</v>
      </c>
      <c r="R2523">
        <v>0.99070890768212705</v>
      </c>
      <c r="S2523" t="s">
        <v>8925</v>
      </c>
      <c r="T2523" t="s">
        <v>12802</v>
      </c>
      <c r="U2523" t="s">
        <v>12802</v>
      </c>
      <c r="V2523" t="s">
        <v>12802</v>
      </c>
      <c r="W2523" t="s">
        <v>15279</v>
      </c>
      <c r="X2523">
        <v>21</v>
      </c>
      <c r="Y2523" t="s">
        <v>21549</v>
      </c>
      <c r="Z2523" t="s">
        <v>27841</v>
      </c>
      <c r="AA2523">
        <v>0.61559976790615611</v>
      </c>
      <c r="AB2523" t="str">
        <f>HYPERLINK("Melting_Curves/meltCurve_P38919_EIF4A3.pdf", "Melting_Curves/meltCurve_P38919_EIF4A3.pdf")</f>
        <v>Melting_Curves/meltCurve_P38919_EIF4A3.pdf</v>
      </c>
    </row>
    <row r="2524" spans="1:28" x14ac:dyDescent="0.25">
      <c r="A2524" t="s">
        <v>2528</v>
      </c>
      <c r="B2524">
        <v>0.99542014353169495</v>
      </c>
      <c r="C2524">
        <v>0.96717947365284296</v>
      </c>
      <c r="D2524">
        <v>0.931919700908587</v>
      </c>
      <c r="E2524">
        <v>0.52695433797737101</v>
      </c>
      <c r="F2524">
        <v>0.210797695343418</v>
      </c>
      <c r="G2524">
        <v>0.118239388724278</v>
      </c>
      <c r="H2524">
        <v>6.9159821797027204E-2</v>
      </c>
      <c r="I2524">
        <v>5.4942183684953197E-2</v>
      </c>
      <c r="J2524">
        <v>6.6410124916792698E-2</v>
      </c>
      <c r="K2524">
        <v>6.4427606341089905E-2</v>
      </c>
      <c r="L2524">
        <v>1188.2588845622799</v>
      </c>
      <c r="M2524">
        <v>25.457230741330498</v>
      </c>
      <c r="N2524">
        <v>46.940474552077703</v>
      </c>
      <c r="O2524">
        <v>46.391507827996499</v>
      </c>
      <c r="P2524">
        <v>-0.128044880410633</v>
      </c>
      <c r="Q2524">
        <v>6.6650920086523596E-2</v>
      </c>
      <c r="R2524">
        <v>0.99858070720035996</v>
      </c>
      <c r="S2524" t="s">
        <v>8926</v>
      </c>
      <c r="T2524" t="s">
        <v>12802</v>
      </c>
      <c r="U2524" t="s">
        <v>12802</v>
      </c>
      <c r="V2524" t="s">
        <v>12802</v>
      </c>
      <c r="W2524" t="s">
        <v>15280</v>
      </c>
      <c r="X2524">
        <v>15</v>
      </c>
      <c r="Y2524" t="s">
        <v>21550</v>
      </c>
      <c r="Z2524" t="s">
        <v>27842</v>
      </c>
      <c r="AA2524">
        <v>0.37522965132380409</v>
      </c>
      <c r="AB2524" t="str">
        <f>HYPERLINK("Melting_Curves/meltCurve_P38935_IGHMBP2.pdf", "Melting_Curves/meltCurve_P38935_IGHMBP2.pdf")</f>
        <v>Melting_Curves/meltCurve_P38935_IGHMBP2.pdf</v>
      </c>
    </row>
    <row r="2525" spans="1:28" x14ac:dyDescent="0.25">
      <c r="A2525" t="s">
        <v>2529</v>
      </c>
      <c r="B2525">
        <v>0.99542014353169495</v>
      </c>
      <c r="C2525">
        <v>0.88264740263865804</v>
      </c>
      <c r="D2525">
        <v>0.77187784649624402</v>
      </c>
      <c r="E2525">
        <v>0.80670346943867699</v>
      </c>
      <c r="F2525">
        <v>0.55282714227518903</v>
      </c>
      <c r="G2525">
        <v>0.40746980199536398</v>
      </c>
      <c r="H2525">
        <v>0.25347883851749903</v>
      </c>
      <c r="I2525">
        <v>0.229773658093228</v>
      </c>
      <c r="J2525">
        <v>0.34162136004641003</v>
      </c>
      <c r="K2525">
        <v>0.494170344564209</v>
      </c>
      <c r="L2525">
        <v>630.47818027567098</v>
      </c>
      <c r="M2525">
        <v>13.2844668993393</v>
      </c>
      <c r="N2525">
        <v>51.096470313221303</v>
      </c>
      <c r="O2525">
        <v>46.423029777484501</v>
      </c>
      <c r="P2525">
        <v>-4.9674523696201997E-2</v>
      </c>
      <c r="Q2525">
        <v>0.30575530406132001</v>
      </c>
      <c r="R2525">
        <v>0.87933848039423002</v>
      </c>
      <c r="S2525" t="s">
        <v>8927</v>
      </c>
      <c r="T2525" t="s">
        <v>12802</v>
      </c>
      <c r="U2525" t="s">
        <v>12802</v>
      </c>
      <c r="V2525" t="s">
        <v>12802</v>
      </c>
      <c r="W2525" t="s">
        <v>15281</v>
      </c>
      <c r="X2525">
        <v>13</v>
      </c>
      <c r="Y2525" t="s">
        <v>21551</v>
      </c>
      <c r="Z2525" t="s">
        <v>27843</v>
      </c>
      <c r="AA2525">
        <v>0.56680573065604423</v>
      </c>
      <c r="AB2525" t="str">
        <f>HYPERLINK("Melting_Curves/meltCurve_P39019_RPS19.pdf", "Melting_Curves/meltCurve_P39019_RPS19.pdf")</f>
        <v>Melting_Curves/meltCurve_P39019_RPS19.pdf</v>
      </c>
    </row>
    <row r="2526" spans="1:28" x14ac:dyDescent="0.25">
      <c r="A2526" t="s">
        <v>2530</v>
      </c>
      <c r="B2526">
        <v>0.99542014353169495</v>
      </c>
      <c r="C2526">
        <v>0.942675945281233</v>
      </c>
      <c r="D2526">
        <v>0.99479059182358298</v>
      </c>
      <c r="E2526">
        <v>0.74732114628526403</v>
      </c>
      <c r="F2526">
        <v>0.52044251282431597</v>
      </c>
      <c r="G2526">
        <v>0.249452050992088</v>
      </c>
      <c r="H2526">
        <v>0.179551240198491</v>
      </c>
      <c r="I2526">
        <v>0.111134390920719</v>
      </c>
      <c r="J2526">
        <v>9.9799501723685E-2</v>
      </c>
      <c r="K2526">
        <v>0.14005248539826201</v>
      </c>
      <c r="L2526">
        <v>910.65872425652606</v>
      </c>
      <c r="M2526">
        <v>18.407397844795401</v>
      </c>
      <c r="N2526">
        <v>50.099390937306197</v>
      </c>
      <c r="O2526">
        <v>48.899633629853398</v>
      </c>
      <c r="P2526">
        <v>-8.4430603855167694E-2</v>
      </c>
      <c r="Q2526">
        <v>0.102873933980794</v>
      </c>
      <c r="R2526">
        <v>0.993744867723384</v>
      </c>
      <c r="S2526" t="s">
        <v>8928</v>
      </c>
      <c r="T2526" t="s">
        <v>12802</v>
      </c>
      <c r="U2526" t="s">
        <v>12802</v>
      </c>
      <c r="V2526" t="s">
        <v>12802</v>
      </c>
      <c r="W2526" t="s">
        <v>15282</v>
      </c>
      <c r="X2526">
        <v>9</v>
      </c>
      <c r="Y2526" t="s">
        <v>21552</v>
      </c>
      <c r="Z2526" t="s">
        <v>27844</v>
      </c>
      <c r="AA2526">
        <v>0.48952968097442778</v>
      </c>
      <c r="AB2526" t="str">
        <f>HYPERLINK("Melting_Curves/meltCurve_P39023_RPL3.pdf", "Melting_Curves/meltCurve_P39023_RPL3.pdf")</f>
        <v>Melting_Curves/meltCurve_P39023_RPL3.pdf</v>
      </c>
    </row>
    <row r="2527" spans="1:28" x14ac:dyDescent="0.25">
      <c r="A2527" t="s">
        <v>2531</v>
      </c>
      <c r="B2527">
        <v>0.99542014353169495</v>
      </c>
      <c r="C2527">
        <v>0.92355778759678797</v>
      </c>
      <c r="D2527">
        <v>0.80199802250838503</v>
      </c>
      <c r="E2527">
        <v>0.54178272789278004</v>
      </c>
      <c r="F2527">
        <v>0.51839853783143497</v>
      </c>
      <c r="G2527">
        <v>0.18018008067942301</v>
      </c>
      <c r="H2527">
        <v>0.132014010479719</v>
      </c>
      <c r="I2527">
        <v>4.1314996404618602E-2</v>
      </c>
      <c r="J2527">
        <v>5.3793407233707902E-2</v>
      </c>
      <c r="K2527">
        <v>0</v>
      </c>
      <c r="L2527">
        <v>573.73251056402603</v>
      </c>
      <c r="M2527">
        <v>11.868887465492501</v>
      </c>
      <c r="N2527">
        <v>48.339198833720999</v>
      </c>
      <c r="O2527">
        <v>47.0282268363529</v>
      </c>
      <c r="P2527">
        <v>-6.3110362621001004E-2</v>
      </c>
      <c r="Q2527">
        <v>0</v>
      </c>
      <c r="R2527">
        <v>0.98049701092655805</v>
      </c>
      <c r="S2527" t="s">
        <v>8929</v>
      </c>
      <c r="T2527" t="s">
        <v>12802</v>
      </c>
      <c r="U2527" t="s">
        <v>12802</v>
      </c>
      <c r="V2527" t="s">
        <v>12802</v>
      </c>
      <c r="W2527" t="s">
        <v>15283</v>
      </c>
      <c r="X2527">
        <v>3</v>
      </c>
      <c r="Y2527" t="s">
        <v>21553</v>
      </c>
      <c r="Z2527" t="s">
        <v>27845</v>
      </c>
      <c r="AA2527">
        <v>0.40923270986479848</v>
      </c>
      <c r="AB2527" t="str">
        <f>HYPERLINK("Melting_Curves/meltCurve_P39060_2_COL18A1.pdf", "Melting_Curves/meltCurve_P39060_2_COL18A1.pdf")</f>
        <v>Melting_Curves/meltCurve_P39060_2_COL18A1.pdf</v>
      </c>
    </row>
    <row r="2528" spans="1:28" x14ac:dyDescent="0.25">
      <c r="A2528" t="s">
        <v>2532</v>
      </c>
      <c r="B2528">
        <v>0.99542014353169495</v>
      </c>
      <c r="C2528">
        <v>0.84578920947753999</v>
      </c>
      <c r="D2528">
        <v>0.80174482731701702</v>
      </c>
      <c r="E2528">
        <v>0.62368932802851296</v>
      </c>
      <c r="F2528">
        <v>0.51791332793278899</v>
      </c>
      <c r="G2528">
        <v>0.15232405715361999</v>
      </c>
      <c r="H2528">
        <v>4.77512431209485E-2</v>
      </c>
      <c r="I2528">
        <v>2.4546996689501902E-2</v>
      </c>
      <c r="J2528">
        <v>2.01279551357516E-2</v>
      </c>
      <c r="K2528">
        <v>1.8635618807982701E-2</v>
      </c>
      <c r="L2528">
        <v>632.97832791502594</v>
      </c>
      <c r="M2528">
        <v>13.068152009761199</v>
      </c>
      <c r="N2528">
        <v>48.436713016595398</v>
      </c>
      <c r="O2528">
        <v>47.344584041974798</v>
      </c>
      <c r="P2528">
        <v>-6.9017455776939601E-2</v>
      </c>
      <c r="Q2528">
        <v>0</v>
      </c>
      <c r="R2528">
        <v>0.972585922690692</v>
      </c>
      <c r="S2528" t="s">
        <v>8930</v>
      </c>
      <c r="T2528" t="s">
        <v>12802</v>
      </c>
      <c r="U2528" t="s">
        <v>12802</v>
      </c>
      <c r="V2528" t="s">
        <v>12802</v>
      </c>
      <c r="W2528" t="s">
        <v>15284</v>
      </c>
      <c r="X2528">
        <v>11</v>
      </c>
      <c r="Y2528" t="s">
        <v>21554</v>
      </c>
      <c r="Z2528" t="s">
        <v>27846</v>
      </c>
      <c r="AA2528">
        <v>0.40828688930885282</v>
      </c>
      <c r="AB2528" t="str">
        <f>HYPERLINK("Melting_Curves/meltCurve_P39656_DDOST.pdf", "Melting_Curves/meltCurve_P39656_DDOST.pdf")</f>
        <v>Melting_Curves/meltCurve_P39656_DDOST.pdf</v>
      </c>
    </row>
    <row r="2529" spans="1:28" x14ac:dyDescent="0.25">
      <c r="A2529" t="s">
        <v>2533</v>
      </c>
      <c r="B2529">
        <v>0.99542014353169495</v>
      </c>
      <c r="C2529">
        <v>1.02340528239212</v>
      </c>
      <c r="D2529">
        <v>0.89356908858849105</v>
      </c>
      <c r="E2529">
        <v>0.92566464879842802</v>
      </c>
      <c r="F2529">
        <v>0.77814314491353298</v>
      </c>
      <c r="G2529">
        <v>0.68125318893034104</v>
      </c>
      <c r="H2529">
        <v>0.311251286910328</v>
      </c>
      <c r="I2529">
        <v>0.17952893431104899</v>
      </c>
      <c r="J2529">
        <v>0.22721603258977999</v>
      </c>
      <c r="K2529">
        <v>0.291854015441884</v>
      </c>
      <c r="L2529">
        <v>1041.0853865225799</v>
      </c>
      <c r="M2529">
        <v>19.433487018021399</v>
      </c>
      <c r="N2529">
        <v>54.961837097819597</v>
      </c>
      <c r="O2529">
        <v>53.014132740537498</v>
      </c>
      <c r="P2529">
        <v>-7.3853124726774994E-2</v>
      </c>
      <c r="Q2529">
        <v>0.19415045620507701</v>
      </c>
      <c r="R2529">
        <v>0.96089770531927898</v>
      </c>
      <c r="S2529" t="s">
        <v>8931</v>
      </c>
      <c r="T2529" t="s">
        <v>12802</v>
      </c>
      <c r="U2529" t="s">
        <v>12802</v>
      </c>
      <c r="V2529" t="s">
        <v>12802</v>
      </c>
      <c r="W2529" t="s">
        <v>15285</v>
      </c>
      <c r="X2529">
        <v>15</v>
      </c>
      <c r="Y2529" t="s">
        <v>21555</v>
      </c>
      <c r="Z2529" t="s">
        <v>27847</v>
      </c>
      <c r="AA2529">
        <v>0.64962310197884654</v>
      </c>
      <c r="AB2529" t="str">
        <f>HYPERLINK("Melting_Curves/meltCurve_P39687_ANP32A.pdf", "Melting_Curves/meltCurve_P39687_ANP32A.pdf")</f>
        <v>Melting_Curves/meltCurve_P39687_ANP32A.pdf</v>
      </c>
    </row>
    <row r="2530" spans="1:28" x14ac:dyDescent="0.25">
      <c r="A2530" t="s">
        <v>2534</v>
      </c>
      <c r="B2530">
        <v>0.99542014353169495</v>
      </c>
      <c r="C2530">
        <v>1.0196379362275001</v>
      </c>
      <c r="D2530">
        <v>0.91497647881313104</v>
      </c>
      <c r="E2530">
        <v>0.69495929559981295</v>
      </c>
      <c r="F2530">
        <v>0.25766187336495999</v>
      </c>
      <c r="G2530">
        <v>0.110257060877071</v>
      </c>
      <c r="H2530">
        <v>6.4113164672484804E-2</v>
      </c>
      <c r="I2530">
        <v>3.9186627929369298E-2</v>
      </c>
      <c r="J2530">
        <v>4.5900727158695198E-2</v>
      </c>
      <c r="K2530">
        <v>4.6663215808408903E-2</v>
      </c>
      <c r="L2530">
        <v>1197.41897361272</v>
      </c>
      <c r="M2530">
        <v>25.013297236632202</v>
      </c>
      <c r="N2530">
        <v>48.047902822907098</v>
      </c>
      <c r="O2530">
        <v>47.568468282687803</v>
      </c>
      <c r="P2530">
        <v>-0.12568752292266699</v>
      </c>
      <c r="Q2530">
        <v>4.3919306646776402E-2</v>
      </c>
      <c r="R2530">
        <v>0.99858926804616299</v>
      </c>
      <c r="S2530" t="s">
        <v>8932</v>
      </c>
      <c r="T2530" t="s">
        <v>12802</v>
      </c>
      <c r="U2530" t="s">
        <v>12802</v>
      </c>
      <c r="V2530" t="s">
        <v>12802</v>
      </c>
      <c r="W2530" t="s">
        <v>15286</v>
      </c>
      <c r="X2530">
        <v>25</v>
      </c>
      <c r="Y2530" t="s">
        <v>21556</v>
      </c>
      <c r="Z2530" t="s">
        <v>27848</v>
      </c>
      <c r="AA2530">
        <v>0.39850414666995287</v>
      </c>
      <c r="AB2530" t="str">
        <f>HYPERLINK("Melting_Curves/meltCurve_P39748_FEN1.pdf", "Melting_Curves/meltCurve_P39748_FEN1.pdf")</f>
        <v>Melting_Curves/meltCurve_P39748_FEN1.pdf</v>
      </c>
    </row>
    <row r="2531" spans="1:28" x14ac:dyDescent="0.25">
      <c r="A2531" t="s">
        <v>2535</v>
      </c>
      <c r="B2531">
        <v>0.99542014353169495</v>
      </c>
      <c r="C2531">
        <v>0.90861965126186395</v>
      </c>
      <c r="D2531">
        <v>0.84617905152082395</v>
      </c>
      <c r="E2531">
        <v>0.62579075257220695</v>
      </c>
      <c r="F2531">
        <v>0.39222000951417701</v>
      </c>
      <c r="G2531">
        <v>0.18348889767322801</v>
      </c>
      <c r="H2531">
        <v>0.108717532666676</v>
      </c>
      <c r="I2531">
        <v>6.8362250440759595E-2</v>
      </c>
      <c r="J2531">
        <v>7.7203578824623795E-2</v>
      </c>
      <c r="K2531">
        <v>8.41724206896792E-2</v>
      </c>
      <c r="L2531">
        <v>690.22883948134199</v>
      </c>
      <c r="M2531">
        <v>14.400499686462799</v>
      </c>
      <c r="N2531">
        <v>48.230754665121403</v>
      </c>
      <c r="O2531">
        <v>47.035038855128697</v>
      </c>
      <c r="P2531">
        <v>-7.3272549761224701E-2</v>
      </c>
      <c r="Q2531">
        <v>4.2819850814392102E-2</v>
      </c>
      <c r="R2531">
        <v>0.99681770127298996</v>
      </c>
      <c r="S2531" t="s">
        <v>8933</v>
      </c>
      <c r="T2531" t="s">
        <v>12802</v>
      </c>
      <c r="U2531" t="s">
        <v>12802</v>
      </c>
      <c r="V2531" t="s">
        <v>12802</v>
      </c>
      <c r="W2531" t="s">
        <v>15287</v>
      </c>
      <c r="X2531">
        <v>21</v>
      </c>
      <c r="Y2531" t="s">
        <v>21557</v>
      </c>
      <c r="Z2531" t="s">
        <v>27849</v>
      </c>
      <c r="AA2531">
        <v>0.41418512812585379</v>
      </c>
      <c r="AB2531" t="str">
        <f>HYPERLINK("Melting_Curves/meltCurve_P39880_2_CUX1.pdf", "Melting_Curves/meltCurve_P39880_2_CUX1.pdf")</f>
        <v>Melting_Curves/meltCurve_P39880_2_CUX1.pdf</v>
      </c>
    </row>
    <row r="2532" spans="1:28" x14ac:dyDescent="0.25">
      <c r="A2532" t="s">
        <v>2536</v>
      </c>
      <c r="B2532">
        <v>0.99542014353169495</v>
      </c>
      <c r="C2532">
        <v>1.0217635703382699</v>
      </c>
      <c r="D2532">
        <v>1.0213175321211301</v>
      </c>
      <c r="E2532">
        <v>0.84611413770315302</v>
      </c>
      <c r="F2532">
        <v>0.271048496874574</v>
      </c>
      <c r="G2532">
        <v>0.110366623484783</v>
      </c>
      <c r="H2532">
        <v>7.3339381785807803E-2</v>
      </c>
      <c r="I2532">
        <v>5.9450676663299402E-2</v>
      </c>
      <c r="J2532">
        <v>5.7471182094482001E-2</v>
      </c>
      <c r="K2532">
        <v>5.9847204116153602E-2</v>
      </c>
      <c r="L2532">
        <v>1862.3537961341599</v>
      </c>
      <c r="M2532">
        <v>38.342914178481998</v>
      </c>
      <c r="N2532">
        <v>48.752126538902502</v>
      </c>
      <c r="O2532">
        <v>48.439449550006998</v>
      </c>
      <c r="P2532">
        <v>-0.18475437952999499</v>
      </c>
      <c r="Q2532">
        <v>6.6385158847249007E-2</v>
      </c>
      <c r="R2532">
        <v>0.99893545015707297</v>
      </c>
      <c r="S2532" t="s">
        <v>8934</v>
      </c>
      <c r="T2532" t="s">
        <v>12802</v>
      </c>
      <c r="U2532" t="s">
        <v>12802</v>
      </c>
      <c r="V2532" t="s">
        <v>12802</v>
      </c>
      <c r="W2532" t="s">
        <v>15288</v>
      </c>
      <c r="X2532">
        <v>8</v>
      </c>
      <c r="Y2532" t="s">
        <v>21558</v>
      </c>
      <c r="Z2532" t="s">
        <v>27850</v>
      </c>
      <c r="AA2532">
        <v>0.42989344485428532</v>
      </c>
      <c r="AB2532" t="str">
        <f>HYPERLINK("Melting_Curves/meltCurve_P40121_CAPG.pdf", "Melting_Curves/meltCurve_P40121_CAPG.pdf")</f>
        <v>Melting_Curves/meltCurve_P40121_CAPG.pdf</v>
      </c>
    </row>
    <row r="2533" spans="1:28" x14ac:dyDescent="0.25">
      <c r="A2533" t="s">
        <v>2537</v>
      </c>
      <c r="B2533">
        <v>0.99542014353169495</v>
      </c>
      <c r="C2533">
        <v>1.0132349743671401</v>
      </c>
      <c r="D2533">
        <v>0.98891375518581703</v>
      </c>
      <c r="E2533">
        <v>0.92094240948642203</v>
      </c>
      <c r="F2533">
        <v>0.72024330265462599</v>
      </c>
      <c r="G2533">
        <v>0.41217498326617003</v>
      </c>
      <c r="H2533">
        <v>0.14532347885520699</v>
      </c>
      <c r="I2533">
        <v>9.8003218861191302E-2</v>
      </c>
      <c r="J2533">
        <v>0.108917147617449</v>
      </c>
      <c r="K2533">
        <v>0.159152836554764</v>
      </c>
      <c r="L2533">
        <v>1221.8508439330999</v>
      </c>
      <c r="M2533">
        <v>23.516583048267901</v>
      </c>
      <c r="N2533">
        <v>52.464840998204103</v>
      </c>
      <c r="O2533">
        <v>51.5856818104483</v>
      </c>
      <c r="P2533">
        <v>-0.102369222570343</v>
      </c>
      <c r="Q2533">
        <v>0.101792433508142</v>
      </c>
      <c r="R2533">
        <v>0.99501699396251797</v>
      </c>
      <c r="S2533" t="s">
        <v>8935</v>
      </c>
      <c r="T2533" t="s">
        <v>12802</v>
      </c>
      <c r="U2533" t="s">
        <v>12802</v>
      </c>
      <c r="V2533" t="s">
        <v>12802</v>
      </c>
      <c r="W2533" t="s">
        <v>15289</v>
      </c>
      <c r="X2533">
        <v>30</v>
      </c>
      <c r="Y2533" t="s">
        <v>21559</v>
      </c>
      <c r="Z2533" t="s">
        <v>27851</v>
      </c>
      <c r="AA2533">
        <v>0.55847734413801586</v>
      </c>
      <c r="AB2533" t="str">
        <f>HYPERLINK("Melting_Curves/meltCurve_P40222_TXLNA.pdf", "Melting_Curves/meltCurve_P40222_TXLNA.pdf")</f>
        <v>Melting_Curves/meltCurve_P40222_TXLNA.pdf</v>
      </c>
    </row>
    <row r="2534" spans="1:28" x14ac:dyDescent="0.25">
      <c r="A2534" t="s">
        <v>2538</v>
      </c>
      <c r="B2534">
        <v>0.99542014353169495</v>
      </c>
      <c r="C2534">
        <v>0.90682193454442805</v>
      </c>
      <c r="D2534">
        <v>0.91520768976199895</v>
      </c>
      <c r="E2534">
        <v>0.80045993756787903</v>
      </c>
      <c r="F2534">
        <v>0.56971736867584499</v>
      </c>
      <c r="G2534">
        <v>0.348646041988037</v>
      </c>
      <c r="H2534">
        <v>0.36727922430634202</v>
      </c>
      <c r="I2534">
        <v>0.35648158832424898</v>
      </c>
      <c r="J2534">
        <v>0.21016003320153101</v>
      </c>
      <c r="K2534">
        <v>9.3160317049731101E-2</v>
      </c>
      <c r="L2534">
        <v>516.307729013536</v>
      </c>
      <c r="M2534">
        <v>10.0896261215198</v>
      </c>
      <c r="N2534">
        <v>52.317605344104102</v>
      </c>
      <c r="O2534">
        <v>49.283935036170597</v>
      </c>
      <c r="P2534">
        <v>-4.6130478717851198E-2</v>
      </c>
      <c r="Q2534">
        <v>9.9105040473850603E-2</v>
      </c>
      <c r="R2534">
        <v>0.96387434374050196</v>
      </c>
      <c r="S2534" t="s">
        <v>8936</v>
      </c>
      <c r="T2534" t="s">
        <v>12802</v>
      </c>
      <c r="U2534" t="s">
        <v>12802</v>
      </c>
      <c r="V2534" t="s">
        <v>12802</v>
      </c>
      <c r="W2534" t="s">
        <v>15290</v>
      </c>
      <c r="X2534">
        <v>32</v>
      </c>
      <c r="Y2534" t="s">
        <v>21560</v>
      </c>
      <c r="Z2534" t="s">
        <v>27852</v>
      </c>
      <c r="AA2534">
        <v>0.55141485364018827</v>
      </c>
      <c r="AB2534" t="str">
        <f>HYPERLINK("Melting_Curves/meltCurve_P40227_CCT6A.pdf", "Melting_Curves/meltCurve_P40227_CCT6A.pdf")</f>
        <v>Melting_Curves/meltCurve_P40227_CCT6A.pdf</v>
      </c>
    </row>
    <row r="2535" spans="1:28" x14ac:dyDescent="0.25">
      <c r="A2535" t="s">
        <v>2539</v>
      </c>
      <c r="B2535">
        <v>0.99542014353169495</v>
      </c>
      <c r="C2535">
        <v>1.0661118623810799</v>
      </c>
      <c r="D2535">
        <v>0.95137618308638106</v>
      </c>
      <c r="E2535">
        <v>0.97120570425420005</v>
      </c>
      <c r="F2535">
        <v>0.79151799509100096</v>
      </c>
      <c r="G2535">
        <v>0.48542729171653798</v>
      </c>
      <c r="H2535">
        <v>0.220290756381846</v>
      </c>
      <c r="I2535">
        <v>0.124403466910329</v>
      </c>
      <c r="J2535">
        <v>9.23858762177905E-2</v>
      </c>
      <c r="K2535">
        <v>9.4850639231881098E-2</v>
      </c>
      <c r="L2535">
        <v>1167.6484779269199</v>
      </c>
      <c r="M2535">
        <v>21.972314213414901</v>
      </c>
      <c r="N2535">
        <v>53.542466698130397</v>
      </c>
      <c r="O2535">
        <v>52.707490662664199</v>
      </c>
      <c r="P2535">
        <v>-9.6319988387563796E-2</v>
      </c>
      <c r="Q2535">
        <v>7.5805774049564095E-2</v>
      </c>
      <c r="R2535">
        <v>0.99563633526070405</v>
      </c>
      <c r="S2535" t="s">
        <v>8937</v>
      </c>
      <c r="T2535" t="s">
        <v>12802</v>
      </c>
      <c r="U2535" t="s">
        <v>12802</v>
      </c>
      <c r="V2535" t="s">
        <v>12802</v>
      </c>
      <c r="W2535" t="s">
        <v>15291</v>
      </c>
      <c r="X2535">
        <v>3</v>
      </c>
      <c r="Y2535" t="s">
        <v>21561</v>
      </c>
      <c r="Z2535" t="s">
        <v>27853</v>
      </c>
      <c r="AA2535">
        <v>0.58315049770165506</v>
      </c>
      <c r="AB2535" t="str">
        <f>HYPERLINK("Melting_Curves/meltCurve_P40261_NNMT.pdf", "Melting_Curves/meltCurve_P40261_NNMT.pdf")</f>
        <v>Melting_Curves/meltCurve_P40261_NNMT.pdf</v>
      </c>
    </row>
    <row r="2536" spans="1:28" x14ac:dyDescent="0.25">
      <c r="A2536" t="s">
        <v>2540</v>
      </c>
      <c r="B2536">
        <v>0.99542014353169495</v>
      </c>
      <c r="C2536">
        <v>1.12754584887176</v>
      </c>
      <c r="D2536">
        <v>1.0392361456928201</v>
      </c>
      <c r="E2536">
        <v>0.82254321793715302</v>
      </c>
      <c r="F2536">
        <v>0.49350556872590001</v>
      </c>
      <c r="G2536">
        <v>0.32656965024669099</v>
      </c>
      <c r="H2536">
        <v>0.18399772632222799</v>
      </c>
      <c r="I2536">
        <v>0.15475248878926701</v>
      </c>
      <c r="J2536">
        <v>0.153343297989601</v>
      </c>
      <c r="K2536">
        <v>0.25493533335213803</v>
      </c>
      <c r="L2536">
        <v>1204.4920047306</v>
      </c>
      <c r="M2536">
        <v>24.433578789397401</v>
      </c>
      <c r="N2536">
        <v>50.254820540253199</v>
      </c>
      <c r="O2536">
        <v>48.969930647142498</v>
      </c>
      <c r="P2536">
        <v>-0.101511608695961</v>
      </c>
      <c r="Q2536">
        <v>0.186211178734352</v>
      </c>
      <c r="R2536">
        <v>0.97802829733333796</v>
      </c>
      <c r="S2536" t="s">
        <v>8938</v>
      </c>
      <c r="T2536" t="s">
        <v>12802</v>
      </c>
      <c r="U2536" t="s">
        <v>12802</v>
      </c>
      <c r="V2536" t="s">
        <v>12802</v>
      </c>
      <c r="W2536" t="s">
        <v>15292</v>
      </c>
      <c r="X2536">
        <v>3</v>
      </c>
      <c r="Y2536" t="s">
        <v>21562</v>
      </c>
      <c r="Z2536" t="s">
        <v>27854</v>
      </c>
      <c r="AA2536">
        <v>0.5271499205042135</v>
      </c>
      <c r="AB2536" t="str">
        <f>HYPERLINK("Melting_Curves/meltCurve_P40337_3_VHL.pdf", "Melting_Curves/meltCurve_P40337_3_VHL.pdf")</f>
        <v>Melting_Curves/meltCurve_P40337_3_VHL.pdf</v>
      </c>
    </row>
    <row r="2537" spans="1:28" x14ac:dyDescent="0.25">
      <c r="A2537" t="s">
        <v>2541</v>
      </c>
      <c r="B2537">
        <v>0.99542014353169495</v>
      </c>
      <c r="C2537">
        <v>0.97787580925359796</v>
      </c>
      <c r="D2537">
        <v>0.77444267789499699</v>
      </c>
      <c r="E2537">
        <v>0.42887318550498099</v>
      </c>
      <c r="F2537">
        <v>0.205763299716888</v>
      </c>
      <c r="G2537">
        <v>0.11994791702554999</v>
      </c>
      <c r="H2537">
        <v>7.5894066589379194E-2</v>
      </c>
      <c r="I2537">
        <v>5.4424193015469899E-2</v>
      </c>
      <c r="J2537">
        <v>5.8130236551401003E-2</v>
      </c>
      <c r="K2537">
        <v>6.2689958927440295E-2</v>
      </c>
      <c r="L2537">
        <v>895.45154615430204</v>
      </c>
      <c r="M2537">
        <v>19.618367266475101</v>
      </c>
      <c r="N2537">
        <v>45.943070562096104</v>
      </c>
      <c r="O2537">
        <v>45.177232716645698</v>
      </c>
      <c r="P2537">
        <v>-0.10204960175137701</v>
      </c>
      <c r="Q2537">
        <v>6.0032797130269398E-2</v>
      </c>
      <c r="R2537">
        <v>0.998863893378237</v>
      </c>
      <c r="S2537" t="s">
        <v>8939</v>
      </c>
      <c r="T2537" t="s">
        <v>12802</v>
      </c>
      <c r="U2537" t="s">
        <v>12802</v>
      </c>
      <c r="V2537" t="s">
        <v>12802</v>
      </c>
      <c r="W2537" t="s">
        <v>15293</v>
      </c>
      <c r="X2537">
        <v>5</v>
      </c>
      <c r="Y2537" t="s">
        <v>21563</v>
      </c>
      <c r="Z2537" t="s">
        <v>27855</v>
      </c>
      <c r="AA2537">
        <v>0.34364855114898901</v>
      </c>
      <c r="AB2537" t="str">
        <f>HYPERLINK("Melting_Curves/meltCurve_P40425_PBX2.pdf", "Melting_Curves/meltCurve_P40425_PBX2.pdf")</f>
        <v>Melting_Curves/meltCurve_P40425_PBX2.pdf</v>
      </c>
    </row>
    <row r="2538" spans="1:28" x14ac:dyDescent="0.25">
      <c r="A2538" t="s">
        <v>2542</v>
      </c>
      <c r="B2538">
        <v>0.99542014353169495</v>
      </c>
      <c r="C2538">
        <v>0.85809761079372704</v>
      </c>
      <c r="D2538">
        <v>0.64403312378934896</v>
      </c>
      <c r="E2538">
        <v>0.31039358912542903</v>
      </c>
      <c r="F2538">
        <v>0.12420756783778999</v>
      </c>
      <c r="G2538">
        <v>7.8117897738836206E-2</v>
      </c>
      <c r="H2538">
        <v>5.3097166666718598E-2</v>
      </c>
      <c r="I2538">
        <v>3.7638617667679203E-2</v>
      </c>
      <c r="J2538">
        <v>3.9537466865356502E-2</v>
      </c>
      <c r="K2538">
        <v>4.4261033234801399E-2</v>
      </c>
      <c r="L2538">
        <v>798.34537891664104</v>
      </c>
      <c r="M2538">
        <v>18.0681974935173</v>
      </c>
      <c r="N2538">
        <v>44.370456759911001</v>
      </c>
      <c r="O2538">
        <v>43.654531540544298</v>
      </c>
      <c r="P2538">
        <v>-9.9716553554518694E-2</v>
      </c>
      <c r="Q2538">
        <v>3.6347075712994503E-2</v>
      </c>
      <c r="R2538">
        <v>0.99897782271973401</v>
      </c>
      <c r="S2538" t="s">
        <v>8940</v>
      </c>
      <c r="T2538" t="s">
        <v>12802</v>
      </c>
      <c r="U2538" t="s">
        <v>12802</v>
      </c>
      <c r="V2538" t="s">
        <v>12802</v>
      </c>
      <c r="W2538" t="s">
        <v>15294</v>
      </c>
      <c r="X2538">
        <v>9</v>
      </c>
      <c r="Y2538" t="s">
        <v>21564</v>
      </c>
      <c r="Z2538" t="s">
        <v>27856</v>
      </c>
      <c r="AA2538">
        <v>0.28314238987221507</v>
      </c>
      <c r="AB2538" t="str">
        <f>HYPERLINK("Melting_Curves/meltCurve_P40692_MLH1.pdf", "Melting_Curves/meltCurve_P40692_MLH1.pdf")</f>
        <v>Melting_Curves/meltCurve_P40692_MLH1.pdf</v>
      </c>
    </row>
    <row r="2539" spans="1:28" x14ac:dyDescent="0.25">
      <c r="A2539" t="s">
        <v>2543</v>
      </c>
      <c r="B2539">
        <v>0.99542014353169495</v>
      </c>
      <c r="C2539">
        <v>0.96143157048679895</v>
      </c>
      <c r="D2539">
        <v>0.85574700349889299</v>
      </c>
      <c r="E2539">
        <v>0.477302146691436</v>
      </c>
      <c r="F2539">
        <v>0.18873703821943</v>
      </c>
      <c r="G2539">
        <v>0.103673827140135</v>
      </c>
      <c r="H2539">
        <v>6.5161891309198305E-2</v>
      </c>
      <c r="I2539">
        <v>4.7470676662233403E-2</v>
      </c>
      <c r="J2539">
        <v>4.7249920736735E-2</v>
      </c>
      <c r="K2539">
        <v>5.2720673681257303E-2</v>
      </c>
      <c r="L2539">
        <v>1020.30221421672</v>
      </c>
      <c r="M2539">
        <v>22.077857364611098</v>
      </c>
      <c r="N2539">
        <v>46.437421224832697</v>
      </c>
      <c r="O2539">
        <v>45.839704863604098</v>
      </c>
      <c r="P2539">
        <v>-0.11433894821778599</v>
      </c>
      <c r="Q2539">
        <v>5.0424839145553103E-2</v>
      </c>
      <c r="R2539">
        <v>0.99968837279422196</v>
      </c>
      <c r="S2539" t="s">
        <v>8941</v>
      </c>
      <c r="T2539" t="s">
        <v>12802</v>
      </c>
      <c r="U2539" t="s">
        <v>12802</v>
      </c>
      <c r="V2539" t="s">
        <v>12802</v>
      </c>
      <c r="W2539" t="s">
        <v>15295</v>
      </c>
      <c r="X2539">
        <v>30</v>
      </c>
      <c r="Y2539" t="s">
        <v>21565</v>
      </c>
      <c r="Z2539" t="s">
        <v>27857</v>
      </c>
      <c r="AA2539">
        <v>0.35222862619472212</v>
      </c>
      <c r="AB2539" t="str">
        <f>HYPERLINK("Melting_Curves/meltCurve_P40763_STAT3.pdf", "Melting_Curves/meltCurve_P40763_STAT3.pdf")</f>
        <v>Melting_Curves/meltCurve_P40763_STAT3.pdf</v>
      </c>
    </row>
    <row r="2540" spans="1:28" x14ac:dyDescent="0.25">
      <c r="A2540" t="s">
        <v>2544</v>
      </c>
      <c r="B2540">
        <v>0.99542014353169495</v>
      </c>
      <c r="C2540">
        <v>0.93546332472810501</v>
      </c>
      <c r="D2540">
        <v>1.0660650618829299</v>
      </c>
      <c r="E2540">
        <v>0.74745191240528097</v>
      </c>
      <c r="F2540">
        <v>0.42488173343341601</v>
      </c>
      <c r="G2540">
        <v>0.17992128998861801</v>
      </c>
      <c r="H2540">
        <v>0.104844915389643</v>
      </c>
      <c r="I2540">
        <v>9.0955084055074201E-2</v>
      </c>
      <c r="J2540">
        <v>5.2429409949941198E-2</v>
      </c>
      <c r="K2540">
        <v>8.4070057122480293E-2</v>
      </c>
      <c r="L2540">
        <v>1135.84965563988</v>
      </c>
      <c r="M2540">
        <v>23.177321102237102</v>
      </c>
      <c r="N2540">
        <v>49.342831635627398</v>
      </c>
      <c r="O2540">
        <v>48.646493544142501</v>
      </c>
      <c r="P2540">
        <v>-0.110420566520681</v>
      </c>
      <c r="Q2540">
        <v>7.2977275342771805E-2</v>
      </c>
      <c r="R2540">
        <v>0.98997400016827197</v>
      </c>
      <c r="S2540" t="s">
        <v>8942</v>
      </c>
      <c r="T2540" t="s">
        <v>12802</v>
      </c>
      <c r="U2540" t="s">
        <v>12802</v>
      </c>
      <c r="V2540" t="s">
        <v>12802</v>
      </c>
      <c r="W2540" t="s">
        <v>15296</v>
      </c>
      <c r="X2540">
        <v>30</v>
      </c>
      <c r="Y2540" t="s">
        <v>21565</v>
      </c>
      <c r="Z2540" t="s">
        <v>27858</v>
      </c>
      <c r="AA2540">
        <v>0.45327135080473269</v>
      </c>
      <c r="AB2540" t="str">
        <f>HYPERLINK("Melting_Curves/meltCurve_P40763_2_STAT3.pdf", "Melting_Curves/meltCurve_P40763_2_STAT3.pdf")</f>
        <v>Melting_Curves/meltCurve_P40763_2_STAT3.pdf</v>
      </c>
    </row>
    <row r="2541" spans="1:28" x14ac:dyDescent="0.25">
      <c r="A2541" t="s">
        <v>2545</v>
      </c>
      <c r="B2541">
        <v>0.99542014353169495</v>
      </c>
      <c r="C2541">
        <v>1.01124491931439</v>
      </c>
      <c r="D2541">
        <v>0.95427905968079296</v>
      </c>
      <c r="E2541">
        <v>0.61001110148382098</v>
      </c>
      <c r="F2541">
        <v>0.163638384278812</v>
      </c>
      <c r="G2541">
        <v>8.9252197277862905E-2</v>
      </c>
      <c r="H2541">
        <v>6.07905255894058E-2</v>
      </c>
      <c r="I2541">
        <v>5.1225601317289399E-2</v>
      </c>
      <c r="J2541">
        <v>5.3722850346482803E-2</v>
      </c>
      <c r="K2541">
        <v>6.8431699655271197E-2</v>
      </c>
      <c r="L2541">
        <v>1538.30073758397</v>
      </c>
      <c r="M2541">
        <v>32.676091075205797</v>
      </c>
      <c r="N2541">
        <v>47.262322899207902</v>
      </c>
      <c r="O2541">
        <v>46.901989744613097</v>
      </c>
      <c r="P2541">
        <v>-0.16371368296126701</v>
      </c>
      <c r="Q2541">
        <v>6.00514321133492E-2</v>
      </c>
      <c r="R2541">
        <v>0.99961194458362601</v>
      </c>
      <c r="S2541" t="s">
        <v>8943</v>
      </c>
      <c r="T2541" t="s">
        <v>12802</v>
      </c>
      <c r="U2541" t="s">
        <v>12802</v>
      </c>
      <c r="V2541" t="s">
        <v>12802</v>
      </c>
      <c r="W2541" t="s">
        <v>15297</v>
      </c>
      <c r="X2541">
        <v>23</v>
      </c>
      <c r="Y2541" t="s">
        <v>21566</v>
      </c>
      <c r="Z2541" t="s">
        <v>27859</v>
      </c>
      <c r="AA2541">
        <v>0.38039118026088031</v>
      </c>
      <c r="AB2541" t="str">
        <f>HYPERLINK("Melting_Curves/meltCurve_P40818_USP8.pdf", "Melting_Curves/meltCurve_P40818_USP8.pdf")</f>
        <v>Melting_Curves/meltCurve_P40818_USP8.pdf</v>
      </c>
    </row>
    <row r="2542" spans="1:28" x14ac:dyDescent="0.25">
      <c r="A2542" t="s">
        <v>2546</v>
      </c>
      <c r="B2542">
        <v>0.99542014353169495</v>
      </c>
      <c r="C2542">
        <v>1.0077752574747201</v>
      </c>
      <c r="D2542">
        <v>0.89137370182394005</v>
      </c>
      <c r="E2542">
        <v>0.88423205132216298</v>
      </c>
      <c r="F2542">
        <v>0.75657500283878598</v>
      </c>
      <c r="G2542">
        <v>0.73794933965413601</v>
      </c>
      <c r="H2542">
        <v>0.43737400871429899</v>
      </c>
      <c r="I2542">
        <v>0.12694431588677499</v>
      </c>
      <c r="J2542">
        <v>4.5849469573506003E-2</v>
      </c>
      <c r="K2542">
        <v>4.8347835576514099E-2</v>
      </c>
      <c r="L2542">
        <v>920.47094531508606</v>
      </c>
      <c r="M2542">
        <v>16.503016404634799</v>
      </c>
      <c r="N2542">
        <v>55.775922389520197</v>
      </c>
      <c r="O2542">
        <v>54.9762480513741</v>
      </c>
      <c r="P2542">
        <v>-7.5051338354423805E-2</v>
      </c>
      <c r="Q2542">
        <v>0</v>
      </c>
      <c r="R2542">
        <v>0.96628823760417704</v>
      </c>
      <c r="S2542" t="s">
        <v>8944</v>
      </c>
      <c r="T2542" t="s">
        <v>12802</v>
      </c>
      <c r="U2542" t="s">
        <v>12802</v>
      </c>
      <c r="V2542" t="s">
        <v>12802</v>
      </c>
      <c r="W2542" t="s">
        <v>15298</v>
      </c>
      <c r="X2542">
        <v>22</v>
      </c>
      <c r="Y2542" t="s">
        <v>21567</v>
      </c>
      <c r="Z2542" t="s">
        <v>27860</v>
      </c>
      <c r="AA2542">
        <v>0.63775983392925661</v>
      </c>
      <c r="AB2542" t="str">
        <f>HYPERLINK("Melting_Curves/meltCurve_P40925_MDH1.pdf", "Melting_Curves/meltCurve_P40925_MDH1.pdf")</f>
        <v>Melting_Curves/meltCurve_P40925_MDH1.pdf</v>
      </c>
    </row>
    <row r="2543" spans="1:28" x14ac:dyDescent="0.25">
      <c r="A2543" t="s">
        <v>2547</v>
      </c>
      <c r="B2543">
        <v>0.99542014353169495</v>
      </c>
      <c r="C2543">
        <v>1.00177658530507</v>
      </c>
      <c r="D2543">
        <v>0.88036980232276296</v>
      </c>
      <c r="E2543">
        <v>0.967595095910745</v>
      </c>
      <c r="F2543">
        <v>0.82370656795290298</v>
      </c>
      <c r="G2543">
        <v>0.778157239039868</v>
      </c>
      <c r="H2543">
        <v>0.54492059091657497</v>
      </c>
      <c r="I2543">
        <v>0.38588218895415299</v>
      </c>
      <c r="J2543">
        <v>0.112285987391708</v>
      </c>
      <c r="K2543">
        <v>4.7135822625339802E-2</v>
      </c>
      <c r="L2543">
        <v>884.28494473004798</v>
      </c>
      <c r="M2543">
        <v>15.2961144152752</v>
      </c>
      <c r="N2543">
        <v>57.811083308167198</v>
      </c>
      <c r="O2543">
        <v>56.850006075191601</v>
      </c>
      <c r="P2543">
        <v>-6.7271522237788303E-2</v>
      </c>
      <c r="Q2543">
        <v>0</v>
      </c>
      <c r="R2543">
        <v>0.96944269308577602</v>
      </c>
      <c r="S2543" t="s">
        <v>8945</v>
      </c>
      <c r="T2543" t="s">
        <v>12802</v>
      </c>
      <c r="U2543" t="s">
        <v>12802</v>
      </c>
      <c r="V2543" t="s">
        <v>12802</v>
      </c>
      <c r="W2543" t="s">
        <v>15299</v>
      </c>
      <c r="X2543">
        <v>34</v>
      </c>
      <c r="Y2543" t="s">
        <v>21568</v>
      </c>
      <c r="Z2543" t="s">
        <v>27861</v>
      </c>
      <c r="AA2543">
        <v>0.69897350020411331</v>
      </c>
      <c r="AB2543" t="str">
        <f>HYPERLINK("Melting_Curves/meltCurve_P40926_MDH2.pdf", "Melting_Curves/meltCurve_P40926_MDH2.pdf")</f>
        <v>Melting_Curves/meltCurve_P40926_MDH2.pdf</v>
      </c>
    </row>
    <row r="2544" spans="1:28" x14ac:dyDescent="0.25">
      <c r="A2544" t="s">
        <v>2548</v>
      </c>
      <c r="B2544">
        <v>0.99542014353169495</v>
      </c>
      <c r="C2544">
        <v>0.97799528229897703</v>
      </c>
      <c r="D2544">
        <v>0.98953134756326699</v>
      </c>
      <c r="E2544">
        <v>0.90696176572729004</v>
      </c>
      <c r="F2544">
        <v>0.57807897647790096</v>
      </c>
      <c r="G2544">
        <v>0.19524901727944599</v>
      </c>
      <c r="H2544">
        <v>7.0343070972404206E-2</v>
      </c>
      <c r="I2544">
        <v>3.7778969790230203E-2</v>
      </c>
      <c r="J2544">
        <v>4.2261813133253397E-2</v>
      </c>
      <c r="K2544">
        <v>3.9097147183342097E-2</v>
      </c>
      <c r="L2544">
        <v>1359.27206085846</v>
      </c>
      <c r="M2544">
        <v>26.843244529192201</v>
      </c>
      <c r="N2544">
        <v>50.768695657911202</v>
      </c>
      <c r="O2544">
        <v>50.358871401316499</v>
      </c>
      <c r="P2544">
        <v>-0.12879239838949499</v>
      </c>
      <c r="Q2544">
        <v>3.3533514157158599E-2</v>
      </c>
      <c r="R2544">
        <v>0.99963676899421305</v>
      </c>
      <c r="S2544" t="s">
        <v>8946</v>
      </c>
      <c r="T2544" t="s">
        <v>12802</v>
      </c>
      <c r="U2544" t="s">
        <v>12802</v>
      </c>
      <c r="V2544" t="s">
        <v>12802</v>
      </c>
      <c r="W2544" t="s">
        <v>15300</v>
      </c>
      <c r="X2544">
        <v>10</v>
      </c>
      <c r="Y2544" t="s">
        <v>21569</v>
      </c>
      <c r="Z2544" t="s">
        <v>27862</v>
      </c>
      <c r="AA2544">
        <v>0.48030011482713553</v>
      </c>
      <c r="AB2544" t="str">
        <f>HYPERLINK("Melting_Curves/meltCurve_P40937_RFC5.pdf", "Melting_Curves/meltCurve_P40937_RFC5.pdf")</f>
        <v>Melting_Curves/meltCurve_P40937_RFC5.pdf</v>
      </c>
    </row>
    <row r="2545" spans="1:28" x14ac:dyDescent="0.25">
      <c r="A2545" t="s">
        <v>2549</v>
      </c>
      <c r="B2545">
        <v>0.99542014353169495</v>
      </c>
      <c r="C2545">
        <v>0.89853082815459295</v>
      </c>
      <c r="D2545">
        <v>0.95792489820082805</v>
      </c>
      <c r="E2545">
        <v>0.87673031005824098</v>
      </c>
      <c r="F2545">
        <v>0.46210581997437999</v>
      </c>
      <c r="G2545">
        <v>0.14766788951849699</v>
      </c>
      <c r="H2545">
        <v>7.5836969981089103E-2</v>
      </c>
      <c r="I2545">
        <v>4.2058850577666999E-2</v>
      </c>
      <c r="J2545">
        <v>4.5438006491395698E-2</v>
      </c>
      <c r="K2545">
        <v>4.99755042451775E-2</v>
      </c>
      <c r="L2545">
        <v>1352.6471864237401</v>
      </c>
      <c r="M2545">
        <v>27.194086801418599</v>
      </c>
      <c r="N2545">
        <v>49.908613345594802</v>
      </c>
      <c r="O2545">
        <v>49.473850163557103</v>
      </c>
      <c r="P2545">
        <v>-0.131403270116911</v>
      </c>
      <c r="Q2545">
        <v>4.3768187249471499E-2</v>
      </c>
      <c r="R2545">
        <v>0.99328036911039796</v>
      </c>
      <c r="S2545" t="s">
        <v>8947</v>
      </c>
      <c r="T2545" t="s">
        <v>12802</v>
      </c>
      <c r="U2545" t="s">
        <v>12802</v>
      </c>
      <c r="V2545" t="s">
        <v>12802</v>
      </c>
      <c r="W2545" t="s">
        <v>15301</v>
      </c>
      <c r="X2545">
        <v>10</v>
      </c>
      <c r="Y2545" t="s">
        <v>21570</v>
      </c>
      <c r="Z2545" t="s">
        <v>27863</v>
      </c>
      <c r="AA2545">
        <v>0.4569499493710501</v>
      </c>
      <c r="AB2545" t="str">
        <f>HYPERLINK("Melting_Curves/meltCurve_P40938_RFC3.pdf", "Melting_Curves/meltCurve_P40938_RFC3.pdf")</f>
        <v>Melting_Curves/meltCurve_P40938_RFC3.pdf</v>
      </c>
    </row>
    <row r="2546" spans="1:28" x14ac:dyDescent="0.25">
      <c r="A2546" t="s">
        <v>2550</v>
      </c>
      <c r="B2546">
        <v>0.99542014353169495</v>
      </c>
      <c r="C2546">
        <v>0.865021115738559</v>
      </c>
      <c r="D2546">
        <v>0.88536935056186306</v>
      </c>
      <c r="E2546">
        <v>0.68585042924071904</v>
      </c>
      <c r="F2546">
        <v>0.19745529260948999</v>
      </c>
      <c r="G2546">
        <v>6.9947921060167798E-2</v>
      </c>
      <c r="H2546">
        <v>4.2978450161008402E-2</v>
      </c>
      <c r="I2546">
        <v>2.9946053104618599E-2</v>
      </c>
      <c r="J2546">
        <v>3.16175362314422E-2</v>
      </c>
      <c r="K2546">
        <v>3.1123700535690701E-2</v>
      </c>
      <c r="L2546">
        <v>1207.4893355869301</v>
      </c>
      <c r="M2546">
        <v>25.3623151943392</v>
      </c>
      <c r="N2546">
        <v>47.703344872486603</v>
      </c>
      <c r="O2546">
        <v>47.316557147767</v>
      </c>
      <c r="P2546">
        <v>-0.130747049368444</v>
      </c>
      <c r="Q2546">
        <v>2.4312712569270398E-2</v>
      </c>
      <c r="R2546">
        <v>0.98571912571715203</v>
      </c>
      <c r="S2546" t="s">
        <v>8948</v>
      </c>
      <c r="T2546" t="s">
        <v>12802</v>
      </c>
      <c r="U2546" t="s">
        <v>12802</v>
      </c>
      <c r="V2546" t="s">
        <v>12802</v>
      </c>
      <c r="W2546" t="s">
        <v>15302</v>
      </c>
      <c r="X2546">
        <v>45</v>
      </c>
      <c r="Y2546" t="s">
        <v>21571</v>
      </c>
      <c r="Z2546" t="s">
        <v>27864</v>
      </c>
      <c r="AA2546">
        <v>0.37740090751372729</v>
      </c>
      <c r="AB2546" t="str">
        <f>HYPERLINK("Melting_Curves/meltCurve_P40939_HADHA.pdf", "Melting_Curves/meltCurve_P40939_HADHA.pdf")</f>
        <v>Melting_Curves/meltCurve_P40939_HADHA.pdf</v>
      </c>
    </row>
    <row r="2547" spans="1:28" x14ac:dyDescent="0.25">
      <c r="A2547" t="s">
        <v>2551</v>
      </c>
      <c r="B2547">
        <v>0.99542014353169495</v>
      </c>
      <c r="C2547">
        <v>1.0052210623276101</v>
      </c>
      <c r="D2547">
        <v>0.96793830899212796</v>
      </c>
      <c r="E2547">
        <v>0.90379743331248696</v>
      </c>
      <c r="F2547">
        <v>0.73363658462875703</v>
      </c>
      <c r="G2547">
        <v>0.56323342428754097</v>
      </c>
      <c r="H2547">
        <v>0.19279762901098399</v>
      </c>
      <c r="I2547">
        <v>7.4800316163956507E-2</v>
      </c>
      <c r="J2547">
        <v>5.2201859187441302E-2</v>
      </c>
      <c r="K2547">
        <v>5.1704669088465903E-2</v>
      </c>
      <c r="L2547">
        <v>941.672999649649</v>
      </c>
      <c r="M2547">
        <v>17.559636348800201</v>
      </c>
      <c r="N2547">
        <v>53.627135510083598</v>
      </c>
      <c r="O2547">
        <v>52.946125679765302</v>
      </c>
      <c r="P2547">
        <v>-8.2917264286819906E-2</v>
      </c>
      <c r="Q2547">
        <v>0</v>
      </c>
      <c r="R2547">
        <v>0.99227247740541402</v>
      </c>
      <c r="S2547" t="s">
        <v>8949</v>
      </c>
      <c r="T2547" t="s">
        <v>12802</v>
      </c>
      <c r="U2547" t="s">
        <v>12802</v>
      </c>
      <c r="V2547" t="s">
        <v>12802</v>
      </c>
      <c r="W2547" t="s">
        <v>15303</v>
      </c>
      <c r="X2547">
        <v>30</v>
      </c>
      <c r="Y2547" t="s">
        <v>21572</v>
      </c>
      <c r="Z2547" t="s">
        <v>27865</v>
      </c>
      <c r="AA2547">
        <v>0.56869852879072047</v>
      </c>
      <c r="AB2547" t="str">
        <f>HYPERLINK("Melting_Curves/meltCurve_P41091_EIF2S3.pdf", "Melting_Curves/meltCurve_P41091_EIF2S3.pdf")</f>
        <v>Melting_Curves/meltCurve_P41091_EIF2S3.pdf</v>
      </c>
    </row>
    <row r="2548" spans="1:28" x14ac:dyDescent="0.25">
      <c r="A2548" t="s">
        <v>2552</v>
      </c>
      <c r="B2548">
        <v>0.99542014353169495</v>
      </c>
      <c r="C2548">
        <v>0.92487504032177503</v>
      </c>
      <c r="D2548">
        <v>0.97134861039743003</v>
      </c>
      <c r="E2548">
        <v>0.521885490181905</v>
      </c>
      <c r="F2548">
        <v>0.26377068389088498</v>
      </c>
      <c r="G2548">
        <v>0.164702253462889</v>
      </c>
      <c r="H2548">
        <v>0.114882113347845</v>
      </c>
      <c r="I2548">
        <v>7.2523733646584099E-2</v>
      </c>
      <c r="J2548">
        <v>6.4383963978575598E-2</v>
      </c>
      <c r="K2548">
        <v>7.3265256451049907E-2</v>
      </c>
      <c r="L2548">
        <v>1096.9817597013</v>
      </c>
      <c r="M2548">
        <v>23.439371482398499</v>
      </c>
      <c r="N2548">
        <v>47.183625989260499</v>
      </c>
      <c r="O2548">
        <v>46.464163132569396</v>
      </c>
      <c r="P2548">
        <v>-0.115197237955628</v>
      </c>
      <c r="Q2548">
        <v>8.6588203610230396E-2</v>
      </c>
      <c r="R2548">
        <v>0.99025404644806703</v>
      </c>
      <c r="S2548" t="s">
        <v>8950</v>
      </c>
      <c r="T2548" t="s">
        <v>12802</v>
      </c>
      <c r="U2548" t="s">
        <v>12802</v>
      </c>
      <c r="V2548" t="s">
        <v>12802</v>
      </c>
      <c r="W2548" t="s">
        <v>15304</v>
      </c>
      <c r="X2548">
        <v>4</v>
      </c>
      <c r="Y2548" t="s">
        <v>21573</v>
      </c>
      <c r="Z2548" t="s">
        <v>27866</v>
      </c>
      <c r="AA2548">
        <v>0.39370447155823501</v>
      </c>
      <c r="AB2548" t="str">
        <f>HYPERLINK("Melting_Curves/meltCurve_P41134_2_ID1.pdf", "Melting_Curves/meltCurve_P41134_2_ID1.pdf")</f>
        <v>Melting_Curves/meltCurve_P41134_2_ID1.pdf</v>
      </c>
    </row>
    <row r="2549" spans="1:28" x14ac:dyDescent="0.25">
      <c r="A2549" t="s">
        <v>2553</v>
      </c>
      <c r="B2549">
        <v>0.99542014353169495</v>
      </c>
      <c r="C2549">
        <v>1.0108811478759201</v>
      </c>
      <c r="D2549">
        <v>1.03827557361583</v>
      </c>
      <c r="E2549">
        <v>0.90417543440793902</v>
      </c>
      <c r="F2549">
        <v>0.810151798689006</v>
      </c>
      <c r="G2549">
        <v>0.72079808458674</v>
      </c>
      <c r="H2549">
        <v>0.70590790362036904</v>
      </c>
      <c r="I2549">
        <v>0.76869688482466703</v>
      </c>
      <c r="J2549">
        <v>1.2631864619442801</v>
      </c>
      <c r="K2549">
        <v>1.7231316771356899</v>
      </c>
      <c r="L2549">
        <v>15000</v>
      </c>
      <c r="M2549">
        <v>234.11515127436999</v>
      </c>
      <c r="O2549">
        <v>64.066379234827494</v>
      </c>
      <c r="P2549">
        <v>0.45678253239563399</v>
      </c>
      <c r="Q2549">
        <v>1.5</v>
      </c>
      <c r="R2549">
        <v>0.63277068328125896</v>
      </c>
      <c r="S2549" t="s">
        <v>8951</v>
      </c>
      <c r="T2549" t="s">
        <v>12802</v>
      </c>
      <c r="U2549" t="s">
        <v>12802</v>
      </c>
      <c r="V2549" t="s">
        <v>12802</v>
      </c>
      <c r="W2549" t="s">
        <v>15305</v>
      </c>
      <c r="X2549">
        <v>7</v>
      </c>
      <c r="Y2549" t="s">
        <v>21574</v>
      </c>
      <c r="Z2549" t="s">
        <v>27867</v>
      </c>
      <c r="AA2549">
        <v>1.048752155685196</v>
      </c>
      <c r="AB2549" t="str">
        <f>HYPERLINK("Melting_Curves/meltCurve_P41208_CETN2.pdf", "Melting_Curves/meltCurve_P41208_CETN2.pdf")</f>
        <v>Melting_Curves/meltCurve_P41208_CETN2.pdf</v>
      </c>
    </row>
    <row r="2550" spans="1:28" x14ac:dyDescent="0.25">
      <c r="A2550" t="s">
        <v>2554</v>
      </c>
      <c r="B2550">
        <v>0.99542014353169495</v>
      </c>
      <c r="C2550">
        <v>1.0975214052783999</v>
      </c>
      <c r="D2550">
        <v>1.0900601903132501</v>
      </c>
      <c r="E2550">
        <v>0.67779211142584805</v>
      </c>
      <c r="F2550">
        <v>0.20017105799006099</v>
      </c>
      <c r="G2550">
        <v>0.12646467065604899</v>
      </c>
      <c r="H2550">
        <v>8.1112725558201496E-2</v>
      </c>
      <c r="I2550">
        <v>5.70177705392063E-2</v>
      </c>
      <c r="J2550">
        <v>6.7728995934134006E-2</v>
      </c>
      <c r="K2550">
        <v>7.7572510873736095E-2</v>
      </c>
      <c r="L2550">
        <v>1822.9396605454599</v>
      </c>
      <c r="M2550">
        <v>38.414411604049903</v>
      </c>
      <c r="N2550">
        <v>47.677081113569201</v>
      </c>
      <c r="O2550">
        <v>47.326538451398797</v>
      </c>
      <c r="P2550">
        <v>-0.186270393637469</v>
      </c>
      <c r="Q2550">
        <v>8.2062354465614606E-2</v>
      </c>
      <c r="R2550">
        <v>0.98759822980890799</v>
      </c>
      <c r="S2550" t="s">
        <v>8952</v>
      </c>
      <c r="T2550" t="s">
        <v>12802</v>
      </c>
      <c r="U2550" t="s">
        <v>12802</v>
      </c>
      <c r="V2550" t="s">
        <v>12802</v>
      </c>
      <c r="W2550" t="s">
        <v>15306</v>
      </c>
      <c r="X2550">
        <v>14</v>
      </c>
      <c r="Y2550" t="s">
        <v>21575</v>
      </c>
      <c r="Z2550" t="s">
        <v>27868</v>
      </c>
      <c r="AA2550">
        <v>0.40521811346644071</v>
      </c>
      <c r="AB2550" t="str">
        <f>HYPERLINK("Melting_Curves/meltCurve_P41214_EIF2D.pdf", "Melting_Curves/meltCurve_P41214_EIF2D.pdf")</f>
        <v>Melting_Curves/meltCurve_P41214_EIF2D.pdf</v>
      </c>
    </row>
    <row r="2551" spans="1:28" x14ac:dyDescent="0.25">
      <c r="A2551" t="s">
        <v>2555</v>
      </c>
      <c r="B2551">
        <v>0.99542014353169495</v>
      </c>
      <c r="C2551">
        <v>1.05036854505466</v>
      </c>
      <c r="D2551">
        <v>0.99023573399810405</v>
      </c>
      <c r="E2551">
        <v>0.99462325610009905</v>
      </c>
      <c r="F2551">
        <v>0.62432927582665998</v>
      </c>
      <c r="G2551">
        <v>0.28272356584006902</v>
      </c>
      <c r="H2551">
        <v>8.8645866993761493E-2</v>
      </c>
      <c r="I2551">
        <v>4.8060863461177397E-2</v>
      </c>
      <c r="J2551">
        <v>4.0230156736179197E-2</v>
      </c>
      <c r="K2551">
        <v>3.8358784979560703E-2</v>
      </c>
      <c r="L2551">
        <v>1360.1278782376501</v>
      </c>
      <c r="M2551">
        <v>26.5018853449827</v>
      </c>
      <c r="N2551">
        <v>51.4748912916886</v>
      </c>
      <c r="O2551">
        <v>51.032385414883201</v>
      </c>
      <c r="P2551">
        <v>-0.12491436858296601</v>
      </c>
      <c r="Q2551">
        <v>3.7863116962209398E-2</v>
      </c>
      <c r="R2551">
        <v>0.99600533085072096</v>
      </c>
      <c r="S2551" t="s">
        <v>8953</v>
      </c>
      <c r="T2551" t="s">
        <v>12802</v>
      </c>
      <c r="U2551" t="s">
        <v>12802</v>
      </c>
      <c r="V2551" t="s">
        <v>12802</v>
      </c>
      <c r="W2551" t="s">
        <v>15307</v>
      </c>
      <c r="X2551">
        <v>10</v>
      </c>
      <c r="Y2551" t="s">
        <v>21576</v>
      </c>
      <c r="Z2551" t="s">
        <v>27869</v>
      </c>
      <c r="AA2551">
        <v>0.50481555773789288</v>
      </c>
      <c r="AB2551" t="str">
        <f>HYPERLINK("Melting_Curves/meltCurve_P41223_BUD31.pdf", "Melting_Curves/meltCurve_P41223_BUD31.pdf")</f>
        <v>Melting_Curves/meltCurve_P41223_BUD31.pdf</v>
      </c>
    </row>
    <row r="2552" spans="1:28" x14ac:dyDescent="0.25">
      <c r="A2552" t="s">
        <v>2556</v>
      </c>
      <c r="B2552">
        <v>0.99542014353169495</v>
      </c>
      <c r="C2552">
        <v>0.93897431020862099</v>
      </c>
      <c r="D2552">
        <v>0.96457828045516003</v>
      </c>
      <c r="E2552">
        <v>0.848348800700929</v>
      </c>
      <c r="F2552">
        <v>0.666100985654554</v>
      </c>
      <c r="G2552">
        <v>0.32392307524682001</v>
      </c>
      <c r="H2552">
        <v>8.2215727508356401E-2</v>
      </c>
      <c r="I2552">
        <v>5.7863004229549202E-2</v>
      </c>
      <c r="J2552">
        <v>5.9780961742544297E-2</v>
      </c>
      <c r="K2552">
        <v>6.7458163148647096E-2</v>
      </c>
      <c r="L2552">
        <v>1040.6022822903999</v>
      </c>
      <c r="M2552">
        <v>20.228227876633301</v>
      </c>
      <c r="N2552">
        <v>51.595947356065601</v>
      </c>
      <c r="O2552">
        <v>50.948233520540199</v>
      </c>
      <c r="P2552">
        <v>-9.6374683481732407E-2</v>
      </c>
      <c r="Q2552">
        <v>2.9086105199385402E-2</v>
      </c>
      <c r="R2552">
        <v>0.99308396267255195</v>
      </c>
      <c r="S2552" t="s">
        <v>8954</v>
      </c>
      <c r="T2552" t="s">
        <v>12802</v>
      </c>
      <c r="U2552" t="s">
        <v>12802</v>
      </c>
      <c r="V2552" t="s">
        <v>12802</v>
      </c>
      <c r="W2552" t="s">
        <v>15308</v>
      </c>
      <c r="X2552">
        <v>18</v>
      </c>
      <c r="Y2552" t="s">
        <v>21577</v>
      </c>
      <c r="Z2552" t="s">
        <v>27870</v>
      </c>
      <c r="AA2552">
        <v>0.50893641540627221</v>
      </c>
      <c r="AB2552" t="str">
        <f>HYPERLINK("Melting_Curves/meltCurve_P41227_NAA10.pdf", "Melting_Curves/meltCurve_P41227_NAA10.pdf")</f>
        <v>Melting_Curves/meltCurve_P41227_NAA10.pdf</v>
      </c>
    </row>
    <row r="2553" spans="1:28" x14ac:dyDescent="0.25">
      <c r="A2553" t="s">
        <v>2557</v>
      </c>
      <c r="B2553">
        <v>0.99542014353169495</v>
      </c>
      <c r="C2553">
        <v>0.98110350219799602</v>
      </c>
      <c r="D2553">
        <v>0.87982967794293099</v>
      </c>
      <c r="E2553">
        <v>0.646769598248914</v>
      </c>
      <c r="F2553">
        <v>0.25091733292009</v>
      </c>
      <c r="G2553">
        <v>0.13977289447805399</v>
      </c>
      <c r="H2553">
        <v>9.1399724710391095E-2</v>
      </c>
      <c r="I2553">
        <v>7.1964196454325793E-2</v>
      </c>
      <c r="J2553">
        <v>7.4079260120370694E-2</v>
      </c>
      <c r="K2553">
        <v>7.6360197721222503E-2</v>
      </c>
      <c r="L2553">
        <v>1052.2091225192</v>
      </c>
      <c r="M2553">
        <v>22.214332744512099</v>
      </c>
      <c r="N2553">
        <v>47.690888713945903</v>
      </c>
      <c r="O2553">
        <v>46.9873966463201</v>
      </c>
      <c r="P2553">
        <v>-0.10990136618688499</v>
      </c>
      <c r="Q2553">
        <v>7.0173647829199201E-2</v>
      </c>
      <c r="R2553">
        <v>0.998244009608656</v>
      </c>
      <c r="S2553" t="s">
        <v>8955</v>
      </c>
      <c r="T2553" t="s">
        <v>12802</v>
      </c>
      <c r="U2553" t="s">
        <v>12802</v>
      </c>
      <c r="V2553" t="s">
        <v>12802</v>
      </c>
      <c r="W2553" t="s">
        <v>15309</v>
      </c>
      <c r="X2553">
        <v>26</v>
      </c>
      <c r="Y2553" t="s">
        <v>21578</v>
      </c>
      <c r="Z2553" t="s">
        <v>27871</v>
      </c>
      <c r="AA2553">
        <v>0.40139409279690441</v>
      </c>
      <c r="AB2553" t="str">
        <f>HYPERLINK("Melting_Curves/meltCurve_P41229_2_KDM5C.pdf", "Melting_Curves/meltCurve_P41229_2_KDM5C.pdf")</f>
        <v>Melting_Curves/meltCurve_P41229_2_KDM5C.pdf</v>
      </c>
    </row>
    <row r="2554" spans="1:28" x14ac:dyDescent="0.25">
      <c r="A2554" t="s">
        <v>2558</v>
      </c>
      <c r="B2554">
        <v>0.99542014353169495</v>
      </c>
      <c r="C2554">
        <v>1.07995868015839</v>
      </c>
      <c r="D2554">
        <v>1.03952536591601</v>
      </c>
      <c r="E2554">
        <v>0.90586018976133498</v>
      </c>
      <c r="F2554">
        <v>0.858801307565359</v>
      </c>
      <c r="G2554">
        <v>0.70704335602236401</v>
      </c>
      <c r="H2554">
        <v>0.62266278223721405</v>
      </c>
      <c r="I2554">
        <v>0.59979817839177496</v>
      </c>
      <c r="J2554">
        <v>1.0171891636649699</v>
      </c>
      <c r="K2554">
        <v>1.3156622790664201</v>
      </c>
      <c r="L2554">
        <v>15000</v>
      </c>
      <c r="M2554">
        <v>231.15403772088499</v>
      </c>
      <c r="O2554">
        <v>64.886935878060399</v>
      </c>
      <c r="P2554">
        <v>0.28132485322998602</v>
      </c>
      <c r="Q2554">
        <v>1.3158812687122801</v>
      </c>
      <c r="R2554">
        <v>5.8274455578156803E-2</v>
      </c>
      <c r="S2554" t="s">
        <v>8956</v>
      </c>
      <c r="T2554" t="s">
        <v>12802</v>
      </c>
      <c r="U2554" t="s">
        <v>12802</v>
      </c>
      <c r="V2554" t="s">
        <v>12802</v>
      </c>
      <c r="W2554" t="s">
        <v>15310</v>
      </c>
      <c r="X2554">
        <v>15</v>
      </c>
      <c r="Y2554" t="s">
        <v>21579</v>
      </c>
      <c r="Z2554" t="s">
        <v>27872</v>
      </c>
      <c r="AA2554">
        <v>1.022158226458753</v>
      </c>
      <c r="AB2554" t="str">
        <f>HYPERLINK("Melting_Curves/meltCurve_P41236_PPP1R2.pdf", "Melting_Curves/meltCurve_P41236_PPP1R2.pdf")</f>
        <v>Melting_Curves/meltCurve_P41236_PPP1R2.pdf</v>
      </c>
    </row>
    <row r="2555" spans="1:28" x14ac:dyDescent="0.25">
      <c r="A2555" t="s">
        <v>2559</v>
      </c>
      <c r="B2555">
        <v>0.99542014353169495</v>
      </c>
      <c r="C2555">
        <v>0.98994055905900602</v>
      </c>
      <c r="D2555">
        <v>0.92913438628895295</v>
      </c>
      <c r="E2555">
        <v>0.82653667102110895</v>
      </c>
      <c r="F2555">
        <v>0.36135570202110801</v>
      </c>
      <c r="G2555">
        <v>0.120779414069609</v>
      </c>
      <c r="H2555">
        <v>7.1519576626087794E-2</v>
      </c>
      <c r="I2555">
        <v>5.3682106414436902E-2</v>
      </c>
      <c r="J2555">
        <v>5.5056820051171101E-2</v>
      </c>
      <c r="K2555">
        <v>6.5737990309666497E-2</v>
      </c>
      <c r="L2555">
        <v>1376.5392243455101</v>
      </c>
      <c r="M2555">
        <v>28.138814218028699</v>
      </c>
      <c r="N2555">
        <v>49.125304076524898</v>
      </c>
      <c r="O2555">
        <v>48.674524700308901</v>
      </c>
      <c r="P2555">
        <v>-0.13649424715352201</v>
      </c>
      <c r="Q2555">
        <v>5.5577027572859997E-2</v>
      </c>
      <c r="R2555">
        <v>0.99816328638963703</v>
      </c>
      <c r="S2555" t="s">
        <v>8957</v>
      </c>
      <c r="T2555" t="s">
        <v>12802</v>
      </c>
      <c r="U2555" t="s">
        <v>12802</v>
      </c>
      <c r="V2555" t="s">
        <v>12802</v>
      </c>
      <c r="W2555" t="s">
        <v>15311</v>
      </c>
      <c r="X2555">
        <v>23</v>
      </c>
      <c r="Y2555" t="s">
        <v>21580</v>
      </c>
      <c r="Z2555" t="s">
        <v>27873</v>
      </c>
      <c r="AA2555">
        <v>0.43727576312552791</v>
      </c>
      <c r="AB2555" t="str">
        <f>HYPERLINK("Melting_Curves/meltCurve_P41240_CSK.pdf", "Melting_Curves/meltCurve_P41240_CSK.pdf")</f>
        <v>Melting_Curves/meltCurve_P41240_CSK.pdf</v>
      </c>
    </row>
    <row r="2556" spans="1:28" x14ac:dyDescent="0.25">
      <c r="A2556" t="s">
        <v>2560</v>
      </c>
      <c r="B2556">
        <v>0.99542014353169495</v>
      </c>
      <c r="C2556">
        <v>1.0373070836534599</v>
      </c>
      <c r="D2556">
        <v>0.96881692452286805</v>
      </c>
      <c r="E2556">
        <v>0.77431262707219395</v>
      </c>
      <c r="F2556">
        <v>0.43960965700689197</v>
      </c>
      <c r="G2556">
        <v>0.25185439744653099</v>
      </c>
      <c r="H2556">
        <v>0.16344831468719001</v>
      </c>
      <c r="I2556">
        <v>0.14866867681609899</v>
      </c>
      <c r="J2556">
        <v>0.162772882400644</v>
      </c>
      <c r="K2556">
        <v>0.19717529705351999</v>
      </c>
      <c r="L2556">
        <v>1151.6538136910599</v>
      </c>
      <c r="M2556">
        <v>23.667921161322599</v>
      </c>
      <c r="N2556">
        <v>49.480671535278098</v>
      </c>
      <c r="O2556">
        <v>48.315493632919598</v>
      </c>
      <c r="P2556">
        <v>-0.102564210317549</v>
      </c>
      <c r="Q2556">
        <v>0.16251954249147299</v>
      </c>
      <c r="R2556">
        <v>0.99701577009785203</v>
      </c>
      <c r="S2556" t="s">
        <v>8958</v>
      </c>
      <c r="T2556" t="s">
        <v>12802</v>
      </c>
      <c r="U2556" t="s">
        <v>12802</v>
      </c>
      <c r="V2556" t="s">
        <v>12802</v>
      </c>
      <c r="W2556" t="s">
        <v>15312</v>
      </c>
      <c r="X2556">
        <v>5</v>
      </c>
      <c r="Y2556" t="s">
        <v>21581</v>
      </c>
      <c r="Z2556" t="s">
        <v>27874</v>
      </c>
      <c r="AA2556">
        <v>0.4960019833491412</v>
      </c>
      <c r="AB2556" t="str">
        <f>HYPERLINK("Melting_Curves/meltCurve_P41247_PNPLA4.pdf", "Melting_Curves/meltCurve_P41247_PNPLA4.pdf")</f>
        <v>Melting_Curves/meltCurve_P41247_PNPLA4.pdf</v>
      </c>
    </row>
    <row r="2557" spans="1:28" x14ac:dyDescent="0.25">
      <c r="A2557" t="s">
        <v>2561</v>
      </c>
      <c r="B2557">
        <v>0.99542014353169495</v>
      </c>
      <c r="C2557">
        <v>0.97713677529229204</v>
      </c>
      <c r="D2557">
        <v>0.94686712983014898</v>
      </c>
      <c r="E2557">
        <v>0.89574918833894901</v>
      </c>
      <c r="F2557">
        <v>0.78376401892567504</v>
      </c>
      <c r="G2557">
        <v>0.629326526841406</v>
      </c>
      <c r="H2557">
        <v>0.53616563467886402</v>
      </c>
      <c r="I2557">
        <v>0.50223549553136704</v>
      </c>
      <c r="J2557">
        <v>0.66227873345699695</v>
      </c>
      <c r="K2557">
        <v>0.31331103806322902</v>
      </c>
      <c r="L2557">
        <v>585.05520247779998</v>
      </c>
      <c r="M2557">
        <v>11.1958302441524</v>
      </c>
      <c r="N2557">
        <v>61.6130233068682</v>
      </c>
      <c r="O2557">
        <v>50.672533196401403</v>
      </c>
      <c r="P2557">
        <v>-3.2672810145864498E-2</v>
      </c>
      <c r="Q2557">
        <v>0.408675434563951</v>
      </c>
      <c r="R2557">
        <v>0.88193069639164301</v>
      </c>
      <c r="S2557" t="s">
        <v>8959</v>
      </c>
      <c r="T2557" t="s">
        <v>12802</v>
      </c>
      <c r="U2557" t="s">
        <v>12802</v>
      </c>
      <c r="V2557" t="s">
        <v>12802</v>
      </c>
      <c r="W2557" t="s">
        <v>15313</v>
      </c>
      <c r="X2557">
        <v>44</v>
      </c>
      <c r="Y2557" t="s">
        <v>21582</v>
      </c>
      <c r="Z2557" t="s">
        <v>27875</v>
      </c>
      <c r="AA2557">
        <v>0.72370268871372889</v>
      </c>
      <c r="AB2557" t="str">
        <f>HYPERLINK("Melting_Curves/meltCurve_P41250_GARS.pdf", "Melting_Curves/meltCurve_P41250_GARS.pdf")</f>
        <v>Melting_Curves/meltCurve_P41250_GARS.pdf</v>
      </c>
    </row>
    <row r="2558" spans="1:28" x14ac:dyDescent="0.25">
      <c r="A2558" t="s">
        <v>2562</v>
      </c>
      <c r="B2558">
        <v>0.99542014353169495</v>
      </c>
      <c r="C2558">
        <v>0.77364999160574399</v>
      </c>
      <c r="D2558">
        <v>0.73229431250301802</v>
      </c>
      <c r="E2558">
        <v>0.27128006197719501</v>
      </c>
      <c r="F2558">
        <v>0.118749833070544</v>
      </c>
      <c r="G2558">
        <v>6.9999747212174196E-2</v>
      </c>
      <c r="H2558">
        <v>4.8472561089977599E-2</v>
      </c>
      <c r="I2558">
        <v>3.3116937762573399E-2</v>
      </c>
      <c r="J2558">
        <v>3.5665604886543897E-2</v>
      </c>
      <c r="K2558">
        <v>3.2941774247974898E-2</v>
      </c>
      <c r="L2558">
        <v>791.43712454857598</v>
      </c>
      <c r="M2558">
        <v>17.855588367940001</v>
      </c>
      <c r="N2558">
        <v>44.454999163839801</v>
      </c>
      <c r="O2558">
        <v>43.7795913245481</v>
      </c>
      <c r="P2558">
        <v>-9.9361309443068105E-2</v>
      </c>
      <c r="Q2558">
        <v>2.5565355463601901E-2</v>
      </c>
      <c r="R2558">
        <v>0.98235190665747396</v>
      </c>
      <c r="S2558" t="s">
        <v>8960</v>
      </c>
      <c r="T2558" t="s">
        <v>12802</v>
      </c>
      <c r="U2558" t="s">
        <v>12802</v>
      </c>
      <c r="V2558" t="s">
        <v>12802</v>
      </c>
      <c r="W2558" t="s">
        <v>15314</v>
      </c>
      <c r="X2558">
        <v>33</v>
      </c>
      <c r="Y2558" t="s">
        <v>21583</v>
      </c>
      <c r="Z2558" t="s">
        <v>27876</v>
      </c>
      <c r="AA2558">
        <v>0.27998730661389659</v>
      </c>
      <c r="AB2558" t="str">
        <f>HYPERLINK("Melting_Curves/meltCurve_P41252_IARS.pdf", "Melting_Curves/meltCurve_P41252_IARS.pdf")</f>
        <v>Melting_Curves/meltCurve_P41252_IARS.pdf</v>
      </c>
    </row>
    <row r="2559" spans="1:28" x14ac:dyDescent="0.25">
      <c r="A2559" t="s">
        <v>2563</v>
      </c>
      <c r="B2559">
        <v>0.99542014353169495</v>
      </c>
      <c r="C2559">
        <v>0.94764356636867897</v>
      </c>
      <c r="D2559">
        <v>0.94567042545174695</v>
      </c>
      <c r="E2559">
        <v>0.87586667123588502</v>
      </c>
      <c r="F2559">
        <v>0.76818350488926501</v>
      </c>
      <c r="G2559">
        <v>0.50868837528233202</v>
      </c>
      <c r="H2559">
        <v>0.38204608265336698</v>
      </c>
      <c r="I2559">
        <v>0.32889625305042702</v>
      </c>
      <c r="J2559">
        <v>0.42024784920754799</v>
      </c>
      <c r="K2559">
        <v>0.47759011577500599</v>
      </c>
      <c r="L2559">
        <v>1153.5550745303599</v>
      </c>
      <c r="M2559">
        <v>22.792984664605001</v>
      </c>
      <c r="N2559">
        <v>54.224270090789602</v>
      </c>
      <c r="O2559">
        <v>50.2253521618021</v>
      </c>
      <c r="P2559">
        <v>-6.9144910320328004E-2</v>
      </c>
      <c r="Q2559">
        <v>0.39055631746946201</v>
      </c>
      <c r="R2559">
        <v>0.96152593181936696</v>
      </c>
      <c r="S2559" t="s">
        <v>8961</v>
      </c>
      <c r="T2559" t="s">
        <v>12802</v>
      </c>
      <c r="U2559" t="s">
        <v>12802</v>
      </c>
      <c r="V2559" t="s">
        <v>12802</v>
      </c>
      <c r="W2559" t="s">
        <v>15315</v>
      </c>
      <c r="X2559">
        <v>9</v>
      </c>
      <c r="Y2559" t="s">
        <v>21584</v>
      </c>
      <c r="Z2559" t="s">
        <v>27877</v>
      </c>
      <c r="AA2559">
        <v>0.67340148305822289</v>
      </c>
      <c r="AB2559" t="str">
        <f>HYPERLINK("Melting_Curves/meltCurve_P41440_SLC19A1.pdf", "Melting_Curves/meltCurve_P41440_SLC19A1.pdf")</f>
        <v>Melting_Curves/meltCurve_P41440_SLC19A1.pdf</v>
      </c>
    </row>
    <row r="2560" spans="1:28" x14ac:dyDescent="0.25">
      <c r="A2560" t="s">
        <v>2564</v>
      </c>
      <c r="B2560">
        <v>0.99542014353169495</v>
      </c>
      <c r="C2560">
        <v>0.99990787688921401</v>
      </c>
      <c r="D2560">
        <v>0.99859803635608102</v>
      </c>
      <c r="E2560">
        <v>1.0152234569582499</v>
      </c>
      <c r="F2560">
        <v>0.84485074933396398</v>
      </c>
      <c r="G2560">
        <v>0.69750916874722502</v>
      </c>
      <c r="H2560">
        <v>0.41887349831237403</v>
      </c>
      <c r="I2560">
        <v>0.29366393899222498</v>
      </c>
      <c r="J2560">
        <v>0.30089985936833602</v>
      </c>
      <c r="K2560">
        <v>0.28637274361259801</v>
      </c>
      <c r="L2560">
        <v>1189.8641438278501</v>
      </c>
      <c r="M2560">
        <v>21.945427769588498</v>
      </c>
      <c r="N2560">
        <v>56.126702965102801</v>
      </c>
      <c r="O2560">
        <v>53.775039485624099</v>
      </c>
      <c r="P2560">
        <v>-7.5211193513919597E-2</v>
      </c>
      <c r="Q2560">
        <v>0.26282708852723602</v>
      </c>
      <c r="R2560">
        <v>0.993811601870915</v>
      </c>
      <c r="S2560" t="s">
        <v>8962</v>
      </c>
      <c r="T2560" t="s">
        <v>12802</v>
      </c>
      <c r="U2560" t="s">
        <v>12802</v>
      </c>
      <c r="V2560" t="s">
        <v>12802</v>
      </c>
      <c r="W2560" t="s">
        <v>15316</v>
      </c>
      <c r="X2560">
        <v>12</v>
      </c>
      <c r="Y2560" t="s">
        <v>21585</v>
      </c>
      <c r="Z2560" t="s">
        <v>27878</v>
      </c>
      <c r="AA2560">
        <v>0.69373554162851081</v>
      </c>
      <c r="AB2560" t="str">
        <f>HYPERLINK("Melting_Curves/meltCurve_P41567_EIF1.pdf", "Melting_Curves/meltCurve_P41567_EIF1.pdf")</f>
        <v>Melting_Curves/meltCurve_P41567_EIF1.pdf</v>
      </c>
    </row>
    <row r="2561" spans="1:28" x14ac:dyDescent="0.25">
      <c r="A2561" t="s">
        <v>2565</v>
      </c>
      <c r="B2561">
        <v>0.99542014353169495</v>
      </c>
      <c r="C2561">
        <v>0.914098466418236</v>
      </c>
      <c r="D2561">
        <v>0.81263785255866605</v>
      </c>
      <c r="E2561">
        <v>0.69513000389791901</v>
      </c>
      <c r="F2561">
        <v>0.36064752196168198</v>
      </c>
      <c r="G2561">
        <v>0.152748838184079</v>
      </c>
      <c r="H2561">
        <v>6.2214179533282697E-2</v>
      </c>
      <c r="I2561">
        <v>4.8927711132533198E-2</v>
      </c>
      <c r="J2561">
        <v>5.5838050866771002E-2</v>
      </c>
      <c r="K2561">
        <v>6.8456172673345098E-2</v>
      </c>
      <c r="L2561">
        <v>746.33242311150502</v>
      </c>
      <c r="M2561">
        <v>15.4969960564954</v>
      </c>
      <c r="N2561">
        <v>48.291472534278</v>
      </c>
      <c r="O2561">
        <v>47.3792533081089</v>
      </c>
      <c r="P2561">
        <v>-8.0086682696577996E-2</v>
      </c>
      <c r="Q2561">
        <v>2.0685104343911499E-2</v>
      </c>
      <c r="R2561">
        <v>0.991066102002647</v>
      </c>
      <c r="S2561" t="s">
        <v>8963</v>
      </c>
      <c r="T2561" t="s">
        <v>12802</v>
      </c>
      <c r="U2561" t="s">
        <v>12802</v>
      </c>
      <c r="V2561" t="s">
        <v>12802</v>
      </c>
      <c r="W2561" t="s">
        <v>15317</v>
      </c>
      <c r="X2561">
        <v>8</v>
      </c>
      <c r="Y2561" t="s">
        <v>21586</v>
      </c>
      <c r="Z2561" t="s">
        <v>27879</v>
      </c>
      <c r="AA2561">
        <v>0.40533143273623151</v>
      </c>
      <c r="AB2561" t="str">
        <f>HYPERLINK("Melting_Curves/meltCurve_P41743_PRKCI.pdf", "Melting_Curves/meltCurve_P41743_PRKCI.pdf")</f>
        <v>Melting_Curves/meltCurve_P41743_PRKCI.pdf</v>
      </c>
    </row>
    <row r="2562" spans="1:28" x14ac:dyDescent="0.25">
      <c r="A2562" t="s">
        <v>2566</v>
      </c>
      <c r="B2562">
        <v>0.99542014353169495</v>
      </c>
      <c r="C2562">
        <v>0.82498578346560802</v>
      </c>
      <c r="D2562">
        <v>0.895593695192622</v>
      </c>
      <c r="E2562">
        <v>0.70436873583383497</v>
      </c>
      <c r="F2562">
        <v>0.59529888110913698</v>
      </c>
      <c r="G2562">
        <v>0.49697749543685599</v>
      </c>
      <c r="H2562">
        <v>0.32720519795060099</v>
      </c>
      <c r="I2562">
        <v>0.22191521219659699</v>
      </c>
      <c r="J2562">
        <v>0.10812937936907401</v>
      </c>
      <c r="K2562">
        <v>5.88892778991267E-2</v>
      </c>
      <c r="L2562">
        <v>461.42891215206402</v>
      </c>
      <c r="M2562">
        <v>8.8513509266899195</v>
      </c>
      <c r="N2562">
        <v>52.130902474452597</v>
      </c>
      <c r="O2562">
        <v>49.675719037361702</v>
      </c>
      <c r="P2562">
        <v>-4.4580114234007498E-2</v>
      </c>
      <c r="Q2562">
        <v>0</v>
      </c>
      <c r="R2562">
        <v>0.97324336022508195</v>
      </c>
      <c r="S2562" t="s">
        <v>8964</v>
      </c>
      <c r="T2562" t="s">
        <v>12802</v>
      </c>
      <c r="U2562" t="s">
        <v>12802</v>
      </c>
      <c r="V2562" t="s">
        <v>12802</v>
      </c>
      <c r="W2562" t="s">
        <v>15318</v>
      </c>
      <c r="X2562">
        <v>10</v>
      </c>
      <c r="Y2562" t="s">
        <v>21587</v>
      </c>
      <c r="Z2562" t="s">
        <v>27880</v>
      </c>
      <c r="AA2562">
        <v>0.53161000087250954</v>
      </c>
      <c r="AB2562" t="str">
        <f>HYPERLINK("Melting_Curves/meltCurve_P42025_ACTR1B.pdf", "Melting_Curves/meltCurve_P42025_ACTR1B.pdf")</f>
        <v>Melting_Curves/meltCurve_P42025_ACTR1B.pdf</v>
      </c>
    </row>
    <row r="2563" spans="1:28" x14ac:dyDescent="0.25">
      <c r="A2563" t="s">
        <v>2567</v>
      </c>
      <c r="B2563">
        <v>0.99542014353169495</v>
      </c>
      <c r="C2563">
        <v>1.0202720147406099</v>
      </c>
      <c r="D2563">
        <v>1.06873676544799</v>
      </c>
      <c r="E2563">
        <v>2.1557179570097</v>
      </c>
      <c r="F2563">
        <v>1.89023548782837</v>
      </c>
      <c r="G2563">
        <v>1.0844012200286699</v>
      </c>
      <c r="H2563">
        <v>0.64648558627854302</v>
      </c>
      <c r="I2563">
        <v>0.40678862425821799</v>
      </c>
      <c r="J2563">
        <v>0.53568509352449301</v>
      </c>
      <c r="K2563">
        <v>0.60956386661814999</v>
      </c>
      <c r="L2563">
        <v>14292.1965189844</v>
      </c>
      <c r="M2563">
        <v>250</v>
      </c>
      <c r="O2563">
        <v>57.165122424487201</v>
      </c>
      <c r="P2563">
        <v>-0.52769731646463902</v>
      </c>
      <c r="Q2563">
        <v>0.51734584917834603</v>
      </c>
      <c r="R2563">
        <v>0.27179013136679903</v>
      </c>
      <c r="S2563" t="s">
        <v>8965</v>
      </c>
      <c r="T2563" t="s">
        <v>12802</v>
      </c>
      <c r="U2563" t="s">
        <v>12802</v>
      </c>
      <c r="V2563" t="s">
        <v>12802</v>
      </c>
      <c r="W2563" t="s">
        <v>15319</v>
      </c>
      <c r="X2563">
        <v>6</v>
      </c>
      <c r="Y2563" t="s">
        <v>21588</v>
      </c>
      <c r="Z2563" t="s">
        <v>27881</v>
      </c>
      <c r="AA2563">
        <v>0.84187921791466214</v>
      </c>
      <c r="AB2563" t="str">
        <f>HYPERLINK("Melting_Curves/meltCurve_P42126_2_ECI1.pdf", "Melting_Curves/meltCurve_P42126_2_ECI1.pdf")</f>
        <v>Melting_Curves/meltCurve_P42126_2_ECI1.pdf</v>
      </c>
    </row>
    <row r="2564" spans="1:28" x14ac:dyDescent="0.25">
      <c r="A2564" t="s">
        <v>2568</v>
      </c>
      <c r="B2564">
        <v>0.99542014353169495</v>
      </c>
      <c r="C2564">
        <v>0.94642605572133898</v>
      </c>
      <c r="D2564">
        <v>0.90164748831558195</v>
      </c>
      <c r="E2564">
        <v>0.65033072220070198</v>
      </c>
      <c r="F2564">
        <v>0.471637124836365</v>
      </c>
      <c r="G2564">
        <v>0.33995674445139901</v>
      </c>
      <c r="H2564">
        <v>0.233676903371553</v>
      </c>
      <c r="I2564">
        <v>0.18428829051995699</v>
      </c>
      <c r="J2564">
        <v>0.26159753374489503</v>
      </c>
      <c r="K2564">
        <v>0.32055115267990603</v>
      </c>
      <c r="L2564">
        <v>813.62635881724304</v>
      </c>
      <c r="M2564">
        <v>17.195970640966902</v>
      </c>
      <c r="N2564">
        <v>49.193302034973499</v>
      </c>
      <c r="O2564">
        <v>46.688979373719398</v>
      </c>
      <c r="P2564">
        <v>-6.9918983849874203E-2</v>
      </c>
      <c r="Q2564">
        <v>0.24069361926584701</v>
      </c>
      <c r="R2564">
        <v>0.983614237646116</v>
      </c>
      <c r="S2564" t="s">
        <v>8966</v>
      </c>
      <c r="T2564" t="s">
        <v>12802</v>
      </c>
      <c r="U2564" t="s">
        <v>12802</v>
      </c>
      <c r="V2564" t="s">
        <v>12802</v>
      </c>
      <c r="W2564" t="s">
        <v>15320</v>
      </c>
      <c r="X2564">
        <v>36</v>
      </c>
      <c r="Y2564" t="s">
        <v>21589</v>
      </c>
      <c r="Z2564" t="s">
        <v>27882</v>
      </c>
      <c r="AA2564">
        <v>0.51502491901416014</v>
      </c>
      <c r="AB2564" t="str">
        <f>HYPERLINK("Melting_Curves/meltCurve_P42166_TMPO.pdf", "Melting_Curves/meltCurve_P42166_TMPO.pdf")</f>
        <v>Melting_Curves/meltCurve_P42166_TMPO.pdf</v>
      </c>
    </row>
    <row r="2565" spans="1:28" x14ac:dyDescent="0.25">
      <c r="A2565" t="s">
        <v>2569</v>
      </c>
      <c r="B2565">
        <v>0.99542014353169495</v>
      </c>
      <c r="C2565">
        <v>0.95119205309333998</v>
      </c>
      <c r="D2565">
        <v>0.94930977887541701</v>
      </c>
      <c r="E2565">
        <v>0.84207723605504203</v>
      </c>
      <c r="F2565">
        <v>0.76594486144319895</v>
      </c>
      <c r="G2565">
        <v>0.58569187310867998</v>
      </c>
      <c r="H2565">
        <v>0.359386879175569</v>
      </c>
      <c r="I2565">
        <v>0.31728616738762799</v>
      </c>
      <c r="J2565">
        <v>0.54953032374027</v>
      </c>
      <c r="K2565">
        <v>0.72879163088155097</v>
      </c>
      <c r="L2565">
        <v>1079.6170627940301</v>
      </c>
      <c r="M2565">
        <v>21.8648031054956</v>
      </c>
      <c r="N2565">
        <v>61.339266239422898</v>
      </c>
      <c r="O2565">
        <v>48.969473864086403</v>
      </c>
      <c r="P2565">
        <v>-5.6598633098345098E-2</v>
      </c>
      <c r="Q2565">
        <v>0.49296742020874501</v>
      </c>
      <c r="R2565">
        <v>0.76494830674758896</v>
      </c>
      <c r="S2565" t="s">
        <v>8967</v>
      </c>
      <c r="T2565" t="s">
        <v>12802</v>
      </c>
      <c r="U2565" t="s">
        <v>12802</v>
      </c>
      <c r="V2565" t="s">
        <v>12802</v>
      </c>
      <c r="W2565" t="s">
        <v>15321</v>
      </c>
      <c r="X2565">
        <v>32</v>
      </c>
      <c r="Y2565" t="s">
        <v>21589</v>
      </c>
      <c r="Z2565" t="s">
        <v>27883</v>
      </c>
      <c r="AA2565">
        <v>0.70782791446206617</v>
      </c>
      <c r="AB2565" t="str">
        <f>HYPERLINK("Melting_Curves/meltCurve_P42167_TMPO.pdf", "Melting_Curves/meltCurve_P42167_TMPO.pdf")</f>
        <v>Melting_Curves/meltCurve_P42167_TMPO.pdf</v>
      </c>
    </row>
    <row r="2566" spans="1:28" x14ac:dyDescent="0.25">
      <c r="A2566" t="s">
        <v>2570</v>
      </c>
      <c r="B2566">
        <v>0.99542014353169495</v>
      </c>
      <c r="C2566">
        <v>0.92493815671102697</v>
      </c>
      <c r="D2566">
        <v>0.69699122551454096</v>
      </c>
      <c r="E2566">
        <v>0.224997964276893</v>
      </c>
      <c r="F2566">
        <v>0.12888699510132601</v>
      </c>
      <c r="G2566">
        <v>8.4000274284356205E-2</v>
      </c>
      <c r="H2566">
        <v>4.9247433299684201E-2</v>
      </c>
      <c r="I2566">
        <v>3.6636311306177997E-2</v>
      </c>
      <c r="J2566">
        <v>3.7364213431353502E-2</v>
      </c>
      <c r="K2566">
        <v>3.7134129603057099E-2</v>
      </c>
      <c r="L2566">
        <v>1112.9280223702999</v>
      </c>
      <c r="M2566">
        <v>25.195643249861</v>
      </c>
      <c r="N2566">
        <v>44.3546456628344</v>
      </c>
      <c r="O2566">
        <v>43.896007916374103</v>
      </c>
      <c r="P2566">
        <v>-0.13640682194421899</v>
      </c>
      <c r="Q2566">
        <v>4.9417038311413801E-2</v>
      </c>
      <c r="R2566">
        <v>0.99746864155755699</v>
      </c>
      <c r="S2566" t="s">
        <v>8968</v>
      </c>
      <c r="T2566" t="s">
        <v>12802</v>
      </c>
      <c r="U2566" t="s">
        <v>12802</v>
      </c>
      <c r="V2566" t="s">
        <v>12802</v>
      </c>
      <c r="W2566" t="s">
        <v>15322</v>
      </c>
      <c r="X2566">
        <v>21</v>
      </c>
      <c r="Y2566" t="s">
        <v>21590</v>
      </c>
      <c r="Z2566" t="s">
        <v>27884</v>
      </c>
      <c r="AA2566">
        <v>0.28432065667973649</v>
      </c>
      <c r="AB2566" t="str">
        <f>HYPERLINK("Melting_Curves/meltCurve_P42224_STAT1.pdf", "Melting_Curves/meltCurve_P42224_STAT1.pdf")</f>
        <v>Melting_Curves/meltCurve_P42224_STAT1.pdf</v>
      </c>
    </row>
    <row r="2567" spans="1:28" x14ac:dyDescent="0.25">
      <c r="A2567" t="s">
        <v>2571</v>
      </c>
      <c r="B2567">
        <v>0.99542014353169495</v>
      </c>
      <c r="C2567">
        <v>1.1183374271033599</v>
      </c>
      <c r="D2567">
        <v>0.94713955718245801</v>
      </c>
      <c r="E2567">
        <v>0.43947266056159301</v>
      </c>
      <c r="F2567">
        <v>0.124601736802048</v>
      </c>
      <c r="G2567">
        <v>5.5512488442902401E-2</v>
      </c>
      <c r="H2567">
        <v>1.6767699763293301E-2</v>
      </c>
      <c r="I2567">
        <v>4.2830030350699501E-3</v>
      </c>
      <c r="J2567">
        <v>0</v>
      </c>
      <c r="K2567">
        <v>1.2283882747484201E-2</v>
      </c>
      <c r="L2567">
        <v>1545.2014670644901</v>
      </c>
      <c r="M2567">
        <v>33.377891611542601</v>
      </c>
      <c r="N2567">
        <v>46.352694936806202</v>
      </c>
      <c r="O2567">
        <v>46.128934926962799</v>
      </c>
      <c r="P2567">
        <v>-0.177162214693937</v>
      </c>
      <c r="Q2567">
        <v>2.0636849435241598E-2</v>
      </c>
      <c r="R2567">
        <v>0.99060620803772004</v>
      </c>
      <c r="S2567" t="s">
        <v>8969</v>
      </c>
      <c r="T2567" t="s">
        <v>12802</v>
      </c>
      <c r="U2567" t="s">
        <v>12802</v>
      </c>
      <c r="V2567" t="s">
        <v>12802</v>
      </c>
      <c r="W2567" t="s">
        <v>15323</v>
      </c>
      <c r="X2567">
        <v>4</v>
      </c>
      <c r="Y2567" t="s">
        <v>21591</v>
      </c>
      <c r="Z2567" t="s">
        <v>27885</v>
      </c>
      <c r="AA2567">
        <v>0.32857144942523842</v>
      </c>
      <c r="AB2567" t="str">
        <f>HYPERLINK("Melting_Curves/meltCurve_P42226_3_STAT6.pdf", "Melting_Curves/meltCurve_P42226_3_STAT6.pdf")</f>
        <v>Melting_Curves/meltCurve_P42226_3_STAT6.pdf</v>
      </c>
    </row>
    <row r="2568" spans="1:28" x14ac:dyDescent="0.25">
      <c r="A2568" t="s">
        <v>2572</v>
      </c>
      <c r="B2568">
        <v>0.99542014353169495</v>
      </c>
      <c r="C2568">
        <v>0.97620116245468003</v>
      </c>
      <c r="D2568">
        <v>1.1339578225656299</v>
      </c>
      <c r="E2568">
        <v>1.19076396906538</v>
      </c>
      <c r="F2568">
        <v>0.79701222904515301</v>
      </c>
      <c r="G2568">
        <v>0.21970922301304599</v>
      </c>
      <c r="H2568">
        <v>9.8703368316505696E-2</v>
      </c>
      <c r="I2568">
        <v>6.2973332090664594E-2</v>
      </c>
      <c r="J2568">
        <v>6.88650717456811E-2</v>
      </c>
      <c r="K2568">
        <v>6.6696575387128407E-2</v>
      </c>
      <c r="L2568">
        <v>2353.4857099486499</v>
      </c>
      <c r="M2568">
        <v>45.499854375413399</v>
      </c>
      <c r="N2568">
        <v>51.905298251149901</v>
      </c>
      <c r="O2568">
        <v>51.625509753068201</v>
      </c>
      <c r="P2568">
        <v>-0.20424006646767701</v>
      </c>
      <c r="Q2568">
        <v>7.3053403626743896E-2</v>
      </c>
      <c r="R2568">
        <v>0.97364523043581397</v>
      </c>
      <c r="S2568" t="s">
        <v>8970</v>
      </c>
      <c r="T2568" t="s">
        <v>12802</v>
      </c>
      <c r="U2568" t="s">
        <v>12802</v>
      </c>
      <c r="V2568" t="s">
        <v>12802</v>
      </c>
      <c r="W2568" t="s">
        <v>15324</v>
      </c>
      <c r="X2568">
        <v>42</v>
      </c>
      <c r="Y2568" t="s">
        <v>21592</v>
      </c>
      <c r="Z2568" t="s">
        <v>27886</v>
      </c>
      <c r="AA2568">
        <v>0.53058861283939673</v>
      </c>
      <c r="AB2568" t="str">
        <f>HYPERLINK("Melting_Curves/meltCurve_P42285_SKIV2L2.pdf", "Melting_Curves/meltCurve_P42285_SKIV2L2.pdf")</f>
        <v>Melting_Curves/meltCurve_P42285_SKIV2L2.pdf</v>
      </c>
    </row>
    <row r="2569" spans="1:28" x14ac:dyDescent="0.25">
      <c r="A2569" t="s">
        <v>2573</v>
      </c>
      <c r="B2569">
        <v>0.99542014353169495</v>
      </c>
      <c r="C2569">
        <v>0.909606332414164</v>
      </c>
      <c r="D2569">
        <v>0.93446529419426205</v>
      </c>
      <c r="E2569">
        <v>0.78272036304100501</v>
      </c>
      <c r="F2569">
        <v>0.38369622619549498</v>
      </c>
      <c r="G2569">
        <v>0.15885964384653101</v>
      </c>
      <c r="H2569">
        <v>0.11555599534873701</v>
      </c>
      <c r="I2569">
        <v>8.0138971783783305E-2</v>
      </c>
      <c r="J2569">
        <v>8.1599652073403306E-2</v>
      </c>
      <c r="K2569">
        <v>4.8919059017317697E-2</v>
      </c>
      <c r="L2569">
        <v>1097.1295387108701</v>
      </c>
      <c r="M2569">
        <v>22.475559275914499</v>
      </c>
      <c r="N2569">
        <v>49.125833454954702</v>
      </c>
      <c r="O2569">
        <v>48.432849754838401</v>
      </c>
      <c r="P2569">
        <v>-0.108311755955108</v>
      </c>
      <c r="Q2569">
        <v>6.6410374901413494E-2</v>
      </c>
      <c r="R2569">
        <v>0.99386001414546599</v>
      </c>
      <c r="S2569" t="s">
        <v>8971</v>
      </c>
      <c r="T2569" t="s">
        <v>12802</v>
      </c>
      <c r="U2569" t="s">
        <v>12802</v>
      </c>
      <c r="V2569" t="s">
        <v>12802</v>
      </c>
      <c r="W2569" t="s">
        <v>15325</v>
      </c>
      <c r="X2569">
        <v>14</v>
      </c>
      <c r="Y2569" t="s">
        <v>21593</v>
      </c>
      <c r="Z2569" t="s">
        <v>27887</v>
      </c>
      <c r="AA2569">
        <v>0.44395055046549231</v>
      </c>
      <c r="AB2569" t="str">
        <f>HYPERLINK("Melting_Curves/meltCurve_P42330_AKR1C3.pdf", "Melting_Curves/meltCurve_P42330_AKR1C3.pdf")</f>
        <v>Melting_Curves/meltCurve_P42330_AKR1C3.pdf</v>
      </c>
    </row>
    <row r="2570" spans="1:28" x14ac:dyDescent="0.25">
      <c r="A2570" t="s">
        <v>2574</v>
      </c>
      <c r="B2570">
        <v>0.99542014353169495</v>
      </c>
      <c r="C2570">
        <v>0.84693430215939802</v>
      </c>
      <c r="D2570">
        <v>0.97232057994867505</v>
      </c>
      <c r="E2570">
        <v>0.563765194823866</v>
      </c>
      <c r="F2570">
        <v>0.21217674592060501</v>
      </c>
      <c r="G2570">
        <v>9.9329147820615901E-2</v>
      </c>
      <c r="H2570">
        <v>6.21320759580044E-2</v>
      </c>
      <c r="I2570">
        <v>4.8708210411321999E-2</v>
      </c>
      <c r="J2570">
        <v>5.6546909250107698E-2</v>
      </c>
      <c r="K2570">
        <v>6.2259700075558498E-2</v>
      </c>
      <c r="L2570">
        <v>1221.16892823546</v>
      </c>
      <c r="M2570">
        <v>25.995489437804402</v>
      </c>
      <c r="N2570">
        <v>47.1954788614742</v>
      </c>
      <c r="O2570">
        <v>46.700835538659298</v>
      </c>
      <c r="P2570">
        <v>-0.131244522817516</v>
      </c>
      <c r="Q2570">
        <v>5.6888954784265103E-2</v>
      </c>
      <c r="R2570">
        <v>0.98424214766191298</v>
      </c>
      <c r="S2570" t="s">
        <v>8972</v>
      </c>
      <c r="T2570" t="s">
        <v>12802</v>
      </c>
      <c r="U2570" t="s">
        <v>12802</v>
      </c>
      <c r="V2570" t="s">
        <v>12802</v>
      </c>
      <c r="W2570" t="s">
        <v>15326</v>
      </c>
      <c r="X2570">
        <v>5</v>
      </c>
      <c r="Y2570" t="s">
        <v>21594</v>
      </c>
      <c r="Z2570" t="s">
        <v>27888</v>
      </c>
      <c r="AA2570">
        <v>0.37782937040393971</v>
      </c>
      <c r="AB2570" t="str">
        <f>HYPERLINK("Melting_Curves/meltCurve_P42336_PIK3CA.pdf", "Melting_Curves/meltCurve_P42336_PIK3CA.pdf")</f>
        <v>Melting_Curves/meltCurve_P42336_PIK3CA.pdf</v>
      </c>
    </row>
    <row r="2571" spans="1:28" x14ac:dyDescent="0.25">
      <c r="A2571" t="s">
        <v>2575</v>
      </c>
      <c r="B2571">
        <v>0.99542014353169495</v>
      </c>
      <c r="C2571">
        <v>0.94859806260394797</v>
      </c>
      <c r="D2571">
        <v>0.98197496343417601</v>
      </c>
      <c r="E2571">
        <v>0.69999042920356902</v>
      </c>
      <c r="F2571">
        <v>0.33814229655396399</v>
      </c>
      <c r="G2571">
        <v>0.15679692950778601</v>
      </c>
      <c r="H2571">
        <v>0.130909842410209</v>
      </c>
      <c r="I2571">
        <v>0.119820658134424</v>
      </c>
      <c r="J2571">
        <v>9.4733491185033297E-2</v>
      </c>
      <c r="K2571">
        <v>8.1606927651721894E-2</v>
      </c>
      <c r="L2571">
        <v>1166.49030386969</v>
      </c>
      <c r="M2571">
        <v>24.286135024530999</v>
      </c>
      <c r="N2571">
        <v>48.475260408904902</v>
      </c>
      <c r="O2571">
        <v>47.709020155825797</v>
      </c>
      <c r="P2571">
        <v>-0.11456938094171699</v>
      </c>
      <c r="Q2571">
        <v>9.9747996506414804E-2</v>
      </c>
      <c r="R2571">
        <v>0.99723452048191796</v>
      </c>
      <c r="S2571" t="s">
        <v>8973</v>
      </c>
      <c r="T2571" t="s">
        <v>12802</v>
      </c>
      <c r="U2571" t="s">
        <v>12802</v>
      </c>
      <c r="V2571" t="s">
        <v>12802</v>
      </c>
      <c r="W2571" t="s">
        <v>15327</v>
      </c>
      <c r="X2571">
        <v>5</v>
      </c>
      <c r="Y2571" t="s">
        <v>21595</v>
      </c>
      <c r="Z2571" t="s">
        <v>27889</v>
      </c>
      <c r="AA2571">
        <v>0.43890099184334591</v>
      </c>
      <c r="AB2571" t="str">
        <f>HYPERLINK("Melting_Curves/meltCurve_P42338_PIK3CB.pdf", "Melting_Curves/meltCurve_P42338_PIK3CB.pdf")</f>
        <v>Melting_Curves/meltCurve_P42338_PIK3CB.pdf</v>
      </c>
    </row>
    <row r="2572" spans="1:28" x14ac:dyDescent="0.25">
      <c r="A2572" t="s">
        <v>2576</v>
      </c>
      <c r="B2572">
        <v>0.99542014353169495</v>
      </c>
      <c r="C2572">
        <v>0.885372001990268</v>
      </c>
      <c r="D2572">
        <v>0.90962024497973204</v>
      </c>
      <c r="E2572">
        <v>0.56268281917994001</v>
      </c>
      <c r="F2572">
        <v>0.21173087552955799</v>
      </c>
      <c r="G2572">
        <v>0.128975139236436</v>
      </c>
      <c r="H2572">
        <v>8.5392733234475507E-2</v>
      </c>
      <c r="I2572">
        <v>5.5250675284764399E-2</v>
      </c>
      <c r="J2572">
        <v>5.4405208540730603E-2</v>
      </c>
      <c r="K2572">
        <v>4.6545614063192901E-2</v>
      </c>
      <c r="L2572">
        <v>1014.64894179284</v>
      </c>
      <c r="M2572">
        <v>21.6484458217077</v>
      </c>
      <c r="N2572">
        <v>47.119215255105303</v>
      </c>
      <c r="O2572">
        <v>46.474932858958397</v>
      </c>
      <c r="P2572">
        <v>-0.110140448358455</v>
      </c>
      <c r="Q2572">
        <v>5.4223447591813898E-2</v>
      </c>
      <c r="R2572">
        <v>0.99250748641747999</v>
      </c>
      <c r="S2572" t="s">
        <v>8974</v>
      </c>
      <c r="T2572" t="s">
        <v>12802</v>
      </c>
      <c r="U2572" t="s">
        <v>12802</v>
      </c>
      <c r="V2572" t="s">
        <v>12802</v>
      </c>
      <c r="W2572" t="s">
        <v>15328</v>
      </c>
      <c r="X2572">
        <v>28</v>
      </c>
      <c r="Y2572" t="s">
        <v>21596</v>
      </c>
      <c r="Z2572" t="s">
        <v>27890</v>
      </c>
      <c r="AA2572">
        <v>0.37594501469659092</v>
      </c>
      <c r="AB2572" t="str">
        <f>HYPERLINK("Melting_Curves/meltCurve_P42345_MTOR.pdf", "Melting_Curves/meltCurve_P42345_MTOR.pdf")</f>
        <v>Melting_Curves/meltCurve_P42345_MTOR.pdf</v>
      </c>
    </row>
    <row r="2573" spans="1:28" x14ac:dyDescent="0.25">
      <c r="A2573" t="s">
        <v>2577</v>
      </c>
      <c r="B2573">
        <v>0.99542014353169495</v>
      </c>
      <c r="C2573">
        <v>0.91950258663962803</v>
      </c>
      <c r="D2573">
        <v>0.94690468055924704</v>
      </c>
      <c r="E2573">
        <v>0.66214650359007099</v>
      </c>
      <c r="F2573">
        <v>0.22373448463020301</v>
      </c>
      <c r="G2573">
        <v>0.14310957444919301</v>
      </c>
      <c r="H2573">
        <v>7.9545470411676603E-2</v>
      </c>
      <c r="I2573">
        <v>6.0933617351838797E-2</v>
      </c>
      <c r="J2573">
        <v>6.3891628792611094E-2</v>
      </c>
      <c r="K2573">
        <v>7.50006699691807E-2</v>
      </c>
      <c r="L2573">
        <v>1281.0731856997199</v>
      </c>
      <c r="M2573">
        <v>26.982782888994699</v>
      </c>
      <c r="N2573">
        <v>47.750226429308697</v>
      </c>
      <c r="O2573">
        <v>47.2189561517852</v>
      </c>
      <c r="P2573">
        <v>-0.132656855723887</v>
      </c>
      <c r="Q2573">
        <v>7.1429249794233707E-2</v>
      </c>
      <c r="R2573">
        <v>0.99495750824263296</v>
      </c>
      <c r="S2573" t="s">
        <v>8975</v>
      </c>
      <c r="T2573" t="s">
        <v>12802</v>
      </c>
      <c r="U2573" t="s">
        <v>12802</v>
      </c>
      <c r="V2573" t="s">
        <v>12802</v>
      </c>
      <c r="W2573" t="s">
        <v>15329</v>
      </c>
      <c r="X2573">
        <v>17</v>
      </c>
      <c r="Y2573" t="s">
        <v>21597</v>
      </c>
      <c r="Z2573" t="s">
        <v>27891</v>
      </c>
      <c r="AA2573">
        <v>0.40247064005815769</v>
      </c>
      <c r="AB2573" t="str">
        <f>HYPERLINK("Melting_Curves/meltCurve_P42566_EPS15.pdf", "Melting_Curves/meltCurve_P42566_EPS15.pdf")</f>
        <v>Melting_Curves/meltCurve_P42566_EPS15.pdf</v>
      </c>
    </row>
    <row r="2574" spans="1:28" x14ac:dyDescent="0.25">
      <c r="A2574" t="s">
        <v>2578</v>
      </c>
      <c r="B2574">
        <v>0.99542014353169495</v>
      </c>
      <c r="C2574">
        <v>1.07291838022879</v>
      </c>
      <c r="D2574">
        <v>0.978933588473615</v>
      </c>
      <c r="E2574">
        <v>0.96415966516071205</v>
      </c>
      <c r="F2574">
        <v>0.76753654238366398</v>
      </c>
      <c r="G2574">
        <v>0.64428567721612395</v>
      </c>
      <c r="H2574">
        <v>0.490584609922391</v>
      </c>
      <c r="I2574">
        <v>0.48544621471182398</v>
      </c>
      <c r="J2574">
        <v>0.71093160780777898</v>
      </c>
      <c r="K2574">
        <v>0.832785924126343</v>
      </c>
      <c r="L2574">
        <v>2084.59754536741</v>
      </c>
      <c r="M2574">
        <v>42.113632353572598</v>
      </c>
      <c r="O2574">
        <v>49.3881323217024</v>
      </c>
      <c r="P2574">
        <v>-7.8735314371024698E-2</v>
      </c>
      <c r="Q2574">
        <v>0.63065797635393905</v>
      </c>
      <c r="R2574">
        <v>0.76454660687228504</v>
      </c>
      <c r="S2574" t="s">
        <v>8976</v>
      </c>
      <c r="T2574" t="s">
        <v>12802</v>
      </c>
      <c r="U2574" t="s">
        <v>12802</v>
      </c>
      <c r="V2574" t="s">
        <v>12802</v>
      </c>
      <c r="W2574" t="s">
        <v>15330</v>
      </c>
      <c r="X2574">
        <v>16</v>
      </c>
      <c r="Y2574" t="s">
        <v>21598</v>
      </c>
      <c r="Z2574" t="s">
        <v>27892</v>
      </c>
      <c r="AA2574">
        <v>0.78568143686246183</v>
      </c>
      <c r="AB2574" t="str">
        <f>HYPERLINK("Melting_Curves/meltCurve_P42574_CASP3.pdf", "Melting_Curves/meltCurve_P42574_CASP3.pdf")</f>
        <v>Melting_Curves/meltCurve_P42574_CASP3.pdf</v>
      </c>
    </row>
    <row r="2575" spans="1:28" x14ac:dyDescent="0.25">
      <c r="A2575" t="s">
        <v>2579</v>
      </c>
      <c r="B2575">
        <v>0.99542014353169495</v>
      </c>
      <c r="C2575">
        <v>0.995582072924316</v>
      </c>
      <c r="D2575">
        <v>0.86310932299283305</v>
      </c>
      <c r="E2575">
        <v>0.54979855294508095</v>
      </c>
      <c r="F2575">
        <v>0.31803298476797698</v>
      </c>
      <c r="G2575">
        <v>0.167359623973456</v>
      </c>
      <c r="H2575">
        <v>9.0220005937419606E-2</v>
      </c>
      <c r="I2575">
        <v>6.1004230858288301E-2</v>
      </c>
      <c r="J2575">
        <v>6.10032464193365E-2</v>
      </c>
      <c r="K2575">
        <v>6.0622856676576402E-2</v>
      </c>
      <c r="L2575">
        <v>820.65580296329995</v>
      </c>
      <c r="M2575">
        <v>17.3927375369251</v>
      </c>
      <c r="N2575">
        <v>47.494779385038299</v>
      </c>
      <c r="O2575">
        <v>46.573310984542999</v>
      </c>
      <c r="P2575">
        <v>-8.8342837128989701E-2</v>
      </c>
      <c r="Q2575">
        <v>5.3814862238474898E-2</v>
      </c>
      <c r="R2575">
        <v>0.99812353905258899</v>
      </c>
      <c r="S2575" t="s">
        <v>8977</v>
      </c>
      <c r="T2575" t="s">
        <v>12802</v>
      </c>
      <c r="U2575" t="s">
        <v>12802</v>
      </c>
      <c r="V2575" t="s">
        <v>12802</v>
      </c>
      <c r="W2575" t="s">
        <v>15331</v>
      </c>
      <c r="X2575">
        <v>11</v>
      </c>
      <c r="Y2575" t="s">
        <v>21599</v>
      </c>
      <c r="Z2575" t="s">
        <v>27893</v>
      </c>
      <c r="AA2575">
        <v>0.39119809577749659</v>
      </c>
      <c r="AB2575" t="str">
        <f>HYPERLINK("Melting_Curves/meltCurve_P42575_CASP2.pdf", "Melting_Curves/meltCurve_P42575_CASP2.pdf")</f>
        <v>Melting_Curves/meltCurve_P42575_CASP2.pdf</v>
      </c>
    </row>
    <row r="2576" spans="1:28" x14ac:dyDescent="0.25">
      <c r="A2576" t="s">
        <v>2580</v>
      </c>
      <c r="B2576">
        <v>0.99542014353169495</v>
      </c>
      <c r="C2576">
        <v>0.95703752060891001</v>
      </c>
      <c r="D2576">
        <v>0.983621553564197</v>
      </c>
      <c r="E2576">
        <v>0.63716674810701901</v>
      </c>
      <c r="F2576">
        <v>0.36926506049298402</v>
      </c>
      <c r="G2576">
        <v>0.21770008271660701</v>
      </c>
      <c r="H2576">
        <v>8.5811323329095801E-2</v>
      </c>
      <c r="I2576">
        <v>3.33653350237837E-2</v>
      </c>
      <c r="J2576">
        <v>3.8927598481636502E-2</v>
      </c>
      <c r="K2576">
        <v>4.7285255402003602E-2</v>
      </c>
      <c r="L2576">
        <v>858.87572350028597</v>
      </c>
      <c r="M2576">
        <v>17.720832285413799</v>
      </c>
      <c r="N2576">
        <v>48.652099191717902</v>
      </c>
      <c r="O2576">
        <v>47.862442174159099</v>
      </c>
      <c r="P2576">
        <v>-8.9548729903974403E-2</v>
      </c>
      <c r="Q2576">
        <v>3.2597116961506002E-2</v>
      </c>
      <c r="R2576">
        <v>0.99321433002312798</v>
      </c>
      <c r="S2576" t="s">
        <v>8978</v>
      </c>
      <c r="T2576" t="s">
        <v>12802</v>
      </c>
      <c r="U2576" t="s">
        <v>12802</v>
      </c>
      <c r="V2576" t="s">
        <v>12802</v>
      </c>
      <c r="W2576" t="s">
        <v>15332</v>
      </c>
      <c r="X2576">
        <v>6</v>
      </c>
      <c r="Y2576" t="s">
        <v>21600</v>
      </c>
      <c r="Z2576" t="s">
        <v>27894</v>
      </c>
      <c r="AA2576">
        <v>0.41823602541879701</v>
      </c>
      <c r="AB2576" t="str">
        <f>HYPERLINK("Melting_Curves/meltCurve_P42677_RPS27.pdf", "Melting_Curves/meltCurve_P42677_RPS27.pdf")</f>
        <v>Melting_Curves/meltCurve_P42677_RPS27.pdf</v>
      </c>
    </row>
    <row r="2577" spans="1:28" x14ac:dyDescent="0.25">
      <c r="A2577" t="s">
        <v>2581</v>
      </c>
      <c r="B2577">
        <v>0.99542014353169495</v>
      </c>
      <c r="C2577">
        <v>1.0052258031751899</v>
      </c>
      <c r="D2577">
        <v>0.759530193578136</v>
      </c>
      <c r="E2577">
        <v>0.52690088544001901</v>
      </c>
      <c r="F2577">
        <v>0.46581945189319002</v>
      </c>
      <c r="G2577">
        <v>0.34090471404794698</v>
      </c>
      <c r="H2577">
        <v>0.17747533996024101</v>
      </c>
      <c r="I2577">
        <v>0.14137230006478901</v>
      </c>
      <c r="J2577">
        <v>0.135407952386116</v>
      </c>
      <c r="K2577">
        <v>0.16634255264063899</v>
      </c>
      <c r="L2577">
        <v>566.72838125408703</v>
      </c>
      <c r="M2577">
        <v>11.9722368088867</v>
      </c>
      <c r="N2577">
        <v>48.392957166215602</v>
      </c>
      <c r="O2577">
        <v>46.0741928138414</v>
      </c>
      <c r="P2577">
        <v>-5.7507525645878001E-2</v>
      </c>
      <c r="Q2577">
        <v>0.114962883298458</v>
      </c>
      <c r="R2577">
        <v>0.97687695013297404</v>
      </c>
      <c r="S2577" t="s">
        <v>8979</v>
      </c>
      <c r="T2577" t="s">
        <v>12802</v>
      </c>
      <c r="U2577" t="s">
        <v>12802</v>
      </c>
      <c r="V2577" t="s">
        <v>12802</v>
      </c>
      <c r="W2577" t="s">
        <v>15333</v>
      </c>
      <c r="X2577">
        <v>5</v>
      </c>
      <c r="Y2577" t="s">
        <v>21601</v>
      </c>
      <c r="Z2577" t="s">
        <v>27895</v>
      </c>
      <c r="AA2577">
        <v>0.4486328537356567</v>
      </c>
      <c r="AB2577" t="str">
        <f>HYPERLINK("Melting_Curves/meltCurve_P42680_TEC.pdf", "Melting_Curves/meltCurve_P42680_TEC.pdf")</f>
        <v>Melting_Curves/meltCurve_P42680_TEC.pdf</v>
      </c>
    </row>
    <row r="2578" spans="1:28" x14ac:dyDescent="0.25">
      <c r="A2578" t="s">
        <v>2582</v>
      </c>
      <c r="B2578">
        <v>0.99542014353169495</v>
      </c>
      <c r="C2578">
        <v>1.06646902394731</v>
      </c>
      <c r="D2578">
        <v>0.93907647054371701</v>
      </c>
      <c r="E2578">
        <v>0.45922803583850302</v>
      </c>
      <c r="F2578">
        <v>0.17652194046202899</v>
      </c>
      <c r="G2578">
        <v>0.104170370066149</v>
      </c>
      <c r="H2578">
        <v>9.2491446932004007E-2</v>
      </c>
      <c r="I2578">
        <v>6.4041247028730194E-2</v>
      </c>
      <c r="J2578">
        <v>4.91402748934784E-2</v>
      </c>
      <c r="K2578">
        <v>8.8273937756820797E-2</v>
      </c>
      <c r="L2578">
        <v>1505.06155241642</v>
      </c>
      <c r="M2578">
        <v>32.590001812548699</v>
      </c>
      <c r="N2578">
        <v>46.436542263251297</v>
      </c>
      <c r="O2578">
        <v>46.008857116238303</v>
      </c>
      <c r="P2578">
        <v>-0.16258494809088</v>
      </c>
      <c r="Q2578">
        <v>8.1888695370659903E-2</v>
      </c>
      <c r="R2578">
        <v>0.99497273047841694</v>
      </c>
      <c r="S2578" t="s">
        <v>8980</v>
      </c>
      <c r="T2578" t="s">
        <v>12802</v>
      </c>
      <c r="U2578" t="s">
        <v>12802</v>
      </c>
      <c r="V2578" t="s">
        <v>12802</v>
      </c>
      <c r="W2578" t="s">
        <v>15334</v>
      </c>
      <c r="X2578">
        <v>6</v>
      </c>
      <c r="Y2578" t="s">
        <v>21602</v>
      </c>
      <c r="Z2578" t="s">
        <v>27896</v>
      </c>
      <c r="AA2578">
        <v>0.36732328971273071</v>
      </c>
      <c r="AB2578" t="str">
        <f>HYPERLINK("Melting_Curves/meltCurve_P42684_6_ABL2.pdf", "Melting_Curves/meltCurve_P42684_6_ABL2.pdf")</f>
        <v>Melting_Curves/meltCurve_P42684_6_ABL2.pdf</v>
      </c>
    </row>
    <row r="2579" spans="1:28" x14ac:dyDescent="0.25">
      <c r="A2579" t="s">
        <v>2583</v>
      </c>
      <c r="B2579">
        <v>0.99542014353169495</v>
      </c>
      <c r="C2579">
        <v>0.79515203332061402</v>
      </c>
      <c r="D2579">
        <v>0.75837573872344999</v>
      </c>
      <c r="E2579">
        <v>0.46849609417278798</v>
      </c>
      <c r="F2579">
        <v>0.12844250942187499</v>
      </c>
      <c r="G2579">
        <v>7.6074030916868998E-2</v>
      </c>
      <c r="H2579">
        <v>3.1834950879978098E-2</v>
      </c>
      <c r="I2579">
        <v>1.8146062393857101E-2</v>
      </c>
      <c r="J2579">
        <v>0</v>
      </c>
      <c r="K2579">
        <v>3.1948557515695503E-2</v>
      </c>
      <c r="L2579">
        <v>714.79860058414704</v>
      </c>
      <c r="M2579">
        <v>15.671376374656299</v>
      </c>
      <c r="N2579">
        <v>45.611730563493602</v>
      </c>
      <c r="O2579">
        <v>44.888400318067902</v>
      </c>
      <c r="P2579">
        <v>-8.7287081750037895E-2</v>
      </c>
      <c r="Q2579">
        <v>0</v>
      </c>
      <c r="R2579">
        <v>0.98427446364208004</v>
      </c>
      <c r="S2579" t="s">
        <v>8981</v>
      </c>
      <c r="T2579" t="s">
        <v>12802</v>
      </c>
      <c r="U2579" t="s">
        <v>12802</v>
      </c>
      <c r="V2579" t="s">
        <v>12802</v>
      </c>
      <c r="W2579" t="s">
        <v>15335</v>
      </c>
      <c r="X2579">
        <v>4</v>
      </c>
      <c r="Y2579" t="s">
        <v>21603</v>
      </c>
      <c r="Z2579" t="s">
        <v>27897</v>
      </c>
      <c r="AA2579">
        <v>0.30846638803250948</v>
      </c>
      <c r="AB2579" t="str">
        <f>HYPERLINK("Melting_Curves/meltCurve_P42695_NCAPD3.pdf", "Melting_Curves/meltCurve_P42695_NCAPD3.pdf")</f>
        <v>Melting_Curves/meltCurve_P42695_NCAPD3.pdf</v>
      </c>
    </row>
    <row r="2580" spans="1:28" x14ac:dyDescent="0.25">
      <c r="A2580" t="s">
        <v>2584</v>
      </c>
      <c r="B2580">
        <v>0.99542014353169495</v>
      </c>
      <c r="C2580">
        <v>0.90127753072830896</v>
      </c>
      <c r="D2580">
        <v>0.83985060415784996</v>
      </c>
      <c r="E2580">
        <v>0.25118697056492301</v>
      </c>
      <c r="F2580">
        <v>0.114640645014583</v>
      </c>
      <c r="G2580">
        <v>7.06417294277977E-2</v>
      </c>
      <c r="H2580">
        <v>4.5125402290849999E-2</v>
      </c>
      <c r="I2580">
        <v>3.09068108161757E-2</v>
      </c>
      <c r="J2580">
        <v>3.6729518649716401E-2</v>
      </c>
      <c r="K2580">
        <v>3.2051735919107198E-2</v>
      </c>
      <c r="L2580">
        <v>1442.0152463130801</v>
      </c>
      <c r="M2580">
        <v>32.114820777032598</v>
      </c>
      <c r="N2580">
        <v>45.038885389698201</v>
      </c>
      <c r="O2580">
        <v>44.728816048274197</v>
      </c>
      <c r="P2580">
        <v>-0.17114499114474799</v>
      </c>
      <c r="Q2580">
        <v>4.6536450916699897E-2</v>
      </c>
      <c r="R2580">
        <v>0.99321533081184898</v>
      </c>
      <c r="S2580" t="s">
        <v>8982</v>
      </c>
      <c r="T2580" t="s">
        <v>12802</v>
      </c>
      <c r="U2580" t="s">
        <v>12802</v>
      </c>
      <c r="V2580" t="s">
        <v>12802</v>
      </c>
      <c r="W2580" t="s">
        <v>15336</v>
      </c>
      <c r="X2580">
        <v>81</v>
      </c>
      <c r="Y2580" t="s">
        <v>21604</v>
      </c>
      <c r="Z2580" t="s">
        <v>27898</v>
      </c>
      <c r="AA2580">
        <v>0.3023168434563504</v>
      </c>
      <c r="AB2580" t="str">
        <f>HYPERLINK("Melting_Curves/meltCurve_P42704_LRPPRC.pdf", "Melting_Curves/meltCurve_P42704_LRPPRC.pdf")</f>
        <v>Melting_Curves/meltCurve_P42704_LRPPRC.pdf</v>
      </c>
    </row>
    <row r="2581" spans="1:28" x14ac:dyDescent="0.25">
      <c r="A2581" t="s">
        <v>2585</v>
      </c>
      <c r="B2581">
        <v>0.99542014353169495</v>
      </c>
      <c r="C2581">
        <v>0.92892650724010295</v>
      </c>
      <c r="D2581">
        <v>0.90177060895963101</v>
      </c>
      <c r="E2581">
        <v>0.80223628205589004</v>
      </c>
      <c r="F2581">
        <v>0.66203035084582795</v>
      </c>
      <c r="G2581">
        <v>0.52177934300740403</v>
      </c>
      <c r="H2581">
        <v>0.34296236933685598</v>
      </c>
      <c r="I2581">
        <v>0.33418928152588101</v>
      </c>
      <c r="J2581">
        <v>0.52901758973127999</v>
      </c>
      <c r="K2581">
        <v>0.48218076971577301</v>
      </c>
      <c r="L2581">
        <v>790.13415785410905</v>
      </c>
      <c r="M2581">
        <v>16.336399533609999</v>
      </c>
      <c r="N2581">
        <v>54.190004265052401</v>
      </c>
      <c r="O2581">
        <v>47.6591476602417</v>
      </c>
      <c r="P2581">
        <v>-5.0254769654248001E-2</v>
      </c>
      <c r="Q2581">
        <v>0.413597329707933</v>
      </c>
      <c r="R2581">
        <v>0.92012441301908998</v>
      </c>
      <c r="S2581" t="s">
        <v>8983</v>
      </c>
      <c r="T2581" t="s">
        <v>12802</v>
      </c>
      <c r="U2581" t="s">
        <v>12802</v>
      </c>
      <c r="V2581" t="s">
        <v>12802</v>
      </c>
      <c r="W2581" t="s">
        <v>15337</v>
      </c>
      <c r="X2581">
        <v>11</v>
      </c>
      <c r="Y2581" t="s">
        <v>21605</v>
      </c>
      <c r="Z2581" t="s">
        <v>27899</v>
      </c>
      <c r="AA2581">
        <v>0.64687246688485023</v>
      </c>
      <c r="AB2581" t="str">
        <f>HYPERLINK("Melting_Curves/meltCurve_P42765_ACAA2.pdf", "Melting_Curves/meltCurve_P42765_ACAA2.pdf")</f>
        <v>Melting_Curves/meltCurve_P42765_ACAA2.pdf</v>
      </c>
    </row>
    <row r="2582" spans="1:28" x14ac:dyDescent="0.25">
      <c r="A2582" t="s">
        <v>2586</v>
      </c>
      <c r="B2582">
        <v>0.99542014353169495</v>
      </c>
      <c r="C2582">
        <v>1.04286470610589</v>
      </c>
      <c r="D2582">
        <v>1.06213852985847</v>
      </c>
      <c r="E2582">
        <v>0.840649130582938</v>
      </c>
      <c r="F2582">
        <v>0.60694433666861403</v>
      </c>
      <c r="G2582">
        <v>0.28665726432768301</v>
      </c>
      <c r="H2582">
        <v>0.112488801541199</v>
      </c>
      <c r="I2582">
        <v>3.9079535727034799E-2</v>
      </c>
      <c r="J2582">
        <v>2.7626344146372599E-2</v>
      </c>
      <c r="K2582">
        <v>4.0144578327089502E-2</v>
      </c>
      <c r="L2582">
        <v>1037.6719255532901</v>
      </c>
      <c r="M2582">
        <v>20.293852916379201</v>
      </c>
      <c r="N2582">
        <v>51.220151724972801</v>
      </c>
      <c r="O2582">
        <v>50.643597661018497</v>
      </c>
      <c r="P2582">
        <v>-9.8469794071865194E-2</v>
      </c>
      <c r="Q2582">
        <v>1.7099154906023699E-2</v>
      </c>
      <c r="R2582">
        <v>0.993923954650893</v>
      </c>
      <c r="S2582" t="s">
        <v>8984</v>
      </c>
      <c r="T2582" t="s">
        <v>12802</v>
      </c>
      <c r="U2582" t="s">
        <v>12802</v>
      </c>
      <c r="V2582" t="s">
        <v>12802</v>
      </c>
      <c r="W2582" t="s">
        <v>15338</v>
      </c>
      <c r="X2582">
        <v>4</v>
      </c>
      <c r="Y2582" t="s">
        <v>21606</v>
      </c>
      <c r="Z2582" t="s">
        <v>27900</v>
      </c>
      <c r="AA2582">
        <v>0.49266609332129307</v>
      </c>
      <c r="AB2582" t="str">
        <f>HYPERLINK("Melting_Curves/meltCurve_P42766_RPL35.pdf", "Melting_Curves/meltCurve_P42766_RPL35.pdf")</f>
        <v>Melting_Curves/meltCurve_P42766_RPL35.pdf</v>
      </c>
    </row>
    <row r="2583" spans="1:28" x14ac:dyDescent="0.25">
      <c r="A2583" t="s">
        <v>2587</v>
      </c>
      <c r="B2583">
        <v>0.99542014353169495</v>
      </c>
      <c r="C2583">
        <v>1.0002920132739199</v>
      </c>
      <c r="D2583">
        <v>0.87969604107197796</v>
      </c>
      <c r="E2583">
        <v>0.81021052626355095</v>
      </c>
      <c r="F2583">
        <v>0.67024281305639699</v>
      </c>
      <c r="G2583">
        <v>0.51887410146636004</v>
      </c>
      <c r="H2583">
        <v>0.30584427541366699</v>
      </c>
      <c r="I2583">
        <v>0.17241722388358999</v>
      </c>
      <c r="J2583">
        <v>0.19466796285538801</v>
      </c>
      <c r="K2583">
        <v>0.182507609246466</v>
      </c>
      <c r="L2583">
        <v>591.23603535797702</v>
      </c>
      <c r="M2583">
        <v>11.2569215924849</v>
      </c>
      <c r="N2583">
        <v>53.276087400272999</v>
      </c>
      <c r="O2583">
        <v>50.946343519903003</v>
      </c>
      <c r="P2583">
        <v>-5.1186850864925602E-2</v>
      </c>
      <c r="Q2583">
        <v>7.3644343776440302E-2</v>
      </c>
      <c r="R2583">
        <v>0.98938873409807504</v>
      </c>
      <c r="S2583" t="s">
        <v>8985</v>
      </c>
      <c r="T2583" t="s">
        <v>12802</v>
      </c>
      <c r="U2583" t="s">
        <v>12802</v>
      </c>
      <c r="V2583" t="s">
        <v>12802</v>
      </c>
      <c r="W2583" t="s">
        <v>15339</v>
      </c>
      <c r="X2583">
        <v>4</v>
      </c>
      <c r="Y2583" t="s">
        <v>21607</v>
      </c>
      <c r="Z2583" t="s">
        <v>27901</v>
      </c>
      <c r="AA2583">
        <v>0.57451143177865238</v>
      </c>
      <c r="AB2583" t="str">
        <f>HYPERLINK("Melting_Curves/meltCurve_P42773_CDKN2C.pdf", "Melting_Curves/meltCurve_P42773_CDKN2C.pdf")</f>
        <v>Melting_Curves/meltCurve_P42773_CDKN2C.pdf</v>
      </c>
    </row>
    <row r="2584" spans="1:28" x14ac:dyDescent="0.25">
      <c r="A2584" t="s">
        <v>2588</v>
      </c>
      <c r="B2584">
        <v>0.99542014353169495</v>
      </c>
      <c r="C2584">
        <v>0.93175237131852595</v>
      </c>
      <c r="D2584">
        <v>0.86382490732510697</v>
      </c>
      <c r="E2584">
        <v>0.74742473403602705</v>
      </c>
      <c r="F2584">
        <v>0.653898746007047</v>
      </c>
      <c r="G2584">
        <v>0.52575850267121405</v>
      </c>
      <c r="H2584">
        <v>0.39878510360726899</v>
      </c>
      <c r="I2584">
        <v>0.34582665577809002</v>
      </c>
      <c r="J2584">
        <v>0.167570321086044</v>
      </c>
      <c r="K2584">
        <v>0.111459778560749</v>
      </c>
      <c r="L2584">
        <v>434.00701052698798</v>
      </c>
      <c r="M2584">
        <v>8.0506204115947408</v>
      </c>
      <c r="N2584">
        <v>53.9097456807961</v>
      </c>
      <c r="O2584">
        <v>50.888866986984397</v>
      </c>
      <c r="P2584">
        <v>-3.9593704223269403E-2</v>
      </c>
      <c r="Q2584">
        <v>0</v>
      </c>
      <c r="R2584">
        <v>0.98517623904908302</v>
      </c>
      <c r="S2584" t="s">
        <v>8986</v>
      </c>
      <c r="T2584" t="s">
        <v>12802</v>
      </c>
      <c r="U2584" t="s">
        <v>12802</v>
      </c>
      <c r="V2584" t="s">
        <v>12802</v>
      </c>
      <c r="W2584" t="s">
        <v>15340</v>
      </c>
      <c r="X2584">
        <v>8</v>
      </c>
      <c r="Y2584" t="s">
        <v>21608</v>
      </c>
      <c r="Z2584" t="s">
        <v>27902</v>
      </c>
      <c r="AA2584">
        <v>0.57905361065589334</v>
      </c>
      <c r="AB2584" t="str">
        <f>HYPERLINK("Melting_Curves/meltCurve_P42785_PRCP.pdf", "Melting_Curves/meltCurve_P42785_PRCP.pdf")</f>
        <v>Melting_Curves/meltCurve_P42785_PRCP.pdf</v>
      </c>
    </row>
    <row r="2585" spans="1:28" x14ac:dyDescent="0.25">
      <c r="A2585" t="s">
        <v>2589</v>
      </c>
      <c r="B2585">
        <v>0.99542014353169495</v>
      </c>
      <c r="C2585">
        <v>1.02089589016336</v>
      </c>
      <c r="D2585">
        <v>0.88664808212630397</v>
      </c>
      <c r="E2585">
        <v>0.77698629999554503</v>
      </c>
      <c r="F2585">
        <v>0.65416172877657996</v>
      </c>
      <c r="G2585">
        <v>0.53408562030455797</v>
      </c>
      <c r="H2585">
        <v>0.45902705958003898</v>
      </c>
      <c r="I2585">
        <v>0.3729538324467</v>
      </c>
      <c r="J2585">
        <v>0.43394118951990601</v>
      </c>
      <c r="K2585">
        <v>0.42622481683532198</v>
      </c>
      <c r="L2585">
        <v>661.24102306802104</v>
      </c>
      <c r="M2585">
        <v>13.5579210127768</v>
      </c>
      <c r="N2585">
        <v>54.912779473944802</v>
      </c>
      <c r="O2585">
        <v>47.747208768876497</v>
      </c>
      <c r="P2585">
        <v>-4.3292548886777499E-2</v>
      </c>
      <c r="Q2585">
        <v>0.39023439646468999</v>
      </c>
      <c r="R2585">
        <v>0.98608018412391696</v>
      </c>
      <c r="S2585" t="s">
        <v>8987</v>
      </c>
      <c r="T2585" t="s">
        <v>12802</v>
      </c>
      <c r="U2585" t="s">
        <v>12802</v>
      </c>
      <c r="V2585" t="s">
        <v>12802</v>
      </c>
      <c r="W2585" t="s">
        <v>15341</v>
      </c>
      <c r="X2585">
        <v>2</v>
      </c>
      <c r="Y2585" t="s">
        <v>21609</v>
      </c>
      <c r="Z2585" t="s">
        <v>27903</v>
      </c>
      <c r="AA2585">
        <v>0.64491802222006411</v>
      </c>
      <c r="AB2585" t="str">
        <f>HYPERLINK("Melting_Curves/meltCurve_P43007_SLC1A4.pdf", "Melting_Curves/meltCurve_P43007_SLC1A4.pdf")</f>
        <v>Melting_Curves/meltCurve_P43007_SLC1A4.pdf</v>
      </c>
    </row>
    <row r="2586" spans="1:28" x14ac:dyDescent="0.25">
      <c r="A2586" t="s">
        <v>2590</v>
      </c>
      <c r="B2586">
        <v>0.99542014353169495</v>
      </c>
      <c r="C2586">
        <v>0.93574784630561703</v>
      </c>
      <c r="D2586">
        <v>1.00747822795032</v>
      </c>
      <c r="E2586">
        <v>0.97857358385531101</v>
      </c>
      <c r="F2586">
        <v>0.77792251512041499</v>
      </c>
      <c r="G2586">
        <v>0.51178951870725298</v>
      </c>
      <c r="H2586">
        <v>0.46804916024465698</v>
      </c>
      <c r="I2586">
        <v>0.39475605868858699</v>
      </c>
      <c r="J2586">
        <v>0.363593480183871</v>
      </c>
      <c r="K2586">
        <v>0.239327656088656</v>
      </c>
      <c r="L2586">
        <v>968.57250163529704</v>
      </c>
      <c r="M2586">
        <v>18.538069459754599</v>
      </c>
      <c r="N2586">
        <v>55.117201545206903</v>
      </c>
      <c r="O2586">
        <v>51.651161142059401</v>
      </c>
      <c r="P2586">
        <v>-6.1956814768891699E-2</v>
      </c>
      <c r="Q2586">
        <v>0.30952878256647898</v>
      </c>
      <c r="R2586">
        <v>0.97466388997695597</v>
      </c>
      <c r="S2586" t="s">
        <v>8988</v>
      </c>
      <c r="T2586" t="s">
        <v>12802</v>
      </c>
      <c r="U2586" t="s">
        <v>12802</v>
      </c>
      <c r="V2586" t="s">
        <v>12802</v>
      </c>
      <c r="W2586" t="s">
        <v>15342</v>
      </c>
      <c r="X2586">
        <v>21</v>
      </c>
      <c r="Y2586" t="s">
        <v>21610</v>
      </c>
      <c r="Z2586" t="s">
        <v>27904</v>
      </c>
      <c r="AA2586">
        <v>0.67039919649421664</v>
      </c>
      <c r="AB2586" t="str">
        <f>HYPERLINK("Melting_Curves/meltCurve_P43034_PAFAH1B1.pdf", "Melting_Curves/meltCurve_P43034_PAFAH1B1.pdf")</f>
        <v>Melting_Curves/meltCurve_P43034_PAFAH1B1.pdf</v>
      </c>
    </row>
    <row r="2587" spans="1:28" x14ac:dyDescent="0.25">
      <c r="A2587" t="s">
        <v>2591</v>
      </c>
      <c r="B2587">
        <v>0.99542014353169495</v>
      </c>
      <c r="C2587">
        <v>1.0119909145336501</v>
      </c>
      <c r="D2587">
        <v>1.02393651323357</v>
      </c>
      <c r="E2587">
        <v>0.94436412926399205</v>
      </c>
      <c r="F2587">
        <v>0.78007510637754796</v>
      </c>
      <c r="G2587">
        <v>0.56903876107676699</v>
      </c>
      <c r="H2587">
        <v>0.41399708213939501</v>
      </c>
      <c r="I2587">
        <v>0.35060122877150601</v>
      </c>
      <c r="J2587">
        <v>0.46567721361292602</v>
      </c>
      <c r="K2587">
        <v>0.521114560884818</v>
      </c>
      <c r="L2587">
        <v>1438.9787919590501</v>
      </c>
      <c r="M2587">
        <v>28.198543780930201</v>
      </c>
      <c r="N2587">
        <v>55.0245090252292</v>
      </c>
      <c r="O2587">
        <v>50.775680028285599</v>
      </c>
      <c r="P2587">
        <v>-7.8384101001934797E-2</v>
      </c>
      <c r="Q2587">
        <v>0.43543570546503702</v>
      </c>
      <c r="R2587">
        <v>0.96950901851242</v>
      </c>
      <c r="S2587" t="s">
        <v>8989</v>
      </c>
      <c r="T2587" t="s">
        <v>12802</v>
      </c>
      <c r="U2587" t="s">
        <v>12802</v>
      </c>
      <c r="V2587" t="s">
        <v>12802</v>
      </c>
      <c r="W2587" t="s">
        <v>15343</v>
      </c>
      <c r="X2587">
        <v>16</v>
      </c>
      <c r="Y2587" t="s">
        <v>21611</v>
      </c>
      <c r="Z2587" t="s">
        <v>27905</v>
      </c>
      <c r="AA2587">
        <v>0.70343551463197995</v>
      </c>
      <c r="AB2587" t="str">
        <f>HYPERLINK("Melting_Curves/meltCurve_P43121_MCAM.pdf", "Melting_Curves/meltCurve_P43121_MCAM.pdf")</f>
        <v>Melting_Curves/meltCurve_P43121_MCAM.pdf</v>
      </c>
    </row>
    <row r="2588" spans="1:28" x14ac:dyDescent="0.25">
      <c r="A2588" t="s">
        <v>2592</v>
      </c>
      <c r="B2588">
        <v>0.99542014353169495</v>
      </c>
      <c r="C2588">
        <v>0.92920121412705803</v>
      </c>
      <c r="D2588">
        <v>0.93039088518048496</v>
      </c>
      <c r="E2588">
        <v>0.67105301841259701</v>
      </c>
      <c r="F2588">
        <v>0.34993029091601402</v>
      </c>
      <c r="G2588">
        <v>0.10997069004596299</v>
      </c>
      <c r="H2588">
        <v>7.0400945176994995E-2</v>
      </c>
      <c r="I2588">
        <v>4.9235068186929798E-2</v>
      </c>
      <c r="J2588">
        <v>5.7409625684957701E-2</v>
      </c>
      <c r="K2588">
        <v>5.8912081589350698E-2</v>
      </c>
      <c r="L2588">
        <v>984.17873784249798</v>
      </c>
      <c r="M2588">
        <v>20.449393555364999</v>
      </c>
      <c r="N2588">
        <v>48.331587209266502</v>
      </c>
      <c r="O2588">
        <v>47.674367975479299</v>
      </c>
      <c r="P2588">
        <v>-0.102802825655541</v>
      </c>
      <c r="Q2588">
        <v>4.1357438280540199E-2</v>
      </c>
      <c r="R2588">
        <v>0.99671658081820003</v>
      </c>
      <c r="S2588" t="s">
        <v>8990</v>
      </c>
      <c r="T2588" t="s">
        <v>12802</v>
      </c>
      <c r="U2588" t="s">
        <v>12802</v>
      </c>
      <c r="V2588" t="s">
        <v>12802</v>
      </c>
      <c r="W2588" t="s">
        <v>15344</v>
      </c>
      <c r="X2588">
        <v>48</v>
      </c>
      <c r="Y2588" t="s">
        <v>21612</v>
      </c>
      <c r="Z2588" t="s">
        <v>27906</v>
      </c>
      <c r="AA2588">
        <v>0.40901762655008389</v>
      </c>
      <c r="AB2588" t="str">
        <f>HYPERLINK("Melting_Curves/meltCurve_P43246_MSH2.pdf", "Melting_Curves/meltCurve_P43246_MSH2.pdf")</f>
        <v>Melting_Curves/meltCurve_P43246_MSH2.pdf</v>
      </c>
    </row>
    <row r="2589" spans="1:28" x14ac:dyDescent="0.25">
      <c r="A2589" t="s">
        <v>2593</v>
      </c>
      <c r="B2589">
        <v>0.99542014353169495</v>
      </c>
      <c r="C2589">
        <v>1.0206648522320001</v>
      </c>
      <c r="D2589">
        <v>0.90125844126202304</v>
      </c>
      <c r="E2589">
        <v>0.52484083735672005</v>
      </c>
      <c r="F2589">
        <v>0.186079166487155</v>
      </c>
      <c r="G2589">
        <v>9.4844021625609704E-2</v>
      </c>
      <c r="H2589">
        <v>5.6066878058296403E-2</v>
      </c>
      <c r="I2589">
        <v>4.3773741615988897E-2</v>
      </c>
      <c r="J2589">
        <v>4.0277058497066601E-2</v>
      </c>
      <c r="K2589">
        <v>3.8634167981780099E-2</v>
      </c>
      <c r="L2589">
        <v>1173.46772069242</v>
      </c>
      <c r="M2589">
        <v>25.149009252921601</v>
      </c>
      <c r="N2589">
        <v>46.8381051501201</v>
      </c>
      <c r="O2589">
        <v>46.368580580374498</v>
      </c>
      <c r="P2589">
        <v>-0.12943128482216301</v>
      </c>
      <c r="Q2589">
        <v>4.54551154785484E-2</v>
      </c>
      <c r="R2589">
        <v>0.99903467240658705</v>
      </c>
      <c r="S2589" t="s">
        <v>8991</v>
      </c>
      <c r="T2589" t="s">
        <v>12802</v>
      </c>
      <c r="U2589" t="s">
        <v>12802</v>
      </c>
      <c r="V2589" t="s">
        <v>12802</v>
      </c>
      <c r="W2589" t="s">
        <v>15345</v>
      </c>
      <c r="X2589">
        <v>16</v>
      </c>
      <c r="Y2589" t="s">
        <v>21613</v>
      </c>
      <c r="Z2589" t="s">
        <v>27907</v>
      </c>
      <c r="AA2589">
        <v>0.36072007148636798</v>
      </c>
      <c r="AB2589" t="str">
        <f>HYPERLINK("Melting_Curves/meltCurve_P43250_2_GRK6.pdf", "Melting_Curves/meltCurve_P43250_2_GRK6.pdf")</f>
        <v>Melting_Curves/meltCurve_P43250_2_GRK6.pdf</v>
      </c>
    </row>
    <row r="2590" spans="1:28" x14ac:dyDescent="0.25">
      <c r="A2590" t="s">
        <v>2594</v>
      </c>
      <c r="B2590">
        <v>0.99542014353169495</v>
      </c>
      <c r="C2590">
        <v>0.96353742498102601</v>
      </c>
      <c r="D2590">
        <v>0.95232570062848698</v>
      </c>
      <c r="E2590">
        <v>0.84464618820223503</v>
      </c>
      <c r="F2590">
        <v>0.73512334111060396</v>
      </c>
      <c r="G2590">
        <v>0.53752766336207003</v>
      </c>
      <c r="H2590">
        <v>0.397049269044008</v>
      </c>
      <c r="I2590">
        <v>0.30182780764594402</v>
      </c>
      <c r="J2590">
        <v>0.24960992349894701</v>
      </c>
      <c r="K2590">
        <v>0.17033670129669501</v>
      </c>
      <c r="L2590">
        <v>565.04096954068098</v>
      </c>
      <c r="M2590">
        <v>10.4486826198233</v>
      </c>
      <c r="N2590">
        <v>54.984713031742601</v>
      </c>
      <c r="O2590">
        <v>52.209477364858898</v>
      </c>
      <c r="P2590">
        <v>-4.6090949485454502E-2</v>
      </c>
      <c r="Q2590">
        <v>7.91584931899358E-2</v>
      </c>
      <c r="R2590">
        <v>0.99804304307205505</v>
      </c>
      <c r="S2590" t="s">
        <v>8992</v>
      </c>
      <c r="T2590" t="s">
        <v>12802</v>
      </c>
      <c r="U2590" t="s">
        <v>12802</v>
      </c>
      <c r="V2590" t="s">
        <v>12802</v>
      </c>
      <c r="W2590" t="s">
        <v>15346</v>
      </c>
      <c r="X2590">
        <v>33</v>
      </c>
      <c r="Y2590" t="s">
        <v>21614</v>
      </c>
      <c r="Z2590" t="s">
        <v>27908</v>
      </c>
      <c r="AA2590">
        <v>0.61944206385981815</v>
      </c>
      <c r="AB2590" t="str">
        <f>HYPERLINK("Melting_Curves/meltCurve_P43304_GPD2.pdf", "Melting_Curves/meltCurve_P43304_GPD2.pdf")</f>
        <v>Melting_Curves/meltCurve_P43304_GPD2.pdf</v>
      </c>
    </row>
    <row r="2591" spans="1:28" x14ac:dyDescent="0.25">
      <c r="A2591" t="s">
        <v>2595</v>
      </c>
      <c r="B2591">
        <v>0.99542014353169495</v>
      </c>
      <c r="C2591">
        <v>0.92848920966802795</v>
      </c>
      <c r="D2591">
        <v>0.85456296616634098</v>
      </c>
      <c r="E2591">
        <v>0.75041971188605205</v>
      </c>
      <c r="F2591">
        <v>0.69928612799137801</v>
      </c>
      <c r="G2591">
        <v>0.485946871222385</v>
      </c>
      <c r="H2591">
        <v>0.31820804656866503</v>
      </c>
      <c r="I2591">
        <v>0.210733919930329</v>
      </c>
      <c r="J2591">
        <v>0.18527692151269101</v>
      </c>
      <c r="K2591">
        <v>0.260683523455435</v>
      </c>
      <c r="L2591">
        <v>500.81902267820902</v>
      </c>
      <c r="M2591">
        <v>9.6319971044263895</v>
      </c>
      <c r="N2591">
        <v>53.089794486125598</v>
      </c>
      <c r="O2591">
        <v>49.902406865936399</v>
      </c>
      <c r="P2591">
        <v>-4.39336972194561E-2</v>
      </c>
      <c r="Q2591">
        <v>9.0046418588403704E-2</v>
      </c>
      <c r="R2591">
        <v>0.97726068180688996</v>
      </c>
      <c r="S2591" t="s">
        <v>8993</v>
      </c>
      <c r="T2591" t="s">
        <v>12802</v>
      </c>
      <c r="U2591" t="s">
        <v>12802</v>
      </c>
      <c r="V2591" t="s">
        <v>12802</v>
      </c>
      <c r="W2591" t="s">
        <v>15347</v>
      </c>
      <c r="X2591">
        <v>3</v>
      </c>
      <c r="Y2591" t="s">
        <v>21615</v>
      </c>
      <c r="Z2591" t="s">
        <v>27909</v>
      </c>
      <c r="AA2591">
        <v>0.56957610772123879</v>
      </c>
      <c r="AB2591" t="str">
        <f>HYPERLINK("Melting_Curves/meltCurve_P43307_SSR1.pdf", "Melting_Curves/meltCurve_P43307_SSR1.pdf")</f>
        <v>Melting_Curves/meltCurve_P43307_SSR1.pdf</v>
      </c>
    </row>
    <row r="2592" spans="1:28" x14ac:dyDescent="0.25">
      <c r="A2592" t="s">
        <v>2596</v>
      </c>
      <c r="B2592">
        <v>0.99542014353169495</v>
      </c>
      <c r="C2592">
        <v>0.91448098902595498</v>
      </c>
      <c r="D2592">
        <v>0.857209405401677</v>
      </c>
      <c r="E2592">
        <v>0.48150976381980298</v>
      </c>
      <c r="F2592">
        <v>0.27652113388452099</v>
      </c>
      <c r="G2592">
        <v>0.13021647291390401</v>
      </c>
      <c r="H2592">
        <v>7.2333472209640995E-2</v>
      </c>
      <c r="I2592">
        <v>5.3398154438318197E-2</v>
      </c>
      <c r="J2592">
        <v>6.11093527303182E-2</v>
      </c>
      <c r="K2592">
        <v>6.7478889805091605E-2</v>
      </c>
      <c r="L2592">
        <v>827.55812406298696</v>
      </c>
      <c r="M2592">
        <v>17.809603800730301</v>
      </c>
      <c r="N2592">
        <v>46.757137645471197</v>
      </c>
      <c r="O2592">
        <v>45.892987563853097</v>
      </c>
      <c r="P2592">
        <v>-9.1945888477050194E-2</v>
      </c>
      <c r="Q2592">
        <v>5.2319314001922697E-2</v>
      </c>
      <c r="R2592">
        <v>0.99630948204720304</v>
      </c>
      <c r="S2592" t="s">
        <v>8994</v>
      </c>
      <c r="T2592" t="s">
        <v>12802</v>
      </c>
      <c r="U2592" t="s">
        <v>12802</v>
      </c>
      <c r="V2592" t="s">
        <v>12802</v>
      </c>
      <c r="W2592" t="s">
        <v>15348</v>
      </c>
      <c r="X2592">
        <v>3</v>
      </c>
      <c r="Y2592" t="s">
        <v>21616</v>
      </c>
      <c r="Z2592" t="s">
        <v>27910</v>
      </c>
      <c r="AA2592">
        <v>0.36695444922402648</v>
      </c>
      <c r="AB2592" t="str">
        <f>HYPERLINK("Melting_Curves/meltCurve_P43355_MAGEA1.pdf", "Melting_Curves/meltCurve_P43355_MAGEA1.pdf")</f>
        <v>Melting_Curves/meltCurve_P43355_MAGEA1.pdf</v>
      </c>
    </row>
    <row r="2593" spans="1:28" x14ac:dyDescent="0.25">
      <c r="A2593" t="s">
        <v>2597</v>
      </c>
      <c r="B2593">
        <v>0.99542014353169495</v>
      </c>
      <c r="C2593">
        <v>1.00009937587033</v>
      </c>
      <c r="D2593">
        <v>0.47317133053652599</v>
      </c>
      <c r="E2593">
        <v>0.139013905390517</v>
      </c>
      <c r="F2593">
        <v>0.141367250847794</v>
      </c>
      <c r="G2593">
        <v>0.110603432450836</v>
      </c>
      <c r="H2593">
        <v>2.4302884523351002E-2</v>
      </c>
      <c r="I2593">
        <v>9.3091187393577496E-2</v>
      </c>
      <c r="J2593">
        <v>0.12772503669646801</v>
      </c>
      <c r="K2593">
        <v>0.220138163980651</v>
      </c>
      <c r="L2593">
        <v>2923.8416831647501</v>
      </c>
      <c r="M2593">
        <v>68.399496914279794</v>
      </c>
      <c r="N2593">
        <v>42.921796545618399</v>
      </c>
      <c r="O2593">
        <v>42.710042040646897</v>
      </c>
      <c r="P2593">
        <v>-0.35158905227992998</v>
      </c>
      <c r="Q2593">
        <v>0.121842679628128</v>
      </c>
      <c r="R2593">
        <v>0.983150894291416</v>
      </c>
      <c r="S2593" t="s">
        <v>8995</v>
      </c>
      <c r="T2593" t="s">
        <v>12802</v>
      </c>
      <c r="U2593" t="s">
        <v>12802</v>
      </c>
      <c r="V2593" t="s">
        <v>12802</v>
      </c>
      <c r="W2593" t="s">
        <v>15349</v>
      </c>
      <c r="X2593">
        <v>2</v>
      </c>
      <c r="Y2593" t="s">
        <v>21617</v>
      </c>
      <c r="Z2593" t="s">
        <v>27911</v>
      </c>
      <c r="AA2593">
        <v>0.29093764625210677</v>
      </c>
      <c r="AB2593" t="str">
        <f>HYPERLINK("Melting_Curves/meltCurve_P43357_MAGEA3.pdf", "Melting_Curves/meltCurve_P43357_MAGEA3.pdf")</f>
        <v>Melting_Curves/meltCurve_P43357_MAGEA3.pdf</v>
      </c>
    </row>
    <row r="2594" spans="1:28" x14ac:dyDescent="0.25">
      <c r="A2594" t="s">
        <v>2598</v>
      </c>
      <c r="B2594">
        <v>0.99542014353169495</v>
      </c>
      <c r="C2594">
        <v>1.12093461607772</v>
      </c>
      <c r="D2594">
        <v>1.0117491963363201</v>
      </c>
      <c r="E2594">
        <v>0.59420930528229099</v>
      </c>
      <c r="F2594">
        <v>0.34403537308632298</v>
      </c>
      <c r="G2594">
        <v>0.18076479035135501</v>
      </c>
      <c r="H2594">
        <v>9.0107578646591996E-2</v>
      </c>
      <c r="I2594">
        <v>4.7725350103170701E-2</v>
      </c>
      <c r="J2594">
        <v>6.3856460064792106E-2</v>
      </c>
      <c r="K2594">
        <v>6.3120190460021E-2</v>
      </c>
      <c r="L2594">
        <v>1056.1862415824601</v>
      </c>
      <c r="M2594">
        <v>22.082425741160801</v>
      </c>
      <c r="N2594">
        <v>48.147858574750202</v>
      </c>
      <c r="O2594">
        <v>47.442208500054399</v>
      </c>
      <c r="P2594">
        <v>-0.10845768585166</v>
      </c>
      <c r="Q2594">
        <v>6.7972112983548702E-2</v>
      </c>
      <c r="R2594">
        <v>0.98111391051045804</v>
      </c>
      <c r="S2594" t="s">
        <v>8996</v>
      </c>
      <c r="T2594" t="s">
        <v>12802</v>
      </c>
      <c r="U2594" t="s">
        <v>12802</v>
      </c>
      <c r="V2594" t="s">
        <v>12802</v>
      </c>
      <c r="W2594" t="s">
        <v>15350</v>
      </c>
      <c r="X2594">
        <v>6</v>
      </c>
      <c r="Y2594" t="s">
        <v>21618</v>
      </c>
      <c r="Z2594" t="s">
        <v>27912</v>
      </c>
      <c r="AA2594">
        <v>0.4145241350936566</v>
      </c>
      <c r="AB2594" t="str">
        <f>HYPERLINK("Melting_Curves/meltCurve_P43366_MAGEB1.pdf", "Melting_Curves/meltCurve_P43366_MAGEB1.pdf")</f>
        <v>Melting_Curves/meltCurve_P43366_MAGEB1.pdf</v>
      </c>
    </row>
    <row r="2595" spans="1:28" x14ac:dyDescent="0.25">
      <c r="A2595" t="s">
        <v>2599</v>
      </c>
      <c r="B2595">
        <v>0.99542014353169495</v>
      </c>
      <c r="C2595">
        <v>0.91338422292257504</v>
      </c>
      <c r="D2595">
        <v>0.84658210820620206</v>
      </c>
      <c r="E2595">
        <v>0.44452464823022197</v>
      </c>
      <c r="F2595">
        <v>0.16436483676449801</v>
      </c>
      <c r="G2595">
        <v>8.0279340316510905E-2</v>
      </c>
      <c r="H2595">
        <v>5.6848628637817901E-2</v>
      </c>
      <c r="I2595">
        <v>3.1424921199577002E-2</v>
      </c>
      <c r="J2595">
        <v>4.0641425440067401E-2</v>
      </c>
      <c r="K2595">
        <v>2.8767099263740801E-2</v>
      </c>
      <c r="L2595">
        <v>988.65441289935598</v>
      </c>
      <c r="M2595">
        <v>21.4961101337047</v>
      </c>
      <c r="N2595">
        <v>46.1427762420834</v>
      </c>
      <c r="O2595">
        <v>45.599767527137502</v>
      </c>
      <c r="P2595">
        <v>-0.11386421223429199</v>
      </c>
      <c r="Q2595">
        <v>3.38615631933218E-2</v>
      </c>
      <c r="R2595">
        <v>0.99762388657713597</v>
      </c>
      <c r="S2595" t="s">
        <v>8997</v>
      </c>
      <c r="T2595" t="s">
        <v>12802</v>
      </c>
      <c r="U2595" t="s">
        <v>12802</v>
      </c>
      <c r="V2595" t="s">
        <v>12802</v>
      </c>
      <c r="W2595" t="s">
        <v>15351</v>
      </c>
      <c r="X2595">
        <v>5</v>
      </c>
      <c r="Y2595" t="s">
        <v>21619</v>
      </c>
      <c r="Z2595" t="s">
        <v>27913</v>
      </c>
      <c r="AA2595">
        <v>0.3343589442224788</v>
      </c>
      <c r="AB2595" t="str">
        <f>HYPERLINK("Melting_Curves/meltCurve_P43378_PTPN9.pdf", "Melting_Curves/meltCurve_P43378_PTPN9.pdf")</f>
        <v>Melting_Curves/meltCurve_P43378_PTPN9.pdf</v>
      </c>
    </row>
    <row r="2596" spans="1:28" x14ac:dyDescent="0.25">
      <c r="A2596" t="s">
        <v>2600</v>
      </c>
      <c r="B2596">
        <v>0.99542014353169495</v>
      </c>
      <c r="C2596">
        <v>1.06955626322826</v>
      </c>
      <c r="D2596">
        <v>0.98993816945448099</v>
      </c>
      <c r="E2596">
        <v>0.46163526393239201</v>
      </c>
      <c r="F2596">
        <v>0.208097516990806</v>
      </c>
      <c r="G2596">
        <v>0.12428627313828999</v>
      </c>
      <c r="H2596">
        <v>0.11037178591004899</v>
      </c>
      <c r="I2596">
        <v>0.108056939240339</v>
      </c>
      <c r="J2596">
        <v>6.1076740698273999E-2</v>
      </c>
      <c r="K2596">
        <v>4.75813080889411E-2</v>
      </c>
      <c r="L2596">
        <v>1696.63377774738</v>
      </c>
      <c r="M2596">
        <v>36.693630336923299</v>
      </c>
      <c r="N2596">
        <v>46.516483898627797</v>
      </c>
      <c r="O2596">
        <v>46.101140082379302</v>
      </c>
      <c r="P2596">
        <v>-0.17935087473044001</v>
      </c>
      <c r="Q2596">
        <v>9.8671297644014E-2</v>
      </c>
      <c r="R2596">
        <v>0.99030452799139501</v>
      </c>
      <c r="S2596" t="s">
        <v>8998</v>
      </c>
      <c r="T2596" t="s">
        <v>12802</v>
      </c>
      <c r="U2596" t="s">
        <v>12802</v>
      </c>
      <c r="V2596" t="s">
        <v>12802</v>
      </c>
      <c r="W2596" t="s">
        <v>15352</v>
      </c>
      <c r="X2596">
        <v>6</v>
      </c>
      <c r="Y2596" t="s">
        <v>21620</v>
      </c>
      <c r="Z2596" t="s">
        <v>27914</v>
      </c>
      <c r="AA2596">
        <v>0.37964675930288527</v>
      </c>
      <c r="AB2596" t="str">
        <f>HYPERLINK("Melting_Curves/meltCurve_P43405_2_SYK.pdf", "Melting_Curves/meltCurve_P43405_2_SYK.pdf")</f>
        <v>Melting_Curves/meltCurve_P43405_2_SYK.pdf</v>
      </c>
    </row>
    <row r="2597" spans="1:28" x14ac:dyDescent="0.25">
      <c r="A2597" t="s">
        <v>2601</v>
      </c>
      <c r="B2597">
        <v>0.99542014353169495</v>
      </c>
      <c r="C2597">
        <v>1.0507123614248499</v>
      </c>
      <c r="D2597">
        <v>0.95212909378476196</v>
      </c>
      <c r="E2597">
        <v>0.85051964768980104</v>
      </c>
      <c r="F2597">
        <v>0.44786933862677097</v>
      </c>
      <c r="G2597">
        <v>0.25428516072083102</v>
      </c>
      <c r="H2597">
        <v>0.224332726269583</v>
      </c>
      <c r="I2597">
        <v>0.18461952698231399</v>
      </c>
      <c r="J2597">
        <v>0.176284612101727</v>
      </c>
      <c r="K2597">
        <v>0.20828104867341099</v>
      </c>
      <c r="L2597">
        <v>1391.19058695593</v>
      </c>
      <c r="M2597">
        <v>28.453399837882799</v>
      </c>
      <c r="N2597">
        <v>49.754995208779803</v>
      </c>
      <c r="O2597">
        <v>48.6540612186269</v>
      </c>
      <c r="P2597">
        <v>-0.117771089084607</v>
      </c>
      <c r="Q2597">
        <v>0.19447314410885599</v>
      </c>
      <c r="R2597">
        <v>0.99618034041143899</v>
      </c>
      <c r="S2597" t="s">
        <v>8999</v>
      </c>
      <c r="T2597" t="s">
        <v>12802</v>
      </c>
      <c r="U2597" t="s">
        <v>12802</v>
      </c>
      <c r="V2597" t="s">
        <v>12802</v>
      </c>
      <c r="W2597" t="s">
        <v>15353</v>
      </c>
      <c r="X2597">
        <v>12</v>
      </c>
      <c r="Y2597" t="s">
        <v>20173</v>
      </c>
      <c r="Z2597" t="s">
        <v>27915</v>
      </c>
      <c r="AA2597">
        <v>0.51921650656350293</v>
      </c>
      <c r="AB2597" t="str">
        <f>HYPERLINK("Melting_Curves/meltCurve_P43487_RANBP1.pdf", "Melting_Curves/meltCurve_P43487_RANBP1.pdf")</f>
        <v>Melting_Curves/meltCurve_P43487_RANBP1.pdf</v>
      </c>
    </row>
    <row r="2598" spans="1:28" x14ac:dyDescent="0.25">
      <c r="A2598" t="s">
        <v>2602</v>
      </c>
      <c r="B2598">
        <v>0.99542014353169495</v>
      </c>
      <c r="C2598">
        <v>0.96072578611870896</v>
      </c>
      <c r="D2598">
        <v>0.88501807408072997</v>
      </c>
      <c r="E2598">
        <v>0.85551653259396299</v>
      </c>
      <c r="F2598">
        <v>0.71891319280363497</v>
      </c>
      <c r="G2598">
        <v>0.696031702433489</v>
      </c>
      <c r="H2598">
        <v>0.44622776072614301</v>
      </c>
      <c r="I2598">
        <v>0.16819520839342</v>
      </c>
      <c r="J2598">
        <v>6.1571199612640203E-2</v>
      </c>
      <c r="K2598">
        <v>6.48477243954209E-2</v>
      </c>
      <c r="L2598">
        <v>728.72270691861104</v>
      </c>
      <c r="M2598">
        <v>13.179025741969999</v>
      </c>
      <c r="N2598">
        <v>55.294125897313499</v>
      </c>
      <c r="O2598">
        <v>54.067510771675003</v>
      </c>
      <c r="P2598">
        <v>-6.0948022970400098E-2</v>
      </c>
      <c r="Q2598">
        <v>0</v>
      </c>
      <c r="R2598">
        <v>0.96382676172911996</v>
      </c>
      <c r="S2598" t="s">
        <v>9000</v>
      </c>
      <c r="T2598" t="s">
        <v>12802</v>
      </c>
      <c r="U2598" t="s">
        <v>12802</v>
      </c>
      <c r="V2598" t="s">
        <v>12802</v>
      </c>
      <c r="W2598" t="s">
        <v>15354</v>
      </c>
      <c r="X2598">
        <v>28</v>
      </c>
      <c r="Y2598" t="s">
        <v>21621</v>
      </c>
      <c r="Z2598" t="s">
        <v>27916</v>
      </c>
      <c r="AA2598">
        <v>0.6232636992160816</v>
      </c>
      <c r="AB2598" t="str">
        <f>HYPERLINK("Melting_Curves/meltCurve_P43490_NAMPT.pdf", "Melting_Curves/meltCurve_P43490_NAMPT.pdf")</f>
        <v>Melting_Curves/meltCurve_P43490_NAMPT.pdf</v>
      </c>
    </row>
    <row r="2599" spans="1:28" x14ac:dyDescent="0.25">
      <c r="A2599" t="s">
        <v>2603</v>
      </c>
      <c r="B2599">
        <v>0.99542014353169495</v>
      </c>
      <c r="C2599">
        <v>0.89774248407384905</v>
      </c>
      <c r="D2599">
        <v>0.95177774353667099</v>
      </c>
      <c r="E2599">
        <v>0.75620018272859102</v>
      </c>
      <c r="F2599">
        <v>0.55949657173502798</v>
      </c>
      <c r="G2599">
        <v>0.25663571240114402</v>
      </c>
      <c r="H2599">
        <v>0.119536679375903</v>
      </c>
      <c r="I2599">
        <v>5.5220719260200703E-2</v>
      </c>
      <c r="J2599">
        <v>5.1678891577420498E-2</v>
      </c>
      <c r="K2599">
        <v>5.7635196929365098E-2</v>
      </c>
      <c r="L2599">
        <v>786.43135656674599</v>
      </c>
      <c r="M2599">
        <v>15.6243829188435</v>
      </c>
      <c r="N2599">
        <v>50.412270641701298</v>
      </c>
      <c r="O2599">
        <v>49.530700650948397</v>
      </c>
      <c r="P2599">
        <v>-7.7919029863199096E-2</v>
      </c>
      <c r="Q2599">
        <v>1.2043697624413E-2</v>
      </c>
      <c r="R2599">
        <v>0.99193977286313395</v>
      </c>
      <c r="S2599" t="s">
        <v>9001</v>
      </c>
      <c r="T2599" t="s">
        <v>12802</v>
      </c>
      <c r="U2599" t="s">
        <v>12802</v>
      </c>
      <c r="V2599" t="s">
        <v>12802</v>
      </c>
      <c r="W2599" t="s">
        <v>15355</v>
      </c>
      <c r="X2599">
        <v>26</v>
      </c>
      <c r="Y2599" t="s">
        <v>21622</v>
      </c>
      <c r="Z2599" t="s">
        <v>27917</v>
      </c>
      <c r="AA2599">
        <v>0.47040680684453418</v>
      </c>
      <c r="AB2599" t="str">
        <f>HYPERLINK("Melting_Curves/meltCurve_P43686_PSMC4.pdf", "Melting_Curves/meltCurve_P43686_PSMC4.pdf")</f>
        <v>Melting_Curves/meltCurve_P43686_PSMC4.pdf</v>
      </c>
    </row>
    <row r="2600" spans="1:28" x14ac:dyDescent="0.25">
      <c r="A2600" t="s">
        <v>2604</v>
      </c>
      <c r="B2600">
        <v>0.99542014353169495</v>
      </c>
      <c r="C2600">
        <v>1.0739183147617799</v>
      </c>
      <c r="D2600">
        <v>0.95811447638437497</v>
      </c>
      <c r="E2600">
        <v>0.71838366264491804</v>
      </c>
      <c r="F2600">
        <v>0.14708901650113601</v>
      </c>
      <c r="G2600">
        <v>8.6084544376506603E-2</v>
      </c>
      <c r="H2600">
        <v>5.12610052665484E-2</v>
      </c>
      <c r="I2600">
        <v>3.9456209696257898E-2</v>
      </c>
      <c r="J2600">
        <v>5.17031077205636E-2</v>
      </c>
      <c r="K2600">
        <v>5.6514105376248999E-2</v>
      </c>
      <c r="L2600">
        <v>1922.07801671632</v>
      </c>
      <c r="M2600">
        <v>40.409406013728102</v>
      </c>
      <c r="N2600">
        <v>47.699410263879798</v>
      </c>
      <c r="O2600">
        <v>47.449055900182202</v>
      </c>
      <c r="P2600">
        <v>-0.20146184755871699</v>
      </c>
      <c r="Q2600">
        <v>5.3768940551769298E-2</v>
      </c>
      <c r="R2600">
        <v>0.99611885057207405</v>
      </c>
      <c r="S2600" t="s">
        <v>9002</v>
      </c>
      <c r="T2600" t="s">
        <v>12802</v>
      </c>
      <c r="U2600" t="s">
        <v>12802</v>
      </c>
      <c r="V2600" t="s">
        <v>12802</v>
      </c>
      <c r="W2600" t="s">
        <v>15356</v>
      </c>
      <c r="X2600">
        <v>16</v>
      </c>
      <c r="Y2600" t="s">
        <v>21623</v>
      </c>
      <c r="Z2600" t="s">
        <v>27918</v>
      </c>
      <c r="AA2600">
        <v>0.39005181596502481</v>
      </c>
      <c r="AB2600" t="str">
        <f>HYPERLINK("Melting_Curves/meltCurve_P43897_TSFM.pdf", "Melting_Curves/meltCurve_P43897_TSFM.pdf")</f>
        <v>Melting_Curves/meltCurve_P43897_TSFM.pdf</v>
      </c>
    </row>
    <row r="2601" spans="1:28" x14ac:dyDescent="0.25">
      <c r="A2601" t="s">
        <v>2605</v>
      </c>
      <c r="B2601">
        <v>0.99542014353169495</v>
      </c>
      <c r="C2601">
        <v>0.808094970648779</v>
      </c>
      <c r="D2601">
        <v>0.87608557835319101</v>
      </c>
      <c r="E2601">
        <v>0.70256167082537202</v>
      </c>
      <c r="F2601">
        <v>0.682716853368592</v>
      </c>
      <c r="G2601">
        <v>0.37066568149136903</v>
      </c>
      <c r="H2601">
        <v>0.28178681555679003</v>
      </c>
      <c r="I2601">
        <v>0.17478860296298901</v>
      </c>
      <c r="J2601">
        <v>0.20473024448575</v>
      </c>
      <c r="K2601">
        <v>0.20871788447450701</v>
      </c>
      <c r="L2601">
        <v>456.821263094507</v>
      </c>
      <c r="M2601">
        <v>8.9436333452828798</v>
      </c>
      <c r="N2601">
        <v>51.776280289817798</v>
      </c>
      <c r="O2601">
        <v>48.717899526437201</v>
      </c>
      <c r="P2601">
        <v>-4.3319074985236801E-2</v>
      </c>
      <c r="Q2601">
        <v>5.6828006306896002E-2</v>
      </c>
      <c r="R2601">
        <v>0.95471908940016503</v>
      </c>
      <c r="S2601" t="s">
        <v>9003</v>
      </c>
      <c r="T2601" t="s">
        <v>12802</v>
      </c>
      <c r="U2601" t="s">
        <v>12802</v>
      </c>
      <c r="V2601" t="s">
        <v>12802</v>
      </c>
      <c r="W2601" t="s">
        <v>15357</v>
      </c>
      <c r="X2601">
        <v>20</v>
      </c>
      <c r="Y2601" t="s">
        <v>21624</v>
      </c>
      <c r="Z2601" t="s">
        <v>27919</v>
      </c>
      <c r="AA2601">
        <v>0.53003770641817394</v>
      </c>
      <c r="AB2601" t="str">
        <f>HYPERLINK("Melting_Curves/meltCurve_P45880_VDAC2.pdf", "Melting_Curves/meltCurve_P45880_VDAC2.pdf")</f>
        <v>Melting_Curves/meltCurve_P45880_VDAC2.pdf</v>
      </c>
    </row>
    <row r="2602" spans="1:28" x14ac:dyDescent="0.25">
      <c r="A2602" t="s">
        <v>2606</v>
      </c>
      <c r="B2602">
        <v>0.99542014353169495</v>
      </c>
      <c r="C2602">
        <v>0.86919615445823695</v>
      </c>
      <c r="D2602">
        <v>1.0070155316915399</v>
      </c>
      <c r="E2602">
        <v>0.92569766488138705</v>
      </c>
      <c r="F2602">
        <v>0.590918727323684</v>
      </c>
      <c r="G2602">
        <v>0.18999377101616499</v>
      </c>
      <c r="H2602">
        <v>0.11733052211275399</v>
      </c>
      <c r="I2602">
        <v>5.5029957296024799E-2</v>
      </c>
      <c r="J2602">
        <v>3.9660542484037803E-2</v>
      </c>
      <c r="K2602">
        <v>2.2381511512150499E-2</v>
      </c>
      <c r="L2602">
        <v>1394.99101890519</v>
      </c>
      <c r="M2602">
        <v>27.5070650226377</v>
      </c>
      <c r="N2602">
        <v>50.878300233417697</v>
      </c>
      <c r="O2602">
        <v>50.448158291840002</v>
      </c>
      <c r="P2602">
        <v>-0.13051880212554701</v>
      </c>
      <c r="Q2602">
        <v>4.2519129919867199E-2</v>
      </c>
      <c r="R2602">
        <v>0.98864326836581895</v>
      </c>
      <c r="S2602" t="s">
        <v>9004</v>
      </c>
      <c r="T2602" t="s">
        <v>12802</v>
      </c>
      <c r="U2602" t="s">
        <v>12802</v>
      </c>
      <c r="V2602" t="s">
        <v>12802</v>
      </c>
      <c r="W2602" t="s">
        <v>15358</v>
      </c>
      <c r="X2602">
        <v>3</v>
      </c>
      <c r="Y2602" t="s">
        <v>21625</v>
      </c>
      <c r="Z2602" t="s">
        <v>27920</v>
      </c>
      <c r="AA2602">
        <v>0.48724329789179738</v>
      </c>
      <c r="AB2602" t="str">
        <f>HYPERLINK("Melting_Curves/meltCurve_P45954_ACADSB.pdf", "Melting_Curves/meltCurve_P45954_ACADSB.pdf")</f>
        <v>Melting_Curves/meltCurve_P45954_ACADSB.pdf</v>
      </c>
    </row>
    <row r="2603" spans="1:28" x14ac:dyDescent="0.25">
      <c r="A2603" t="s">
        <v>2607</v>
      </c>
      <c r="B2603">
        <v>0.99542014353169495</v>
      </c>
      <c r="C2603">
        <v>1.0343906640509299</v>
      </c>
      <c r="D2603">
        <v>1.0225383914456201</v>
      </c>
      <c r="E2603">
        <v>0.85342083393110901</v>
      </c>
      <c r="F2603">
        <v>0.42033054461075597</v>
      </c>
      <c r="G2603">
        <v>0.14661239300587001</v>
      </c>
      <c r="H2603">
        <v>8.8327616972979001E-2</v>
      </c>
      <c r="I2603">
        <v>6.5322878224686395E-2</v>
      </c>
      <c r="J2603">
        <v>8.1192733179691307E-2</v>
      </c>
      <c r="K2603">
        <v>8.8539439910920795E-2</v>
      </c>
      <c r="L2603">
        <v>1478.61962956158</v>
      </c>
      <c r="M2603">
        <v>29.991707774079899</v>
      </c>
      <c r="N2603">
        <v>49.576763510319402</v>
      </c>
      <c r="O2603">
        <v>49.083338918114599</v>
      </c>
      <c r="P2603">
        <v>-0.14102232028269401</v>
      </c>
      <c r="Q2603">
        <v>7.6838308666506705E-2</v>
      </c>
      <c r="R2603">
        <v>0.99838873648829196</v>
      </c>
      <c r="S2603" t="s">
        <v>9005</v>
      </c>
      <c r="T2603" t="s">
        <v>12802</v>
      </c>
      <c r="U2603" t="s">
        <v>12802</v>
      </c>
      <c r="V2603" t="s">
        <v>12802</v>
      </c>
      <c r="W2603" t="s">
        <v>15359</v>
      </c>
      <c r="X2603">
        <v>9</v>
      </c>
      <c r="Y2603" t="s">
        <v>21626</v>
      </c>
      <c r="Z2603" t="s">
        <v>27921</v>
      </c>
      <c r="AA2603">
        <v>0.46096467065186558</v>
      </c>
      <c r="AB2603" t="str">
        <f>HYPERLINK("Melting_Curves/meltCurve_P45973_CBX5.pdf", "Melting_Curves/meltCurve_P45973_CBX5.pdf")</f>
        <v>Melting_Curves/meltCurve_P45973_CBX5.pdf</v>
      </c>
    </row>
    <row r="2604" spans="1:28" x14ac:dyDescent="0.25">
      <c r="A2604" t="s">
        <v>2608</v>
      </c>
      <c r="B2604">
        <v>0.99542014353169495</v>
      </c>
      <c r="C2604">
        <v>1.0328756418593701</v>
      </c>
      <c r="D2604">
        <v>0.99006171070711002</v>
      </c>
      <c r="E2604">
        <v>0.91422725582378195</v>
      </c>
      <c r="F2604">
        <v>0.63006870443051699</v>
      </c>
      <c r="G2604">
        <v>0.33693975083016597</v>
      </c>
      <c r="H2604">
        <v>0.124808669624612</v>
      </c>
      <c r="I2604">
        <v>6.7107158097569994E-2</v>
      </c>
      <c r="J2604">
        <v>7.0755168085629094E-2</v>
      </c>
      <c r="K2604">
        <v>6.0097908813340699E-2</v>
      </c>
      <c r="L2604">
        <v>1097.2372534834799</v>
      </c>
      <c r="M2604">
        <v>21.333467223088402</v>
      </c>
      <c r="N2604">
        <v>51.6730793319689</v>
      </c>
      <c r="O2604">
        <v>50.9871460391917</v>
      </c>
      <c r="P2604">
        <v>-9.9662986760055597E-2</v>
      </c>
      <c r="Q2604">
        <v>4.7242894192010401E-2</v>
      </c>
      <c r="R2604">
        <v>0.99846747020469695</v>
      </c>
      <c r="S2604" t="s">
        <v>9006</v>
      </c>
      <c r="T2604" t="s">
        <v>12802</v>
      </c>
      <c r="U2604" t="s">
        <v>12802</v>
      </c>
      <c r="V2604" t="s">
        <v>12802</v>
      </c>
      <c r="W2604" t="s">
        <v>15360</v>
      </c>
      <c r="X2604">
        <v>33</v>
      </c>
      <c r="Y2604" t="s">
        <v>21627</v>
      </c>
      <c r="Z2604" t="s">
        <v>27922</v>
      </c>
      <c r="AA2604">
        <v>0.51675709215973264</v>
      </c>
      <c r="AB2604" t="str">
        <f>HYPERLINK("Melting_Curves/meltCurve_P45974_2_USP5.pdf", "Melting_Curves/meltCurve_P45974_2_USP5.pdf")</f>
        <v>Melting_Curves/meltCurve_P45974_2_USP5.pdf</v>
      </c>
    </row>
    <row r="2605" spans="1:28" x14ac:dyDescent="0.25">
      <c r="A2605" t="s">
        <v>2609</v>
      </c>
      <c r="B2605">
        <v>0.99542014353169495</v>
      </c>
      <c r="C2605">
        <v>0.95666645772604397</v>
      </c>
      <c r="D2605">
        <v>1.0267503076755899</v>
      </c>
      <c r="E2605">
        <v>0.71924645390183395</v>
      </c>
      <c r="F2605">
        <v>0.50072439412597503</v>
      </c>
      <c r="G2605">
        <v>0.32594026258067199</v>
      </c>
      <c r="H2605">
        <v>0.15481402707583999</v>
      </c>
      <c r="I2605">
        <v>0.10435412771683</v>
      </c>
      <c r="J2605">
        <v>0.11386275977177999</v>
      </c>
      <c r="K2605">
        <v>0.166782432000427</v>
      </c>
      <c r="L2605">
        <v>868.41922060143895</v>
      </c>
      <c r="M2605">
        <v>17.574515390463301</v>
      </c>
      <c r="N2605">
        <v>50.135847194119698</v>
      </c>
      <c r="O2605">
        <v>48.787089528593498</v>
      </c>
      <c r="P2605">
        <v>-7.9989581760879905E-2</v>
      </c>
      <c r="Q2605">
        <v>0.11183956389387099</v>
      </c>
      <c r="R2605">
        <v>0.98689235454456603</v>
      </c>
      <c r="S2605" t="s">
        <v>9007</v>
      </c>
      <c r="T2605" t="s">
        <v>12802</v>
      </c>
      <c r="U2605" t="s">
        <v>12802</v>
      </c>
      <c r="V2605" t="s">
        <v>12802</v>
      </c>
      <c r="W2605" t="s">
        <v>15361</v>
      </c>
      <c r="X2605">
        <v>6</v>
      </c>
      <c r="Y2605" t="s">
        <v>21628</v>
      </c>
      <c r="Z2605" t="s">
        <v>27923</v>
      </c>
      <c r="AA2605">
        <v>0.49400565657101891</v>
      </c>
      <c r="AB2605" t="str">
        <f>HYPERLINK("Melting_Curves/meltCurve_P45983_3_MAPK8.pdf", "Melting_Curves/meltCurve_P45983_3_MAPK8.pdf")</f>
        <v>Melting_Curves/meltCurve_P45983_3_MAPK8.pdf</v>
      </c>
    </row>
    <row r="2606" spans="1:28" x14ac:dyDescent="0.25">
      <c r="A2606" t="s">
        <v>2610</v>
      </c>
      <c r="B2606">
        <v>0.99542014353169495</v>
      </c>
      <c r="C2606">
        <v>1.0295249155089701</v>
      </c>
      <c r="D2606">
        <v>0.963692372528129</v>
      </c>
      <c r="E2606">
        <v>0.866726767351511</v>
      </c>
      <c r="F2606">
        <v>0.80076366701076396</v>
      </c>
      <c r="G2606">
        <v>0.49690104067036001</v>
      </c>
      <c r="H2606">
        <v>0.212849825753439</v>
      </c>
      <c r="I2606">
        <v>9.3555356787341601E-2</v>
      </c>
      <c r="J2606">
        <v>0.12760148384557601</v>
      </c>
      <c r="K2606">
        <v>8.7432313333511397E-2</v>
      </c>
      <c r="L2606">
        <v>1032.79277811833</v>
      </c>
      <c r="M2606">
        <v>19.427692859949602</v>
      </c>
      <c r="N2606">
        <v>53.512556986038298</v>
      </c>
      <c r="O2606">
        <v>52.6072194030207</v>
      </c>
      <c r="P2606">
        <v>-8.6793696423689795E-2</v>
      </c>
      <c r="Q2606">
        <v>5.9938144764404497E-2</v>
      </c>
      <c r="R2606">
        <v>0.99172995098866101</v>
      </c>
      <c r="S2606" t="s">
        <v>9008</v>
      </c>
      <c r="T2606" t="s">
        <v>12802</v>
      </c>
      <c r="U2606" t="s">
        <v>12802</v>
      </c>
      <c r="V2606" t="s">
        <v>12802</v>
      </c>
      <c r="W2606" t="s">
        <v>15362</v>
      </c>
      <c r="X2606">
        <v>5</v>
      </c>
      <c r="Y2606" t="s">
        <v>21629</v>
      </c>
      <c r="Z2606" t="s">
        <v>27924</v>
      </c>
      <c r="AA2606">
        <v>0.57861121338206722</v>
      </c>
      <c r="AB2606" t="str">
        <f>HYPERLINK("Melting_Curves/meltCurve_P45984_3_MAPK9.pdf", "Melting_Curves/meltCurve_P45984_3_MAPK9.pdf")</f>
        <v>Melting_Curves/meltCurve_P45984_3_MAPK9.pdf</v>
      </c>
    </row>
    <row r="2607" spans="1:28" x14ac:dyDescent="0.25">
      <c r="A2607" t="s">
        <v>2611</v>
      </c>
      <c r="B2607">
        <v>0.99542014353169495</v>
      </c>
      <c r="C2607">
        <v>0.97861863806178995</v>
      </c>
      <c r="D2607">
        <v>0.93287719662364399</v>
      </c>
      <c r="E2607">
        <v>0.87800124081091802</v>
      </c>
      <c r="F2607">
        <v>0.67247554253438402</v>
      </c>
      <c r="G2607">
        <v>0.32011712443101598</v>
      </c>
      <c r="H2607">
        <v>0.211892629839455</v>
      </c>
      <c r="I2607">
        <v>9.4016579998459596E-2</v>
      </c>
      <c r="J2607">
        <v>7.37897387512641E-2</v>
      </c>
      <c r="K2607">
        <v>5.8123533696137201E-2</v>
      </c>
      <c r="L2607">
        <v>917.88358801567699</v>
      </c>
      <c r="M2607">
        <v>17.765477706564301</v>
      </c>
      <c r="N2607">
        <v>51.931919189125502</v>
      </c>
      <c r="O2607">
        <v>51.025393039898397</v>
      </c>
      <c r="P2607">
        <v>-8.3271847933815799E-2</v>
      </c>
      <c r="Q2607">
        <v>4.3367630195749303E-2</v>
      </c>
      <c r="R2607">
        <v>0.99637822090725003</v>
      </c>
      <c r="S2607" t="s">
        <v>9009</v>
      </c>
      <c r="T2607" t="s">
        <v>12802</v>
      </c>
      <c r="U2607" t="s">
        <v>12802</v>
      </c>
      <c r="V2607" t="s">
        <v>12802</v>
      </c>
      <c r="W2607" t="s">
        <v>15363</v>
      </c>
      <c r="X2607">
        <v>5</v>
      </c>
      <c r="Y2607" t="s">
        <v>21630</v>
      </c>
      <c r="Z2607" t="s">
        <v>27925</v>
      </c>
      <c r="AA2607">
        <v>0.52594454141057345</v>
      </c>
      <c r="AB2607" t="str">
        <f>HYPERLINK("Melting_Curves/meltCurve_P45985_MAP2K4.pdf", "Melting_Curves/meltCurve_P45985_MAP2K4.pdf")</f>
        <v>Melting_Curves/meltCurve_P45985_MAP2K4.pdf</v>
      </c>
    </row>
    <row r="2608" spans="1:28" x14ac:dyDescent="0.25">
      <c r="A2608" t="s">
        <v>2612</v>
      </c>
      <c r="B2608">
        <v>0.99542014353169495</v>
      </c>
      <c r="C2608">
        <v>0.88392640450977999</v>
      </c>
      <c r="D2608">
        <v>0.88003896437068196</v>
      </c>
      <c r="E2608">
        <v>0.47459192555241297</v>
      </c>
      <c r="F2608">
        <v>0.318073143921971</v>
      </c>
      <c r="G2608">
        <v>0.202267368504261</v>
      </c>
      <c r="H2608">
        <v>0.128266120521808</v>
      </c>
      <c r="I2608">
        <v>8.4674930924971303E-2</v>
      </c>
      <c r="J2608">
        <v>0.100614860217866</v>
      </c>
      <c r="K2608">
        <v>0.122650354891732</v>
      </c>
      <c r="L2608">
        <v>783.93297060249301</v>
      </c>
      <c r="M2608">
        <v>16.912383057995498</v>
      </c>
      <c r="N2608">
        <v>46.969909533854199</v>
      </c>
      <c r="O2608">
        <v>45.719093726152501</v>
      </c>
      <c r="P2608">
        <v>-8.3269376158712105E-2</v>
      </c>
      <c r="Q2608">
        <v>9.9651347858869005E-2</v>
      </c>
      <c r="R2608">
        <v>0.98819514605786596</v>
      </c>
      <c r="S2608" t="s">
        <v>9010</v>
      </c>
      <c r="T2608" t="s">
        <v>12802</v>
      </c>
      <c r="U2608" t="s">
        <v>12802</v>
      </c>
      <c r="V2608" t="s">
        <v>12802</v>
      </c>
      <c r="W2608" t="s">
        <v>15364</v>
      </c>
      <c r="X2608">
        <v>32</v>
      </c>
      <c r="Y2608" t="s">
        <v>21631</v>
      </c>
      <c r="Z2608" t="s">
        <v>27926</v>
      </c>
      <c r="AA2608">
        <v>0.39672277068062889</v>
      </c>
      <c r="AB2608" t="str">
        <f>HYPERLINK("Melting_Curves/meltCurve_P46013_MKI67.pdf", "Melting_Curves/meltCurve_P46013_MKI67.pdf")</f>
        <v>Melting_Curves/meltCurve_P46013_MKI67.pdf</v>
      </c>
    </row>
    <row r="2609" spans="1:28" x14ac:dyDescent="0.25">
      <c r="A2609" t="s">
        <v>2613</v>
      </c>
      <c r="B2609">
        <v>0.99542014353169495</v>
      </c>
      <c r="C2609">
        <v>1.1641670407698901</v>
      </c>
      <c r="D2609">
        <v>0.98088628008583101</v>
      </c>
      <c r="E2609">
        <v>0.82988400579528199</v>
      </c>
      <c r="F2609">
        <v>0.52907171120991003</v>
      </c>
      <c r="G2609">
        <v>0.34690502798054901</v>
      </c>
      <c r="H2609">
        <v>0.19453057073018801</v>
      </c>
      <c r="I2609">
        <v>0.14032927790758401</v>
      </c>
      <c r="J2609">
        <v>0.149543408158645</v>
      </c>
      <c r="K2609">
        <v>0.13779892166794599</v>
      </c>
      <c r="L2609">
        <v>984.95060664170501</v>
      </c>
      <c r="M2609">
        <v>19.681421351945001</v>
      </c>
      <c r="N2609">
        <v>50.8488523623571</v>
      </c>
      <c r="O2609">
        <v>49.536631124501</v>
      </c>
      <c r="P2609">
        <v>-8.6046919175279096E-2</v>
      </c>
      <c r="Q2609">
        <v>0.13373601034947699</v>
      </c>
      <c r="R2609">
        <v>0.97904538866435697</v>
      </c>
      <c r="S2609" t="s">
        <v>9011</v>
      </c>
      <c r="T2609" t="s">
        <v>12802</v>
      </c>
      <c r="U2609" t="s">
        <v>12802</v>
      </c>
      <c r="V2609" t="s">
        <v>12802</v>
      </c>
      <c r="W2609" t="s">
        <v>15365</v>
      </c>
      <c r="X2609">
        <v>1</v>
      </c>
      <c r="Y2609" t="s">
        <v>21632</v>
      </c>
      <c r="Z2609" t="s">
        <v>27927</v>
      </c>
      <c r="AA2609">
        <v>0.52213695878645039</v>
      </c>
      <c r="AB2609" t="str">
        <f>HYPERLINK("Melting_Curves/meltCurve_P46019_PHKA2.pdf", "Melting_Curves/meltCurve_P46019_PHKA2.pdf")</f>
        <v>Melting_Curves/meltCurve_P46019_PHKA2.pdf</v>
      </c>
    </row>
    <row r="2610" spans="1:28" x14ac:dyDescent="0.25">
      <c r="A2610" t="s">
        <v>2614</v>
      </c>
      <c r="B2610">
        <v>0.99542014353169495</v>
      </c>
      <c r="C2610">
        <v>0.97421872835162904</v>
      </c>
      <c r="D2610">
        <v>0.909324227206457</v>
      </c>
      <c r="E2610">
        <v>0.72425518990775095</v>
      </c>
      <c r="F2610">
        <v>0.299442326185279</v>
      </c>
      <c r="G2610">
        <v>9.9796899753692506E-2</v>
      </c>
      <c r="H2610">
        <v>4.96721812181296E-2</v>
      </c>
      <c r="I2610">
        <v>3.3982942689295498E-2</v>
      </c>
      <c r="J2610">
        <v>4.4112097524826699E-2</v>
      </c>
      <c r="K2610">
        <v>4.2176834969342603E-2</v>
      </c>
      <c r="L2610">
        <v>1142.25965285848</v>
      </c>
      <c r="M2610">
        <v>23.687160293432399</v>
      </c>
      <c r="N2610">
        <v>48.358800839664397</v>
      </c>
      <c r="O2610">
        <v>47.8829805750674</v>
      </c>
      <c r="P2610">
        <v>-0.119687344663631</v>
      </c>
      <c r="Q2610">
        <v>3.2236660568571003E-2</v>
      </c>
      <c r="R2610">
        <v>0.99844120627644295</v>
      </c>
      <c r="S2610" t="s">
        <v>9012</v>
      </c>
      <c r="T2610" t="s">
        <v>12802</v>
      </c>
      <c r="U2610" t="s">
        <v>12802</v>
      </c>
      <c r="V2610" t="s">
        <v>12802</v>
      </c>
      <c r="W2610" t="s">
        <v>15366</v>
      </c>
      <c r="X2610">
        <v>25</v>
      </c>
      <c r="Y2610" t="s">
        <v>21633</v>
      </c>
      <c r="Z2610" t="s">
        <v>27928</v>
      </c>
      <c r="AA2610">
        <v>0.40346588906615177</v>
      </c>
      <c r="AB2610" t="str">
        <f>HYPERLINK("Melting_Curves/meltCurve_P46060_RANGAP1.pdf", "Melting_Curves/meltCurve_P46060_RANGAP1.pdf")</f>
        <v>Melting_Curves/meltCurve_P46060_RANGAP1.pdf</v>
      </c>
    </row>
    <row r="2611" spans="1:28" x14ac:dyDescent="0.25">
      <c r="A2611" t="s">
        <v>2615</v>
      </c>
      <c r="B2611">
        <v>0.99542014353169495</v>
      </c>
      <c r="C2611">
        <v>0.97026661438695505</v>
      </c>
      <c r="D2611">
        <v>1.0196555777486001</v>
      </c>
      <c r="E2611">
        <v>0.90382907918681699</v>
      </c>
      <c r="F2611">
        <v>0.67898793102559996</v>
      </c>
      <c r="G2611">
        <v>0.29282422921301199</v>
      </c>
      <c r="H2611">
        <v>9.1647972173900305E-2</v>
      </c>
      <c r="I2611">
        <v>6.1263908247172497E-2</v>
      </c>
      <c r="J2611">
        <v>5.4632025595336801E-2</v>
      </c>
      <c r="K2611">
        <v>4.6620419413191297E-2</v>
      </c>
      <c r="L2611">
        <v>1258.4794457058999</v>
      </c>
      <c r="M2611">
        <v>24.428474222991898</v>
      </c>
      <c r="N2611">
        <v>51.686758966648704</v>
      </c>
      <c r="O2611">
        <v>51.175399924300201</v>
      </c>
      <c r="P2611">
        <v>-0.11473594866471</v>
      </c>
      <c r="Q2611">
        <v>3.8569259719375998E-2</v>
      </c>
      <c r="R2611">
        <v>0.99827425610961795</v>
      </c>
      <c r="S2611" t="s">
        <v>9013</v>
      </c>
      <c r="T2611" t="s">
        <v>12802</v>
      </c>
      <c r="U2611" t="s">
        <v>12802</v>
      </c>
      <c r="V2611" t="s">
        <v>12802</v>
      </c>
      <c r="W2611" t="s">
        <v>15367</v>
      </c>
      <c r="X2611">
        <v>23</v>
      </c>
      <c r="Y2611" t="s">
        <v>21634</v>
      </c>
      <c r="Z2611" t="s">
        <v>27929</v>
      </c>
      <c r="AA2611">
        <v>0.51267459480947164</v>
      </c>
      <c r="AB2611" t="str">
        <f>HYPERLINK("Melting_Curves/meltCurve_P46063_RECQL.pdf", "Melting_Curves/meltCurve_P46063_RECQL.pdf")</f>
        <v>Melting_Curves/meltCurve_P46063_RECQL.pdf</v>
      </c>
    </row>
    <row r="2612" spans="1:28" x14ac:dyDescent="0.25">
      <c r="A2612" t="s">
        <v>2616</v>
      </c>
      <c r="B2612">
        <v>0.99542014353169495</v>
      </c>
      <c r="C2612">
        <v>1.0003778405833501</v>
      </c>
      <c r="D2612">
        <v>0.94627968534999995</v>
      </c>
      <c r="E2612">
        <v>0.86162546700009301</v>
      </c>
      <c r="F2612">
        <v>1.08740853199664</v>
      </c>
      <c r="G2612">
        <v>0.72609805374011405</v>
      </c>
      <c r="H2612">
        <v>0.27116060475609</v>
      </c>
      <c r="I2612">
        <v>0.12917066719512399</v>
      </c>
      <c r="J2612">
        <v>0.22941007039730499</v>
      </c>
      <c r="K2612">
        <v>0.254674054529059</v>
      </c>
      <c r="L2612">
        <v>3170.0484383042499</v>
      </c>
      <c r="M2612">
        <v>58.251474966874099</v>
      </c>
      <c r="N2612">
        <v>54.936716562234899</v>
      </c>
      <c r="O2612">
        <v>54.356030202458797</v>
      </c>
      <c r="P2612">
        <v>-0.211413053542295</v>
      </c>
      <c r="Q2612">
        <v>0.21089938037667</v>
      </c>
      <c r="R2612">
        <v>0.969292584685572</v>
      </c>
      <c r="S2612" t="s">
        <v>9014</v>
      </c>
      <c r="T2612" t="s">
        <v>12802</v>
      </c>
      <c r="U2612" t="s">
        <v>12802</v>
      </c>
      <c r="V2612" t="s">
        <v>12802</v>
      </c>
      <c r="W2612" t="s">
        <v>15368</v>
      </c>
      <c r="X2612">
        <v>2</v>
      </c>
      <c r="Y2612" t="s">
        <v>21635</v>
      </c>
      <c r="Z2612" t="s">
        <v>27930</v>
      </c>
      <c r="AA2612">
        <v>0.67049807554663654</v>
      </c>
      <c r="AB2612" t="str">
        <f>HYPERLINK("Melting_Curves/meltCurve_P46087_2_NOP2.pdf", "Melting_Curves/meltCurve_P46087_2_NOP2.pdf")</f>
        <v>Melting_Curves/meltCurve_P46087_2_NOP2.pdf</v>
      </c>
    </row>
    <row r="2613" spans="1:28" x14ac:dyDescent="0.25">
      <c r="A2613" t="s">
        <v>2617</v>
      </c>
      <c r="B2613">
        <v>0.99542014353169495</v>
      </c>
      <c r="C2613">
        <v>0.75907677038538701</v>
      </c>
      <c r="D2613">
        <v>0.54723438446112904</v>
      </c>
      <c r="E2613">
        <v>0.20642245816107499</v>
      </c>
      <c r="F2613">
        <v>0.30472652094737501</v>
      </c>
      <c r="G2613">
        <v>5.4865873092792998E-2</v>
      </c>
      <c r="H2613">
        <v>5.8395307738607301E-2</v>
      </c>
      <c r="I2613">
        <v>0</v>
      </c>
      <c r="J2613">
        <v>0</v>
      </c>
      <c r="K2613">
        <v>0</v>
      </c>
      <c r="L2613">
        <v>582.64180261800698</v>
      </c>
      <c r="M2613">
        <v>13.3615736914943</v>
      </c>
      <c r="N2613">
        <v>43.6383400051959</v>
      </c>
      <c r="O2613">
        <v>42.663771826360502</v>
      </c>
      <c r="P2613">
        <v>-7.7919545769729801E-2</v>
      </c>
      <c r="Q2613">
        <v>4.9633102051327401E-3</v>
      </c>
      <c r="R2613">
        <v>0.96438282830081801</v>
      </c>
      <c r="S2613" t="s">
        <v>9015</v>
      </c>
      <c r="T2613" t="s">
        <v>12802</v>
      </c>
      <c r="U2613" t="s">
        <v>12802</v>
      </c>
      <c r="V2613" t="s">
        <v>12802</v>
      </c>
      <c r="W2613" t="s">
        <v>15369</v>
      </c>
      <c r="X2613">
        <v>2</v>
      </c>
      <c r="Y2613" t="s">
        <v>21636</v>
      </c>
      <c r="Z2613" t="s">
        <v>27931</v>
      </c>
      <c r="AA2613">
        <v>0.25610443520144222</v>
      </c>
      <c r="AB2613" t="str">
        <f>HYPERLINK("Melting_Curves/meltCurve_P46100_6_ATRX.pdf", "Melting_Curves/meltCurve_P46100_6_ATRX.pdf")</f>
        <v>Melting_Curves/meltCurve_P46100_6_ATRX.pdf</v>
      </c>
    </row>
    <row r="2614" spans="1:28" x14ac:dyDescent="0.25">
      <c r="A2614" t="s">
        <v>2618</v>
      </c>
      <c r="B2614">
        <v>0.99542014353169495</v>
      </c>
      <c r="C2614">
        <v>1.0104821985413599</v>
      </c>
      <c r="D2614">
        <v>0.95446079273175299</v>
      </c>
      <c r="E2614">
        <v>0.89181735304399301</v>
      </c>
      <c r="F2614">
        <v>0.52163594597463103</v>
      </c>
      <c r="G2614">
        <v>0.29014018002411501</v>
      </c>
      <c r="H2614">
        <v>0.111390000612806</v>
      </c>
      <c r="I2614">
        <v>7.7769818935900001E-2</v>
      </c>
      <c r="J2614">
        <v>6.7281685875478794E-2</v>
      </c>
      <c r="K2614">
        <v>7.7205331439846606E-2</v>
      </c>
      <c r="L2614">
        <v>1077.98478506998</v>
      </c>
      <c r="M2614">
        <v>21.381921226899301</v>
      </c>
      <c r="N2614">
        <v>50.731924699232401</v>
      </c>
      <c r="O2614">
        <v>49.980940984222698</v>
      </c>
      <c r="P2614">
        <v>-0.100280535583401</v>
      </c>
      <c r="Q2614">
        <v>6.2387257828469503E-2</v>
      </c>
      <c r="R2614">
        <v>0.99738816951338904</v>
      </c>
      <c r="S2614" t="s">
        <v>9016</v>
      </c>
      <c r="T2614" t="s">
        <v>12802</v>
      </c>
      <c r="U2614" t="s">
        <v>12802</v>
      </c>
      <c r="V2614" t="s">
        <v>12802</v>
      </c>
      <c r="W2614" t="s">
        <v>15370</v>
      </c>
      <c r="X2614">
        <v>11</v>
      </c>
      <c r="Y2614" t="s">
        <v>21637</v>
      </c>
      <c r="Z2614" t="s">
        <v>27932</v>
      </c>
      <c r="AA2614">
        <v>0.49264787798888482</v>
      </c>
      <c r="AB2614" t="str">
        <f>HYPERLINK("Melting_Curves/meltCurve_P46108_CRK.pdf", "Melting_Curves/meltCurve_P46108_CRK.pdf")</f>
        <v>Melting_Curves/meltCurve_P46108_CRK.pdf</v>
      </c>
    </row>
    <row r="2615" spans="1:28" x14ac:dyDescent="0.25">
      <c r="A2615" t="s">
        <v>2619</v>
      </c>
      <c r="B2615">
        <v>0.99542014353169495</v>
      </c>
      <c r="C2615">
        <v>0.97678519230777705</v>
      </c>
      <c r="D2615">
        <v>0.88881342030612698</v>
      </c>
      <c r="E2615">
        <v>0.88255235311060498</v>
      </c>
      <c r="F2615">
        <v>0.61443852543760602</v>
      </c>
      <c r="G2615">
        <v>0.46031766458996598</v>
      </c>
      <c r="H2615">
        <v>0.15958923029727801</v>
      </c>
      <c r="I2615">
        <v>7.6886923033882296E-2</v>
      </c>
      <c r="J2615">
        <v>7.2414705100850504E-2</v>
      </c>
      <c r="K2615">
        <v>8.3443774187764705E-2</v>
      </c>
      <c r="L2615">
        <v>767.79757578921897</v>
      </c>
      <c r="M2615">
        <v>14.725441451728701</v>
      </c>
      <c r="N2615">
        <v>52.199222212826001</v>
      </c>
      <c r="O2615">
        <v>51.207610816138498</v>
      </c>
      <c r="P2615">
        <v>-7.1311839459202594E-2</v>
      </c>
      <c r="Q2615">
        <v>8.1621882724164495E-3</v>
      </c>
      <c r="R2615">
        <v>0.988339754366789</v>
      </c>
      <c r="S2615" t="s">
        <v>9017</v>
      </c>
      <c r="T2615" t="s">
        <v>12802</v>
      </c>
      <c r="U2615" t="s">
        <v>12802</v>
      </c>
      <c r="V2615" t="s">
        <v>12802</v>
      </c>
      <c r="W2615" t="s">
        <v>15371</v>
      </c>
      <c r="X2615">
        <v>21</v>
      </c>
      <c r="Y2615" t="s">
        <v>21638</v>
      </c>
      <c r="Z2615" t="s">
        <v>27933</v>
      </c>
      <c r="AA2615">
        <v>0.52794796671310751</v>
      </c>
      <c r="AB2615" t="str">
        <f>HYPERLINK("Melting_Curves/meltCurve_P46109_CRKL.pdf", "Melting_Curves/meltCurve_P46109_CRKL.pdf")</f>
        <v>Melting_Curves/meltCurve_P46109_CRKL.pdf</v>
      </c>
    </row>
    <row r="2616" spans="1:28" x14ac:dyDescent="0.25">
      <c r="A2616" t="s">
        <v>2620</v>
      </c>
      <c r="B2616">
        <v>0.99542014353169495</v>
      </c>
      <c r="C2616">
        <v>0.95540975455224098</v>
      </c>
      <c r="D2616">
        <v>0.78565679303510005</v>
      </c>
      <c r="E2616">
        <v>0.34512728497998502</v>
      </c>
      <c r="F2616">
        <v>0.16965570047279199</v>
      </c>
      <c r="G2616">
        <v>8.8343313150575503E-2</v>
      </c>
      <c r="H2616">
        <v>5.8638435443886902E-2</v>
      </c>
      <c r="I2616">
        <v>3.8641116340427599E-2</v>
      </c>
      <c r="J2616">
        <v>3.5583610297138898E-2</v>
      </c>
      <c r="K2616">
        <v>3.9367883764453798E-2</v>
      </c>
      <c r="L2616">
        <v>1012.23116738471</v>
      </c>
      <c r="M2616">
        <v>22.387270258285799</v>
      </c>
      <c r="N2616">
        <v>45.414525891608399</v>
      </c>
      <c r="O2616">
        <v>44.8584569228465</v>
      </c>
      <c r="P2616">
        <v>-0.11891339771951</v>
      </c>
      <c r="Q2616">
        <v>4.6929749602744097E-2</v>
      </c>
      <c r="R2616">
        <v>0.998391222615995</v>
      </c>
      <c r="S2616" t="s">
        <v>9018</v>
      </c>
      <c r="T2616" t="s">
        <v>12802</v>
      </c>
      <c r="U2616" t="s">
        <v>12802</v>
      </c>
      <c r="V2616" t="s">
        <v>12802</v>
      </c>
      <c r="W2616" t="s">
        <v>15372</v>
      </c>
      <c r="X2616">
        <v>11</v>
      </c>
      <c r="Y2616" t="s">
        <v>21639</v>
      </c>
      <c r="Z2616" t="s">
        <v>27934</v>
      </c>
      <c r="AA2616">
        <v>0.31777019486042729</v>
      </c>
      <c r="AB2616" t="str">
        <f>HYPERLINK("Melting_Curves/meltCurve_P46199_MTIF2.pdf", "Melting_Curves/meltCurve_P46199_MTIF2.pdf")</f>
        <v>Melting_Curves/meltCurve_P46199_MTIF2.pdf</v>
      </c>
    </row>
    <row r="2617" spans="1:28" x14ac:dyDescent="0.25">
      <c r="A2617" t="s">
        <v>2621</v>
      </c>
      <c r="B2617">
        <v>0.99542014353169495</v>
      </c>
      <c r="C2617">
        <v>1.0049024578862</v>
      </c>
      <c r="D2617">
        <v>1.21074978546029</v>
      </c>
      <c r="E2617">
        <v>0.95968036990121997</v>
      </c>
      <c r="F2617">
        <v>1.06504375984554</v>
      </c>
      <c r="G2617">
        <v>0.89865500959547795</v>
      </c>
      <c r="H2617">
        <v>0.58655275498058901</v>
      </c>
      <c r="I2617">
        <v>0.52355497687591601</v>
      </c>
      <c r="J2617">
        <v>1.00931450887296</v>
      </c>
      <c r="K2617">
        <v>1.2129083503801299</v>
      </c>
      <c r="L2617">
        <v>13426.5766247969</v>
      </c>
      <c r="M2617">
        <v>250</v>
      </c>
      <c r="O2617">
        <v>53.702869698745097</v>
      </c>
      <c r="P2617">
        <v>-0.19426026108427499</v>
      </c>
      <c r="Q2617">
        <v>0.83308266452312096</v>
      </c>
      <c r="R2617">
        <v>0.19617701735038401</v>
      </c>
      <c r="S2617" t="s">
        <v>9019</v>
      </c>
      <c r="T2617" t="s">
        <v>12802</v>
      </c>
      <c r="U2617" t="s">
        <v>12802</v>
      </c>
      <c r="V2617" t="s">
        <v>12802</v>
      </c>
      <c r="W2617" t="s">
        <v>15373</v>
      </c>
      <c r="X2617">
        <v>2</v>
      </c>
      <c r="Y2617" t="s">
        <v>21640</v>
      </c>
      <c r="Z2617" t="s">
        <v>27935</v>
      </c>
      <c r="AA2617">
        <v>0.92605080265508266</v>
      </c>
      <c r="AB2617" t="str">
        <f>HYPERLINK("Melting_Curves/meltCurve_P46527_CDKN1B.pdf", "Melting_Curves/meltCurve_P46527_CDKN1B.pdf")</f>
        <v>Melting_Curves/meltCurve_P46527_CDKN1B.pdf</v>
      </c>
    </row>
    <row r="2618" spans="1:28" x14ac:dyDescent="0.25">
      <c r="A2618" t="s">
        <v>2622</v>
      </c>
      <c r="B2618">
        <v>0.99542014353169495</v>
      </c>
      <c r="C2618">
        <v>0.97127786997078802</v>
      </c>
      <c r="D2618">
        <v>1.1011963918482599</v>
      </c>
      <c r="E2618">
        <v>0.81924198292662598</v>
      </c>
      <c r="F2618">
        <v>0.76217820867779795</v>
      </c>
      <c r="G2618">
        <v>0.49886988829010298</v>
      </c>
      <c r="H2618">
        <v>0.41690027788803202</v>
      </c>
      <c r="I2618">
        <v>0.41351370453318698</v>
      </c>
      <c r="J2618">
        <v>0.46518178362519003</v>
      </c>
      <c r="K2618">
        <v>0.67204110503930903</v>
      </c>
      <c r="L2618">
        <v>1260.9383012508499</v>
      </c>
      <c r="M2618">
        <v>25.5398397285052</v>
      </c>
      <c r="N2618">
        <v>57.346146655621197</v>
      </c>
      <c r="O2618">
        <v>49.071711892139803</v>
      </c>
      <c r="P2618">
        <v>-6.6923933790999798E-2</v>
      </c>
      <c r="Q2618">
        <v>0.48566126545224098</v>
      </c>
      <c r="R2618">
        <v>0.87268148434195603</v>
      </c>
      <c r="S2618" t="s">
        <v>9020</v>
      </c>
      <c r="T2618" t="s">
        <v>12802</v>
      </c>
      <c r="U2618" t="s">
        <v>12802</v>
      </c>
      <c r="V2618" t="s">
        <v>12802</v>
      </c>
      <c r="W2618" t="s">
        <v>15374</v>
      </c>
      <c r="X2618">
        <v>6</v>
      </c>
      <c r="Y2618" t="s">
        <v>21641</v>
      </c>
      <c r="Z2618" t="s">
        <v>27936</v>
      </c>
      <c r="AA2618">
        <v>0.70204950417571321</v>
      </c>
      <c r="AB2618" t="str">
        <f>HYPERLINK("Melting_Curves/meltCurve_P46531_NOTCH1.pdf", "Melting_Curves/meltCurve_P46531_NOTCH1.pdf")</f>
        <v>Melting_Curves/meltCurve_P46531_NOTCH1.pdf</v>
      </c>
    </row>
    <row r="2619" spans="1:28" x14ac:dyDescent="0.25">
      <c r="A2619" t="s">
        <v>2623</v>
      </c>
      <c r="B2619">
        <v>0.99542014353169495</v>
      </c>
      <c r="C2619">
        <v>1.0238370951518101</v>
      </c>
      <c r="D2619">
        <v>1.00897776305425</v>
      </c>
      <c r="E2619">
        <v>0.90773694668920102</v>
      </c>
      <c r="F2619">
        <v>0.35267779582786102</v>
      </c>
      <c r="G2619">
        <v>9.7415702312866198E-2</v>
      </c>
      <c r="H2619">
        <v>6.6194480927599303E-2</v>
      </c>
      <c r="I2619">
        <v>5.2583408943823497E-2</v>
      </c>
      <c r="J2619">
        <v>3.7914623810210303E-2</v>
      </c>
      <c r="K2619">
        <v>3.46678708814213E-2</v>
      </c>
      <c r="L2619">
        <v>1896.19132967211</v>
      </c>
      <c r="M2619">
        <v>38.509356962644098</v>
      </c>
      <c r="N2619">
        <v>49.372596964443801</v>
      </c>
      <c r="O2619">
        <v>49.107541766718597</v>
      </c>
      <c r="P2619">
        <v>-0.186398528046294</v>
      </c>
      <c r="Q2619">
        <v>4.92128597635028E-2</v>
      </c>
      <c r="R2619">
        <v>0.999231835139338</v>
      </c>
      <c r="S2619" t="s">
        <v>9021</v>
      </c>
      <c r="T2619" t="s">
        <v>12802</v>
      </c>
      <c r="U2619" t="s">
        <v>12802</v>
      </c>
      <c r="V2619" t="s">
        <v>12802</v>
      </c>
      <c r="W2619" t="s">
        <v>15375</v>
      </c>
      <c r="X2619">
        <v>8</v>
      </c>
      <c r="Y2619" t="s">
        <v>21642</v>
      </c>
      <c r="Z2619" t="s">
        <v>27937</v>
      </c>
      <c r="AA2619">
        <v>0.44061828727997743</v>
      </c>
      <c r="AB2619" t="str">
        <f>HYPERLINK("Melting_Curves/meltCurve_P46734_MAP2K3.pdf", "Melting_Curves/meltCurve_P46734_MAP2K3.pdf")</f>
        <v>Melting_Curves/meltCurve_P46734_MAP2K3.pdf</v>
      </c>
    </row>
    <row r="2620" spans="1:28" x14ac:dyDescent="0.25">
      <c r="A2620" t="s">
        <v>2624</v>
      </c>
      <c r="B2620">
        <v>0.99542014353169495</v>
      </c>
      <c r="C2620">
        <v>0.90730472776062898</v>
      </c>
      <c r="D2620">
        <v>0.93455786163889298</v>
      </c>
      <c r="E2620">
        <v>0.75090219762928501</v>
      </c>
      <c r="F2620">
        <v>0.70790711988489896</v>
      </c>
      <c r="G2620">
        <v>0.473702357927338</v>
      </c>
      <c r="H2620">
        <v>0.41797411803411999</v>
      </c>
      <c r="I2620">
        <v>0.29759523858840597</v>
      </c>
      <c r="J2620">
        <v>0.182203800696249</v>
      </c>
      <c r="K2620">
        <v>8.0819075734887197E-2</v>
      </c>
      <c r="L2620">
        <v>482.269292674263</v>
      </c>
      <c r="M2620">
        <v>8.9319061867386793</v>
      </c>
      <c r="N2620">
        <v>53.994000464715803</v>
      </c>
      <c r="O2620">
        <v>51.493285238417798</v>
      </c>
      <c r="P2620">
        <v>-4.3396832328218102E-2</v>
      </c>
      <c r="Q2620">
        <v>0</v>
      </c>
      <c r="R2620">
        <v>0.98145534161355596</v>
      </c>
      <c r="S2620" t="s">
        <v>9022</v>
      </c>
      <c r="T2620" t="s">
        <v>12802</v>
      </c>
      <c r="U2620" t="s">
        <v>12802</v>
      </c>
      <c r="V2620" t="s">
        <v>12802</v>
      </c>
      <c r="W2620" t="s">
        <v>15376</v>
      </c>
      <c r="X2620">
        <v>7</v>
      </c>
      <c r="Y2620" t="s">
        <v>21643</v>
      </c>
      <c r="Z2620" t="s">
        <v>27938</v>
      </c>
      <c r="AA2620">
        <v>0.58294565810609345</v>
      </c>
      <c r="AB2620" t="str">
        <f>HYPERLINK("Melting_Curves/meltCurve_P46736_2_BRCC3.pdf", "Melting_Curves/meltCurve_P46736_2_BRCC3.pdf")</f>
        <v>Melting_Curves/meltCurve_P46736_2_BRCC3.pdf</v>
      </c>
    </row>
    <row r="2621" spans="1:28" x14ac:dyDescent="0.25">
      <c r="A2621" t="s">
        <v>2625</v>
      </c>
      <c r="B2621">
        <v>0.99542014353169495</v>
      </c>
      <c r="C2621">
        <v>1.0326200253178599</v>
      </c>
      <c r="D2621">
        <v>1.10137716248495</v>
      </c>
      <c r="E2621">
        <v>0.89070884082714796</v>
      </c>
      <c r="F2621">
        <v>0.652025319719165</v>
      </c>
      <c r="G2621">
        <v>0.42408413014896901</v>
      </c>
      <c r="H2621">
        <v>0.195708541962648</v>
      </c>
      <c r="I2621">
        <v>6.8732881030078297E-2</v>
      </c>
      <c r="J2621">
        <v>5.6422812724899497E-2</v>
      </c>
      <c r="K2621">
        <v>5.9414582913062799E-2</v>
      </c>
      <c r="L2621">
        <v>945.41785306064298</v>
      </c>
      <c r="M2621">
        <v>18.07958975603</v>
      </c>
      <c r="N2621">
        <v>52.452491573480501</v>
      </c>
      <c r="O2621">
        <v>51.664833079657598</v>
      </c>
      <c r="P2621">
        <v>-8.5134952459320803E-2</v>
      </c>
      <c r="Q2621">
        <v>2.6909237508302E-2</v>
      </c>
      <c r="R2621">
        <v>0.988761894202286</v>
      </c>
      <c r="S2621" t="s">
        <v>9023</v>
      </c>
      <c r="T2621" t="s">
        <v>12802</v>
      </c>
      <c r="U2621" t="s">
        <v>12802</v>
      </c>
      <c r="V2621" t="s">
        <v>12802</v>
      </c>
      <c r="W2621" t="s">
        <v>15377</v>
      </c>
      <c r="X2621">
        <v>26</v>
      </c>
      <c r="Y2621" t="s">
        <v>21644</v>
      </c>
      <c r="Z2621" t="s">
        <v>27939</v>
      </c>
      <c r="AA2621">
        <v>0.53740738458653747</v>
      </c>
      <c r="AB2621" t="str">
        <f>HYPERLINK("Melting_Curves/meltCurve_P46777_RPL5.pdf", "Melting_Curves/meltCurve_P46777_RPL5.pdf")</f>
        <v>Melting_Curves/meltCurve_P46777_RPL5.pdf</v>
      </c>
    </row>
    <row r="2622" spans="1:28" x14ac:dyDescent="0.25">
      <c r="A2622" t="s">
        <v>2626</v>
      </c>
      <c r="B2622">
        <v>0.99542014353169495</v>
      </c>
      <c r="C2622">
        <v>0.98325433389612504</v>
      </c>
      <c r="D2622">
        <v>1.0431812118319399</v>
      </c>
      <c r="E2622">
        <v>0.727161645522579</v>
      </c>
      <c r="F2622">
        <v>0.61245351718764895</v>
      </c>
      <c r="G2622">
        <v>0.405478911557896</v>
      </c>
      <c r="H2622">
        <v>0.12387855633478</v>
      </c>
      <c r="I2622">
        <v>5.8532880541009601E-2</v>
      </c>
      <c r="J2622">
        <v>7.5481874224334403E-2</v>
      </c>
      <c r="K2622">
        <v>5.8481835060667502E-2</v>
      </c>
      <c r="L2622">
        <v>753.88528770417804</v>
      </c>
      <c r="M2622">
        <v>14.654376799340399</v>
      </c>
      <c r="N2622">
        <v>51.460330112801003</v>
      </c>
      <c r="O2622">
        <v>50.514883585778399</v>
      </c>
      <c r="P2622">
        <v>-7.2368691129268303E-2</v>
      </c>
      <c r="Q2622">
        <v>2.2662929229611199E-3</v>
      </c>
      <c r="R2622">
        <v>0.98223863383261001</v>
      </c>
      <c r="S2622" t="s">
        <v>9024</v>
      </c>
      <c r="T2622" t="s">
        <v>12802</v>
      </c>
      <c r="U2622" t="s">
        <v>12802</v>
      </c>
      <c r="V2622" t="s">
        <v>12802</v>
      </c>
      <c r="W2622" t="s">
        <v>15378</v>
      </c>
      <c r="X2622">
        <v>5</v>
      </c>
      <c r="Y2622" t="s">
        <v>21645</v>
      </c>
      <c r="Z2622" t="s">
        <v>27940</v>
      </c>
      <c r="AA2622">
        <v>0.50290036191145493</v>
      </c>
      <c r="AB2622" t="str">
        <f>HYPERLINK("Melting_Curves/meltCurve_P46778_RPL21.pdf", "Melting_Curves/meltCurve_P46778_RPL21.pdf")</f>
        <v>Melting_Curves/meltCurve_P46778_RPL21.pdf</v>
      </c>
    </row>
    <row r="2623" spans="1:28" x14ac:dyDescent="0.25">
      <c r="A2623" t="s">
        <v>2627</v>
      </c>
      <c r="B2623">
        <v>0.99542014353169495</v>
      </c>
      <c r="C2623">
        <v>0.967580796262964</v>
      </c>
      <c r="D2623">
        <v>0.90203880812314896</v>
      </c>
      <c r="E2623">
        <v>0.72457346940242895</v>
      </c>
      <c r="F2623">
        <v>0.44939792192620698</v>
      </c>
      <c r="G2623">
        <v>0.227830875632514</v>
      </c>
      <c r="H2623">
        <v>0.12309680005066299</v>
      </c>
      <c r="I2623">
        <v>4.8323483499643001E-2</v>
      </c>
      <c r="J2623">
        <v>4.6679879192120501E-2</v>
      </c>
      <c r="K2623">
        <v>4.8569117365594203E-2</v>
      </c>
      <c r="L2623">
        <v>765.58448102229795</v>
      </c>
      <c r="M2623">
        <v>15.510390381671099</v>
      </c>
      <c r="N2623">
        <v>49.479839775860597</v>
      </c>
      <c r="O2623">
        <v>48.560799141013099</v>
      </c>
      <c r="P2623">
        <v>-7.8379020750985795E-2</v>
      </c>
      <c r="Q2623">
        <v>1.8513251012857002E-2</v>
      </c>
      <c r="R2623">
        <v>0.99950404260111803</v>
      </c>
      <c r="S2623" t="s">
        <v>9025</v>
      </c>
      <c r="T2623" t="s">
        <v>12802</v>
      </c>
      <c r="U2623" t="s">
        <v>12802</v>
      </c>
      <c r="V2623" t="s">
        <v>12802</v>
      </c>
      <c r="W2623" t="s">
        <v>15379</v>
      </c>
      <c r="X2623">
        <v>13</v>
      </c>
      <c r="Y2623" t="s">
        <v>21646</v>
      </c>
      <c r="Z2623" t="s">
        <v>27941</v>
      </c>
      <c r="AA2623">
        <v>0.44272836908425472</v>
      </c>
      <c r="AB2623" t="str">
        <f>HYPERLINK("Melting_Curves/meltCurve_P46781_RPS9.pdf", "Melting_Curves/meltCurve_P46781_RPS9.pdf")</f>
        <v>Melting_Curves/meltCurve_P46781_RPS9.pdf</v>
      </c>
    </row>
    <row r="2624" spans="1:28" x14ac:dyDescent="0.25">
      <c r="A2624" t="s">
        <v>2628</v>
      </c>
      <c r="B2624">
        <v>0.99542014353169495</v>
      </c>
      <c r="C2624">
        <v>1.0061837953016399</v>
      </c>
      <c r="D2624">
        <v>0.96361859689947105</v>
      </c>
      <c r="E2624">
        <v>0.75595696237829402</v>
      </c>
      <c r="F2624">
        <v>0.36380653635180399</v>
      </c>
      <c r="G2624">
        <v>0.23612999386921399</v>
      </c>
      <c r="H2624">
        <v>9.5901867916494798E-2</v>
      </c>
      <c r="I2624">
        <v>5.2883696258227898E-2</v>
      </c>
      <c r="J2624">
        <v>4.5680447722560802E-2</v>
      </c>
      <c r="K2624">
        <v>6.0102060665749697E-2</v>
      </c>
      <c r="L2624">
        <v>996.07475110146197</v>
      </c>
      <c r="M2624">
        <v>20.372495728417299</v>
      </c>
      <c r="N2624">
        <v>49.161305398401097</v>
      </c>
      <c r="O2624">
        <v>48.429332635580401</v>
      </c>
      <c r="P2624">
        <v>-9.9638161797366398E-2</v>
      </c>
      <c r="Q2624">
        <v>5.2592574265338102E-2</v>
      </c>
      <c r="R2624">
        <v>0.99637273674715798</v>
      </c>
      <c r="S2624" t="s">
        <v>9026</v>
      </c>
      <c r="T2624" t="s">
        <v>12802</v>
      </c>
      <c r="U2624" t="s">
        <v>12802</v>
      </c>
      <c r="V2624" t="s">
        <v>12802</v>
      </c>
      <c r="W2624" t="s">
        <v>15380</v>
      </c>
      <c r="X2624">
        <v>12</v>
      </c>
      <c r="Y2624" t="s">
        <v>21647</v>
      </c>
      <c r="Z2624" t="s">
        <v>27942</v>
      </c>
      <c r="AA2624">
        <v>0.44024350277242352</v>
      </c>
      <c r="AB2624" t="str">
        <f>HYPERLINK("Melting_Curves/meltCurve_P46783_RPS10.pdf", "Melting_Curves/meltCurve_P46783_RPS10.pdf")</f>
        <v>Melting_Curves/meltCurve_P46783_RPS10.pdf</v>
      </c>
    </row>
    <row r="2625" spans="1:28" x14ac:dyDescent="0.25">
      <c r="A2625" t="s">
        <v>2629</v>
      </c>
      <c r="B2625">
        <v>0.99542014353169495</v>
      </c>
      <c r="C2625">
        <v>0.95342336371179603</v>
      </c>
      <c r="D2625">
        <v>0.96336044287809897</v>
      </c>
      <c r="E2625">
        <v>0.90853497726061405</v>
      </c>
      <c r="F2625">
        <v>0.76691475784363805</v>
      </c>
      <c r="G2625">
        <v>0.58664676351449696</v>
      </c>
      <c r="H2625">
        <v>0.33187132050238699</v>
      </c>
      <c r="I2625">
        <v>8.7001375767851802E-2</v>
      </c>
      <c r="J2625">
        <v>5.2559854320380697E-2</v>
      </c>
      <c r="K2625">
        <v>5.7223517488554101E-2</v>
      </c>
      <c r="L2625">
        <v>882.74576349044003</v>
      </c>
      <c r="M2625">
        <v>16.2189759290507</v>
      </c>
      <c r="N2625">
        <v>54.426726826351199</v>
      </c>
      <c r="O2625">
        <v>53.6194819316026</v>
      </c>
      <c r="P2625">
        <v>-7.5626323663165795E-2</v>
      </c>
      <c r="Q2625">
        <v>0</v>
      </c>
      <c r="R2625">
        <v>0.99218714267543895</v>
      </c>
      <c r="S2625" t="s">
        <v>9027</v>
      </c>
      <c r="T2625" t="s">
        <v>12802</v>
      </c>
      <c r="U2625" t="s">
        <v>12802</v>
      </c>
      <c r="V2625" t="s">
        <v>12802</v>
      </c>
      <c r="W2625" t="s">
        <v>15381</v>
      </c>
      <c r="X2625">
        <v>62</v>
      </c>
      <c r="Y2625" t="s">
        <v>21648</v>
      </c>
      <c r="Z2625" t="s">
        <v>27943</v>
      </c>
      <c r="AA2625">
        <v>0.5954520063206995</v>
      </c>
      <c r="AB2625" t="str">
        <f>HYPERLINK("Melting_Curves/meltCurve_P46821_MAP1B.pdf", "Melting_Curves/meltCurve_P46821_MAP1B.pdf")</f>
        <v>Melting_Curves/meltCurve_P46821_MAP1B.pdf</v>
      </c>
    </row>
    <row r="2626" spans="1:28" x14ac:dyDescent="0.25">
      <c r="A2626" t="s">
        <v>2630</v>
      </c>
      <c r="B2626">
        <v>0.99542014353169495</v>
      </c>
      <c r="C2626">
        <v>0.948622936642884</v>
      </c>
      <c r="D2626">
        <v>0.91343375254429504</v>
      </c>
      <c r="E2626">
        <v>0.85729288434865802</v>
      </c>
      <c r="F2626">
        <v>0.73668999139235303</v>
      </c>
      <c r="G2626">
        <v>0.56087946648533304</v>
      </c>
      <c r="H2626">
        <v>0.54099713767332902</v>
      </c>
      <c r="I2626">
        <v>0.58604513250157597</v>
      </c>
      <c r="J2626">
        <v>0.83546421534378401</v>
      </c>
      <c r="K2626">
        <v>1.01172610235904</v>
      </c>
      <c r="L2626">
        <v>1123.44583417893</v>
      </c>
      <c r="M2626">
        <v>24.7156712804615</v>
      </c>
      <c r="O2626">
        <v>45.160363080809802</v>
      </c>
      <c r="P2626">
        <v>-3.9596320527846798E-2</v>
      </c>
      <c r="Q2626">
        <v>0.71060319900192803</v>
      </c>
      <c r="R2626">
        <v>0.392609407563275</v>
      </c>
      <c r="S2626" t="s">
        <v>9028</v>
      </c>
      <c r="T2626" t="s">
        <v>12802</v>
      </c>
      <c r="U2626" t="s">
        <v>12802</v>
      </c>
      <c r="V2626" t="s">
        <v>12802</v>
      </c>
      <c r="W2626" t="s">
        <v>15382</v>
      </c>
      <c r="X2626">
        <v>15</v>
      </c>
      <c r="Y2626" t="s">
        <v>21649</v>
      </c>
      <c r="Z2626" t="s">
        <v>27944</v>
      </c>
      <c r="AA2626">
        <v>0.79460408913513136</v>
      </c>
      <c r="AB2626" t="str">
        <f>HYPERLINK("Melting_Curves/meltCurve_P46926_GNPDA1.pdf", "Melting_Curves/meltCurve_P46926_GNPDA1.pdf")</f>
        <v>Melting_Curves/meltCurve_P46926_GNPDA1.pdf</v>
      </c>
    </row>
    <row r="2627" spans="1:28" x14ac:dyDescent="0.25">
      <c r="A2627" t="s">
        <v>2631</v>
      </c>
      <c r="B2627">
        <v>0.99542014353169495</v>
      </c>
      <c r="C2627">
        <v>1.0596826189994</v>
      </c>
      <c r="D2627">
        <v>0.95990259864300997</v>
      </c>
      <c r="E2627">
        <v>0.78720233839001796</v>
      </c>
      <c r="F2627">
        <v>0.37844416568672101</v>
      </c>
      <c r="G2627">
        <v>0.19082036861336299</v>
      </c>
      <c r="H2627">
        <v>0.117962484840217</v>
      </c>
      <c r="I2627">
        <v>6.4684807367140107E-2</v>
      </c>
      <c r="J2627">
        <v>7.2586720003123897E-2</v>
      </c>
      <c r="K2627">
        <v>8.87525044653108E-2</v>
      </c>
      <c r="L2627">
        <v>1179.6405823688399</v>
      </c>
      <c r="M2627">
        <v>24.156982993734498</v>
      </c>
      <c r="N2627">
        <v>49.186359358324701</v>
      </c>
      <c r="O2627">
        <v>48.501335003037802</v>
      </c>
      <c r="P2627">
        <v>-0.114581846639133</v>
      </c>
      <c r="Q2627">
        <v>7.9804470115806103E-2</v>
      </c>
      <c r="R2627">
        <v>0.9965007506104</v>
      </c>
      <c r="S2627" t="s">
        <v>9029</v>
      </c>
      <c r="T2627" t="s">
        <v>12802</v>
      </c>
      <c r="U2627" t="s">
        <v>12802</v>
      </c>
      <c r="V2627" t="s">
        <v>12802</v>
      </c>
      <c r="W2627" t="s">
        <v>15383</v>
      </c>
      <c r="X2627">
        <v>11</v>
      </c>
      <c r="Y2627" t="s">
        <v>21650</v>
      </c>
      <c r="Z2627" t="s">
        <v>27945</v>
      </c>
      <c r="AA2627">
        <v>0.45121913130143471</v>
      </c>
      <c r="AB2627" t="str">
        <f>HYPERLINK("Melting_Curves/meltCurve_P46934_4_NEDD4.pdf", "Melting_Curves/meltCurve_P46934_4_NEDD4.pdf")</f>
        <v>Melting_Curves/meltCurve_P46934_4_NEDD4.pdf</v>
      </c>
    </row>
    <row r="2628" spans="1:28" x14ac:dyDescent="0.25">
      <c r="A2628" t="s">
        <v>2632</v>
      </c>
      <c r="B2628">
        <v>0.99542014353169495</v>
      </c>
      <c r="C2628">
        <v>0.97939281815799994</v>
      </c>
      <c r="D2628">
        <v>1.0020810537253899</v>
      </c>
      <c r="E2628">
        <v>0.91445243236901497</v>
      </c>
      <c r="F2628">
        <v>0.42981701115624199</v>
      </c>
      <c r="G2628">
        <v>0.128830868410233</v>
      </c>
      <c r="H2628">
        <v>8.2897097705112693E-2</v>
      </c>
      <c r="I2628">
        <v>5.4107078884562801E-2</v>
      </c>
      <c r="J2628">
        <v>5.55898215458717E-2</v>
      </c>
      <c r="K2628">
        <v>5.4241731628429199E-2</v>
      </c>
      <c r="L2628">
        <v>1711.2502352342699</v>
      </c>
      <c r="M2628">
        <v>34.500290859609002</v>
      </c>
      <c r="N2628">
        <v>49.787123726855199</v>
      </c>
      <c r="O2628">
        <v>49.435277123383798</v>
      </c>
      <c r="P2628">
        <v>-0.16391867204511701</v>
      </c>
      <c r="Q2628">
        <v>6.0490850456654498E-2</v>
      </c>
      <c r="R2628">
        <v>0.99947415613491197</v>
      </c>
      <c r="S2628" t="s">
        <v>9030</v>
      </c>
      <c r="T2628" t="s">
        <v>12802</v>
      </c>
      <c r="U2628" t="s">
        <v>12802</v>
      </c>
      <c r="V2628" t="s">
        <v>12802</v>
      </c>
      <c r="W2628" t="s">
        <v>15384</v>
      </c>
      <c r="X2628">
        <v>61</v>
      </c>
      <c r="Y2628" t="s">
        <v>21651</v>
      </c>
      <c r="Z2628" t="s">
        <v>27946</v>
      </c>
      <c r="AA2628">
        <v>0.4594505218872636</v>
      </c>
      <c r="AB2628" t="str">
        <f>HYPERLINK("Melting_Curves/meltCurve_P46940_IQGAP1.pdf", "Melting_Curves/meltCurve_P46940_IQGAP1.pdf")</f>
        <v>Melting_Curves/meltCurve_P46940_IQGAP1.pdf</v>
      </c>
    </row>
    <row r="2629" spans="1:28" x14ac:dyDescent="0.25">
      <c r="A2629" t="s">
        <v>2633</v>
      </c>
      <c r="B2629">
        <v>0.99542014353169495</v>
      </c>
      <c r="C2629">
        <v>0.94638154501498895</v>
      </c>
      <c r="D2629">
        <v>0.94746074653458201</v>
      </c>
      <c r="E2629">
        <v>0.81394807174224904</v>
      </c>
      <c r="F2629">
        <v>0.57105691239412604</v>
      </c>
      <c r="G2629">
        <v>0.33630570242316699</v>
      </c>
      <c r="H2629">
        <v>0.21617563373572601</v>
      </c>
      <c r="I2629">
        <v>0.15558388424361</v>
      </c>
      <c r="J2629">
        <v>0.15068010527697701</v>
      </c>
      <c r="K2629">
        <v>0.19325539454243101</v>
      </c>
      <c r="L2629">
        <v>880.33550287340699</v>
      </c>
      <c r="M2629">
        <v>17.5965966799764</v>
      </c>
      <c r="N2629">
        <v>51.017931933586702</v>
      </c>
      <c r="O2629">
        <v>49.3960330151127</v>
      </c>
      <c r="P2629">
        <v>-7.6190832470305697E-2</v>
      </c>
      <c r="Q2629">
        <v>0.14453415917830101</v>
      </c>
      <c r="R2629">
        <v>0.99626063583878499</v>
      </c>
      <c r="S2629" t="s">
        <v>9031</v>
      </c>
      <c r="T2629" t="s">
        <v>12802</v>
      </c>
      <c r="U2629" t="s">
        <v>12802</v>
      </c>
      <c r="V2629" t="s">
        <v>12802</v>
      </c>
      <c r="W2629" t="s">
        <v>15385</v>
      </c>
      <c r="X2629">
        <v>5</v>
      </c>
      <c r="Y2629" t="s">
        <v>21652</v>
      </c>
      <c r="Z2629" t="s">
        <v>27947</v>
      </c>
      <c r="AA2629">
        <v>0.53003714972350902</v>
      </c>
      <c r="AB2629" t="str">
        <f>HYPERLINK("Melting_Curves/meltCurve_P46976_2_GYG1.pdf", "Melting_Curves/meltCurve_P46976_2_GYG1.pdf")</f>
        <v>Melting_Curves/meltCurve_P46976_2_GYG1.pdf</v>
      </c>
    </row>
    <row r="2630" spans="1:28" x14ac:dyDescent="0.25">
      <c r="A2630" t="s">
        <v>2634</v>
      </c>
      <c r="B2630">
        <v>0.99542014353169495</v>
      </c>
      <c r="C2630">
        <v>0.79403072884496395</v>
      </c>
      <c r="D2630">
        <v>0.87203593509993704</v>
      </c>
      <c r="E2630">
        <v>0.65259260187995105</v>
      </c>
      <c r="F2630">
        <v>0.51270894508253595</v>
      </c>
      <c r="G2630">
        <v>0.16710122050879</v>
      </c>
      <c r="H2630">
        <v>7.8479065445799301E-2</v>
      </c>
      <c r="I2630">
        <v>5.7842409717153799E-2</v>
      </c>
      <c r="J2630">
        <v>5.3893972444369199E-2</v>
      </c>
      <c r="K2630">
        <v>5.73791776292598E-2</v>
      </c>
      <c r="L2630">
        <v>625.64311720224896</v>
      </c>
      <c r="M2630">
        <v>12.7979859479696</v>
      </c>
      <c r="N2630">
        <v>48.886060664040002</v>
      </c>
      <c r="O2630">
        <v>47.738601909083997</v>
      </c>
      <c r="P2630">
        <v>-6.7033744121491004E-2</v>
      </c>
      <c r="Q2630">
        <v>0</v>
      </c>
      <c r="R2630">
        <v>0.96831621698509895</v>
      </c>
      <c r="S2630" t="s">
        <v>9032</v>
      </c>
      <c r="T2630" t="s">
        <v>12802</v>
      </c>
      <c r="U2630" t="s">
        <v>12802</v>
      </c>
      <c r="V2630" t="s">
        <v>12802</v>
      </c>
      <c r="W2630" t="s">
        <v>15386</v>
      </c>
      <c r="X2630">
        <v>15</v>
      </c>
      <c r="Y2630" t="s">
        <v>21653</v>
      </c>
      <c r="Z2630" t="s">
        <v>27948</v>
      </c>
      <c r="AA2630">
        <v>0.42357137445051402</v>
      </c>
      <c r="AB2630" t="str">
        <f>HYPERLINK("Melting_Curves/meltCurve_P46977_STT3A.pdf", "Melting_Curves/meltCurve_P46977_STT3A.pdf")</f>
        <v>Melting_Curves/meltCurve_P46977_STT3A.pdf</v>
      </c>
    </row>
    <row r="2631" spans="1:28" x14ac:dyDescent="0.25">
      <c r="A2631" t="s">
        <v>2635</v>
      </c>
      <c r="B2631">
        <v>0.99542014353169495</v>
      </c>
      <c r="C2631">
        <v>1.0026047619768499</v>
      </c>
      <c r="D2631">
        <v>0.84787927084366799</v>
      </c>
      <c r="E2631">
        <v>0.866950044363893</v>
      </c>
      <c r="F2631">
        <v>0.44312575887467198</v>
      </c>
      <c r="G2631">
        <v>0.24535419740178999</v>
      </c>
      <c r="H2631">
        <v>0.13813169312038701</v>
      </c>
      <c r="I2631">
        <v>0.122048013812703</v>
      </c>
      <c r="J2631">
        <v>0.101281329082897</v>
      </c>
      <c r="K2631">
        <v>9.2487199567251099E-2</v>
      </c>
      <c r="L2631">
        <v>1036.8464549166599</v>
      </c>
      <c r="M2631">
        <v>20.974196079219599</v>
      </c>
      <c r="N2631">
        <v>49.935029331027003</v>
      </c>
      <c r="O2631">
        <v>48.991590251164503</v>
      </c>
      <c r="P2631">
        <v>-9.6883320870813694E-2</v>
      </c>
      <c r="Q2631">
        <v>9.4823004312533904E-2</v>
      </c>
      <c r="R2631">
        <v>0.98681539053318901</v>
      </c>
      <c r="S2631" t="s">
        <v>9033</v>
      </c>
      <c r="T2631" t="s">
        <v>12802</v>
      </c>
      <c r="U2631" t="s">
        <v>12802</v>
      </c>
      <c r="V2631" t="s">
        <v>12802</v>
      </c>
      <c r="W2631" t="s">
        <v>15387</v>
      </c>
      <c r="X2631">
        <v>2</v>
      </c>
      <c r="Y2631" t="s">
        <v>21654</v>
      </c>
      <c r="Z2631" t="s">
        <v>27949</v>
      </c>
      <c r="AA2631">
        <v>0.48094529442864159</v>
      </c>
      <c r="AB2631" t="str">
        <f>HYPERLINK("Melting_Curves/meltCurve_P47224_RABIF.pdf", "Melting_Curves/meltCurve_P47224_RABIF.pdf")</f>
        <v>Melting_Curves/meltCurve_P47224_RABIF.pdf</v>
      </c>
    </row>
    <row r="2632" spans="1:28" x14ac:dyDescent="0.25">
      <c r="A2632" t="s">
        <v>2636</v>
      </c>
      <c r="B2632">
        <v>0.99542014353169495</v>
      </c>
      <c r="C2632">
        <v>1.04524715194994</v>
      </c>
      <c r="D2632">
        <v>1.02938374843094</v>
      </c>
      <c r="E2632">
        <v>0.94086269162261804</v>
      </c>
      <c r="F2632">
        <v>0.72623593678853604</v>
      </c>
      <c r="G2632">
        <v>0.38087859171890598</v>
      </c>
      <c r="H2632">
        <v>0.18376396895959099</v>
      </c>
      <c r="I2632">
        <v>0.124206483205076</v>
      </c>
      <c r="J2632">
        <v>0.13856649845230701</v>
      </c>
      <c r="K2632">
        <v>0.161643592339349</v>
      </c>
      <c r="L2632">
        <v>1329.7918798231501</v>
      </c>
      <c r="M2632">
        <v>25.695254753853099</v>
      </c>
      <c r="N2632">
        <v>52.375184230899201</v>
      </c>
      <c r="O2632">
        <v>51.442025801900797</v>
      </c>
      <c r="P2632">
        <v>-0.10843872009489</v>
      </c>
      <c r="Q2632">
        <v>0.131631082080268</v>
      </c>
      <c r="R2632">
        <v>0.99666405516601697</v>
      </c>
      <c r="S2632" t="s">
        <v>9034</v>
      </c>
      <c r="T2632" t="s">
        <v>12802</v>
      </c>
      <c r="U2632" t="s">
        <v>12802</v>
      </c>
      <c r="V2632" t="s">
        <v>12802</v>
      </c>
      <c r="W2632" t="s">
        <v>15388</v>
      </c>
      <c r="X2632">
        <v>12</v>
      </c>
      <c r="Y2632" t="s">
        <v>21655</v>
      </c>
      <c r="Z2632" t="s">
        <v>27950</v>
      </c>
      <c r="AA2632">
        <v>0.56596352145273365</v>
      </c>
      <c r="AB2632" t="str">
        <f>HYPERLINK("Melting_Curves/meltCurve_P47755_CAPZA2.pdf", "Melting_Curves/meltCurve_P47755_CAPZA2.pdf")</f>
        <v>Melting_Curves/meltCurve_P47755_CAPZA2.pdf</v>
      </c>
    </row>
    <row r="2633" spans="1:28" x14ac:dyDescent="0.25">
      <c r="A2633" t="s">
        <v>2637</v>
      </c>
      <c r="B2633">
        <v>0.99542014353169495</v>
      </c>
      <c r="C2633">
        <v>0.93355511438412098</v>
      </c>
      <c r="D2633">
        <v>0.99846960334055501</v>
      </c>
      <c r="E2633">
        <v>0.89099300007428295</v>
      </c>
      <c r="F2633">
        <v>0.66119350864149795</v>
      </c>
      <c r="G2633">
        <v>0.311612969617169</v>
      </c>
      <c r="H2633">
        <v>0.13366401467269401</v>
      </c>
      <c r="I2633">
        <v>7.0233327968602599E-2</v>
      </c>
      <c r="J2633">
        <v>6.4339369690667197E-2</v>
      </c>
      <c r="K2633">
        <v>7.1521978023765698E-2</v>
      </c>
      <c r="L2633">
        <v>1120.4563319515</v>
      </c>
      <c r="M2633">
        <v>21.7864130209188</v>
      </c>
      <c r="N2633">
        <v>51.684234117795597</v>
      </c>
      <c r="O2633">
        <v>51.001716879256598</v>
      </c>
      <c r="P2633">
        <v>-0.101351021855852</v>
      </c>
      <c r="Q2633">
        <v>5.0976226845613197E-2</v>
      </c>
      <c r="R2633">
        <v>0.99670546787356995</v>
      </c>
      <c r="S2633" t="s">
        <v>9035</v>
      </c>
      <c r="T2633" t="s">
        <v>12802</v>
      </c>
      <c r="U2633" t="s">
        <v>12802</v>
      </c>
      <c r="V2633" t="s">
        <v>12802</v>
      </c>
      <c r="W2633" t="s">
        <v>15389</v>
      </c>
      <c r="X2633">
        <v>25</v>
      </c>
      <c r="Y2633" t="s">
        <v>21656</v>
      </c>
      <c r="Z2633" t="s">
        <v>27951</v>
      </c>
      <c r="AA2633">
        <v>0.51814800984129705</v>
      </c>
      <c r="AB2633" t="str">
        <f>HYPERLINK("Melting_Curves/meltCurve_P47756_2_CAPZB.pdf", "Melting_Curves/meltCurve_P47756_2_CAPZB.pdf")</f>
        <v>Melting_Curves/meltCurve_P47756_2_CAPZB.pdf</v>
      </c>
    </row>
    <row r="2634" spans="1:28" x14ac:dyDescent="0.25">
      <c r="A2634" t="s">
        <v>2638</v>
      </c>
      <c r="B2634">
        <v>0.99542014353169495</v>
      </c>
      <c r="C2634">
        <v>1.0267490621272499</v>
      </c>
      <c r="D2634">
        <v>1.0771117431617701</v>
      </c>
      <c r="E2634">
        <v>1.07950041692915</v>
      </c>
      <c r="F2634">
        <v>0.766201661553779</v>
      </c>
      <c r="G2634">
        <v>0.57064168372656698</v>
      </c>
      <c r="H2634">
        <v>0.20061012692685101</v>
      </c>
      <c r="I2634">
        <v>9.7933219424870002E-2</v>
      </c>
      <c r="J2634">
        <v>0.103054212682436</v>
      </c>
      <c r="K2634">
        <v>9.7693957000640694E-2</v>
      </c>
      <c r="L2634">
        <v>1285.34744590389</v>
      </c>
      <c r="M2634">
        <v>23.974168498607401</v>
      </c>
      <c r="N2634">
        <v>53.967265063705398</v>
      </c>
      <c r="O2634">
        <v>53.245010128043802</v>
      </c>
      <c r="P2634">
        <v>-0.10438936240289499</v>
      </c>
      <c r="Q2634">
        <v>7.2648014666095204E-2</v>
      </c>
      <c r="R2634">
        <v>0.98307600500949499</v>
      </c>
      <c r="S2634" t="s">
        <v>9036</v>
      </c>
      <c r="T2634" t="s">
        <v>12802</v>
      </c>
      <c r="U2634" t="s">
        <v>12802</v>
      </c>
      <c r="V2634" t="s">
        <v>12802</v>
      </c>
      <c r="W2634" t="s">
        <v>15390</v>
      </c>
      <c r="X2634">
        <v>9</v>
      </c>
      <c r="Y2634" t="s">
        <v>21657</v>
      </c>
      <c r="Z2634" t="s">
        <v>27952</v>
      </c>
      <c r="AA2634">
        <v>0.59493359459949391</v>
      </c>
      <c r="AB2634" t="str">
        <f>HYPERLINK("Melting_Curves/meltCurve_P47813_EIF1AX.pdf", "Melting_Curves/meltCurve_P47813_EIF1AX.pdf")</f>
        <v>Melting_Curves/meltCurve_P47813_EIF1AX.pdf</v>
      </c>
    </row>
    <row r="2635" spans="1:28" x14ac:dyDescent="0.25">
      <c r="A2635" t="s">
        <v>2639</v>
      </c>
      <c r="B2635">
        <v>0.99542014353169495</v>
      </c>
      <c r="C2635">
        <v>0.88438421275794399</v>
      </c>
      <c r="D2635">
        <v>0.878959429376582</v>
      </c>
      <c r="E2635">
        <v>0.36798971592850799</v>
      </c>
      <c r="F2635">
        <v>0.17872991073998001</v>
      </c>
      <c r="G2635">
        <v>9.6699362785478402E-2</v>
      </c>
      <c r="H2635">
        <v>6.4524749959903899E-2</v>
      </c>
      <c r="I2635">
        <v>4.3939016195279297E-2</v>
      </c>
      <c r="J2635">
        <v>4.2576390450967498E-2</v>
      </c>
      <c r="K2635">
        <v>4.4617034259854797E-2</v>
      </c>
      <c r="L2635">
        <v>1116.12932483657</v>
      </c>
      <c r="M2635">
        <v>24.475105173316202</v>
      </c>
      <c r="N2635">
        <v>45.819757089496399</v>
      </c>
      <c r="O2635">
        <v>45.301471467855499</v>
      </c>
      <c r="P2635">
        <v>-0.127674540190962</v>
      </c>
      <c r="Q2635">
        <v>5.4752149155776503E-2</v>
      </c>
      <c r="R2635">
        <v>0.99022260913022997</v>
      </c>
      <c r="S2635" t="s">
        <v>9037</v>
      </c>
      <c r="T2635" t="s">
        <v>12802</v>
      </c>
      <c r="U2635" t="s">
        <v>12802</v>
      </c>
      <c r="V2635" t="s">
        <v>12802</v>
      </c>
      <c r="W2635" t="s">
        <v>15391</v>
      </c>
      <c r="X2635">
        <v>15</v>
      </c>
      <c r="Y2635" t="s">
        <v>21658</v>
      </c>
      <c r="Z2635" t="s">
        <v>27953</v>
      </c>
      <c r="AA2635">
        <v>0.33395380206368241</v>
      </c>
      <c r="AB2635" t="str">
        <f>HYPERLINK("Melting_Curves/meltCurve_P47897_QARS.pdf", "Melting_Curves/meltCurve_P47897_QARS.pdf")</f>
        <v>Melting_Curves/meltCurve_P47897_QARS.pdf</v>
      </c>
    </row>
    <row r="2636" spans="1:28" x14ac:dyDescent="0.25">
      <c r="A2636" t="s">
        <v>2640</v>
      </c>
      <c r="B2636">
        <v>0.99542014353169495</v>
      </c>
      <c r="C2636">
        <v>1.0013033716350599</v>
      </c>
      <c r="D2636">
        <v>1.11722730025188</v>
      </c>
      <c r="E2636">
        <v>0.86466042898479201</v>
      </c>
      <c r="F2636">
        <v>0.62607067876343603</v>
      </c>
      <c r="G2636">
        <v>0.26838103449238399</v>
      </c>
      <c r="H2636">
        <v>0.186882528132605</v>
      </c>
      <c r="I2636">
        <v>0.11531227378615801</v>
      </c>
      <c r="J2636">
        <v>0.13068110072252401</v>
      </c>
      <c r="K2636">
        <v>0.19457472749894</v>
      </c>
      <c r="L2636">
        <v>1342.53263602062</v>
      </c>
      <c r="M2636">
        <v>26.590753086844899</v>
      </c>
      <c r="N2636">
        <v>51.140319300448603</v>
      </c>
      <c r="O2636">
        <v>50.205719884002797</v>
      </c>
      <c r="P2636">
        <v>-0.113384231712606</v>
      </c>
      <c r="Q2636">
        <v>0.143690317495484</v>
      </c>
      <c r="R2636">
        <v>0.98478897526380904</v>
      </c>
      <c r="S2636" t="s">
        <v>9038</v>
      </c>
      <c r="T2636" t="s">
        <v>12802</v>
      </c>
      <c r="U2636" t="s">
        <v>12802</v>
      </c>
      <c r="V2636" t="s">
        <v>12802</v>
      </c>
      <c r="W2636" t="s">
        <v>15392</v>
      </c>
      <c r="X2636">
        <v>5</v>
      </c>
      <c r="Y2636" t="s">
        <v>21659</v>
      </c>
      <c r="Z2636" t="s">
        <v>27954</v>
      </c>
      <c r="AA2636">
        <v>0.53539946281158968</v>
      </c>
      <c r="AB2636" t="str">
        <f>HYPERLINK("Melting_Curves/meltCurve_P47914_RPL29.pdf", "Melting_Curves/meltCurve_P47914_RPL29.pdf")</f>
        <v>Melting_Curves/meltCurve_P47914_RPL29.pdf</v>
      </c>
    </row>
    <row r="2637" spans="1:28" x14ac:dyDescent="0.25">
      <c r="A2637" t="s">
        <v>2641</v>
      </c>
      <c r="B2637">
        <v>0.99542014353169495</v>
      </c>
      <c r="C2637">
        <v>0.949858047001093</v>
      </c>
      <c r="D2637">
        <v>0.80059825277266305</v>
      </c>
      <c r="E2637">
        <v>0.45532945526989599</v>
      </c>
      <c r="F2637">
        <v>0.21843078664142901</v>
      </c>
      <c r="G2637">
        <v>0.12783899801850199</v>
      </c>
      <c r="H2637">
        <v>4.5263197958339101E-2</v>
      </c>
      <c r="I2637">
        <v>0</v>
      </c>
      <c r="J2637">
        <v>0</v>
      </c>
      <c r="K2637">
        <v>0</v>
      </c>
      <c r="L2637">
        <v>774.35893860155102</v>
      </c>
      <c r="M2637">
        <v>16.700149763894199</v>
      </c>
      <c r="N2637">
        <v>46.368375366502598</v>
      </c>
      <c r="O2637">
        <v>45.718824507897502</v>
      </c>
      <c r="P2637">
        <v>-9.1325930108823603E-2</v>
      </c>
      <c r="Q2637">
        <v>0</v>
      </c>
      <c r="R2637">
        <v>0.998099844424996</v>
      </c>
      <c r="S2637" t="s">
        <v>9039</v>
      </c>
      <c r="T2637" t="s">
        <v>12802</v>
      </c>
      <c r="U2637" t="s">
        <v>12802</v>
      </c>
      <c r="V2637" t="s">
        <v>12802</v>
      </c>
      <c r="W2637" t="s">
        <v>15393</v>
      </c>
      <c r="X2637">
        <v>4</v>
      </c>
      <c r="Y2637" t="s">
        <v>21660</v>
      </c>
      <c r="Z2637" t="s">
        <v>27955</v>
      </c>
      <c r="AA2637">
        <v>0.33092270984953298</v>
      </c>
      <c r="AB2637" t="str">
        <f>HYPERLINK("Melting_Curves/meltCurve_P47974_ZFP36L2.pdf", "Melting_Curves/meltCurve_P47974_ZFP36L2.pdf")</f>
        <v>Melting_Curves/meltCurve_P47974_ZFP36L2.pdf</v>
      </c>
    </row>
    <row r="2638" spans="1:28" x14ac:dyDescent="0.25">
      <c r="A2638" t="s">
        <v>2642</v>
      </c>
      <c r="B2638">
        <v>0.99542014353169495</v>
      </c>
      <c r="C2638">
        <v>0.97144730246081801</v>
      </c>
      <c r="D2638">
        <v>0.99129513920006496</v>
      </c>
      <c r="E2638">
        <v>0.64544447298073004</v>
      </c>
      <c r="F2638">
        <v>0.529073221893269</v>
      </c>
      <c r="G2638">
        <v>0.36208545105205497</v>
      </c>
      <c r="H2638">
        <v>0.18251393606726499</v>
      </c>
      <c r="I2638">
        <v>0.112266801072315</v>
      </c>
      <c r="J2638">
        <v>0.12855775763451299</v>
      </c>
      <c r="K2638">
        <v>0.15706452711498201</v>
      </c>
      <c r="L2638">
        <v>706.19479264086795</v>
      </c>
      <c r="M2638">
        <v>14.281570725306301</v>
      </c>
      <c r="N2638">
        <v>50.230992883814302</v>
      </c>
      <c r="O2638">
        <v>48.508784264595597</v>
      </c>
      <c r="P2638">
        <v>-6.6266101696331306E-2</v>
      </c>
      <c r="Q2638">
        <v>9.9792421913009896E-2</v>
      </c>
      <c r="R2638">
        <v>0.98227510476605795</v>
      </c>
      <c r="S2638" t="s">
        <v>9040</v>
      </c>
      <c r="T2638" t="s">
        <v>12802</v>
      </c>
      <c r="U2638" t="s">
        <v>12802</v>
      </c>
      <c r="V2638" t="s">
        <v>12802</v>
      </c>
      <c r="W2638" t="s">
        <v>15394</v>
      </c>
      <c r="X2638">
        <v>14</v>
      </c>
      <c r="Y2638" t="s">
        <v>21661</v>
      </c>
      <c r="Z2638" t="s">
        <v>27956</v>
      </c>
      <c r="AA2638">
        <v>0.49390168050481231</v>
      </c>
      <c r="AB2638" t="str">
        <f>HYPERLINK("Melting_Curves/meltCurve_P47985_UQCRFS1.pdf", "Melting_Curves/meltCurve_P47985_UQCRFS1.pdf")</f>
        <v>Melting_Curves/meltCurve_P47985_UQCRFS1.pdf</v>
      </c>
    </row>
    <row r="2639" spans="1:28" x14ac:dyDescent="0.25">
      <c r="A2639" t="s">
        <v>2643</v>
      </c>
      <c r="B2639">
        <v>0.99542014353169495</v>
      </c>
      <c r="C2639">
        <v>0.87846568696584004</v>
      </c>
      <c r="D2639">
        <v>0.89844977394058001</v>
      </c>
      <c r="E2639">
        <v>0.76752033724672797</v>
      </c>
      <c r="F2639">
        <v>0.66296087303067497</v>
      </c>
      <c r="G2639">
        <v>0.41632726171935602</v>
      </c>
      <c r="H2639">
        <v>0.32851041273568199</v>
      </c>
      <c r="I2639">
        <v>0.32707017988349302</v>
      </c>
      <c r="J2639">
        <v>0.383299042768868</v>
      </c>
      <c r="K2639">
        <v>0.20002887261503399</v>
      </c>
      <c r="L2639">
        <v>540.471893856615</v>
      </c>
      <c r="M2639">
        <v>10.7749557808379</v>
      </c>
      <c r="N2639">
        <v>52.8971486133916</v>
      </c>
      <c r="O2639">
        <v>48.524940791238897</v>
      </c>
      <c r="P2639">
        <v>-4.3665818094723502E-2</v>
      </c>
      <c r="Q2639">
        <v>0.213692352727753</v>
      </c>
      <c r="R2639">
        <v>0.96159398514944805</v>
      </c>
      <c r="S2639" t="s">
        <v>9041</v>
      </c>
      <c r="T2639" t="s">
        <v>12802</v>
      </c>
      <c r="U2639" t="s">
        <v>12802</v>
      </c>
      <c r="V2639" t="s">
        <v>12802</v>
      </c>
      <c r="W2639" t="s">
        <v>15395</v>
      </c>
      <c r="X2639">
        <v>2</v>
      </c>
      <c r="Y2639" t="s">
        <v>21662</v>
      </c>
      <c r="Z2639" t="s">
        <v>27957</v>
      </c>
      <c r="AA2639">
        <v>0.58306809988626163</v>
      </c>
      <c r="AB2639" t="str">
        <f>HYPERLINK("Melting_Curves/meltCurve_P48029_SLC6A8.pdf", "Melting_Curves/meltCurve_P48029_SLC6A8.pdf")</f>
        <v>Melting_Curves/meltCurve_P48029_SLC6A8.pdf</v>
      </c>
    </row>
    <row r="2640" spans="1:28" x14ac:dyDescent="0.25">
      <c r="A2640" t="s">
        <v>2644</v>
      </c>
      <c r="B2640">
        <v>0.99542014353169495</v>
      </c>
      <c r="C2640">
        <v>0.75387154100054798</v>
      </c>
      <c r="D2640">
        <v>0.88730066683506703</v>
      </c>
      <c r="E2640">
        <v>0.56887139176409196</v>
      </c>
      <c r="F2640">
        <v>0.40150249488189399</v>
      </c>
      <c r="G2640">
        <v>0.16772608603970501</v>
      </c>
      <c r="H2640">
        <v>0.13715540828193701</v>
      </c>
      <c r="I2640">
        <v>0.118451958888301</v>
      </c>
      <c r="J2640">
        <v>0.113836772190423</v>
      </c>
      <c r="K2640">
        <v>4.3255142593427401E-2</v>
      </c>
      <c r="L2640">
        <v>559.11375895542199</v>
      </c>
      <c r="M2640">
        <v>11.736836434568</v>
      </c>
      <c r="N2640">
        <v>47.893322461264198</v>
      </c>
      <c r="O2640">
        <v>46.317673970938003</v>
      </c>
      <c r="P2640">
        <v>-6.1441133181820998E-2</v>
      </c>
      <c r="Q2640">
        <v>3.0381727270388199E-2</v>
      </c>
      <c r="R2640">
        <v>0.96338932980868197</v>
      </c>
      <c r="S2640" t="s">
        <v>9042</v>
      </c>
      <c r="T2640" t="s">
        <v>12802</v>
      </c>
      <c r="U2640" t="s">
        <v>12802</v>
      </c>
      <c r="V2640" t="s">
        <v>12802</v>
      </c>
      <c r="W2640" t="s">
        <v>15396</v>
      </c>
      <c r="X2640">
        <v>12</v>
      </c>
      <c r="Y2640" t="s">
        <v>21663</v>
      </c>
      <c r="Z2640" t="s">
        <v>27958</v>
      </c>
      <c r="AA2640">
        <v>0.40613732258750979</v>
      </c>
      <c r="AB2640" t="str">
        <f>HYPERLINK("Melting_Curves/meltCurve_P48047_ATP5O.pdf", "Melting_Curves/meltCurve_P48047_ATP5O.pdf")</f>
        <v>Melting_Curves/meltCurve_P48047_ATP5O.pdf</v>
      </c>
    </row>
    <row r="2641" spans="1:28" x14ac:dyDescent="0.25">
      <c r="A2641" t="s">
        <v>2645</v>
      </c>
      <c r="B2641">
        <v>0.99542014353169495</v>
      </c>
      <c r="C2641">
        <v>1.0100398785184701</v>
      </c>
      <c r="D2641">
        <v>0.94696993271657104</v>
      </c>
      <c r="E2641">
        <v>0.91753428980221496</v>
      </c>
      <c r="F2641">
        <v>0.74004100930003203</v>
      </c>
      <c r="G2641">
        <v>0.63622221243895605</v>
      </c>
      <c r="H2641">
        <v>0.33655252697966798</v>
      </c>
      <c r="I2641">
        <v>0.156046013557879</v>
      </c>
      <c r="J2641">
        <v>9.8472740253344501E-2</v>
      </c>
      <c r="K2641">
        <v>8.22749735842387E-2</v>
      </c>
      <c r="L2641">
        <v>783.08421708660501</v>
      </c>
      <c r="M2641">
        <v>14.284384736804</v>
      </c>
      <c r="N2641">
        <v>54.820997499874203</v>
      </c>
      <c r="O2641">
        <v>53.780148311877802</v>
      </c>
      <c r="P2641">
        <v>-6.6409877080622307E-2</v>
      </c>
      <c r="Q2641">
        <v>0</v>
      </c>
      <c r="R2641">
        <v>0.99251727767406706</v>
      </c>
      <c r="S2641" t="s">
        <v>9043</v>
      </c>
      <c r="T2641" t="s">
        <v>12802</v>
      </c>
      <c r="U2641" t="s">
        <v>12802</v>
      </c>
      <c r="V2641" t="s">
        <v>12802</v>
      </c>
      <c r="W2641" t="s">
        <v>15397</v>
      </c>
      <c r="X2641">
        <v>15</v>
      </c>
      <c r="Y2641" t="s">
        <v>21664</v>
      </c>
      <c r="Z2641" t="s">
        <v>27959</v>
      </c>
      <c r="AA2641">
        <v>0.60882422597710972</v>
      </c>
      <c r="AB2641" t="str">
        <f>HYPERLINK("Melting_Curves/meltCurve_P48059_3_LIMS1.pdf", "Melting_Curves/meltCurve_P48059_3_LIMS1.pdf")</f>
        <v>Melting_Curves/meltCurve_P48059_3_LIMS1.pdf</v>
      </c>
    </row>
    <row r="2642" spans="1:28" x14ac:dyDescent="0.25">
      <c r="A2642" t="s">
        <v>2646</v>
      </c>
      <c r="B2642">
        <v>0.99542014353169495</v>
      </c>
      <c r="C2642">
        <v>0.94315052485228101</v>
      </c>
      <c r="D2642">
        <v>0.86581011019627896</v>
      </c>
      <c r="E2642">
        <v>0.386360134516961</v>
      </c>
      <c r="F2642">
        <v>0.17019227335369999</v>
      </c>
      <c r="G2642">
        <v>8.8510581649738698E-2</v>
      </c>
      <c r="H2642">
        <v>4.9637371868698398E-2</v>
      </c>
      <c r="I2642">
        <v>3.4608059029290601E-2</v>
      </c>
      <c r="J2642">
        <v>3.8111673882374998E-2</v>
      </c>
      <c r="K2642">
        <v>3.0561443887855502E-2</v>
      </c>
      <c r="L2642">
        <v>1120.61699517433</v>
      </c>
      <c r="M2642">
        <v>24.501998909417701</v>
      </c>
      <c r="N2642">
        <v>45.908682557532401</v>
      </c>
      <c r="O2642">
        <v>45.434362286260402</v>
      </c>
      <c r="P2642">
        <v>-0.128879147909082</v>
      </c>
      <c r="Q2642">
        <v>4.4085318355035E-2</v>
      </c>
      <c r="R2642">
        <v>0.99707154234882001</v>
      </c>
      <c r="S2642" t="s">
        <v>9044</v>
      </c>
      <c r="T2642" t="s">
        <v>12802</v>
      </c>
      <c r="U2642" t="s">
        <v>12802</v>
      </c>
      <c r="V2642" t="s">
        <v>12802</v>
      </c>
      <c r="W2642" t="s">
        <v>15398</v>
      </c>
      <c r="X2642">
        <v>25</v>
      </c>
      <c r="Y2642" t="s">
        <v>20029</v>
      </c>
      <c r="Z2642" t="s">
        <v>27960</v>
      </c>
      <c r="AA2642">
        <v>0.33067050753128763</v>
      </c>
      <c r="AB2642" t="str">
        <f>HYPERLINK("Melting_Curves/meltCurve_P48147_PREP.pdf", "Melting_Curves/meltCurve_P48147_PREP.pdf")</f>
        <v>Melting_Curves/meltCurve_P48147_PREP.pdf</v>
      </c>
    </row>
    <row r="2643" spans="1:28" x14ac:dyDescent="0.25">
      <c r="A2643" t="s">
        <v>2647</v>
      </c>
      <c r="B2643">
        <v>0.99542014353169495</v>
      </c>
      <c r="C2643">
        <v>0.93214180933322699</v>
      </c>
      <c r="D2643">
        <v>0.93033964093011701</v>
      </c>
      <c r="E2643">
        <v>0.76097120040086597</v>
      </c>
      <c r="F2643">
        <v>0.66117330858344603</v>
      </c>
      <c r="G2643">
        <v>0.52436870727254303</v>
      </c>
      <c r="H2643">
        <v>0.314230414783223</v>
      </c>
      <c r="I2643">
        <v>0.106883678778743</v>
      </c>
      <c r="J2643">
        <v>8.1492359176547194E-2</v>
      </c>
      <c r="K2643">
        <v>7.1098496428473795E-2</v>
      </c>
      <c r="L2643">
        <v>609.18808997652798</v>
      </c>
      <c r="M2643">
        <v>11.514956076319701</v>
      </c>
      <c r="N2643">
        <v>52.904081258666501</v>
      </c>
      <c r="O2643">
        <v>51.383970123026501</v>
      </c>
      <c r="P2643">
        <v>-5.6039910245074903E-2</v>
      </c>
      <c r="Q2643">
        <v>0</v>
      </c>
      <c r="R2643">
        <v>0.98491987668410297</v>
      </c>
      <c r="S2643" t="s">
        <v>9045</v>
      </c>
      <c r="T2643" t="s">
        <v>12802</v>
      </c>
      <c r="U2643" t="s">
        <v>12802</v>
      </c>
      <c r="V2643" t="s">
        <v>12802</v>
      </c>
      <c r="W2643" t="s">
        <v>15399</v>
      </c>
      <c r="X2643">
        <v>14</v>
      </c>
      <c r="Y2643" t="s">
        <v>21665</v>
      </c>
      <c r="Z2643" t="s">
        <v>27961</v>
      </c>
      <c r="AA2643">
        <v>0.55194426842081656</v>
      </c>
      <c r="AB2643" t="str">
        <f>HYPERLINK("Melting_Curves/meltCurve_P48163_ME1.pdf", "Melting_Curves/meltCurve_P48163_ME1.pdf")</f>
        <v>Melting_Curves/meltCurve_P48163_ME1.pdf</v>
      </c>
    </row>
    <row r="2644" spans="1:28" x14ac:dyDescent="0.25">
      <c r="A2644" t="s">
        <v>2648</v>
      </c>
      <c r="B2644">
        <v>0.99542014353169495</v>
      </c>
      <c r="C2644">
        <v>0.97593489141768797</v>
      </c>
      <c r="D2644">
        <v>0.8029887599951</v>
      </c>
      <c r="E2644">
        <v>0.621150262540622</v>
      </c>
      <c r="F2644">
        <v>0.19938040153734601</v>
      </c>
      <c r="G2644">
        <v>0.12576928396915901</v>
      </c>
      <c r="H2644">
        <v>0.133263383976675</v>
      </c>
      <c r="I2644">
        <v>0.123857614408787</v>
      </c>
      <c r="J2644">
        <v>0.141778574778057</v>
      </c>
      <c r="K2644">
        <v>0.19122992185688301</v>
      </c>
      <c r="L2644">
        <v>1061.6058972026501</v>
      </c>
      <c r="M2644">
        <v>22.863207232150799</v>
      </c>
      <c r="N2644">
        <v>47.041684616270302</v>
      </c>
      <c r="O2644">
        <v>46.082090968690103</v>
      </c>
      <c r="P2644">
        <v>-0.108154324784242</v>
      </c>
      <c r="Q2644">
        <v>0.128052007926238</v>
      </c>
      <c r="R2644">
        <v>0.98346790248321303</v>
      </c>
      <c r="S2644" t="s">
        <v>9046</v>
      </c>
      <c r="T2644" t="s">
        <v>12802</v>
      </c>
      <c r="U2644" t="s">
        <v>12802</v>
      </c>
      <c r="V2644" t="s">
        <v>12802</v>
      </c>
      <c r="W2644" t="s">
        <v>15400</v>
      </c>
      <c r="X2644">
        <v>8</v>
      </c>
      <c r="Y2644" t="s">
        <v>21666</v>
      </c>
      <c r="Z2644" t="s">
        <v>27962</v>
      </c>
      <c r="AA2644">
        <v>0.41092880894651201</v>
      </c>
      <c r="AB2644" t="str">
        <f>HYPERLINK("Melting_Curves/meltCurve_P48200_IREB2.pdf", "Melting_Curves/meltCurve_P48200_IREB2.pdf")</f>
        <v>Melting_Curves/meltCurve_P48200_IREB2.pdf</v>
      </c>
    </row>
    <row r="2645" spans="1:28" x14ac:dyDescent="0.25">
      <c r="A2645" t="s">
        <v>2649</v>
      </c>
      <c r="B2645">
        <v>0.99542014353169495</v>
      </c>
      <c r="C2645">
        <v>0.91998676053532402</v>
      </c>
      <c r="D2645">
        <v>0.921858515763752</v>
      </c>
      <c r="E2645">
        <v>0.77458926206604295</v>
      </c>
      <c r="F2645">
        <v>0.62013625340374501</v>
      </c>
      <c r="G2645">
        <v>0.37667374173933499</v>
      </c>
      <c r="H2645">
        <v>0.18765593465647201</v>
      </c>
      <c r="I2645">
        <v>0.12462915457134</v>
      </c>
      <c r="J2645">
        <v>0.17575216378331299</v>
      </c>
      <c r="K2645">
        <v>0.19542647602281901</v>
      </c>
      <c r="L2645">
        <v>751.19255529390205</v>
      </c>
      <c r="M2645">
        <v>14.908065484931001</v>
      </c>
      <c r="N2645">
        <v>51.324761113442598</v>
      </c>
      <c r="O2645">
        <v>49.5077536204955</v>
      </c>
      <c r="P2645">
        <v>-6.6324351168150497E-2</v>
      </c>
      <c r="Q2645">
        <v>0.119072868697882</v>
      </c>
      <c r="R2645">
        <v>0.98524209340734603</v>
      </c>
      <c r="S2645" t="s">
        <v>9047</v>
      </c>
      <c r="T2645" t="s">
        <v>12802</v>
      </c>
      <c r="U2645" t="s">
        <v>12802</v>
      </c>
      <c r="V2645" t="s">
        <v>12802</v>
      </c>
      <c r="W2645" t="s">
        <v>15401</v>
      </c>
      <c r="X2645">
        <v>5</v>
      </c>
      <c r="Y2645" t="s">
        <v>21667</v>
      </c>
      <c r="Z2645" t="s">
        <v>27963</v>
      </c>
      <c r="AA2645">
        <v>0.53053721371319085</v>
      </c>
      <c r="AB2645" t="str">
        <f>HYPERLINK("Melting_Curves/meltCurve_P48357_2_LEPR.pdf", "Melting_Curves/meltCurve_P48357_2_LEPR.pdf")</f>
        <v>Melting_Curves/meltCurve_P48357_2_LEPR.pdf</v>
      </c>
    </row>
    <row r="2646" spans="1:28" x14ac:dyDescent="0.25">
      <c r="A2646" t="s">
        <v>2650</v>
      </c>
      <c r="B2646">
        <v>0.99542014353169495</v>
      </c>
      <c r="C2646">
        <v>0.89179592487516102</v>
      </c>
      <c r="D2646">
        <v>0.88628302008002702</v>
      </c>
      <c r="E2646">
        <v>0.66585951269805699</v>
      </c>
      <c r="F2646">
        <v>0.47367093262897503</v>
      </c>
      <c r="G2646">
        <v>0.23574757563975501</v>
      </c>
      <c r="H2646">
        <v>7.7359212979827494E-2</v>
      </c>
      <c r="I2646">
        <v>4.1986741661590103E-2</v>
      </c>
      <c r="J2646">
        <v>4.2826937834702497E-2</v>
      </c>
      <c r="K2646">
        <v>4.4362244715722997E-2</v>
      </c>
      <c r="L2646">
        <v>673.29503208300503</v>
      </c>
      <c r="M2646">
        <v>13.6918328606284</v>
      </c>
      <c r="N2646">
        <v>49.174922780571897</v>
      </c>
      <c r="O2646">
        <v>48.161509443999996</v>
      </c>
      <c r="P2646">
        <v>-7.1082710482483893E-2</v>
      </c>
      <c r="Q2646">
        <v>0</v>
      </c>
      <c r="R2646">
        <v>0.99296903835632799</v>
      </c>
      <c r="S2646" t="s">
        <v>9048</v>
      </c>
      <c r="T2646" t="s">
        <v>12802</v>
      </c>
      <c r="U2646" t="s">
        <v>12802</v>
      </c>
      <c r="V2646" t="s">
        <v>12802</v>
      </c>
      <c r="W2646" t="s">
        <v>15402</v>
      </c>
      <c r="X2646">
        <v>27</v>
      </c>
      <c r="Y2646" t="s">
        <v>21668</v>
      </c>
      <c r="Z2646" t="s">
        <v>27964</v>
      </c>
      <c r="AA2646">
        <v>0.43038446998359547</v>
      </c>
      <c r="AB2646" t="str">
        <f>HYPERLINK("Melting_Curves/meltCurve_P48444_ARCN1.pdf", "Melting_Curves/meltCurve_P48444_ARCN1.pdf")</f>
        <v>Melting_Curves/meltCurve_P48444_ARCN1.pdf</v>
      </c>
    </row>
    <row r="2647" spans="1:28" x14ac:dyDescent="0.25">
      <c r="A2647" t="s">
        <v>2651</v>
      </c>
      <c r="B2647">
        <v>0.99542014353169495</v>
      </c>
      <c r="C2647">
        <v>0.94073893267914699</v>
      </c>
      <c r="D2647">
        <v>0.91197350443044001</v>
      </c>
      <c r="E2647">
        <v>0.86435406462224296</v>
      </c>
      <c r="F2647">
        <v>0.62541123851817004</v>
      </c>
      <c r="G2647">
        <v>0.31188906894156099</v>
      </c>
      <c r="H2647">
        <v>0.112149011798717</v>
      </c>
      <c r="I2647">
        <v>7.82805976023426E-2</v>
      </c>
      <c r="J2647">
        <v>8.2683479213288405E-2</v>
      </c>
      <c r="K2647">
        <v>8.6889443017168805E-2</v>
      </c>
      <c r="L2647">
        <v>987.785278689243</v>
      </c>
      <c r="M2647">
        <v>19.3521150167279</v>
      </c>
      <c r="N2647">
        <v>51.334096169508697</v>
      </c>
      <c r="O2647">
        <v>50.507089109569399</v>
      </c>
      <c r="P2647">
        <v>-9.0810833891519394E-2</v>
      </c>
      <c r="Q2647">
        <v>5.2006286717433799E-2</v>
      </c>
      <c r="R2647">
        <v>0.99308159666815399</v>
      </c>
      <c r="S2647" t="s">
        <v>9049</v>
      </c>
      <c r="T2647" t="s">
        <v>12802</v>
      </c>
      <c r="U2647" t="s">
        <v>12802</v>
      </c>
      <c r="V2647" t="s">
        <v>12802</v>
      </c>
      <c r="W2647" t="s">
        <v>15403</v>
      </c>
      <c r="X2647">
        <v>32</v>
      </c>
      <c r="Y2647" t="s">
        <v>21669</v>
      </c>
      <c r="Z2647" t="s">
        <v>27965</v>
      </c>
      <c r="AA2647">
        <v>0.50885140617328617</v>
      </c>
      <c r="AB2647" t="str">
        <f>HYPERLINK("Melting_Curves/meltCurve_P48449_LSS.pdf", "Melting_Curves/meltCurve_P48449_LSS.pdf")</f>
        <v>Melting_Curves/meltCurve_P48449_LSS.pdf</v>
      </c>
    </row>
    <row r="2648" spans="1:28" x14ac:dyDescent="0.25">
      <c r="A2648" t="s">
        <v>2652</v>
      </c>
      <c r="B2648">
        <v>0.99542014353169495</v>
      </c>
      <c r="C2648">
        <v>1.0340488055659101</v>
      </c>
      <c r="D2648">
        <v>0.98542302622156497</v>
      </c>
      <c r="E2648">
        <v>0.84268068309916699</v>
      </c>
      <c r="F2648">
        <v>0.63690890679192902</v>
      </c>
      <c r="G2648">
        <v>0.41629285851669101</v>
      </c>
      <c r="H2648">
        <v>0.160446556222478</v>
      </c>
      <c r="I2648">
        <v>8.8128032572859102E-2</v>
      </c>
      <c r="J2648">
        <v>7.8440389054952001E-2</v>
      </c>
      <c r="K2648">
        <v>8.4443586593068304E-2</v>
      </c>
      <c r="L2648">
        <v>860.17174068114798</v>
      </c>
      <c r="M2648">
        <v>16.606181995539199</v>
      </c>
      <c r="N2648">
        <v>52.040629096007002</v>
      </c>
      <c r="O2648">
        <v>51.0646189193723</v>
      </c>
      <c r="P2648">
        <v>-7.8280076949825902E-2</v>
      </c>
      <c r="Q2648">
        <v>3.7208823568906299E-2</v>
      </c>
      <c r="R2648">
        <v>0.99552447945733302</v>
      </c>
      <c r="S2648" t="s">
        <v>9050</v>
      </c>
      <c r="T2648" t="s">
        <v>12802</v>
      </c>
      <c r="U2648" t="s">
        <v>12802</v>
      </c>
      <c r="V2648" t="s">
        <v>12802</v>
      </c>
      <c r="W2648" t="s">
        <v>15404</v>
      </c>
      <c r="X2648">
        <v>6</v>
      </c>
      <c r="Y2648" t="s">
        <v>21670</v>
      </c>
      <c r="Z2648" t="s">
        <v>27966</v>
      </c>
      <c r="AA2648">
        <v>0.52852149501859469</v>
      </c>
      <c r="AB2648" t="str">
        <f>HYPERLINK("Melting_Curves/meltCurve_P48454_PPP3CC.pdf", "Melting_Curves/meltCurve_P48454_PPP3CC.pdf")</f>
        <v>Melting_Curves/meltCurve_P48454_PPP3CC.pdf</v>
      </c>
    </row>
    <row r="2649" spans="1:28" x14ac:dyDescent="0.25">
      <c r="A2649" t="s">
        <v>2653</v>
      </c>
      <c r="B2649">
        <v>0.99542014353169495</v>
      </c>
      <c r="C2649">
        <v>1.02583773295432</v>
      </c>
      <c r="D2649">
        <v>1.03791929928462</v>
      </c>
      <c r="E2649">
        <v>0.94641332490140095</v>
      </c>
      <c r="F2649">
        <v>0.74681219638250496</v>
      </c>
      <c r="G2649">
        <v>0.34806006053941602</v>
      </c>
      <c r="H2649">
        <v>0.13518031771896899</v>
      </c>
      <c r="I2649">
        <v>5.60192963691468E-2</v>
      </c>
      <c r="J2649">
        <v>4.6575089300652801E-2</v>
      </c>
      <c r="K2649">
        <v>4.7436637824745803E-2</v>
      </c>
      <c r="L2649">
        <v>1316.1376551999001</v>
      </c>
      <c r="M2649">
        <v>25.199874190071402</v>
      </c>
      <c r="N2649">
        <v>52.396885906972102</v>
      </c>
      <c r="O2649">
        <v>51.902380375807901</v>
      </c>
      <c r="P2649">
        <v>-0.11664610037273999</v>
      </c>
      <c r="Q2649">
        <v>3.9021964426365498E-2</v>
      </c>
      <c r="R2649">
        <v>0.99850454847759695</v>
      </c>
      <c r="S2649" t="s">
        <v>9051</v>
      </c>
      <c r="T2649" t="s">
        <v>12802</v>
      </c>
      <c r="U2649" t="s">
        <v>12802</v>
      </c>
      <c r="V2649" t="s">
        <v>12802</v>
      </c>
      <c r="W2649" t="s">
        <v>15405</v>
      </c>
      <c r="X2649">
        <v>11</v>
      </c>
      <c r="Y2649" t="s">
        <v>21671</v>
      </c>
      <c r="Z2649" t="s">
        <v>27967</v>
      </c>
      <c r="AA2649">
        <v>0.53520694912285716</v>
      </c>
      <c r="AB2649" t="str">
        <f>HYPERLINK("Melting_Curves/meltCurve_P48506_GCLC.pdf", "Melting_Curves/meltCurve_P48506_GCLC.pdf")</f>
        <v>Melting_Curves/meltCurve_P48506_GCLC.pdf</v>
      </c>
    </row>
    <row r="2650" spans="1:28" x14ac:dyDescent="0.25">
      <c r="A2650" t="s">
        <v>2654</v>
      </c>
      <c r="B2650">
        <v>0.99542014353169495</v>
      </c>
      <c r="C2650">
        <v>1.0491499177232899</v>
      </c>
      <c r="D2650">
        <v>0.98619916521805895</v>
      </c>
      <c r="E2650">
        <v>0.82223165772889395</v>
      </c>
      <c r="F2650">
        <v>0.25636543217235502</v>
      </c>
      <c r="G2650">
        <v>0.138893110723494</v>
      </c>
      <c r="H2650">
        <v>8.3885712201638193E-2</v>
      </c>
      <c r="I2650">
        <v>6.2689591756056207E-2</v>
      </c>
      <c r="J2650">
        <v>7.9282881588269294E-2</v>
      </c>
      <c r="K2650">
        <v>8.2750406879853605E-2</v>
      </c>
      <c r="L2650">
        <v>1816.18717176064</v>
      </c>
      <c r="M2650">
        <v>37.578521229077403</v>
      </c>
      <c r="N2650">
        <v>48.566984822875902</v>
      </c>
      <c r="O2650">
        <v>48.194202744647399</v>
      </c>
      <c r="P2650">
        <v>-0.178633198054477</v>
      </c>
      <c r="Q2650">
        <v>8.3618906216933603E-2</v>
      </c>
      <c r="R2650">
        <v>0.99755498864234604</v>
      </c>
      <c r="S2650" t="s">
        <v>9052</v>
      </c>
      <c r="T2650" t="s">
        <v>12802</v>
      </c>
      <c r="U2650" t="s">
        <v>12802</v>
      </c>
      <c r="V2650" t="s">
        <v>12802</v>
      </c>
      <c r="W2650" t="s">
        <v>15406</v>
      </c>
      <c r="X2650">
        <v>11</v>
      </c>
      <c r="Y2650" t="s">
        <v>21672</v>
      </c>
      <c r="Z2650" t="s">
        <v>27968</v>
      </c>
      <c r="AA2650">
        <v>0.43319118531747419</v>
      </c>
      <c r="AB2650" t="str">
        <f>HYPERLINK("Melting_Curves/meltCurve_P48507_GCLM.pdf", "Melting_Curves/meltCurve_P48507_GCLM.pdf")</f>
        <v>Melting_Curves/meltCurve_P48507_GCLM.pdf</v>
      </c>
    </row>
    <row r="2651" spans="1:28" x14ac:dyDescent="0.25">
      <c r="A2651" t="s">
        <v>2655</v>
      </c>
      <c r="B2651">
        <v>0.99542014353169495</v>
      </c>
      <c r="C2651">
        <v>0.97008701430328304</v>
      </c>
      <c r="D2651">
        <v>1.07137813814281</v>
      </c>
      <c r="E2651">
        <v>0.99563150289814595</v>
      </c>
      <c r="F2651">
        <v>0.74196242401796797</v>
      </c>
      <c r="G2651">
        <v>0.38551219160122602</v>
      </c>
      <c r="H2651">
        <v>0.24281962742049201</v>
      </c>
      <c r="I2651">
        <v>0.22285832268346101</v>
      </c>
      <c r="J2651">
        <v>0.411700115005522</v>
      </c>
      <c r="K2651">
        <v>0.86323962060832604</v>
      </c>
      <c r="L2651">
        <v>12560.289231336101</v>
      </c>
      <c r="M2651">
        <v>250</v>
      </c>
      <c r="N2651">
        <v>50.625942508340103</v>
      </c>
      <c r="O2651">
        <v>50.237941839693796</v>
      </c>
      <c r="P2651">
        <v>-0.715064663425513</v>
      </c>
      <c r="Q2651">
        <v>0.42522596928239098</v>
      </c>
      <c r="R2651">
        <v>0.73453346510226902</v>
      </c>
      <c r="S2651" t="s">
        <v>9053</v>
      </c>
      <c r="T2651" t="s">
        <v>12802</v>
      </c>
      <c r="U2651" t="s">
        <v>12802</v>
      </c>
      <c r="V2651" t="s">
        <v>12802</v>
      </c>
      <c r="W2651" t="s">
        <v>15407</v>
      </c>
      <c r="X2651">
        <v>50</v>
      </c>
      <c r="Y2651" t="s">
        <v>21673</v>
      </c>
      <c r="Z2651" t="s">
        <v>27969</v>
      </c>
      <c r="AA2651">
        <v>0.67896575309415497</v>
      </c>
      <c r="AB2651" t="str">
        <f>HYPERLINK("Melting_Curves/meltCurve_P48634_PRRC2A.pdf", "Melting_Curves/meltCurve_P48634_PRRC2A.pdf")</f>
        <v>Melting_Curves/meltCurve_P48634_PRRC2A.pdf</v>
      </c>
    </row>
    <row r="2652" spans="1:28" x14ac:dyDescent="0.25">
      <c r="A2652" t="s">
        <v>2656</v>
      </c>
      <c r="B2652">
        <v>0.99542014353169495</v>
      </c>
      <c r="C2652">
        <v>0.98528184533933005</v>
      </c>
      <c r="D2652">
        <v>0.93705747099511305</v>
      </c>
      <c r="E2652">
        <v>0.913024331785254</v>
      </c>
      <c r="F2652">
        <v>0.77017656717254901</v>
      </c>
      <c r="G2652">
        <v>0.63124056924785599</v>
      </c>
      <c r="H2652">
        <v>0.50292869537549501</v>
      </c>
      <c r="I2652">
        <v>0.46104631387845202</v>
      </c>
      <c r="J2652">
        <v>0.58104029732880502</v>
      </c>
      <c r="K2652">
        <v>0.157107831987878</v>
      </c>
      <c r="L2652">
        <v>415.50006771677101</v>
      </c>
      <c r="M2652">
        <v>7.00618604267697</v>
      </c>
      <c r="N2652">
        <v>59.304743443818801</v>
      </c>
      <c r="O2652">
        <v>55.040378792149397</v>
      </c>
      <c r="P2652">
        <v>-3.1881744297341003E-2</v>
      </c>
      <c r="Q2652">
        <v>0</v>
      </c>
      <c r="R2652">
        <v>0.89204759533426103</v>
      </c>
      <c r="S2652" t="s">
        <v>9054</v>
      </c>
      <c r="T2652" t="s">
        <v>12802</v>
      </c>
      <c r="U2652" t="s">
        <v>12802</v>
      </c>
      <c r="V2652" t="s">
        <v>12802</v>
      </c>
      <c r="W2652" t="s">
        <v>15408</v>
      </c>
      <c r="X2652">
        <v>32</v>
      </c>
      <c r="Y2652" t="s">
        <v>21674</v>
      </c>
      <c r="Z2652" t="s">
        <v>27970</v>
      </c>
      <c r="AA2652">
        <v>0.69765604876415677</v>
      </c>
      <c r="AB2652" t="str">
        <f>HYPERLINK("Melting_Curves/meltCurve_P48637_GSS.pdf", "Melting_Curves/meltCurve_P48637_GSS.pdf")</f>
        <v>Melting_Curves/meltCurve_P48637_GSS.pdf</v>
      </c>
    </row>
    <row r="2653" spans="1:28" x14ac:dyDescent="0.25">
      <c r="A2653" t="s">
        <v>2657</v>
      </c>
      <c r="B2653">
        <v>0.99542014353169495</v>
      </c>
      <c r="C2653">
        <v>0.91069396949247605</v>
      </c>
      <c r="D2653">
        <v>0.93950873926540901</v>
      </c>
      <c r="E2653">
        <v>0.82238590654850796</v>
      </c>
      <c r="F2653">
        <v>0.56109300910308002</v>
      </c>
      <c r="G2653">
        <v>0.30289707377873498</v>
      </c>
      <c r="H2653">
        <v>0.32177817228971201</v>
      </c>
      <c r="I2653">
        <v>0.43174132188084602</v>
      </c>
      <c r="J2653">
        <v>0.48470226117370702</v>
      </c>
      <c r="K2653">
        <v>0.15944784272826701</v>
      </c>
      <c r="L2653">
        <v>1223.9786725553799</v>
      </c>
      <c r="M2653">
        <v>25.2562206825156</v>
      </c>
      <c r="N2653">
        <v>50.646747831064999</v>
      </c>
      <c r="O2653">
        <v>48.161689562745899</v>
      </c>
      <c r="P2653">
        <v>-8.7607520542296202E-2</v>
      </c>
      <c r="Q2653">
        <v>0.331764958028683</v>
      </c>
      <c r="R2653">
        <v>0.90405026558929102</v>
      </c>
      <c r="S2653" t="s">
        <v>9055</v>
      </c>
      <c r="T2653" t="s">
        <v>12802</v>
      </c>
      <c r="U2653" t="s">
        <v>12802</v>
      </c>
      <c r="V2653" t="s">
        <v>12802</v>
      </c>
      <c r="W2653" t="s">
        <v>15409</v>
      </c>
      <c r="X2653">
        <v>36</v>
      </c>
      <c r="Y2653" t="s">
        <v>21675</v>
      </c>
      <c r="Z2653" t="s">
        <v>27971</v>
      </c>
      <c r="AA2653">
        <v>0.59270418281848747</v>
      </c>
      <c r="AB2653" t="str">
        <f>HYPERLINK("Melting_Curves/meltCurve_P48643_CCT5.pdf", "Melting_Curves/meltCurve_P48643_CCT5.pdf")</f>
        <v>Melting_Curves/meltCurve_P48643_CCT5.pdf</v>
      </c>
    </row>
    <row r="2654" spans="1:28" x14ac:dyDescent="0.25">
      <c r="A2654" t="s">
        <v>2658</v>
      </c>
      <c r="B2654">
        <v>0.99542014353169495</v>
      </c>
      <c r="C2654">
        <v>0.95271462188828204</v>
      </c>
      <c r="D2654">
        <v>0.89593544134148695</v>
      </c>
      <c r="E2654">
        <v>0.62479655441864601</v>
      </c>
      <c r="F2654">
        <v>0.60366812281016502</v>
      </c>
      <c r="G2654">
        <v>0.264842812423707</v>
      </c>
      <c r="H2654">
        <v>0.23188966533959801</v>
      </c>
      <c r="I2654">
        <v>0.17854988298163099</v>
      </c>
      <c r="J2654">
        <v>0.207822950507007</v>
      </c>
      <c r="K2654">
        <v>0.22192895538117</v>
      </c>
      <c r="L2654">
        <v>671.49997837741796</v>
      </c>
      <c r="M2654">
        <v>13.8487386441893</v>
      </c>
      <c r="N2654">
        <v>49.926113448873799</v>
      </c>
      <c r="O2654">
        <v>47.510683028745703</v>
      </c>
      <c r="P2654">
        <v>-6.0895711134611098E-2</v>
      </c>
      <c r="Q2654">
        <v>0.164458944859811</v>
      </c>
      <c r="R2654">
        <v>0.97306650556281704</v>
      </c>
      <c r="S2654" t="s">
        <v>9056</v>
      </c>
      <c r="T2654" t="s">
        <v>12802</v>
      </c>
      <c r="U2654" t="s">
        <v>12802</v>
      </c>
      <c r="V2654" t="s">
        <v>12802</v>
      </c>
      <c r="W2654" t="s">
        <v>15410</v>
      </c>
      <c r="X2654">
        <v>9</v>
      </c>
      <c r="Y2654" t="s">
        <v>21676</v>
      </c>
      <c r="Z2654" t="s">
        <v>27972</v>
      </c>
      <c r="AA2654">
        <v>0.50508249654241688</v>
      </c>
      <c r="AB2654" t="str">
        <f>HYPERLINK("Melting_Curves/meltCurve_P48681_NES.pdf", "Melting_Curves/meltCurve_P48681_NES.pdf")</f>
        <v>Melting_Curves/meltCurve_P48681_NES.pdf</v>
      </c>
    </row>
    <row r="2655" spans="1:28" x14ac:dyDescent="0.25">
      <c r="A2655" t="s">
        <v>2659</v>
      </c>
      <c r="B2655">
        <v>0.99542014353169495</v>
      </c>
      <c r="C2655">
        <v>1.08310336018223</v>
      </c>
      <c r="D2655">
        <v>0.97354311075486899</v>
      </c>
      <c r="E2655">
        <v>0.91353938640571097</v>
      </c>
      <c r="F2655">
        <v>0.65536684846243798</v>
      </c>
      <c r="G2655">
        <v>0.39636796221363402</v>
      </c>
      <c r="H2655">
        <v>0.16789515198237401</v>
      </c>
      <c r="I2655">
        <v>0.12772085259843299</v>
      </c>
      <c r="J2655">
        <v>0.124507308957212</v>
      </c>
      <c r="K2655">
        <v>0.170240179943945</v>
      </c>
      <c r="L2655">
        <v>1113.51262820016</v>
      </c>
      <c r="M2655">
        <v>21.676588434150801</v>
      </c>
      <c r="N2655">
        <v>52.039978953443899</v>
      </c>
      <c r="O2655">
        <v>50.938169184277001</v>
      </c>
      <c r="P2655">
        <v>-9.3425040311415006E-2</v>
      </c>
      <c r="Q2655">
        <v>0.121856677768795</v>
      </c>
      <c r="R2655">
        <v>0.99155458899701698</v>
      </c>
      <c r="S2655" t="s">
        <v>9057</v>
      </c>
      <c r="T2655" t="s">
        <v>12802</v>
      </c>
      <c r="U2655" t="s">
        <v>12802</v>
      </c>
      <c r="V2655" t="s">
        <v>12802</v>
      </c>
      <c r="W2655" t="s">
        <v>15411</v>
      </c>
      <c r="X2655">
        <v>7</v>
      </c>
      <c r="Y2655" t="s">
        <v>21677</v>
      </c>
      <c r="Z2655" t="s">
        <v>27973</v>
      </c>
      <c r="AA2655">
        <v>0.55247645108482279</v>
      </c>
      <c r="AB2655" t="str">
        <f>HYPERLINK("Melting_Curves/meltCurve_P48723_HSPA13.pdf", "Melting_Curves/meltCurve_P48723_HSPA13.pdf")</f>
        <v>Melting_Curves/meltCurve_P48723_HSPA13.pdf</v>
      </c>
    </row>
    <row r="2656" spans="1:28" x14ac:dyDescent="0.25">
      <c r="A2656" t="s">
        <v>2660</v>
      </c>
      <c r="B2656">
        <v>0.99542014353169495</v>
      </c>
      <c r="C2656">
        <v>0.78048559001905504</v>
      </c>
      <c r="D2656">
        <v>1.7305305250530301</v>
      </c>
      <c r="E2656">
        <v>1.61139761692793</v>
      </c>
      <c r="F2656">
        <v>1.1374244582783499</v>
      </c>
      <c r="G2656">
        <v>0.65642845060729405</v>
      </c>
      <c r="H2656">
        <v>0.14989319119265501</v>
      </c>
      <c r="I2656">
        <v>0</v>
      </c>
      <c r="J2656">
        <v>0</v>
      </c>
      <c r="K2656">
        <v>0</v>
      </c>
      <c r="L2656">
        <v>2492.9304202236699</v>
      </c>
      <c r="M2656">
        <v>45.567827644365003</v>
      </c>
      <c r="N2656">
        <v>54.7227469666609</v>
      </c>
      <c r="O2656">
        <v>54.603073436364099</v>
      </c>
      <c r="P2656">
        <v>-0.207370494807008</v>
      </c>
      <c r="Q2656">
        <v>6.0485230165699998E-3</v>
      </c>
      <c r="R2656">
        <v>0.75139899070335103</v>
      </c>
      <c r="S2656" t="s">
        <v>9058</v>
      </c>
      <c r="T2656" t="s">
        <v>12802</v>
      </c>
      <c r="U2656" t="s">
        <v>12802</v>
      </c>
      <c r="V2656" t="s">
        <v>12802</v>
      </c>
      <c r="W2656" t="s">
        <v>13197</v>
      </c>
      <c r="X2656">
        <v>15</v>
      </c>
      <c r="Y2656" t="s">
        <v>19520</v>
      </c>
      <c r="Z2656" t="s">
        <v>27974</v>
      </c>
      <c r="AA2656">
        <v>0.59562554362343545</v>
      </c>
      <c r="AB2656" t="str">
        <f>HYPERLINK("Melting_Curves/meltCurve_P48729_CSNK1A1.pdf", "Melting_Curves/meltCurve_P48729_CSNK1A1.pdf")</f>
        <v>Melting_Curves/meltCurve_P48729_CSNK1A1.pdf</v>
      </c>
    </row>
    <row r="2657" spans="1:28" x14ac:dyDescent="0.25">
      <c r="A2657" t="s">
        <v>2661</v>
      </c>
      <c r="B2657">
        <v>0.99542014353169495</v>
      </c>
      <c r="C2657">
        <v>0.90449613107930005</v>
      </c>
      <c r="D2657">
        <v>0.94544949001081102</v>
      </c>
      <c r="E2657">
        <v>0.75272422192550303</v>
      </c>
      <c r="F2657">
        <v>0.49515373750615699</v>
      </c>
      <c r="G2657">
        <v>0.321315800076938</v>
      </c>
      <c r="H2657">
        <v>0.102703324203844</v>
      </c>
      <c r="I2657">
        <v>4.9708623693286998E-2</v>
      </c>
      <c r="J2657">
        <v>4.90781251098312E-2</v>
      </c>
      <c r="K2657">
        <v>5.7037044929394001E-2</v>
      </c>
      <c r="L2657">
        <v>723.46132787916599</v>
      </c>
      <c r="M2657">
        <v>14.3964438691645</v>
      </c>
      <c r="N2657">
        <v>50.261643893816199</v>
      </c>
      <c r="O2657">
        <v>49.313022637685798</v>
      </c>
      <c r="P2657">
        <v>-7.2901202714480903E-2</v>
      </c>
      <c r="Q2657">
        <v>1.2670340218432501E-3</v>
      </c>
      <c r="R2657">
        <v>0.99249300196741297</v>
      </c>
      <c r="S2657" t="s">
        <v>9059</v>
      </c>
      <c r="T2657" t="s">
        <v>12802</v>
      </c>
      <c r="U2657" t="s">
        <v>12802</v>
      </c>
      <c r="V2657" t="s">
        <v>12802</v>
      </c>
      <c r="W2657" t="s">
        <v>15412</v>
      </c>
      <c r="X2657">
        <v>9</v>
      </c>
      <c r="Y2657" t="s">
        <v>21678</v>
      </c>
      <c r="Z2657" t="s">
        <v>27975</v>
      </c>
      <c r="AA2657">
        <v>0.46437993746591072</v>
      </c>
      <c r="AB2657" t="str">
        <f>HYPERLINK("Melting_Curves/meltCurve_P48730_CSNK1D.pdf", "Melting_Curves/meltCurve_P48730_CSNK1D.pdf")</f>
        <v>Melting_Curves/meltCurve_P48730_CSNK1D.pdf</v>
      </c>
    </row>
    <row r="2658" spans="1:28" x14ac:dyDescent="0.25">
      <c r="A2658" t="s">
        <v>2662</v>
      </c>
      <c r="B2658">
        <v>0.99542014353169495</v>
      </c>
      <c r="C2658">
        <v>1.0187374572274299</v>
      </c>
      <c r="D2658">
        <v>1.0172575326130699</v>
      </c>
      <c r="E2658">
        <v>0.93765918428227302</v>
      </c>
      <c r="F2658">
        <v>0.70168909425544002</v>
      </c>
      <c r="G2658">
        <v>0.188892711929385</v>
      </c>
      <c r="H2658">
        <v>7.1306971685529602E-2</v>
      </c>
      <c r="I2658">
        <v>5.18051101811687E-2</v>
      </c>
      <c r="J2658">
        <v>5.1905729069662301E-2</v>
      </c>
      <c r="K2658">
        <v>4.7839856476698799E-2</v>
      </c>
      <c r="L2658">
        <v>1813.2824497433901</v>
      </c>
      <c r="M2658">
        <v>35.3826306916147</v>
      </c>
      <c r="N2658">
        <v>51.394483206060201</v>
      </c>
      <c r="O2658">
        <v>51.084939681418902</v>
      </c>
      <c r="P2658">
        <v>-0.16484107046164501</v>
      </c>
      <c r="Q2658">
        <v>4.8022427786747098E-2</v>
      </c>
      <c r="R2658">
        <v>0.99887735370974795</v>
      </c>
      <c r="S2658" t="s">
        <v>9060</v>
      </c>
      <c r="T2658" t="s">
        <v>12802</v>
      </c>
      <c r="U2658" t="s">
        <v>12802</v>
      </c>
      <c r="V2658" t="s">
        <v>12802</v>
      </c>
      <c r="W2658" t="s">
        <v>15413</v>
      </c>
      <c r="X2658">
        <v>20</v>
      </c>
      <c r="Y2658" t="s">
        <v>21679</v>
      </c>
      <c r="Z2658" t="s">
        <v>27976</v>
      </c>
      <c r="AA2658">
        <v>0.50444350432519813</v>
      </c>
      <c r="AB2658" t="str">
        <f>HYPERLINK("Melting_Curves/meltCurve_P48735_IDH2.pdf", "Melting_Curves/meltCurve_P48735_IDH2.pdf")</f>
        <v>Melting_Curves/meltCurve_P48735_IDH2.pdf</v>
      </c>
    </row>
    <row r="2659" spans="1:28" x14ac:dyDescent="0.25">
      <c r="A2659" t="s">
        <v>2663</v>
      </c>
      <c r="B2659">
        <v>0.99542014353169495</v>
      </c>
      <c r="C2659">
        <v>0.92914512534719396</v>
      </c>
      <c r="D2659">
        <v>0.78736817710338802</v>
      </c>
      <c r="E2659">
        <v>0.40897580080972001</v>
      </c>
      <c r="F2659">
        <v>0.16897679875957999</v>
      </c>
      <c r="G2659">
        <v>9.84063821620587E-2</v>
      </c>
      <c r="H2659">
        <v>6.06325477641739E-2</v>
      </c>
      <c r="I2659">
        <v>5.0525311269603197E-2</v>
      </c>
      <c r="J2659">
        <v>5.4605173170001998E-2</v>
      </c>
      <c r="K2659">
        <v>3.4697958273322102E-2</v>
      </c>
      <c r="L2659">
        <v>914.53986857012603</v>
      </c>
      <c r="M2659">
        <v>20.088098057021199</v>
      </c>
      <c r="N2659">
        <v>45.743330010552199</v>
      </c>
      <c r="O2659">
        <v>45.0824994438914</v>
      </c>
      <c r="P2659">
        <v>-0.106339790395153</v>
      </c>
      <c r="Q2659">
        <v>4.5422979684465202E-2</v>
      </c>
      <c r="R2659">
        <v>0.99940157682073705</v>
      </c>
      <c r="S2659" t="s">
        <v>9061</v>
      </c>
      <c r="T2659" t="s">
        <v>12802</v>
      </c>
      <c r="U2659" t="s">
        <v>12802</v>
      </c>
      <c r="V2659" t="s">
        <v>12802</v>
      </c>
      <c r="W2659" t="s">
        <v>15414</v>
      </c>
      <c r="X2659">
        <v>6</v>
      </c>
      <c r="Y2659" t="s">
        <v>21680</v>
      </c>
      <c r="Z2659" t="s">
        <v>27977</v>
      </c>
      <c r="AA2659">
        <v>0.32911083756627318</v>
      </c>
      <c r="AB2659" t="str">
        <f>HYPERLINK("Melting_Curves/meltCurve_P48736_PIK3CG.pdf", "Melting_Curves/meltCurve_P48736_PIK3CG.pdf")</f>
        <v>Melting_Curves/meltCurve_P48736_PIK3CG.pdf</v>
      </c>
    </row>
    <row r="2660" spans="1:28" x14ac:dyDescent="0.25">
      <c r="A2660" t="s">
        <v>2664</v>
      </c>
      <c r="B2660">
        <v>0.99542014353169495</v>
      </c>
      <c r="C2660">
        <v>0.98781164529569498</v>
      </c>
      <c r="D2660">
        <v>1.01606340919805</v>
      </c>
      <c r="E2660">
        <v>0.97171192738283396</v>
      </c>
      <c r="F2660">
        <v>0.70317605684953699</v>
      </c>
      <c r="G2660">
        <v>0.25772604861484499</v>
      </c>
      <c r="H2660">
        <v>6.3126477383028706E-2</v>
      </c>
      <c r="I2660">
        <v>3.4712552379485E-2</v>
      </c>
      <c r="J2660">
        <v>2.9203507089086402E-2</v>
      </c>
      <c r="K2660">
        <v>3.2972042254228201E-2</v>
      </c>
      <c r="L2660">
        <v>1544.0048912581301</v>
      </c>
      <c r="M2660">
        <v>29.9045837099148</v>
      </c>
      <c r="N2660">
        <v>51.724261826916397</v>
      </c>
      <c r="O2660">
        <v>51.4017947544355</v>
      </c>
      <c r="P2660">
        <v>-0.14163057818607699</v>
      </c>
      <c r="Q2660">
        <v>2.6233491007844799E-2</v>
      </c>
      <c r="R2660">
        <v>0.99959150671030805</v>
      </c>
      <c r="S2660" t="s">
        <v>9062</v>
      </c>
      <c r="T2660" t="s">
        <v>12802</v>
      </c>
      <c r="U2660" t="s">
        <v>12802</v>
      </c>
      <c r="V2660" t="s">
        <v>12802</v>
      </c>
      <c r="W2660" t="s">
        <v>15415</v>
      </c>
      <c r="X2660">
        <v>16</v>
      </c>
      <c r="Y2660" t="s">
        <v>21681</v>
      </c>
      <c r="Z2660" t="s">
        <v>27978</v>
      </c>
      <c r="AA2660">
        <v>0.50729616256481769</v>
      </c>
      <c r="AB2660" t="str">
        <f>HYPERLINK("Melting_Curves/meltCurve_P48739_PITPNB.pdf", "Melting_Curves/meltCurve_P48739_PITPNB.pdf")</f>
        <v>Melting_Curves/meltCurve_P48739_PITPNB.pdf</v>
      </c>
    </row>
    <row r="2661" spans="1:28" x14ac:dyDescent="0.25">
      <c r="A2661" t="s">
        <v>2665</v>
      </c>
      <c r="B2661">
        <v>0.99542014353169495</v>
      </c>
      <c r="C2661">
        <v>0.94179845743333401</v>
      </c>
      <c r="D2661">
        <v>0.92327218700455804</v>
      </c>
      <c r="E2661">
        <v>0.83525485435588198</v>
      </c>
      <c r="F2661">
        <v>0.73219955529366698</v>
      </c>
      <c r="G2661">
        <v>0.53319924275947395</v>
      </c>
      <c r="H2661">
        <v>0.41505848934101602</v>
      </c>
      <c r="I2661">
        <v>0.38783834350211099</v>
      </c>
      <c r="J2661">
        <v>0.52638385737914095</v>
      </c>
      <c r="K2661">
        <v>0.68232216674704405</v>
      </c>
      <c r="L2661">
        <v>979.23075220645001</v>
      </c>
      <c r="M2661">
        <v>20.173400564098699</v>
      </c>
      <c r="O2661">
        <v>48.071262259903698</v>
      </c>
      <c r="P2661">
        <v>-5.2633677423426499E-2</v>
      </c>
      <c r="Q2661">
        <v>0.49833194271792203</v>
      </c>
      <c r="R2661">
        <v>0.84916495731201602</v>
      </c>
      <c r="S2661" t="s">
        <v>9063</v>
      </c>
      <c r="T2661" t="s">
        <v>12802</v>
      </c>
      <c r="U2661" t="s">
        <v>12802</v>
      </c>
      <c r="V2661" t="s">
        <v>12802</v>
      </c>
      <c r="W2661" t="s">
        <v>15416</v>
      </c>
      <c r="X2661">
        <v>6</v>
      </c>
      <c r="Y2661" t="s">
        <v>21682</v>
      </c>
      <c r="Z2661" t="s">
        <v>27979</v>
      </c>
      <c r="AA2661">
        <v>0.69781606491290882</v>
      </c>
      <c r="AB2661" t="str">
        <f>HYPERLINK("Melting_Curves/meltCurve_P48960_2_CD97.pdf", "Melting_Curves/meltCurve_P48960_2_CD97.pdf")</f>
        <v>Melting_Curves/meltCurve_P48960_2_CD97.pdf</v>
      </c>
    </row>
    <row r="2662" spans="1:28" x14ac:dyDescent="0.25">
      <c r="A2662" t="s">
        <v>2666</v>
      </c>
      <c r="B2662">
        <v>0.99542014353169495</v>
      </c>
      <c r="C2662">
        <v>0.98734206307378602</v>
      </c>
      <c r="D2662">
        <v>0.98230369898365599</v>
      </c>
      <c r="E2662">
        <v>0.73389892456144101</v>
      </c>
      <c r="F2662">
        <v>0.31581075958266502</v>
      </c>
      <c r="G2662">
        <v>0.187124546010798</v>
      </c>
      <c r="H2662">
        <v>0.122705150740403</v>
      </c>
      <c r="I2662">
        <v>9.2753888066746004E-2</v>
      </c>
      <c r="J2662">
        <v>0.112515203284887</v>
      </c>
      <c r="K2662">
        <v>0.111679334294476</v>
      </c>
      <c r="L2662">
        <v>1299.88423611025</v>
      </c>
      <c r="M2662">
        <v>27.0391220054839</v>
      </c>
      <c r="N2662">
        <v>48.5252958424024</v>
      </c>
      <c r="O2662">
        <v>47.813557973670299</v>
      </c>
      <c r="P2662">
        <v>-0.12566812572932501</v>
      </c>
      <c r="Q2662">
        <v>0.111127799537504</v>
      </c>
      <c r="R2662">
        <v>0.99881311043643395</v>
      </c>
      <c r="S2662" t="s">
        <v>9064</v>
      </c>
      <c r="T2662" t="s">
        <v>12802</v>
      </c>
      <c r="U2662" t="s">
        <v>12802</v>
      </c>
      <c r="V2662" t="s">
        <v>12802</v>
      </c>
      <c r="W2662" t="s">
        <v>15417</v>
      </c>
      <c r="X2662">
        <v>17</v>
      </c>
      <c r="Y2662" t="s">
        <v>21683</v>
      </c>
      <c r="Z2662" t="s">
        <v>27980</v>
      </c>
      <c r="AA2662">
        <v>0.44573607880032567</v>
      </c>
      <c r="AB2662" t="str">
        <f>HYPERLINK("Melting_Curves/meltCurve_P49005_POLD2.pdf", "Melting_Curves/meltCurve_P49005_POLD2.pdf")</f>
        <v>Melting_Curves/meltCurve_P49005_POLD2.pdf</v>
      </c>
    </row>
    <row r="2663" spans="1:28" x14ac:dyDescent="0.25">
      <c r="A2663" t="s">
        <v>2667</v>
      </c>
      <c r="B2663">
        <v>0.99542014353169495</v>
      </c>
      <c r="C2663">
        <v>1.0263058508048399</v>
      </c>
      <c r="D2663">
        <v>0.90501079420032005</v>
      </c>
      <c r="E2663">
        <v>0.86390580617275103</v>
      </c>
      <c r="F2663">
        <v>0.76843875972430298</v>
      </c>
      <c r="G2663">
        <v>0.61869730444139004</v>
      </c>
      <c r="H2663">
        <v>0.50586419228622004</v>
      </c>
      <c r="I2663">
        <v>0.45670081524414802</v>
      </c>
      <c r="J2663">
        <v>0.85006905659739396</v>
      </c>
      <c r="K2663">
        <v>1.24780899513249</v>
      </c>
      <c r="L2663">
        <v>1185.5942796622201</v>
      </c>
      <c r="M2663">
        <v>26.1695087532716</v>
      </c>
      <c r="O2663">
        <v>45.042351594261198</v>
      </c>
      <c r="P2663">
        <v>-3.7666002408956699E-2</v>
      </c>
      <c r="Q2663">
        <v>0.74068351632546103</v>
      </c>
      <c r="R2663">
        <v>0.21118583938938601</v>
      </c>
      <c r="S2663" t="s">
        <v>9065</v>
      </c>
      <c r="T2663" t="s">
        <v>12802</v>
      </c>
      <c r="U2663" t="s">
        <v>12802</v>
      </c>
      <c r="V2663" t="s">
        <v>12802</v>
      </c>
      <c r="W2663" t="s">
        <v>15418</v>
      </c>
      <c r="X2663">
        <v>12</v>
      </c>
      <c r="Y2663" t="s">
        <v>21684</v>
      </c>
      <c r="Z2663" t="s">
        <v>27981</v>
      </c>
      <c r="AA2663">
        <v>0.81440561548133483</v>
      </c>
      <c r="AB2663" t="str">
        <f>HYPERLINK("Melting_Curves/meltCurve_P49006_MARCKSL1.pdf", "Melting_Curves/meltCurve_P49006_MARCKSL1.pdf")</f>
        <v>Melting_Curves/meltCurve_P49006_MARCKSL1.pdf</v>
      </c>
    </row>
    <row r="2664" spans="1:28" x14ac:dyDescent="0.25">
      <c r="A2664" t="s">
        <v>2668</v>
      </c>
      <c r="B2664">
        <v>0.99542014353169495</v>
      </c>
      <c r="C2664">
        <v>0.94743213420371997</v>
      </c>
      <c r="D2664">
        <v>1.0698455748152</v>
      </c>
      <c r="E2664">
        <v>1.0646175102951201</v>
      </c>
      <c r="F2664">
        <v>0.82696494834068401</v>
      </c>
      <c r="G2664">
        <v>0.64667197157709699</v>
      </c>
      <c r="H2664">
        <v>0.39442156461682698</v>
      </c>
      <c r="I2664">
        <v>0.23061544790614699</v>
      </c>
      <c r="J2664">
        <v>0.194303341998218</v>
      </c>
      <c r="K2664">
        <v>0.150901993495308</v>
      </c>
      <c r="L2664">
        <v>1076.1412048412601</v>
      </c>
      <c r="M2664">
        <v>19.6619525536277</v>
      </c>
      <c r="N2664">
        <v>55.640844578169599</v>
      </c>
      <c r="O2664">
        <v>54.1754377796697</v>
      </c>
      <c r="P2664">
        <v>-7.8275560050762694E-2</v>
      </c>
      <c r="Q2664">
        <v>0.13732577352240699</v>
      </c>
      <c r="R2664">
        <v>0.98499734828596597</v>
      </c>
      <c r="S2664" t="s">
        <v>9066</v>
      </c>
      <c r="T2664" t="s">
        <v>12802</v>
      </c>
      <c r="U2664" t="s">
        <v>12802</v>
      </c>
      <c r="V2664" t="s">
        <v>12802</v>
      </c>
      <c r="W2664" t="s">
        <v>15419</v>
      </c>
      <c r="X2664">
        <v>12</v>
      </c>
      <c r="Y2664" t="s">
        <v>21685</v>
      </c>
      <c r="Z2664" t="s">
        <v>27982</v>
      </c>
      <c r="AA2664">
        <v>0.65740629566014697</v>
      </c>
      <c r="AB2664" t="str">
        <f>HYPERLINK("Melting_Curves/meltCurve_P49023_2_PXN.pdf", "Melting_Curves/meltCurve_P49023_2_PXN.pdf")</f>
        <v>Melting_Curves/meltCurve_P49023_2_PXN.pdf</v>
      </c>
    </row>
    <row r="2665" spans="1:28" x14ac:dyDescent="0.25">
      <c r="A2665" t="s">
        <v>2669</v>
      </c>
      <c r="B2665">
        <v>0.99542014353169495</v>
      </c>
      <c r="C2665">
        <v>0.98950218298088</v>
      </c>
      <c r="D2665">
        <v>1.0076254757649701</v>
      </c>
      <c r="E2665">
        <v>0.91796752583365904</v>
      </c>
      <c r="F2665">
        <v>0.85654752850437499</v>
      </c>
      <c r="G2665">
        <v>0.61227080075193396</v>
      </c>
      <c r="H2665">
        <v>0.43641966640457103</v>
      </c>
      <c r="I2665">
        <v>0.39675367331705502</v>
      </c>
      <c r="J2665">
        <v>0.47445513422869401</v>
      </c>
      <c r="K2665">
        <v>0.437564346511157</v>
      </c>
      <c r="L2665">
        <v>1374.7583993304299</v>
      </c>
      <c r="M2665">
        <v>26.386023070504798</v>
      </c>
      <c r="N2665">
        <v>56.097467351195498</v>
      </c>
      <c r="O2665">
        <v>51.8052611503336</v>
      </c>
      <c r="P2665">
        <v>-7.3387742997568603E-2</v>
      </c>
      <c r="Q2665">
        <v>0.42366003046015699</v>
      </c>
      <c r="R2665">
        <v>0.98585388440993105</v>
      </c>
      <c r="S2665" t="s">
        <v>9067</v>
      </c>
      <c r="T2665" t="s">
        <v>12802</v>
      </c>
      <c r="U2665" t="s">
        <v>12802</v>
      </c>
      <c r="V2665" t="s">
        <v>12802</v>
      </c>
      <c r="W2665" t="s">
        <v>15420</v>
      </c>
      <c r="X2665">
        <v>7</v>
      </c>
      <c r="Y2665" t="s">
        <v>21686</v>
      </c>
      <c r="Z2665" t="s">
        <v>27983</v>
      </c>
      <c r="AA2665">
        <v>0.71841589515211168</v>
      </c>
      <c r="AB2665" t="str">
        <f>HYPERLINK("Melting_Curves/meltCurve_P49069_CAMLG.pdf", "Melting_Curves/meltCurve_P49069_CAMLG.pdf")</f>
        <v>Melting_Curves/meltCurve_P49069_CAMLG.pdf</v>
      </c>
    </row>
    <row r="2666" spans="1:28" x14ac:dyDescent="0.25">
      <c r="A2666" t="s">
        <v>2670</v>
      </c>
      <c r="B2666">
        <v>0.99542014353169495</v>
      </c>
      <c r="C2666">
        <v>0.95556769634766503</v>
      </c>
      <c r="D2666">
        <v>0.93712559692880504</v>
      </c>
      <c r="E2666">
        <v>0.78219001384439601</v>
      </c>
      <c r="F2666">
        <v>0.496668708579868</v>
      </c>
      <c r="G2666">
        <v>0.22918627785616399</v>
      </c>
      <c r="H2666">
        <v>0.116572034369468</v>
      </c>
      <c r="I2666">
        <v>9.0132436783247796E-2</v>
      </c>
      <c r="J2666">
        <v>8.7157895735292201E-2</v>
      </c>
      <c r="K2666">
        <v>8.9670548563514696E-2</v>
      </c>
      <c r="L2666">
        <v>932.89654590442603</v>
      </c>
      <c r="M2666">
        <v>18.817709867130599</v>
      </c>
      <c r="N2666">
        <v>49.960718046452797</v>
      </c>
      <c r="O2666">
        <v>49.025769575875401</v>
      </c>
      <c r="P2666">
        <v>-8.9481329805548598E-2</v>
      </c>
      <c r="Q2666">
        <v>6.7535980438152704E-2</v>
      </c>
      <c r="R2666">
        <v>0.99831829698122998</v>
      </c>
      <c r="S2666" t="s">
        <v>9068</v>
      </c>
      <c r="T2666" t="s">
        <v>12802</v>
      </c>
      <c r="U2666" t="s">
        <v>12802</v>
      </c>
      <c r="V2666" t="s">
        <v>12802</v>
      </c>
      <c r="W2666" t="s">
        <v>15421</v>
      </c>
      <c r="X2666">
        <v>5</v>
      </c>
      <c r="Y2666" t="s">
        <v>21687</v>
      </c>
      <c r="Z2666" t="s">
        <v>27984</v>
      </c>
      <c r="AA2666">
        <v>0.47208503009505631</v>
      </c>
      <c r="AB2666" t="str">
        <f>HYPERLINK("Melting_Curves/meltCurve_P49116_NR2C2.pdf", "Melting_Curves/meltCurve_P49116_NR2C2.pdf")</f>
        <v>Melting_Curves/meltCurve_P49116_NR2C2.pdf</v>
      </c>
    </row>
    <row r="2667" spans="1:28" x14ac:dyDescent="0.25">
      <c r="A2667" t="s">
        <v>2671</v>
      </c>
      <c r="B2667">
        <v>0.99542014353169495</v>
      </c>
      <c r="C2667">
        <v>0.98634550649584896</v>
      </c>
      <c r="D2667">
        <v>0.97265408922846297</v>
      </c>
      <c r="E2667">
        <v>0.82887202871896204</v>
      </c>
      <c r="F2667">
        <v>0.54249761416112396</v>
      </c>
      <c r="G2667">
        <v>0.21492028108800201</v>
      </c>
      <c r="H2667">
        <v>8.1359569441089505E-2</v>
      </c>
      <c r="I2667">
        <v>6.1255486702380603E-2</v>
      </c>
      <c r="J2667">
        <v>7.7346541524647205E-2</v>
      </c>
      <c r="K2667">
        <v>0.128778868627029</v>
      </c>
      <c r="L2667">
        <v>1157.8200804384801</v>
      </c>
      <c r="M2667">
        <v>23.1510867758026</v>
      </c>
      <c r="N2667">
        <v>50.346812082662403</v>
      </c>
      <c r="O2667">
        <v>49.642817152321001</v>
      </c>
      <c r="P2667">
        <v>-0.108259997149367</v>
      </c>
      <c r="Q2667">
        <v>7.1450386352511205E-2</v>
      </c>
      <c r="R2667">
        <v>0.99586956489626499</v>
      </c>
      <c r="S2667" t="s">
        <v>9069</v>
      </c>
      <c r="T2667" t="s">
        <v>12802</v>
      </c>
      <c r="U2667" t="s">
        <v>12802</v>
      </c>
      <c r="V2667" t="s">
        <v>12802</v>
      </c>
      <c r="W2667" t="s">
        <v>15422</v>
      </c>
      <c r="X2667">
        <v>16</v>
      </c>
      <c r="Y2667" t="s">
        <v>21688</v>
      </c>
      <c r="Z2667" t="s">
        <v>27985</v>
      </c>
      <c r="AA2667">
        <v>0.48356320832898703</v>
      </c>
      <c r="AB2667" t="str">
        <f>HYPERLINK("Melting_Curves/meltCurve_P49137_MAPKAPK2.pdf", "Melting_Curves/meltCurve_P49137_MAPKAPK2.pdf")</f>
        <v>Melting_Curves/meltCurve_P49137_MAPKAPK2.pdf</v>
      </c>
    </row>
    <row r="2668" spans="1:28" x14ac:dyDescent="0.25">
      <c r="A2668" t="s">
        <v>2672</v>
      </c>
      <c r="B2668">
        <v>0.99542014353169495</v>
      </c>
      <c r="C2668">
        <v>0.94056817908544499</v>
      </c>
      <c r="D2668">
        <v>0.99281233963973803</v>
      </c>
      <c r="E2668">
        <v>0.867284536632283</v>
      </c>
      <c r="F2668">
        <v>0.76896553118461097</v>
      </c>
      <c r="G2668">
        <v>0.56182614067641801</v>
      </c>
      <c r="H2668">
        <v>0.36127723176485199</v>
      </c>
      <c r="I2668">
        <v>0.200606727135446</v>
      </c>
      <c r="J2668">
        <v>0.110201364066775</v>
      </c>
      <c r="K2668">
        <v>7.1554557733957996E-2</v>
      </c>
      <c r="L2668">
        <v>712.89542934992301</v>
      </c>
      <c r="M2668">
        <v>13.0423711650069</v>
      </c>
      <c r="N2668">
        <v>54.659955681013898</v>
      </c>
      <c r="O2668">
        <v>53.4228259521295</v>
      </c>
      <c r="P2668">
        <v>-6.1044347996880403E-2</v>
      </c>
      <c r="Q2668">
        <v>0</v>
      </c>
      <c r="R2668">
        <v>0.99580088144741996</v>
      </c>
      <c r="S2668" t="s">
        <v>9070</v>
      </c>
      <c r="T2668" t="s">
        <v>12802</v>
      </c>
      <c r="U2668" t="s">
        <v>12802</v>
      </c>
      <c r="V2668" t="s">
        <v>12802</v>
      </c>
      <c r="W2668" t="s">
        <v>15423</v>
      </c>
      <c r="X2668">
        <v>22</v>
      </c>
      <c r="Y2668" t="s">
        <v>21689</v>
      </c>
      <c r="Z2668" t="s">
        <v>27986</v>
      </c>
      <c r="AA2668">
        <v>0.60421543564978963</v>
      </c>
      <c r="AB2668" t="str">
        <f>HYPERLINK("Melting_Curves/meltCurve_P49189_ALDH9A1.pdf", "Melting_Curves/meltCurve_P49189_ALDH9A1.pdf")</f>
        <v>Melting_Curves/meltCurve_P49189_ALDH9A1.pdf</v>
      </c>
    </row>
    <row r="2669" spans="1:28" x14ac:dyDescent="0.25">
      <c r="A2669" t="s">
        <v>2673</v>
      </c>
      <c r="B2669">
        <v>0.99542014353169495</v>
      </c>
      <c r="C2669">
        <v>0.81768720952464002</v>
      </c>
      <c r="D2669">
        <v>0.392753838718084</v>
      </c>
      <c r="E2669">
        <v>0.215114452508122</v>
      </c>
      <c r="F2669">
        <v>0.11959588384119101</v>
      </c>
      <c r="G2669">
        <v>0.161038740982621</v>
      </c>
      <c r="H2669">
        <v>7.7940785436038301E-2</v>
      </c>
      <c r="I2669">
        <v>4.5322475669886703E-2</v>
      </c>
      <c r="J2669">
        <v>6.2638338817846098E-2</v>
      </c>
      <c r="K2669">
        <v>5.8125777351899402E-2</v>
      </c>
      <c r="L2669">
        <v>995.22386233648297</v>
      </c>
      <c r="M2669">
        <v>23.6621605841781</v>
      </c>
      <c r="N2669">
        <v>42.401531547685998</v>
      </c>
      <c r="O2669">
        <v>41.762768657415101</v>
      </c>
      <c r="P2669">
        <v>-0.12934936882044701</v>
      </c>
      <c r="Q2669">
        <v>8.6829388851149297E-2</v>
      </c>
      <c r="R2669">
        <v>0.98786185534295601</v>
      </c>
      <c r="S2669" t="s">
        <v>9071</v>
      </c>
      <c r="T2669" t="s">
        <v>12802</v>
      </c>
      <c r="U2669" t="s">
        <v>12802</v>
      </c>
      <c r="V2669" t="s">
        <v>12802</v>
      </c>
      <c r="W2669" t="s">
        <v>15424</v>
      </c>
      <c r="X2669">
        <v>2</v>
      </c>
      <c r="Y2669" t="s">
        <v>21690</v>
      </c>
      <c r="Z2669" t="s">
        <v>27987</v>
      </c>
      <c r="AA2669">
        <v>0.25004390543168442</v>
      </c>
      <c r="AB2669" t="str">
        <f>HYPERLINK("Melting_Curves/meltCurve_P49207_RPL34.pdf", "Melting_Curves/meltCurve_P49207_RPL34.pdf")</f>
        <v>Melting_Curves/meltCurve_P49207_RPL34.pdf</v>
      </c>
    </row>
    <row r="2670" spans="1:28" x14ac:dyDescent="0.25">
      <c r="A2670" t="s">
        <v>2674</v>
      </c>
      <c r="B2670">
        <v>0.99542014353169495</v>
      </c>
      <c r="C2670">
        <v>0.96890610579300396</v>
      </c>
      <c r="D2670">
        <v>0.88041709936546297</v>
      </c>
      <c r="E2670">
        <v>0.88466221028210601</v>
      </c>
      <c r="F2670">
        <v>0.75500496581306697</v>
      </c>
      <c r="G2670">
        <v>0.57377994705013002</v>
      </c>
      <c r="H2670">
        <v>0.48024041378731602</v>
      </c>
      <c r="I2670">
        <v>0.50297657982244004</v>
      </c>
      <c r="J2670">
        <v>0.84946436727441699</v>
      </c>
      <c r="K2670">
        <v>1.10367741692823</v>
      </c>
      <c r="L2670">
        <v>1007.64874193868</v>
      </c>
      <c r="M2670">
        <v>22.158096848935202</v>
      </c>
      <c r="O2670">
        <v>45.109861972860998</v>
      </c>
      <c r="P2670">
        <v>-3.5722912772844499E-2</v>
      </c>
      <c r="Q2670">
        <v>0.70910469823435296</v>
      </c>
      <c r="R2670">
        <v>0.28135507002475701</v>
      </c>
      <c r="S2670" t="s">
        <v>9072</v>
      </c>
      <c r="T2670" t="s">
        <v>12802</v>
      </c>
      <c r="U2670" t="s">
        <v>12802</v>
      </c>
      <c r="V2670" t="s">
        <v>12802</v>
      </c>
      <c r="W2670" t="s">
        <v>15425</v>
      </c>
      <c r="X2670">
        <v>16</v>
      </c>
      <c r="Y2670" t="s">
        <v>21691</v>
      </c>
      <c r="Z2670" t="s">
        <v>27988</v>
      </c>
      <c r="AA2670">
        <v>0.7943661830960338</v>
      </c>
      <c r="AB2670" t="str">
        <f>HYPERLINK("Melting_Curves/meltCurve_P49247_RPIA.pdf", "Melting_Curves/meltCurve_P49247_RPIA.pdf")</f>
        <v>Melting_Curves/meltCurve_P49247_RPIA.pdf</v>
      </c>
    </row>
    <row r="2671" spans="1:28" x14ac:dyDescent="0.25">
      <c r="A2671" t="s">
        <v>2675</v>
      </c>
      <c r="B2671">
        <v>0.99542014353169495</v>
      </c>
      <c r="C2671">
        <v>0.84012762021111298</v>
      </c>
      <c r="D2671">
        <v>0.88489749026951003</v>
      </c>
      <c r="E2671">
        <v>0.57015857121128499</v>
      </c>
      <c r="F2671">
        <v>0.36267799921642602</v>
      </c>
      <c r="G2671">
        <v>0.119597437160987</v>
      </c>
      <c r="H2671">
        <v>7.5037885291942205E-2</v>
      </c>
      <c r="I2671">
        <v>5.4006006475448502E-2</v>
      </c>
      <c r="J2671">
        <v>5.7976596732881802E-2</v>
      </c>
      <c r="K2671">
        <v>5.0635364065868202E-2</v>
      </c>
      <c r="L2671">
        <v>713.43468828273001</v>
      </c>
      <c r="M2671">
        <v>15.007249574113301</v>
      </c>
      <c r="N2671">
        <v>47.6776247418073</v>
      </c>
      <c r="O2671">
        <v>46.719179997550299</v>
      </c>
      <c r="P2671">
        <v>-7.8603477437008906E-2</v>
      </c>
      <c r="Q2671">
        <v>2.1294420420584801E-2</v>
      </c>
      <c r="R2671">
        <v>0.98608854236643395</v>
      </c>
      <c r="S2671" t="s">
        <v>9073</v>
      </c>
      <c r="T2671" t="s">
        <v>12802</v>
      </c>
      <c r="U2671" t="s">
        <v>12802</v>
      </c>
      <c r="V2671" t="s">
        <v>12802</v>
      </c>
      <c r="W2671" t="s">
        <v>15426</v>
      </c>
      <c r="X2671">
        <v>20</v>
      </c>
      <c r="Y2671" t="s">
        <v>21692</v>
      </c>
      <c r="Z2671" t="s">
        <v>27989</v>
      </c>
      <c r="AA2671">
        <v>0.38688024321426062</v>
      </c>
      <c r="AB2671" t="str">
        <f>HYPERLINK("Melting_Curves/meltCurve_P49257_LMAN1.pdf", "Melting_Curves/meltCurve_P49257_LMAN1.pdf")</f>
        <v>Melting_Curves/meltCurve_P49257_LMAN1.pdf</v>
      </c>
    </row>
    <row r="2672" spans="1:28" x14ac:dyDescent="0.25">
      <c r="A2672" t="s">
        <v>2676</v>
      </c>
      <c r="B2672">
        <v>0.99542014353169495</v>
      </c>
      <c r="C2672">
        <v>0.95516566325641505</v>
      </c>
      <c r="D2672">
        <v>0.94644642949199098</v>
      </c>
      <c r="E2672">
        <v>0.77840361906132205</v>
      </c>
      <c r="F2672">
        <v>0.726031902951636</v>
      </c>
      <c r="G2672">
        <v>0.440951147911472</v>
      </c>
      <c r="H2672">
        <v>0.34553931947400301</v>
      </c>
      <c r="I2672">
        <v>0.30129918929465499</v>
      </c>
      <c r="J2672">
        <v>0.36657444013931501</v>
      </c>
      <c r="K2672">
        <v>0.44814672336915001</v>
      </c>
      <c r="L2672">
        <v>853.57691505820503</v>
      </c>
      <c r="M2672">
        <v>17.235955596988902</v>
      </c>
      <c r="N2672">
        <v>53.1032977427612</v>
      </c>
      <c r="O2672">
        <v>48.870817021291003</v>
      </c>
      <c r="P2672">
        <v>-5.78806478769614E-2</v>
      </c>
      <c r="Q2672">
        <v>0.34357930920984697</v>
      </c>
      <c r="R2672">
        <v>0.95537289668007797</v>
      </c>
      <c r="S2672" t="s">
        <v>9074</v>
      </c>
      <c r="T2672" t="s">
        <v>12802</v>
      </c>
      <c r="U2672" t="s">
        <v>12802</v>
      </c>
      <c r="V2672" t="s">
        <v>12802</v>
      </c>
      <c r="W2672" t="s">
        <v>15427</v>
      </c>
      <c r="X2672">
        <v>3</v>
      </c>
      <c r="Y2672" t="s">
        <v>21693</v>
      </c>
      <c r="Z2672" t="s">
        <v>27990</v>
      </c>
      <c r="AA2672">
        <v>0.62876847386108314</v>
      </c>
      <c r="AB2672" t="str">
        <f>HYPERLINK("Melting_Curves/meltCurve_P49281_5_SLC11A2.pdf", "Melting_Curves/meltCurve_P49281_5_SLC11A2.pdf")</f>
        <v>Melting_Curves/meltCurve_P49281_5_SLC11A2.pdf</v>
      </c>
    </row>
    <row r="2673" spans="1:28" x14ac:dyDescent="0.25">
      <c r="A2673" t="s">
        <v>2677</v>
      </c>
      <c r="B2673">
        <v>0.99542014353169495</v>
      </c>
      <c r="C2673">
        <v>1.0011841559063499</v>
      </c>
      <c r="D2673">
        <v>0.939721844158667</v>
      </c>
      <c r="E2673">
        <v>0.91757934414609299</v>
      </c>
      <c r="F2673">
        <v>0.62553501282459201</v>
      </c>
      <c r="G2673">
        <v>0.18708308743169</v>
      </c>
      <c r="H2673">
        <v>6.42742025623457E-2</v>
      </c>
      <c r="I2673">
        <v>4.4467593706760303E-2</v>
      </c>
      <c r="J2673">
        <v>4.9762624467540803E-2</v>
      </c>
      <c r="K2673">
        <v>6.1633080037693203E-2</v>
      </c>
      <c r="L2673">
        <v>1518.3161755191099</v>
      </c>
      <c r="M2673">
        <v>29.867297402531701</v>
      </c>
      <c r="N2673">
        <v>50.992156299682797</v>
      </c>
      <c r="O2673">
        <v>50.609151982714799</v>
      </c>
      <c r="P2673">
        <v>-0.14106857724142299</v>
      </c>
      <c r="Q2673">
        <v>4.38621932450836E-2</v>
      </c>
      <c r="R2673">
        <v>0.99746623154631897</v>
      </c>
      <c r="S2673" t="s">
        <v>9075</v>
      </c>
      <c r="T2673" t="s">
        <v>12802</v>
      </c>
      <c r="U2673" t="s">
        <v>12802</v>
      </c>
      <c r="V2673" t="s">
        <v>12802</v>
      </c>
      <c r="W2673" t="s">
        <v>15428</v>
      </c>
      <c r="X2673">
        <v>36</v>
      </c>
      <c r="Y2673" t="s">
        <v>21694</v>
      </c>
      <c r="Z2673" t="s">
        <v>27991</v>
      </c>
      <c r="AA2673">
        <v>0.49080851807291209</v>
      </c>
      <c r="AB2673" t="str">
        <f>HYPERLINK("Melting_Curves/meltCurve_P49321_NASP.pdf", "Melting_Curves/meltCurve_P49321_NASP.pdf")</f>
        <v>Melting_Curves/meltCurve_P49321_NASP.pdf</v>
      </c>
    </row>
    <row r="2674" spans="1:28" x14ac:dyDescent="0.25">
      <c r="A2674" t="s">
        <v>2678</v>
      </c>
      <c r="B2674">
        <v>0.99542014353169495</v>
      </c>
      <c r="C2674">
        <v>0.83744675638781996</v>
      </c>
      <c r="D2674">
        <v>0.89646041236866303</v>
      </c>
      <c r="E2674">
        <v>0.66016527126758795</v>
      </c>
      <c r="F2674">
        <v>0.38549568084885799</v>
      </c>
      <c r="G2674">
        <v>9.1419763845183702E-2</v>
      </c>
      <c r="H2674">
        <v>5.6724667107565803E-2</v>
      </c>
      <c r="I2674">
        <v>3.7378030621841203E-2</v>
      </c>
      <c r="J2674">
        <v>4.1065126137386498E-2</v>
      </c>
      <c r="K2674">
        <v>4.03731192649242E-2</v>
      </c>
      <c r="L2674">
        <v>806.67119032505195</v>
      </c>
      <c r="M2674">
        <v>16.717324487073402</v>
      </c>
      <c r="N2674">
        <v>48.294273885899401</v>
      </c>
      <c r="O2674">
        <v>47.57900006829</v>
      </c>
      <c r="P2674">
        <v>-8.7231652237489396E-2</v>
      </c>
      <c r="Q2674">
        <v>6.9893485831579102E-3</v>
      </c>
      <c r="R2674">
        <v>0.98290303458457295</v>
      </c>
      <c r="S2674" t="s">
        <v>9076</v>
      </c>
      <c r="T2674" t="s">
        <v>12802</v>
      </c>
      <c r="U2674" t="s">
        <v>12802</v>
      </c>
      <c r="V2674" t="s">
        <v>12802</v>
      </c>
      <c r="W2674" t="s">
        <v>15429</v>
      </c>
      <c r="X2674">
        <v>109</v>
      </c>
      <c r="Y2674" t="s">
        <v>21695</v>
      </c>
      <c r="Z2674" t="s">
        <v>27992</v>
      </c>
      <c r="AA2674">
        <v>0.39756913294800439</v>
      </c>
      <c r="AB2674" t="str">
        <f>HYPERLINK("Melting_Curves/meltCurve_P49327_FASN.pdf", "Melting_Curves/meltCurve_P49327_FASN.pdf")</f>
        <v>Melting_Curves/meltCurve_P49327_FASN.pdf</v>
      </c>
    </row>
    <row r="2675" spans="1:28" x14ac:dyDescent="0.25">
      <c r="A2675" t="s">
        <v>2679</v>
      </c>
      <c r="B2675">
        <v>0.99542014353169495</v>
      </c>
      <c r="C2675">
        <v>0.95744889354615004</v>
      </c>
      <c r="D2675">
        <v>0.86338095370368195</v>
      </c>
      <c r="E2675">
        <v>0.81790190146273201</v>
      </c>
      <c r="F2675">
        <v>0.53439549568205202</v>
      </c>
      <c r="G2675">
        <v>0.29747131462073101</v>
      </c>
      <c r="H2675">
        <v>8.37043086722732E-2</v>
      </c>
      <c r="I2675">
        <v>5.2816813185547401E-2</v>
      </c>
      <c r="J2675">
        <v>5.2233419340247202E-2</v>
      </c>
      <c r="K2675">
        <v>5.8186870905963202E-2</v>
      </c>
      <c r="L2675">
        <v>790.00609034618799</v>
      </c>
      <c r="M2675">
        <v>15.6473480391256</v>
      </c>
      <c r="N2675">
        <v>50.525205073546303</v>
      </c>
      <c r="O2675">
        <v>49.685117348418203</v>
      </c>
      <c r="P2675">
        <v>-7.8290470864383094E-2</v>
      </c>
      <c r="Q2675">
        <v>5.7003051559159201E-3</v>
      </c>
      <c r="R2675">
        <v>0.99199304820933698</v>
      </c>
      <c r="S2675" t="s">
        <v>9077</v>
      </c>
      <c r="T2675" t="s">
        <v>12802</v>
      </c>
      <c r="U2675" t="s">
        <v>12802</v>
      </c>
      <c r="V2675" t="s">
        <v>12802</v>
      </c>
      <c r="W2675" t="s">
        <v>15430</v>
      </c>
      <c r="X2675">
        <v>12</v>
      </c>
      <c r="Y2675" t="s">
        <v>21696</v>
      </c>
      <c r="Z2675" t="s">
        <v>27993</v>
      </c>
      <c r="AA2675">
        <v>0.47199619874931392</v>
      </c>
      <c r="AB2675" t="str">
        <f>HYPERLINK("Melting_Curves/meltCurve_P49354_FNTA.pdf", "Melting_Curves/meltCurve_P49354_FNTA.pdf")</f>
        <v>Melting_Curves/meltCurve_P49354_FNTA.pdf</v>
      </c>
    </row>
    <row r="2676" spans="1:28" x14ac:dyDescent="0.25">
      <c r="A2676" t="s">
        <v>2680</v>
      </c>
      <c r="B2676">
        <v>0.99542014353169495</v>
      </c>
      <c r="C2676">
        <v>0.98367316062917098</v>
      </c>
      <c r="D2676">
        <v>0.98784160908792795</v>
      </c>
      <c r="E2676">
        <v>0.86714697201274804</v>
      </c>
      <c r="F2676">
        <v>0.75338403394498099</v>
      </c>
      <c r="G2676">
        <v>0.54000846167936101</v>
      </c>
      <c r="H2676">
        <v>0.40538335925472602</v>
      </c>
      <c r="I2676">
        <v>0.28844316794379199</v>
      </c>
      <c r="J2676">
        <v>0.187865560560039</v>
      </c>
      <c r="K2676">
        <v>0.13868895844509699</v>
      </c>
      <c r="L2676">
        <v>611.26254017945598</v>
      </c>
      <c r="M2676">
        <v>11.166633143259499</v>
      </c>
      <c r="N2676">
        <v>55.110473370663399</v>
      </c>
      <c r="O2676">
        <v>53.072564132814399</v>
      </c>
      <c r="P2676">
        <v>-5.0715373049899801E-2</v>
      </c>
      <c r="Q2676">
        <v>3.61505943188902E-2</v>
      </c>
      <c r="R2676">
        <v>0.99768255428507202</v>
      </c>
      <c r="S2676" t="s">
        <v>9078</v>
      </c>
      <c r="T2676" t="s">
        <v>12802</v>
      </c>
      <c r="U2676" t="s">
        <v>12802</v>
      </c>
      <c r="V2676" t="s">
        <v>12802</v>
      </c>
      <c r="W2676" t="s">
        <v>15431</v>
      </c>
      <c r="X2676">
        <v>13</v>
      </c>
      <c r="Y2676" t="s">
        <v>21697</v>
      </c>
      <c r="Z2676" t="s">
        <v>27994</v>
      </c>
      <c r="AA2676">
        <v>0.6204072255184625</v>
      </c>
      <c r="AB2676" t="str">
        <f>HYPERLINK("Melting_Curves/meltCurve_P49366_DHPS.pdf", "Melting_Curves/meltCurve_P49366_DHPS.pdf")</f>
        <v>Melting_Curves/meltCurve_P49366_DHPS.pdf</v>
      </c>
    </row>
    <row r="2677" spans="1:28" x14ac:dyDescent="0.25">
      <c r="A2677" t="s">
        <v>2681</v>
      </c>
      <c r="B2677">
        <v>0.99542014353169495</v>
      </c>
      <c r="C2677">
        <v>0.90479460495651898</v>
      </c>
      <c r="D2677">
        <v>0.92483059838119197</v>
      </c>
      <c r="E2677">
        <v>0.81777348540174499</v>
      </c>
      <c r="F2677">
        <v>0.56739775350075095</v>
      </c>
      <c r="G2677">
        <v>0.33676663042660299</v>
      </c>
      <c r="H2677">
        <v>0.30245360011849998</v>
      </c>
      <c r="I2677">
        <v>0.17861076778353299</v>
      </c>
      <c r="J2677">
        <v>0.110490657712767</v>
      </c>
      <c r="K2677">
        <v>7.0102091266697905E-2</v>
      </c>
      <c r="L2677">
        <v>601.71447843536998</v>
      </c>
      <c r="M2677">
        <v>11.7077980364983</v>
      </c>
      <c r="N2677">
        <v>51.664438713443197</v>
      </c>
      <c r="O2677">
        <v>49.963650924423803</v>
      </c>
      <c r="P2677">
        <v>-5.6857554629410098E-2</v>
      </c>
      <c r="Q2677">
        <v>2.96868019461945E-2</v>
      </c>
      <c r="R2677">
        <v>0.989568398274288</v>
      </c>
      <c r="S2677" t="s">
        <v>9079</v>
      </c>
      <c r="T2677" t="s">
        <v>12802</v>
      </c>
      <c r="U2677" t="s">
        <v>12802</v>
      </c>
      <c r="V2677" t="s">
        <v>12802</v>
      </c>
      <c r="W2677" t="s">
        <v>15432</v>
      </c>
      <c r="X2677">
        <v>37</v>
      </c>
      <c r="Y2677" t="s">
        <v>21698</v>
      </c>
      <c r="Z2677" t="s">
        <v>27995</v>
      </c>
      <c r="AA2677">
        <v>0.52023016917593035</v>
      </c>
      <c r="AB2677" t="str">
        <f>HYPERLINK("Melting_Curves/meltCurve_P49368_CCT3.pdf", "Melting_Curves/meltCurve_P49368_CCT3.pdf")</f>
        <v>Melting_Curves/meltCurve_P49368_CCT3.pdf</v>
      </c>
    </row>
    <row r="2678" spans="1:28" x14ac:dyDescent="0.25">
      <c r="A2678" t="s">
        <v>2682</v>
      </c>
      <c r="B2678">
        <v>0.99542014353169495</v>
      </c>
      <c r="C2678">
        <v>1.0981279234150001</v>
      </c>
      <c r="D2678">
        <v>0.81972414108512104</v>
      </c>
      <c r="E2678">
        <v>0.44116191662583998</v>
      </c>
      <c r="F2678">
        <v>0.341271424870354</v>
      </c>
      <c r="G2678">
        <v>0.18113209775611999</v>
      </c>
      <c r="H2678">
        <v>0.105216833675294</v>
      </c>
      <c r="I2678">
        <v>6.3629853521494403E-2</v>
      </c>
      <c r="J2678">
        <v>7.1450695987094998E-2</v>
      </c>
      <c r="K2678">
        <v>3.6162453264998097E-2</v>
      </c>
      <c r="L2678">
        <v>822.26400798696602</v>
      </c>
      <c r="M2678">
        <v>17.677256713129299</v>
      </c>
      <c r="N2678">
        <v>46.904686385948203</v>
      </c>
      <c r="O2678">
        <v>45.932342658554902</v>
      </c>
      <c r="P2678">
        <v>-8.9653191383877007E-2</v>
      </c>
      <c r="Q2678">
        <v>6.8234969008958798E-2</v>
      </c>
      <c r="R2678">
        <v>0.97566853387288599</v>
      </c>
      <c r="S2678" t="s">
        <v>9080</v>
      </c>
      <c r="T2678" t="s">
        <v>12802</v>
      </c>
      <c r="U2678" t="s">
        <v>12802</v>
      </c>
      <c r="V2678" t="s">
        <v>12802</v>
      </c>
      <c r="W2678" t="s">
        <v>15433</v>
      </c>
      <c r="X2678">
        <v>3</v>
      </c>
      <c r="Y2678" t="s">
        <v>21699</v>
      </c>
      <c r="Z2678" t="s">
        <v>27996</v>
      </c>
      <c r="AA2678">
        <v>0.37930750694392479</v>
      </c>
      <c r="AB2678" t="str">
        <f>HYPERLINK("Melting_Curves/meltCurve_P49406_MRPL19.pdf", "Melting_Curves/meltCurve_P49406_MRPL19.pdf")</f>
        <v>Melting_Curves/meltCurve_P49406_MRPL19.pdf</v>
      </c>
    </row>
    <row r="2679" spans="1:28" x14ac:dyDescent="0.25">
      <c r="A2679" t="s">
        <v>2683</v>
      </c>
      <c r="B2679">
        <v>0.99542014353169495</v>
      </c>
      <c r="C2679">
        <v>1.00219091248847</v>
      </c>
      <c r="D2679">
        <v>0.98189490785655198</v>
      </c>
      <c r="E2679">
        <v>0.81316070172978605</v>
      </c>
      <c r="F2679">
        <v>0.413540803539166</v>
      </c>
      <c r="G2679">
        <v>0.11382249760704601</v>
      </c>
      <c r="H2679">
        <v>5.7786153135046897E-2</v>
      </c>
      <c r="I2679">
        <v>4.2195109222040797E-2</v>
      </c>
      <c r="J2679">
        <v>5.6463326471916403E-2</v>
      </c>
      <c r="K2679">
        <v>7.1696681731462403E-2</v>
      </c>
      <c r="L2679">
        <v>1324.1475902889299</v>
      </c>
      <c r="M2679">
        <v>26.920135430031099</v>
      </c>
      <c r="N2679">
        <v>49.371565410336103</v>
      </c>
      <c r="O2679">
        <v>48.918969484926599</v>
      </c>
      <c r="P2679">
        <v>-0.131025490964296</v>
      </c>
      <c r="Q2679">
        <v>4.7617231369364202E-2</v>
      </c>
      <c r="R2679">
        <v>0.99906213111322595</v>
      </c>
      <c r="S2679" t="s">
        <v>9081</v>
      </c>
      <c r="T2679" t="s">
        <v>12802</v>
      </c>
      <c r="U2679" t="s">
        <v>12802</v>
      </c>
      <c r="V2679" t="s">
        <v>12802</v>
      </c>
      <c r="W2679" t="s">
        <v>15434</v>
      </c>
      <c r="X2679">
        <v>31</v>
      </c>
      <c r="Y2679" t="s">
        <v>21700</v>
      </c>
      <c r="Z2679" t="s">
        <v>27997</v>
      </c>
      <c r="AA2679">
        <v>0.44167926513047001</v>
      </c>
      <c r="AB2679" t="str">
        <f>HYPERLINK("Melting_Curves/meltCurve_P49411_TUFM.pdf", "Melting_Curves/meltCurve_P49411_TUFM.pdf")</f>
        <v>Melting_Curves/meltCurve_P49411_TUFM.pdf</v>
      </c>
    </row>
    <row r="2680" spans="1:28" x14ac:dyDescent="0.25">
      <c r="A2680" t="s">
        <v>2684</v>
      </c>
      <c r="B2680">
        <v>0.99542014353169495</v>
      </c>
      <c r="C2680">
        <v>0.99093567332475296</v>
      </c>
      <c r="D2680">
        <v>0.89309617511806205</v>
      </c>
      <c r="E2680">
        <v>0.50601754955298806</v>
      </c>
      <c r="F2680">
        <v>0.28599470972788998</v>
      </c>
      <c r="G2680">
        <v>0.160418293778858</v>
      </c>
      <c r="H2680">
        <v>9.8338598643305006E-2</v>
      </c>
      <c r="I2680">
        <v>6.0762582141201102E-2</v>
      </c>
      <c r="J2680">
        <v>5.7534189322408003E-2</v>
      </c>
      <c r="K2680">
        <v>5.8917640186007501E-2</v>
      </c>
      <c r="L2680">
        <v>911.63674506591406</v>
      </c>
      <c r="M2680">
        <v>19.486372779526601</v>
      </c>
      <c r="N2680">
        <v>47.123218656428399</v>
      </c>
      <c r="O2680">
        <v>46.2989344896802</v>
      </c>
      <c r="P2680">
        <v>-9.8325022372410503E-2</v>
      </c>
      <c r="Q2680">
        <v>6.5566123932689596E-2</v>
      </c>
      <c r="R2680">
        <v>0.996184108511599</v>
      </c>
      <c r="S2680" t="s">
        <v>9082</v>
      </c>
      <c r="T2680" t="s">
        <v>12802</v>
      </c>
      <c r="U2680" t="s">
        <v>12802</v>
      </c>
      <c r="V2680" t="s">
        <v>12802</v>
      </c>
      <c r="W2680" t="s">
        <v>15435</v>
      </c>
      <c r="X2680">
        <v>10</v>
      </c>
      <c r="Y2680" t="s">
        <v>21701</v>
      </c>
      <c r="Z2680" t="s">
        <v>27998</v>
      </c>
      <c r="AA2680">
        <v>0.38316243495320579</v>
      </c>
      <c r="AB2680" t="str">
        <f>HYPERLINK("Melting_Curves/meltCurve_P49427_CDC34.pdf", "Melting_Curves/meltCurve_P49427_CDC34.pdf")</f>
        <v>Melting_Curves/meltCurve_P49427_CDC34.pdf</v>
      </c>
    </row>
    <row r="2681" spans="1:28" x14ac:dyDescent="0.25">
      <c r="A2681" t="s">
        <v>2685</v>
      </c>
      <c r="B2681">
        <v>0.99542014353169495</v>
      </c>
      <c r="C2681">
        <v>1.0536627542794901</v>
      </c>
      <c r="D2681">
        <v>0.96303689503713397</v>
      </c>
      <c r="E2681">
        <v>0.94958354499578701</v>
      </c>
      <c r="F2681">
        <v>0.93649953480244297</v>
      </c>
      <c r="G2681">
        <v>0.70660416099436196</v>
      </c>
      <c r="H2681">
        <v>0.600919164008763</v>
      </c>
      <c r="I2681">
        <v>0.39881408455245099</v>
      </c>
      <c r="J2681">
        <v>0.25898993390414199</v>
      </c>
      <c r="K2681">
        <v>0.17412687532332</v>
      </c>
      <c r="L2681">
        <v>725.614168631148</v>
      </c>
      <c r="M2681">
        <v>12.3388989881322</v>
      </c>
      <c r="N2681">
        <v>58.8070434888226</v>
      </c>
      <c r="O2681">
        <v>57.3264299667876</v>
      </c>
      <c r="P2681">
        <v>-5.3821461546620701E-2</v>
      </c>
      <c r="Q2681">
        <v>0</v>
      </c>
      <c r="R2681">
        <v>0.99012204886143296</v>
      </c>
      <c r="S2681" t="s">
        <v>9083</v>
      </c>
      <c r="T2681" t="s">
        <v>12802</v>
      </c>
      <c r="U2681" t="s">
        <v>12802</v>
      </c>
      <c r="V2681" t="s">
        <v>12802</v>
      </c>
      <c r="W2681" t="s">
        <v>15436</v>
      </c>
      <c r="X2681">
        <v>5</v>
      </c>
      <c r="Y2681" t="s">
        <v>21702</v>
      </c>
      <c r="Z2681" t="s">
        <v>27999</v>
      </c>
      <c r="AA2681">
        <v>0.72112250890018126</v>
      </c>
      <c r="AB2681" t="str">
        <f>HYPERLINK("Melting_Curves/meltCurve_P49441_INPP1.pdf", "Melting_Curves/meltCurve_P49441_INPP1.pdf")</f>
        <v>Melting_Curves/meltCurve_P49441_INPP1.pdf</v>
      </c>
    </row>
    <row r="2682" spans="1:28" x14ac:dyDescent="0.25">
      <c r="A2682" t="s">
        <v>2686</v>
      </c>
      <c r="B2682">
        <v>0.99542014353169495</v>
      </c>
      <c r="C2682">
        <v>0.99898709959684096</v>
      </c>
      <c r="D2682">
        <v>1.2019509260149399</v>
      </c>
      <c r="E2682">
        <v>0.88439863930697504</v>
      </c>
      <c r="F2682">
        <v>0.87819104290053895</v>
      </c>
      <c r="G2682">
        <v>0.46103162151035898</v>
      </c>
      <c r="H2682">
        <v>0.41577178179812602</v>
      </c>
      <c r="I2682">
        <v>0.18111185855925399</v>
      </c>
      <c r="J2682">
        <v>5.4020419868561903E-2</v>
      </c>
      <c r="K2682">
        <v>5.6013555026536002E-2</v>
      </c>
      <c r="L2682">
        <v>869.496722712787</v>
      </c>
      <c r="M2682">
        <v>15.864950572109599</v>
      </c>
      <c r="N2682">
        <v>54.816442553300803</v>
      </c>
      <c r="O2682">
        <v>53.957541424253101</v>
      </c>
      <c r="P2682">
        <v>-7.3403186468373197E-2</v>
      </c>
      <c r="Q2682">
        <v>1.48837480102714E-3</v>
      </c>
      <c r="R2682">
        <v>0.95418196743261097</v>
      </c>
      <c r="S2682" t="s">
        <v>9084</v>
      </c>
      <c r="T2682" t="s">
        <v>12802</v>
      </c>
      <c r="U2682" t="s">
        <v>12802</v>
      </c>
      <c r="V2682" t="s">
        <v>12802</v>
      </c>
      <c r="W2682" t="s">
        <v>15437</v>
      </c>
      <c r="X2682">
        <v>15</v>
      </c>
      <c r="Y2682" t="s">
        <v>21703</v>
      </c>
      <c r="Z2682" t="s">
        <v>28000</v>
      </c>
      <c r="AA2682">
        <v>0.60823781942213706</v>
      </c>
      <c r="AB2682" t="str">
        <f>HYPERLINK("Melting_Curves/meltCurve_P49448_GLUD2.pdf", "Melting_Curves/meltCurve_P49448_GLUD2.pdf")</f>
        <v>Melting_Curves/meltCurve_P49448_GLUD2.pdf</v>
      </c>
    </row>
    <row r="2683" spans="1:28" x14ac:dyDescent="0.25">
      <c r="A2683" t="s">
        <v>2687</v>
      </c>
      <c r="B2683">
        <v>0.99542014353169495</v>
      </c>
      <c r="C2683">
        <v>0.85556608058865002</v>
      </c>
      <c r="D2683">
        <v>0.67425815501396302</v>
      </c>
      <c r="E2683">
        <v>0.31072224295518502</v>
      </c>
      <c r="F2683">
        <v>0.19446109898875399</v>
      </c>
      <c r="G2683">
        <v>0.108271030832277</v>
      </c>
      <c r="H2683">
        <v>7.4082036345642699E-2</v>
      </c>
      <c r="I2683">
        <v>5.5047770307738303E-2</v>
      </c>
      <c r="J2683">
        <v>6.0601421237700598E-2</v>
      </c>
      <c r="K2683">
        <v>6.51513221674489E-2</v>
      </c>
      <c r="L2683">
        <v>768.79208363859402</v>
      </c>
      <c r="M2683">
        <v>17.349688693076398</v>
      </c>
      <c r="N2683">
        <v>44.636612906556302</v>
      </c>
      <c r="O2683">
        <v>43.735460030720702</v>
      </c>
      <c r="P2683">
        <v>-9.3294284534924193E-2</v>
      </c>
      <c r="Q2683">
        <v>5.93408784692257E-2</v>
      </c>
      <c r="R2683">
        <v>0.99701675830549696</v>
      </c>
      <c r="S2683" t="s">
        <v>9085</v>
      </c>
      <c r="T2683" t="s">
        <v>12802</v>
      </c>
      <c r="U2683" t="s">
        <v>12802</v>
      </c>
      <c r="V2683" t="s">
        <v>12802</v>
      </c>
      <c r="W2683" t="s">
        <v>15438</v>
      </c>
      <c r="X2683">
        <v>52</v>
      </c>
      <c r="Y2683" t="s">
        <v>21704</v>
      </c>
      <c r="Z2683" t="s">
        <v>28001</v>
      </c>
      <c r="AA2683">
        <v>0.30556086538254862</v>
      </c>
      <c r="AB2683" t="str">
        <f>HYPERLINK("Melting_Curves/meltCurve_P49454_CENPF.pdf", "Melting_Curves/meltCurve_P49454_CENPF.pdf")</f>
        <v>Melting_Curves/meltCurve_P49454_CENPF.pdf</v>
      </c>
    </row>
    <row r="2684" spans="1:28" x14ac:dyDescent="0.25">
      <c r="A2684" t="s">
        <v>2688</v>
      </c>
      <c r="B2684">
        <v>0.99542014353169495</v>
      </c>
      <c r="C2684">
        <v>0.90598493221661303</v>
      </c>
      <c r="D2684">
        <v>0.87087941223825005</v>
      </c>
      <c r="E2684">
        <v>0.81453716328190295</v>
      </c>
      <c r="F2684">
        <v>0.52294504857350199</v>
      </c>
      <c r="G2684">
        <v>0.38214076817293802</v>
      </c>
      <c r="H2684">
        <v>0.21551939345570301</v>
      </c>
      <c r="I2684">
        <v>0.204573518835372</v>
      </c>
      <c r="J2684">
        <v>0.27756116331220898</v>
      </c>
      <c r="K2684">
        <v>0.26206052985397299</v>
      </c>
      <c r="L2684">
        <v>798.605755126281</v>
      </c>
      <c r="M2684">
        <v>16.301369837779699</v>
      </c>
      <c r="N2684">
        <v>50.7438037119488</v>
      </c>
      <c r="O2684">
        <v>48.270653899171599</v>
      </c>
      <c r="P2684">
        <v>-6.6249768444685705E-2</v>
      </c>
      <c r="Q2684">
        <v>0.21535758045095901</v>
      </c>
      <c r="R2684">
        <v>0.97664406930829195</v>
      </c>
      <c r="S2684" t="s">
        <v>9086</v>
      </c>
      <c r="T2684" t="s">
        <v>12802</v>
      </c>
      <c r="U2684" t="s">
        <v>12802</v>
      </c>
      <c r="V2684" t="s">
        <v>12802</v>
      </c>
      <c r="W2684" t="s">
        <v>15439</v>
      </c>
      <c r="X2684">
        <v>9</v>
      </c>
      <c r="Y2684" t="s">
        <v>21705</v>
      </c>
      <c r="Z2684" t="s">
        <v>28002</v>
      </c>
      <c r="AA2684">
        <v>0.54371999511949076</v>
      </c>
      <c r="AB2684" t="str">
        <f>HYPERLINK("Melting_Curves/meltCurve_P49458_SRP9.pdf", "Melting_Curves/meltCurve_P49458_SRP9.pdf")</f>
        <v>Melting_Curves/meltCurve_P49458_SRP9.pdf</v>
      </c>
    </row>
    <row r="2685" spans="1:28" x14ac:dyDescent="0.25">
      <c r="A2685" t="s">
        <v>2689</v>
      </c>
      <c r="B2685">
        <v>0.99542014353169495</v>
      </c>
      <c r="C2685">
        <v>0.97892434227158898</v>
      </c>
      <c r="D2685">
        <v>0.93630876499370896</v>
      </c>
      <c r="E2685">
        <v>0.99361746095714898</v>
      </c>
      <c r="F2685">
        <v>0.83714426270983999</v>
      </c>
      <c r="G2685">
        <v>0.43674442462954099</v>
      </c>
      <c r="H2685">
        <v>0.145597015227036</v>
      </c>
      <c r="I2685">
        <v>0.103627675921744</v>
      </c>
      <c r="J2685">
        <v>0.116120071733366</v>
      </c>
      <c r="K2685">
        <v>0.106595647007897</v>
      </c>
      <c r="L2685">
        <v>1627.97369665061</v>
      </c>
      <c r="M2685">
        <v>30.832211219857601</v>
      </c>
      <c r="N2685">
        <v>53.176255327409002</v>
      </c>
      <c r="O2685">
        <v>52.580457930607302</v>
      </c>
      <c r="P2685">
        <v>-0.132266317528108</v>
      </c>
      <c r="Q2685">
        <v>9.7751309980613502E-2</v>
      </c>
      <c r="R2685">
        <v>0.99641081991110803</v>
      </c>
      <c r="S2685" t="s">
        <v>9087</v>
      </c>
      <c r="T2685" t="s">
        <v>12802</v>
      </c>
      <c r="U2685" t="s">
        <v>12802</v>
      </c>
      <c r="V2685" t="s">
        <v>12802</v>
      </c>
      <c r="W2685" t="s">
        <v>15440</v>
      </c>
      <c r="X2685">
        <v>5</v>
      </c>
      <c r="Y2685" t="s">
        <v>21706</v>
      </c>
      <c r="Z2685" t="s">
        <v>28003</v>
      </c>
      <c r="AA2685">
        <v>0.57841429101452524</v>
      </c>
      <c r="AB2685" t="str">
        <f>HYPERLINK("Melting_Curves/meltCurve_P49459_UBE2A.pdf", "Melting_Curves/meltCurve_P49459_UBE2A.pdf")</f>
        <v>Melting_Curves/meltCurve_P49459_UBE2A.pdf</v>
      </c>
    </row>
    <row r="2686" spans="1:28" x14ac:dyDescent="0.25">
      <c r="A2686" t="s">
        <v>2690</v>
      </c>
      <c r="B2686">
        <v>0.99542014353169495</v>
      </c>
      <c r="C2686">
        <v>0.99619695025536503</v>
      </c>
      <c r="D2686">
        <v>0.98721802261995595</v>
      </c>
      <c r="E2686">
        <v>0.838280807141631</v>
      </c>
      <c r="F2686">
        <v>0.60457604252696096</v>
      </c>
      <c r="G2686">
        <v>0.26842001260479398</v>
      </c>
      <c r="H2686">
        <v>0.109901151124594</v>
      </c>
      <c r="I2686">
        <v>7.1171464160520198E-2</v>
      </c>
      <c r="J2686">
        <v>7.5763485925247898E-2</v>
      </c>
      <c r="K2686">
        <v>8.4686146834422105E-2</v>
      </c>
      <c r="L2686">
        <v>1065.1203677027199</v>
      </c>
      <c r="M2686">
        <v>21.005193818028101</v>
      </c>
      <c r="N2686">
        <v>51.001031534142697</v>
      </c>
      <c r="O2686">
        <v>50.254600113625997</v>
      </c>
      <c r="P2686">
        <v>-9.8546949240123596E-2</v>
      </c>
      <c r="Q2686">
        <v>5.6937117104682897E-2</v>
      </c>
      <c r="R2686">
        <v>0.99804317220601002</v>
      </c>
      <c r="S2686" t="s">
        <v>9088</v>
      </c>
      <c r="T2686" t="s">
        <v>12802</v>
      </c>
      <c r="U2686" t="s">
        <v>12802</v>
      </c>
      <c r="V2686" t="s">
        <v>12802</v>
      </c>
      <c r="W2686" t="s">
        <v>15441</v>
      </c>
      <c r="X2686">
        <v>21</v>
      </c>
      <c r="Y2686" t="s">
        <v>21707</v>
      </c>
      <c r="Z2686" t="s">
        <v>28004</v>
      </c>
      <c r="AA2686">
        <v>0.49921567661140043</v>
      </c>
      <c r="AB2686" t="str">
        <f>HYPERLINK("Melting_Curves/meltCurve_P49585_PCYT1A.pdf", "Melting_Curves/meltCurve_P49585_PCYT1A.pdf")</f>
        <v>Melting_Curves/meltCurve_P49585_PCYT1A.pdf</v>
      </c>
    </row>
    <row r="2687" spans="1:28" x14ac:dyDescent="0.25">
      <c r="A2687" t="s">
        <v>2691</v>
      </c>
      <c r="B2687">
        <v>0.99542014353169495</v>
      </c>
      <c r="C2687">
        <v>1.0103262337599099</v>
      </c>
      <c r="D2687">
        <v>0.95789677710682097</v>
      </c>
      <c r="E2687">
        <v>0.854646702350914</v>
      </c>
      <c r="F2687">
        <v>0.62833129218527695</v>
      </c>
      <c r="G2687">
        <v>0.31844466981243102</v>
      </c>
      <c r="H2687">
        <v>0.110465551780355</v>
      </c>
      <c r="I2687">
        <v>7.0130222714667706E-2</v>
      </c>
      <c r="J2687">
        <v>7.4940197629368599E-2</v>
      </c>
      <c r="K2687">
        <v>8.5131139586492002E-2</v>
      </c>
      <c r="L2687">
        <v>1015.88699634131</v>
      </c>
      <c r="M2687">
        <v>19.872949511242702</v>
      </c>
      <c r="N2687">
        <v>51.388778197808797</v>
      </c>
      <c r="O2687">
        <v>50.609913339528497</v>
      </c>
      <c r="P2687">
        <v>-9.3309169388410204E-2</v>
      </c>
      <c r="Q2687">
        <v>4.9519837791407902E-2</v>
      </c>
      <c r="R2687">
        <v>0.99743452046250702</v>
      </c>
      <c r="S2687" t="s">
        <v>9089</v>
      </c>
      <c r="T2687" t="s">
        <v>12802</v>
      </c>
      <c r="U2687" t="s">
        <v>12802</v>
      </c>
      <c r="V2687" t="s">
        <v>12802</v>
      </c>
      <c r="W2687" t="s">
        <v>15442</v>
      </c>
      <c r="X2687">
        <v>59</v>
      </c>
      <c r="Y2687" t="s">
        <v>21708</v>
      </c>
      <c r="Z2687" t="s">
        <v>28005</v>
      </c>
      <c r="AA2687">
        <v>0.50941152284349012</v>
      </c>
      <c r="AB2687" t="str">
        <f>HYPERLINK("Melting_Curves/meltCurve_P49588_AARS.pdf", "Melting_Curves/meltCurve_P49588_AARS.pdf")</f>
        <v>Melting_Curves/meltCurve_P49588_AARS.pdf</v>
      </c>
    </row>
    <row r="2688" spans="1:28" x14ac:dyDescent="0.25">
      <c r="A2688" t="s">
        <v>2692</v>
      </c>
      <c r="B2688">
        <v>0.99542014353169495</v>
      </c>
      <c r="C2688">
        <v>0.94856874030238103</v>
      </c>
      <c r="D2688">
        <v>0.96661083661792802</v>
      </c>
      <c r="E2688">
        <v>0.85501058216558201</v>
      </c>
      <c r="F2688">
        <v>0.66838556906697599</v>
      </c>
      <c r="G2688">
        <v>0.29172581685279098</v>
      </c>
      <c r="H2688">
        <v>0.104148080679316</v>
      </c>
      <c r="I2688">
        <v>8.1810985839156594E-2</v>
      </c>
      <c r="J2688">
        <v>7.5147909641853097E-2</v>
      </c>
      <c r="K2688">
        <v>7.8524347215307599E-2</v>
      </c>
      <c r="L2688">
        <v>1111.07287217161</v>
      </c>
      <c r="M2688">
        <v>21.688753747207599</v>
      </c>
      <c r="N2688">
        <v>51.498069716310901</v>
      </c>
      <c r="O2688">
        <v>50.798551683089102</v>
      </c>
      <c r="P2688">
        <v>-0.10100492657395101</v>
      </c>
      <c r="Q2688">
        <v>5.3743620624923598E-2</v>
      </c>
      <c r="R2688">
        <v>0.99478010630175095</v>
      </c>
      <c r="S2688" t="s">
        <v>9090</v>
      </c>
      <c r="T2688" t="s">
        <v>12802</v>
      </c>
      <c r="U2688" t="s">
        <v>12802</v>
      </c>
      <c r="V2688" t="s">
        <v>12802</v>
      </c>
      <c r="W2688" t="s">
        <v>15443</v>
      </c>
      <c r="X2688">
        <v>35</v>
      </c>
      <c r="Y2688" t="s">
        <v>21709</v>
      </c>
      <c r="Z2688" t="s">
        <v>28006</v>
      </c>
      <c r="AA2688">
        <v>0.51330396270008694</v>
      </c>
      <c r="AB2688" t="str">
        <f>HYPERLINK("Melting_Curves/meltCurve_P49589_3_CARS.pdf", "Melting_Curves/meltCurve_P49589_3_CARS.pdf")</f>
        <v>Melting_Curves/meltCurve_P49589_3_CARS.pdf</v>
      </c>
    </row>
    <row r="2689" spans="1:28" x14ac:dyDescent="0.25">
      <c r="A2689" t="s">
        <v>2693</v>
      </c>
      <c r="B2689">
        <v>0.99542014353169495</v>
      </c>
      <c r="C2689">
        <v>1.04955934015126</v>
      </c>
      <c r="D2689">
        <v>0.96228610922320201</v>
      </c>
      <c r="E2689">
        <v>0.86613325726241297</v>
      </c>
      <c r="F2689">
        <v>0.51983995315091802</v>
      </c>
      <c r="G2689">
        <v>0.17261337370091301</v>
      </c>
      <c r="H2689">
        <v>0.10939672967017799</v>
      </c>
      <c r="I2689">
        <v>6.9567407503381598E-2</v>
      </c>
      <c r="J2689">
        <v>8.1548370683214494E-2</v>
      </c>
      <c r="K2689">
        <v>0.10610192133536001</v>
      </c>
      <c r="L2689">
        <v>1339.3374138113199</v>
      </c>
      <c r="M2689">
        <v>26.841210140533398</v>
      </c>
      <c r="N2689">
        <v>50.222122345058303</v>
      </c>
      <c r="O2689">
        <v>49.624050561571799</v>
      </c>
      <c r="P2689">
        <v>-0.12448649464244101</v>
      </c>
      <c r="Q2689">
        <v>7.9406540301226194E-2</v>
      </c>
      <c r="R2689">
        <v>0.99691333835526497</v>
      </c>
      <c r="S2689" t="s">
        <v>9091</v>
      </c>
      <c r="T2689" t="s">
        <v>12802</v>
      </c>
      <c r="U2689" t="s">
        <v>12802</v>
      </c>
      <c r="V2689" t="s">
        <v>12802</v>
      </c>
      <c r="W2689" t="s">
        <v>15444</v>
      </c>
      <c r="X2689">
        <v>19</v>
      </c>
      <c r="Y2689" t="s">
        <v>21710</v>
      </c>
      <c r="Z2689" t="s">
        <v>28007</v>
      </c>
      <c r="AA2689">
        <v>0.48223054472125432</v>
      </c>
      <c r="AB2689" t="str">
        <f>HYPERLINK("Melting_Curves/meltCurve_P49593_PPM1F.pdf", "Melting_Curves/meltCurve_P49593_PPM1F.pdf")</f>
        <v>Melting_Curves/meltCurve_P49593_PPM1F.pdf</v>
      </c>
    </row>
    <row r="2690" spans="1:28" x14ac:dyDescent="0.25">
      <c r="A2690" t="s">
        <v>2694</v>
      </c>
      <c r="B2690">
        <v>0.99542014353169495</v>
      </c>
      <c r="C2690">
        <v>0.87671100040980099</v>
      </c>
      <c r="D2690">
        <v>0.84441375954401998</v>
      </c>
      <c r="E2690">
        <v>0.41009101747813298</v>
      </c>
      <c r="F2690">
        <v>0.19576009793347299</v>
      </c>
      <c r="G2690">
        <v>9.0540768953757303E-2</v>
      </c>
      <c r="H2690">
        <v>5.6085189840719897E-2</v>
      </c>
      <c r="I2690">
        <v>3.3275755096492998E-2</v>
      </c>
      <c r="J2690">
        <v>3.7826414090055403E-2</v>
      </c>
      <c r="K2690">
        <v>3.6290408676150701E-2</v>
      </c>
      <c r="L2690">
        <v>898.81620043357805</v>
      </c>
      <c r="M2690">
        <v>19.611518221424301</v>
      </c>
      <c r="N2690">
        <v>45.999911047950199</v>
      </c>
      <c r="O2690">
        <v>45.362489649212598</v>
      </c>
      <c r="P2690">
        <v>-0.10433183615201699</v>
      </c>
      <c r="Q2690">
        <v>3.4733513915055102E-2</v>
      </c>
      <c r="R2690">
        <v>0.99336891105648595</v>
      </c>
      <c r="S2690" t="s">
        <v>9092</v>
      </c>
      <c r="T2690" t="s">
        <v>12802</v>
      </c>
      <c r="U2690" t="s">
        <v>12802</v>
      </c>
      <c r="V2690" t="s">
        <v>12802</v>
      </c>
      <c r="W2690" t="s">
        <v>15445</v>
      </c>
      <c r="X2690">
        <v>15</v>
      </c>
      <c r="Y2690" t="s">
        <v>21711</v>
      </c>
      <c r="Z2690" t="s">
        <v>28008</v>
      </c>
      <c r="AA2690">
        <v>0.33201459546404011</v>
      </c>
      <c r="AB2690" t="str">
        <f>HYPERLINK("Melting_Curves/meltCurve_P49642_PRIM1.pdf", "Melting_Curves/meltCurve_P49642_PRIM1.pdf")</f>
        <v>Melting_Curves/meltCurve_P49642_PRIM1.pdf</v>
      </c>
    </row>
    <row r="2691" spans="1:28" x14ac:dyDescent="0.25">
      <c r="A2691" t="s">
        <v>2695</v>
      </c>
      <c r="B2691">
        <v>0.99542014353169495</v>
      </c>
      <c r="C2691">
        <v>0.81630839461926197</v>
      </c>
      <c r="D2691">
        <v>0.86308695153950599</v>
      </c>
      <c r="E2691">
        <v>0.45404716065953898</v>
      </c>
      <c r="F2691">
        <v>0.180302818393627</v>
      </c>
      <c r="G2691">
        <v>8.6552382514143794E-2</v>
      </c>
      <c r="H2691">
        <v>5.7245756087549601E-2</v>
      </c>
      <c r="I2691">
        <v>4.7723944740455701E-2</v>
      </c>
      <c r="J2691">
        <v>5.7750576372397097E-2</v>
      </c>
      <c r="K2691">
        <v>7.3762498720067696E-2</v>
      </c>
      <c r="L2691">
        <v>908.200548231119</v>
      </c>
      <c r="M2691">
        <v>19.770546829174101</v>
      </c>
      <c r="N2691">
        <v>46.1657540579778</v>
      </c>
      <c r="O2691">
        <v>45.4748258403012</v>
      </c>
      <c r="P2691">
        <v>-0.10362269294422</v>
      </c>
      <c r="Q2691">
        <v>4.66500722603738E-2</v>
      </c>
      <c r="R2691">
        <v>0.98231000314549699</v>
      </c>
      <c r="S2691" t="s">
        <v>9093</v>
      </c>
      <c r="T2691" t="s">
        <v>12802</v>
      </c>
      <c r="U2691" t="s">
        <v>12802</v>
      </c>
      <c r="V2691" t="s">
        <v>12802</v>
      </c>
      <c r="W2691" t="s">
        <v>15446</v>
      </c>
      <c r="X2691">
        <v>12</v>
      </c>
      <c r="Y2691" t="s">
        <v>21712</v>
      </c>
      <c r="Z2691" t="s">
        <v>28009</v>
      </c>
      <c r="AA2691">
        <v>0.34341467884381</v>
      </c>
      <c r="AB2691" t="str">
        <f>HYPERLINK("Melting_Curves/meltCurve_P49643_PRIM2.pdf", "Melting_Curves/meltCurve_P49643_PRIM2.pdf")</f>
        <v>Melting_Curves/meltCurve_P49643_PRIM2.pdf</v>
      </c>
    </row>
    <row r="2692" spans="1:28" x14ac:dyDescent="0.25">
      <c r="A2692" t="s">
        <v>2696</v>
      </c>
      <c r="B2692">
        <v>0.99542014353169495</v>
      </c>
      <c r="C2692">
        <v>0.90803155230551102</v>
      </c>
      <c r="D2692">
        <v>0.90335651557708696</v>
      </c>
      <c r="E2692">
        <v>0.71000532971752295</v>
      </c>
      <c r="F2692">
        <v>0.25539907687622998</v>
      </c>
      <c r="G2692">
        <v>0.100618500274734</v>
      </c>
      <c r="H2692">
        <v>4.6123810381005902E-2</v>
      </c>
      <c r="I2692">
        <v>3.1166345204112801E-2</v>
      </c>
      <c r="J2692">
        <v>4.4819105883805499E-2</v>
      </c>
      <c r="K2692">
        <v>3.1437850113979697E-2</v>
      </c>
      <c r="L2692">
        <v>1146.56687731539</v>
      </c>
      <c r="M2692">
        <v>23.904528739434799</v>
      </c>
      <c r="N2692">
        <v>48.087915750486701</v>
      </c>
      <c r="O2692">
        <v>47.6325345476819</v>
      </c>
      <c r="P2692">
        <v>-0.121730003281539</v>
      </c>
      <c r="Q2692">
        <v>2.9771230981921699E-2</v>
      </c>
      <c r="R2692">
        <v>0.99349092367779301</v>
      </c>
      <c r="S2692" t="s">
        <v>9094</v>
      </c>
      <c r="T2692" t="s">
        <v>12802</v>
      </c>
      <c r="U2692" t="s">
        <v>12802</v>
      </c>
      <c r="V2692" t="s">
        <v>12802</v>
      </c>
      <c r="W2692" t="s">
        <v>15447</v>
      </c>
      <c r="X2692">
        <v>7</v>
      </c>
      <c r="Y2692" t="s">
        <v>21713</v>
      </c>
      <c r="Z2692" t="s">
        <v>28010</v>
      </c>
      <c r="AA2692">
        <v>0.39339886729347501</v>
      </c>
      <c r="AB2692" t="str">
        <f>HYPERLINK("Melting_Curves/meltCurve_P49674_CSNK1E.pdf", "Melting_Curves/meltCurve_P49674_CSNK1E.pdf")</f>
        <v>Melting_Curves/meltCurve_P49674_CSNK1E.pdf</v>
      </c>
    </row>
    <row r="2693" spans="1:28" x14ac:dyDescent="0.25">
      <c r="A2693" t="s">
        <v>2697</v>
      </c>
      <c r="B2693">
        <v>0.99542014353169495</v>
      </c>
      <c r="C2693">
        <v>1.05710119609171</v>
      </c>
      <c r="D2693">
        <v>0.91399333033293495</v>
      </c>
      <c r="E2693">
        <v>0.71677737477553105</v>
      </c>
      <c r="F2693">
        <v>0.44166504717906102</v>
      </c>
      <c r="G2693">
        <v>0.21100602562415599</v>
      </c>
      <c r="H2693">
        <v>0.14061762132366701</v>
      </c>
      <c r="I2693">
        <v>9.0949000550724607E-2</v>
      </c>
      <c r="J2693">
        <v>0.131356454423045</v>
      </c>
      <c r="K2693">
        <v>0.12646693983512999</v>
      </c>
      <c r="L2693">
        <v>942.24271534827506</v>
      </c>
      <c r="M2693">
        <v>19.381818373051502</v>
      </c>
      <c r="N2693">
        <v>49.206381120748702</v>
      </c>
      <c r="O2693">
        <v>48.106122941190399</v>
      </c>
      <c r="P2693">
        <v>-9.0258818738640195E-2</v>
      </c>
      <c r="Q2693">
        <v>0.103935088236255</v>
      </c>
      <c r="R2693">
        <v>0.99455229030087899</v>
      </c>
      <c r="S2693" t="s">
        <v>9095</v>
      </c>
      <c r="T2693" t="s">
        <v>12802</v>
      </c>
      <c r="U2693" t="s">
        <v>12802</v>
      </c>
      <c r="V2693" t="s">
        <v>12802</v>
      </c>
      <c r="W2693" t="s">
        <v>15448</v>
      </c>
      <c r="X2693">
        <v>4</v>
      </c>
      <c r="Y2693" t="s">
        <v>21714</v>
      </c>
      <c r="Z2693" t="s">
        <v>28011</v>
      </c>
      <c r="AA2693">
        <v>0.46335216456885409</v>
      </c>
      <c r="AB2693" t="str">
        <f>HYPERLINK("Melting_Curves/meltCurve_P49711_CTCF.pdf", "Melting_Curves/meltCurve_P49711_CTCF.pdf")</f>
        <v>Melting_Curves/meltCurve_P49711_CTCF.pdf</v>
      </c>
    </row>
    <row r="2694" spans="1:28" x14ac:dyDescent="0.25">
      <c r="A2694" t="s">
        <v>2698</v>
      </c>
      <c r="B2694">
        <v>0.99542014353169495</v>
      </c>
      <c r="C2694">
        <v>0.84569795064099995</v>
      </c>
      <c r="D2694">
        <v>0.85752345737201996</v>
      </c>
      <c r="E2694">
        <v>0.68629875689985698</v>
      </c>
      <c r="F2694">
        <v>0.495454973728156</v>
      </c>
      <c r="G2694">
        <v>0.24282510393276499</v>
      </c>
      <c r="H2694">
        <v>0.26573424313041799</v>
      </c>
      <c r="I2694">
        <v>0.30221576982551501</v>
      </c>
      <c r="J2694">
        <v>0.29117727368398</v>
      </c>
      <c r="K2694">
        <v>0.40213670399727602</v>
      </c>
      <c r="L2694">
        <v>771.40460483446395</v>
      </c>
      <c r="M2694">
        <v>16.548403501048</v>
      </c>
      <c r="N2694">
        <v>49.1501544073679</v>
      </c>
      <c r="O2694">
        <v>45.950285272139602</v>
      </c>
      <c r="P2694">
        <v>-6.4194415501407698E-2</v>
      </c>
      <c r="Q2694">
        <v>0.28704926661245</v>
      </c>
      <c r="R2694">
        <v>0.93905038219209402</v>
      </c>
      <c r="S2694" t="s">
        <v>9096</v>
      </c>
      <c r="T2694" t="s">
        <v>12802</v>
      </c>
      <c r="U2694" t="s">
        <v>12802</v>
      </c>
      <c r="V2694" t="s">
        <v>12802</v>
      </c>
      <c r="W2694" t="s">
        <v>15449</v>
      </c>
      <c r="X2694">
        <v>8</v>
      </c>
      <c r="Y2694" t="s">
        <v>21715</v>
      </c>
      <c r="Z2694" t="s">
        <v>28012</v>
      </c>
      <c r="AA2694">
        <v>0.5290309842271419</v>
      </c>
      <c r="AB2694" t="str">
        <f>HYPERLINK("Melting_Curves/meltCurve_P49721_PSMB2.pdf", "Melting_Curves/meltCurve_P49721_PSMB2.pdf")</f>
        <v>Melting_Curves/meltCurve_P49721_PSMB2.pdf</v>
      </c>
    </row>
    <row r="2695" spans="1:28" x14ac:dyDescent="0.25">
      <c r="A2695" t="s">
        <v>2699</v>
      </c>
      <c r="B2695">
        <v>0.99542014353169495</v>
      </c>
      <c r="C2695">
        <v>0.92886430247470597</v>
      </c>
      <c r="D2695">
        <v>0.967289635977442</v>
      </c>
      <c r="E2695">
        <v>0.72630455306930597</v>
      </c>
      <c r="F2695">
        <v>0.45759062129844302</v>
      </c>
      <c r="G2695">
        <v>0.13270564031055301</v>
      </c>
      <c r="H2695">
        <v>7.6252517950382098E-2</v>
      </c>
      <c r="I2695">
        <v>5.4418720036532899E-2</v>
      </c>
      <c r="J2695">
        <v>6.1826137732691203E-2</v>
      </c>
      <c r="K2695">
        <v>6.4244238666691197E-2</v>
      </c>
      <c r="L2695">
        <v>996.69358587625197</v>
      </c>
      <c r="M2695">
        <v>20.318102605320899</v>
      </c>
      <c r="N2695">
        <v>49.260471633295701</v>
      </c>
      <c r="O2695">
        <v>48.586692537494997</v>
      </c>
      <c r="P2695">
        <v>-0.100290466270102</v>
      </c>
      <c r="Q2695">
        <v>4.0730697115790103E-2</v>
      </c>
      <c r="R2695">
        <v>0.99364510263129702</v>
      </c>
      <c r="S2695" t="s">
        <v>9097</v>
      </c>
      <c r="T2695" t="s">
        <v>12802</v>
      </c>
      <c r="U2695" t="s">
        <v>12802</v>
      </c>
      <c r="V2695" t="s">
        <v>12802</v>
      </c>
      <c r="W2695" t="s">
        <v>15450</v>
      </c>
      <c r="X2695">
        <v>37</v>
      </c>
      <c r="Y2695" t="s">
        <v>21716</v>
      </c>
      <c r="Z2695" t="s">
        <v>28013</v>
      </c>
      <c r="AA2695">
        <v>0.43845999466661367</v>
      </c>
      <c r="AB2695" t="str">
        <f>HYPERLINK("Melting_Curves/meltCurve_P49736_MCM2.pdf", "Melting_Curves/meltCurve_P49736_MCM2.pdf")</f>
        <v>Melting_Curves/meltCurve_P49736_MCM2.pdf</v>
      </c>
    </row>
    <row r="2696" spans="1:28" x14ac:dyDescent="0.25">
      <c r="A2696" t="s">
        <v>2700</v>
      </c>
      <c r="B2696">
        <v>0.99542014353169495</v>
      </c>
      <c r="C2696">
        <v>1.0285839124025</v>
      </c>
      <c r="D2696">
        <v>0.97128020861654196</v>
      </c>
      <c r="E2696">
        <v>0.88859270642802002</v>
      </c>
      <c r="F2696">
        <v>0.77040764588501598</v>
      </c>
      <c r="G2696">
        <v>0.57823888097306797</v>
      </c>
      <c r="H2696">
        <v>0.29623888092436002</v>
      </c>
      <c r="I2696">
        <v>0.15878370861112401</v>
      </c>
      <c r="J2696">
        <v>7.8927582236923505E-2</v>
      </c>
      <c r="K2696">
        <v>6.3785442304320303E-2</v>
      </c>
      <c r="L2696">
        <v>813.63863624515398</v>
      </c>
      <c r="M2696">
        <v>14.9585682457641</v>
      </c>
      <c r="N2696">
        <v>54.392815249402801</v>
      </c>
      <c r="O2696">
        <v>53.4484785407681</v>
      </c>
      <c r="P2696">
        <v>-6.9974376999645593E-2</v>
      </c>
      <c r="Q2696">
        <v>0</v>
      </c>
      <c r="R2696">
        <v>0.99685043277500596</v>
      </c>
      <c r="S2696" t="s">
        <v>9098</v>
      </c>
      <c r="T2696" t="s">
        <v>12802</v>
      </c>
      <c r="U2696" t="s">
        <v>12802</v>
      </c>
      <c r="V2696" t="s">
        <v>12802</v>
      </c>
      <c r="W2696" t="s">
        <v>15451</v>
      </c>
      <c r="X2696">
        <v>31</v>
      </c>
      <c r="Y2696" t="s">
        <v>21717</v>
      </c>
      <c r="Z2696" t="s">
        <v>28014</v>
      </c>
      <c r="AA2696">
        <v>0.59521797512940011</v>
      </c>
      <c r="AB2696" t="str">
        <f>HYPERLINK("Melting_Curves/meltCurve_P49748_2_ACADVL.pdf", "Melting_Curves/meltCurve_P49748_2_ACADVL.pdf")</f>
        <v>Melting_Curves/meltCurve_P49748_2_ACADVL.pdf</v>
      </c>
    </row>
    <row r="2697" spans="1:28" x14ac:dyDescent="0.25">
      <c r="A2697" t="s">
        <v>2701</v>
      </c>
      <c r="B2697">
        <v>0.99542014353169495</v>
      </c>
      <c r="C2697">
        <v>0.92951079154837302</v>
      </c>
      <c r="D2697">
        <v>1.0485209436732199</v>
      </c>
      <c r="E2697">
        <v>0.92706276504232099</v>
      </c>
      <c r="F2697">
        <v>0.41630338919619397</v>
      </c>
      <c r="G2697">
        <v>0.175460256764956</v>
      </c>
      <c r="H2697">
        <v>0.118489194079246</v>
      </c>
      <c r="I2697">
        <v>7.8274396560082907E-2</v>
      </c>
      <c r="J2697">
        <v>9.1935007869907104E-2</v>
      </c>
      <c r="K2697">
        <v>0.103019741181295</v>
      </c>
      <c r="L2697">
        <v>1851.3962513373499</v>
      </c>
      <c r="M2697">
        <v>37.4492096350114</v>
      </c>
      <c r="N2697">
        <v>49.742564073005298</v>
      </c>
      <c r="O2697">
        <v>49.297188084566699</v>
      </c>
      <c r="P2697">
        <v>-0.170431665357996</v>
      </c>
      <c r="Q2697">
        <v>0.102594761936178</v>
      </c>
      <c r="R2697">
        <v>0.99416592143674798</v>
      </c>
      <c r="S2697" t="s">
        <v>9099</v>
      </c>
      <c r="T2697" t="s">
        <v>12802</v>
      </c>
      <c r="U2697" t="s">
        <v>12802</v>
      </c>
      <c r="V2697" t="s">
        <v>12802</v>
      </c>
      <c r="W2697" t="s">
        <v>15452</v>
      </c>
      <c r="X2697">
        <v>18</v>
      </c>
      <c r="Y2697" t="s">
        <v>21718</v>
      </c>
      <c r="Z2697" t="s">
        <v>28015</v>
      </c>
      <c r="AA2697">
        <v>0.47814464529491202</v>
      </c>
      <c r="AB2697" t="str">
        <f>HYPERLINK("Melting_Curves/meltCurve_P49750_YLPM1.pdf", "Melting_Curves/meltCurve_P49750_YLPM1.pdf")</f>
        <v>Melting_Curves/meltCurve_P49750_YLPM1.pdf</v>
      </c>
    </row>
    <row r="2698" spans="1:28" x14ac:dyDescent="0.25">
      <c r="A2698" t="s">
        <v>2702</v>
      </c>
      <c r="B2698">
        <v>0.99542014353169495</v>
      </c>
      <c r="C2698">
        <v>0.861020853518774</v>
      </c>
      <c r="D2698">
        <v>0.96407373367575599</v>
      </c>
      <c r="E2698">
        <v>0.72549983219828296</v>
      </c>
      <c r="F2698">
        <v>0.68862284727241796</v>
      </c>
      <c r="G2698">
        <v>0.31732434360494699</v>
      </c>
      <c r="H2698">
        <v>0.16768715950067201</v>
      </c>
      <c r="I2698">
        <v>5.57837183068563E-2</v>
      </c>
      <c r="J2698">
        <v>5.6055938857823097E-2</v>
      </c>
      <c r="K2698">
        <v>6.8080040001480796E-2</v>
      </c>
      <c r="L2698">
        <v>718.279260418901</v>
      </c>
      <c r="M2698">
        <v>13.980568161928099</v>
      </c>
      <c r="N2698">
        <v>51.3769722343201</v>
      </c>
      <c r="O2698">
        <v>50.360055572279897</v>
      </c>
      <c r="P2698">
        <v>-6.94122956958384E-2</v>
      </c>
      <c r="Q2698">
        <v>0</v>
      </c>
      <c r="R2698">
        <v>0.97302570540866895</v>
      </c>
      <c r="S2698" t="s">
        <v>9100</v>
      </c>
      <c r="T2698" t="s">
        <v>12802</v>
      </c>
      <c r="U2698" t="s">
        <v>12802</v>
      </c>
      <c r="V2698" t="s">
        <v>12802</v>
      </c>
      <c r="W2698" t="s">
        <v>15453</v>
      </c>
      <c r="X2698">
        <v>12</v>
      </c>
      <c r="Y2698" t="s">
        <v>21719</v>
      </c>
      <c r="Z2698" t="s">
        <v>28016</v>
      </c>
      <c r="AA2698">
        <v>0.50076394286552495</v>
      </c>
      <c r="AB2698" t="str">
        <f>HYPERLINK("Melting_Curves/meltCurve_P49755_TMED10.pdf", "Melting_Curves/meltCurve_P49755_TMED10.pdf")</f>
        <v>Melting_Curves/meltCurve_P49755_TMED10.pdf</v>
      </c>
    </row>
    <row r="2699" spans="1:28" x14ac:dyDescent="0.25">
      <c r="A2699" t="s">
        <v>2703</v>
      </c>
      <c r="B2699">
        <v>0.99542014353169495</v>
      </c>
      <c r="C2699">
        <v>0.95920415043404506</v>
      </c>
      <c r="D2699">
        <v>0.99576224278269898</v>
      </c>
      <c r="E2699">
        <v>0.65501811115764896</v>
      </c>
      <c r="F2699">
        <v>0.22973743924788601</v>
      </c>
      <c r="G2699">
        <v>0.1221153625018</v>
      </c>
      <c r="H2699">
        <v>8.6161040811801301E-2</v>
      </c>
      <c r="I2699">
        <v>5.77350916626901E-2</v>
      </c>
      <c r="J2699">
        <v>6.7791562296444605E-2</v>
      </c>
      <c r="K2699">
        <v>5.6072766471350899E-2</v>
      </c>
      <c r="L2699">
        <v>1397.8910432765999</v>
      </c>
      <c r="M2699">
        <v>29.425466690568001</v>
      </c>
      <c r="N2699">
        <v>47.751672370521398</v>
      </c>
      <c r="O2699">
        <v>47.288375245301097</v>
      </c>
      <c r="P2699">
        <v>-0.1446445164264</v>
      </c>
      <c r="Q2699">
        <v>7.0199149851940701E-2</v>
      </c>
      <c r="R2699">
        <v>0.99762237123824804</v>
      </c>
      <c r="S2699" t="s">
        <v>9101</v>
      </c>
      <c r="T2699" t="s">
        <v>12802</v>
      </c>
      <c r="U2699" t="s">
        <v>12802</v>
      </c>
      <c r="V2699" t="s">
        <v>12802</v>
      </c>
      <c r="W2699" t="s">
        <v>15454</v>
      </c>
      <c r="X2699">
        <v>28</v>
      </c>
      <c r="Y2699" t="s">
        <v>21720</v>
      </c>
      <c r="Z2699" t="s">
        <v>28017</v>
      </c>
      <c r="AA2699">
        <v>0.40149316542345759</v>
      </c>
      <c r="AB2699" t="str">
        <f>HYPERLINK("Melting_Curves/meltCurve_P49756_RBM25.pdf", "Melting_Curves/meltCurve_P49756_RBM25.pdf")</f>
        <v>Melting_Curves/meltCurve_P49756_RBM25.pdf</v>
      </c>
    </row>
    <row r="2700" spans="1:28" x14ac:dyDescent="0.25">
      <c r="A2700" t="s">
        <v>2704</v>
      </c>
      <c r="B2700">
        <v>0.99542014353169495</v>
      </c>
      <c r="C2700">
        <v>0.95326531511227797</v>
      </c>
      <c r="D2700">
        <v>0.92968787675452502</v>
      </c>
      <c r="E2700">
        <v>0.71288627582907504</v>
      </c>
      <c r="F2700">
        <v>0.40982002431478598</v>
      </c>
      <c r="G2700">
        <v>0.18410032798843001</v>
      </c>
      <c r="H2700">
        <v>0.104711694278369</v>
      </c>
      <c r="I2700">
        <v>7.7127453445680505E-2</v>
      </c>
      <c r="J2700">
        <v>7.33079651942532E-2</v>
      </c>
      <c r="K2700">
        <v>7.9969028429099198E-2</v>
      </c>
      <c r="L2700">
        <v>913.81827155956</v>
      </c>
      <c r="M2700">
        <v>18.779641667080099</v>
      </c>
      <c r="N2700">
        <v>49.0011377118947</v>
      </c>
      <c r="O2700">
        <v>48.118361866713698</v>
      </c>
      <c r="P2700">
        <v>-9.1595870158383205E-2</v>
      </c>
      <c r="Q2700">
        <v>6.1268717283521401E-2</v>
      </c>
      <c r="R2700">
        <v>0.99895899977737002</v>
      </c>
      <c r="S2700" t="s">
        <v>9102</v>
      </c>
      <c r="T2700" t="s">
        <v>12802</v>
      </c>
      <c r="U2700" t="s">
        <v>12802</v>
      </c>
      <c r="V2700" t="s">
        <v>12802</v>
      </c>
      <c r="W2700" t="s">
        <v>15455</v>
      </c>
      <c r="X2700">
        <v>10</v>
      </c>
      <c r="Y2700" t="s">
        <v>21721</v>
      </c>
      <c r="Z2700" t="s">
        <v>28018</v>
      </c>
      <c r="AA2700">
        <v>0.4399883506755557</v>
      </c>
      <c r="AB2700" t="str">
        <f>HYPERLINK("Melting_Curves/meltCurve_P49757_4_NUMB.pdf", "Melting_Curves/meltCurve_P49757_4_NUMB.pdf")</f>
        <v>Melting_Curves/meltCurve_P49757_4_NUMB.pdf</v>
      </c>
    </row>
    <row r="2701" spans="1:28" x14ac:dyDescent="0.25">
      <c r="A2701" t="s">
        <v>2705</v>
      </c>
      <c r="B2701">
        <v>0.99542014353169495</v>
      </c>
      <c r="C2701">
        <v>0.957958415087239</v>
      </c>
      <c r="D2701">
        <v>0.98327092593683796</v>
      </c>
      <c r="E2701">
        <v>0.82519731364083904</v>
      </c>
      <c r="F2701">
        <v>0.77791486980361602</v>
      </c>
      <c r="G2701">
        <v>0.94800093540112595</v>
      </c>
      <c r="H2701">
        <v>0.39719134647107601</v>
      </c>
      <c r="I2701">
        <v>0.124137124510491</v>
      </c>
      <c r="J2701">
        <v>7.8009483229538504E-2</v>
      </c>
      <c r="K2701">
        <v>0.106234138608434</v>
      </c>
      <c r="L2701">
        <v>2738.0674603328598</v>
      </c>
      <c r="M2701">
        <v>48.367542344377902</v>
      </c>
      <c r="N2701">
        <v>56.8487879571801</v>
      </c>
      <c r="O2701">
        <v>56.513088409263197</v>
      </c>
      <c r="P2701">
        <v>-0.19426862574381201</v>
      </c>
      <c r="Q2701">
        <v>9.2059790371887495E-2</v>
      </c>
      <c r="R2701">
        <v>0.94215249692018199</v>
      </c>
      <c r="S2701" t="s">
        <v>9103</v>
      </c>
      <c r="T2701" t="s">
        <v>12802</v>
      </c>
      <c r="U2701" t="s">
        <v>12802</v>
      </c>
      <c r="V2701" t="s">
        <v>12802</v>
      </c>
      <c r="W2701" t="s">
        <v>15456</v>
      </c>
      <c r="X2701">
        <v>17</v>
      </c>
      <c r="Y2701" t="s">
        <v>21722</v>
      </c>
      <c r="Z2701" t="s">
        <v>28019</v>
      </c>
      <c r="AA2701">
        <v>0.68793297562155109</v>
      </c>
      <c r="AB2701" t="str">
        <f>HYPERLINK("Melting_Curves/meltCurve_P49770_EIF2B2.pdf", "Melting_Curves/meltCurve_P49770_EIF2B2.pdf")</f>
        <v>Melting_Curves/meltCurve_P49770_EIF2B2.pdf</v>
      </c>
    </row>
    <row r="2702" spans="1:28" x14ac:dyDescent="0.25">
      <c r="A2702" t="s">
        <v>2706</v>
      </c>
      <c r="B2702">
        <v>0.99542014353169495</v>
      </c>
      <c r="C2702">
        <v>1.07476457074915</v>
      </c>
      <c r="D2702">
        <v>1.06391093134106</v>
      </c>
      <c r="E2702">
        <v>1.08924287507975</v>
      </c>
      <c r="F2702">
        <v>0.89334370147437003</v>
      </c>
      <c r="G2702">
        <v>0.73725208909250695</v>
      </c>
      <c r="H2702">
        <v>0.42899051171888097</v>
      </c>
      <c r="I2702">
        <v>0.23260471666198301</v>
      </c>
      <c r="J2702">
        <v>0.172581004414711</v>
      </c>
      <c r="K2702">
        <v>0.180926570747833</v>
      </c>
      <c r="L2702">
        <v>1309.5562053327601</v>
      </c>
      <c r="M2702">
        <v>23.571990300162</v>
      </c>
      <c r="N2702">
        <v>56.4093051291376</v>
      </c>
      <c r="O2702">
        <v>55.160405548762597</v>
      </c>
      <c r="P2702">
        <v>-9.0808252401062203E-2</v>
      </c>
      <c r="Q2702">
        <v>0.15001927515747601</v>
      </c>
      <c r="R2702">
        <v>0.98418882115516304</v>
      </c>
      <c r="S2702" t="s">
        <v>9104</v>
      </c>
      <c r="T2702" t="s">
        <v>12802</v>
      </c>
      <c r="U2702" t="s">
        <v>12802</v>
      </c>
      <c r="V2702" t="s">
        <v>12802</v>
      </c>
      <c r="W2702" t="s">
        <v>15457</v>
      </c>
      <c r="X2702">
        <v>11</v>
      </c>
      <c r="Y2702" t="s">
        <v>21723</v>
      </c>
      <c r="Z2702" t="s">
        <v>28020</v>
      </c>
      <c r="AA2702">
        <v>0.68338721233141086</v>
      </c>
      <c r="AB2702" t="str">
        <f>HYPERLINK("Melting_Curves/meltCurve_P49773_HINT1.pdf", "Melting_Curves/meltCurve_P49773_HINT1.pdf")</f>
        <v>Melting_Curves/meltCurve_P49773_HINT1.pdf</v>
      </c>
    </row>
    <row r="2703" spans="1:28" x14ac:dyDescent="0.25">
      <c r="A2703" t="s">
        <v>2707</v>
      </c>
      <c r="B2703">
        <v>0.99542014353169495</v>
      </c>
      <c r="C2703">
        <v>0.90998613556781205</v>
      </c>
      <c r="D2703">
        <v>1.0082311461093001</v>
      </c>
      <c r="E2703">
        <v>0.67742635315567401</v>
      </c>
      <c r="F2703">
        <v>0.50559703936943001</v>
      </c>
      <c r="G2703">
        <v>0.37117334070566999</v>
      </c>
      <c r="H2703">
        <v>0.27133533703437801</v>
      </c>
      <c r="I2703">
        <v>0.175691879961765</v>
      </c>
      <c r="J2703">
        <v>0.19631242328913001</v>
      </c>
      <c r="K2703">
        <v>0.28860319225702902</v>
      </c>
      <c r="L2703">
        <v>817.70387119621</v>
      </c>
      <c r="M2703">
        <v>16.887292253574699</v>
      </c>
      <c r="N2703">
        <v>50.096306464574802</v>
      </c>
      <c r="O2703">
        <v>47.757549289793602</v>
      </c>
      <c r="P2703">
        <v>-6.9335511324224997E-2</v>
      </c>
      <c r="Q2703">
        <v>0.215721737670516</v>
      </c>
      <c r="R2703">
        <v>0.97310736073315196</v>
      </c>
      <c r="S2703" t="s">
        <v>9105</v>
      </c>
      <c r="T2703" t="s">
        <v>12802</v>
      </c>
      <c r="U2703" t="s">
        <v>12802</v>
      </c>
      <c r="V2703" t="s">
        <v>12802</v>
      </c>
      <c r="W2703" t="s">
        <v>15458</v>
      </c>
      <c r="X2703">
        <v>36</v>
      </c>
      <c r="Y2703" t="s">
        <v>21724</v>
      </c>
      <c r="Z2703" t="s">
        <v>28021</v>
      </c>
      <c r="AA2703">
        <v>0.52830793281627586</v>
      </c>
      <c r="AB2703" t="str">
        <f>HYPERLINK("Melting_Curves/meltCurve_P49790_NUP153.pdf", "Melting_Curves/meltCurve_P49790_NUP153.pdf")</f>
        <v>Melting_Curves/meltCurve_P49790_NUP153.pdf</v>
      </c>
    </row>
    <row r="2704" spans="1:28" x14ac:dyDescent="0.25">
      <c r="A2704" t="s">
        <v>2708</v>
      </c>
      <c r="B2704">
        <v>0.99542014353169495</v>
      </c>
      <c r="C2704">
        <v>0.8104885294145</v>
      </c>
      <c r="D2704">
        <v>0.65858909773470997</v>
      </c>
      <c r="E2704">
        <v>0.323623377473162</v>
      </c>
      <c r="F2704">
        <v>0.20749615354399301</v>
      </c>
      <c r="G2704">
        <v>0.12519050408599</v>
      </c>
      <c r="H2704">
        <v>8.7823012681397694E-2</v>
      </c>
      <c r="I2704">
        <v>5.5852861450300703E-2</v>
      </c>
      <c r="J2704">
        <v>5.6391839258526401E-2</v>
      </c>
      <c r="K2704">
        <v>5.5755247596509197E-2</v>
      </c>
      <c r="L2704">
        <v>669.39696687123603</v>
      </c>
      <c r="M2704">
        <v>15.124139875479001</v>
      </c>
      <c r="N2704">
        <v>44.589672390302297</v>
      </c>
      <c r="O2704">
        <v>43.507987292062801</v>
      </c>
      <c r="P2704">
        <v>-8.2317622461062501E-2</v>
      </c>
      <c r="Q2704">
        <v>5.2871567818846797E-2</v>
      </c>
      <c r="R2704">
        <v>0.99496778115107898</v>
      </c>
      <c r="S2704" t="s">
        <v>9106</v>
      </c>
      <c r="T2704" t="s">
        <v>12802</v>
      </c>
      <c r="U2704" t="s">
        <v>12802</v>
      </c>
      <c r="V2704" t="s">
        <v>12802</v>
      </c>
      <c r="W2704" t="s">
        <v>15459</v>
      </c>
      <c r="X2704">
        <v>30</v>
      </c>
      <c r="Y2704" t="s">
        <v>21725</v>
      </c>
      <c r="Z2704" t="s">
        <v>28022</v>
      </c>
      <c r="AA2704">
        <v>0.30491729019584751</v>
      </c>
      <c r="AB2704" t="str">
        <f>HYPERLINK("Melting_Curves/meltCurve_P49792_RANBP2.pdf", "Melting_Curves/meltCurve_P49792_RANBP2.pdf")</f>
        <v>Melting_Curves/meltCurve_P49792_RANBP2.pdf</v>
      </c>
    </row>
    <row r="2705" spans="1:28" x14ac:dyDescent="0.25">
      <c r="A2705" t="s">
        <v>2709</v>
      </c>
      <c r="B2705">
        <v>0.99542014353169495</v>
      </c>
      <c r="C2705">
        <v>1.0111613799330299</v>
      </c>
      <c r="D2705">
        <v>1.0273338223123301</v>
      </c>
      <c r="E2705">
        <v>0.96730095097362501</v>
      </c>
      <c r="F2705">
        <v>0.76269793934696695</v>
      </c>
      <c r="G2705">
        <v>0.56505619170332699</v>
      </c>
      <c r="H2705">
        <v>0.18126718455639901</v>
      </c>
      <c r="I2705">
        <v>6.0607847937184101E-2</v>
      </c>
      <c r="J2705">
        <v>5.3600045931761903E-2</v>
      </c>
      <c r="K2705">
        <v>6.2002197456799302E-2</v>
      </c>
      <c r="L2705">
        <v>1129.9603892118801</v>
      </c>
      <c r="M2705">
        <v>21.026954785632999</v>
      </c>
      <c r="N2705">
        <v>53.821590902048897</v>
      </c>
      <c r="O2705">
        <v>53.2596895313849</v>
      </c>
      <c r="P2705">
        <v>-9.7129449630887404E-2</v>
      </c>
      <c r="Q2705">
        <v>1.5940009257877499E-2</v>
      </c>
      <c r="R2705">
        <v>0.99322194939377595</v>
      </c>
      <c r="S2705" t="s">
        <v>9107</v>
      </c>
      <c r="T2705" t="s">
        <v>12802</v>
      </c>
      <c r="U2705" t="s">
        <v>12802</v>
      </c>
      <c r="V2705" t="s">
        <v>12802</v>
      </c>
      <c r="W2705" t="s">
        <v>15460</v>
      </c>
      <c r="X2705">
        <v>13</v>
      </c>
      <c r="Y2705" t="s">
        <v>21726</v>
      </c>
      <c r="Z2705" t="s">
        <v>28023</v>
      </c>
      <c r="AA2705">
        <v>0.5762522397729799</v>
      </c>
      <c r="AB2705" t="str">
        <f>HYPERLINK("Melting_Curves/meltCurve_P49840_GSK3A.pdf", "Melting_Curves/meltCurve_P49840_GSK3A.pdf")</f>
        <v>Melting_Curves/meltCurve_P49840_GSK3A.pdf</v>
      </c>
    </row>
    <row r="2706" spans="1:28" x14ac:dyDescent="0.25">
      <c r="A2706" t="s">
        <v>2710</v>
      </c>
      <c r="B2706">
        <v>0.99542014353169495</v>
      </c>
      <c r="C2706">
        <v>1.0112604695793299</v>
      </c>
      <c r="D2706">
        <v>1.1073123051915801</v>
      </c>
      <c r="E2706">
        <v>1.05376598281425</v>
      </c>
      <c r="F2706">
        <v>0.80554734674886697</v>
      </c>
      <c r="G2706">
        <v>0.57121260235383298</v>
      </c>
      <c r="H2706">
        <v>0.31595196499781902</v>
      </c>
      <c r="I2706">
        <v>4.1959087654920298E-2</v>
      </c>
      <c r="J2706">
        <v>1.39409406120633E-2</v>
      </c>
      <c r="K2706">
        <v>1.9802867228049401E-2</v>
      </c>
      <c r="L2706">
        <v>1152.1167816346299</v>
      </c>
      <c r="M2706">
        <v>21.117971217934699</v>
      </c>
      <c r="N2706">
        <v>54.556233225811702</v>
      </c>
      <c r="O2706">
        <v>54.074087941972699</v>
      </c>
      <c r="P2706">
        <v>-9.7636993825038695E-2</v>
      </c>
      <c r="Q2706">
        <v>0</v>
      </c>
      <c r="R2706">
        <v>0.98478072512634696</v>
      </c>
      <c r="S2706" t="s">
        <v>9108</v>
      </c>
      <c r="T2706" t="s">
        <v>12802</v>
      </c>
      <c r="U2706" t="s">
        <v>12802</v>
      </c>
      <c r="V2706" t="s">
        <v>12802</v>
      </c>
      <c r="W2706" t="s">
        <v>15461</v>
      </c>
      <c r="X2706">
        <v>14</v>
      </c>
      <c r="Y2706" t="s">
        <v>21727</v>
      </c>
      <c r="Z2706" t="s">
        <v>28024</v>
      </c>
      <c r="AA2706">
        <v>0.59616022956360193</v>
      </c>
      <c r="AB2706" t="str">
        <f>HYPERLINK("Melting_Curves/meltCurve_P49841_GSK3B.pdf", "Melting_Curves/meltCurve_P49841_GSK3B.pdf")</f>
        <v>Melting_Curves/meltCurve_P49841_GSK3B.pdf</v>
      </c>
    </row>
    <row r="2707" spans="1:28" x14ac:dyDescent="0.25">
      <c r="A2707" t="s">
        <v>2711</v>
      </c>
      <c r="B2707">
        <v>0.99542014353169495</v>
      </c>
      <c r="C2707">
        <v>1.0026356618533401</v>
      </c>
      <c r="D2707">
        <v>0.90448988296075905</v>
      </c>
      <c r="E2707">
        <v>0.83052507589668101</v>
      </c>
      <c r="F2707">
        <v>0.59924826502877904</v>
      </c>
      <c r="G2707">
        <v>0.42274461222866799</v>
      </c>
      <c r="H2707">
        <v>0.32020092124274102</v>
      </c>
      <c r="I2707">
        <v>0.23057152168262099</v>
      </c>
      <c r="J2707">
        <v>0.10385013807195601</v>
      </c>
      <c r="K2707">
        <v>8.53181296112554E-2</v>
      </c>
      <c r="L2707">
        <v>563.94144940823901</v>
      </c>
      <c r="M2707">
        <v>10.7141180343122</v>
      </c>
      <c r="N2707">
        <v>52.677953551381897</v>
      </c>
      <c r="O2707">
        <v>50.901115950087103</v>
      </c>
      <c r="P2707">
        <v>-5.24148214071221E-2</v>
      </c>
      <c r="Q2707">
        <v>4.3129205917465498E-3</v>
      </c>
      <c r="R2707">
        <v>0.99435776012297605</v>
      </c>
      <c r="S2707" t="s">
        <v>9109</v>
      </c>
      <c r="T2707" t="s">
        <v>12802</v>
      </c>
      <c r="U2707" t="s">
        <v>12802</v>
      </c>
      <c r="V2707" t="s">
        <v>12802</v>
      </c>
      <c r="W2707" t="s">
        <v>15462</v>
      </c>
      <c r="X2707">
        <v>11</v>
      </c>
      <c r="Y2707" t="s">
        <v>21728</v>
      </c>
      <c r="Z2707" t="s">
        <v>28025</v>
      </c>
      <c r="AA2707">
        <v>0.54658681775399787</v>
      </c>
      <c r="AB2707" t="str">
        <f>HYPERLINK("Melting_Curves/meltCurve_P49902_NT5C2.pdf", "Melting_Curves/meltCurve_P49902_NT5C2.pdf")</f>
        <v>Melting_Curves/meltCurve_P49902_NT5C2.pdf</v>
      </c>
    </row>
    <row r="2708" spans="1:28" x14ac:dyDescent="0.25">
      <c r="A2708" t="s">
        <v>2712</v>
      </c>
      <c r="B2708">
        <v>0.99542014353169495</v>
      </c>
      <c r="C2708">
        <v>0.99155412204676197</v>
      </c>
      <c r="D2708">
        <v>0.92769488241141596</v>
      </c>
      <c r="E2708">
        <v>0.88503354297547498</v>
      </c>
      <c r="F2708">
        <v>0.75254394261130897</v>
      </c>
      <c r="G2708">
        <v>0.60957584375852802</v>
      </c>
      <c r="H2708">
        <v>0.490142172448437</v>
      </c>
      <c r="I2708">
        <v>0.47681362453987702</v>
      </c>
      <c r="J2708">
        <v>0.70563513248231202</v>
      </c>
      <c r="K2708">
        <v>0.843945089409601</v>
      </c>
      <c r="L2708">
        <v>1268.4577481231699</v>
      </c>
      <c r="M2708">
        <v>26.397750292914498</v>
      </c>
      <c r="O2708">
        <v>47.778521045359298</v>
      </c>
      <c r="P2708">
        <v>-5.1754466931368301E-2</v>
      </c>
      <c r="Q2708">
        <v>0.62531275452750801</v>
      </c>
      <c r="R2708">
        <v>0.69798804005722803</v>
      </c>
      <c r="S2708" t="s">
        <v>9110</v>
      </c>
      <c r="T2708" t="s">
        <v>12802</v>
      </c>
      <c r="U2708" t="s">
        <v>12802</v>
      </c>
      <c r="V2708" t="s">
        <v>12802</v>
      </c>
      <c r="W2708" t="s">
        <v>15463</v>
      </c>
      <c r="X2708">
        <v>13</v>
      </c>
      <c r="Y2708" t="s">
        <v>21729</v>
      </c>
      <c r="Z2708" t="s">
        <v>28026</v>
      </c>
      <c r="AA2708">
        <v>0.76621282443541949</v>
      </c>
      <c r="AB2708" t="str">
        <f>HYPERLINK("Melting_Curves/meltCurve_P49903_SEPHS1.pdf", "Melting_Curves/meltCurve_P49903_SEPHS1.pdf")</f>
        <v>Melting_Curves/meltCurve_P49903_SEPHS1.pdf</v>
      </c>
    </row>
    <row r="2709" spans="1:28" x14ac:dyDescent="0.25">
      <c r="A2709" t="s">
        <v>2713</v>
      </c>
      <c r="B2709">
        <v>0.99542014353169495</v>
      </c>
      <c r="C2709">
        <v>0.90501354744873597</v>
      </c>
      <c r="D2709">
        <v>0.98297343470533605</v>
      </c>
      <c r="E2709">
        <v>0.84872836474422397</v>
      </c>
      <c r="F2709">
        <v>0.80640909157993301</v>
      </c>
      <c r="G2709">
        <v>0.45671982536859601</v>
      </c>
      <c r="H2709">
        <v>0.80233792604466503</v>
      </c>
      <c r="I2709">
        <v>0.79620817826148005</v>
      </c>
      <c r="J2709">
        <v>0.74355497605118503</v>
      </c>
      <c r="K2709">
        <v>0.85843289424263902</v>
      </c>
      <c r="L2709">
        <v>1607.8109375290801</v>
      </c>
      <c r="M2709">
        <v>34.805523194072002</v>
      </c>
      <c r="O2709">
        <v>46.0424397966067</v>
      </c>
      <c r="P2709">
        <v>-4.9018346334425103E-2</v>
      </c>
      <c r="Q2709">
        <v>0.740625530240278</v>
      </c>
      <c r="R2709">
        <v>0.44676867239229001</v>
      </c>
      <c r="S2709" t="s">
        <v>9111</v>
      </c>
      <c r="T2709" t="s">
        <v>12802</v>
      </c>
      <c r="U2709" t="s">
        <v>12802</v>
      </c>
      <c r="V2709" t="s">
        <v>12802</v>
      </c>
      <c r="W2709" t="s">
        <v>15464</v>
      </c>
      <c r="X2709">
        <v>7</v>
      </c>
      <c r="Y2709" t="s">
        <v>21729</v>
      </c>
      <c r="Z2709" t="s">
        <v>28027</v>
      </c>
      <c r="AA2709">
        <v>0.82121432097111968</v>
      </c>
      <c r="AB2709" t="str">
        <f>HYPERLINK("Melting_Curves/meltCurve_P49903_3_SEPHS1.pdf", "Melting_Curves/meltCurve_P49903_3_SEPHS1.pdf")</f>
        <v>Melting_Curves/meltCurve_P49903_3_SEPHS1.pdf</v>
      </c>
    </row>
    <row r="2710" spans="1:28" x14ac:dyDescent="0.25">
      <c r="A2710" t="s">
        <v>2714</v>
      </c>
      <c r="B2710">
        <v>0.99542014353169495</v>
      </c>
      <c r="C2710">
        <v>1.0025606020695501</v>
      </c>
      <c r="D2710">
        <v>0.92212178184527405</v>
      </c>
      <c r="E2710">
        <v>0.95939120623267204</v>
      </c>
      <c r="F2710">
        <v>0.63216815749327704</v>
      </c>
      <c r="G2710">
        <v>0.30440467123931703</v>
      </c>
      <c r="H2710">
        <v>5.5786696568057501E-2</v>
      </c>
      <c r="I2710">
        <v>3.5736143102417101E-2</v>
      </c>
      <c r="J2710">
        <v>4.06922330600318E-2</v>
      </c>
      <c r="K2710">
        <v>5.3104457454004501E-2</v>
      </c>
      <c r="L2710">
        <v>1263.2576110740999</v>
      </c>
      <c r="M2710">
        <v>24.5708919354696</v>
      </c>
      <c r="N2710">
        <v>51.5276415349201</v>
      </c>
      <c r="O2710">
        <v>51.075850038926802</v>
      </c>
      <c r="P2710">
        <v>-0.117063070393656</v>
      </c>
      <c r="Q2710">
        <v>2.6651596720677701E-2</v>
      </c>
      <c r="R2710">
        <v>0.99447301962652201</v>
      </c>
      <c r="S2710" t="s">
        <v>9112</v>
      </c>
      <c r="T2710" t="s">
        <v>12802</v>
      </c>
      <c r="U2710" t="s">
        <v>12802</v>
      </c>
      <c r="V2710" t="s">
        <v>12802</v>
      </c>
      <c r="W2710" t="s">
        <v>15465</v>
      </c>
      <c r="X2710">
        <v>4</v>
      </c>
      <c r="Y2710" t="s">
        <v>21730</v>
      </c>
      <c r="Z2710" t="s">
        <v>28028</v>
      </c>
      <c r="AA2710">
        <v>0.50315782681086441</v>
      </c>
      <c r="AB2710" t="str">
        <f>HYPERLINK("Melting_Curves/meltCurve_P49914_MTHFS.pdf", "Melting_Curves/meltCurve_P49914_MTHFS.pdf")</f>
        <v>Melting_Curves/meltCurve_P49914_MTHFS.pdf</v>
      </c>
    </row>
    <row r="2711" spans="1:28" x14ac:dyDescent="0.25">
      <c r="A2711" t="s">
        <v>2715</v>
      </c>
      <c r="B2711">
        <v>0.99542014353169495</v>
      </c>
      <c r="C2711">
        <v>0.98542395319573095</v>
      </c>
      <c r="D2711">
        <v>0.93071127049404201</v>
      </c>
      <c r="E2711">
        <v>0.81051321113524299</v>
      </c>
      <c r="F2711">
        <v>0.48603428811131999</v>
      </c>
      <c r="G2711">
        <v>0.144823934466285</v>
      </c>
      <c r="H2711">
        <v>6.0730158334414502E-2</v>
      </c>
      <c r="I2711">
        <v>4.1139328792460503E-2</v>
      </c>
      <c r="J2711">
        <v>4.40121324372066E-2</v>
      </c>
      <c r="K2711">
        <v>4.7502951437708399E-2</v>
      </c>
      <c r="L2711">
        <v>1113.3359550328901</v>
      </c>
      <c r="M2711">
        <v>22.4113991277172</v>
      </c>
      <c r="N2711">
        <v>49.8042311572963</v>
      </c>
      <c r="O2711">
        <v>49.286774420370101</v>
      </c>
      <c r="P2711">
        <v>-0.110523329155608</v>
      </c>
      <c r="Q2711">
        <v>2.7776043313170899E-2</v>
      </c>
      <c r="R2711">
        <v>0.99753820138155502</v>
      </c>
      <c r="S2711" t="s">
        <v>9113</v>
      </c>
      <c r="T2711" t="s">
        <v>12802</v>
      </c>
      <c r="U2711" t="s">
        <v>12802</v>
      </c>
      <c r="V2711" t="s">
        <v>12802</v>
      </c>
      <c r="W2711" t="s">
        <v>15466</v>
      </c>
      <c r="X2711">
        <v>41</v>
      </c>
      <c r="Y2711" t="s">
        <v>21731</v>
      </c>
      <c r="Z2711" t="s">
        <v>28029</v>
      </c>
      <c r="AA2711">
        <v>0.44902861098254121</v>
      </c>
      <c r="AB2711" t="str">
        <f>HYPERLINK("Melting_Curves/meltCurve_P49915_GMPS.pdf", "Melting_Curves/meltCurve_P49915_GMPS.pdf")</f>
        <v>Melting_Curves/meltCurve_P49915_GMPS.pdf</v>
      </c>
    </row>
    <row r="2712" spans="1:28" x14ac:dyDescent="0.25">
      <c r="A2712" t="s">
        <v>2716</v>
      </c>
      <c r="B2712">
        <v>0.99542014353169495</v>
      </c>
      <c r="C2712">
        <v>0.942459504427687</v>
      </c>
      <c r="D2712">
        <v>0.88878879653443199</v>
      </c>
      <c r="E2712">
        <v>0.34036805645108098</v>
      </c>
      <c r="F2712">
        <v>0.15089912633837901</v>
      </c>
      <c r="G2712">
        <v>8.7784749264430598E-2</v>
      </c>
      <c r="H2712">
        <v>6.1282997743337099E-2</v>
      </c>
      <c r="I2712">
        <v>4.3180113206464199E-2</v>
      </c>
      <c r="J2712">
        <v>4.7426709810832898E-2</v>
      </c>
      <c r="K2712">
        <v>4.98290122440097E-2</v>
      </c>
      <c r="L2712">
        <v>1405.6271039562</v>
      </c>
      <c r="M2712">
        <v>30.9169468094961</v>
      </c>
      <c r="N2712">
        <v>45.658223402916398</v>
      </c>
      <c r="O2712">
        <v>45.275672249612803</v>
      </c>
      <c r="P2712">
        <v>-0.16022808643119699</v>
      </c>
      <c r="Q2712">
        <v>6.1434763753196703E-2</v>
      </c>
      <c r="R2712">
        <v>0.99614291440842295</v>
      </c>
      <c r="S2712" t="s">
        <v>9114</v>
      </c>
      <c r="T2712" t="s">
        <v>12802</v>
      </c>
      <c r="U2712" t="s">
        <v>12802</v>
      </c>
      <c r="V2712" t="s">
        <v>12802</v>
      </c>
      <c r="W2712" t="s">
        <v>15467</v>
      </c>
      <c r="X2712">
        <v>25</v>
      </c>
      <c r="Y2712" t="s">
        <v>21732</v>
      </c>
      <c r="Z2712" t="s">
        <v>28030</v>
      </c>
      <c r="AA2712">
        <v>0.33124253592586628</v>
      </c>
      <c r="AB2712" t="str">
        <f>HYPERLINK("Melting_Curves/meltCurve_P49916_LIG3.pdf", "Melting_Curves/meltCurve_P49916_LIG3.pdf")</f>
        <v>Melting_Curves/meltCurve_P49916_LIG3.pdf</v>
      </c>
    </row>
    <row r="2713" spans="1:28" x14ac:dyDescent="0.25">
      <c r="A2713" t="s">
        <v>2717</v>
      </c>
      <c r="B2713">
        <v>0.99542014353169495</v>
      </c>
      <c r="C2713">
        <v>1.01301330043602</v>
      </c>
      <c r="D2713">
        <v>1.09335963309164</v>
      </c>
      <c r="E2713">
        <v>0.77591773045470602</v>
      </c>
      <c r="F2713">
        <v>0.38895360165779502</v>
      </c>
      <c r="G2713">
        <v>0.15336594860285499</v>
      </c>
      <c r="H2713">
        <v>8.1222783835173701E-2</v>
      </c>
      <c r="I2713">
        <v>7.7246801261935699E-2</v>
      </c>
      <c r="J2713">
        <v>8.0503129314834901E-2</v>
      </c>
      <c r="K2713">
        <v>8.2948122210944303E-2</v>
      </c>
      <c r="L2713">
        <v>1349.57028540891</v>
      </c>
      <c r="M2713">
        <v>27.617708271438602</v>
      </c>
      <c r="N2713">
        <v>49.168305152586697</v>
      </c>
      <c r="O2713">
        <v>48.612072478248599</v>
      </c>
      <c r="P2713">
        <v>-0.13094540768273999</v>
      </c>
      <c r="Q2713">
        <v>7.8059642047076203E-2</v>
      </c>
      <c r="R2713">
        <v>0.99164593057244699</v>
      </c>
      <c r="S2713" t="s">
        <v>9115</v>
      </c>
      <c r="T2713" t="s">
        <v>12802</v>
      </c>
      <c r="U2713" t="s">
        <v>12802</v>
      </c>
      <c r="V2713" t="s">
        <v>12802</v>
      </c>
      <c r="W2713" t="s">
        <v>15468</v>
      </c>
      <c r="X2713">
        <v>1</v>
      </c>
      <c r="Y2713" t="s">
        <v>21733</v>
      </c>
      <c r="Z2713" t="s">
        <v>28031</v>
      </c>
      <c r="AA2713">
        <v>0.44926075490278078</v>
      </c>
      <c r="AB2713" t="str">
        <f>HYPERLINK("Melting_Curves/meltCurve_P49917_LIG4.pdf", "Melting_Curves/meltCurve_P49917_LIG4.pdf")</f>
        <v>Melting_Curves/meltCurve_P49917_LIG4.pdf</v>
      </c>
    </row>
    <row r="2714" spans="1:28" x14ac:dyDescent="0.25">
      <c r="A2714" t="s">
        <v>2718</v>
      </c>
      <c r="B2714">
        <v>0.99542014353169495</v>
      </c>
      <c r="C2714">
        <v>0.90531620132307</v>
      </c>
      <c r="D2714">
        <v>0.87277952271316495</v>
      </c>
      <c r="E2714">
        <v>0.63431434233973705</v>
      </c>
      <c r="F2714">
        <v>0.41881480926863202</v>
      </c>
      <c r="G2714">
        <v>0.34767391568704797</v>
      </c>
      <c r="H2714">
        <v>0.223884914761971</v>
      </c>
      <c r="I2714">
        <v>0.14283246937734501</v>
      </c>
      <c r="J2714">
        <v>9.8734619515786506E-2</v>
      </c>
      <c r="K2714">
        <v>6.1146112665429603E-2</v>
      </c>
      <c r="L2714">
        <v>518.67107876680097</v>
      </c>
      <c r="M2714">
        <v>10.5274719531751</v>
      </c>
      <c r="N2714">
        <v>49.504264213968398</v>
      </c>
      <c r="O2714">
        <v>47.590203086151703</v>
      </c>
      <c r="P2714">
        <v>-5.3971083029251299E-2</v>
      </c>
      <c r="Q2714">
        <v>2.44687544485594E-2</v>
      </c>
      <c r="R2714">
        <v>0.99309891436145004</v>
      </c>
      <c r="S2714" t="s">
        <v>9116</v>
      </c>
      <c r="T2714" t="s">
        <v>12802</v>
      </c>
      <c r="U2714" t="s">
        <v>12802</v>
      </c>
      <c r="V2714" t="s">
        <v>12802</v>
      </c>
      <c r="W2714" t="s">
        <v>15469</v>
      </c>
      <c r="X2714">
        <v>28</v>
      </c>
      <c r="Y2714" t="s">
        <v>21734</v>
      </c>
      <c r="Z2714" t="s">
        <v>28032</v>
      </c>
      <c r="AA2714">
        <v>0.45685874334117033</v>
      </c>
      <c r="AB2714" t="str">
        <f>HYPERLINK("Melting_Curves/meltCurve_P49959_MRE11A.pdf", "Melting_Curves/meltCurve_P49959_MRE11A.pdf")</f>
        <v>Melting_Curves/meltCurve_P49959_MRE11A.pdf</v>
      </c>
    </row>
    <row r="2715" spans="1:28" x14ac:dyDescent="0.25">
      <c r="A2715" t="s">
        <v>2719</v>
      </c>
      <c r="B2715">
        <v>0.99542014353169495</v>
      </c>
      <c r="C2715">
        <v>1.0263480632088999</v>
      </c>
      <c r="D2715">
        <v>0.96076950336625899</v>
      </c>
      <c r="E2715">
        <v>0.95828492482530003</v>
      </c>
      <c r="F2715">
        <v>0.94140390151554498</v>
      </c>
      <c r="G2715">
        <v>0.80874106743688501</v>
      </c>
      <c r="H2715">
        <v>0.76525254710205604</v>
      </c>
      <c r="I2715">
        <v>0.82033565930576302</v>
      </c>
      <c r="J2715">
        <v>1.3592383648103801</v>
      </c>
      <c r="K2715">
        <v>1.22281708818524</v>
      </c>
      <c r="L2715">
        <v>6414.3732477797403</v>
      </c>
      <c r="M2715">
        <v>102.156708774508</v>
      </c>
      <c r="O2715">
        <v>62.765493708756303</v>
      </c>
      <c r="P2715">
        <v>0.121254795132736</v>
      </c>
      <c r="Q2715">
        <v>1.2979977251406001</v>
      </c>
      <c r="R2715">
        <v>0.50947200273076598</v>
      </c>
      <c r="S2715" t="s">
        <v>9117</v>
      </c>
      <c r="T2715" t="s">
        <v>12802</v>
      </c>
      <c r="U2715" t="s">
        <v>12802</v>
      </c>
      <c r="V2715" t="s">
        <v>12802</v>
      </c>
      <c r="W2715" t="s">
        <v>15470</v>
      </c>
      <c r="X2715">
        <v>2</v>
      </c>
      <c r="Y2715" t="s">
        <v>21735</v>
      </c>
      <c r="Z2715" t="s">
        <v>28033</v>
      </c>
      <c r="AA2715">
        <v>1.0416382150040779</v>
      </c>
      <c r="AB2715" t="str">
        <f>HYPERLINK("Melting_Curves/meltCurve_P50053_KHK.pdf", "Melting_Curves/meltCurve_P50053_KHK.pdf")</f>
        <v>Melting_Curves/meltCurve_P50053_KHK.pdf</v>
      </c>
    </row>
    <row r="2716" spans="1:28" x14ac:dyDescent="0.25">
      <c r="A2716" t="s">
        <v>2720</v>
      </c>
      <c r="B2716">
        <v>0.99542014353169495</v>
      </c>
      <c r="C2716">
        <v>0.94449507685318101</v>
      </c>
      <c r="D2716">
        <v>0.99131837032047998</v>
      </c>
      <c r="E2716">
        <v>0.94589611227302495</v>
      </c>
      <c r="F2716">
        <v>0.67842457343541096</v>
      </c>
      <c r="G2716">
        <v>0.28577960485529302</v>
      </c>
      <c r="H2716">
        <v>0.16048797959403299</v>
      </c>
      <c r="I2716">
        <v>9.3420472282613104E-2</v>
      </c>
      <c r="J2716">
        <v>8.62879636520031E-2</v>
      </c>
      <c r="K2716">
        <v>0.100887961722552</v>
      </c>
      <c r="L2716">
        <v>1382.15679427182</v>
      </c>
      <c r="M2716">
        <v>26.942389612864801</v>
      </c>
      <c r="N2716">
        <v>51.690073312519701</v>
      </c>
      <c r="O2716">
        <v>51.020333226843803</v>
      </c>
      <c r="P2716">
        <v>-0.11988740408514301</v>
      </c>
      <c r="Q2716">
        <v>9.1894330098248794E-2</v>
      </c>
      <c r="R2716">
        <v>0.99757493598551406</v>
      </c>
      <c r="S2716" t="s">
        <v>9118</v>
      </c>
      <c r="T2716" t="s">
        <v>12802</v>
      </c>
      <c r="U2716" t="s">
        <v>12802</v>
      </c>
      <c r="V2716" t="s">
        <v>12802</v>
      </c>
      <c r="W2716" t="s">
        <v>15471</v>
      </c>
      <c r="X2716">
        <v>1</v>
      </c>
      <c r="Y2716" t="s">
        <v>21736</v>
      </c>
      <c r="Z2716" t="s">
        <v>28034</v>
      </c>
      <c r="AA2716">
        <v>0.53175230167426912</v>
      </c>
      <c r="AB2716" t="str">
        <f>HYPERLINK("Melting_Curves/meltCurve_P50135_HNMT.pdf", "Melting_Curves/meltCurve_P50135_HNMT.pdf")</f>
        <v>Melting_Curves/meltCurve_P50135_HNMT.pdf</v>
      </c>
    </row>
    <row r="2717" spans="1:28" x14ac:dyDescent="0.25">
      <c r="A2717" t="s">
        <v>2721</v>
      </c>
      <c r="B2717">
        <v>0.99542014353169495</v>
      </c>
      <c r="C2717">
        <v>0.99710811372929797</v>
      </c>
      <c r="D2717">
        <v>0.95365697230719704</v>
      </c>
      <c r="E2717">
        <v>0.896439626627487</v>
      </c>
      <c r="F2717">
        <v>0.75731924888183599</v>
      </c>
      <c r="G2717">
        <v>0.60345798063464395</v>
      </c>
      <c r="H2717">
        <v>0.25483550263091298</v>
      </c>
      <c r="I2717">
        <v>0.128311675292756</v>
      </c>
      <c r="J2717">
        <v>0.13033798470406099</v>
      </c>
      <c r="K2717">
        <v>0.13198524499297001</v>
      </c>
      <c r="L2717">
        <v>900.55772011938495</v>
      </c>
      <c r="M2717">
        <v>16.753701589390701</v>
      </c>
      <c r="N2717">
        <v>54.176605489554902</v>
      </c>
      <c r="O2717">
        <v>53.004452969089698</v>
      </c>
      <c r="P2717">
        <v>-7.4171520338293703E-2</v>
      </c>
      <c r="Q2717">
        <v>6.1422088929853E-2</v>
      </c>
      <c r="R2717">
        <v>0.98901282508119204</v>
      </c>
      <c r="S2717" t="s">
        <v>9119</v>
      </c>
      <c r="T2717" t="s">
        <v>12802</v>
      </c>
      <c r="U2717" t="s">
        <v>12802</v>
      </c>
      <c r="V2717" t="s">
        <v>12802</v>
      </c>
      <c r="W2717" t="s">
        <v>15472</v>
      </c>
      <c r="X2717">
        <v>12</v>
      </c>
      <c r="Y2717" t="s">
        <v>21737</v>
      </c>
      <c r="Z2717" t="s">
        <v>28035</v>
      </c>
      <c r="AA2717">
        <v>0.59969003650586716</v>
      </c>
      <c r="AB2717" t="str">
        <f>HYPERLINK("Melting_Curves/meltCurve_P50148_GNAQ.pdf", "Melting_Curves/meltCurve_P50148_GNAQ.pdf")</f>
        <v>Melting_Curves/meltCurve_P50148_GNAQ.pdf</v>
      </c>
    </row>
    <row r="2718" spans="1:28" x14ac:dyDescent="0.25">
      <c r="A2718" t="s">
        <v>2722</v>
      </c>
      <c r="B2718">
        <v>0.99542014353169495</v>
      </c>
      <c r="C2718">
        <v>0.93154569962434397</v>
      </c>
      <c r="D2718">
        <v>0.87419112502481899</v>
      </c>
      <c r="E2718">
        <v>0.78177174462937804</v>
      </c>
      <c r="F2718">
        <v>0.66601224915969304</v>
      </c>
      <c r="G2718">
        <v>0.44545522646515801</v>
      </c>
      <c r="H2718">
        <v>0.184337559975885</v>
      </c>
      <c r="I2718">
        <v>9.7589206664960307E-2</v>
      </c>
      <c r="J2718">
        <v>8.7571732605266198E-2</v>
      </c>
      <c r="K2718">
        <v>9.0825104738551696E-2</v>
      </c>
      <c r="L2718">
        <v>640.183705538185</v>
      </c>
      <c r="M2718">
        <v>12.296171621810901</v>
      </c>
      <c r="N2718">
        <v>52.063660557268399</v>
      </c>
      <c r="O2718">
        <v>50.744088178749301</v>
      </c>
      <c r="P2718">
        <v>-6.0592622851151398E-2</v>
      </c>
      <c r="Q2718">
        <v>0</v>
      </c>
      <c r="R2718">
        <v>0.98678776253939804</v>
      </c>
      <c r="S2718" t="s">
        <v>9120</v>
      </c>
      <c r="T2718" t="s">
        <v>12802</v>
      </c>
      <c r="U2718" t="s">
        <v>12802</v>
      </c>
      <c r="V2718" t="s">
        <v>12802</v>
      </c>
      <c r="W2718" t="s">
        <v>15473</v>
      </c>
      <c r="X2718">
        <v>15</v>
      </c>
      <c r="Y2718" t="s">
        <v>21738</v>
      </c>
      <c r="Z2718" t="s">
        <v>28036</v>
      </c>
      <c r="AA2718">
        <v>0.52527021603926116</v>
      </c>
      <c r="AB2718" t="str">
        <f>HYPERLINK("Melting_Curves/meltCurve_P50213_IDH3A.pdf", "Melting_Curves/meltCurve_P50213_IDH3A.pdf")</f>
        <v>Melting_Curves/meltCurve_P50213_IDH3A.pdf</v>
      </c>
    </row>
    <row r="2719" spans="1:28" x14ac:dyDescent="0.25">
      <c r="A2719" t="s">
        <v>2723</v>
      </c>
      <c r="B2719">
        <v>0.99542014353169495</v>
      </c>
      <c r="C2719">
        <v>1.00414460959716</v>
      </c>
      <c r="D2719">
        <v>0.91312557415024298</v>
      </c>
      <c r="E2719">
        <v>0.70377972445033798</v>
      </c>
      <c r="F2719">
        <v>0.21948553979082</v>
      </c>
      <c r="G2719">
        <v>0.10710950817177101</v>
      </c>
      <c r="H2719">
        <v>6.3395545798567599E-2</v>
      </c>
      <c r="I2719">
        <v>4.31180506207436E-2</v>
      </c>
      <c r="J2719">
        <v>3.7527697655639701E-2</v>
      </c>
      <c r="K2719">
        <v>4.6484675026638403E-2</v>
      </c>
      <c r="L2719">
        <v>1326.99320904094</v>
      </c>
      <c r="M2719">
        <v>27.782139940597101</v>
      </c>
      <c r="N2719">
        <v>47.931242286906503</v>
      </c>
      <c r="O2719">
        <v>47.518839720510897</v>
      </c>
      <c r="P2719">
        <v>-0.13942319801230699</v>
      </c>
      <c r="Q2719">
        <v>4.6125315475555498E-2</v>
      </c>
      <c r="R2719">
        <v>0.99780039518111197</v>
      </c>
      <c r="S2719" t="s">
        <v>9121</v>
      </c>
      <c r="T2719" t="s">
        <v>12802</v>
      </c>
      <c r="U2719" t="s">
        <v>12802</v>
      </c>
      <c r="V2719" t="s">
        <v>12802</v>
      </c>
      <c r="W2719" t="s">
        <v>15474</v>
      </c>
      <c r="X2719">
        <v>9</v>
      </c>
      <c r="Y2719" t="s">
        <v>21739</v>
      </c>
      <c r="Z2719" t="s">
        <v>28037</v>
      </c>
      <c r="AA2719">
        <v>0.39494604410390882</v>
      </c>
      <c r="AB2719" t="str">
        <f>HYPERLINK("Melting_Curves/meltCurve_P50224_SULT1A3.pdf", "Melting_Curves/meltCurve_P50224_SULT1A3.pdf")</f>
        <v>Melting_Curves/meltCurve_P50224_SULT1A3.pdf</v>
      </c>
    </row>
    <row r="2720" spans="1:28" x14ac:dyDescent="0.25">
      <c r="A2720" t="s">
        <v>2724</v>
      </c>
      <c r="B2720">
        <v>0.99542014353169495</v>
      </c>
      <c r="C2720">
        <v>1.0653946555770699</v>
      </c>
      <c r="D2720">
        <v>0.95586859330635998</v>
      </c>
      <c r="E2720">
        <v>0.88330637809033097</v>
      </c>
      <c r="F2720">
        <v>0.39216867534247601</v>
      </c>
      <c r="G2720">
        <v>0.19654334870300699</v>
      </c>
      <c r="H2720">
        <v>8.7545889217109998E-2</v>
      </c>
      <c r="I2720">
        <v>5.3675687100172398E-2</v>
      </c>
      <c r="J2720">
        <v>3.3822103073881997E-2</v>
      </c>
      <c r="K2720">
        <v>0</v>
      </c>
      <c r="L2720">
        <v>1287.4554407707701</v>
      </c>
      <c r="M2720">
        <v>26.0006707797667</v>
      </c>
      <c r="N2720">
        <v>49.6768659201595</v>
      </c>
      <c r="O2720">
        <v>49.226122377568899</v>
      </c>
      <c r="P2720">
        <v>-0.126724835079291</v>
      </c>
      <c r="Q2720">
        <v>4.0317122484587797E-2</v>
      </c>
      <c r="R2720">
        <v>0.992723133071025</v>
      </c>
      <c r="S2720" t="s">
        <v>9122</v>
      </c>
      <c r="T2720" t="s">
        <v>12802</v>
      </c>
      <c r="U2720" t="s">
        <v>12802</v>
      </c>
      <c r="V2720" t="s">
        <v>12802</v>
      </c>
      <c r="W2720" t="s">
        <v>15475</v>
      </c>
      <c r="X2720">
        <v>5</v>
      </c>
      <c r="Y2720" t="s">
        <v>21740</v>
      </c>
      <c r="Z2720" t="s">
        <v>28038</v>
      </c>
      <c r="AA2720">
        <v>0.44844147249766081</v>
      </c>
      <c r="AB2720" t="str">
        <f>HYPERLINK("Melting_Curves/meltCurve_P50225_SULT1A1.pdf", "Melting_Curves/meltCurve_P50225_SULT1A1.pdf")</f>
        <v>Melting_Curves/meltCurve_P50225_SULT1A1.pdf</v>
      </c>
    </row>
    <row r="2721" spans="1:28" x14ac:dyDescent="0.25">
      <c r="A2721" t="s">
        <v>2725</v>
      </c>
      <c r="B2721">
        <v>0.99542014353169495</v>
      </c>
      <c r="C2721">
        <v>1.0455132521458199</v>
      </c>
      <c r="D2721">
        <v>0.94534913296718104</v>
      </c>
      <c r="E2721">
        <v>0.74953421804367004</v>
      </c>
      <c r="F2721">
        <v>0.35363446450338498</v>
      </c>
      <c r="G2721">
        <v>0.13529717533104799</v>
      </c>
      <c r="H2721">
        <v>6.17840346522558E-2</v>
      </c>
      <c r="I2721">
        <v>3.58667945167708E-2</v>
      </c>
      <c r="J2721">
        <v>5.02910072988123E-2</v>
      </c>
      <c r="K2721">
        <v>6.2831827859138503E-2</v>
      </c>
      <c r="L2721">
        <v>1155.71804730539</v>
      </c>
      <c r="M2721">
        <v>23.766379929909402</v>
      </c>
      <c r="N2721">
        <v>48.819064100020597</v>
      </c>
      <c r="O2721">
        <v>48.287916603863302</v>
      </c>
      <c r="P2721">
        <v>-0.11759022554102901</v>
      </c>
      <c r="Q2721">
        <v>4.4348582875928501E-2</v>
      </c>
      <c r="R2721">
        <v>0.99802752020129704</v>
      </c>
      <c r="S2721" t="s">
        <v>9123</v>
      </c>
      <c r="T2721" t="s">
        <v>12802</v>
      </c>
      <c r="U2721" t="s">
        <v>12802</v>
      </c>
      <c r="V2721" t="s">
        <v>12802</v>
      </c>
      <c r="W2721" t="s">
        <v>15476</v>
      </c>
      <c r="X2721">
        <v>12</v>
      </c>
      <c r="Y2721" t="s">
        <v>21741</v>
      </c>
      <c r="Z2721" t="s">
        <v>28039</v>
      </c>
      <c r="AA2721">
        <v>0.42383589171087238</v>
      </c>
      <c r="AB2721" t="str">
        <f>HYPERLINK("Melting_Curves/meltCurve_P50336_PPOX.pdf", "Melting_Curves/meltCurve_P50336_PPOX.pdf")</f>
        <v>Melting_Curves/meltCurve_P50336_PPOX.pdf</v>
      </c>
    </row>
    <row r="2722" spans="1:28" x14ac:dyDescent="0.25">
      <c r="A2722" t="s">
        <v>2726</v>
      </c>
      <c r="B2722">
        <v>0.99542014353169495</v>
      </c>
      <c r="C2722">
        <v>0.82098601419049899</v>
      </c>
      <c r="D2722">
        <v>0.91094753681419505</v>
      </c>
      <c r="E2722">
        <v>0.69303776755396196</v>
      </c>
      <c r="F2722">
        <v>0.42640014655433101</v>
      </c>
      <c r="G2722">
        <v>0.20129222685588499</v>
      </c>
      <c r="H2722">
        <v>0.11261471623024499</v>
      </c>
      <c r="I2722">
        <v>9.5468781023779703E-2</v>
      </c>
      <c r="J2722">
        <v>0.137068212493627</v>
      </c>
      <c r="K2722">
        <v>0.174037617118145</v>
      </c>
      <c r="L2722">
        <v>818.28431879290804</v>
      </c>
      <c r="M2722">
        <v>16.993789730880799</v>
      </c>
      <c r="N2722">
        <v>48.821016354524701</v>
      </c>
      <c r="O2722">
        <v>47.499990400280602</v>
      </c>
      <c r="P2722">
        <v>-8.0154972161714105E-2</v>
      </c>
      <c r="Q2722">
        <v>0.10387819785116</v>
      </c>
      <c r="R2722">
        <v>0.97206443274490195</v>
      </c>
      <c r="S2722" t="s">
        <v>9124</v>
      </c>
      <c r="T2722" t="s">
        <v>12802</v>
      </c>
      <c r="U2722" t="s">
        <v>12802</v>
      </c>
      <c r="V2722" t="s">
        <v>12802</v>
      </c>
      <c r="W2722" t="s">
        <v>15477</v>
      </c>
      <c r="X2722">
        <v>14</v>
      </c>
      <c r="Y2722" t="s">
        <v>21742</v>
      </c>
      <c r="Z2722" t="s">
        <v>28040</v>
      </c>
      <c r="AA2722">
        <v>0.45286500566863852</v>
      </c>
      <c r="AB2722" t="str">
        <f>HYPERLINK("Melting_Curves/meltCurve_P50402_EMD.pdf", "Melting_Curves/meltCurve_P50402_EMD.pdf")</f>
        <v>Melting_Curves/meltCurve_P50402_EMD.pdf</v>
      </c>
    </row>
    <row r="2723" spans="1:28" x14ac:dyDescent="0.25">
      <c r="A2723" t="s">
        <v>2727</v>
      </c>
      <c r="B2723">
        <v>0.99542014353169495</v>
      </c>
      <c r="C2723">
        <v>0.99095443514042303</v>
      </c>
      <c r="D2723">
        <v>0.93371500565639498</v>
      </c>
      <c r="E2723">
        <v>0.75247448160454999</v>
      </c>
      <c r="F2723">
        <v>0.30717252090216102</v>
      </c>
      <c r="G2723">
        <v>0.15168194461381199</v>
      </c>
      <c r="H2723">
        <v>0.108380640056077</v>
      </c>
      <c r="I2723">
        <v>6.1266971710317503E-2</v>
      </c>
      <c r="J2723">
        <v>7.5065151849469602E-2</v>
      </c>
      <c r="K2723">
        <v>5.4544113594740803E-2</v>
      </c>
      <c r="L2723">
        <v>1217.6945293123099</v>
      </c>
      <c r="M2723">
        <v>25.2163597800856</v>
      </c>
      <c r="N2723">
        <v>48.579876790507598</v>
      </c>
      <c r="O2723">
        <v>47.9892458598299</v>
      </c>
      <c r="P2723">
        <v>-0.12218682064492301</v>
      </c>
      <c r="Q2723">
        <v>6.9877519768926505E-2</v>
      </c>
      <c r="R2723">
        <v>0.99831089672653095</v>
      </c>
      <c r="S2723" t="s">
        <v>9125</v>
      </c>
      <c r="T2723" t="s">
        <v>12802</v>
      </c>
      <c r="U2723" t="s">
        <v>12802</v>
      </c>
      <c r="V2723" t="s">
        <v>12802</v>
      </c>
      <c r="W2723" t="s">
        <v>15478</v>
      </c>
      <c r="X2723">
        <v>11</v>
      </c>
      <c r="Y2723" t="s">
        <v>21743</v>
      </c>
      <c r="Z2723" t="s">
        <v>28041</v>
      </c>
      <c r="AA2723">
        <v>0.42773467566172141</v>
      </c>
      <c r="AB2723" t="str">
        <f>HYPERLINK("Melting_Curves/meltCurve_P50416_CPT1A.pdf", "Melting_Curves/meltCurve_P50416_CPT1A.pdf")</f>
        <v>Melting_Curves/meltCurve_P50416_CPT1A.pdf</v>
      </c>
    </row>
    <row r="2724" spans="1:28" x14ac:dyDescent="0.25">
      <c r="A2724" t="s">
        <v>2728</v>
      </c>
      <c r="B2724">
        <v>0.99542014353169495</v>
      </c>
      <c r="C2724">
        <v>1.02728990379229</v>
      </c>
      <c r="D2724">
        <v>0.90906877158029897</v>
      </c>
      <c r="E2724">
        <v>0.72867674963409002</v>
      </c>
      <c r="F2724">
        <v>0.43900110076733501</v>
      </c>
      <c r="G2724">
        <v>0.19437787877764701</v>
      </c>
      <c r="H2724">
        <v>8.0408245941754594E-2</v>
      </c>
      <c r="I2724">
        <v>5.3641211598364699E-2</v>
      </c>
      <c r="J2724">
        <v>8.4058068883779397E-2</v>
      </c>
      <c r="K2724">
        <v>0.11066581132882</v>
      </c>
      <c r="L2724">
        <v>940.22515246207399</v>
      </c>
      <c r="M2724">
        <v>19.236511602809401</v>
      </c>
      <c r="N2724">
        <v>49.220656655700701</v>
      </c>
      <c r="O2724">
        <v>48.358093179086303</v>
      </c>
      <c r="P2724">
        <v>-9.3204420587968406E-2</v>
      </c>
      <c r="Q2724">
        <v>6.2820204411332098E-2</v>
      </c>
      <c r="R2724">
        <v>0.99545057683776295</v>
      </c>
      <c r="S2724" t="s">
        <v>9126</v>
      </c>
      <c r="T2724" t="s">
        <v>12802</v>
      </c>
      <c r="U2724" t="s">
        <v>12802</v>
      </c>
      <c r="V2724" t="s">
        <v>12802</v>
      </c>
      <c r="W2724" t="s">
        <v>15479</v>
      </c>
      <c r="X2724">
        <v>1</v>
      </c>
      <c r="Y2724" t="s">
        <v>21744</v>
      </c>
      <c r="Z2724" t="s">
        <v>28042</v>
      </c>
      <c r="AA2724">
        <v>0.44710308510619801</v>
      </c>
      <c r="AB2724" t="str">
        <f>HYPERLINK("Melting_Curves/meltCurve_P50443_SLC26A2.pdf", "Melting_Curves/meltCurve_P50443_SLC26A2.pdf")</f>
        <v>Melting_Curves/meltCurve_P50443_SLC26A2.pdf</v>
      </c>
    </row>
    <row r="2725" spans="1:28" x14ac:dyDescent="0.25">
      <c r="A2725" t="s">
        <v>2729</v>
      </c>
      <c r="B2725">
        <v>0.99542014353169495</v>
      </c>
      <c r="C2725">
        <v>1.00763769310074</v>
      </c>
      <c r="D2725">
        <v>0.96177054985509003</v>
      </c>
      <c r="E2725">
        <v>1.00285117192882</v>
      </c>
      <c r="F2725">
        <v>0.81854218139961799</v>
      </c>
      <c r="G2725">
        <v>0.72658940102911995</v>
      </c>
      <c r="H2725">
        <v>0.43024995715946202</v>
      </c>
      <c r="I2725">
        <v>0.12689453633672099</v>
      </c>
      <c r="J2725">
        <v>8.0232899054741999E-2</v>
      </c>
      <c r="K2725">
        <v>9.0140341346578695E-2</v>
      </c>
      <c r="L2725">
        <v>1026.94540268524</v>
      </c>
      <c r="M2725">
        <v>18.295325963507899</v>
      </c>
      <c r="N2725">
        <v>56.131572259008301</v>
      </c>
      <c r="O2725">
        <v>55.473841938265103</v>
      </c>
      <c r="P2725">
        <v>-8.2454053039280398E-2</v>
      </c>
      <c r="Q2725">
        <v>0</v>
      </c>
      <c r="R2725">
        <v>0.98895665024495205</v>
      </c>
      <c r="S2725" t="s">
        <v>9127</v>
      </c>
      <c r="T2725" t="s">
        <v>12802</v>
      </c>
      <c r="U2725" t="s">
        <v>12802</v>
      </c>
      <c r="V2725" t="s">
        <v>12802</v>
      </c>
      <c r="W2725" t="s">
        <v>15480</v>
      </c>
      <c r="X2725">
        <v>26</v>
      </c>
      <c r="Y2725" t="s">
        <v>21745</v>
      </c>
      <c r="Z2725" t="s">
        <v>28043</v>
      </c>
      <c r="AA2725">
        <v>0.64841953685748543</v>
      </c>
      <c r="AB2725" t="str">
        <f>HYPERLINK("Melting_Curves/meltCurve_P50453_SERPINB9.pdf", "Melting_Curves/meltCurve_P50453_SERPINB9.pdf")</f>
        <v>Melting_Curves/meltCurve_P50453_SERPINB9.pdf</v>
      </c>
    </row>
    <row r="2726" spans="1:28" x14ac:dyDescent="0.25">
      <c r="A2726" t="s">
        <v>2730</v>
      </c>
      <c r="B2726">
        <v>0.99542014353169495</v>
      </c>
      <c r="C2726">
        <v>1.03205601417906</v>
      </c>
      <c r="D2726">
        <v>0.92075397666624903</v>
      </c>
      <c r="E2726">
        <v>0.934172167035763</v>
      </c>
      <c r="F2726">
        <v>0.76669691641242299</v>
      </c>
      <c r="G2726">
        <v>0.47520794326147198</v>
      </c>
      <c r="H2726">
        <v>9.0690386416268295E-2</v>
      </c>
      <c r="I2726">
        <v>5.6747600081592402E-2</v>
      </c>
      <c r="J2726">
        <v>5.9151934644165398E-2</v>
      </c>
      <c r="K2726">
        <v>6.1063758321955999E-2</v>
      </c>
      <c r="L2726">
        <v>1244.6719345187801</v>
      </c>
      <c r="M2726">
        <v>23.519649337174499</v>
      </c>
      <c r="N2726">
        <v>53.042943895037297</v>
      </c>
      <c r="O2726">
        <v>52.542394671836703</v>
      </c>
      <c r="P2726">
        <v>-0.108953269758368</v>
      </c>
      <c r="Q2726">
        <v>2.6419562373005499E-2</v>
      </c>
      <c r="R2726">
        <v>0.99008634257769101</v>
      </c>
      <c r="S2726" t="s">
        <v>9128</v>
      </c>
      <c r="T2726" t="s">
        <v>12802</v>
      </c>
      <c r="U2726" t="s">
        <v>12802</v>
      </c>
      <c r="V2726" t="s">
        <v>12802</v>
      </c>
      <c r="W2726" t="s">
        <v>15481</v>
      </c>
      <c r="X2726">
        <v>19</v>
      </c>
      <c r="Y2726" t="s">
        <v>21746</v>
      </c>
      <c r="Z2726" t="s">
        <v>28044</v>
      </c>
      <c r="AA2726">
        <v>0.55262842528706113</v>
      </c>
      <c r="AB2726" t="str">
        <f>HYPERLINK("Melting_Curves/meltCurve_P50454_SERPINH1.pdf", "Melting_Curves/meltCurve_P50454_SERPINH1.pdf")</f>
        <v>Melting_Curves/meltCurve_P50454_SERPINH1.pdf</v>
      </c>
    </row>
    <row r="2727" spans="1:28" x14ac:dyDescent="0.25">
      <c r="A2727" t="s">
        <v>2731</v>
      </c>
      <c r="B2727">
        <v>0.99542014353169495</v>
      </c>
      <c r="C2727">
        <v>1.0429171131933599</v>
      </c>
      <c r="D2727">
        <v>0.99339124135978696</v>
      </c>
      <c r="E2727">
        <v>0.90960372431514602</v>
      </c>
      <c r="F2727">
        <v>0.59409788844995004</v>
      </c>
      <c r="G2727">
        <v>0.38577163391854402</v>
      </c>
      <c r="H2727">
        <v>0.231233273697761</v>
      </c>
      <c r="I2727">
        <v>0.14078970584516501</v>
      </c>
      <c r="J2727">
        <v>0.15837843681792399</v>
      </c>
      <c r="K2727">
        <v>0.197187971983875</v>
      </c>
      <c r="L2727">
        <v>1075.6355687912101</v>
      </c>
      <c r="M2727">
        <v>21.203860421881998</v>
      </c>
      <c r="N2727">
        <v>51.665970597841302</v>
      </c>
      <c r="O2727">
        <v>50.283558213657201</v>
      </c>
      <c r="P2727">
        <v>-8.8586399868502405E-2</v>
      </c>
      <c r="Q2727">
        <v>0.159714535301205</v>
      </c>
      <c r="R2727">
        <v>0.99418127667012801</v>
      </c>
      <c r="S2727" t="s">
        <v>9129</v>
      </c>
      <c r="T2727" t="s">
        <v>12802</v>
      </c>
      <c r="U2727" t="s">
        <v>12802</v>
      </c>
      <c r="V2727" t="s">
        <v>12802</v>
      </c>
      <c r="W2727" t="s">
        <v>15482</v>
      </c>
      <c r="X2727">
        <v>14</v>
      </c>
      <c r="Y2727" t="s">
        <v>21747</v>
      </c>
      <c r="Z2727" t="s">
        <v>28045</v>
      </c>
      <c r="AA2727">
        <v>0.55420990642253021</v>
      </c>
      <c r="AB2727" t="str">
        <f>HYPERLINK("Melting_Curves/meltCurve_P50479_PDLIM4.pdf", "Melting_Curves/meltCurve_P50479_PDLIM4.pdf")</f>
        <v>Melting_Curves/meltCurve_P50479_PDLIM4.pdf</v>
      </c>
    </row>
    <row r="2728" spans="1:28" x14ac:dyDescent="0.25">
      <c r="A2728" t="s">
        <v>2732</v>
      </c>
      <c r="B2728">
        <v>0.99542014353169495</v>
      </c>
      <c r="C2728">
        <v>0.98715694794872699</v>
      </c>
      <c r="D2728">
        <v>0.99758169913893402</v>
      </c>
      <c r="E2728">
        <v>0.88840071038257895</v>
      </c>
      <c r="F2728">
        <v>0.28643232740301</v>
      </c>
      <c r="G2728">
        <v>0.111158274604579</v>
      </c>
      <c r="H2728">
        <v>6.4598441197517203E-2</v>
      </c>
      <c r="I2728">
        <v>4.8568611798559702E-2</v>
      </c>
      <c r="J2728">
        <v>5.2620682880690703E-2</v>
      </c>
      <c r="K2728">
        <v>5.8308801240852602E-2</v>
      </c>
      <c r="L2728">
        <v>1996.16386706918</v>
      </c>
      <c r="M2728">
        <v>40.882118164136202</v>
      </c>
      <c r="N2728">
        <v>48.984345708845602</v>
      </c>
      <c r="O2728">
        <v>48.710927226398901</v>
      </c>
      <c r="P2728">
        <v>-0.196932766451719</v>
      </c>
      <c r="Q2728">
        <v>6.14226620465287E-2</v>
      </c>
      <c r="R2728">
        <v>0.99927355516702399</v>
      </c>
      <c r="S2728" t="s">
        <v>9130</v>
      </c>
      <c r="T2728" t="s">
        <v>12802</v>
      </c>
      <c r="U2728" t="s">
        <v>12802</v>
      </c>
      <c r="V2728" t="s">
        <v>12802</v>
      </c>
      <c r="W2728" t="s">
        <v>15483</v>
      </c>
      <c r="X2728">
        <v>20</v>
      </c>
      <c r="Y2728" t="s">
        <v>21748</v>
      </c>
      <c r="Z2728" t="s">
        <v>28046</v>
      </c>
      <c r="AA2728">
        <v>0.43448199861861198</v>
      </c>
      <c r="AB2728" t="str">
        <f>HYPERLINK("Melting_Curves/meltCurve_P50502_ST13.pdf", "Melting_Curves/meltCurve_P50502_ST13.pdf")</f>
        <v>Melting_Curves/meltCurve_P50502_ST13.pdf</v>
      </c>
    </row>
    <row r="2729" spans="1:28" x14ac:dyDescent="0.25">
      <c r="A2729" t="s">
        <v>2733</v>
      </c>
      <c r="B2729">
        <v>0.99542014353169495</v>
      </c>
      <c r="C2729">
        <v>0.99059830849796104</v>
      </c>
      <c r="D2729">
        <v>0.98154949790900003</v>
      </c>
      <c r="E2729">
        <v>0.66863981918517401</v>
      </c>
      <c r="F2729">
        <v>0.17692440437429399</v>
      </c>
      <c r="G2729">
        <v>9.6827049455849995E-2</v>
      </c>
      <c r="H2729">
        <v>6.5351081882707995E-2</v>
      </c>
      <c r="I2729">
        <v>4.73818151218586E-2</v>
      </c>
      <c r="J2729">
        <v>4.6532244346564701E-2</v>
      </c>
      <c r="K2729">
        <v>4.6673923102526903E-2</v>
      </c>
      <c r="L2729">
        <v>1615.8573356828001</v>
      </c>
      <c r="M2729">
        <v>34.057901327489098</v>
      </c>
      <c r="N2729">
        <v>47.609428095114701</v>
      </c>
      <c r="O2729">
        <v>47.281755819319699</v>
      </c>
      <c r="P2729">
        <v>-0.17005599880118499</v>
      </c>
      <c r="Q2729">
        <v>5.5665541481912197E-2</v>
      </c>
      <c r="R2729">
        <v>0.99937872349936596</v>
      </c>
      <c r="S2729" t="s">
        <v>9131</v>
      </c>
      <c r="T2729" t="s">
        <v>12802</v>
      </c>
      <c r="U2729" t="s">
        <v>12802</v>
      </c>
      <c r="V2729" t="s">
        <v>12802</v>
      </c>
      <c r="W2729" t="s">
        <v>15484</v>
      </c>
      <c r="X2729">
        <v>20</v>
      </c>
      <c r="Y2729" t="s">
        <v>21749</v>
      </c>
      <c r="Z2729" t="s">
        <v>28047</v>
      </c>
      <c r="AA2729">
        <v>0.3887177768002239</v>
      </c>
      <c r="AB2729" t="str">
        <f>HYPERLINK("Melting_Curves/meltCurve_P50552_VASP.pdf", "Melting_Curves/meltCurve_P50552_VASP.pdf")</f>
        <v>Melting_Curves/meltCurve_P50552_VASP.pdf</v>
      </c>
    </row>
    <row r="2730" spans="1:28" x14ac:dyDescent="0.25">
      <c r="A2730" t="s">
        <v>2734</v>
      </c>
      <c r="B2730">
        <v>0.99542014353169495</v>
      </c>
      <c r="C2730">
        <v>0.93361918275684597</v>
      </c>
      <c r="D2730">
        <v>0.89902884897402602</v>
      </c>
      <c r="E2730">
        <v>0.74139754585749595</v>
      </c>
      <c r="F2730">
        <v>0.42361323270840301</v>
      </c>
      <c r="G2730">
        <v>0.119399850228272</v>
      </c>
      <c r="H2730">
        <v>8.0069961653990204E-2</v>
      </c>
      <c r="I2730">
        <v>6.4247755984578506E-2</v>
      </c>
      <c r="J2730">
        <v>7.0907450079749093E-2</v>
      </c>
      <c r="K2730">
        <v>7.1391974834721803E-2</v>
      </c>
      <c r="L2730">
        <v>982.48121259972902</v>
      </c>
      <c r="M2730">
        <v>20.144394477160802</v>
      </c>
      <c r="N2730">
        <v>49.013058299901999</v>
      </c>
      <c r="O2730">
        <v>48.298939723187701</v>
      </c>
      <c r="P2730">
        <v>-9.9353735287982095E-2</v>
      </c>
      <c r="Q2730">
        <v>4.71734935997348E-2</v>
      </c>
      <c r="R2730">
        <v>0.99356772264305004</v>
      </c>
      <c r="S2730" t="s">
        <v>9132</v>
      </c>
      <c r="T2730" t="s">
        <v>12802</v>
      </c>
      <c r="U2730" t="s">
        <v>12802</v>
      </c>
      <c r="V2730" t="s">
        <v>12802</v>
      </c>
      <c r="W2730" t="s">
        <v>15485</v>
      </c>
      <c r="X2730">
        <v>32</v>
      </c>
      <c r="Y2730" t="s">
        <v>21750</v>
      </c>
      <c r="Z2730" t="s">
        <v>28048</v>
      </c>
      <c r="AA2730">
        <v>0.43344336216973639</v>
      </c>
      <c r="AB2730" t="str">
        <f>HYPERLINK("Melting_Curves/meltCurve_P50570_DNM2.pdf", "Melting_Curves/meltCurve_P50570_DNM2.pdf")</f>
        <v>Melting_Curves/meltCurve_P50570_DNM2.pdf</v>
      </c>
    </row>
    <row r="2731" spans="1:28" x14ac:dyDescent="0.25">
      <c r="A2731" t="s">
        <v>2735</v>
      </c>
      <c r="B2731">
        <v>0.99542014353169495</v>
      </c>
      <c r="C2731">
        <v>1.0503060781286</v>
      </c>
      <c r="D2731">
        <v>0.97013667923449898</v>
      </c>
      <c r="E2731">
        <v>0.979391540388723</v>
      </c>
      <c r="F2731">
        <v>0.83701627570805903</v>
      </c>
      <c r="G2731">
        <v>0.71764481840889505</v>
      </c>
      <c r="H2731">
        <v>0.478141830255077</v>
      </c>
      <c r="I2731">
        <v>0.39742812721589599</v>
      </c>
      <c r="J2731">
        <v>0.54480046360060497</v>
      </c>
      <c r="K2731">
        <v>0.45906310516275001</v>
      </c>
      <c r="L2731">
        <v>1237.75266770084</v>
      </c>
      <c r="M2731">
        <v>23.470131926620599</v>
      </c>
      <c r="N2731">
        <v>58.574795522135702</v>
      </c>
      <c r="O2731">
        <v>52.358981890116503</v>
      </c>
      <c r="P2731">
        <v>-6.14357554277482E-2</v>
      </c>
      <c r="Q2731">
        <v>0.451787083686709</v>
      </c>
      <c r="R2731">
        <v>0.96160812577861099</v>
      </c>
      <c r="S2731" t="s">
        <v>9133</v>
      </c>
      <c r="T2731" t="s">
        <v>12802</v>
      </c>
      <c r="U2731" t="s">
        <v>12802</v>
      </c>
      <c r="V2731" t="s">
        <v>12802</v>
      </c>
      <c r="W2731" t="s">
        <v>15486</v>
      </c>
      <c r="X2731">
        <v>30</v>
      </c>
      <c r="Y2731" t="s">
        <v>19879</v>
      </c>
      <c r="Z2731" t="s">
        <v>28049</v>
      </c>
      <c r="AA2731">
        <v>0.74477241233706337</v>
      </c>
      <c r="AB2731" t="str">
        <f>HYPERLINK("Melting_Curves/meltCurve_P50579_METAP2.pdf", "Melting_Curves/meltCurve_P50579_METAP2.pdf")</f>
        <v>Melting_Curves/meltCurve_P50579_METAP2.pdf</v>
      </c>
    </row>
    <row r="2732" spans="1:28" x14ac:dyDescent="0.25">
      <c r="A2732" t="s">
        <v>2736</v>
      </c>
      <c r="B2732">
        <v>0.99542014353169495</v>
      </c>
      <c r="C2732">
        <v>0.98952857496127899</v>
      </c>
      <c r="D2732">
        <v>0.88938494305344595</v>
      </c>
      <c r="E2732">
        <v>0.84809667746014294</v>
      </c>
      <c r="F2732">
        <v>0.62590806600910798</v>
      </c>
      <c r="G2732">
        <v>0.46998044189189198</v>
      </c>
      <c r="H2732">
        <v>0.205586138357504</v>
      </c>
      <c r="I2732">
        <v>0.105139185721477</v>
      </c>
      <c r="J2732">
        <v>0.11820300610408099</v>
      </c>
      <c r="K2732">
        <v>0.11907942909682601</v>
      </c>
      <c r="L2732">
        <v>705.44382803123403</v>
      </c>
      <c r="M2732">
        <v>13.557666620161701</v>
      </c>
      <c r="N2732">
        <v>52.333384685905003</v>
      </c>
      <c r="O2732">
        <v>50.9399437919066</v>
      </c>
      <c r="P2732">
        <v>-6.4055032158665606E-2</v>
      </c>
      <c r="Q2732">
        <v>3.7453709805493902E-2</v>
      </c>
      <c r="R2732">
        <v>0.99034719809751603</v>
      </c>
      <c r="S2732" t="s">
        <v>9134</v>
      </c>
      <c r="T2732" t="s">
        <v>12802</v>
      </c>
      <c r="U2732" t="s">
        <v>12802</v>
      </c>
      <c r="V2732" t="s">
        <v>12802</v>
      </c>
      <c r="W2732" t="s">
        <v>15487</v>
      </c>
      <c r="X2732">
        <v>4</v>
      </c>
      <c r="Y2732" t="s">
        <v>21751</v>
      </c>
      <c r="Z2732" t="s">
        <v>28050</v>
      </c>
      <c r="AA2732">
        <v>0.54025053869114825</v>
      </c>
      <c r="AB2732" t="str">
        <f>HYPERLINK("Melting_Curves/meltCurve_P50583_NUDT2.pdf", "Melting_Curves/meltCurve_P50583_NUDT2.pdf")</f>
        <v>Melting_Curves/meltCurve_P50583_NUDT2.pdf</v>
      </c>
    </row>
    <row r="2733" spans="1:28" x14ac:dyDescent="0.25">
      <c r="A2733" t="s">
        <v>2737</v>
      </c>
      <c r="B2733">
        <v>0.99542014353169495</v>
      </c>
      <c r="C2733">
        <v>0.93456086935433402</v>
      </c>
      <c r="D2733">
        <v>1.0480896905741399</v>
      </c>
      <c r="E2733">
        <v>0.80706548562256297</v>
      </c>
      <c r="F2733">
        <v>0.688848320551398</v>
      </c>
      <c r="G2733">
        <v>0.42616049800621097</v>
      </c>
      <c r="H2733">
        <v>0.193006898734539</v>
      </c>
      <c r="I2733">
        <v>6.7442470440487304E-2</v>
      </c>
      <c r="J2733">
        <v>5.5069210231921698E-2</v>
      </c>
      <c r="K2733">
        <v>5.8586725268848297E-2</v>
      </c>
      <c r="L2733">
        <v>816.37079879030898</v>
      </c>
      <c r="M2733">
        <v>15.564551269873601</v>
      </c>
      <c r="N2733">
        <v>52.450632871804601</v>
      </c>
      <c r="O2733">
        <v>51.607710491052501</v>
      </c>
      <c r="P2733">
        <v>-7.5404971274492402E-2</v>
      </c>
      <c r="Q2733">
        <v>0</v>
      </c>
      <c r="R2733">
        <v>0.98865033406249303</v>
      </c>
      <c r="S2733" t="s">
        <v>9135</v>
      </c>
      <c r="T2733" t="s">
        <v>12802</v>
      </c>
      <c r="U2733" t="s">
        <v>12802</v>
      </c>
      <c r="V2733" t="s">
        <v>12802</v>
      </c>
      <c r="W2733" t="s">
        <v>15488</v>
      </c>
      <c r="X2733">
        <v>9</v>
      </c>
      <c r="Y2733" t="s">
        <v>21752</v>
      </c>
      <c r="Z2733" t="s">
        <v>28051</v>
      </c>
      <c r="AA2733">
        <v>0.53287538274655888</v>
      </c>
      <c r="AB2733" t="str">
        <f>HYPERLINK("Melting_Curves/meltCurve_P50613_CDK7.pdf", "Melting_Curves/meltCurve_P50613_CDK7.pdf")</f>
        <v>Melting_Curves/meltCurve_P50613_CDK7.pdf</v>
      </c>
    </row>
    <row r="2734" spans="1:28" x14ac:dyDescent="0.25">
      <c r="A2734" t="s">
        <v>2738</v>
      </c>
      <c r="B2734">
        <v>0.99542014353169495</v>
      </c>
      <c r="C2734">
        <v>0.99508544333530102</v>
      </c>
      <c r="D2734">
        <v>0.92726624109029898</v>
      </c>
      <c r="E2734">
        <v>0.762374686922348</v>
      </c>
      <c r="F2734">
        <v>0.421014392359081</v>
      </c>
      <c r="G2734">
        <v>0.133395035828378</v>
      </c>
      <c r="H2734">
        <v>8.1162835219462201E-2</v>
      </c>
      <c r="I2734">
        <v>6.7688237597118006E-2</v>
      </c>
      <c r="J2734">
        <v>6.0502469256090402E-2</v>
      </c>
      <c r="K2734">
        <v>8.5854935663726303E-2</v>
      </c>
      <c r="L2734">
        <v>1089.0577673820201</v>
      </c>
      <c r="M2734">
        <v>22.266501786013599</v>
      </c>
      <c r="N2734">
        <v>49.176280169429198</v>
      </c>
      <c r="O2734">
        <v>48.520762343473898</v>
      </c>
      <c r="P2734">
        <v>-0.10821671794708899</v>
      </c>
      <c r="Q2734">
        <v>5.6763081039123101E-2</v>
      </c>
      <c r="R2734">
        <v>0.99782275083911398</v>
      </c>
      <c r="S2734" t="s">
        <v>9136</v>
      </c>
      <c r="T2734" t="s">
        <v>12802</v>
      </c>
      <c r="U2734" t="s">
        <v>12802</v>
      </c>
      <c r="V2734" t="s">
        <v>12802</v>
      </c>
      <c r="W2734" t="s">
        <v>15489</v>
      </c>
      <c r="X2734">
        <v>9</v>
      </c>
      <c r="Y2734" t="s">
        <v>21753</v>
      </c>
      <c r="Z2734" t="s">
        <v>28052</v>
      </c>
      <c r="AA2734">
        <v>0.44140411714472311</v>
      </c>
      <c r="AB2734" t="str">
        <f>HYPERLINK("Melting_Curves/meltCurve_P50747_HLCS.pdf", "Melting_Curves/meltCurve_P50747_HLCS.pdf")</f>
        <v>Melting_Curves/meltCurve_P50747_HLCS.pdf</v>
      </c>
    </row>
    <row r="2735" spans="1:28" x14ac:dyDescent="0.25">
      <c r="A2735" t="s">
        <v>2739</v>
      </c>
      <c r="B2735">
        <v>0.99542014353169495</v>
      </c>
      <c r="C2735">
        <v>0.91775050772061095</v>
      </c>
      <c r="D2735">
        <v>0.97529055414495402</v>
      </c>
      <c r="E2735">
        <v>0.63141038117160997</v>
      </c>
      <c r="F2735">
        <v>0.24025038320705799</v>
      </c>
      <c r="G2735">
        <v>0.13027519863141501</v>
      </c>
      <c r="H2735">
        <v>8.8579044919514405E-2</v>
      </c>
      <c r="I2735">
        <v>6.6515620417939195E-2</v>
      </c>
      <c r="J2735">
        <v>6.4708767263869302E-2</v>
      </c>
      <c r="K2735">
        <v>6.5721112023959097E-2</v>
      </c>
      <c r="L2735">
        <v>1256.87532145095</v>
      </c>
      <c r="M2735">
        <v>26.520976527154801</v>
      </c>
      <c r="N2735">
        <v>47.671421729252501</v>
      </c>
      <c r="O2735">
        <v>47.124756280418801</v>
      </c>
      <c r="P2735">
        <v>-0.13056037354335001</v>
      </c>
      <c r="Q2735">
        <v>7.2046204425429E-2</v>
      </c>
      <c r="R2735">
        <v>0.99504610094875001</v>
      </c>
      <c r="S2735" t="s">
        <v>9137</v>
      </c>
      <c r="T2735" t="s">
        <v>12802</v>
      </c>
      <c r="U2735" t="s">
        <v>12802</v>
      </c>
      <c r="V2735" t="s">
        <v>12802</v>
      </c>
      <c r="W2735" t="s">
        <v>15490</v>
      </c>
      <c r="X2735">
        <v>22</v>
      </c>
      <c r="Y2735" t="s">
        <v>21754</v>
      </c>
      <c r="Z2735" t="s">
        <v>28053</v>
      </c>
      <c r="AA2735">
        <v>0.40044474501425292</v>
      </c>
      <c r="AB2735" t="str">
        <f>HYPERLINK("Melting_Curves/meltCurve_P50748_KNTC1.pdf", "Melting_Curves/meltCurve_P50748_KNTC1.pdf")</f>
        <v>Melting_Curves/meltCurve_P50748_KNTC1.pdf</v>
      </c>
    </row>
    <row r="2736" spans="1:28" x14ac:dyDescent="0.25">
      <c r="A2736" t="s">
        <v>2740</v>
      </c>
      <c r="B2736">
        <v>0.99542014353169495</v>
      </c>
      <c r="C2736">
        <v>0.89507608075050105</v>
      </c>
      <c r="D2736">
        <v>0.86794346457315297</v>
      </c>
      <c r="E2736">
        <v>0.69501970200664198</v>
      </c>
      <c r="F2736">
        <v>0.53006048616608104</v>
      </c>
      <c r="G2736">
        <v>0.27736498809218102</v>
      </c>
      <c r="H2736">
        <v>0.107553371770242</v>
      </c>
      <c r="I2736">
        <v>7.4319154385679306E-2</v>
      </c>
      <c r="J2736">
        <v>8.0477247091202506E-2</v>
      </c>
      <c r="K2736">
        <v>7.6548547022381994E-2</v>
      </c>
      <c r="L2736">
        <v>616.03701335789299</v>
      </c>
      <c r="M2736">
        <v>12.3736566434299</v>
      </c>
      <c r="N2736">
        <v>49.807673907782501</v>
      </c>
      <c r="O2736">
        <v>48.539446472836801</v>
      </c>
      <c r="P2736">
        <v>-6.3573908933514403E-2</v>
      </c>
      <c r="Q2736">
        <v>2.6616293952517901E-3</v>
      </c>
      <c r="R2736">
        <v>0.99072651962282599</v>
      </c>
      <c r="S2736" t="s">
        <v>9138</v>
      </c>
      <c r="T2736" t="s">
        <v>12802</v>
      </c>
      <c r="U2736" t="s">
        <v>12802</v>
      </c>
      <c r="V2736" t="s">
        <v>12802</v>
      </c>
      <c r="W2736" t="s">
        <v>15491</v>
      </c>
      <c r="X2736">
        <v>10</v>
      </c>
      <c r="Y2736" t="s">
        <v>21755</v>
      </c>
      <c r="Z2736" t="s">
        <v>28054</v>
      </c>
      <c r="AA2736">
        <v>0.45499416780481211</v>
      </c>
      <c r="AB2736" t="str">
        <f>HYPERLINK("Melting_Curves/meltCurve_P50750_CDK9.pdf", "Melting_Curves/meltCurve_P50750_CDK9.pdf")</f>
        <v>Melting_Curves/meltCurve_P50750_CDK9.pdf</v>
      </c>
    </row>
    <row r="2737" spans="1:28" x14ac:dyDescent="0.25">
      <c r="A2737" t="s">
        <v>2741</v>
      </c>
      <c r="B2737">
        <v>0.99542014353169495</v>
      </c>
      <c r="C2737">
        <v>0.96747568813655604</v>
      </c>
      <c r="D2737">
        <v>0.90409885158144099</v>
      </c>
      <c r="E2737">
        <v>0.82335413863826901</v>
      </c>
      <c r="F2737">
        <v>0.664094376173751</v>
      </c>
      <c r="G2737">
        <v>0.59346306519176695</v>
      </c>
      <c r="H2737">
        <v>0.33269167080490197</v>
      </c>
      <c r="I2737">
        <v>0.13077849599824701</v>
      </c>
      <c r="J2737">
        <v>0.123960688442722</v>
      </c>
      <c r="K2737">
        <v>0.13353007548960799</v>
      </c>
      <c r="L2737">
        <v>595.63741536837097</v>
      </c>
      <c r="M2737">
        <v>11.0744670585759</v>
      </c>
      <c r="N2737">
        <v>53.784747534988398</v>
      </c>
      <c r="O2737">
        <v>52.120326576182698</v>
      </c>
      <c r="P2737">
        <v>-5.3137174406017E-2</v>
      </c>
      <c r="Q2737">
        <v>0</v>
      </c>
      <c r="R2737">
        <v>0.98309460596713505</v>
      </c>
      <c r="S2737" t="s">
        <v>9139</v>
      </c>
      <c r="T2737" t="s">
        <v>12802</v>
      </c>
      <c r="U2737" t="s">
        <v>12802</v>
      </c>
      <c r="V2737" t="s">
        <v>12802</v>
      </c>
      <c r="W2737" t="s">
        <v>15492</v>
      </c>
      <c r="X2737">
        <v>11</v>
      </c>
      <c r="Y2737" t="s">
        <v>21756</v>
      </c>
      <c r="Z2737" t="s">
        <v>28055</v>
      </c>
      <c r="AA2737">
        <v>0.57835978340144401</v>
      </c>
      <c r="AB2737" t="str">
        <f>HYPERLINK("Melting_Curves/meltCurve_P50897_PPT1.pdf", "Melting_Curves/meltCurve_P50897_PPT1.pdf")</f>
        <v>Melting_Curves/meltCurve_P50897_PPT1.pdf</v>
      </c>
    </row>
    <row r="2738" spans="1:28" x14ac:dyDescent="0.25">
      <c r="A2738" t="s">
        <v>2742</v>
      </c>
      <c r="B2738">
        <v>0.99542014353169495</v>
      </c>
      <c r="C2738">
        <v>0.969948006379039</v>
      </c>
      <c r="D2738">
        <v>0.93371317513562602</v>
      </c>
      <c r="E2738">
        <v>0.86132150742728797</v>
      </c>
      <c r="F2738">
        <v>0.58126389764890696</v>
      </c>
      <c r="G2738">
        <v>0.25832302750478198</v>
      </c>
      <c r="H2738">
        <v>0.21724915733046901</v>
      </c>
      <c r="I2738">
        <v>0.26070350639651002</v>
      </c>
      <c r="J2738">
        <v>0.213173951107652</v>
      </c>
      <c r="K2738">
        <v>8.6970321685550994E-2</v>
      </c>
      <c r="L2738">
        <v>1130.2565619146401</v>
      </c>
      <c r="M2738">
        <v>22.6570179879857</v>
      </c>
      <c r="N2738">
        <v>50.830623771455897</v>
      </c>
      <c r="O2738">
        <v>49.501753223715497</v>
      </c>
      <c r="P2738">
        <v>-9.4757951106479901E-2</v>
      </c>
      <c r="Q2738">
        <v>0.171895999070308</v>
      </c>
      <c r="R2738">
        <v>0.98344905863449406</v>
      </c>
      <c r="S2738" t="s">
        <v>9140</v>
      </c>
      <c r="T2738" t="s">
        <v>12802</v>
      </c>
      <c r="U2738" t="s">
        <v>12802</v>
      </c>
      <c r="V2738" t="s">
        <v>12802</v>
      </c>
      <c r="W2738" t="s">
        <v>15493</v>
      </c>
      <c r="X2738">
        <v>46</v>
      </c>
      <c r="Y2738" t="s">
        <v>21757</v>
      </c>
      <c r="Z2738" t="s">
        <v>28056</v>
      </c>
      <c r="AA2738">
        <v>0.53628601892728167</v>
      </c>
      <c r="AB2738" t="str">
        <f>HYPERLINK("Melting_Curves/meltCurve_P50990_CCT8.pdf", "Melting_Curves/meltCurve_P50990_CCT8.pdf")</f>
        <v>Melting_Curves/meltCurve_P50990_CCT8.pdf</v>
      </c>
    </row>
    <row r="2739" spans="1:28" x14ac:dyDescent="0.25">
      <c r="A2739" t="s">
        <v>2743</v>
      </c>
      <c r="B2739">
        <v>0.99542014353169495</v>
      </c>
      <c r="C2739">
        <v>0.91840145657655103</v>
      </c>
      <c r="D2739">
        <v>0.88650601137801599</v>
      </c>
      <c r="E2739">
        <v>0.73148564651575598</v>
      </c>
      <c r="F2739">
        <v>0.53579979475875295</v>
      </c>
      <c r="G2739">
        <v>0.31633277554210598</v>
      </c>
      <c r="H2739">
        <v>0.2319706169629</v>
      </c>
      <c r="I2739">
        <v>0.115515552492174</v>
      </c>
      <c r="J2739">
        <v>7.5981347453914896E-2</v>
      </c>
      <c r="K2739">
        <v>5.3293417986754597E-2</v>
      </c>
      <c r="L2739">
        <v>575.76229163771097</v>
      </c>
      <c r="M2739">
        <v>11.374025754845899</v>
      </c>
      <c r="N2739">
        <v>50.620799728233798</v>
      </c>
      <c r="O2739">
        <v>49.131787829130602</v>
      </c>
      <c r="P2739">
        <v>-5.78922498623234E-2</v>
      </c>
      <c r="Q2739">
        <v>0</v>
      </c>
      <c r="R2739">
        <v>0.99767139867059595</v>
      </c>
      <c r="S2739" t="s">
        <v>9141</v>
      </c>
      <c r="T2739" t="s">
        <v>12802</v>
      </c>
      <c r="U2739" t="s">
        <v>12802</v>
      </c>
      <c r="V2739" t="s">
        <v>12802</v>
      </c>
      <c r="W2739" t="s">
        <v>15494</v>
      </c>
      <c r="X2739">
        <v>35</v>
      </c>
      <c r="Y2739" t="s">
        <v>21758</v>
      </c>
      <c r="Z2739" t="s">
        <v>28057</v>
      </c>
      <c r="AA2739">
        <v>0.48235125654742428</v>
      </c>
      <c r="AB2739" t="str">
        <f>HYPERLINK("Melting_Curves/meltCurve_P50991_CCT4.pdf", "Melting_Curves/meltCurve_P50991_CCT4.pdf")</f>
        <v>Melting_Curves/meltCurve_P50991_CCT4.pdf</v>
      </c>
    </row>
    <row r="2740" spans="1:28" x14ac:dyDescent="0.25">
      <c r="A2740" t="s">
        <v>2744</v>
      </c>
      <c r="B2740">
        <v>0.99542014353169495</v>
      </c>
      <c r="C2740">
        <v>1.0933683956009499</v>
      </c>
      <c r="D2740">
        <v>1.0091631519142501</v>
      </c>
      <c r="E2740">
        <v>1.0228635128949</v>
      </c>
      <c r="F2740">
        <v>0.84277306813757003</v>
      </c>
      <c r="G2740">
        <v>0.32431339008774401</v>
      </c>
      <c r="H2740">
        <v>7.5983567275883804E-2</v>
      </c>
      <c r="I2740">
        <v>4.2099178947724802E-2</v>
      </c>
      <c r="J2740">
        <v>4.2136943105193801E-2</v>
      </c>
      <c r="K2740">
        <v>3.6551675905784398E-2</v>
      </c>
      <c r="L2740">
        <v>1912.8719682302301</v>
      </c>
      <c r="M2740">
        <v>36.4254135381316</v>
      </c>
      <c r="N2740">
        <v>52.626661898800897</v>
      </c>
      <c r="O2740">
        <v>52.3572243647153</v>
      </c>
      <c r="P2740">
        <v>-0.16744669120293501</v>
      </c>
      <c r="Q2740">
        <v>3.7263426306967502E-2</v>
      </c>
      <c r="R2740">
        <v>0.99519814101550697</v>
      </c>
      <c r="S2740" t="s">
        <v>9142</v>
      </c>
      <c r="T2740" t="s">
        <v>12802</v>
      </c>
      <c r="U2740" t="s">
        <v>12802</v>
      </c>
      <c r="V2740" t="s">
        <v>12802</v>
      </c>
      <c r="W2740" t="s">
        <v>15495</v>
      </c>
      <c r="X2740">
        <v>14</v>
      </c>
      <c r="Y2740" t="s">
        <v>21759</v>
      </c>
      <c r="Z2740" t="s">
        <v>28058</v>
      </c>
      <c r="AA2740">
        <v>0.53934347585286591</v>
      </c>
      <c r="AB2740" t="str">
        <f>HYPERLINK("Melting_Curves/meltCurve_P51003_PAPOLA.pdf", "Melting_Curves/meltCurve_P51003_PAPOLA.pdf")</f>
        <v>Melting_Curves/meltCurve_P51003_PAPOLA.pdf</v>
      </c>
    </row>
    <row r="2741" spans="1:28" x14ac:dyDescent="0.25">
      <c r="A2741" t="s">
        <v>2745</v>
      </c>
      <c r="B2741">
        <v>0.99542014353169495</v>
      </c>
      <c r="C2741">
        <v>1.0885361716841799</v>
      </c>
      <c r="D2741">
        <v>0.99959424760258997</v>
      </c>
      <c r="E2741">
        <v>0.57307900063597605</v>
      </c>
      <c r="F2741">
        <v>0.31368872215196097</v>
      </c>
      <c r="G2741">
        <v>0.15952840494914</v>
      </c>
      <c r="H2741">
        <v>0.11722760915615101</v>
      </c>
      <c r="I2741">
        <v>6.6289172886638395E-2</v>
      </c>
      <c r="J2741">
        <v>5.9734150511346597E-2</v>
      </c>
      <c r="K2741">
        <v>3.3358351160848197E-2</v>
      </c>
      <c r="L2741">
        <v>1087.89594144683</v>
      </c>
      <c r="M2741">
        <v>22.905358592910002</v>
      </c>
      <c r="N2741">
        <v>47.816153649243098</v>
      </c>
      <c r="O2741">
        <v>47.137696069393499</v>
      </c>
      <c r="P2741">
        <v>-0.112828587813804</v>
      </c>
      <c r="Q2741">
        <v>7.1243085203329198E-2</v>
      </c>
      <c r="R2741">
        <v>0.98561016259077705</v>
      </c>
      <c r="S2741" t="s">
        <v>9143</v>
      </c>
      <c r="T2741" t="s">
        <v>12802</v>
      </c>
      <c r="U2741" t="s">
        <v>12802</v>
      </c>
      <c r="V2741" t="s">
        <v>12802</v>
      </c>
      <c r="W2741" t="s">
        <v>15496</v>
      </c>
      <c r="X2741">
        <v>9</v>
      </c>
      <c r="Y2741" t="s">
        <v>21760</v>
      </c>
      <c r="Z2741" t="s">
        <v>28059</v>
      </c>
      <c r="AA2741">
        <v>0.40550828224238689</v>
      </c>
      <c r="AB2741" t="str">
        <f>HYPERLINK("Melting_Curves/meltCurve_P51116_FXR2.pdf", "Melting_Curves/meltCurve_P51116_FXR2.pdf")</f>
        <v>Melting_Curves/meltCurve_P51116_FXR2.pdf</v>
      </c>
    </row>
    <row r="2742" spans="1:28" x14ac:dyDescent="0.25">
      <c r="A2742" t="s">
        <v>2746</v>
      </c>
      <c r="B2742">
        <v>0.99542014353169495</v>
      </c>
      <c r="C2742">
        <v>1.02134125380442</v>
      </c>
      <c r="D2742">
        <v>0.92215085075391601</v>
      </c>
      <c r="E2742">
        <v>0.911077707312412</v>
      </c>
      <c r="F2742">
        <v>0.80102011686055796</v>
      </c>
      <c r="G2742">
        <v>0.69065386443558596</v>
      </c>
      <c r="H2742">
        <v>0.55701285929090605</v>
      </c>
      <c r="I2742">
        <v>0.52677679166700797</v>
      </c>
      <c r="J2742">
        <v>0.76541718361613797</v>
      </c>
      <c r="K2742">
        <v>0.72555000488426002</v>
      </c>
      <c r="L2742">
        <v>1122.6259210917401</v>
      </c>
      <c r="M2742">
        <v>22.928829463746599</v>
      </c>
      <c r="O2742">
        <v>48.593463188257203</v>
      </c>
      <c r="P2742">
        <v>-4.1882177102294797E-2</v>
      </c>
      <c r="Q2742">
        <v>0.64496025058380402</v>
      </c>
      <c r="R2742">
        <v>0.80928033572428903</v>
      </c>
      <c r="S2742" t="s">
        <v>9144</v>
      </c>
      <c r="T2742" t="s">
        <v>12802</v>
      </c>
      <c r="U2742" t="s">
        <v>12802</v>
      </c>
      <c r="V2742" t="s">
        <v>12802</v>
      </c>
      <c r="W2742" t="s">
        <v>15497</v>
      </c>
      <c r="X2742">
        <v>11</v>
      </c>
      <c r="Y2742" t="s">
        <v>21761</v>
      </c>
      <c r="Z2742" t="s">
        <v>28060</v>
      </c>
      <c r="AA2742">
        <v>0.79014116312454896</v>
      </c>
      <c r="AB2742" t="str">
        <f>HYPERLINK("Melting_Curves/meltCurve_P51148_RAB5C.pdf", "Melting_Curves/meltCurve_P51148_RAB5C.pdf")</f>
        <v>Melting_Curves/meltCurve_P51148_RAB5C.pdf</v>
      </c>
    </row>
    <row r="2743" spans="1:28" x14ac:dyDescent="0.25">
      <c r="A2743" t="s">
        <v>2747</v>
      </c>
      <c r="B2743">
        <v>0.99542014353169495</v>
      </c>
      <c r="C2743">
        <v>0.95586813995751296</v>
      </c>
      <c r="D2743">
        <v>0.94726483867382005</v>
      </c>
      <c r="E2743">
        <v>0.89389496456672501</v>
      </c>
      <c r="F2743">
        <v>0.74319876182725797</v>
      </c>
      <c r="G2743">
        <v>0.60415786448294895</v>
      </c>
      <c r="H2743">
        <v>0.42678739983118402</v>
      </c>
      <c r="I2743">
        <v>0.37495792352125701</v>
      </c>
      <c r="J2743">
        <v>0.52425768658119098</v>
      </c>
      <c r="K2743">
        <v>0.42557386089687899</v>
      </c>
      <c r="L2743">
        <v>909.68033979912002</v>
      </c>
      <c r="M2743">
        <v>17.9486517146027</v>
      </c>
      <c r="N2743">
        <v>56.386735427933303</v>
      </c>
      <c r="O2743">
        <v>50.065806357214697</v>
      </c>
      <c r="P2743">
        <v>-5.2106837845921503E-2</v>
      </c>
      <c r="Q2743">
        <v>0.41864367644434403</v>
      </c>
      <c r="R2743">
        <v>0.96299876291855302</v>
      </c>
      <c r="S2743" t="s">
        <v>9145</v>
      </c>
      <c r="T2743" t="s">
        <v>12802</v>
      </c>
      <c r="U2743" t="s">
        <v>12802</v>
      </c>
      <c r="V2743" t="s">
        <v>12802</v>
      </c>
      <c r="W2743" t="s">
        <v>15498</v>
      </c>
      <c r="X2743">
        <v>19</v>
      </c>
      <c r="Y2743" t="s">
        <v>21762</v>
      </c>
      <c r="Z2743" t="s">
        <v>28061</v>
      </c>
      <c r="AA2743">
        <v>0.69289870261291187</v>
      </c>
      <c r="AB2743" t="str">
        <f>HYPERLINK("Melting_Curves/meltCurve_P51149_RAB7A.pdf", "Melting_Curves/meltCurve_P51149_RAB7A.pdf")</f>
        <v>Melting_Curves/meltCurve_P51149_RAB7A.pdf</v>
      </c>
    </row>
    <row r="2744" spans="1:28" x14ac:dyDescent="0.25">
      <c r="A2744" t="s">
        <v>2748</v>
      </c>
      <c r="B2744">
        <v>0.99542014353169495</v>
      </c>
      <c r="C2744">
        <v>1.0404488415590001</v>
      </c>
      <c r="D2744">
        <v>0.98568648630780098</v>
      </c>
      <c r="E2744">
        <v>0.86904225140142199</v>
      </c>
      <c r="F2744">
        <v>0.66960770788892798</v>
      </c>
      <c r="G2744">
        <v>0.52660606007051602</v>
      </c>
      <c r="H2744">
        <v>0.25891313088533102</v>
      </c>
      <c r="I2744">
        <v>0.12639369968183001</v>
      </c>
      <c r="J2744">
        <v>7.2885763282670504E-2</v>
      </c>
      <c r="K2744">
        <v>6.7901720517029696E-2</v>
      </c>
      <c r="L2744">
        <v>748.36770751685594</v>
      </c>
      <c r="M2744">
        <v>14.0256880990709</v>
      </c>
      <c r="N2744">
        <v>53.356925703567498</v>
      </c>
      <c r="O2744">
        <v>52.307390986137399</v>
      </c>
      <c r="P2744">
        <v>-6.7043732394462E-2</v>
      </c>
      <c r="Q2744">
        <v>0</v>
      </c>
      <c r="R2744">
        <v>0.99423491437512002</v>
      </c>
      <c r="S2744" t="s">
        <v>9146</v>
      </c>
      <c r="T2744" t="s">
        <v>12802</v>
      </c>
      <c r="U2744" t="s">
        <v>12802</v>
      </c>
      <c r="V2744" t="s">
        <v>12802</v>
      </c>
      <c r="W2744" t="s">
        <v>15499</v>
      </c>
      <c r="X2744">
        <v>5</v>
      </c>
      <c r="Y2744" t="s">
        <v>21763</v>
      </c>
      <c r="Z2744" t="s">
        <v>28062</v>
      </c>
      <c r="AA2744">
        <v>0.56350863402025941</v>
      </c>
      <c r="AB2744" t="str">
        <f>HYPERLINK("Melting_Curves/meltCurve_P51151_RAB9A.pdf", "Melting_Curves/meltCurve_P51151_RAB9A.pdf")</f>
        <v>Melting_Curves/meltCurve_P51151_RAB9A.pdf</v>
      </c>
    </row>
    <row r="2745" spans="1:28" x14ac:dyDescent="0.25">
      <c r="A2745" t="s">
        <v>2749</v>
      </c>
      <c r="B2745">
        <v>0.99542014353169495</v>
      </c>
      <c r="C2745">
        <v>0.96468523848026999</v>
      </c>
      <c r="D2745">
        <v>0.93583287362407896</v>
      </c>
      <c r="E2745">
        <v>0.83911646933139195</v>
      </c>
      <c r="F2745">
        <v>0.68798785539096596</v>
      </c>
      <c r="G2745">
        <v>0.51242538981834596</v>
      </c>
      <c r="H2745">
        <v>0.24157572126188301</v>
      </c>
      <c r="I2745">
        <v>0.145088649885285</v>
      </c>
      <c r="J2745">
        <v>0.12065762111197099</v>
      </c>
      <c r="K2745">
        <v>9.7293622063271301E-2</v>
      </c>
      <c r="L2745">
        <v>679.80078760594904</v>
      </c>
      <c r="M2745">
        <v>12.80212003684</v>
      </c>
      <c r="N2745">
        <v>53.199289461572398</v>
      </c>
      <c r="O2745">
        <v>51.855030887353998</v>
      </c>
      <c r="P2745">
        <v>-6.1008208791747398E-2</v>
      </c>
      <c r="Q2745">
        <v>1.17294816891256E-2</v>
      </c>
      <c r="R2745">
        <v>0.99487168051071895</v>
      </c>
      <c r="S2745" t="s">
        <v>9147</v>
      </c>
      <c r="T2745" t="s">
        <v>12802</v>
      </c>
      <c r="U2745" t="s">
        <v>12802</v>
      </c>
      <c r="V2745" t="s">
        <v>12802</v>
      </c>
      <c r="W2745" t="s">
        <v>15500</v>
      </c>
      <c r="X2745">
        <v>9</v>
      </c>
      <c r="Y2745" t="s">
        <v>21764</v>
      </c>
      <c r="Z2745" t="s">
        <v>28063</v>
      </c>
      <c r="AA2745">
        <v>0.56193143418186264</v>
      </c>
      <c r="AB2745" t="str">
        <f>HYPERLINK("Melting_Curves/meltCurve_P51153_RAB13.pdf", "Melting_Curves/meltCurve_P51153_RAB13.pdf")</f>
        <v>Melting_Curves/meltCurve_P51153_RAB13.pdf</v>
      </c>
    </row>
    <row r="2746" spans="1:28" x14ac:dyDescent="0.25">
      <c r="A2746" t="s">
        <v>2750</v>
      </c>
      <c r="B2746">
        <v>0.99542014353169495</v>
      </c>
      <c r="C2746">
        <v>1.0579084277003401</v>
      </c>
      <c r="D2746">
        <v>1.02042507275966</v>
      </c>
      <c r="E2746">
        <v>0.88983484363316501</v>
      </c>
      <c r="F2746">
        <v>0.54849000829873695</v>
      </c>
      <c r="G2746">
        <v>0.19293767306707099</v>
      </c>
      <c r="H2746">
        <v>0.116634890948163</v>
      </c>
      <c r="I2746">
        <v>6.0448131621569798E-2</v>
      </c>
      <c r="J2746">
        <v>8.8650658921392705E-2</v>
      </c>
      <c r="K2746">
        <v>7.9654515150464594E-2</v>
      </c>
      <c r="L2746">
        <v>1391.74646996865</v>
      </c>
      <c r="M2746">
        <v>27.709089420883</v>
      </c>
      <c r="N2746">
        <v>50.525063416067702</v>
      </c>
      <c r="O2746">
        <v>49.967629710691597</v>
      </c>
      <c r="P2746">
        <v>-0.12818530818368001</v>
      </c>
      <c r="Q2746">
        <v>7.5384727546298297E-2</v>
      </c>
      <c r="R2746">
        <v>0.99692018871813903</v>
      </c>
      <c r="S2746" t="s">
        <v>9148</v>
      </c>
      <c r="T2746" t="s">
        <v>12802</v>
      </c>
      <c r="U2746" t="s">
        <v>12802</v>
      </c>
      <c r="V2746" t="s">
        <v>12802</v>
      </c>
      <c r="W2746" t="s">
        <v>15501</v>
      </c>
      <c r="X2746">
        <v>5</v>
      </c>
      <c r="Y2746" t="s">
        <v>21765</v>
      </c>
      <c r="Z2746" t="s">
        <v>28064</v>
      </c>
      <c r="AA2746">
        <v>0.48970145319734271</v>
      </c>
      <c r="AB2746" t="str">
        <f>HYPERLINK("Melting_Curves/meltCurve_P51157_RAB28.pdf", "Melting_Curves/meltCurve_P51157_RAB28.pdf")</f>
        <v>Melting_Curves/meltCurve_P51157_RAB28.pdf</v>
      </c>
    </row>
    <row r="2747" spans="1:28" x14ac:dyDescent="0.25">
      <c r="A2747" t="s">
        <v>2751</v>
      </c>
      <c r="B2747">
        <v>0.99542014353169495</v>
      </c>
      <c r="C2747">
        <v>0.96967066947409297</v>
      </c>
      <c r="D2747">
        <v>0.94148875267077003</v>
      </c>
      <c r="E2747">
        <v>0.88582985791758095</v>
      </c>
      <c r="F2747">
        <v>0.714712770402116</v>
      </c>
      <c r="G2747">
        <v>0.55151379440934001</v>
      </c>
      <c r="H2747">
        <v>0.26746232535764902</v>
      </c>
      <c r="I2747">
        <v>0.120127459747338</v>
      </c>
      <c r="J2747">
        <v>7.0226366636327794E-2</v>
      </c>
      <c r="K2747">
        <v>7.7983414191063596E-2</v>
      </c>
      <c r="L2747">
        <v>772.85443882908999</v>
      </c>
      <c r="M2747">
        <v>14.3838741744178</v>
      </c>
      <c r="N2747">
        <v>53.730617331977903</v>
      </c>
      <c r="O2747">
        <v>52.724099052490303</v>
      </c>
      <c r="P2747">
        <v>-6.8211628532297994E-2</v>
      </c>
      <c r="Q2747">
        <v>0</v>
      </c>
      <c r="R2747">
        <v>0.99456035433575796</v>
      </c>
      <c r="S2747" t="s">
        <v>9149</v>
      </c>
      <c r="T2747" t="s">
        <v>12802</v>
      </c>
      <c r="U2747" t="s">
        <v>12802</v>
      </c>
      <c r="V2747" t="s">
        <v>12802</v>
      </c>
      <c r="W2747" t="s">
        <v>15502</v>
      </c>
      <c r="X2747">
        <v>12</v>
      </c>
      <c r="Y2747" t="s">
        <v>21766</v>
      </c>
      <c r="Z2747" t="s">
        <v>28065</v>
      </c>
      <c r="AA2747">
        <v>0.57489949562088627</v>
      </c>
      <c r="AB2747" t="str">
        <f>HYPERLINK("Melting_Curves/meltCurve_P51159_RAB27A.pdf", "Melting_Curves/meltCurve_P51159_RAB27A.pdf")</f>
        <v>Melting_Curves/meltCurve_P51159_RAB27A.pdf</v>
      </c>
    </row>
    <row r="2748" spans="1:28" x14ac:dyDescent="0.25">
      <c r="A2748" t="s">
        <v>2752</v>
      </c>
      <c r="B2748">
        <v>0.99542014353169495</v>
      </c>
      <c r="C2748">
        <v>0.91215222890094505</v>
      </c>
      <c r="D2748">
        <v>0.77967611550243399</v>
      </c>
      <c r="E2748">
        <v>0.62288171098377498</v>
      </c>
      <c r="F2748">
        <v>0.20931261258646</v>
      </c>
      <c r="G2748">
        <v>0.111471224789202</v>
      </c>
      <c r="H2748">
        <v>7.1921690521502005E-2</v>
      </c>
      <c r="I2748">
        <v>6.8341466832355605E-2</v>
      </c>
      <c r="J2748">
        <v>9.1404695734479693E-2</v>
      </c>
      <c r="K2748">
        <v>5.5952969728404099E-2</v>
      </c>
      <c r="L2748">
        <v>822.17134520990703</v>
      </c>
      <c r="M2748">
        <v>17.586165444147401</v>
      </c>
      <c r="N2748">
        <v>47.018163580227103</v>
      </c>
      <c r="O2748">
        <v>46.159082255660103</v>
      </c>
      <c r="P2748">
        <v>-9.0724105013902295E-2</v>
      </c>
      <c r="Q2748">
        <v>4.7543172080239102E-2</v>
      </c>
      <c r="R2748">
        <v>0.98743424712449002</v>
      </c>
      <c r="S2748" t="s">
        <v>9150</v>
      </c>
      <c r="T2748" t="s">
        <v>12802</v>
      </c>
      <c r="U2748" t="s">
        <v>12802</v>
      </c>
      <c r="V2748" t="s">
        <v>12802</v>
      </c>
      <c r="W2748" t="s">
        <v>15503</v>
      </c>
      <c r="X2748">
        <v>16</v>
      </c>
      <c r="Y2748" t="s">
        <v>21767</v>
      </c>
      <c r="Z2748" t="s">
        <v>28066</v>
      </c>
      <c r="AA2748">
        <v>0.3731355101736008</v>
      </c>
      <c r="AB2748" t="str">
        <f>HYPERLINK("Melting_Curves/meltCurve_P51178_PLCD1.pdf", "Melting_Curves/meltCurve_P51178_PLCD1.pdf")</f>
        <v>Melting_Curves/meltCurve_P51178_PLCD1.pdf</v>
      </c>
    </row>
    <row r="2749" spans="1:28" x14ac:dyDescent="0.25">
      <c r="A2749" t="s">
        <v>2753</v>
      </c>
      <c r="B2749">
        <v>0.99542014353169495</v>
      </c>
      <c r="C2749">
        <v>1.06048522597855</v>
      </c>
      <c r="D2749">
        <v>0.517511722878231</v>
      </c>
      <c r="E2749">
        <v>0.68766609497618703</v>
      </c>
      <c r="F2749">
        <v>0.42855652934531802</v>
      </c>
      <c r="G2749">
        <v>0.55914807641988695</v>
      </c>
      <c r="H2749">
        <v>0.30373119475494398</v>
      </c>
      <c r="I2749">
        <v>0.25348491548114899</v>
      </c>
      <c r="J2749">
        <v>0.387423433201038</v>
      </c>
      <c r="K2749">
        <v>1.11017434254375</v>
      </c>
      <c r="L2749">
        <v>10379.8736269849</v>
      </c>
      <c r="M2749">
        <v>250</v>
      </c>
      <c r="O2749">
        <v>41.516837788847901</v>
      </c>
      <c r="P2749">
        <v>-0.70611120377690995</v>
      </c>
      <c r="Q2749">
        <v>0.53095193448022004</v>
      </c>
      <c r="R2749">
        <v>0.42876890746160901</v>
      </c>
      <c r="S2749" t="s">
        <v>9151</v>
      </c>
      <c r="T2749" t="s">
        <v>12802</v>
      </c>
      <c r="U2749" t="s">
        <v>12802</v>
      </c>
      <c r="V2749" t="s">
        <v>12802</v>
      </c>
      <c r="W2749" t="s">
        <v>15504</v>
      </c>
      <c r="X2749">
        <v>2</v>
      </c>
      <c r="Y2749" t="s">
        <v>21768</v>
      </c>
      <c r="Z2749" t="s">
        <v>28067</v>
      </c>
      <c r="AA2749">
        <v>0.60164811737038082</v>
      </c>
      <c r="AB2749" t="str">
        <f>HYPERLINK("Melting_Curves/meltCurve_P51397_DAP.pdf", "Melting_Curves/meltCurve_P51397_DAP.pdf")</f>
        <v>Melting_Curves/meltCurve_P51397_DAP.pdf</v>
      </c>
    </row>
    <row r="2750" spans="1:28" x14ac:dyDescent="0.25">
      <c r="A2750" t="s">
        <v>2754</v>
      </c>
      <c r="B2750">
        <v>0.99542014353169495</v>
      </c>
      <c r="C2750">
        <v>0.89178797006702004</v>
      </c>
      <c r="D2750">
        <v>0.93066359387918696</v>
      </c>
      <c r="E2750">
        <v>0.71394997930444104</v>
      </c>
      <c r="F2750">
        <v>0.25063090651471498</v>
      </c>
      <c r="G2750">
        <v>6.5891764709672604E-2</v>
      </c>
      <c r="H2750">
        <v>4.0024123739033302E-2</v>
      </c>
      <c r="I2750">
        <v>2.15860377487112E-2</v>
      </c>
      <c r="J2750">
        <v>2.6130792873622299E-2</v>
      </c>
      <c r="K2750">
        <v>2.0518022127552799E-2</v>
      </c>
      <c r="L2750">
        <v>1250.6914636993499</v>
      </c>
      <c r="M2750">
        <v>26.036177104610999</v>
      </c>
      <c r="N2750">
        <v>48.108117785003202</v>
      </c>
      <c r="O2750">
        <v>47.755983409696498</v>
      </c>
      <c r="P2750">
        <v>-0.13371512585064599</v>
      </c>
      <c r="Q2750">
        <v>1.8961313301933298E-2</v>
      </c>
      <c r="R2750">
        <v>0.99285589050245904</v>
      </c>
      <c r="S2750" t="s">
        <v>9152</v>
      </c>
      <c r="T2750" t="s">
        <v>12802</v>
      </c>
      <c r="U2750" t="s">
        <v>12802</v>
      </c>
      <c r="V2750" t="s">
        <v>12802</v>
      </c>
      <c r="W2750" t="s">
        <v>15505</v>
      </c>
      <c r="X2750">
        <v>8</v>
      </c>
      <c r="Y2750" t="s">
        <v>21769</v>
      </c>
      <c r="Z2750" t="s">
        <v>28068</v>
      </c>
      <c r="AA2750">
        <v>0.38759259228623583</v>
      </c>
      <c r="AB2750" t="str">
        <f>HYPERLINK("Melting_Curves/meltCurve_P51398_2_DAP3.pdf", "Melting_Curves/meltCurve_P51398_2_DAP3.pdf")</f>
        <v>Melting_Curves/meltCurve_P51398_2_DAP3.pdf</v>
      </c>
    </row>
    <row r="2751" spans="1:28" x14ac:dyDescent="0.25">
      <c r="A2751" t="s">
        <v>2755</v>
      </c>
      <c r="B2751">
        <v>0.99542014353169495</v>
      </c>
      <c r="C2751">
        <v>0.94788412831014002</v>
      </c>
      <c r="D2751">
        <v>0.86377322395459699</v>
      </c>
      <c r="E2751">
        <v>0.88006819348677201</v>
      </c>
      <c r="F2751">
        <v>0.62128665482058998</v>
      </c>
      <c r="G2751">
        <v>0.290143225613403</v>
      </c>
      <c r="H2751">
        <v>7.7743149607081993E-2</v>
      </c>
      <c r="I2751">
        <v>4.8597797102723203E-2</v>
      </c>
      <c r="J2751">
        <v>4.0026674949758798E-2</v>
      </c>
      <c r="K2751">
        <v>3.8197806543316698E-2</v>
      </c>
      <c r="L2751">
        <v>981.50087461791202</v>
      </c>
      <c r="M2751">
        <v>19.166176738543701</v>
      </c>
      <c r="N2751">
        <v>51.2505570043649</v>
      </c>
      <c r="O2751">
        <v>50.662336255171397</v>
      </c>
      <c r="P2751">
        <v>-9.3870703904767594E-2</v>
      </c>
      <c r="Q2751">
        <v>7.5170383127243102E-3</v>
      </c>
      <c r="R2751">
        <v>0.98891455577088405</v>
      </c>
      <c r="S2751" t="s">
        <v>9153</v>
      </c>
      <c r="T2751" t="s">
        <v>12802</v>
      </c>
      <c r="U2751" t="s">
        <v>12802</v>
      </c>
      <c r="V2751" t="s">
        <v>12802</v>
      </c>
      <c r="W2751" t="s">
        <v>15506</v>
      </c>
      <c r="X2751">
        <v>6</v>
      </c>
      <c r="Y2751" t="s">
        <v>21770</v>
      </c>
      <c r="Z2751" t="s">
        <v>28069</v>
      </c>
      <c r="AA2751">
        <v>0.49151898675217692</v>
      </c>
      <c r="AB2751" t="str">
        <f>HYPERLINK("Melting_Curves/meltCurve_P51452_DUSP3.pdf", "Melting_Curves/meltCurve_P51452_DUSP3.pdf")</f>
        <v>Melting_Curves/meltCurve_P51452_DUSP3.pdf</v>
      </c>
    </row>
    <row r="2752" spans="1:28" x14ac:dyDescent="0.25">
      <c r="A2752" t="s">
        <v>2756</v>
      </c>
      <c r="B2752">
        <v>0.99542014353169495</v>
      </c>
      <c r="C2752">
        <v>0.84533355403401</v>
      </c>
      <c r="D2752">
        <v>0.80901314273415303</v>
      </c>
      <c r="E2752">
        <v>0.45881776975248501</v>
      </c>
      <c r="F2752">
        <v>0.30015769734158199</v>
      </c>
      <c r="G2752">
        <v>0.19423553735705201</v>
      </c>
      <c r="H2752">
        <v>0.13666381118072499</v>
      </c>
      <c r="I2752">
        <v>0.103721019574054</v>
      </c>
      <c r="J2752">
        <v>0.12971813287941</v>
      </c>
      <c r="K2752">
        <v>0.12329973479352099</v>
      </c>
      <c r="L2752">
        <v>693.65970623670205</v>
      </c>
      <c r="M2752">
        <v>15.169716697354801</v>
      </c>
      <c r="N2752">
        <v>46.452520069505702</v>
      </c>
      <c r="O2752">
        <v>44.954063998237402</v>
      </c>
      <c r="P2752">
        <v>-7.5467151836296306E-2</v>
      </c>
      <c r="Q2752">
        <v>0.10552654136564001</v>
      </c>
      <c r="R2752">
        <v>0.990851025047078</v>
      </c>
      <c r="S2752" t="s">
        <v>9154</v>
      </c>
      <c r="T2752" t="s">
        <v>12802</v>
      </c>
      <c r="U2752" t="s">
        <v>12802</v>
      </c>
      <c r="V2752" t="s">
        <v>12802</v>
      </c>
      <c r="W2752" t="s">
        <v>15507</v>
      </c>
      <c r="X2752">
        <v>13</v>
      </c>
      <c r="Y2752" t="s">
        <v>21771</v>
      </c>
      <c r="Z2752" t="s">
        <v>28070</v>
      </c>
      <c r="AA2752">
        <v>0.38605657427840417</v>
      </c>
      <c r="AB2752" t="str">
        <f>HYPERLINK("Melting_Curves/meltCurve_P51531_2_SMARCA2.pdf", "Melting_Curves/meltCurve_P51531_2_SMARCA2.pdf")</f>
        <v>Melting_Curves/meltCurve_P51531_2_SMARCA2.pdf</v>
      </c>
    </row>
    <row r="2753" spans="1:28" x14ac:dyDescent="0.25">
      <c r="A2753" t="s">
        <v>2757</v>
      </c>
      <c r="B2753">
        <v>0.99542014353169495</v>
      </c>
      <c r="C2753">
        <v>0.94366842022002995</v>
      </c>
      <c r="D2753">
        <v>1.04859132166312</v>
      </c>
      <c r="E2753">
        <v>0.83571976156294503</v>
      </c>
      <c r="F2753">
        <v>0.706772201914454</v>
      </c>
      <c r="G2753">
        <v>0.33974686150587402</v>
      </c>
      <c r="H2753">
        <v>0.175895332343316</v>
      </c>
      <c r="I2753">
        <v>7.4187984810799995E-2</v>
      </c>
      <c r="J2753">
        <v>4.7590495577573499E-2</v>
      </c>
      <c r="K2753">
        <v>3.9564212704842103E-2</v>
      </c>
      <c r="L2753">
        <v>956.89204554570097</v>
      </c>
      <c r="M2753">
        <v>18.398256510741099</v>
      </c>
      <c r="N2753">
        <v>52.117655340806401</v>
      </c>
      <c r="O2753">
        <v>51.4071672008455</v>
      </c>
      <c r="P2753">
        <v>-8.7807615299824004E-2</v>
      </c>
      <c r="Q2753">
        <v>1.86599684375666E-2</v>
      </c>
      <c r="R2753">
        <v>0.99164470344620304</v>
      </c>
      <c r="S2753" t="s">
        <v>9155</v>
      </c>
      <c r="T2753" t="s">
        <v>12802</v>
      </c>
      <c r="U2753" t="s">
        <v>12802</v>
      </c>
      <c r="V2753" t="s">
        <v>12802</v>
      </c>
      <c r="W2753" t="s">
        <v>15508</v>
      </c>
      <c r="X2753">
        <v>9</v>
      </c>
      <c r="Y2753" t="s">
        <v>21772</v>
      </c>
      <c r="Z2753" t="s">
        <v>28071</v>
      </c>
      <c r="AA2753">
        <v>0.52402848737635976</v>
      </c>
      <c r="AB2753" t="str">
        <f>HYPERLINK("Melting_Curves/meltCurve_P51553_IDH3G.pdf", "Melting_Curves/meltCurve_P51553_IDH3G.pdf")</f>
        <v>Melting_Curves/meltCurve_P51553_IDH3G.pdf</v>
      </c>
    </row>
    <row r="2754" spans="1:28" x14ac:dyDescent="0.25">
      <c r="A2754" t="s">
        <v>2758</v>
      </c>
      <c r="B2754">
        <v>0.99542014353169495</v>
      </c>
      <c r="C2754">
        <v>1.0151413427162299</v>
      </c>
      <c r="D2754">
        <v>0.966002199113558</v>
      </c>
      <c r="E2754">
        <v>0.88897154799058398</v>
      </c>
      <c r="F2754">
        <v>0.67089632641389096</v>
      </c>
      <c r="G2754">
        <v>0.39878450357227102</v>
      </c>
      <c r="H2754">
        <v>0.196227409184903</v>
      </c>
      <c r="I2754">
        <v>0.17479605836034701</v>
      </c>
      <c r="J2754">
        <v>0.17509290927919799</v>
      </c>
      <c r="K2754">
        <v>0.26948446926344599</v>
      </c>
      <c r="L2754">
        <v>1156.3668201104001</v>
      </c>
      <c r="M2754">
        <v>22.698414667885299</v>
      </c>
      <c r="N2754">
        <v>52.022930096834202</v>
      </c>
      <c r="O2754">
        <v>50.5543502040967</v>
      </c>
      <c r="P2754">
        <v>-9.1189307706782505E-2</v>
      </c>
      <c r="Q2754">
        <v>0.187621638689945</v>
      </c>
      <c r="R2754">
        <v>0.99011855974848095</v>
      </c>
      <c r="S2754" t="s">
        <v>9156</v>
      </c>
      <c r="T2754" t="s">
        <v>12802</v>
      </c>
      <c r="U2754" t="s">
        <v>12802</v>
      </c>
      <c r="V2754" t="s">
        <v>12802</v>
      </c>
      <c r="W2754" t="s">
        <v>15509</v>
      </c>
      <c r="X2754">
        <v>16</v>
      </c>
      <c r="Y2754" t="s">
        <v>21773</v>
      </c>
      <c r="Z2754" t="s">
        <v>28072</v>
      </c>
      <c r="AA2754">
        <v>0.57378408119950108</v>
      </c>
      <c r="AB2754" t="str">
        <f>HYPERLINK("Melting_Curves/meltCurve_P51570_GALK1.pdf", "Melting_Curves/meltCurve_P51570_GALK1.pdf")</f>
        <v>Melting_Curves/meltCurve_P51570_GALK1.pdf</v>
      </c>
    </row>
    <row r="2755" spans="1:28" x14ac:dyDescent="0.25">
      <c r="A2755" t="s">
        <v>2759</v>
      </c>
      <c r="B2755">
        <v>0.99542014353169495</v>
      </c>
      <c r="C2755">
        <v>0.860889751861591</v>
      </c>
      <c r="D2755">
        <v>0.83485503725285004</v>
      </c>
      <c r="E2755">
        <v>0.71131040748221597</v>
      </c>
      <c r="F2755">
        <v>0.62454587410641804</v>
      </c>
      <c r="G2755">
        <v>0.44995848690321899</v>
      </c>
      <c r="H2755">
        <v>0.302390565412822</v>
      </c>
      <c r="I2755">
        <v>0.12121333637827</v>
      </c>
      <c r="J2755">
        <v>5.9520977609923899E-2</v>
      </c>
      <c r="K2755">
        <v>5.8392145089570399E-2</v>
      </c>
      <c r="L2755">
        <v>508.479600842004</v>
      </c>
      <c r="M2755">
        <v>9.8610073447305595</v>
      </c>
      <c r="N2755">
        <v>51.564671044676899</v>
      </c>
      <c r="O2755">
        <v>49.578359515195203</v>
      </c>
      <c r="P2755">
        <v>-4.9749866385868702E-2</v>
      </c>
      <c r="Q2755">
        <v>0</v>
      </c>
      <c r="R2755">
        <v>0.97638999040547902</v>
      </c>
      <c r="S2755" t="s">
        <v>9157</v>
      </c>
      <c r="T2755" t="s">
        <v>12802</v>
      </c>
      <c r="U2755" t="s">
        <v>12802</v>
      </c>
      <c r="V2755" t="s">
        <v>12802</v>
      </c>
      <c r="W2755" t="s">
        <v>15510</v>
      </c>
      <c r="X2755">
        <v>7</v>
      </c>
      <c r="Y2755" t="s">
        <v>21774</v>
      </c>
      <c r="Z2755" t="s">
        <v>28073</v>
      </c>
      <c r="AA2755">
        <v>0.51409848154848503</v>
      </c>
      <c r="AB2755" t="str">
        <f>HYPERLINK("Melting_Curves/meltCurve_P51571_SSR4.pdf", "Melting_Curves/meltCurve_P51571_SSR4.pdf")</f>
        <v>Melting_Curves/meltCurve_P51571_SSR4.pdf</v>
      </c>
    </row>
    <row r="2756" spans="1:28" x14ac:dyDescent="0.25">
      <c r="A2756" t="s">
        <v>2760</v>
      </c>
      <c r="B2756">
        <v>0.99542014353169495</v>
      </c>
      <c r="C2756">
        <v>0.85004947923236496</v>
      </c>
      <c r="D2756">
        <v>0.88358257198392598</v>
      </c>
      <c r="E2756">
        <v>0.643079921083485</v>
      </c>
      <c r="F2756">
        <v>0.63013767735557202</v>
      </c>
      <c r="G2756">
        <v>0.31722711382809099</v>
      </c>
      <c r="H2756">
        <v>0.31608258647896498</v>
      </c>
      <c r="I2756">
        <v>0.24596813488502101</v>
      </c>
      <c r="J2756">
        <v>0.29397222602278</v>
      </c>
      <c r="K2756">
        <v>0.32126333139378399</v>
      </c>
      <c r="L2756">
        <v>567.16975311272199</v>
      </c>
      <c r="M2756">
        <v>11.841937539686599</v>
      </c>
      <c r="N2756">
        <v>50.687668413136997</v>
      </c>
      <c r="O2756">
        <v>46.590430375672099</v>
      </c>
      <c r="P2756">
        <v>-4.8329401971686302E-2</v>
      </c>
      <c r="Q2756">
        <v>0.239612139838391</v>
      </c>
      <c r="R2756">
        <v>0.95018492921908904</v>
      </c>
      <c r="S2756" t="s">
        <v>9158</v>
      </c>
      <c r="T2756" t="s">
        <v>12802</v>
      </c>
      <c r="U2756" t="s">
        <v>12802</v>
      </c>
      <c r="V2756" t="s">
        <v>12802</v>
      </c>
      <c r="W2756" t="s">
        <v>15511</v>
      </c>
      <c r="X2756">
        <v>24</v>
      </c>
      <c r="Y2756" t="s">
        <v>21775</v>
      </c>
      <c r="Z2756" t="s">
        <v>28074</v>
      </c>
      <c r="AA2756">
        <v>0.5401605861331803</v>
      </c>
      <c r="AB2756" t="str">
        <f>HYPERLINK("Melting_Curves/meltCurve_P51572_BCAP31.pdf", "Melting_Curves/meltCurve_P51572_BCAP31.pdf")</f>
        <v>Melting_Curves/meltCurve_P51572_BCAP31.pdf</v>
      </c>
    </row>
    <row r="2757" spans="1:28" x14ac:dyDescent="0.25">
      <c r="A2757" t="s">
        <v>2761</v>
      </c>
      <c r="B2757">
        <v>0.99542014353169495</v>
      </c>
      <c r="C2757">
        <v>1.03620377119587</v>
      </c>
      <c r="D2757">
        <v>0.99101460499522898</v>
      </c>
      <c r="E2757">
        <v>1.00651410320088</v>
      </c>
      <c r="F2757">
        <v>0.80669711216399398</v>
      </c>
      <c r="G2757">
        <v>0.59429284799484605</v>
      </c>
      <c r="H2757">
        <v>0.21634058382478799</v>
      </c>
      <c r="I2757">
        <v>7.5267789705790705E-2</v>
      </c>
      <c r="J2757">
        <v>5.0952852438586202E-2</v>
      </c>
      <c r="K2757">
        <v>6.5935893219430497E-2</v>
      </c>
      <c r="L2757">
        <v>1225.3926423237499</v>
      </c>
      <c r="M2757">
        <v>22.621771777060101</v>
      </c>
      <c r="N2757">
        <v>54.294583868541501</v>
      </c>
      <c r="O2757">
        <v>53.750759720269102</v>
      </c>
      <c r="P2757">
        <v>-0.10253057548651499</v>
      </c>
      <c r="Q2757">
        <v>2.55429657004471E-2</v>
      </c>
      <c r="R2757">
        <v>0.99481248686792201</v>
      </c>
      <c r="S2757" t="s">
        <v>9159</v>
      </c>
      <c r="T2757" t="s">
        <v>12802</v>
      </c>
      <c r="U2757" t="s">
        <v>12802</v>
      </c>
      <c r="V2757" t="s">
        <v>12802</v>
      </c>
      <c r="W2757" t="s">
        <v>15512</v>
      </c>
      <c r="X2757">
        <v>16</v>
      </c>
      <c r="Y2757" t="s">
        <v>21776</v>
      </c>
      <c r="Z2757" t="s">
        <v>28075</v>
      </c>
      <c r="AA2757">
        <v>0.59309475432356284</v>
      </c>
      <c r="AB2757" t="str">
        <f>HYPERLINK("Melting_Curves/meltCurve_P51580_TPMT.pdf", "Melting_Curves/meltCurve_P51580_TPMT.pdf")</f>
        <v>Melting_Curves/meltCurve_P51580_TPMT.pdf</v>
      </c>
    </row>
    <row r="2758" spans="1:28" x14ac:dyDescent="0.25">
      <c r="A2758" t="s">
        <v>2762</v>
      </c>
      <c r="B2758">
        <v>0.99542014353169495</v>
      </c>
      <c r="C2758">
        <v>0.99477017514976196</v>
      </c>
      <c r="D2758">
        <v>1.0048378327888801</v>
      </c>
      <c r="E2758">
        <v>0.77418994842953104</v>
      </c>
      <c r="F2758">
        <v>0.54922829155110697</v>
      </c>
      <c r="G2758">
        <v>0.29174282138844598</v>
      </c>
      <c r="H2758">
        <v>0.103305832208912</v>
      </c>
      <c r="I2758">
        <v>0.113073311109809</v>
      </c>
      <c r="J2758">
        <v>0.12952004101131501</v>
      </c>
      <c r="K2758">
        <v>0.15085519022942701</v>
      </c>
      <c r="L2758">
        <v>989.51754197387197</v>
      </c>
      <c r="M2758">
        <v>19.8551650392608</v>
      </c>
      <c r="N2758">
        <v>50.440650872732299</v>
      </c>
      <c r="O2758">
        <v>49.339501580904802</v>
      </c>
      <c r="P2758">
        <v>-8.9965705263029203E-2</v>
      </c>
      <c r="Q2758">
        <v>0.105781353264303</v>
      </c>
      <c r="R2758">
        <v>0.99234288297072004</v>
      </c>
      <c r="S2758" t="s">
        <v>9160</v>
      </c>
      <c r="T2758" t="s">
        <v>12802</v>
      </c>
      <c r="U2758" t="s">
        <v>12802</v>
      </c>
      <c r="V2758" t="s">
        <v>12802</v>
      </c>
      <c r="W2758" t="s">
        <v>15513</v>
      </c>
      <c r="X2758">
        <v>3</v>
      </c>
      <c r="Y2758" t="s">
        <v>21777</v>
      </c>
      <c r="Z2758" t="s">
        <v>28076</v>
      </c>
      <c r="AA2758">
        <v>0.50034309127139787</v>
      </c>
      <c r="AB2758" t="str">
        <f>HYPERLINK("Melting_Curves/meltCurve_P51608_MECP2.pdf", "Melting_Curves/meltCurve_P51608_MECP2.pdf")</f>
        <v>Melting_Curves/meltCurve_P51608_MECP2.pdf</v>
      </c>
    </row>
    <row r="2759" spans="1:28" x14ac:dyDescent="0.25">
      <c r="A2759" t="s">
        <v>2763</v>
      </c>
      <c r="B2759">
        <v>0.99542014353169495</v>
      </c>
      <c r="C2759">
        <v>1.3804726866202901</v>
      </c>
      <c r="D2759">
        <v>1.6703679756810099</v>
      </c>
      <c r="E2759">
        <v>1.1369493137741</v>
      </c>
      <c r="F2759">
        <v>0.727323424869049</v>
      </c>
      <c r="G2759">
        <v>0.16081648445771099</v>
      </c>
      <c r="H2759">
        <v>0.380285575147017</v>
      </c>
      <c r="I2759">
        <v>0.104247169045495</v>
      </c>
      <c r="J2759">
        <v>0.17212526923818899</v>
      </c>
      <c r="K2759">
        <v>0</v>
      </c>
      <c r="L2759">
        <v>12586.468483525199</v>
      </c>
      <c r="M2759">
        <v>250</v>
      </c>
      <c r="N2759">
        <v>50.425759230486698</v>
      </c>
      <c r="O2759">
        <v>50.3426612406247</v>
      </c>
      <c r="P2759">
        <v>-1.03851441339297</v>
      </c>
      <c r="Q2759">
        <v>0.163494882991566</v>
      </c>
      <c r="R2759">
        <v>0.78380469784172402</v>
      </c>
      <c r="S2759" t="s">
        <v>9161</v>
      </c>
      <c r="T2759" t="s">
        <v>12802</v>
      </c>
      <c r="U2759" t="s">
        <v>12802</v>
      </c>
      <c r="V2759" t="s">
        <v>12802</v>
      </c>
      <c r="W2759" t="s">
        <v>15514</v>
      </c>
      <c r="X2759">
        <v>38</v>
      </c>
      <c r="Y2759" t="s">
        <v>19156</v>
      </c>
      <c r="Z2759" t="s">
        <v>28077</v>
      </c>
      <c r="AA2759">
        <v>0.53569852132022477</v>
      </c>
      <c r="AB2759" t="str">
        <f>HYPERLINK("Melting_Curves/meltCurve_P51610_2_HCFC1.pdf", "Melting_Curves/meltCurve_P51610_2_HCFC1.pdf")</f>
        <v>Melting_Curves/meltCurve_P51610_2_HCFC1.pdf</v>
      </c>
    </row>
    <row r="2760" spans="1:28" x14ac:dyDescent="0.25">
      <c r="A2760" t="s">
        <v>2764</v>
      </c>
      <c r="B2760">
        <v>0.99542014353169495</v>
      </c>
      <c r="C2760">
        <v>0.93781602919087004</v>
      </c>
      <c r="D2760">
        <v>0.97064846788938297</v>
      </c>
      <c r="E2760">
        <v>0.78318796891627196</v>
      </c>
      <c r="F2760">
        <v>0.56367367831308202</v>
      </c>
      <c r="G2760">
        <v>0.275606354597348</v>
      </c>
      <c r="H2760">
        <v>0.11211474277861699</v>
      </c>
      <c r="I2760">
        <v>6.5033137163981805E-2</v>
      </c>
      <c r="J2760">
        <v>6.6616278482323696E-2</v>
      </c>
      <c r="K2760">
        <v>8.3534329538763302E-2</v>
      </c>
      <c r="L2760">
        <v>882.39711719292598</v>
      </c>
      <c r="M2760">
        <v>17.521666059326598</v>
      </c>
      <c r="N2760">
        <v>50.603755909698798</v>
      </c>
      <c r="O2760">
        <v>49.718090034461497</v>
      </c>
      <c r="P2760">
        <v>-8.4549146745061504E-2</v>
      </c>
      <c r="Q2760">
        <v>4.0412601136895002E-2</v>
      </c>
      <c r="R2760">
        <v>0.99536592855498096</v>
      </c>
      <c r="S2760" t="s">
        <v>9162</v>
      </c>
      <c r="T2760" t="s">
        <v>12802</v>
      </c>
      <c r="U2760" t="s">
        <v>12802</v>
      </c>
      <c r="V2760" t="s">
        <v>12802</v>
      </c>
      <c r="W2760" t="s">
        <v>15515</v>
      </c>
      <c r="X2760">
        <v>29</v>
      </c>
      <c r="Y2760" t="s">
        <v>21778</v>
      </c>
      <c r="Z2760" t="s">
        <v>28078</v>
      </c>
      <c r="AA2760">
        <v>0.48346850764242799</v>
      </c>
      <c r="AB2760" t="str">
        <f>HYPERLINK("Melting_Curves/meltCurve_P51659_HSD17B4.pdf", "Melting_Curves/meltCurve_P51659_HSD17B4.pdf")</f>
        <v>Melting_Curves/meltCurve_P51659_HSD17B4.pdf</v>
      </c>
    </row>
    <row r="2761" spans="1:28" x14ac:dyDescent="0.25">
      <c r="A2761" t="s">
        <v>2765</v>
      </c>
      <c r="B2761">
        <v>0.99542014353169495</v>
      </c>
      <c r="C2761">
        <v>0.92812331987171504</v>
      </c>
      <c r="D2761">
        <v>0.95557738687018701</v>
      </c>
      <c r="E2761">
        <v>0.72068381748854604</v>
      </c>
      <c r="F2761">
        <v>0.38769148462328401</v>
      </c>
      <c r="G2761">
        <v>0.20905702624282799</v>
      </c>
      <c r="H2761">
        <v>0.107475944595916</v>
      </c>
      <c r="I2761">
        <v>5.4042534446149398E-2</v>
      </c>
      <c r="J2761">
        <v>4.7757548541831701E-2</v>
      </c>
      <c r="K2761">
        <v>5.0838301631861801E-2</v>
      </c>
      <c r="L2761">
        <v>890.93845484590304</v>
      </c>
      <c r="M2761">
        <v>18.239151361806901</v>
      </c>
      <c r="N2761">
        <v>49.076055313912001</v>
      </c>
      <c r="O2761">
        <v>48.271728599270801</v>
      </c>
      <c r="P2761">
        <v>-9.0620179474385207E-2</v>
      </c>
      <c r="Q2761">
        <v>4.0703379590415201E-2</v>
      </c>
      <c r="R2761">
        <v>0.99678813969409896</v>
      </c>
      <c r="S2761" t="s">
        <v>9163</v>
      </c>
      <c r="T2761" t="s">
        <v>12802</v>
      </c>
      <c r="U2761" t="s">
        <v>12802</v>
      </c>
      <c r="V2761" t="s">
        <v>12802</v>
      </c>
      <c r="W2761" t="s">
        <v>15516</v>
      </c>
      <c r="X2761">
        <v>10</v>
      </c>
      <c r="Y2761" t="s">
        <v>21779</v>
      </c>
      <c r="Z2761" t="s">
        <v>28079</v>
      </c>
      <c r="AA2761">
        <v>0.43446469389555781</v>
      </c>
      <c r="AB2761" t="str">
        <f>HYPERLINK("Melting_Curves/meltCurve_P51665_PSMD7.pdf", "Melting_Curves/meltCurve_P51665_PSMD7.pdf")</f>
        <v>Melting_Curves/meltCurve_P51665_PSMD7.pdf</v>
      </c>
    </row>
    <row r="2762" spans="1:28" x14ac:dyDescent="0.25">
      <c r="A2762" t="s">
        <v>2766</v>
      </c>
      <c r="B2762">
        <v>0.99542014353169495</v>
      </c>
      <c r="C2762">
        <v>1.10479488905571</v>
      </c>
      <c r="D2762">
        <v>0.94094267747530902</v>
      </c>
      <c r="E2762">
        <v>0.71985430385072202</v>
      </c>
      <c r="F2762">
        <v>0.354991582879498</v>
      </c>
      <c r="G2762">
        <v>0.31575530434800703</v>
      </c>
      <c r="H2762">
        <v>0.18451691474995199</v>
      </c>
      <c r="I2762">
        <v>0.133933860037143</v>
      </c>
      <c r="J2762">
        <v>0.21572201369369101</v>
      </c>
      <c r="K2762">
        <v>0.23265266587189401</v>
      </c>
      <c r="L2762">
        <v>1201.4879034350699</v>
      </c>
      <c r="M2762">
        <v>25.1853127517711</v>
      </c>
      <c r="N2762">
        <v>48.696909726680403</v>
      </c>
      <c r="O2762">
        <v>47.408186435386298</v>
      </c>
      <c r="P2762">
        <v>-0.10618212221485</v>
      </c>
      <c r="Q2762">
        <v>0.200512563448762</v>
      </c>
      <c r="R2762">
        <v>0.98073358941449096</v>
      </c>
      <c r="S2762" t="s">
        <v>9164</v>
      </c>
      <c r="T2762" t="s">
        <v>12802</v>
      </c>
      <c r="U2762" t="s">
        <v>12802</v>
      </c>
      <c r="V2762" t="s">
        <v>12802</v>
      </c>
      <c r="W2762" t="s">
        <v>15517</v>
      </c>
      <c r="X2762">
        <v>3</v>
      </c>
      <c r="Y2762" t="s">
        <v>21780</v>
      </c>
      <c r="Z2762" t="s">
        <v>28080</v>
      </c>
      <c r="AA2762">
        <v>0.49250511092007693</v>
      </c>
      <c r="AB2762" t="str">
        <f>HYPERLINK("Melting_Curves/meltCurve_P51687_SUOX.pdf", "Melting_Curves/meltCurve_P51687_SUOX.pdf")</f>
        <v>Melting_Curves/meltCurve_P51687_SUOX.pdf</v>
      </c>
    </row>
    <row r="2763" spans="1:28" x14ac:dyDescent="0.25">
      <c r="A2763" t="s">
        <v>2767</v>
      </c>
      <c r="B2763">
        <v>0.99542014353169495</v>
      </c>
      <c r="C2763">
        <v>1.0305382114130299</v>
      </c>
      <c r="D2763">
        <v>0.98386687333309997</v>
      </c>
      <c r="E2763">
        <v>0.58931467148963801</v>
      </c>
      <c r="F2763">
        <v>0.22308717621906901</v>
      </c>
      <c r="G2763">
        <v>0.14257829897795099</v>
      </c>
      <c r="H2763">
        <v>7.02197763070362E-2</v>
      </c>
      <c r="I2763">
        <v>3.0085014323291501E-2</v>
      </c>
      <c r="J2763">
        <v>1.93259288741407E-2</v>
      </c>
      <c r="K2763">
        <v>2.3031278653103799E-2</v>
      </c>
      <c r="L2763">
        <v>1215.21147219107</v>
      </c>
      <c r="M2763">
        <v>25.6819655097182</v>
      </c>
      <c r="N2763">
        <v>47.488399359002898</v>
      </c>
      <c r="O2763">
        <v>47.0336076124998</v>
      </c>
      <c r="P2763">
        <v>-0.13049131073915499</v>
      </c>
      <c r="Q2763">
        <v>4.4091535681365798E-2</v>
      </c>
      <c r="R2763">
        <v>0.99446054896744196</v>
      </c>
      <c r="S2763" t="s">
        <v>9165</v>
      </c>
      <c r="T2763" t="s">
        <v>12802</v>
      </c>
      <c r="U2763" t="s">
        <v>12802</v>
      </c>
      <c r="V2763" t="s">
        <v>12802</v>
      </c>
      <c r="W2763" t="s">
        <v>15518</v>
      </c>
      <c r="X2763">
        <v>31</v>
      </c>
      <c r="Y2763" t="s">
        <v>21781</v>
      </c>
      <c r="Z2763" t="s">
        <v>28081</v>
      </c>
      <c r="AA2763">
        <v>0.38049249924412998</v>
      </c>
      <c r="AB2763" t="str">
        <f>HYPERLINK("Melting_Curves/meltCurve_P51692_STAT5B.pdf", "Melting_Curves/meltCurve_P51692_STAT5B.pdf")</f>
        <v>Melting_Curves/meltCurve_P51692_STAT5B.pdf</v>
      </c>
    </row>
    <row r="2764" spans="1:28" x14ac:dyDescent="0.25">
      <c r="A2764" t="s">
        <v>2768</v>
      </c>
      <c r="B2764">
        <v>0.99542014353169495</v>
      </c>
      <c r="C2764">
        <v>0.91554000611975295</v>
      </c>
      <c r="D2764">
        <v>0.93927528082619005</v>
      </c>
      <c r="E2764">
        <v>0.74904987522421895</v>
      </c>
      <c r="F2764">
        <v>0.69738991528366601</v>
      </c>
      <c r="G2764">
        <v>0.41914026358259199</v>
      </c>
      <c r="H2764">
        <v>0.27689331089907199</v>
      </c>
      <c r="I2764">
        <v>0.12604821078867701</v>
      </c>
      <c r="J2764">
        <v>8.8425139956425106E-2</v>
      </c>
      <c r="K2764">
        <v>8.5436720006600506E-2</v>
      </c>
      <c r="L2764">
        <v>611.23353300021097</v>
      </c>
      <c r="M2764">
        <v>11.6555137014984</v>
      </c>
      <c r="N2764">
        <v>52.441578178725202</v>
      </c>
      <c r="O2764">
        <v>50.969220795741798</v>
      </c>
      <c r="P2764">
        <v>-5.71848000191158E-2</v>
      </c>
      <c r="Q2764">
        <v>0</v>
      </c>
      <c r="R2764">
        <v>0.98829533186987595</v>
      </c>
      <c r="S2764" t="s">
        <v>9166</v>
      </c>
      <c r="T2764" t="s">
        <v>12802</v>
      </c>
      <c r="U2764" t="s">
        <v>12802</v>
      </c>
      <c r="V2764" t="s">
        <v>12802</v>
      </c>
      <c r="W2764" t="s">
        <v>15519</v>
      </c>
      <c r="X2764">
        <v>7</v>
      </c>
      <c r="Y2764" t="s">
        <v>21782</v>
      </c>
      <c r="Z2764" t="s">
        <v>28082</v>
      </c>
      <c r="AA2764">
        <v>0.53778009500452517</v>
      </c>
      <c r="AB2764" t="str">
        <f>HYPERLINK("Melting_Curves/meltCurve_P51790_4_CLCN3.pdf", "Melting_Curves/meltCurve_P51790_4_CLCN3.pdf")</f>
        <v>Melting_Curves/meltCurve_P51790_4_CLCN3.pdf</v>
      </c>
    </row>
    <row r="2765" spans="1:28" x14ac:dyDescent="0.25">
      <c r="A2765" t="s">
        <v>2769</v>
      </c>
      <c r="B2765">
        <v>0.99542014353169495</v>
      </c>
      <c r="C2765">
        <v>0.85589972547670501</v>
      </c>
      <c r="D2765">
        <v>0.954157108206798</v>
      </c>
      <c r="E2765">
        <v>0.62088669997080903</v>
      </c>
      <c r="F2765">
        <v>0.44914200417023897</v>
      </c>
      <c r="G2765">
        <v>0.20546291345371201</v>
      </c>
      <c r="H2765">
        <v>0.15248292761967799</v>
      </c>
      <c r="I2765">
        <v>0.104595383564291</v>
      </c>
      <c r="J2765">
        <v>8.7459495834687803E-2</v>
      </c>
      <c r="K2765">
        <v>6.8384578550959599E-2</v>
      </c>
      <c r="L2765">
        <v>703.492914864059</v>
      </c>
      <c r="M2765">
        <v>14.5052637719039</v>
      </c>
      <c r="N2765">
        <v>48.891532793784698</v>
      </c>
      <c r="O2765">
        <v>47.605309652769897</v>
      </c>
      <c r="P2765">
        <v>-7.1997368487910496E-2</v>
      </c>
      <c r="Q2765">
        <v>5.4946601768027202E-2</v>
      </c>
      <c r="R2765">
        <v>0.98307117259732402</v>
      </c>
      <c r="S2765" t="s">
        <v>9167</v>
      </c>
      <c r="T2765" t="s">
        <v>12802</v>
      </c>
      <c r="U2765" t="s">
        <v>12802</v>
      </c>
      <c r="V2765" t="s">
        <v>12802</v>
      </c>
      <c r="W2765" t="s">
        <v>15520</v>
      </c>
      <c r="X2765">
        <v>3</v>
      </c>
      <c r="Y2765" t="s">
        <v>21783</v>
      </c>
      <c r="Z2765" t="s">
        <v>28083</v>
      </c>
      <c r="AA2765">
        <v>0.43891273080383197</v>
      </c>
      <c r="AB2765" t="str">
        <f>HYPERLINK("Melting_Curves/meltCurve_P51795_CLCN5.pdf", "Melting_Curves/meltCurve_P51795_CLCN5.pdf")</f>
        <v>Melting_Curves/meltCurve_P51795_CLCN5.pdf</v>
      </c>
    </row>
    <row r="2766" spans="1:28" x14ac:dyDescent="0.25">
      <c r="A2766" t="s">
        <v>2770</v>
      </c>
      <c r="B2766">
        <v>0.99542014353169495</v>
      </c>
      <c r="C2766">
        <v>0.92304512831566499</v>
      </c>
      <c r="D2766">
        <v>1.00596846835932</v>
      </c>
      <c r="E2766">
        <v>0.712127031438201</v>
      </c>
      <c r="F2766">
        <v>0.59198517190170297</v>
      </c>
      <c r="G2766">
        <v>0.24542253030654301</v>
      </c>
      <c r="H2766">
        <v>0.15619753188077501</v>
      </c>
      <c r="I2766">
        <v>0.11068828499854599</v>
      </c>
      <c r="J2766">
        <v>0.13589234400189401</v>
      </c>
      <c r="K2766">
        <v>0.12810002017493399</v>
      </c>
      <c r="L2766">
        <v>864.13087826875994</v>
      </c>
      <c r="M2766">
        <v>17.368727645717801</v>
      </c>
      <c r="N2766">
        <v>50.3668888170209</v>
      </c>
      <c r="O2766">
        <v>49.106645497244202</v>
      </c>
      <c r="P2766">
        <v>-7.9981975491712695E-2</v>
      </c>
      <c r="Q2766">
        <v>9.55184419759353E-2</v>
      </c>
      <c r="R2766">
        <v>0.98249667175708599</v>
      </c>
      <c r="S2766" t="s">
        <v>9168</v>
      </c>
      <c r="T2766" t="s">
        <v>12802</v>
      </c>
      <c r="U2766" t="s">
        <v>12802</v>
      </c>
      <c r="V2766" t="s">
        <v>12802</v>
      </c>
      <c r="W2766" t="s">
        <v>15521</v>
      </c>
      <c r="X2766">
        <v>7</v>
      </c>
      <c r="Y2766" t="s">
        <v>21784</v>
      </c>
      <c r="Z2766" t="s">
        <v>28084</v>
      </c>
      <c r="AA2766">
        <v>0.495146268631589</v>
      </c>
      <c r="AB2766" t="str">
        <f>HYPERLINK("Melting_Curves/meltCurve_P51798_2_CLCN7.pdf", "Melting_Curves/meltCurve_P51798_2_CLCN7.pdf")</f>
        <v>Melting_Curves/meltCurve_P51798_2_CLCN7.pdf</v>
      </c>
    </row>
    <row r="2767" spans="1:28" x14ac:dyDescent="0.25">
      <c r="A2767" t="s">
        <v>2771</v>
      </c>
      <c r="B2767">
        <v>0.99542014353169495</v>
      </c>
      <c r="C2767">
        <v>0.98744010949986105</v>
      </c>
      <c r="D2767">
        <v>0.89033500824617895</v>
      </c>
      <c r="E2767">
        <v>0.79085599301776799</v>
      </c>
      <c r="F2767">
        <v>0.63970208638541903</v>
      </c>
      <c r="G2767">
        <v>0.379009368382203</v>
      </c>
      <c r="H2767">
        <v>0.14028195103216501</v>
      </c>
      <c r="I2767">
        <v>7.1069531428165897E-2</v>
      </c>
      <c r="J2767">
        <v>6.9498640994697505E-2</v>
      </c>
      <c r="K2767">
        <v>7.7022281780652693E-2</v>
      </c>
      <c r="L2767">
        <v>723.52703727146104</v>
      </c>
      <c r="M2767">
        <v>14.032528912298901</v>
      </c>
      <c r="N2767">
        <v>51.560701747558902</v>
      </c>
      <c r="O2767">
        <v>50.547447963556799</v>
      </c>
      <c r="P2767">
        <v>-6.94118578608591E-2</v>
      </c>
      <c r="Q2767">
        <v>0</v>
      </c>
      <c r="R2767">
        <v>0.99208005780418296</v>
      </c>
      <c r="S2767" t="s">
        <v>9169</v>
      </c>
      <c r="T2767" t="s">
        <v>12802</v>
      </c>
      <c r="U2767" t="s">
        <v>12802</v>
      </c>
      <c r="V2767" t="s">
        <v>12802</v>
      </c>
      <c r="W2767" t="s">
        <v>15522</v>
      </c>
      <c r="X2767">
        <v>11</v>
      </c>
      <c r="Y2767" t="s">
        <v>21785</v>
      </c>
      <c r="Z2767" t="s">
        <v>28085</v>
      </c>
      <c r="AA2767">
        <v>0.50655763702052214</v>
      </c>
      <c r="AB2767" t="str">
        <f>HYPERLINK("Melting_Curves/meltCurve_P51809_VAMP7.pdf", "Melting_Curves/meltCurve_P51809_VAMP7.pdf")</f>
        <v>Melting_Curves/meltCurve_P51809_VAMP7.pdf</v>
      </c>
    </row>
    <row r="2768" spans="1:28" x14ac:dyDescent="0.25">
      <c r="A2768" t="s">
        <v>2772</v>
      </c>
      <c r="B2768">
        <v>0.99542014353169495</v>
      </c>
      <c r="C2768">
        <v>0.89829499155217196</v>
      </c>
      <c r="D2768">
        <v>1.1133306463044801</v>
      </c>
      <c r="E2768">
        <v>0.82093920006380705</v>
      </c>
      <c r="F2768">
        <v>0.89988831724484897</v>
      </c>
      <c r="G2768">
        <v>0.44714857686850301</v>
      </c>
      <c r="H2768">
        <v>0.35258022835445801</v>
      </c>
      <c r="I2768">
        <v>0.227026215288327</v>
      </c>
      <c r="J2768">
        <v>0.23847127465686099</v>
      </c>
      <c r="K2768">
        <v>0.201823581690002</v>
      </c>
      <c r="L2768">
        <v>1321.7958790620601</v>
      </c>
      <c r="M2768">
        <v>25.1135213703548</v>
      </c>
      <c r="N2768">
        <v>53.854189048985702</v>
      </c>
      <c r="O2768">
        <v>52.302528858023202</v>
      </c>
      <c r="P2768">
        <v>-9.3979669703641897E-2</v>
      </c>
      <c r="Q2768">
        <v>0.21710575447139299</v>
      </c>
      <c r="R2768">
        <v>0.94910764289830296</v>
      </c>
      <c r="S2768" t="s">
        <v>9170</v>
      </c>
      <c r="T2768" t="s">
        <v>12802</v>
      </c>
      <c r="U2768" t="s">
        <v>12802</v>
      </c>
      <c r="V2768" t="s">
        <v>12802</v>
      </c>
      <c r="W2768" t="s">
        <v>15523</v>
      </c>
      <c r="X2768">
        <v>1</v>
      </c>
      <c r="Y2768" t="s">
        <v>21786</v>
      </c>
      <c r="Z2768" t="s">
        <v>28086</v>
      </c>
      <c r="AA2768">
        <v>0.63194418699528609</v>
      </c>
      <c r="AB2768" t="str">
        <f>HYPERLINK("Melting_Curves/meltCurve_P51811_XK.pdf", "Melting_Curves/meltCurve_P51811_XK.pdf")</f>
        <v>Melting_Curves/meltCurve_P51811_XK.pdf</v>
      </c>
    </row>
    <row r="2769" spans="1:28" x14ac:dyDescent="0.25">
      <c r="A2769" t="s">
        <v>2773</v>
      </c>
      <c r="B2769">
        <v>0.99542014353169495</v>
      </c>
      <c r="C2769">
        <v>0.97613518751066497</v>
      </c>
      <c r="D2769">
        <v>0.95485189851321095</v>
      </c>
      <c r="E2769">
        <v>0.754861866808476</v>
      </c>
      <c r="F2769">
        <v>0.268109259937166</v>
      </c>
      <c r="G2769">
        <v>9.3412052276931806E-2</v>
      </c>
      <c r="H2769">
        <v>6.0934140526927201E-2</v>
      </c>
      <c r="I2769">
        <v>4.4738923595250703E-2</v>
      </c>
      <c r="J2769">
        <v>4.4887049098131501E-2</v>
      </c>
      <c r="K2769">
        <v>4.3331308873482001E-2</v>
      </c>
      <c r="L2769">
        <v>1413.11913298541</v>
      </c>
      <c r="M2769">
        <v>29.3036298997601</v>
      </c>
      <c r="N2769">
        <v>48.381423605334597</v>
      </c>
      <c r="O2769">
        <v>48.000443047607298</v>
      </c>
      <c r="P2769">
        <v>-0.14565477480630701</v>
      </c>
      <c r="Q2769">
        <v>4.5654932262121001E-2</v>
      </c>
      <c r="R2769">
        <v>0.99940665790493599</v>
      </c>
      <c r="S2769" t="s">
        <v>9171</v>
      </c>
      <c r="T2769" t="s">
        <v>12802</v>
      </c>
      <c r="U2769" t="s">
        <v>12802</v>
      </c>
      <c r="V2769" t="s">
        <v>12802</v>
      </c>
      <c r="W2769" t="s">
        <v>15524</v>
      </c>
      <c r="X2769">
        <v>29</v>
      </c>
      <c r="Y2769" t="s">
        <v>21787</v>
      </c>
      <c r="Z2769" t="s">
        <v>28087</v>
      </c>
      <c r="AA2769">
        <v>0.40863560708116953</v>
      </c>
      <c r="AB2769" t="str">
        <f>HYPERLINK("Melting_Curves/meltCurve_P51812_RPS6KA3.pdf", "Melting_Curves/meltCurve_P51812_RPS6KA3.pdf")</f>
        <v>Melting_Curves/meltCurve_P51812_RPS6KA3.pdf</v>
      </c>
    </row>
    <row r="2770" spans="1:28" x14ac:dyDescent="0.25">
      <c r="A2770" t="s">
        <v>2774</v>
      </c>
      <c r="B2770">
        <v>0.99542014353169495</v>
      </c>
      <c r="C2770">
        <v>0.92127905856261605</v>
      </c>
      <c r="D2770">
        <v>0.655916598733573</v>
      </c>
      <c r="E2770">
        <v>0.43761325103237098</v>
      </c>
      <c r="F2770">
        <v>0.109837106821473</v>
      </c>
      <c r="G2770">
        <v>7.9580115558669798E-2</v>
      </c>
      <c r="H2770">
        <v>4.1419183369995401E-2</v>
      </c>
      <c r="I2770">
        <v>3.4365173568333997E-2</v>
      </c>
      <c r="J2770">
        <v>5.4115832199928597E-2</v>
      </c>
      <c r="K2770">
        <v>4.53059412922594E-2</v>
      </c>
      <c r="L2770">
        <v>787.59434940992196</v>
      </c>
      <c r="M2770">
        <v>17.503715022106501</v>
      </c>
      <c r="N2770">
        <v>45.150281348422602</v>
      </c>
      <c r="O2770">
        <v>44.420858624300401</v>
      </c>
      <c r="P2770">
        <v>-9.5653168491726795E-2</v>
      </c>
      <c r="Q2770">
        <v>2.9060559285323299E-2</v>
      </c>
      <c r="R2770">
        <v>0.99216934019051195</v>
      </c>
      <c r="S2770" t="s">
        <v>9172</v>
      </c>
      <c r="T2770" t="s">
        <v>12802</v>
      </c>
      <c r="U2770" t="s">
        <v>12802</v>
      </c>
      <c r="V2770" t="s">
        <v>12802</v>
      </c>
      <c r="W2770" t="s">
        <v>15525</v>
      </c>
      <c r="X2770">
        <v>2</v>
      </c>
      <c r="Y2770" t="s">
        <v>21788</v>
      </c>
      <c r="Z2770" t="s">
        <v>28088</v>
      </c>
      <c r="AA2770">
        <v>0.30470894962653727</v>
      </c>
      <c r="AB2770" t="str">
        <f>HYPERLINK("Melting_Curves/meltCurve_P51857_2_AKR1D1.pdf", "Melting_Curves/meltCurve_P51857_2_AKR1D1.pdf")</f>
        <v>Melting_Curves/meltCurve_P51857_2_AKR1D1.pdf</v>
      </c>
    </row>
    <row r="2771" spans="1:28" x14ac:dyDescent="0.25">
      <c r="A2771" t="s">
        <v>2775</v>
      </c>
      <c r="B2771">
        <v>0.99542014353169495</v>
      </c>
      <c r="C2771">
        <v>1.0580904927921799</v>
      </c>
      <c r="D2771">
        <v>1.05802769292629</v>
      </c>
      <c r="E2771">
        <v>1.0642282288807201</v>
      </c>
      <c r="F2771">
        <v>0.74127954044410505</v>
      </c>
      <c r="G2771">
        <v>0.41078155793385701</v>
      </c>
      <c r="H2771">
        <v>0.22154169792473</v>
      </c>
      <c r="I2771">
        <v>0.166290650476384</v>
      </c>
      <c r="J2771">
        <v>0.25657030708471201</v>
      </c>
      <c r="K2771">
        <v>0.31560233325785803</v>
      </c>
      <c r="L2771">
        <v>1785.4511219255601</v>
      </c>
      <c r="M2771">
        <v>34.724543769137597</v>
      </c>
      <c r="N2771">
        <v>52.4050056007436</v>
      </c>
      <c r="O2771">
        <v>51.247922779225597</v>
      </c>
      <c r="P2771">
        <v>-0.12872399724289599</v>
      </c>
      <c r="Q2771">
        <v>0.240097888897922</v>
      </c>
      <c r="R2771">
        <v>0.97840748921209097</v>
      </c>
      <c r="S2771" t="s">
        <v>9173</v>
      </c>
      <c r="T2771" t="s">
        <v>12802</v>
      </c>
      <c r="U2771" t="s">
        <v>12802</v>
      </c>
      <c r="V2771" t="s">
        <v>12802</v>
      </c>
      <c r="W2771" t="s">
        <v>15526</v>
      </c>
      <c r="X2771">
        <v>26</v>
      </c>
      <c r="Y2771" t="s">
        <v>21789</v>
      </c>
      <c r="Z2771" t="s">
        <v>28089</v>
      </c>
      <c r="AA2771">
        <v>0.60886940493716868</v>
      </c>
      <c r="AB2771" t="str">
        <f>HYPERLINK("Melting_Curves/meltCurve_P51858_HDGF.pdf", "Melting_Curves/meltCurve_P51858_HDGF.pdf")</f>
        <v>Melting_Curves/meltCurve_P51858_HDGF.pdf</v>
      </c>
    </row>
    <row r="2772" spans="1:28" x14ac:dyDescent="0.25">
      <c r="A2772" t="s">
        <v>2776</v>
      </c>
      <c r="B2772">
        <v>0.99542014353169495</v>
      </c>
      <c r="C2772">
        <v>1.03387615845388</v>
      </c>
      <c r="D2772">
        <v>1.0129860534348301</v>
      </c>
      <c r="E2772">
        <v>0.95034575797702103</v>
      </c>
      <c r="F2772">
        <v>0.87497221687002003</v>
      </c>
      <c r="G2772">
        <v>0.60270272152365501</v>
      </c>
      <c r="H2772">
        <v>0.25597527195164399</v>
      </c>
      <c r="I2772">
        <v>0.111426343413246</v>
      </c>
      <c r="J2772">
        <v>0.12695424175751999</v>
      </c>
      <c r="K2772">
        <v>0.14267905349799301</v>
      </c>
      <c r="L2772">
        <v>1425.7602297711801</v>
      </c>
      <c r="M2772">
        <v>26.376893069711201</v>
      </c>
      <c r="N2772">
        <v>54.550873628966798</v>
      </c>
      <c r="O2772">
        <v>53.745558922559802</v>
      </c>
      <c r="P2772">
        <v>-0.10957822311752601</v>
      </c>
      <c r="Q2772">
        <v>0.106903344360986</v>
      </c>
      <c r="R2772">
        <v>0.99595860663065106</v>
      </c>
      <c r="S2772" t="s">
        <v>9174</v>
      </c>
      <c r="T2772" t="s">
        <v>12802</v>
      </c>
      <c r="U2772" t="s">
        <v>12802</v>
      </c>
      <c r="V2772" t="s">
        <v>12802</v>
      </c>
      <c r="W2772" t="s">
        <v>15527</v>
      </c>
      <c r="X2772">
        <v>11</v>
      </c>
      <c r="Y2772" t="s">
        <v>21790</v>
      </c>
      <c r="Z2772" t="s">
        <v>28090</v>
      </c>
      <c r="AA2772">
        <v>0.62171354265437817</v>
      </c>
      <c r="AB2772" t="str">
        <f>HYPERLINK("Melting_Curves/meltCurve_P51948_MNAT1.pdf", "Melting_Curves/meltCurve_P51948_MNAT1.pdf")</f>
        <v>Melting_Curves/meltCurve_P51948_MNAT1.pdf</v>
      </c>
    </row>
    <row r="2773" spans="1:28" x14ac:dyDescent="0.25">
      <c r="A2773" t="s">
        <v>2777</v>
      </c>
      <c r="B2773">
        <v>0.99542014353169495</v>
      </c>
      <c r="C2773">
        <v>0.983501480525653</v>
      </c>
      <c r="D2773">
        <v>0.88646780176414397</v>
      </c>
      <c r="E2773">
        <v>0.76528407546812705</v>
      </c>
      <c r="F2773">
        <v>0.48821533078768098</v>
      </c>
      <c r="G2773">
        <v>0.31383596355701199</v>
      </c>
      <c r="H2773">
        <v>0.15480825028452899</v>
      </c>
      <c r="I2773">
        <v>0.132275871177024</v>
      </c>
      <c r="J2773">
        <v>0.148980173034791</v>
      </c>
      <c r="K2773">
        <v>0.16751802386731199</v>
      </c>
      <c r="L2773">
        <v>808.53029092531904</v>
      </c>
      <c r="M2773">
        <v>16.437349024591001</v>
      </c>
      <c r="N2773">
        <v>50.032245969668402</v>
      </c>
      <c r="O2773">
        <v>48.47788520217</v>
      </c>
      <c r="P2773">
        <v>-7.4512857640531102E-2</v>
      </c>
      <c r="Q2773">
        <v>0.121033643888626</v>
      </c>
      <c r="R2773">
        <v>0.99518741552162604</v>
      </c>
      <c r="S2773" t="s">
        <v>9175</v>
      </c>
      <c r="T2773" t="s">
        <v>12802</v>
      </c>
      <c r="U2773" t="s">
        <v>12802</v>
      </c>
      <c r="V2773" t="s">
        <v>12802</v>
      </c>
      <c r="W2773" t="s">
        <v>15528</v>
      </c>
      <c r="X2773">
        <v>10</v>
      </c>
      <c r="Y2773" t="s">
        <v>21791</v>
      </c>
      <c r="Z2773" t="s">
        <v>28091</v>
      </c>
      <c r="AA2773">
        <v>0.49440794397580923</v>
      </c>
      <c r="AB2773" t="str">
        <f>HYPERLINK("Melting_Curves/meltCurve_P51970_NDUFA8.pdf", "Melting_Curves/meltCurve_P51970_NDUFA8.pdf")</f>
        <v>Melting_Curves/meltCurve_P51970_NDUFA8.pdf</v>
      </c>
    </row>
    <row r="2774" spans="1:28" x14ac:dyDescent="0.25">
      <c r="A2774" t="s">
        <v>2778</v>
      </c>
      <c r="B2774">
        <v>0.99542014353169495</v>
      </c>
      <c r="C2774">
        <v>0.933052583223972</v>
      </c>
      <c r="D2774">
        <v>0.92318428057462298</v>
      </c>
      <c r="E2774">
        <v>0.81798647427368398</v>
      </c>
      <c r="F2774">
        <v>0.39111240134043002</v>
      </c>
      <c r="G2774">
        <v>0.18437655359796101</v>
      </c>
      <c r="H2774">
        <v>0.11407625825183799</v>
      </c>
      <c r="I2774">
        <v>7.6442504373436707E-2</v>
      </c>
      <c r="J2774">
        <v>8.8415986154632503E-2</v>
      </c>
      <c r="K2774">
        <v>0.11712150203239099</v>
      </c>
      <c r="L2774">
        <v>1213.7487480678601</v>
      </c>
      <c r="M2774">
        <v>24.820593718636701</v>
      </c>
      <c r="N2774">
        <v>49.301185825471102</v>
      </c>
      <c r="O2774">
        <v>48.586780637939498</v>
      </c>
      <c r="P2774">
        <v>-0.116058865515641</v>
      </c>
      <c r="Q2774">
        <v>9.1263239674775995E-2</v>
      </c>
      <c r="R2774">
        <v>0.994333376155078</v>
      </c>
      <c r="S2774" t="s">
        <v>9176</v>
      </c>
      <c r="T2774" t="s">
        <v>12802</v>
      </c>
      <c r="U2774" t="s">
        <v>12802</v>
      </c>
      <c r="V2774" t="s">
        <v>12802</v>
      </c>
      <c r="W2774" t="s">
        <v>15529</v>
      </c>
      <c r="X2774">
        <v>6</v>
      </c>
      <c r="Y2774" t="s">
        <v>21792</v>
      </c>
      <c r="Z2774" t="s">
        <v>28092</v>
      </c>
      <c r="AA2774">
        <v>0.45970833097172997</v>
      </c>
      <c r="AB2774" t="str">
        <f>HYPERLINK("Melting_Curves/meltCurve_P51991_HNRNPA3.pdf", "Melting_Curves/meltCurve_P51991_HNRNPA3.pdf")</f>
        <v>Melting_Curves/meltCurve_P51991_HNRNPA3.pdf</v>
      </c>
    </row>
    <row r="2775" spans="1:28" x14ac:dyDescent="0.25">
      <c r="A2775" t="s">
        <v>2779</v>
      </c>
      <c r="B2775">
        <v>0.99542014353169495</v>
      </c>
      <c r="C2775">
        <v>0.94426085303615703</v>
      </c>
      <c r="D2775">
        <v>0.85893294042777002</v>
      </c>
      <c r="E2775">
        <v>0.459974146459393</v>
      </c>
      <c r="F2775">
        <v>0.14124157683300601</v>
      </c>
      <c r="G2775">
        <v>8.4958746984659703E-2</v>
      </c>
      <c r="H2775">
        <v>5.3168600315980197E-2</v>
      </c>
      <c r="I2775">
        <v>4.0638614041011802E-2</v>
      </c>
      <c r="J2775">
        <v>3.98822141877435E-2</v>
      </c>
      <c r="K2775">
        <v>4.2930970915012398E-2</v>
      </c>
      <c r="L2775">
        <v>1106.80664747469</v>
      </c>
      <c r="M2775">
        <v>24.029820104736601</v>
      </c>
      <c r="N2775">
        <v>46.226886320768102</v>
      </c>
      <c r="O2775">
        <v>45.744283930962503</v>
      </c>
      <c r="P2775">
        <v>-0.12586365475997399</v>
      </c>
      <c r="Q2775">
        <v>4.1615434878604599E-2</v>
      </c>
      <c r="R2775">
        <v>0.99892155377599701</v>
      </c>
      <c r="S2775" t="s">
        <v>9177</v>
      </c>
      <c r="T2775" t="s">
        <v>12802</v>
      </c>
      <c r="U2775" t="s">
        <v>12802</v>
      </c>
      <c r="V2775" t="s">
        <v>12802</v>
      </c>
      <c r="W2775" t="s">
        <v>15530</v>
      </c>
      <c r="X2775">
        <v>33</v>
      </c>
      <c r="Y2775" t="s">
        <v>21793</v>
      </c>
      <c r="Z2775" t="s">
        <v>28093</v>
      </c>
      <c r="AA2775">
        <v>0.33965606165805051</v>
      </c>
      <c r="AB2775" t="str">
        <f>HYPERLINK("Melting_Curves/meltCurve_P52272_2_HNRNPM.pdf", "Melting_Curves/meltCurve_P52272_2_HNRNPM.pdf")</f>
        <v>Melting_Curves/meltCurve_P52272_2_HNRNPM.pdf</v>
      </c>
    </row>
    <row r="2776" spans="1:28" x14ac:dyDescent="0.25">
      <c r="A2776" t="s">
        <v>2780</v>
      </c>
      <c r="B2776">
        <v>0.99542014353169495</v>
      </c>
      <c r="C2776">
        <v>0.94670580660731096</v>
      </c>
      <c r="D2776">
        <v>0.85318552117526902</v>
      </c>
      <c r="E2776">
        <v>0.27688140577661902</v>
      </c>
      <c r="F2776">
        <v>9.4342084210526506E-2</v>
      </c>
      <c r="G2776">
        <v>5.9322331603887099E-2</v>
      </c>
      <c r="H2776">
        <v>3.6418415813628702E-2</v>
      </c>
      <c r="I2776">
        <v>2.4787957974082502E-2</v>
      </c>
      <c r="J2776">
        <v>2.3715721575853201E-2</v>
      </c>
      <c r="K2776">
        <v>2.0976208806462299E-2</v>
      </c>
      <c r="L2776">
        <v>1467.079913004</v>
      </c>
      <c r="M2776">
        <v>32.5108925548762</v>
      </c>
      <c r="N2776">
        <v>45.226883977206697</v>
      </c>
      <c r="O2776">
        <v>44.956089497723397</v>
      </c>
      <c r="P2776">
        <v>-0.17445756731665499</v>
      </c>
      <c r="Q2776">
        <v>3.50442827684323E-2</v>
      </c>
      <c r="R2776">
        <v>0.99789311741549502</v>
      </c>
      <c r="S2776" t="s">
        <v>9178</v>
      </c>
      <c r="T2776" t="s">
        <v>12802</v>
      </c>
      <c r="U2776" t="s">
        <v>12802</v>
      </c>
      <c r="V2776" t="s">
        <v>12802</v>
      </c>
      <c r="W2776" t="s">
        <v>15531</v>
      </c>
      <c r="X2776">
        <v>17</v>
      </c>
      <c r="Y2776" t="s">
        <v>21794</v>
      </c>
      <c r="Z2776" t="s">
        <v>28094</v>
      </c>
      <c r="AA2776">
        <v>0.30101081809519847</v>
      </c>
      <c r="AB2776" t="str">
        <f>HYPERLINK("Melting_Curves/meltCurve_P52292_KPNA2.pdf", "Melting_Curves/meltCurve_P52292_KPNA2.pdf")</f>
        <v>Melting_Curves/meltCurve_P52292_KPNA2.pdf</v>
      </c>
    </row>
    <row r="2777" spans="1:28" x14ac:dyDescent="0.25">
      <c r="A2777" t="s">
        <v>2781</v>
      </c>
      <c r="B2777">
        <v>0.99542014353169495</v>
      </c>
      <c r="C2777">
        <v>1.04074340660145</v>
      </c>
      <c r="D2777">
        <v>0.98468062360564101</v>
      </c>
      <c r="E2777">
        <v>0.51935349259136998</v>
      </c>
      <c r="F2777">
        <v>0.25676945670784401</v>
      </c>
      <c r="G2777">
        <v>0.11672812603725401</v>
      </c>
      <c r="H2777">
        <v>7.2327039845464902E-2</v>
      </c>
      <c r="I2777">
        <v>5.9646416731414999E-2</v>
      </c>
      <c r="J2777">
        <v>7.9293927268888703E-2</v>
      </c>
      <c r="K2777">
        <v>7.4075351594259806E-2</v>
      </c>
      <c r="L2777">
        <v>1276.75648630862</v>
      </c>
      <c r="M2777">
        <v>27.287604889927</v>
      </c>
      <c r="N2777">
        <v>47.087610048514797</v>
      </c>
      <c r="O2777">
        <v>46.539762080017503</v>
      </c>
      <c r="P2777">
        <v>-0.134933561902502</v>
      </c>
      <c r="Q2777">
        <v>7.9477109968737095E-2</v>
      </c>
      <c r="R2777">
        <v>0.99285215985474995</v>
      </c>
      <c r="S2777" t="s">
        <v>9179</v>
      </c>
      <c r="T2777" t="s">
        <v>12802</v>
      </c>
      <c r="U2777" t="s">
        <v>12802</v>
      </c>
      <c r="V2777" t="s">
        <v>12802</v>
      </c>
      <c r="W2777" t="s">
        <v>15532</v>
      </c>
      <c r="X2777">
        <v>12</v>
      </c>
      <c r="Y2777" t="s">
        <v>21795</v>
      </c>
      <c r="Z2777" t="s">
        <v>28095</v>
      </c>
      <c r="AA2777">
        <v>0.3862967319120037</v>
      </c>
      <c r="AB2777" t="str">
        <f>HYPERLINK("Melting_Curves/meltCurve_P52294_KPNA1.pdf", "Melting_Curves/meltCurve_P52294_KPNA1.pdf")</f>
        <v>Melting_Curves/meltCurve_P52294_KPNA1.pdf</v>
      </c>
    </row>
    <row r="2778" spans="1:28" x14ac:dyDescent="0.25">
      <c r="A2778" t="s">
        <v>2782</v>
      </c>
      <c r="B2778">
        <v>0.99542014353169495</v>
      </c>
      <c r="C2778">
        <v>0.89446850997439498</v>
      </c>
      <c r="D2778">
        <v>0.97401370310398605</v>
      </c>
      <c r="E2778">
        <v>0.90143613358850805</v>
      </c>
      <c r="F2778">
        <v>0.65732550193377304</v>
      </c>
      <c r="G2778">
        <v>0.35456488144724302</v>
      </c>
      <c r="H2778">
        <v>0.126114449264106</v>
      </c>
      <c r="I2778">
        <v>7.6849645848644704E-2</v>
      </c>
      <c r="J2778">
        <v>7.6457274268387998E-2</v>
      </c>
      <c r="K2778">
        <v>7.0712777299933097E-2</v>
      </c>
      <c r="L2778">
        <v>1055.19393196329</v>
      </c>
      <c r="M2778">
        <v>20.445005554461101</v>
      </c>
      <c r="N2778">
        <v>51.8681040878107</v>
      </c>
      <c r="O2778">
        <v>51.125180857636302</v>
      </c>
      <c r="P2778">
        <v>-9.5166291664282004E-2</v>
      </c>
      <c r="Q2778">
        <v>4.8129750331463897E-2</v>
      </c>
      <c r="R2778">
        <v>0.99181352965176395</v>
      </c>
      <c r="S2778" t="s">
        <v>9180</v>
      </c>
      <c r="T2778" t="s">
        <v>12802</v>
      </c>
      <c r="U2778" t="s">
        <v>12802</v>
      </c>
      <c r="V2778" t="s">
        <v>12802</v>
      </c>
      <c r="W2778" t="s">
        <v>15533</v>
      </c>
      <c r="X2778">
        <v>9</v>
      </c>
      <c r="Y2778" t="s">
        <v>21796</v>
      </c>
      <c r="Z2778" t="s">
        <v>28096</v>
      </c>
      <c r="AA2778">
        <v>0.52367198275897042</v>
      </c>
      <c r="AB2778" t="str">
        <f>HYPERLINK("Melting_Curves/meltCurve_P52298_NCBP2.pdf", "Melting_Curves/meltCurve_P52298_NCBP2.pdf")</f>
        <v>Melting_Curves/meltCurve_P52298_NCBP2.pdf</v>
      </c>
    </row>
    <row r="2779" spans="1:28" x14ac:dyDescent="0.25">
      <c r="A2779" t="s">
        <v>2783</v>
      </c>
      <c r="B2779">
        <v>0.99542014353169495</v>
      </c>
      <c r="C2779">
        <v>0.99880534559946199</v>
      </c>
      <c r="D2779">
        <v>0.94732470398396595</v>
      </c>
      <c r="E2779">
        <v>0.70700183659078297</v>
      </c>
      <c r="F2779">
        <v>0.26704478239520202</v>
      </c>
      <c r="G2779">
        <v>0.144607410018776</v>
      </c>
      <c r="H2779">
        <v>9.6370958423724506E-2</v>
      </c>
      <c r="I2779">
        <v>6.5842555992044902E-2</v>
      </c>
      <c r="J2779">
        <v>5.9454266711335801E-2</v>
      </c>
      <c r="K2779">
        <v>5.4826178877371103E-2</v>
      </c>
      <c r="L2779">
        <v>1250.1751963868101</v>
      </c>
      <c r="M2779">
        <v>26.0949859129726</v>
      </c>
      <c r="N2779">
        <v>48.178662448147499</v>
      </c>
      <c r="O2779">
        <v>47.629939309723198</v>
      </c>
      <c r="P2779">
        <v>-0.12765088601788499</v>
      </c>
      <c r="Q2779">
        <v>6.8030179972573296E-2</v>
      </c>
      <c r="R2779">
        <v>0.99891188560862798</v>
      </c>
      <c r="S2779" t="s">
        <v>9181</v>
      </c>
      <c r="T2779" t="s">
        <v>12802</v>
      </c>
      <c r="U2779" t="s">
        <v>12802</v>
      </c>
      <c r="V2779" t="s">
        <v>12802</v>
      </c>
      <c r="W2779" t="s">
        <v>15534</v>
      </c>
      <c r="X2779">
        <v>17</v>
      </c>
      <c r="Y2779" t="s">
        <v>21797</v>
      </c>
      <c r="Z2779" t="s">
        <v>28097</v>
      </c>
      <c r="AA2779">
        <v>0.41419827321627112</v>
      </c>
      <c r="AB2779" t="str">
        <f>HYPERLINK("Melting_Curves/meltCurve_P52306_RAP1GDS1.pdf", "Melting_Curves/meltCurve_P52306_RAP1GDS1.pdf")</f>
        <v>Melting_Curves/meltCurve_P52306_RAP1GDS1.pdf</v>
      </c>
    </row>
    <row r="2780" spans="1:28" x14ac:dyDescent="0.25">
      <c r="A2780" t="s">
        <v>2784</v>
      </c>
      <c r="B2780">
        <v>0.99542014353169495</v>
      </c>
      <c r="C2780">
        <v>0.98378421915869596</v>
      </c>
      <c r="D2780">
        <v>1.00105370417364</v>
      </c>
      <c r="E2780">
        <v>1.01362273463573</v>
      </c>
      <c r="F2780">
        <v>0.77455357426690996</v>
      </c>
      <c r="G2780">
        <v>0.47803478645127701</v>
      </c>
      <c r="H2780">
        <v>0.116436442495398</v>
      </c>
      <c r="I2780">
        <v>4.8482466581495097E-2</v>
      </c>
      <c r="J2780">
        <v>3.91405817925587E-2</v>
      </c>
      <c r="K2780">
        <v>4.3105185633960499E-2</v>
      </c>
      <c r="L2780">
        <v>1326.21460169798</v>
      </c>
      <c r="M2780">
        <v>24.945087905812201</v>
      </c>
      <c r="N2780">
        <v>53.248748246155301</v>
      </c>
      <c r="O2780">
        <v>52.827216991592302</v>
      </c>
      <c r="P2780">
        <v>-0.11579061674737599</v>
      </c>
      <c r="Q2780">
        <v>1.91554482357781E-2</v>
      </c>
      <c r="R2780">
        <v>0.99598114502063995</v>
      </c>
      <c r="S2780" t="s">
        <v>9182</v>
      </c>
      <c r="T2780" t="s">
        <v>12802</v>
      </c>
      <c r="U2780" t="s">
        <v>12802</v>
      </c>
      <c r="V2780" t="s">
        <v>12802</v>
      </c>
      <c r="W2780" t="s">
        <v>15535</v>
      </c>
      <c r="X2780">
        <v>14</v>
      </c>
      <c r="Y2780" t="s">
        <v>21798</v>
      </c>
      <c r="Z2780" t="s">
        <v>28098</v>
      </c>
      <c r="AA2780">
        <v>0.55636835357754744</v>
      </c>
      <c r="AB2780" t="str">
        <f>HYPERLINK("Melting_Curves/meltCurve_P52565_ARHGDIA.pdf", "Melting_Curves/meltCurve_P52565_ARHGDIA.pdf")</f>
        <v>Melting_Curves/meltCurve_P52565_ARHGDIA.pdf</v>
      </c>
    </row>
    <row r="2781" spans="1:28" x14ac:dyDescent="0.25">
      <c r="A2781" t="s">
        <v>2785</v>
      </c>
      <c r="B2781">
        <v>0.99542014353169495</v>
      </c>
      <c r="C2781">
        <v>1.02683247123594</v>
      </c>
      <c r="D2781">
        <v>0.98082240076466798</v>
      </c>
      <c r="E2781">
        <v>1.0165238877164799</v>
      </c>
      <c r="F2781">
        <v>0.75110177935560496</v>
      </c>
      <c r="G2781">
        <v>0.45513909809708802</v>
      </c>
      <c r="H2781">
        <v>0.136594684945024</v>
      </c>
      <c r="I2781">
        <v>7.4053265565550405E-2</v>
      </c>
      <c r="J2781">
        <v>7.2959478245257101E-2</v>
      </c>
      <c r="K2781">
        <v>6.1197598492107701E-2</v>
      </c>
      <c r="L2781">
        <v>1284.9337712246399</v>
      </c>
      <c r="M2781">
        <v>24.327762099341399</v>
      </c>
      <c r="N2781">
        <v>53.035758674086402</v>
      </c>
      <c r="O2781">
        <v>52.464588268780297</v>
      </c>
      <c r="P2781">
        <v>-0.11040693901903401</v>
      </c>
      <c r="Q2781">
        <v>4.7611903807431598E-2</v>
      </c>
      <c r="R2781">
        <v>0.99552884713047196</v>
      </c>
      <c r="S2781" t="s">
        <v>9183</v>
      </c>
      <c r="T2781" t="s">
        <v>12802</v>
      </c>
      <c r="U2781" t="s">
        <v>12802</v>
      </c>
      <c r="V2781" t="s">
        <v>12802</v>
      </c>
      <c r="W2781" t="s">
        <v>15536</v>
      </c>
      <c r="X2781">
        <v>7</v>
      </c>
      <c r="Y2781" t="s">
        <v>21799</v>
      </c>
      <c r="Z2781" t="s">
        <v>28099</v>
      </c>
      <c r="AA2781">
        <v>0.55859129067788127</v>
      </c>
      <c r="AB2781" t="str">
        <f>HYPERLINK("Melting_Curves/meltCurve_P52566_ARHGDIB.pdf", "Melting_Curves/meltCurve_P52566_ARHGDIB.pdf")</f>
        <v>Melting_Curves/meltCurve_P52566_ARHGDIB.pdf</v>
      </c>
    </row>
    <row r="2782" spans="1:28" x14ac:dyDescent="0.25">
      <c r="A2782" t="s">
        <v>2786</v>
      </c>
      <c r="B2782">
        <v>0.99542014353169495</v>
      </c>
      <c r="C2782">
        <v>0.93041188049722801</v>
      </c>
      <c r="D2782">
        <v>0.81184180733134303</v>
      </c>
      <c r="E2782">
        <v>0.41381723553733801</v>
      </c>
      <c r="F2782">
        <v>0.121932399853488</v>
      </c>
      <c r="G2782">
        <v>8.0710786560741002E-2</v>
      </c>
      <c r="H2782">
        <v>5.5570113189561697E-2</v>
      </c>
      <c r="I2782">
        <v>3.8953224091333297E-2</v>
      </c>
      <c r="J2782">
        <v>4.0818546741282997E-2</v>
      </c>
      <c r="K2782">
        <v>3.7256473162559998E-2</v>
      </c>
      <c r="L2782">
        <v>1031.7577637333</v>
      </c>
      <c r="M2782">
        <v>22.625336344049899</v>
      </c>
      <c r="N2782">
        <v>45.764333597571699</v>
      </c>
      <c r="O2782">
        <v>45.250140844991002</v>
      </c>
      <c r="P2782">
        <v>-0.12018033847882199</v>
      </c>
      <c r="Q2782">
        <v>3.8588304546852803E-2</v>
      </c>
      <c r="R2782">
        <v>0.998618475193913</v>
      </c>
      <c r="S2782" t="s">
        <v>9184</v>
      </c>
      <c r="T2782" t="s">
        <v>12802</v>
      </c>
      <c r="U2782" t="s">
        <v>12802</v>
      </c>
      <c r="V2782" t="s">
        <v>12802</v>
      </c>
      <c r="W2782" t="s">
        <v>15537</v>
      </c>
      <c r="X2782">
        <v>17</v>
      </c>
      <c r="Y2782" t="s">
        <v>21800</v>
      </c>
      <c r="Z2782" t="s">
        <v>28100</v>
      </c>
      <c r="AA2782">
        <v>0.32400404909613367</v>
      </c>
      <c r="AB2782" t="str">
        <f>HYPERLINK("Melting_Curves/meltCurve_P52597_HNRNPF.pdf", "Melting_Curves/meltCurve_P52597_HNRNPF.pdf")</f>
        <v>Melting_Curves/meltCurve_P52597_HNRNPF.pdf</v>
      </c>
    </row>
    <row r="2783" spans="1:28" x14ac:dyDescent="0.25">
      <c r="A2783" t="s">
        <v>2787</v>
      </c>
      <c r="B2783">
        <v>0.99542014353169495</v>
      </c>
      <c r="C2783">
        <v>0.91135913210312303</v>
      </c>
      <c r="D2783">
        <v>0.83161502674212695</v>
      </c>
      <c r="E2783">
        <v>0.41446546849666199</v>
      </c>
      <c r="F2783">
        <v>0.219238816440851</v>
      </c>
      <c r="G2783">
        <v>0.124067116493446</v>
      </c>
      <c r="H2783">
        <v>8.5057078073557696E-2</v>
      </c>
      <c r="I2783">
        <v>5.7042874825082801E-2</v>
      </c>
      <c r="J2783">
        <v>6.9826326427819399E-2</v>
      </c>
      <c r="K2783">
        <v>5.8389562832450198E-2</v>
      </c>
      <c r="L2783">
        <v>908.15198109355902</v>
      </c>
      <c r="M2783">
        <v>19.862418302578401</v>
      </c>
      <c r="N2783">
        <v>46.044731826294701</v>
      </c>
      <c r="O2783">
        <v>45.266238829995899</v>
      </c>
      <c r="P2783">
        <v>-0.102575554511053</v>
      </c>
      <c r="Q2783">
        <v>6.49570446986346E-2</v>
      </c>
      <c r="R2783">
        <v>0.99635392512681498</v>
      </c>
      <c r="S2783" t="s">
        <v>9185</v>
      </c>
      <c r="T2783" t="s">
        <v>12802</v>
      </c>
      <c r="U2783" t="s">
        <v>12802</v>
      </c>
      <c r="V2783" t="s">
        <v>12802</v>
      </c>
      <c r="W2783" t="s">
        <v>15538</v>
      </c>
      <c r="X2783">
        <v>12</v>
      </c>
      <c r="Y2783" t="s">
        <v>21801</v>
      </c>
      <c r="Z2783" t="s">
        <v>28101</v>
      </c>
      <c r="AA2783">
        <v>0.34921407125053722</v>
      </c>
      <c r="AB2783" t="str">
        <f>HYPERLINK("Melting_Curves/meltCurve_P52630_4_STAT2.pdf", "Melting_Curves/meltCurve_P52630_4_STAT2.pdf")</f>
        <v>Melting_Curves/meltCurve_P52630_4_STAT2.pdf</v>
      </c>
    </row>
    <row r="2784" spans="1:28" x14ac:dyDescent="0.25">
      <c r="A2784" t="s">
        <v>2788</v>
      </c>
      <c r="B2784">
        <v>0.99542014353169495</v>
      </c>
      <c r="C2784">
        <v>0.96926832222785198</v>
      </c>
      <c r="D2784">
        <v>0.85461859182077204</v>
      </c>
      <c r="E2784">
        <v>0.818878847595226</v>
      </c>
      <c r="F2784">
        <v>0.68472724532170803</v>
      </c>
      <c r="G2784">
        <v>0.595237958203371</v>
      </c>
      <c r="H2784">
        <v>0.41198997954625499</v>
      </c>
      <c r="I2784">
        <v>0.31782661219312303</v>
      </c>
      <c r="J2784">
        <v>0.494175931032177</v>
      </c>
      <c r="K2784">
        <v>0.61374643840660303</v>
      </c>
      <c r="L2784">
        <v>690.89761093167397</v>
      </c>
      <c r="M2784">
        <v>14.3086555233286</v>
      </c>
      <c r="N2784">
        <v>57.568381548970002</v>
      </c>
      <c r="O2784">
        <v>47.371543238914903</v>
      </c>
      <c r="P2784">
        <v>-4.1519334213476998E-2</v>
      </c>
      <c r="Q2784">
        <v>0.45023600139637099</v>
      </c>
      <c r="R2784">
        <v>0.86448422781212297</v>
      </c>
      <c r="S2784" t="s">
        <v>9186</v>
      </c>
      <c r="T2784" t="s">
        <v>12802</v>
      </c>
      <c r="U2784" t="s">
        <v>12802</v>
      </c>
      <c r="V2784" t="s">
        <v>12802</v>
      </c>
      <c r="W2784" t="s">
        <v>15539</v>
      </c>
      <c r="X2784">
        <v>3</v>
      </c>
      <c r="Y2784" t="s">
        <v>21802</v>
      </c>
      <c r="Z2784" t="s">
        <v>28102</v>
      </c>
      <c r="AA2784">
        <v>0.67003662613810522</v>
      </c>
      <c r="AB2784" t="str">
        <f>HYPERLINK("Melting_Curves/meltCurve_P52655_GTF2A1.pdf", "Melting_Curves/meltCurve_P52655_GTF2A1.pdf")</f>
        <v>Melting_Curves/meltCurve_P52655_GTF2A1.pdf</v>
      </c>
    </row>
    <row r="2785" spans="1:28" x14ac:dyDescent="0.25">
      <c r="A2785" t="s">
        <v>2789</v>
      </c>
      <c r="B2785">
        <v>0.99542014353169495</v>
      </c>
      <c r="C2785">
        <v>1.0288986551046999</v>
      </c>
      <c r="D2785">
        <v>1.0768224995853399</v>
      </c>
      <c r="E2785">
        <v>0.966682362488549</v>
      </c>
      <c r="F2785">
        <v>0.64712864862761399</v>
      </c>
      <c r="G2785">
        <v>0.40240445481417397</v>
      </c>
      <c r="H2785">
        <v>0.30978152644756701</v>
      </c>
      <c r="I2785">
        <v>0.354467365273756</v>
      </c>
      <c r="J2785">
        <v>0.68740536141205399</v>
      </c>
      <c r="K2785">
        <v>0.95364976789436195</v>
      </c>
      <c r="L2785">
        <v>3145.77139460627</v>
      </c>
      <c r="M2785">
        <v>63.964891030697601</v>
      </c>
      <c r="O2785">
        <v>49.1316553594067</v>
      </c>
      <c r="P2785">
        <v>-0.14898960856357699</v>
      </c>
      <c r="Q2785">
        <v>0.54224239866225199</v>
      </c>
      <c r="R2785">
        <v>0.62484168051024003</v>
      </c>
      <c r="S2785" t="s">
        <v>9187</v>
      </c>
      <c r="T2785" t="s">
        <v>12802</v>
      </c>
      <c r="U2785" t="s">
        <v>12802</v>
      </c>
      <c r="V2785" t="s">
        <v>12802</v>
      </c>
      <c r="W2785" t="s">
        <v>15540</v>
      </c>
      <c r="X2785">
        <v>3</v>
      </c>
      <c r="Y2785" t="s">
        <v>21803</v>
      </c>
      <c r="Z2785" t="s">
        <v>28103</v>
      </c>
      <c r="AA2785">
        <v>0.72869218777524536</v>
      </c>
      <c r="AB2785" t="str">
        <f>HYPERLINK("Melting_Curves/meltCurve_P52657_GTF2A2.pdf", "Melting_Curves/meltCurve_P52657_GTF2A2.pdf")</f>
        <v>Melting_Curves/meltCurve_P52657_GTF2A2.pdf</v>
      </c>
    </row>
    <row r="2786" spans="1:28" x14ac:dyDescent="0.25">
      <c r="A2786" t="s">
        <v>2790</v>
      </c>
      <c r="B2786">
        <v>0.99542014353169495</v>
      </c>
      <c r="C2786">
        <v>0.851822613198572</v>
      </c>
      <c r="D2786">
        <v>0.83030040067884103</v>
      </c>
      <c r="E2786">
        <v>0.30250358474893702</v>
      </c>
      <c r="F2786">
        <v>0.125129600666504</v>
      </c>
      <c r="G2786">
        <v>8.2949019756131906E-2</v>
      </c>
      <c r="H2786">
        <v>5.5028282311688E-2</v>
      </c>
      <c r="I2786">
        <v>4.0139489010968497E-2</v>
      </c>
      <c r="J2786">
        <v>5.1639255156173902E-2</v>
      </c>
      <c r="K2786">
        <v>5.78778476190508E-2</v>
      </c>
      <c r="L2786">
        <v>1161.14646833743</v>
      </c>
      <c r="M2786">
        <v>25.8020328386737</v>
      </c>
      <c r="N2786">
        <v>45.199410316963302</v>
      </c>
      <c r="O2786">
        <v>44.734397100609101</v>
      </c>
      <c r="P2786">
        <v>-0.136518094257367</v>
      </c>
      <c r="Q2786">
        <v>5.3255136924395499E-2</v>
      </c>
      <c r="R2786">
        <v>0.98776563366929504</v>
      </c>
      <c r="S2786" t="s">
        <v>9188</v>
      </c>
      <c r="T2786" t="s">
        <v>12802</v>
      </c>
      <c r="U2786" t="s">
        <v>12802</v>
      </c>
      <c r="V2786" t="s">
        <v>12802</v>
      </c>
      <c r="W2786" t="s">
        <v>15541</v>
      </c>
      <c r="X2786">
        <v>41</v>
      </c>
      <c r="Y2786" t="s">
        <v>21804</v>
      </c>
      <c r="Z2786" t="s">
        <v>28104</v>
      </c>
      <c r="AA2786">
        <v>0.31306161252588988</v>
      </c>
      <c r="AB2786" t="str">
        <f>HYPERLINK("Melting_Curves/meltCurve_P52701_MSH6.pdf", "Melting_Curves/meltCurve_P52701_MSH6.pdf")</f>
        <v>Melting_Curves/meltCurve_P52701_MSH6.pdf</v>
      </c>
    </row>
    <row r="2787" spans="1:28" x14ac:dyDescent="0.25">
      <c r="A2787" t="s">
        <v>2791</v>
      </c>
      <c r="B2787">
        <v>0.99542014353169495</v>
      </c>
      <c r="C2787">
        <v>0.93485153327230297</v>
      </c>
      <c r="D2787">
        <v>0.96739908766953497</v>
      </c>
      <c r="E2787">
        <v>0.395745525686931</v>
      </c>
      <c r="F2787">
        <v>0.14321479757743699</v>
      </c>
      <c r="G2787">
        <v>8.8505880383623406E-2</v>
      </c>
      <c r="H2787">
        <v>5.3467825902895998E-2</v>
      </c>
      <c r="I2787">
        <v>3.9274029030259797E-2</v>
      </c>
      <c r="J2787">
        <v>3.83820641617902E-2</v>
      </c>
      <c r="K2787">
        <v>4.3149986873234701E-2</v>
      </c>
      <c r="L2787">
        <v>1730.95714944514</v>
      </c>
      <c r="M2787">
        <v>37.655610069957099</v>
      </c>
      <c r="N2787">
        <v>46.121757175978303</v>
      </c>
      <c r="O2787">
        <v>45.8390391594451</v>
      </c>
      <c r="P2787">
        <v>-0.19326361896670499</v>
      </c>
      <c r="Q2787">
        <v>5.8945509104812902E-2</v>
      </c>
      <c r="R2787">
        <v>0.99439121319476098</v>
      </c>
      <c r="S2787" t="s">
        <v>9189</v>
      </c>
      <c r="T2787" t="s">
        <v>12802</v>
      </c>
      <c r="U2787" t="s">
        <v>12802</v>
      </c>
      <c r="V2787" t="s">
        <v>12802</v>
      </c>
      <c r="W2787" t="s">
        <v>15542</v>
      </c>
      <c r="X2787">
        <v>37</v>
      </c>
      <c r="Y2787" t="s">
        <v>21805</v>
      </c>
      <c r="Z2787" t="s">
        <v>28105</v>
      </c>
      <c r="AA2787">
        <v>0.34364230220872738</v>
      </c>
      <c r="AB2787" t="str">
        <f>HYPERLINK("Melting_Curves/meltCurve_P52732_KIF11.pdf", "Melting_Curves/meltCurve_P52732_KIF11.pdf")</f>
        <v>Melting_Curves/meltCurve_P52732_KIF11.pdf</v>
      </c>
    </row>
    <row r="2788" spans="1:28" x14ac:dyDescent="0.25">
      <c r="A2788" t="s">
        <v>2792</v>
      </c>
      <c r="B2788">
        <v>0.99542014353169495</v>
      </c>
      <c r="C2788">
        <v>0.47756241348838202</v>
      </c>
      <c r="D2788">
        <v>0.27342371055496201</v>
      </c>
      <c r="E2788">
        <v>0.12604325181510501</v>
      </c>
      <c r="F2788">
        <v>7.2462131550501893E-2</v>
      </c>
      <c r="G2788">
        <v>4.2828191645276098E-2</v>
      </c>
      <c r="H2788">
        <v>2.3121786763300099E-2</v>
      </c>
      <c r="I2788">
        <v>2.0574848737471799E-2</v>
      </c>
      <c r="J2788">
        <v>0</v>
      </c>
      <c r="K2788">
        <v>3.9460685297360402E-2</v>
      </c>
      <c r="L2788">
        <v>926.37350113332104</v>
      </c>
      <c r="M2788">
        <v>23.030417324676701</v>
      </c>
      <c r="N2788">
        <v>40.374073332301002</v>
      </c>
      <c r="O2788">
        <v>39.924325689273402</v>
      </c>
      <c r="P2788">
        <v>-0.13829635362803</v>
      </c>
      <c r="Q2788">
        <v>4.1044632513521598E-2</v>
      </c>
      <c r="R2788">
        <v>0.96887710043754505</v>
      </c>
      <c r="S2788" t="s">
        <v>9190</v>
      </c>
      <c r="T2788" t="s">
        <v>12802</v>
      </c>
      <c r="U2788" t="s">
        <v>12802</v>
      </c>
      <c r="V2788" t="s">
        <v>12802</v>
      </c>
      <c r="W2788" t="s">
        <v>15543</v>
      </c>
      <c r="X2788">
        <v>2</v>
      </c>
      <c r="Y2788" t="s">
        <v>21806</v>
      </c>
      <c r="Z2788" t="s">
        <v>28106</v>
      </c>
      <c r="AA2788">
        <v>0.1577945113291393</v>
      </c>
      <c r="AB2788" t="str">
        <f>HYPERLINK("Melting_Curves/meltCurve_P52739_2_ZNF131.pdf", "Melting_Curves/meltCurve_P52739_2_ZNF131.pdf")</f>
        <v>Melting_Curves/meltCurve_P52739_2_ZNF131.pdf</v>
      </c>
    </row>
    <row r="2789" spans="1:28" x14ac:dyDescent="0.25">
      <c r="A2789" t="s">
        <v>2793</v>
      </c>
      <c r="B2789">
        <v>0.99542014353169495</v>
      </c>
      <c r="C2789">
        <v>0.97863888162891599</v>
      </c>
      <c r="D2789">
        <v>0.94519522706812298</v>
      </c>
      <c r="E2789">
        <v>0.91752705981016203</v>
      </c>
      <c r="F2789">
        <v>0.75897498069117497</v>
      </c>
      <c r="G2789">
        <v>0.58638884372802602</v>
      </c>
      <c r="H2789">
        <v>0.41237715935420399</v>
      </c>
      <c r="I2789">
        <v>0.415804266803244</v>
      </c>
      <c r="J2789">
        <v>0.64151695741594095</v>
      </c>
      <c r="K2789">
        <v>0.80772571509024105</v>
      </c>
      <c r="L2789">
        <v>1590.1964949186799</v>
      </c>
      <c r="M2789">
        <v>32.173606599414903</v>
      </c>
      <c r="O2789">
        <v>49.235730351035002</v>
      </c>
      <c r="P2789">
        <v>-7.0446809255755805E-2</v>
      </c>
      <c r="Q2789">
        <v>0.56877911206766496</v>
      </c>
      <c r="R2789">
        <v>0.73817327930441301</v>
      </c>
      <c r="S2789" t="s">
        <v>9191</v>
      </c>
      <c r="T2789" t="s">
        <v>12802</v>
      </c>
      <c r="U2789" t="s">
        <v>12802</v>
      </c>
      <c r="V2789" t="s">
        <v>12802</v>
      </c>
      <c r="W2789" t="s">
        <v>15544</v>
      </c>
      <c r="X2789">
        <v>7</v>
      </c>
      <c r="Y2789" t="s">
        <v>21807</v>
      </c>
      <c r="Z2789" t="s">
        <v>28107</v>
      </c>
      <c r="AA2789">
        <v>0.74966321232010291</v>
      </c>
      <c r="AB2789" t="str">
        <f>HYPERLINK("Melting_Curves/meltCurve_P52758_HRSP12.pdf", "Melting_Curves/meltCurve_P52758_HRSP12.pdf")</f>
        <v>Melting_Curves/meltCurve_P52758_HRSP12.pdf</v>
      </c>
    </row>
    <row r="2790" spans="1:28" x14ac:dyDescent="0.25">
      <c r="A2790" t="s">
        <v>2794</v>
      </c>
      <c r="B2790">
        <v>0.99542014353169495</v>
      </c>
      <c r="C2790">
        <v>1.03572628483629</v>
      </c>
      <c r="D2790">
        <v>0.96013762928536095</v>
      </c>
      <c r="E2790">
        <v>0.98355969521065201</v>
      </c>
      <c r="F2790">
        <v>0.84130039957759695</v>
      </c>
      <c r="G2790">
        <v>0.74511514084765995</v>
      </c>
      <c r="H2790">
        <v>0.46152386521352401</v>
      </c>
      <c r="I2790">
        <v>0.227599561714322</v>
      </c>
      <c r="J2790">
        <v>0.106933686768936</v>
      </c>
      <c r="K2790">
        <v>0.103956554159541</v>
      </c>
      <c r="L2790">
        <v>926.28123049630995</v>
      </c>
      <c r="M2790">
        <v>16.319653558390499</v>
      </c>
      <c r="N2790">
        <v>56.758633388944801</v>
      </c>
      <c r="O2790">
        <v>55.926918859465601</v>
      </c>
      <c r="P2790">
        <v>-7.2956088038672498E-2</v>
      </c>
      <c r="Q2790">
        <v>0</v>
      </c>
      <c r="R2790">
        <v>0.99364318746751101</v>
      </c>
      <c r="S2790" t="s">
        <v>9192</v>
      </c>
      <c r="T2790" t="s">
        <v>12802</v>
      </c>
      <c r="U2790" t="s">
        <v>12802</v>
      </c>
      <c r="V2790" t="s">
        <v>12802</v>
      </c>
      <c r="W2790" t="s">
        <v>15545</v>
      </c>
      <c r="X2790">
        <v>21</v>
      </c>
      <c r="Y2790" t="s">
        <v>21808</v>
      </c>
      <c r="Z2790" t="s">
        <v>28108</v>
      </c>
      <c r="AA2790">
        <v>0.66807863380069488</v>
      </c>
      <c r="AB2790" t="str">
        <f>HYPERLINK("Melting_Curves/meltCurve_P52788_SMS.pdf", "Melting_Curves/meltCurve_P52788_SMS.pdf")</f>
        <v>Melting_Curves/meltCurve_P52788_SMS.pdf</v>
      </c>
    </row>
    <row r="2791" spans="1:28" x14ac:dyDescent="0.25">
      <c r="A2791" t="s">
        <v>2795</v>
      </c>
      <c r="B2791">
        <v>0.99542014353169495</v>
      </c>
      <c r="C2791">
        <v>0.95153687084613003</v>
      </c>
      <c r="D2791">
        <v>0.92404567217841105</v>
      </c>
      <c r="E2791">
        <v>0.54898864249510604</v>
      </c>
      <c r="F2791">
        <v>0.175773036674928</v>
      </c>
      <c r="G2791">
        <v>9.8955116839586493E-2</v>
      </c>
      <c r="H2791">
        <v>6.1995885661610801E-2</v>
      </c>
      <c r="I2791">
        <v>4.1208535395002903E-2</v>
      </c>
      <c r="J2791">
        <v>4.2171106773885199E-2</v>
      </c>
      <c r="K2791">
        <v>4.5083318791845399E-2</v>
      </c>
      <c r="L2791">
        <v>1224.3899461572701</v>
      </c>
      <c r="M2791">
        <v>26.170537119433099</v>
      </c>
      <c r="N2791">
        <v>46.966221577963402</v>
      </c>
      <c r="O2791">
        <v>46.514459829145899</v>
      </c>
      <c r="P2791">
        <v>-0.133906434725657</v>
      </c>
      <c r="Q2791">
        <v>4.8011358985025399E-2</v>
      </c>
      <c r="R2791">
        <v>0.99857273370814004</v>
      </c>
      <c r="S2791" t="s">
        <v>9193</v>
      </c>
      <c r="T2791" t="s">
        <v>12802</v>
      </c>
      <c r="U2791" t="s">
        <v>12802</v>
      </c>
      <c r="V2791" t="s">
        <v>12802</v>
      </c>
      <c r="W2791" t="s">
        <v>15546</v>
      </c>
      <c r="X2791">
        <v>41</v>
      </c>
      <c r="Y2791" t="s">
        <v>21809</v>
      </c>
      <c r="Z2791" t="s">
        <v>28109</v>
      </c>
      <c r="AA2791">
        <v>0.36578636981332402</v>
      </c>
      <c r="AB2791" t="str">
        <f>HYPERLINK("Melting_Curves/meltCurve_P52789_HK2.pdf", "Melting_Curves/meltCurve_P52789_HK2.pdf")</f>
        <v>Melting_Curves/meltCurve_P52789_HK2.pdf</v>
      </c>
    </row>
    <row r="2792" spans="1:28" x14ac:dyDescent="0.25">
      <c r="A2792" t="s">
        <v>2796</v>
      </c>
      <c r="B2792">
        <v>0.99542014353169495</v>
      </c>
      <c r="C2792">
        <v>1.0253977486458601</v>
      </c>
      <c r="D2792">
        <v>1.08272334699994</v>
      </c>
      <c r="E2792">
        <v>0.83948091894573196</v>
      </c>
      <c r="F2792">
        <v>0.57636893760196695</v>
      </c>
      <c r="G2792">
        <v>0.33568445566809002</v>
      </c>
      <c r="H2792">
        <v>0.2966459138707</v>
      </c>
      <c r="I2792">
        <v>0.148313562564865</v>
      </c>
      <c r="J2792">
        <v>0.22074711379002401</v>
      </c>
      <c r="K2792">
        <v>0.24830861818927</v>
      </c>
      <c r="L2792">
        <v>1162.45351814644</v>
      </c>
      <c r="M2792">
        <v>23.328325772436902</v>
      </c>
      <c r="N2792">
        <v>51.062700324019197</v>
      </c>
      <c r="O2792">
        <v>49.468298970685602</v>
      </c>
      <c r="P2792">
        <v>-9.2516272522740001E-2</v>
      </c>
      <c r="Q2792">
        <v>0.21528159926849599</v>
      </c>
      <c r="R2792">
        <v>0.98309037011255695</v>
      </c>
      <c r="S2792" t="s">
        <v>9194</v>
      </c>
      <c r="T2792" t="s">
        <v>12802</v>
      </c>
      <c r="U2792" t="s">
        <v>12802</v>
      </c>
      <c r="V2792" t="s">
        <v>12802</v>
      </c>
      <c r="W2792" t="s">
        <v>15547</v>
      </c>
      <c r="X2792">
        <v>9</v>
      </c>
      <c r="Y2792" t="s">
        <v>21810</v>
      </c>
      <c r="Z2792" t="s">
        <v>28110</v>
      </c>
      <c r="AA2792">
        <v>0.5586924083582312</v>
      </c>
      <c r="AB2792" t="str">
        <f>HYPERLINK("Melting_Curves/meltCurve_P52815_MRPL12.pdf", "Melting_Curves/meltCurve_P52815_MRPL12.pdf")</f>
        <v>Melting_Curves/meltCurve_P52815_MRPL12.pdf</v>
      </c>
    </row>
    <row r="2793" spans="1:28" x14ac:dyDescent="0.25">
      <c r="A2793" t="s">
        <v>2797</v>
      </c>
      <c r="B2793">
        <v>0.99542014353169495</v>
      </c>
      <c r="C2793">
        <v>0.98145130445297901</v>
      </c>
      <c r="D2793">
        <v>0.91436089504156703</v>
      </c>
      <c r="E2793">
        <v>0.86643544816268003</v>
      </c>
      <c r="F2793">
        <v>0.64487498420185796</v>
      </c>
      <c r="G2793">
        <v>0.50408376985831405</v>
      </c>
      <c r="H2793">
        <v>0.332357822555301</v>
      </c>
      <c r="I2793">
        <v>0.29609294848091799</v>
      </c>
      <c r="J2793">
        <v>0.20983134063390799</v>
      </c>
      <c r="K2793">
        <v>0.100047643751017</v>
      </c>
      <c r="L2793">
        <v>545.12287271453101</v>
      </c>
      <c r="M2793">
        <v>10.1729536812615</v>
      </c>
      <c r="N2793">
        <v>53.918680991420402</v>
      </c>
      <c r="O2793">
        <v>51.638585833609199</v>
      </c>
      <c r="P2793">
        <v>-4.7772215255872899E-2</v>
      </c>
      <c r="Q2793">
        <v>3.04617533325298E-2</v>
      </c>
      <c r="R2793">
        <v>0.99225105657816204</v>
      </c>
      <c r="S2793" t="s">
        <v>9195</v>
      </c>
      <c r="T2793" t="s">
        <v>12802</v>
      </c>
      <c r="U2793" t="s">
        <v>12802</v>
      </c>
      <c r="V2793" t="s">
        <v>12802</v>
      </c>
      <c r="W2793" t="s">
        <v>15548</v>
      </c>
      <c r="X2793">
        <v>39</v>
      </c>
      <c r="Y2793" t="s">
        <v>21811</v>
      </c>
      <c r="Z2793" t="s">
        <v>28111</v>
      </c>
      <c r="AA2793">
        <v>0.58556107417790204</v>
      </c>
      <c r="AB2793" t="str">
        <f>HYPERLINK("Melting_Curves/meltCurve_P52888_THOP1.pdf", "Melting_Curves/meltCurve_P52888_THOP1.pdf")</f>
        <v>Melting_Curves/meltCurve_P52888_THOP1.pdf</v>
      </c>
    </row>
    <row r="2794" spans="1:28" x14ac:dyDescent="0.25">
      <c r="A2794" t="s">
        <v>2798</v>
      </c>
      <c r="B2794">
        <v>0.99542014353169495</v>
      </c>
      <c r="C2794">
        <v>0.93918971783879601</v>
      </c>
      <c r="D2794">
        <v>0.88799768040189297</v>
      </c>
      <c r="E2794">
        <v>0.77442666854526698</v>
      </c>
      <c r="F2794">
        <v>0.58726553586299401</v>
      </c>
      <c r="G2794">
        <v>0.26696924585492998</v>
      </c>
      <c r="H2794">
        <v>0.114762315079752</v>
      </c>
      <c r="I2794">
        <v>6.1923274532577302E-2</v>
      </c>
      <c r="J2794">
        <v>6.2167280449361401E-2</v>
      </c>
      <c r="K2794">
        <v>4.9207969430621501E-2</v>
      </c>
      <c r="L2794">
        <v>751.44402707627899</v>
      </c>
      <c r="M2794">
        <v>14.851664755564601</v>
      </c>
      <c r="N2794">
        <v>50.609979184878902</v>
      </c>
      <c r="O2794">
        <v>49.705866802890398</v>
      </c>
      <c r="P2794">
        <v>-7.4559459917648202E-2</v>
      </c>
      <c r="Q2794">
        <v>1.9560844891645199E-3</v>
      </c>
      <c r="R2794">
        <v>0.99317274946386302</v>
      </c>
      <c r="S2794" t="s">
        <v>9196</v>
      </c>
      <c r="T2794" t="s">
        <v>12802</v>
      </c>
      <c r="U2794" t="s">
        <v>12802</v>
      </c>
      <c r="V2794" t="s">
        <v>12802</v>
      </c>
      <c r="W2794" t="s">
        <v>15549</v>
      </c>
      <c r="X2794">
        <v>13</v>
      </c>
      <c r="Y2794" t="s">
        <v>21812</v>
      </c>
      <c r="Z2794" t="s">
        <v>28112</v>
      </c>
      <c r="AA2794">
        <v>0.4749944618015462</v>
      </c>
      <c r="AB2794" t="str">
        <f>HYPERLINK("Melting_Curves/meltCurve_P52907_CAPZA1.pdf", "Melting_Curves/meltCurve_P52907_CAPZA1.pdf")</f>
        <v>Melting_Curves/meltCurve_P52907_CAPZA1.pdf</v>
      </c>
    </row>
    <row r="2795" spans="1:28" x14ac:dyDescent="0.25">
      <c r="A2795" t="s">
        <v>2799</v>
      </c>
      <c r="B2795">
        <v>0.99542014353169495</v>
      </c>
      <c r="C2795">
        <v>1.12624163560636</v>
      </c>
      <c r="D2795">
        <v>0.908907464252663</v>
      </c>
      <c r="E2795">
        <v>0.89051622178179302</v>
      </c>
      <c r="F2795">
        <v>1.07124993181415</v>
      </c>
      <c r="G2795">
        <v>0.70380547059923004</v>
      </c>
      <c r="H2795">
        <v>0.59465193919063797</v>
      </c>
      <c r="I2795">
        <v>0.49390822679451102</v>
      </c>
      <c r="J2795">
        <v>0.680328438086372</v>
      </c>
      <c r="K2795">
        <v>0.57375549939725401</v>
      </c>
      <c r="L2795">
        <v>13400.5519820507</v>
      </c>
      <c r="M2795">
        <v>250</v>
      </c>
      <c r="O2795">
        <v>53.598777728767402</v>
      </c>
      <c r="P2795">
        <v>-0.48314882559374001</v>
      </c>
      <c r="Q2795">
        <v>0.58566101617341504</v>
      </c>
      <c r="R2795">
        <v>0.86868965947442101</v>
      </c>
      <c r="S2795" t="s">
        <v>9197</v>
      </c>
      <c r="T2795" t="s">
        <v>12802</v>
      </c>
      <c r="U2795" t="s">
        <v>12802</v>
      </c>
      <c r="V2795" t="s">
        <v>12802</v>
      </c>
      <c r="W2795" t="s">
        <v>15550</v>
      </c>
      <c r="X2795">
        <v>1</v>
      </c>
      <c r="Y2795" t="s">
        <v>21813</v>
      </c>
      <c r="Z2795" t="s">
        <v>28113</v>
      </c>
      <c r="AA2795">
        <v>0.81499805888112353</v>
      </c>
      <c r="AB2795" t="str">
        <f>HYPERLINK("Melting_Curves/meltCurve_P52943_CRIP2.pdf", "Melting_Curves/meltCurve_P52943_CRIP2.pdf")</f>
        <v>Melting_Curves/meltCurve_P52943_CRIP2.pdf</v>
      </c>
    </row>
    <row r="2796" spans="1:28" x14ac:dyDescent="0.25">
      <c r="A2796" t="s">
        <v>2800</v>
      </c>
      <c r="B2796">
        <v>0.99542014353169495</v>
      </c>
      <c r="C2796">
        <v>0.83427976974337703</v>
      </c>
      <c r="D2796">
        <v>0.80920122358253599</v>
      </c>
      <c r="E2796">
        <v>0.37642426014964803</v>
      </c>
      <c r="F2796">
        <v>0.20942840322784401</v>
      </c>
      <c r="G2796">
        <v>0.11665741090552401</v>
      </c>
      <c r="H2796">
        <v>7.2200513745134004E-2</v>
      </c>
      <c r="I2796">
        <v>5.6817934465457097E-2</v>
      </c>
      <c r="J2796">
        <v>7.8442294381034797E-2</v>
      </c>
      <c r="K2796">
        <v>9.5973319618256697E-2</v>
      </c>
      <c r="L2796">
        <v>834.405863660573</v>
      </c>
      <c r="M2796">
        <v>18.4454380761251</v>
      </c>
      <c r="N2796">
        <v>45.598407310952403</v>
      </c>
      <c r="O2796">
        <v>44.714799829734197</v>
      </c>
      <c r="P2796">
        <v>-9.6109105491938296E-2</v>
      </c>
      <c r="Q2796">
        <v>6.8104147362170395E-2</v>
      </c>
      <c r="R2796">
        <v>0.98715132233926195</v>
      </c>
      <c r="S2796" t="s">
        <v>9198</v>
      </c>
      <c r="T2796" t="s">
        <v>12802</v>
      </c>
      <c r="U2796" t="s">
        <v>12802</v>
      </c>
      <c r="V2796" t="s">
        <v>12802</v>
      </c>
      <c r="W2796" t="s">
        <v>15551</v>
      </c>
      <c r="X2796">
        <v>17</v>
      </c>
      <c r="Y2796" t="s">
        <v>21814</v>
      </c>
      <c r="Z2796" t="s">
        <v>28114</v>
      </c>
      <c r="AA2796">
        <v>0.33841302468835438</v>
      </c>
      <c r="AB2796" t="str">
        <f>HYPERLINK("Melting_Curves/meltCurve_P52948_6_NUP98.pdf", "Melting_Curves/meltCurve_P52948_6_NUP98.pdf")</f>
        <v>Melting_Curves/meltCurve_P52948_6_NUP98.pdf</v>
      </c>
    </row>
    <row r="2797" spans="1:28" x14ac:dyDescent="0.25">
      <c r="A2797" t="s">
        <v>2801</v>
      </c>
      <c r="B2797">
        <v>0.99542014353169495</v>
      </c>
      <c r="C2797">
        <v>1.0927137362883499</v>
      </c>
      <c r="D2797">
        <v>0.99354725314337</v>
      </c>
      <c r="E2797">
        <v>0.98613281842372003</v>
      </c>
      <c r="F2797">
        <v>0.77275471496179804</v>
      </c>
      <c r="G2797">
        <v>0.47044709746723501</v>
      </c>
      <c r="H2797">
        <v>0.115859108044505</v>
      </c>
      <c r="I2797">
        <v>7.0359461942462495E-2</v>
      </c>
      <c r="J2797">
        <v>6.3010045055993599E-2</v>
      </c>
      <c r="K2797">
        <v>7.2027714851543301E-2</v>
      </c>
      <c r="L2797">
        <v>1332.0118401458401</v>
      </c>
      <c r="M2797">
        <v>25.158645734376101</v>
      </c>
      <c r="N2797">
        <v>53.140873837514597</v>
      </c>
      <c r="O2797">
        <v>52.613399251889199</v>
      </c>
      <c r="P2797">
        <v>-0.114239749532576</v>
      </c>
      <c r="Q2797">
        <v>4.4390198203764997E-2</v>
      </c>
      <c r="R2797">
        <v>0.99186413083041902</v>
      </c>
      <c r="S2797" t="s">
        <v>9199</v>
      </c>
      <c r="T2797" t="s">
        <v>12802</v>
      </c>
      <c r="U2797" t="s">
        <v>12802</v>
      </c>
      <c r="V2797" t="s">
        <v>12802</v>
      </c>
      <c r="W2797" t="s">
        <v>15552</v>
      </c>
      <c r="X2797">
        <v>16</v>
      </c>
      <c r="Y2797" t="s">
        <v>21815</v>
      </c>
      <c r="Z2797" t="s">
        <v>28115</v>
      </c>
      <c r="AA2797">
        <v>0.56063673628506083</v>
      </c>
      <c r="AB2797" t="str">
        <f>HYPERLINK("Melting_Curves/meltCurve_P53004_BLVRA.pdf", "Melting_Curves/meltCurve_P53004_BLVRA.pdf")</f>
        <v>Melting_Curves/meltCurve_P53004_BLVRA.pdf</v>
      </c>
    </row>
    <row r="2798" spans="1:28" x14ac:dyDescent="0.25">
      <c r="A2798" t="s">
        <v>2802</v>
      </c>
      <c r="B2798">
        <v>0.99542014353169495</v>
      </c>
      <c r="C2798">
        <v>0.88702045484764303</v>
      </c>
      <c r="D2798">
        <v>0.96711931372644899</v>
      </c>
      <c r="E2798">
        <v>0.68796723901649004</v>
      </c>
      <c r="F2798">
        <v>0.64328819397481396</v>
      </c>
      <c r="G2798">
        <v>0.34917265296565603</v>
      </c>
      <c r="H2798">
        <v>0.32916818281708499</v>
      </c>
      <c r="I2798">
        <v>0.289074171970229</v>
      </c>
      <c r="J2798">
        <v>0.373506378936176</v>
      </c>
      <c r="K2798">
        <v>0.46334685892165001</v>
      </c>
      <c r="L2798">
        <v>850.15721191417595</v>
      </c>
      <c r="M2798">
        <v>17.809637152211099</v>
      </c>
      <c r="N2798">
        <v>51.149154237918502</v>
      </c>
      <c r="O2798">
        <v>47.146154082438102</v>
      </c>
      <c r="P2798">
        <v>-6.1609074252166003E-2</v>
      </c>
      <c r="Q2798">
        <v>0.34766072092807698</v>
      </c>
      <c r="R2798">
        <v>0.92551613548666101</v>
      </c>
      <c r="S2798" t="s">
        <v>9200</v>
      </c>
      <c r="T2798" t="s">
        <v>12802</v>
      </c>
      <c r="U2798" t="s">
        <v>12802</v>
      </c>
      <c r="V2798" t="s">
        <v>12802</v>
      </c>
      <c r="W2798" t="s">
        <v>15553</v>
      </c>
      <c r="X2798">
        <v>14</v>
      </c>
      <c r="Y2798" t="s">
        <v>21816</v>
      </c>
      <c r="Z2798" t="s">
        <v>28116</v>
      </c>
      <c r="AA2798">
        <v>0.59175218123975493</v>
      </c>
      <c r="AB2798" t="str">
        <f>HYPERLINK("Melting_Curves/meltCurve_P53007_SLC25A1.pdf", "Melting_Curves/meltCurve_P53007_SLC25A1.pdf")</f>
        <v>Melting_Curves/meltCurve_P53007_SLC25A1.pdf</v>
      </c>
    </row>
    <row r="2799" spans="1:28" x14ac:dyDescent="0.25">
      <c r="A2799" t="s">
        <v>2803</v>
      </c>
      <c r="B2799">
        <v>0.99542014353169495</v>
      </c>
      <c r="C2799">
        <v>0.95266432210356999</v>
      </c>
      <c r="D2799">
        <v>0.91432606142080397</v>
      </c>
      <c r="E2799">
        <v>0.80005733097767195</v>
      </c>
      <c r="F2799">
        <v>0.57638581768274799</v>
      </c>
      <c r="G2799">
        <v>0.33309910634634998</v>
      </c>
      <c r="H2799">
        <v>0.122317789993152</v>
      </c>
      <c r="I2799">
        <v>7.78577025757132E-2</v>
      </c>
      <c r="J2799">
        <v>7.0113641789203804E-2</v>
      </c>
      <c r="K2799">
        <v>8.08248801881363E-2</v>
      </c>
      <c r="L2799">
        <v>778.78626925880599</v>
      </c>
      <c r="M2799">
        <v>15.3336345242496</v>
      </c>
      <c r="N2799">
        <v>50.964206595978297</v>
      </c>
      <c r="O2799">
        <v>49.949085531915699</v>
      </c>
      <c r="P2799">
        <v>-7.4787383732538099E-2</v>
      </c>
      <c r="Q2799">
        <v>2.56152816595401E-2</v>
      </c>
      <c r="R2799">
        <v>0.99577135247245396</v>
      </c>
      <c r="S2799" t="s">
        <v>9201</v>
      </c>
      <c r="T2799" t="s">
        <v>12802</v>
      </c>
      <c r="U2799" t="s">
        <v>12802</v>
      </c>
      <c r="V2799" t="s">
        <v>12802</v>
      </c>
      <c r="W2799" t="s">
        <v>15554</v>
      </c>
      <c r="X2799">
        <v>23</v>
      </c>
      <c r="Y2799" t="s">
        <v>21817</v>
      </c>
      <c r="Z2799" t="s">
        <v>28117</v>
      </c>
      <c r="AA2799">
        <v>0.49269779474447079</v>
      </c>
      <c r="AB2799" t="str">
        <f>HYPERLINK("Melting_Curves/meltCurve_P53350_PLK1.pdf", "Melting_Curves/meltCurve_P53350_PLK1.pdf")</f>
        <v>Melting_Curves/meltCurve_P53350_PLK1.pdf</v>
      </c>
    </row>
    <row r="2800" spans="1:28" x14ac:dyDescent="0.25">
      <c r="A2800" t="s">
        <v>2804</v>
      </c>
      <c r="B2800">
        <v>0.99542014353169495</v>
      </c>
      <c r="C2800">
        <v>0.99456150255211595</v>
      </c>
      <c r="D2800">
        <v>0.94482579461842797</v>
      </c>
      <c r="E2800">
        <v>0.76742265218565198</v>
      </c>
      <c r="F2800">
        <v>0.38132762110112101</v>
      </c>
      <c r="G2800">
        <v>0.15056683844893601</v>
      </c>
      <c r="H2800">
        <v>0.125122798054805</v>
      </c>
      <c r="I2800">
        <v>7.7735471168690506E-2</v>
      </c>
      <c r="J2800">
        <v>7.6680644961545197E-2</v>
      </c>
      <c r="K2800">
        <v>7.1827240702189696E-2</v>
      </c>
      <c r="L2800">
        <v>1143.59739485822</v>
      </c>
      <c r="M2800">
        <v>23.4863194822304</v>
      </c>
      <c r="N2800">
        <v>49.032246284097603</v>
      </c>
      <c r="O2800">
        <v>48.343171978295402</v>
      </c>
      <c r="P2800">
        <v>-0.112327434420346</v>
      </c>
      <c r="Q2800">
        <v>7.5177017556613601E-2</v>
      </c>
      <c r="R2800">
        <v>0.99925383497137599</v>
      </c>
      <c r="S2800" t="s">
        <v>9202</v>
      </c>
      <c r="T2800" t="s">
        <v>12802</v>
      </c>
      <c r="U2800" t="s">
        <v>12802</v>
      </c>
      <c r="V2800" t="s">
        <v>12802</v>
      </c>
      <c r="W2800" t="s">
        <v>15555</v>
      </c>
      <c r="X2800">
        <v>7</v>
      </c>
      <c r="Y2800" t="s">
        <v>21818</v>
      </c>
      <c r="Z2800" t="s">
        <v>28118</v>
      </c>
      <c r="AA2800">
        <v>0.44459917433432328</v>
      </c>
      <c r="AB2800" t="str">
        <f>HYPERLINK("Melting_Curves/meltCurve_P53365_ARFIP2.pdf", "Melting_Curves/meltCurve_P53365_ARFIP2.pdf")</f>
        <v>Melting_Curves/meltCurve_P53365_ARFIP2.pdf</v>
      </c>
    </row>
    <row r="2801" spans="1:28" x14ac:dyDescent="0.25">
      <c r="A2801" t="s">
        <v>2805</v>
      </c>
      <c r="B2801">
        <v>0.99542014353169495</v>
      </c>
      <c r="C2801">
        <v>1.13248539607268</v>
      </c>
      <c r="D2801">
        <v>0.95988168005291197</v>
      </c>
      <c r="E2801">
        <v>0.67405342253346701</v>
      </c>
      <c r="F2801">
        <v>0.31070608381979598</v>
      </c>
      <c r="G2801">
        <v>0.16904126905943201</v>
      </c>
      <c r="H2801">
        <v>0.158584694307008</v>
      </c>
      <c r="I2801">
        <v>7.4511571730817197E-2</v>
      </c>
      <c r="J2801">
        <v>2.4304205829161301E-2</v>
      </c>
      <c r="K2801">
        <v>3.8099132587497302E-2</v>
      </c>
      <c r="L2801">
        <v>1091.42717358297</v>
      </c>
      <c r="M2801">
        <v>22.722843756109501</v>
      </c>
      <c r="N2801">
        <v>48.343839798149901</v>
      </c>
      <c r="O2801">
        <v>47.664776126902801</v>
      </c>
      <c r="P2801">
        <v>-0.111062074360888</v>
      </c>
      <c r="Q2801">
        <v>6.8136738630963506E-2</v>
      </c>
      <c r="R2801">
        <v>0.98319639289971705</v>
      </c>
      <c r="S2801" t="s">
        <v>9203</v>
      </c>
      <c r="T2801" t="s">
        <v>12802</v>
      </c>
      <c r="U2801" t="s">
        <v>12802</v>
      </c>
      <c r="V2801" t="s">
        <v>12802</v>
      </c>
      <c r="W2801" t="s">
        <v>15556</v>
      </c>
      <c r="X2801">
        <v>15</v>
      </c>
      <c r="Y2801" t="s">
        <v>21819</v>
      </c>
      <c r="Z2801" t="s">
        <v>28119</v>
      </c>
      <c r="AA2801">
        <v>0.42040193192916092</v>
      </c>
      <c r="AB2801" t="str">
        <f>HYPERLINK("Melting_Curves/meltCurve_P53367_ARFIP1.pdf", "Melting_Curves/meltCurve_P53367_ARFIP1.pdf")</f>
        <v>Melting_Curves/meltCurve_P53367_ARFIP1.pdf</v>
      </c>
    </row>
    <row r="2802" spans="1:28" x14ac:dyDescent="0.25">
      <c r="A2802" t="s">
        <v>2806</v>
      </c>
      <c r="B2802">
        <v>0.99542014353169495</v>
      </c>
      <c r="C2802">
        <v>1.02102674923249</v>
      </c>
      <c r="D2802">
        <v>0.90402898623911898</v>
      </c>
      <c r="E2802">
        <v>0.56323439207091996</v>
      </c>
      <c r="F2802">
        <v>0.20253553013141101</v>
      </c>
      <c r="G2802">
        <v>9.9641601780972103E-2</v>
      </c>
      <c r="H2802">
        <v>6.6819002441941097E-2</v>
      </c>
      <c r="I2802">
        <v>4.3910152320707101E-2</v>
      </c>
      <c r="J2802">
        <v>4.6462572991550398E-2</v>
      </c>
      <c r="K2802">
        <v>5.0714750101067699E-2</v>
      </c>
      <c r="L2802">
        <v>1163.19537944845</v>
      </c>
      <c r="M2802">
        <v>24.8012269580802</v>
      </c>
      <c r="N2802">
        <v>47.102030345480998</v>
      </c>
      <c r="O2802">
        <v>46.598988949105397</v>
      </c>
      <c r="P2802">
        <v>-0.12636739315287601</v>
      </c>
      <c r="Q2802">
        <v>5.0287147681578402E-2</v>
      </c>
      <c r="R2802">
        <v>0.99912196967019296</v>
      </c>
      <c r="S2802" t="s">
        <v>9204</v>
      </c>
      <c r="T2802" t="s">
        <v>12802</v>
      </c>
      <c r="U2802" t="s">
        <v>12802</v>
      </c>
      <c r="V2802" t="s">
        <v>12802</v>
      </c>
      <c r="W2802" t="s">
        <v>15557</v>
      </c>
      <c r="X2802">
        <v>15</v>
      </c>
      <c r="Y2802" t="s">
        <v>21819</v>
      </c>
      <c r="Z2802" t="s">
        <v>28120</v>
      </c>
      <c r="AA2802">
        <v>0.37180882549243222</v>
      </c>
      <c r="AB2802" t="str">
        <f>HYPERLINK("Melting_Curves/meltCurve_P53367_2_ARFIP1.pdf", "Melting_Curves/meltCurve_P53367_2_ARFIP1.pdf")</f>
        <v>Melting_Curves/meltCurve_P53367_2_ARFIP1.pdf</v>
      </c>
    </row>
    <row r="2803" spans="1:28" x14ac:dyDescent="0.25">
      <c r="A2803" t="s">
        <v>2807</v>
      </c>
      <c r="B2803">
        <v>0.99542014353169495</v>
      </c>
      <c r="C2803">
        <v>1.05041136339621</v>
      </c>
      <c r="D2803">
        <v>1.0580261274135101</v>
      </c>
      <c r="E2803">
        <v>1.1009388004235701</v>
      </c>
      <c r="F2803">
        <v>0.95974668204109403</v>
      </c>
      <c r="G2803">
        <v>0.66977293917131897</v>
      </c>
      <c r="H2803">
        <v>0.26699589924136802</v>
      </c>
      <c r="I2803">
        <v>9.3845601273178203E-2</v>
      </c>
      <c r="J2803">
        <v>8.9196092454663894E-2</v>
      </c>
      <c r="K2803">
        <v>6.64745182004325E-2</v>
      </c>
      <c r="L2803">
        <v>1741.37908704451</v>
      </c>
      <c r="M2803">
        <v>31.7242623470501</v>
      </c>
      <c r="N2803">
        <v>55.149042003447498</v>
      </c>
      <c r="O2803">
        <v>54.674358559855499</v>
      </c>
      <c r="P2803">
        <v>-0.135058480176627</v>
      </c>
      <c r="Q2803">
        <v>6.8952763299657105E-2</v>
      </c>
      <c r="R2803">
        <v>0.99063682745395998</v>
      </c>
      <c r="S2803" t="s">
        <v>9205</v>
      </c>
      <c r="T2803" t="s">
        <v>12802</v>
      </c>
      <c r="U2803" t="s">
        <v>12802</v>
      </c>
      <c r="V2803" t="s">
        <v>12802</v>
      </c>
      <c r="W2803" t="s">
        <v>15558</v>
      </c>
      <c r="X2803">
        <v>8</v>
      </c>
      <c r="Y2803" t="s">
        <v>21820</v>
      </c>
      <c r="Z2803" t="s">
        <v>28121</v>
      </c>
      <c r="AA2803">
        <v>0.62956735569163058</v>
      </c>
      <c r="AB2803" t="str">
        <f>HYPERLINK("Melting_Curves/meltCurve_P53384_2_NUBP1.pdf", "Melting_Curves/meltCurve_P53384_2_NUBP1.pdf")</f>
        <v>Melting_Curves/meltCurve_P53384_2_NUBP1.pdf</v>
      </c>
    </row>
    <row r="2804" spans="1:28" x14ac:dyDescent="0.25">
      <c r="A2804" t="s">
        <v>2808</v>
      </c>
      <c r="B2804">
        <v>0.99542014353169495</v>
      </c>
      <c r="C2804">
        <v>0.84504263662271295</v>
      </c>
      <c r="D2804">
        <v>0.88944923670002496</v>
      </c>
      <c r="E2804">
        <v>0.69997868235859095</v>
      </c>
      <c r="F2804">
        <v>0.55815058107932203</v>
      </c>
      <c r="G2804">
        <v>0.179644291091345</v>
      </c>
      <c r="H2804">
        <v>7.0589175831066803E-2</v>
      </c>
      <c r="I2804">
        <v>4.5894812645731198E-2</v>
      </c>
      <c r="J2804">
        <v>4.9554052348215402E-2</v>
      </c>
      <c r="K2804">
        <v>5.0211669972303301E-2</v>
      </c>
      <c r="L2804">
        <v>721.02429734926102</v>
      </c>
      <c r="M2804">
        <v>14.538178373236001</v>
      </c>
      <c r="N2804">
        <v>49.595245535293202</v>
      </c>
      <c r="O2804">
        <v>48.685201080869497</v>
      </c>
      <c r="P2804">
        <v>-7.4662516521326397E-2</v>
      </c>
      <c r="Q2804">
        <v>0</v>
      </c>
      <c r="R2804">
        <v>0.97553803569731201</v>
      </c>
      <c r="S2804" t="s">
        <v>9206</v>
      </c>
      <c r="T2804" t="s">
        <v>12802</v>
      </c>
      <c r="U2804" t="s">
        <v>12802</v>
      </c>
      <c r="V2804" t="s">
        <v>12802</v>
      </c>
      <c r="W2804" t="s">
        <v>15559</v>
      </c>
      <c r="X2804">
        <v>57</v>
      </c>
      <c r="Y2804" t="s">
        <v>21821</v>
      </c>
      <c r="Z2804" t="s">
        <v>28122</v>
      </c>
      <c r="AA2804">
        <v>0.44200877787659099</v>
      </c>
      <c r="AB2804" t="str">
        <f>HYPERLINK("Melting_Curves/meltCurve_P53396_ACLY.pdf", "Melting_Curves/meltCurve_P53396_ACLY.pdf")</f>
        <v>Melting_Curves/meltCurve_P53396_ACLY.pdf</v>
      </c>
    </row>
    <row r="2805" spans="1:28" x14ac:dyDescent="0.25">
      <c r="A2805" t="s">
        <v>2809</v>
      </c>
      <c r="B2805">
        <v>0.99542014353169495</v>
      </c>
      <c r="C2805">
        <v>0.95131576737858603</v>
      </c>
      <c r="D2805">
        <v>0.89600264876550895</v>
      </c>
      <c r="E2805">
        <v>0.71590101347500001</v>
      </c>
      <c r="F2805">
        <v>0.41958102071310999</v>
      </c>
      <c r="G2805">
        <v>0.25970395486019399</v>
      </c>
      <c r="H2805">
        <v>0.1164247349359</v>
      </c>
      <c r="I2805">
        <v>6.3890723932381099E-2</v>
      </c>
      <c r="J2805">
        <v>7.7565223338442693E-2</v>
      </c>
      <c r="K2805">
        <v>7.9457859795115798E-2</v>
      </c>
      <c r="L2805">
        <v>760.46801832374399</v>
      </c>
      <c r="M2805">
        <v>15.5264894347471</v>
      </c>
      <c r="N2805">
        <v>49.284114984685601</v>
      </c>
      <c r="O2805">
        <v>48.187847301549901</v>
      </c>
      <c r="P2805">
        <v>-7.6864560033283999E-2</v>
      </c>
      <c r="Q2805">
        <v>4.5860084313937302E-2</v>
      </c>
      <c r="R2805">
        <v>0.99797996943388001</v>
      </c>
      <c r="S2805" t="s">
        <v>9207</v>
      </c>
      <c r="T2805" t="s">
        <v>12802</v>
      </c>
      <c r="U2805" t="s">
        <v>12802</v>
      </c>
      <c r="V2805" t="s">
        <v>12802</v>
      </c>
      <c r="W2805" t="s">
        <v>15560</v>
      </c>
      <c r="X2805">
        <v>13</v>
      </c>
      <c r="Y2805" t="s">
        <v>21822</v>
      </c>
      <c r="Z2805" t="s">
        <v>28123</v>
      </c>
      <c r="AA2805">
        <v>0.44628148344919449</v>
      </c>
      <c r="AB2805" t="str">
        <f>HYPERLINK("Melting_Curves/meltCurve_P53582_METAP1.pdf", "Melting_Curves/meltCurve_P53582_METAP1.pdf")</f>
        <v>Melting_Curves/meltCurve_P53582_METAP1.pdf</v>
      </c>
    </row>
    <row r="2806" spans="1:28" x14ac:dyDescent="0.25">
      <c r="A2806" t="s">
        <v>2810</v>
      </c>
      <c r="B2806">
        <v>0.99542014353169495</v>
      </c>
      <c r="C2806">
        <v>1.0245047281394299</v>
      </c>
      <c r="D2806">
        <v>0.93686946972691898</v>
      </c>
      <c r="E2806">
        <v>0.852747262398032</v>
      </c>
      <c r="F2806">
        <v>0.46324063164075602</v>
      </c>
      <c r="G2806">
        <v>0.114230394321287</v>
      </c>
      <c r="H2806">
        <v>6.2967526856853501E-2</v>
      </c>
      <c r="I2806">
        <v>4.3028535197151101E-2</v>
      </c>
      <c r="J2806">
        <v>6.4262248793292301E-2</v>
      </c>
      <c r="K2806">
        <v>6.83441570784728E-2</v>
      </c>
      <c r="L2806">
        <v>1379.71915770633</v>
      </c>
      <c r="M2806">
        <v>27.826466191161799</v>
      </c>
      <c r="N2806">
        <v>49.763721025197199</v>
      </c>
      <c r="O2806">
        <v>49.329025973787999</v>
      </c>
      <c r="P2806">
        <v>-0.134247968740108</v>
      </c>
      <c r="Q2806">
        <v>4.8062622973411101E-2</v>
      </c>
      <c r="R2806">
        <v>0.99695801251687399</v>
      </c>
      <c r="S2806" t="s">
        <v>9208</v>
      </c>
      <c r="T2806" t="s">
        <v>12802</v>
      </c>
      <c r="U2806" t="s">
        <v>12802</v>
      </c>
      <c r="V2806" t="s">
        <v>12802</v>
      </c>
      <c r="W2806" t="s">
        <v>15561</v>
      </c>
      <c r="X2806">
        <v>9</v>
      </c>
      <c r="Y2806" t="s">
        <v>21823</v>
      </c>
      <c r="Z2806" t="s">
        <v>28124</v>
      </c>
      <c r="AA2806">
        <v>0.4540647586958253</v>
      </c>
      <c r="AB2806" t="str">
        <f>HYPERLINK("Melting_Curves/meltCurve_P53597_SUCLG1.pdf", "Melting_Curves/meltCurve_P53597_SUCLG1.pdf")</f>
        <v>Melting_Curves/meltCurve_P53597_SUCLG1.pdf</v>
      </c>
    </row>
    <row r="2807" spans="1:28" x14ac:dyDescent="0.25">
      <c r="A2807" t="s">
        <v>2811</v>
      </c>
      <c r="B2807">
        <v>0.99542014353169495</v>
      </c>
      <c r="C2807">
        <v>0.97754864532472696</v>
      </c>
      <c r="D2807">
        <v>0.91540148258195198</v>
      </c>
      <c r="E2807">
        <v>0.83773159917459605</v>
      </c>
      <c r="F2807">
        <v>0.710572855104186</v>
      </c>
      <c r="G2807">
        <v>0.471666841124599</v>
      </c>
      <c r="H2807">
        <v>0.102671882268034</v>
      </c>
      <c r="I2807">
        <v>6.4614411899091007E-2</v>
      </c>
      <c r="J2807">
        <v>5.8117383507983601E-2</v>
      </c>
      <c r="K2807">
        <v>5.99862243329553E-2</v>
      </c>
      <c r="L2807">
        <v>885.96714138790799</v>
      </c>
      <c r="M2807">
        <v>16.861531204257702</v>
      </c>
      <c r="N2807">
        <v>52.543696388837603</v>
      </c>
      <c r="O2807">
        <v>51.8213322751497</v>
      </c>
      <c r="P2807">
        <v>-8.1349739860432702E-2</v>
      </c>
      <c r="Q2807">
        <v>0</v>
      </c>
      <c r="R2807">
        <v>0.98510105464429099</v>
      </c>
      <c r="S2807" t="s">
        <v>9209</v>
      </c>
      <c r="T2807" t="s">
        <v>12802</v>
      </c>
      <c r="U2807" t="s">
        <v>12802</v>
      </c>
      <c r="V2807" t="s">
        <v>12802</v>
      </c>
      <c r="W2807" t="s">
        <v>15562</v>
      </c>
      <c r="X2807">
        <v>14</v>
      </c>
      <c r="Y2807" t="s">
        <v>21824</v>
      </c>
      <c r="Z2807" t="s">
        <v>28125</v>
      </c>
      <c r="AA2807">
        <v>0.53427028670076848</v>
      </c>
      <c r="AB2807" t="str">
        <f>HYPERLINK("Melting_Curves/meltCurve_P53602_MVD.pdf", "Melting_Curves/meltCurve_P53602_MVD.pdf")</f>
        <v>Melting_Curves/meltCurve_P53602_MVD.pdf</v>
      </c>
    </row>
    <row r="2808" spans="1:28" x14ac:dyDescent="0.25">
      <c r="A2808" t="s">
        <v>2812</v>
      </c>
      <c r="B2808">
        <v>0.99542014353169495</v>
      </c>
      <c r="C2808">
        <v>1.04727240260912</v>
      </c>
      <c r="D2808">
        <v>0.96856409545359801</v>
      </c>
      <c r="E2808">
        <v>0.82239553482166095</v>
      </c>
      <c r="F2808">
        <v>0.66726134879388699</v>
      </c>
      <c r="G2808">
        <v>0.412629369244293</v>
      </c>
      <c r="H2808">
        <v>9.6302811638777103E-2</v>
      </c>
      <c r="I2808">
        <v>5.5753197791556901E-2</v>
      </c>
      <c r="J2808">
        <v>6.2399013764761098E-2</v>
      </c>
      <c r="K2808">
        <v>5.9638867651338801E-2</v>
      </c>
      <c r="L2808">
        <v>896.11234352645101</v>
      </c>
      <c r="M2808">
        <v>17.249004795863101</v>
      </c>
      <c r="N2808">
        <v>51.996923813284603</v>
      </c>
      <c r="O2808">
        <v>51.268353728421701</v>
      </c>
      <c r="P2808">
        <v>-8.3487636635489096E-2</v>
      </c>
      <c r="Q2808">
        <v>7.4734291699780197E-3</v>
      </c>
      <c r="R2808">
        <v>0.99009165204563898</v>
      </c>
      <c r="S2808" t="s">
        <v>9210</v>
      </c>
      <c r="T2808" t="s">
        <v>12802</v>
      </c>
      <c r="U2808" t="s">
        <v>12802</v>
      </c>
      <c r="V2808" t="s">
        <v>12802</v>
      </c>
      <c r="W2808" t="s">
        <v>15563</v>
      </c>
      <c r="X2808">
        <v>9</v>
      </c>
      <c r="Y2808" t="s">
        <v>21825</v>
      </c>
      <c r="Z2808" t="s">
        <v>28126</v>
      </c>
      <c r="AA2808">
        <v>0.51808924119025468</v>
      </c>
      <c r="AB2808" t="str">
        <f>HYPERLINK("Melting_Curves/meltCurve_P53609_PGGT1B.pdf", "Melting_Curves/meltCurve_P53609_PGGT1B.pdf")</f>
        <v>Melting_Curves/meltCurve_P53609_PGGT1B.pdf</v>
      </c>
    </row>
    <row r="2809" spans="1:28" x14ac:dyDescent="0.25">
      <c r="A2809" t="s">
        <v>2813</v>
      </c>
      <c r="B2809">
        <v>0.99542014353169495</v>
      </c>
      <c r="C2809">
        <v>0.86631872937423504</v>
      </c>
      <c r="D2809">
        <v>0.95249171365062202</v>
      </c>
      <c r="E2809">
        <v>0.71512767181068904</v>
      </c>
      <c r="F2809">
        <v>0.50907908916328004</v>
      </c>
      <c r="G2809">
        <v>0.209053591088361</v>
      </c>
      <c r="H2809">
        <v>7.9710386899739194E-2</v>
      </c>
      <c r="I2809">
        <v>5.3738547399890799E-2</v>
      </c>
      <c r="J2809">
        <v>5.1692920643642601E-2</v>
      </c>
      <c r="K2809">
        <v>4.5678868525219601E-2</v>
      </c>
      <c r="L2809">
        <v>785.69812685636498</v>
      </c>
      <c r="M2809">
        <v>15.8277024546548</v>
      </c>
      <c r="N2809">
        <v>49.699458251560301</v>
      </c>
      <c r="O2809">
        <v>48.868548717259401</v>
      </c>
      <c r="P2809">
        <v>-8.0226850269093097E-2</v>
      </c>
      <c r="Q2809">
        <v>9.2690524616704205E-3</v>
      </c>
      <c r="R2809">
        <v>0.98693635353620002</v>
      </c>
      <c r="S2809" t="s">
        <v>9211</v>
      </c>
      <c r="T2809" t="s">
        <v>12802</v>
      </c>
      <c r="U2809" t="s">
        <v>12802</v>
      </c>
      <c r="V2809" t="s">
        <v>12802</v>
      </c>
      <c r="W2809" t="s">
        <v>15241</v>
      </c>
      <c r="X2809">
        <v>33</v>
      </c>
      <c r="Y2809" t="s">
        <v>21826</v>
      </c>
      <c r="Z2809" t="s">
        <v>28127</v>
      </c>
      <c r="AA2809">
        <v>0.44601756721319691</v>
      </c>
      <c r="AB2809" t="str">
        <f>HYPERLINK("Melting_Curves/meltCurve_P53618_COPB1.pdf", "Melting_Curves/meltCurve_P53618_COPB1.pdf")</f>
        <v>Melting_Curves/meltCurve_P53618_COPB1.pdf</v>
      </c>
    </row>
    <row r="2810" spans="1:28" x14ac:dyDescent="0.25">
      <c r="A2810" t="s">
        <v>2814</v>
      </c>
      <c r="B2810">
        <v>0.99542014353169495</v>
      </c>
      <c r="C2810">
        <v>0.79709073657118901</v>
      </c>
      <c r="D2810">
        <v>0.892744261331617</v>
      </c>
      <c r="E2810">
        <v>0.64984805919146404</v>
      </c>
      <c r="F2810">
        <v>0.43337006735886102</v>
      </c>
      <c r="G2810">
        <v>0.13481267739436101</v>
      </c>
      <c r="H2810">
        <v>5.6164065005711201E-2</v>
      </c>
      <c r="I2810">
        <v>3.9538719952515802E-2</v>
      </c>
      <c r="J2810">
        <v>4.25539497038653E-2</v>
      </c>
      <c r="K2810">
        <v>4.8660168481537203E-2</v>
      </c>
      <c r="L2810">
        <v>698.47940258317703</v>
      </c>
      <c r="M2810">
        <v>14.410453367072099</v>
      </c>
      <c r="N2810">
        <v>48.470328138024797</v>
      </c>
      <c r="O2810">
        <v>47.565592420504501</v>
      </c>
      <c r="P2810">
        <v>-7.57488551372546E-2</v>
      </c>
      <c r="Q2810">
        <v>0</v>
      </c>
      <c r="R2810">
        <v>0.97419293846490596</v>
      </c>
      <c r="S2810" t="s">
        <v>9212</v>
      </c>
      <c r="T2810" t="s">
        <v>12802</v>
      </c>
      <c r="U2810" t="s">
        <v>12802</v>
      </c>
      <c r="V2810" t="s">
        <v>12802</v>
      </c>
      <c r="W2810" t="s">
        <v>15564</v>
      </c>
      <c r="X2810">
        <v>54</v>
      </c>
      <c r="Y2810" t="s">
        <v>21827</v>
      </c>
      <c r="Z2810" t="s">
        <v>28128</v>
      </c>
      <c r="AA2810">
        <v>0.40558960022669249</v>
      </c>
      <c r="AB2810" t="str">
        <f>HYPERLINK("Melting_Curves/meltCurve_P53621_COPA.pdf", "Melting_Curves/meltCurve_P53621_COPA.pdf")</f>
        <v>Melting_Curves/meltCurve_P53621_COPA.pdf</v>
      </c>
    </row>
    <row r="2811" spans="1:28" x14ac:dyDescent="0.25">
      <c r="A2811" t="s">
        <v>2815</v>
      </c>
      <c r="B2811">
        <v>0.99542014353169495</v>
      </c>
      <c r="C2811">
        <v>0.94231093527835097</v>
      </c>
      <c r="D2811">
        <v>0.94032201705907004</v>
      </c>
      <c r="E2811">
        <v>0.81720778284479401</v>
      </c>
      <c r="F2811">
        <v>0.66048246404840705</v>
      </c>
      <c r="G2811">
        <v>0.52543721744652006</v>
      </c>
      <c r="H2811">
        <v>0.39151525012829103</v>
      </c>
      <c r="I2811">
        <v>0.409718854020585</v>
      </c>
      <c r="J2811">
        <v>0.37980690942060202</v>
      </c>
      <c r="K2811">
        <v>0.27281074347726503</v>
      </c>
      <c r="L2811">
        <v>599.31549157504503</v>
      </c>
      <c r="M2811">
        <v>11.8189633100513</v>
      </c>
      <c r="N2811">
        <v>54.564471864599298</v>
      </c>
      <c r="O2811">
        <v>49.321622687193603</v>
      </c>
      <c r="P2811">
        <v>-4.2956537038348702E-2</v>
      </c>
      <c r="Q2811">
        <v>0.28313695677939799</v>
      </c>
      <c r="R2811">
        <v>0.98776664453715601</v>
      </c>
      <c r="S2811" t="s">
        <v>9213</v>
      </c>
      <c r="T2811" t="s">
        <v>12802</v>
      </c>
      <c r="U2811" t="s">
        <v>12802</v>
      </c>
      <c r="V2811" t="s">
        <v>12802</v>
      </c>
      <c r="W2811" t="s">
        <v>15565</v>
      </c>
      <c r="X2811">
        <v>15</v>
      </c>
      <c r="Y2811" t="s">
        <v>21828</v>
      </c>
      <c r="Z2811" t="s">
        <v>28129</v>
      </c>
      <c r="AA2811">
        <v>0.63009096299784118</v>
      </c>
      <c r="AB2811" t="str">
        <f>HYPERLINK("Melting_Curves/meltCurve_P53634_CTSC.pdf", "Melting_Curves/meltCurve_P53634_CTSC.pdf")</f>
        <v>Melting_Curves/meltCurve_P53634_CTSC.pdf</v>
      </c>
    </row>
    <row r="2812" spans="1:28" x14ac:dyDescent="0.25">
      <c r="A2812" t="s">
        <v>2816</v>
      </c>
      <c r="B2812">
        <v>0.99542014353169495</v>
      </c>
      <c r="C2812">
        <v>1.02602033310109</v>
      </c>
      <c r="D2812">
        <v>1.02183897133061</v>
      </c>
      <c r="E2812">
        <v>0.96185019132037697</v>
      </c>
      <c r="F2812">
        <v>0.81218115839610705</v>
      </c>
      <c r="G2812">
        <v>0.67311378770466102</v>
      </c>
      <c r="H2812">
        <v>0.38081300314320898</v>
      </c>
      <c r="I2812">
        <v>0.24923285200071399</v>
      </c>
      <c r="J2812">
        <v>0.18763469159995899</v>
      </c>
      <c r="K2812">
        <v>0.145163071575482</v>
      </c>
      <c r="L2812">
        <v>911.37911903195504</v>
      </c>
      <c r="M2812">
        <v>16.559649559884999</v>
      </c>
      <c r="N2812">
        <v>55.801321299203103</v>
      </c>
      <c r="O2812">
        <v>54.252325080918702</v>
      </c>
      <c r="P2812">
        <v>-6.8562504300507698E-2</v>
      </c>
      <c r="Q2812">
        <v>0.10157026006311499</v>
      </c>
      <c r="R2812">
        <v>0.99587820774950897</v>
      </c>
      <c r="S2812" t="s">
        <v>9214</v>
      </c>
      <c r="T2812" t="s">
        <v>12802</v>
      </c>
      <c r="U2812" t="s">
        <v>12802</v>
      </c>
      <c r="V2812" t="s">
        <v>12802</v>
      </c>
      <c r="W2812" t="s">
        <v>15566</v>
      </c>
      <c r="X2812">
        <v>17</v>
      </c>
      <c r="Y2812" t="s">
        <v>21829</v>
      </c>
      <c r="Z2812" t="s">
        <v>28130</v>
      </c>
      <c r="AA2812">
        <v>0.65368233779292573</v>
      </c>
      <c r="AB2812" t="str">
        <f>HYPERLINK("Melting_Curves/meltCurve_P53701_HCCS.pdf", "Melting_Curves/meltCurve_P53701_HCCS.pdf")</f>
        <v>Melting_Curves/meltCurve_P53701_HCCS.pdf</v>
      </c>
    </row>
    <row r="2813" spans="1:28" x14ac:dyDescent="0.25">
      <c r="A2813" t="s">
        <v>2817</v>
      </c>
      <c r="B2813">
        <v>0.99542014353169495</v>
      </c>
      <c r="C2813">
        <v>0.92194114930837601</v>
      </c>
      <c r="D2813">
        <v>0.82421148318778203</v>
      </c>
      <c r="E2813">
        <v>0.76535392191392504</v>
      </c>
      <c r="F2813">
        <v>0.60437271958397498</v>
      </c>
      <c r="G2813">
        <v>0.39502223919438001</v>
      </c>
      <c r="H2813">
        <v>0.171359012424287</v>
      </c>
      <c r="I2813">
        <v>7.3322752114713299E-2</v>
      </c>
      <c r="J2813">
        <v>5.8452351682565899E-2</v>
      </c>
      <c r="K2813">
        <v>0.111881094183129</v>
      </c>
      <c r="L2813">
        <v>596.86827195675596</v>
      </c>
      <c r="M2813">
        <v>11.6724988969157</v>
      </c>
      <c r="N2813">
        <v>51.134574863660298</v>
      </c>
      <c r="O2813">
        <v>49.7028965716123</v>
      </c>
      <c r="P2813">
        <v>-5.8727115117350098E-2</v>
      </c>
      <c r="Q2813">
        <v>0</v>
      </c>
      <c r="R2813">
        <v>0.983498944446769</v>
      </c>
      <c r="S2813" t="s">
        <v>9215</v>
      </c>
      <c r="T2813" t="s">
        <v>12802</v>
      </c>
      <c r="U2813" t="s">
        <v>12802</v>
      </c>
      <c r="V2813" t="s">
        <v>12802</v>
      </c>
      <c r="W2813" t="s">
        <v>15567</v>
      </c>
      <c r="X2813">
        <v>4</v>
      </c>
      <c r="Y2813" t="s">
        <v>21830</v>
      </c>
      <c r="Z2813" t="s">
        <v>28131</v>
      </c>
      <c r="AA2813">
        <v>0.4975829675132849</v>
      </c>
      <c r="AB2813" t="str">
        <f>HYPERLINK("Melting_Curves/meltCurve_P53778_MAPK12.pdf", "Melting_Curves/meltCurve_P53778_MAPK12.pdf")</f>
        <v>Melting_Curves/meltCurve_P53778_MAPK12.pdf</v>
      </c>
    </row>
    <row r="2814" spans="1:28" x14ac:dyDescent="0.25">
      <c r="A2814" t="s">
        <v>2818</v>
      </c>
      <c r="B2814">
        <v>0.99542014353169495</v>
      </c>
      <c r="C2814">
        <v>0.94850987374459095</v>
      </c>
      <c r="D2814">
        <v>1.0265463901428999</v>
      </c>
      <c r="E2814">
        <v>0.81927787124833495</v>
      </c>
      <c r="F2814">
        <v>0.74722713207018399</v>
      </c>
      <c r="G2814">
        <v>0.423866802138957</v>
      </c>
      <c r="H2814">
        <v>0.383628055065661</v>
      </c>
      <c r="I2814">
        <v>0.330410919911092</v>
      </c>
      <c r="J2814">
        <v>0.398684256195038</v>
      </c>
      <c r="K2814">
        <v>0.44055849624621601</v>
      </c>
      <c r="L2814">
        <v>1127.79722552045</v>
      </c>
      <c r="M2814">
        <v>22.5599806772519</v>
      </c>
      <c r="N2814">
        <v>53.2069746096915</v>
      </c>
      <c r="O2814">
        <v>49.6032311095748</v>
      </c>
      <c r="P2814">
        <v>-7.1392066089009096E-2</v>
      </c>
      <c r="Q2814">
        <v>0.37212613025844699</v>
      </c>
      <c r="R2814">
        <v>0.96220257360281003</v>
      </c>
      <c r="S2814" t="s">
        <v>9216</v>
      </c>
      <c r="T2814" t="s">
        <v>12802</v>
      </c>
      <c r="U2814" t="s">
        <v>12802</v>
      </c>
      <c r="V2814" t="s">
        <v>12802</v>
      </c>
      <c r="W2814" t="s">
        <v>15568</v>
      </c>
      <c r="X2814">
        <v>2</v>
      </c>
      <c r="Y2814" t="s">
        <v>21831</v>
      </c>
      <c r="Z2814" t="s">
        <v>28132</v>
      </c>
      <c r="AA2814">
        <v>0.65067497155377008</v>
      </c>
      <c r="AB2814" t="str">
        <f>HYPERLINK("Melting_Curves/meltCurve_P53794_SLC5A3.pdf", "Melting_Curves/meltCurve_P53794_SLC5A3.pdf")</f>
        <v>Melting_Curves/meltCurve_P53794_SLC5A3.pdf</v>
      </c>
    </row>
    <row r="2815" spans="1:28" x14ac:dyDescent="0.25">
      <c r="A2815" t="s">
        <v>2819</v>
      </c>
      <c r="B2815">
        <v>0.99542014353169495</v>
      </c>
      <c r="C2815">
        <v>0.90857757163981401</v>
      </c>
      <c r="D2815">
        <v>0.85765393316135996</v>
      </c>
      <c r="E2815">
        <v>0.71798622651086796</v>
      </c>
      <c r="F2815">
        <v>0.54586320333188099</v>
      </c>
      <c r="G2815">
        <v>0.40735636101954398</v>
      </c>
      <c r="H2815">
        <v>0.31300811998641198</v>
      </c>
      <c r="I2815">
        <v>0.29113592368284302</v>
      </c>
      <c r="J2815">
        <v>0.37028938090845698</v>
      </c>
      <c r="K2815">
        <v>0.40232638865797898</v>
      </c>
      <c r="L2815">
        <v>689.784547622883</v>
      </c>
      <c r="M2815">
        <v>14.6104151552773</v>
      </c>
      <c r="N2815">
        <v>50.848731995227297</v>
      </c>
      <c r="O2815">
        <v>46.353833892927497</v>
      </c>
      <c r="P2815">
        <v>-5.3261605289017598E-2</v>
      </c>
      <c r="Q2815">
        <v>0.32415255104593399</v>
      </c>
      <c r="R2815">
        <v>0.97463516979627396</v>
      </c>
      <c r="S2815" t="s">
        <v>9217</v>
      </c>
      <c r="T2815" t="s">
        <v>12802</v>
      </c>
      <c r="U2815" t="s">
        <v>12802</v>
      </c>
      <c r="V2815" t="s">
        <v>12802</v>
      </c>
      <c r="W2815" t="s">
        <v>15569</v>
      </c>
      <c r="X2815">
        <v>3</v>
      </c>
      <c r="Y2815" t="s">
        <v>21832</v>
      </c>
      <c r="Z2815" t="s">
        <v>28133</v>
      </c>
      <c r="AA2815">
        <v>0.57006808659781327</v>
      </c>
      <c r="AB2815" t="str">
        <f>HYPERLINK("Melting_Curves/meltCurve_P53803_POLR2K.pdf", "Melting_Curves/meltCurve_P53803_POLR2K.pdf")</f>
        <v>Melting_Curves/meltCurve_P53803_POLR2K.pdf</v>
      </c>
    </row>
    <row r="2816" spans="1:28" x14ac:dyDescent="0.25">
      <c r="A2816" t="s">
        <v>2820</v>
      </c>
      <c r="B2816">
        <v>0.99542014353169495</v>
      </c>
      <c r="C2816">
        <v>1.0047517443423</v>
      </c>
      <c r="D2816">
        <v>0.88017440828096505</v>
      </c>
      <c r="E2816">
        <v>0.69808798019195495</v>
      </c>
      <c r="F2816">
        <v>0.36142060510342899</v>
      </c>
      <c r="G2816">
        <v>0.180979122741034</v>
      </c>
      <c r="H2816">
        <v>9.3420295975266104E-2</v>
      </c>
      <c r="I2816">
        <v>6.3783354914659904E-2</v>
      </c>
      <c r="J2816">
        <v>6.1525368529252999E-2</v>
      </c>
      <c r="K2816">
        <v>8.2516043677425197E-2</v>
      </c>
      <c r="L2816">
        <v>897.96097856538904</v>
      </c>
      <c r="M2816">
        <v>18.596437797903999</v>
      </c>
      <c r="N2816">
        <v>48.595641732838502</v>
      </c>
      <c r="O2816">
        <v>47.738744213934098</v>
      </c>
      <c r="P2816">
        <v>-9.1961417225146905E-2</v>
      </c>
      <c r="Q2816">
        <v>5.57476998982116E-2</v>
      </c>
      <c r="R2816">
        <v>0.99823484171848798</v>
      </c>
      <c r="S2816" t="s">
        <v>9218</v>
      </c>
      <c r="T2816" t="s">
        <v>12802</v>
      </c>
      <c r="U2816" t="s">
        <v>12802</v>
      </c>
      <c r="V2816" t="s">
        <v>12802</v>
      </c>
      <c r="W2816" t="s">
        <v>15570</v>
      </c>
      <c r="X2816">
        <v>9</v>
      </c>
      <c r="Y2816" t="s">
        <v>21833</v>
      </c>
      <c r="Z2816" t="s">
        <v>28134</v>
      </c>
      <c r="AA2816">
        <v>0.42520553377317138</v>
      </c>
      <c r="AB2816" t="str">
        <f>HYPERLINK("Melting_Curves/meltCurve_P53814_5_SMTN.pdf", "Melting_Curves/meltCurve_P53814_5_SMTN.pdf")</f>
        <v>Melting_Curves/meltCurve_P53814_5_SMTN.pdf</v>
      </c>
    </row>
    <row r="2817" spans="1:28" x14ac:dyDescent="0.25">
      <c r="A2817" t="s">
        <v>2821</v>
      </c>
      <c r="B2817">
        <v>0.99542014353169495</v>
      </c>
      <c r="C2817">
        <v>0.93511520719589403</v>
      </c>
      <c r="D2817">
        <v>1.0172150741378001</v>
      </c>
      <c r="E2817">
        <v>0.85386472110266798</v>
      </c>
      <c r="F2817">
        <v>0.80700671150655501</v>
      </c>
      <c r="G2817">
        <v>0.46836790242855098</v>
      </c>
      <c r="H2817">
        <v>0.44449303166127802</v>
      </c>
      <c r="I2817">
        <v>0.35897090096267398</v>
      </c>
      <c r="J2817">
        <v>0.45759159212219502</v>
      </c>
      <c r="K2817">
        <v>0.56764093863133103</v>
      </c>
      <c r="L2817">
        <v>1520.5335860422699</v>
      </c>
      <c r="M2817">
        <v>30.0976527688834</v>
      </c>
      <c r="N2817">
        <v>54.542008035789202</v>
      </c>
      <c r="O2817">
        <v>50.2985446759767</v>
      </c>
      <c r="P2817">
        <v>-8.2926265704449997E-2</v>
      </c>
      <c r="Q2817">
        <v>0.44566514492869103</v>
      </c>
      <c r="R2817">
        <v>0.923365592090166</v>
      </c>
      <c r="S2817" t="s">
        <v>9219</v>
      </c>
      <c r="T2817" t="s">
        <v>12802</v>
      </c>
      <c r="U2817" t="s">
        <v>12802</v>
      </c>
      <c r="V2817" t="s">
        <v>12802</v>
      </c>
      <c r="W2817" t="s">
        <v>15571</v>
      </c>
      <c r="X2817">
        <v>7</v>
      </c>
      <c r="Y2817" t="s">
        <v>21834</v>
      </c>
      <c r="Z2817" t="s">
        <v>28135</v>
      </c>
      <c r="AA2817">
        <v>0.69889295545265695</v>
      </c>
      <c r="AB2817" t="str">
        <f>HYPERLINK("Melting_Curves/meltCurve_P53985_SLC16A1.pdf", "Melting_Curves/meltCurve_P53985_SLC16A1.pdf")</f>
        <v>Melting_Curves/meltCurve_P53985_SLC16A1.pdf</v>
      </c>
    </row>
    <row r="2818" spans="1:28" x14ac:dyDescent="0.25">
      <c r="A2818" t="s">
        <v>2822</v>
      </c>
      <c r="B2818">
        <v>0.99542014353169495</v>
      </c>
      <c r="C2818">
        <v>1.02255577660464</v>
      </c>
      <c r="D2818">
        <v>1.0289514439468299</v>
      </c>
      <c r="E2818">
        <v>0.84941608130009405</v>
      </c>
      <c r="F2818">
        <v>0.37784003969459001</v>
      </c>
      <c r="G2818">
        <v>0.21706896766233599</v>
      </c>
      <c r="H2818">
        <v>0.155008023843107</v>
      </c>
      <c r="I2818">
        <v>0.133185586832643</v>
      </c>
      <c r="J2818">
        <v>0.19027031610390399</v>
      </c>
      <c r="K2818">
        <v>0.16953418452428701</v>
      </c>
      <c r="L2818">
        <v>1681.90174001694</v>
      </c>
      <c r="M2818">
        <v>34.556568625440001</v>
      </c>
      <c r="N2818">
        <v>49.242964241806398</v>
      </c>
      <c r="O2818">
        <v>48.508844723140697</v>
      </c>
      <c r="P2818">
        <v>-0.148654536535715</v>
      </c>
      <c r="Q2818">
        <v>0.16530681780504899</v>
      </c>
      <c r="R2818">
        <v>0.99701834342170303</v>
      </c>
      <c r="S2818" t="s">
        <v>9220</v>
      </c>
      <c r="T2818" t="s">
        <v>12802</v>
      </c>
      <c r="U2818" t="s">
        <v>12802</v>
      </c>
      <c r="V2818" t="s">
        <v>12802</v>
      </c>
      <c r="W2818" t="s">
        <v>15572</v>
      </c>
      <c r="X2818">
        <v>8</v>
      </c>
      <c r="Y2818" t="s">
        <v>21835</v>
      </c>
      <c r="Z2818" t="s">
        <v>28136</v>
      </c>
      <c r="AA2818">
        <v>0.49379859835631218</v>
      </c>
      <c r="AB2818" t="str">
        <f>HYPERLINK("Melting_Curves/meltCurve_P53990_2_IST1.pdf", "Melting_Curves/meltCurve_P53990_2_IST1.pdf")</f>
        <v>Melting_Curves/meltCurve_P53990_2_IST1.pdf</v>
      </c>
    </row>
    <row r="2819" spans="1:28" x14ac:dyDescent="0.25">
      <c r="A2819" t="s">
        <v>2823</v>
      </c>
      <c r="B2819">
        <v>0.99542014353169495</v>
      </c>
      <c r="C2819">
        <v>0.92011991554336903</v>
      </c>
      <c r="D2819">
        <v>0.91789816218704401</v>
      </c>
      <c r="E2819">
        <v>0.712974417704069</v>
      </c>
      <c r="F2819">
        <v>0.18106008416021799</v>
      </c>
      <c r="G2819">
        <v>8.9850330071084103E-2</v>
      </c>
      <c r="H2819">
        <v>6.05956696293199E-2</v>
      </c>
      <c r="I2819">
        <v>4.6789836415328197E-2</v>
      </c>
      <c r="J2819">
        <v>5.8405258352470402E-2</v>
      </c>
      <c r="K2819">
        <v>6.78947265007534E-2</v>
      </c>
      <c r="L2819">
        <v>1602.1584764858701</v>
      </c>
      <c r="M2819">
        <v>33.640351579398697</v>
      </c>
      <c r="N2819">
        <v>47.799871486813103</v>
      </c>
      <c r="O2819">
        <v>47.458738074193199</v>
      </c>
      <c r="P2819">
        <v>-0.16701030500563899</v>
      </c>
      <c r="Q2819">
        <v>5.7552582152095001E-2</v>
      </c>
      <c r="R2819">
        <v>0.99341677486429802</v>
      </c>
      <c r="S2819" t="s">
        <v>9221</v>
      </c>
      <c r="T2819" t="s">
        <v>12802</v>
      </c>
      <c r="U2819" t="s">
        <v>12802</v>
      </c>
      <c r="V2819" t="s">
        <v>12802</v>
      </c>
      <c r="W2819" t="s">
        <v>15573</v>
      </c>
      <c r="X2819">
        <v>28</v>
      </c>
      <c r="Y2819" t="s">
        <v>21836</v>
      </c>
      <c r="Z2819" t="s">
        <v>28137</v>
      </c>
      <c r="AA2819">
        <v>0.39577036835937429</v>
      </c>
      <c r="AB2819" t="str">
        <f>HYPERLINK("Melting_Curves/meltCurve_P53992_SEC24C.pdf", "Melting_Curves/meltCurve_P53992_SEC24C.pdf")</f>
        <v>Melting_Curves/meltCurve_P53992_SEC24C.pdf</v>
      </c>
    </row>
    <row r="2820" spans="1:28" x14ac:dyDescent="0.25">
      <c r="A2820" t="s">
        <v>2824</v>
      </c>
      <c r="B2820">
        <v>0.99542014353169495</v>
      </c>
      <c r="C2820">
        <v>1.01356717099398</v>
      </c>
      <c r="D2820">
        <v>0.97452517651242698</v>
      </c>
      <c r="E2820">
        <v>0.984093050542446</v>
      </c>
      <c r="F2820">
        <v>0.76899211912907595</v>
      </c>
      <c r="G2820">
        <v>0.62489706547709201</v>
      </c>
      <c r="H2820">
        <v>0.30745160127877902</v>
      </c>
      <c r="I2820">
        <v>0.17121510237069701</v>
      </c>
      <c r="J2820">
        <v>0.18087084565226899</v>
      </c>
      <c r="K2820">
        <v>0.206789701730346</v>
      </c>
      <c r="L2820">
        <v>1065.19174261271</v>
      </c>
      <c r="M2820">
        <v>19.8503333469395</v>
      </c>
      <c r="N2820">
        <v>54.627307662721599</v>
      </c>
      <c r="O2820">
        <v>53.125457845579703</v>
      </c>
      <c r="P2820">
        <v>-7.9586575088935102E-2</v>
      </c>
      <c r="Q2820">
        <v>0.148038192174753</v>
      </c>
      <c r="R2820">
        <v>0.98939299597411801</v>
      </c>
      <c r="S2820" t="s">
        <v>9222</v>
      </c>
      <c r="T2820" t="s">
        <v>12802</v>
      </c>
      <c r="U2820" t="s">
        <v>12802</v>
      </c>
      <c r="V2820" t="s">
        <v>12802</v>
      </c>
      <c r="W2820" t="s">
        <v>15574</v>
      </c>
      <c r="X2820">
        <v>11</v>
      </c>
      <c r="Y2820" t="s">
        <v>21837</v>
      </c>
      <c r="Z2820" t="s">
        <v>28138</v>
      </c>
      <c r="AA2820">
        <v>0.6317681778004347</v>
      </c>
      <c r="AB2820" t="str">
        <f>HYPERLINK("Melting_Curves/meltCurve_P53999_SUB1.pdf", "Melting_Curves/meltCurve_P53999_SUB1.pdf")</f>
        <v>Melting_Curves/meltCurve_P53999_SUB1.pdf</v>
      </c>
    </row>
    <row r="2821" spans="1:28" x14ac:dyDescent="0.25">
      <c r="A2821" t="s">
        <v>2825</v>
      </c>
      <c r="B2821">
        <v>0.99542014353169495</v>
      </c>
      <c r="C2821">
        <v>1.0451100360801699</v>
      </c>
      <c r="D2821">
        <v>1.0461884879094101</v>
      </c>
      <c r="E2821">
        <v>0.64425858625575605</v>
      </c>
      <c r="F2821">
        <v>0.25001677148062501</v>
      </c>
      <c r="G2821">
        <v>0.18816007680972899</v>
      </c>
      <c r="H2821">
        <v>9.5853774154900595E-2</v>
      </c>
      <c r="I2821">
        <v>9.5711343323183304E-2</v>
      </c>
      <c r="J2821">
        <v>0.10928671810702</v>
      </c>
      <c r="K2821">
        <v>7.2762537229057206E-2</v>
      </c>
      <c r="L2821">
        <v>1494.83391447708</v>
      </c>
      <c r="M2821">
        <v>31.5478663120597</v>
      </c>
      <c r="N2821">
        <v>47.751283669992901</v>
      </c>
      <c r="O2821">
        <v>47.1938757730655</v>
      </c>
      <c r="P2821">
        <v>-0.14907441496228699</v>
      </c>
      <c r="Q2821">
        <v>0.10797619935193301</v>
      </c>
      <c r="R2821">
        <v>0.99108624136066203</v>
      </c>
      <c r="S2821" t="s">
        <v>9223</v>
      </c>
      <c r="T2821" t="s">
        <v>12802</v>
      </c>
      <c r="U2821" t="s">
        <v>12802</v>
      </c>
      <c r="V2821" t="s">
        <v>12802</v>
      </c>
      <c r="W2821" t="s">
        <v>15575</v>
      </c>
      <c r="X2821">
        <v>4</v>
      </c>
      <c r="Y2821" t="s">
        <v>21838</v>
      </c>
      <c r="Z2821" t="s">
        <v>28139</v>
      </c>
      <c r="AA2821">
        <v>0.42142495500462879</v>
      </c>
      <c r="AB2821" t="str">
        <f>HYPERLINK("Melting_Curves/meltCurve_P54098_POLG.pdf", "Melting_Curves/meltCurve_P54098_POLG.pdf")</f>
        <v>Melting_Curves/meltCurve_P54098_POLG.pdf</v>
      </c>
    </row>
    <row r="2822" spans="1:28" x14ac:dyDescent="0.25">
      <c r="A2822" t="s">
        <v>2826</v>
      </c>
      <c r="B2822">
        <v>0.99542014353169495</v>
      </c>
      <c r="C2822">
        <v>1.02811436827139</v>
      </c>
      <c r="D2822">
        <v>0.94495286164496595</v>
      </c>
      <c r="E2822">
        <v>0.891980420956897</v>
      </c>
      <c r="F2822">
        <v>0.61568097628454699</v>
      </c>
      <c r="G2822">
        <v>0.33836544465687401</v>
      </c>
      <c r="H2822">
        <v>0.110370016831725</v>
      </c>
      <c r="I2822">
        <v>6.49249073669593E-2</v>
      </c>
      <c r="J2822">
        <v>7.4652889522076396E-2</v>
      </c>
      <c r="K2822">
        <v>8.4871992172537894E-2</v>
      </c>
      <c r="L2822">
        <v>1045.4758110789701</v>
      </c>
      <c r="M2822">
        <v>20.410346890191299</v>
      </c>
      <c r="N2822">
        <v>51.493177169783699</v>
      </c>
      <c r="O2822">
        <v>50.7387239422062</v>
      </c>
      <c r="P2822">
        <v>-9.54593561009483E-2</v>
      </c>
      <c r="Q2822">
        <v>5.0806838790219598E-2</v>
      </c>
      <c r="R2822">
        <v>0.99652644299475501</v>
      </c>
      <c r="S2822" t="s">
        <v>9224</v>
      </c>
      <c r="T2822" t="s">
        <v>12802</v>
      </c>
      <c r="U2822" t="s">
        <v>12802</v>
      </c>
      <c r="V2822" t="s">
        <v>12802</v>
      </c>
      <c r="W2822" t="s">
        <v>15576</v>
      </c>
      <c r="X2822">
        <v>6</v>
      </c>
      <c r="Y2822" t="s">
        <v>21839</v>
      </c>
      <c r="Z2822" t="s">
        <v>28140</v>
      </c>
      <c r="AA2822">
        <v>0.51280325806095617</v>
      </c>
      <c r="AB2822" t="str">
        <f>HYPERLINK("Melting_Curves/meltCurve_P54105_CLNS1A.pdf", "Melting_Curves/meltCurve_P54105_CLNS1A.pdf")</f>
        <v>Melting_Curves/meltCurve_P54105_CLNS1A.pdf</v>
      </c>
    </row>
    <row r="2823" spans="1:28" x14ac:dyDescent="0.25">
      <c r="A2823" t="s">
        <v>2827</v>
      </c>
      <c r="B2823">
        <v>0.99542014353169495</v>
      </c>
      <c r="C2823">
        <v>0.933218975874059</v>
      </c>
      <c r="D2823">
        <v>0.90058545895523201</v>
      </c>
      <c r="E2823">
        <v>0.41647045379376901</v>
      </c>
      <c r="F2823">
        <v>0.18708938921891899</v>
      </c>
      <c r="G2823">
        <v>0.123172980580425</v>
      </c>
      <c r="H2823">
        <v>8.3810223103208098E-2</v>
      </c>
      <c r="I2823">
        <v>6.8153436517323099E-2</v>
      </c>
      <c r="J2823">
        <v>8.05376612870769E-2</v>
      </c>
      <c r="K2823">
        <v>9.4897469510113297E-2</v>
      </c>
      <c r="L2823">
        <v>1269.66431290624</v>
      </c>
      <c r="M2823">
        <v>27.7263933472221</v>
      </c>
      <c r="N2823">
        <v>46.118268767032198</v>
      </c>
      <c r="O2823">
        <v>45.556418923476301</v>
      </c>
      <c r="P2823">
        <v>-0.13862847332952299</v>
      </c>
      <c r="Q2823">
        <v>8.8903071114762394E-2</v>
      </c>
      <c r="R2823">
        <v>0.99599824722792496</v>
      </c>
      <c r="S2823" t="s">
        <v>9225</v>
      </c>
      <c r="T2823" t="s">
        <v>12802</v>
      </c>
      <c r="U2823" t="s">
        <v>12802</v>
      </c>
      <c r="V2823" t="s">
        <v>12802</v>
      </c>
      <c r="W2823" t="s">
        <v>15577</v>
      </c>
      <c r="X2823">
        <v>42</v>
      </c>
      <c r="Y2823" t="s">
        <v>21840</v>
      </c>
      <c r="Z2823" t="s">
        <v>28141</v>
      </c>
      <c r="AA2823">
        <v>0.36202132395948727</v>
      </c>
      <c r="AB2823" t="str">
        <f>HYPERLINK("Melting_Curves/meltCurve_P54136_RARS.pdf", "Melting_Curves/meltCurve_P54136_RARS.pdf")</f>
        <v>Melting_Curves/meltCurve_P54136_RARS.pdf</v>
      </c>
    </row>
    <row r="2824" spans="1:28" x14ac:dyDescent="0.25">
      <c r="A2824" t="s">
        <v>2828</v>
      </c>
      <c r="B2824">
        <v>0.99542014353169495</v>
      </c>
      <c r="C2824">
        <v>0.92575099664653304</v>
      </c>
      <c r="D2824">
        <v>0.931327739021096</v>
      </c>
      <c r="E2824">
        <v>0.463019066222075</v>
      </c>
      <c r="F2824">
        <v>0.16224495972987801</v>
      </c>
      <c r="G2824">
        <v>6.6272210417812394E-2</v>
      </c>
      <c r="H2824">
        <v>4.2642623249302701E-2</v>
      </c>
      <c r="I2824">
        <v>4.0643474694524499E-2</v>
      </c>
      <c r="J2824">
        <v>2.7609357671558601E-2</v>
      </c>
      <c r="K2824">
        <v>3.1085129328639199E-2</v>
      </c>
      <c r="L2824">
        <v>1264.09004791799</v>
      </c>
      <c r="M2824">
        <v>27.282142118015098</v>
      </c>
      <c r="N2824">
        <v>46.468583928336898</v>
      </c>
      <c r="O2824">
        <v>46.087154417347797</v>
      </c>
      <c r="P2824">
        <v>-0.14237056140309501</v>
      </c>
      <c r="Q2824">
        <v>3.7994133084414697E-2</v>
      </c>
      <c r="R2824">
        <v>0.99621337573820701</v>
      </c>
      <c r="S2824" t="s">
        <v>9226</v>
      </c>
      <c r="T2824" t="s">
        <v>12802</v>
      </c>
      <c r="U2824" t="s">
        <v>12802</v>
      </c>
      <c r="V2824" t="s">
        <v>12802</v>
      </c>
      <c r="W2824" t="s">
        <v>15578</v>
      </c>
      <c r="X2824">
        <v>37</v>
      </c>
      <c r="Y2824" t="s">
        <v>21840</v>
      </c>
      <c r="Z2824" t="s">
        <v>28142</v>
      </c>
      <c r="AA2824">
        <v>0.34400524076133943</v>
      </c>
      <c r="AB2824" t="str">
        <f>HYPERLINK("Melting_Curves/meltCurve_P54136_2_RARS.pdf", "Melting_Curves/meltCurve_P54136_2_RARS.pdf")</f>
        <v>Melting_Curves/meltCurve_P54136_2_RARS.pdf</v>
      </c>
    </row>
    <row r="2825" spans="1:28" x14ac:dyDescent="0.25">
      <c r="A2825" t="s">
        <v>2829</v>
      </c>
      <c r="B2825">
        <v>0.99542014353169495</v>
      </c>
      <c r="C2825">
        <v>1.1874252259623801</v>
      </c>
      <c r="D2825">
        <v>0.98263512666575104</v>
      </c>
      <c r="E2825">
        <v>0.85408835254424997</v>
      </c>
      <c r="F2825">
        <v>0.76775638016041403</v>
      </c>
      <c r="G2825">
        <v>0.472204133603428</v>
      </c>
      <c r="H2825">
        <v>0.28705448165243402</v>
      </c>
      <c r="I2825">
        <v>0.46054468410312499</v>
      </c>
      <c r="J2825">
        <v>0.49111919526752401</v>
      </c>
      <c r="K2825">
        <v>0.59244827577215398</v>
      </c>
      <c r="L2825">
        <v>1510.41841273094</v>
      </c>
      <c r="M2825">
        <v>30.224785085244299</v>
      </c>
      <c r="N2825">
        <v>54.193135959191402</v>
      </c>
      <c r="O2825">
        <v>49.7556135513775</v>
      </c>
      <c r="P2825">
        <v>-8.3148226945074205E-2</v>
      </c>
      <c r="Q2825">
        <v>0.45249370351811302</v>
      </c>
      <c r="R2825">
        <v>0.86873955902298305</v>
      </c>
      <c r="S2825" t="s">
        <v>9227</v>
      </c>
      <c r="T2825" t="s">
        <v>12802</v>
      </c>
      <c r="U2825" t="s">
        <v>12802</v>
      </c>
      <c r="V2825" t="s">
        <v>12802</v>
      </c>
      <c r="W2825" t="s">
        <v>15579</v>
      </c>
      <c r="X2825">
        <v>4</v>
      </c>
      <c r="Y2825" t="s">
        <v>21841</v>
      </c>
      <c r="Z2825" t="s">
        <v>28143</v>
      </c>
      <c r="AA2825">
        <v>0.69255946026608617</v>
      </c>
      <c r="AB2825" t="str">
        <f>HYPERLINK("Melting_Curves/meltCurve_P54259_ATN1.pdf", "Melting_Curves/meltCurve_P54259_ATN1.pdf")</f>
        <v>Melting_Curves/meltCurve_P54259_ATN1.pdf</v>
      </c>
    </row>
    <row r="2826" spans="1:28" x14ac:dyDescent="0.25">
      <c r="A2826" t="s">
        <v>2830</v>
      </c>
      <c r="B2826">
        <v>0.99542014353169495</v>
      </c>
      <c r="C2826">
        <v>0.813173279748995</v>
      </c>
      <c r="D2826">
        <v>0.69240999366978595</v>
      </c>
      <c r="E2826">
        <v>0.41351374762873799</v>
      </c>
      <c r="F2826">
        <v>0.14134174490602</v>
      </c>
      <c r="G2826">
        <v>0.10557897595566799</v>
      </c>
      <c r="H2826">
        <v>7.9948947427147393E-2</v>
      </c>
      <c r="I2826">
        <v>5.4049748001583402E-2</v>
      </c>
      <c r="J2826">
        <v>5.3110339563475703E-2</v>
      </c>
      <c r="K2826">
        <v>7.89327689678683E-3</v>
      </c>
      <c r="L2826">
        <v>667.74811210284201</v>
      </c>
      <c r="M2826">
        <v>14.8612083589282</v>
      </c>
      <c r="N2826">
        <v>45.0849735674241</v>
      </c>
      <c r="O2826">
        <v>44.142230478077103</v>
      </c>
      <c r="P2826">
        <v>-8.21096535369331E-2</v>
      </c>
      <c r="Q2826">
        <v>2.4541056403885798E-2</v>
      </c>
      <c r="R2826">
        <v>0.99193829621348195</v>
      </c>
      <c r="S2826" t="s">
        <v>9228</v>
      </c>
      <c r="T2826" t="s">
        <v>12802</v>
      </c>
      <c r="U2826" t="s">
        <v>12802</v>
      </c>
      <c r="V2826" t="s">
        <v>12802</v>
      </c>
      <c r="W2826" t="s">
        <v>15580</v>
      </c>
      <c r="X2826">
        <v>7</v>
      </c>
      <c r="Y2826" t="s">
        <v>21842</v>
      </c>
      <c r="Z2826" t="s">
        <v>28144</v>
      </c>
      <c r="AA2826">
        <v>0.30615772529173069</v>
      </c>
      <c r="AB2826" t="str">
        <f>HYPERLINK("Melting_Curves/meltCurve_P54278_PMS2.pdf", "Melting_Curves/meltCurve_P54278_PMS2.pdf")</f>
        <v>Melting_Curves/meltCurve_P54278_PMS2.pdf</v>
      </c>
    </row>
    <row r="2827" spans="1:28" x14ac:dyDescent="0.25">
      <c r="A2827" t="s">
        <v>2831</v>
      </c>
      <c r="B2827">
        <v>0.99542014353169495</v>
      </c>
      <c r="C2827">
        <v>0.97421127722834899</v>
      </c>
      <c r="D2827">
        <v>0.87150390896879204</v>
      </c>
      <c r="E2827">
        <v>0.37690497455913402</v>
      </c>
      <c r="F2827">
        <v>0.15780080250112</v>
      </c>
      <c r="G2827">
        <v>8.4985925114075905E-2</v>
      </c>
      <c r="H2827">
        <v>5.3137012613131598E-2</v>
      </c>
      <c r="I2827">
        <v>3.7487740084021698E-2</v>
      </c>
      <c r="J2827">
        <v>4.0011189283069702E-2</v>
      </c>
      <c r="K2827">
        <v>4.0199882765755701E-2</v>
      </c>
      <c r="L2827">
        <v>1239.4565693479699</v>
      </c>
      <c r="M2827">
        <v>27.142684668405</v>
      </c>
      <c r="N2827">
        <v>45.844871172010599</v>
      </c>
      <c r="O2827">
        <v>45.4187652188714</v>
      </c>
      <c r="P2827">
        <v>-0.14183683546897299</v>
      </c>
      <c r="Q2827">
        <v>5.0647805968622402E-2</v>
      </c>
      <c r="R2827">
        <v>0.99821750357855299</v>
      </c>
      <c r="S2827" t="s">
        <v>9229</v>
      </c>
      <c r="T2827" t="s">
        <v>12802</v>
      </c>
      <c r="U2827" t="s">
        <v>12802</v>
      </c>
      <c r="V2827" t="s">
        <v>12802</v>
      </c>
      <c r="W2827" t="s">
        <v>15581</v>
      </c>
      <c r="X2827">
        <v>52</v>
      </c>
      <c r="Y2827" t="s">
        <v>21843</v>
      </c>
      <c r="Z2827" t="s">
        <v>28145</v>
      </c>
      <c r="AA2827">
        <v>0.33144988769708539</v>
      </c>
      <c r="AB2827" t="str">
        <f>HYPERLINK("Melting_Curves/meltCurve_P54577_YARS.pdf", "Melting_Curves/meltCurve_P54577_YARS.pdf")</f>
        <v>Melting_Curves/meltCurve_P54577_YARS.pdf</v>
      </c>
    </row>
    <row r="2828" spans="1:28" x14ac:dyDescent="0.25">
      <c r="A2828" t="s">
        <v>2832</v>
      </c>
      <c r="B2828">
        <v>0.99542014353169495</v>
      </c>
      <c r="C2828">
        <v>1.00569655262577</v>
      </c>
      <c r="D2828">
        <v>1.0013171472056299</v>
      </c>
      <c r="E2828">
        <v>0.98617178381124704</v>
      </c>
      <c r="F2828">
        <v>0.39131753653035001</v>
      </c>
      <c r="G2828">
        <v>0.107854050793492</v>
      </c>
      <c r="H2828">
        <v>6.3477438597839095E-2</v>
      </c>
      <c r="I2828">
        <v>4.4820548324486197E-2</v>
      </c>
      <c r="J2828">
        <v>4.6412288261377999E-2</v>
      </c>
      <c r="K2828">
        <v>5.4034976808243401E-2</v>
      </c>
      <c r="L2828">
        <v>2613.9998141567098</v>
      </c>
      <c r="M2828">
        <v>52.657796323986901</v>
      </c>
      <c r="N2828">
        <v>49.760826175556502</v>
      </c>
      <c r="O2828">
        <v>49.5698353627497</v>
      </c>
      <c r="P2828">
        <v>-0.24979338330416401</v>
      </c>
      <c r="Q2828">
        <v>5.94208052134075E-2</v>
      </c>
      <c r="R2828">
        <v>0.999073215552156</v>
      </c>
      <c r="S2828" t="s">
        <v>9230</v>
      </c>
      <c r="T2828" t="s">
        <v>12802</v>
      </c>
      <c r="U2828" t="s">
        <v>12802</v>
      </c>
      <c r="V2828" t="s">
        <v>12802</v>
      </c>
      <c r="W2828" t="s">
        <v>15582</v>
      </c>
      <c r="X2828">
        <v>25</v>
      </c>
      <c r="Y2828" t="s">
        <v>21844</v>
      </c>
      <c r="Z2828" t="s">
        <v>28146</v>
      </c>
      <c r="AA2828">
        <v>0.45761377707014578</v>
      </c>
      <c r="AB2828" t="str">
        <f>HYPERLINK("Melting_Curves/meltCurve_P54578_2_USP14.pdf", "Melting_Curves/meltCurve_P54578_2_USP14.pdf")</f>
        <v>Melting_Curves/meltCurve_P54578_2_USP14.pdf</v>
      </c>
    </row>
    <row r="2829" spans="1:28" x14ac:dyDescent="0.25">
      <c r="A2829" t="s">
        <v>2833</v>
      </c>
      <c r="B2829">
        <v>0.99542014353169495</v>
      </c>
      <c r="C2829">
        <v>0.93278199445204601</v>
      </c>
      <c r="D2829">
        <v>0.88930740040739198</v>
      </c>
      <c r="E2829">
        <v>0.69664796535407203</v>
      </c>
      <c r="F2829">
        <v>0.44543277990542701</v>
      </c>
      <c r="G2829">
        <v>0.23560260192073501</v>
      </c>
      <c r="H2829">
        <v>0.108266837358149</v>
      </c>
      <c r="I2829">
        <v>7.0150509960005394E-2</v>
      </c>
      <c r="J2829">
        <v>5.5911961384603102E-2</v>
      </c>
      <c r="K2829">
        <v>3.7699075204600002E-2</v>
      </c>
      <c r="L2829">
        <v>698.61910572555905</v>
      </c>
      <c r="M2829">
        <v>14.1942330347399</v>
      </c>
      <c r="N2829">
        <v>49.2948446501021</v>
      </c>
      <c r="O2829">
        <v>48.272510317567203</v>
      </c>
      <c r="P2829">
        <v>-7.2720910459313295E-2</v>
      </c>
      <c r="Q2829">
        <v>1.0871348548333999E-2</v>
      </c>
      <c r="R2829">
        <v>0.99886077833240905</v>
      </c>
      <c r="S2829" t="s">
        <v>9231</v>
      </c>
      <c r="T2829" t="s">
        <v>12802</v>
      </c>
      <c r="U2829" t="s">
        <v>12802</v>
      </c>
      <c r="V2829" t="s">
        <v>12802</v>
      </c>
      <c r="W2829" t="s">
        <v>15583</v>
      </c>
      <c r="X2829">
        <v>6</v>
      </c>
      <c r="Y2829" t="s">
        <v>21845</v>
      </c>
      <c r="Z2829" t="s">
        <v>28147</v>
      </c>
      <c r="AA2829">
        <v>0.43672838355582599</v>
      </c>
      <c r="AB2829" t="str">
        <f>HYPERLINK("Melting_Curves/meltCurve_P54619_2_PRKAG1.pdf", "Melting_Curves/meltCurve_P54619_2_PRKAG1.pdf")</f>
        <v>Melting_Curves/meltCurve_P54619_2_PRKAG1.pdf</v>
      </c>
    </row>
    <row r="2830" spans="1:28" x14ac:dyDescent="0.25">
      <c r="A2830" t="s">
        <v>2834</v>
      </c>
      <c r="B2830">
        <v>0.99542014353169495</v>
      </c>
      <c r="C2830">
        <v>1.02895511530067</v>
      </c>
      <c r="D2830">
        <v>0.92424456558479795</v>
      </c>
      <c r="E2830">
        <v>0.85421937557056704</v>
      </c>
      <c r="F2830">
        <v>0.70596965740527395</v>
      </c>
      <c r="G2830">
        <v>0.58306591578651201</v>
      </c>
      <c r="H2830">
        <v>0.43686788343049898</v>
      </c>
      <c r="I2830">
        <v>0.38940007964248602</v>
      </c>
      <c r="J2830">
        <v>0.29853835368164999</v>
      </c>
      <c r="K2830">
        <v>0.217770810478775</v>
      </c>
      <c r="L2830">
        <v>516.24271402809404</v>
      </c>
      <c r="M2830">
        <v>9.4948137948062694</v>
      </c>
      <c r="N2830">
        <v>55.9834765177986</v>
      </c>
      <c r="O2830">
        <v>52.123057658485301</v>
      </c>
      <c r="P2830">
        <v>-4.0115979269027199E-2</v>
      </c>
      <c r="Q2830">
        <v>0.11963357448913101</v>
      </c>
      <c r="R2830">
        <v>0.99229152688164601</v>
      </c>
      <c r="S2830" t="s">
        <v>9232</v>
      </c>
      <c r="T2830" t="s">
        <v>12802</v>
      </c>
      <c r="U2830" t="s">
        <v>12802</v>
      </c>
      <c r="V2830" t="s">
        <v>12802</v>
      </c>
      <c r="W2830" t="s">
        <v>15584</v>
      </c>
      <c r="X2830">
        <v>12</v>
      </c>
      <c r="Y2830" t="s">
        <v>21846</v>
      </c>
      <c r="Z2830" t="s">
        <v>28148</v>
      </c>
      <c r="AA2830">
        <v>0.6426232054777723</v>
      </c>
      <c r="AB2830" t="str">
        <f>HYPERLINK("Melting_Curves/meltCurve_P54687_BCAT1.pdf", "Melting_Curves/meltCurve_P54687_BCAT1.pdf")</f>
        <v>Melting_Curves/meltCurve_P54687_BCAT1.pdf</v>
      </c>
    </row>
    <row r="2831" spans="1:28" x14ac:dyDescent="0.25">
      <c r="A2831" t="s">
        <v>2835</v>
      </c>
      <c r="B2831">
        <v>0.99542014353169495</v>
      </c>
      <c r="C2831">
        <v>0.96101088466943196</v>
      </c>
      <c r="D2831">
        <v>0.92638337903215495</v>
      </c>
      <c r="E2831">
        <v>0.88578421821195896</v>
      </c>
      <c r="F2831">
        <v>0.73653722771761698</v>
      </c>
      <c r="G2831">
        <v>0.56521768620138402</v>
      </c>
      <c r="H2831">
        <v>0.45318988279765399</v>
      </c>
      <c r="I2831">
        <v>0.30890186451201301</v>
      </c>
      <c r="J2831">
        <v>0.44811819745814502</v>
      </c>
      <c r="K2831">
        <v>0.28017048064120798</v>
      </c>
      <c r="L2831">
        <v>671.38270240233396</v>
      </c>
      <c r="M2831">
        <v>12.897834967770001</v>
      </c>
      <c r="N2831">
        <v>55.696226612329802</v>
      </c>
      <c r="O2831">
        <v>50.850224666708101</v>
      </c>
      <c r="P2831">
        <v>-4.5353896502481103E-2</v>
      </c>
      <c r="Q2831">
        <v>0.28489222829257199</v>
      </c>
      <c r="R2831">
        <v>0.971823481980434</v>
      </c>
      <c r="S2831" t="s">
        <v>9233</v>
      </c>
      <c r="T2831" t="s">
        <v>12802</v>
      </c>
      <c r="U2831" t="s">
        <v>12802</v>
      </c>
      <c r="V2831" t="s">
        <v>12802</v>
      </c>
      <c r="W2831" t="s">
        <v>15585</v>
      </c>
      <c r="X2831">
        <v>14</v>
      </c>
      <c r="Y2831" t="s">
        <v>21847</v>
      </c>
      <c r="Z2831" t="s">
        <v>28149</v>
      </c>
      <c r="AA2831">
        <v>0.65963896325664229</v>
      </c>
      <c r="AB2831" t="str">
        <f>HYPERLINK("Melting_Curves/meltCurve_P54709_ATP1B3.pdf", "Melting_Curves/meltCurve_P54709_ATP1B3.pdf")</f>
        <v>Melting_Curves/meltCurve_P54709_ATP1B3.pdf</v>
      </c>
    </row>
    <row r="2832" spans="1:28" x14ac:dyDescent="0.25">
      <c r="A2832" t="s">
        <v>2836</v>
      </c>
      <c r="B2832">
        <v>0.99542014353169495</v>
      </c>
      <c r="C2832">
        <v>0.99364603157634102</v>
      </c>
      <c r="D2832">
        <v>0.96054299778404795</v>
      </c>
      <c r="E2832">
        <v>0.89059437173474598</v>
      </c>
      <c r="F2832">
        <v>0.73990973568159701</v>
      </c>
      <c r="G2832">
        <v>0.58799657595421295</v>
      </c>
      <c r="H2832">
        <v>0.45367131548293999</v>
      </c>
      <c r="I2832">
        <v>0.37051982250301302</v>
      </c>
      <c r="J2832">
        <v>0.53393936417407795</v>
      </c>
      <c r="K2832">
        <v>0.60559115032141797</v>
      </c>
      <c r="L2832">
        <v>1132.86204168417</v>
      </c>
      <c r="M2832">
        <v>22.755993013021499</v>
      </c>
      <c r="N2832">
        <v>59.759523179992499</v>
      </c>
      <c r="O2832">
        <v>49.403329354738702</v>
      </c>
      <c r="P2832">
        <v>-5.88675558276067E-2</v>
      </c>
      <c r="Q2832">
        <v>0.488803197912897</v>
      </c>
      <c r="R2832">
        <v>0.926794491993573</v>
      </c>
      <c r="S2832" t="s">
        <v>9234</v>
      </c>
      <c r="T2832" t="s">
        <v>12802</v>
      </c>
      <c r="U2832" t="s">
        <v>12802</v>
      </c>
      <c r="V2832" t="s">
        <v>12802</v>
      </c>
      <c r="W2832" t="s">
        <v>15586</v>
      </c>
      <c r="X2832">
        <v>17</v>
      </c>
      <c r="Y2832" t="s">
        <v>21848</v>
      </c>
      <c r="Z2832" t="s">
        <v>28150</v>
      </c>
      <c r="AA2832">
        <v>0.71195171824738379</v>
      </c>
      <c r="AB2832" t="str">
        <f>HYPERLINK("Melting_Curves/meltCurve_P54727_RAD23B.pdf", "Melting_Curves/meltCurve_P54727_RAD23B.pdf")</f>
        <v>Melting_Curves/meltCurve_P54727_RAD23B.pdf</v>
      </c>
    </row>
    <row r="2833" spans="1:28" x14ac:dyDescent="0.25">
      <c r="A2833" t="s">
        <v>2837</v>
      </c>
      <c r="B2833">
        <v>0.99542014353169495</v>
      </c>
      <c r="C2833">
        <v>0.91607216439148897</v>
      </c>
      <c r="D2833">
        <v>0.83755500198579103</v>
      </c>
      <c r="E2833">
        <v>0.57084786630426398</v>
      </c>
      <c r="F2833">
        <v>0.20875963268520301</v>
      </c>
      <c r="G2833">
        <v>0.14441369266329601</v>
      </c>
      <c r="H2833">
        <v>0.10715213374502799</v>
      </c>
      <c r="I2833">
        <v>8.8789392061720401E-2</v>
      </c>
      <c r="J2833">
        <v>9.3767301384545601E-2</v>
      </c>
      <c r="K2833">
        <v>8.6187338370237204E-2</v>
      </c>
      <c r="L2833">
        <v>925.66801637428898</v>
      </c>
      <c r="M2833">
        <v>19.9027599347211</v>
      </c>
      <c r="N2833">
        <v>46.928166356218803</v>
      </c>
      <c r="O2833">
        <v>46.047609116762601</v>
      </c>
      <c r="P2833">
        <v>-9.9269428931703804E-2</v>
      </c>
      <c r="Q2833">
        <v>8.1339354058903801E-2</v>
      </c>
      <c r="R2833">
        <v>0.99510442522605902</v>
      </c>
      <c r="S2833" t="s">
        <v>9235</v>
      </c>
      <c r="T2833" t="s">
        <v>12802</v>
      </c>
      <c r="U2833" t="s">
        <v>12802</v>
      </c>
      <c r="V2833" t="s">
        <v>12802</v>
      </c>
      <c r="W2833" t="s">
        <v>15587</v>
      </c>
      <c r="X2833">
        <v>14</v>
      </c>
      <c r="Y2833" t="s">
        <v>21849</v>
      </c>
      <c r="Z2833" t="s">
        <v>28151</v>
      </c>
      <c r="AA2833">
        <v>0.38467014761903467</v>
      </c>
      <c r="AB2833" t="str">
        <f>HYPERLINK("Melting_Curves/meltCurve_P54760_EPHB4.pdf", "Melting_Curves/meltCurve_P54760_EPHB4.pdf")</f>
        <v>Melting_Curves/meltCurve_P54760_EPHB4.pdf</v>
      </c>
    </row>
    <row r="2834" spans="1:28" x14ac:dyDescent="0.25">
      <c r="A2834" t="s">
        <v>2838</v>
      </c>
      <c r="B2834">
        <v>0.99542014353169495</v>
      </c>
      <c r="C2834">
        <v>0.85817985705255495</v>
      </c>
      <c r="D2834">
        <v>0.98165698167451498</v>
      </c>
      <c r="E2834">
        <v>0.78591857827723099</v>
      </c>
      <c r="F2834">
        <v>0.61462591657176302</v>
      </c>
      <c r="G2834">
        <v>0.397187310420067</v>
      </c>
      <c r="H2834">
        <v>0.31504545649882199</v>
      </c>
      <c r="I2834">
        <v>0.27866376682926403</v>
      </c>
      <c r="J2834">
        <v>0.14389594399383701</v>
      </c>
      <c r="K2834">
        <v>0.114671721274439</v>
      </c>
      <c r="L2834">
        <v>549.79704598459102</v>
      </c>
      <c r="M2834">
        <v>10.584670636068401</v>
      </c>
      <c r="N2834">
        <v>52.504108818736199</v>
      </c>
      <c r="O2834">
        <v>50.191552516130699</v>
      </c>
      <c r="P2834">
        <v>-4.9920378016660702E-2</v>
      </c>
      <c r="Q2834">
        <v>5.3498587300166801E-2</v>
      </c>
      <c r="R2834">
        <v>0.97751909054925401</v>
      </c>
      <c r="S2834" t="s">
        <v>9236</v>
      </c>
      <c r="T2834" t="s">
        <v>12802</v>
      </c>
      <c r="U2834" t="s">
        <v>12802</v>
      </c>
      <c r="V2834" t="s">
        <v>12802</v>
      </c>
      <c r="W2834" t="s">
        <v>15588</v>
      </c>
      <c r="X2834">
        <v>3</v>
      </c>
      <c r="Y2834" t="s">
        <v>21850</v>
      </c>
      <c r="Z2834" t="s">
        <v>28152</v>
      </c>
      <c r="AA2834">
        <v>0.5496194455213147</v>
      </c>
      <c r="AB2834" t="str">
        <f>HYPERLINK("Melting_Curves/meltCurve_P54802_NAGLU.pdf", "Melting_Curves/meltCurve_P54802_NAGLU.pdf")</f>
        <v>Melting_Curves/meltCurve_P54802_NAGLU.pdf</v>
      </c>
    </row>
    <row r="2835" spans="1:28" x14ac:dyDescent="0.25">
      <c r="A2835" t="s">
        <v>2839</v>
      </c>
      <c r="B2835">
        <v>0.99542014353169495</v>
      </c>
      <c r="C2835">
        <v>1.00884904658217</v>
      </c>
      <c r="D2835">
        <v>0.92263151101332896</v>
      </c>
      <c r="E2835">
        <v>0.92879896019652597</v>
      </c>
      <c r="F2835">
        <v>0.80645978919394101</v>
      </c>
      <c r="G2835">
        <v>0.73437449877013905</v>
      </c>
      <c r="H2835">
        <v>0.57845162424239005</v>
      </c>
      <c r="I2835">
        <v>0.52670607621003096</v>
      </c>
      <c r="J2835">
        <v>0.63713703602694705</v>
      </c>
      <c r="K2835">
        <v>0.21833827708519599</v>
      </c>
      <c r="L2835">
        <v>421.05056497251201</v>
      </c>
      <c r="M2835">
        <v>6.8078056029877301</v>
      </c>
      <c r="N2835">
        <v>61.8482059855247</v>
      </c>
      <c r="O2835">
        <v>57.169920692875003</v>
      </c>
      <c r="P2835">
        <v>-2.98311585158718E-2</v>
      </c>
      <c r="Q2835">
        <v>0</v>
      </c>
      <c r="R2835">
        <v>0.87975131575045495</v>
      </c>
      <c r="S2835" t="s">
        <v>9237</v>
      </c>
      <c r="T2835" t="s">
        <v>12802</v>
      </c>
      <c r="U2835" t="s">
        <v>12802</v>
      </c>
      <c r="V2835" t="s">
        <v>12802</v>
      </c>
      <c r="W2835" t="s">
        <v>15589</v>
      </c>
      <c r="X2835">
        <v>26</v>
      </c>
      <c r="Y2835" t="s">
        <v>21851</v>
      </c>
      <c r="Z2835" t="s">
        <v>28153</v>
      </c>
      <c r="AA2835">
        <v>0.7444478873209045</v>
      </c>
      <c r="AB2835" t="str">
        <f>HYPERLINK("Melting_Curves/meltCurve_P54819_AK2.pdf", "Melting_Curves/meltCurve_P54819_AK2.pdf")</f>
        <v>Melting_Curves/meltCurve_P54819_AK2.pdf</v>
      </c>
    </row>
    <row r="2836" spans="1:28" x14ac:dyDescent="0.25">
      <c r="A2836" t="s">
        <v>2840</v>
      </c>
      <c r="B2836">
        <v>0.99542014353169495</v>
      </c>
      <c r="C2836">
        <v>0.88139424297499802</v>
      </c>
      <c r="D2836">
        <v>0.854504385321327</v>
      </c>
      <c r="E2836">
        <v>0.65131343410578102</v>
      </c>
      <c r="F2836">
        <v>0.59240262329955495</v>
      </c>
      <c r="G2836">
        <v>0.31470750501058598</v>
      </c>
      <c r="H2836">
        <v>0.19404279011417</v>
      </c>
      <c r="I2836">
        <v>5.9285320680093602E-2</v>
      </c>
      <c r="J2836">
        <v>3.3030856576584902E-2</v>
      </c>
      <c r="K2836">
        <v>1.84985781797447E-2</v>
      </c>
      <c r="L2836">
        <v>575.453691033572</v>
      </c>
      <c r="M2836">
        <v>11.484979495400999</v>
      </c>
      <c r="N2836">
        <v>50.104901586840299</v>
      </c>
      <c r="O2836">
        <v>48.658052772485703</v>
      </c>
      <c r="P2836">
        <v>-5.9025482965326101E-2</v>
      </c>
      <c r="Q2836">
        <v>0</v>
      </c>
      <c r="R2836">
        <v>0.98213694877817703</v>
      </c>
      <c r="S2836" t="s">
        <v>9238</v>
      </c>
      <c r="T2836" t="s">
        <v>12802</v>
      </c>
      <c r="U2836" t="s">
        <v>12802</v>
      </c>
      <c r="V2836" t="s">
        <v>12802</v>
      </c>
      <c r="W2836" t="s">
        <v>15590</v>
      </c>
      <c r="X2836">
        <v>16</v>
      </c>
      <c r="Y2836" t="s">
        <v>21852</v>
      </c>
      <c r="Z2836" t="s">
        <v>28154</v>
      </c>
      <c r="AA2836">
        <v>0.46603393844935348</v>
      </c>
      <c r="AB2836" t="str">
        <f>HYPERLINK("Melting_Curves/meltCurve_P54886_2_ALDH18A1.pdf", "Melting_Curves/meltCurve_P54886_2_ALDH18A1.pdf")</f>
        <v>Melting_Curves/meltCurve_P54886_2_ALDH18A1.pdf</v>
      </c>
    </row>
    <row r="2837" spans="1:28" x14ac:dyDescent="0.25">
      <c r="A2837" t="s">
        <v>2841</v>
      </c>
      <c r="B2837">
        <v>0.99542014353169495</v>
      </c>
      <c r="C2837">
        <v>0.95893157376933702</v>
      </c>
      <c r="D2837">
        <v>0.95744611133950597</v>
      </c>
      <c r="E2837">
        <v>0.85228742392373502</v>
      </c>
      <c r="F2837">
        <v>0.73299375379863296</v>
      </c>
      <c r="G2837">
        <v>0.465507728240244</v>
      </c>
      <c r="H2837">
        <v>0.187422676560628</v>
      </c>
      <c r="I2837">
        <v>8.7426525401870805E-2</v>
      </c>
      <c r="J2837">
        <v>7.5176012074119405E-2</v>
      </c>
      <c r="K2837">
        <v>7.5711386253434002E-2</v>
      </c>
      <c r="L2837">
        <v>865.59071621900603</v>
      </c>
      <c r="M2837">
        <v>16.385054935587998</v>
      </c>
      <c r="N2837">
        <v>52.933408686787999</v>
      </c>
      <c r="O2837">
        <v>52.059953576163899</v>
      </c>
      <c r="P2837">
        <v>-7.7426974309461494E-2</v>
      </c>
      <c r="Q2837">
        <v>1.6040441400059099E-2</v>
      </c>
      <c r="R2837">
        <v>0.99395667177832403</v>
      </c>
      <c r="S2837" t="s">
        <v>9239</v>
      </c>
      <c r="T2837" t="s">
        <v>12802</v>
      </c>
      <c r="U2837" t="s">
        <v>12802</v>
      </c>
      <c r="V2837" t="s">
        <v>12802</v>
      </c>
      <c r="W2837" t="s">
        <v>15591</v>
      </c>
      <c r="X2837">
        <v>21</v>
      </c>
      <c r="Y2837" t="s">
        <v>21853</v>
      </c>
      <c r="Z2837" t="s">
        <v>28155</v>
      </c>
      <c r="AA2837">
        <v>0.55136982715297678</v>
      </c>
      <c r="AB2837" t="str">
        <f>HYPERLINK("Melting_Curves/meltCurve_P54920_NAPA.pdf", "Melting_Curves/meltCurve_P54920_NAPA.pdf")</f>
        <v>Melting_Curves/meltCurve_P54920_NAPA.pdf</v>
      </c>
    </row>
    <row r="2838" spans="1:28" x14ac:dyDescent="0.25">
      <c r="A2838" t="s">
        <v>2842</v>
      </c>
      <c r="B2838">
        <v>0.99542014353169495</v>
      </c>
      <c r="C2838">
        <v>1.02661158223632</v>
      </c>
      <c r="D2838">
        <v>0.95239060103898299</v>
      </c>
      <c r="E2838">
        <v>0.94169796263438799</v>
      </c>
      <c r="F2838">
        <v>0.70234497710483401</v>
      </c>
      <c r="G2838">
        <v>0.27627010337436397</v>
      </c>
      <c r="H2838">
        <v>7.5923519375440299E-2</v>
      </c>
      <c r="I2838">
        <v>4.0845652378572003E-2</v>
      </c>
      <c r="J2838">
        <v>3.7164340509314303E-2</v>
      </c>
      <c r="K2838">
        <v>3.7372307625756399E-2</v>
      </c>
      <c r="L2838">
        <v>1405.8011558810099</v>
      </c>
      <c r="M2838">
        <v>27.209685409285399</v>
      </c>
      <c r="N2838">
        <v>51.775421491664098</v>
      </c>
      <c r="O2838">
        <v>51.388822690664703</v>
      </c>
      <c r="P2838">
        <v>-0.12865678906438199</v>
      </c>
      <c r="Q2838">
        <v>2.80729440385281E-2</v>
      </c>
      <c r="R2838">
        <v>0.99835857372525605</v>
      </c>
      <c r="S2838" t="s">
        <v>9240</v>
      </c>
      <c r="T2838" t="s">
        <v>12802</v>
      </c>
      <c r="U2838" t="s">
        <v>12802</v>
      </c>
      <c r="V2838" t="s">
        <v>12802</v>
      </c>
      <c r="W2838" t="s">
        <v>15592</v>
      </c>
      <c r="X2838">
        <v>20</v>
      </c>
      <c r="Y2838" t="s">
        <v>21854</v>
      </c>
      <c r="Z2838" t="s">
        <v>28156</v>
      </c>
      <c r="AA2838">
        <v>0.51055508503169877</v>
      </c>
      <c r="AB2838" t="str">
        <f>HYPERLINK("Melting_Curves/meltCurve_P55010_EIF5.pdf", "Melting_Curves/meltCurve_P55010_EIF5.pdf")</f>
        <v>Melting_Curves/meltCurve_P55010_EIF5.pdf</v>
      </c>
    </row>
    <row r="2839" spans="1:28" x14ac:dyDescent="0.25">
      <c r="A2839" t="s">
        <v>2843</v>
      </c>
      <c r="B2839">
        <v>0.99542014353169495</v>
      </c>
      <c r="C2839">
        <v>0.93746372064394901</v>
      </c>
      <c r="D2839">
        <v>0.95596504592690301</v>
      </c>
      <c r="E2839">
        <v>0.77399665007449903</v>
      </c>
      <c r="F2839">
        <v>0.73098688281194102</v>
      </c>
      <c r="G2839">
        <v>0.40114016902319799</v>
      </c>
      <c r="H2839">
        <v>0.27223545883656902</v>
      </c>
      <c r="I2839">
        <v>9.4835749389209106E-2</v>
      </c>
      <c r="J2839">
        <v>8.9233683355335297E-2</v>
      </c>
      <c r="K2839">
        <v>9.5108428929445404E-2</v>
      </c>
      <c r="L2839">
        <v>675.74414900225304</v>
      </c>
      <c r="M2839">
        <v>12.8379848606777</v>
      </c>
      <c r="N2839">
        <v>52.636314953594301</v>
      </c>
      <c r="O2839">
        <v>51.408216823212001</v>
      </c>
      <c r="P2839">
        <v>-6.2443161771627599E-2</v>
      </c>
      <c r="Q2839">
        <v>0</v>
      </c>
      <c r="R2839">
        <v>0.98624027065123798</v>
      </c>
      <c r="S2839" t="s">
        <v>9241</v>
      </c>
      <c r="T2839" t="s">
        <v>12802</v>
      </c>
      <c r="U2839" t="s">
        <v>12802</v>
      </c>
      <c r="V2839" t="s">
        <v>12802</v>
      </c>
      <c r="W2839" t="s">
        <v>15593</v>
      </c>
      <c r="X2839">
        <v>12</v>
      </c>
      <c r="Y2839" t="s">
        <v>21855</v>
      </c>
      <c r="Z2839" t="s">
        <v>28157</v>
      </c>
      <c r="AA2839">
        <v>0.54230894378543615</v>
      </c>
      <c r="AB2839" t="str">
        <f>HYPERLINK("Melting_Curves/meltCurve_P55011_3_SLC12A2.pdf", "Melting_Curves/meltCurve_P55011_3_SLC12A2.pdf")</f>
        <v>Melting_Curves/meltCurve_P55011_3_SLC12A2.pdf</v>
      </c>
    </row>
    <row r="2840" spans="1:28" x14ac:dyDescent="0.25">
      <c r="A2840" t="s">
        <v>2844</v>
      </c>
      <c r="B2840">
        <v>0.99542014353169495</v>
      </c>
      <c r="C2840">
        <v>0.89203007471912299</v>
      </c>
      <c r="D2840">
        <v>0.89939852762143402</v>
      </c>
      <c r="E2840">
        <v>0.72240626784536999</v>
      </c>
      <c r="F2840">
        <v>0.50390736019972804</v>
      </c>
      <c r="G2840">
        <v>0.30378516787765902</v>
      </c>
      <c r="H2840">
        <v>0.205674234773153</v>
      </c>
      <c r="I2840">
        <v>8.33937431815132E-2</v>
      </c>
      <c r="J2840">
        <v>8.5654307872403801E-2</v>
      </c>
      <c r="K2840">
        <v>9.6781435720462897E-2</v>
      </c>
      <c r="L2840">
        <v>611.83501610662597</v>
      </c>
      <c r="M2840">
        <v>12.2505178809132</v>
      </c>
      <c r="N2840">
        <v>50.171244486700601</v>
      </c>
      <c r="O2840">
        <v>48.6687057351403</v>
      </c>
      <c r="P2840">
        <v>-6.12403890225688E-2</v>
      </c>
      <c r="Q2840">
        <v>2.7036262096036E-2</v>
      </c>
      <c r="R2840">
        <v>0.99404633676266096</v>
      </c>
      <c r="S2840" t="s">
        <v>9242</v>
      </c>
      <c r="T2840" t="s">
        <v>12802</v>
      </c>
      <c r="U2840" t="s">
        <v>12802</v>
      </c>
      <c r="V2840" t="s">
        <v>12802</v>
      </c>
      <c r="W2840" t="s">
        <v>15594</v>
      </c>
      <c r="X2840">
        <v>11</v>
      </c>
      <c r="Y2840" t="s">
        <v>21856</v>
      </c>
      <c r="Z2840" t="s">
        <v>28158</v>
      </c>
      <c r="AA2840">
        <v>0.47349565621513018</v>
      </c>
      <c r="AB2840" t="str">
        <f>HYPERLINK("Melting_Curves/meltCurve_P55036_PSMD4.pdf", "Melting_Curves/meltCurve_P55036_PSMD4.pdf")</f>
        <v>Melting_Curves/meltCurve_P55036_PSMD4.pdf</v>
      </c>
    </row>
    <row r="2841" spans="1:28" x14ac:dyDescent="0.25">
      <c r="A2841" t="s">
        <v>2845</v>
      </c>
      <c r="B2841">
        <v>0.99542014353169495</v>
      </c>
      <c r="C2841">
        <v>1.05752870082317</v>
      </c>
      <c r="D2841">
        <v>1.03983993951642</v>
      </c>
      <c r="E2841">
        <v>0.95451856741971997</v>
      </c>
      <c r="F2841">
        <v>0.64290195396307404</v>
      </c>
      <c r="G2841">
        <v>0.25586011832625399</v>
      </c>
      <c r="H2841">
        <v>8.2992277535263601E-2</v>
      </c>
      <c r="I2841">
        <v>5.5398053192808903E-2</v>
      </c>
      <c r="J2841">
        <v>6.0631771146438099E-2</v>
      </c>
      <c r="K2841">
        <v>5.0779236191992601E-2</v>
      </c>
      <c r="L2841">
        <v>1442.4048370989001</v>
      </c>
      <c r="M2841">
        <v>28.178514879347599</v>
      </c>
      <c r="N2841">
        <v>51.380324243852101</v>
      </c>
      <c r="O2841">
        <v>50.932391122731801</v>
      </c>
      <c r="P2841">
        <v>-0.131395217545247</v>
      </c>
      <c r="Q2841">
        <v>5.0025730680436101E-2</v>
      </c>
      <c r="R2841">
        <v>0.99689388295683301</v>
      </c>
      <c r="S2841" t="s">
        <v>9243</v>
      </c>
      <c r="T2841" t="s">
        <v>12802</v>
      </c>
      <c r="U2841" t="s">
        <v>12802</v>
      </c>
      <c r="V2841" t="s">
        <v>12802</v>
      </c>
      <c r="W2841" t="s">
        <v>15595</v>
      </c>
      <c r="X2841">
        <v>14</v>
      </c>
      <c r="Y2841" t="s">
        <v>21857</v>
      </c>
      <c r="Z2841" t="s">
        <v>28159</v>
      </c>
      <c r="AA2841">
        <v>0.50600056747551692</v>
      </c>
      <c r="AB2841" t="str">
        <f>HYPERLINK("Melting_Curves/meltCurve_P55039_DRG2.pdf", "Melting_Curves/meltCurve_P55039_DRG2.pdf")</f>
        <v>Melting_Curves/meltCurve_P55039_DRG2.pdf</v>
      </c>
    </row>
    <row r="2842" spans="1:28" x14ac:dyDescent="0.25">
      <c r="A2842" t="s">
        <v>2846</v>
      </c>
      <c r="B2842">
        <v>0.99542014353169495</v>
      </c>
      <c r="C2842">
        <v>1.02833642266975</v>
      </c>
      <c r="D2842">
        <v>1.00057754816903</v>
      </c>
      <c r="E2842">
        <v>0.87107454936814399</v>
      </c>
      <c r="F2842">
        <v>0.264003647212465</v>
      </c>
      <c r="G2842">
        <v>8.8389890453842906E-2</v>
      </c>
      <c r="H2842">
        <v>5.2748051423775699E-2</v>
      </c>
      <c r="I2842">
        <v>3.4268401526141398E-2</v>
      </c>
      <c r="J2842">
        <v>3.7574315062164E-2</v>
      </c>
      <c r="K2842">
        <v>4.1637308808969202E-2</v>
      </c>
      <c r="L2842">
        <v>1960.2930427834101</v>
      </c>
      <c r="M2842">
        <v>40.235814811891302</v>
      </c>
      <c r="N2842">
        <v>48.8358896043394</v>
      </c>
      <c r="O2842">
        <v>48.600220122428603</v>
      </c>
      <c r="P2842">
        <v>-0.197558428044185</v>
      </c>
      <c r="Q2842">
        <v>4.5490827705725399E-2</v>
      </c>
      <c r="R2842">
        <v>0.99917218562152099</v>
      </c>
      <c r="S2842" t="s">
        <v>9244</v>
      </c>
      <c r="T2842" t="s">
        <v>12802</v>
      </c>
      <c r="U2842" t="s">
        <v>12802</v>
      </c>
      <c r="V2842" t="s">
        <v>12802</v>
      </c>
      <c r="W2842" t="s">
        <v>15596</v>
      </c>
      <c r="X2842">
        <v>37</v>
      </c>
      <c r="Y2842" t="s">
        <v>21858</v>
      </c>
      <c r="Z2842" t="s">
        <v>28160</v>
      </c>
      <c r="AA2842">
        <v>0.42156523666787971</v>
      </c>
      <c r="AB2842" t="str">
        <f>HYPERLINK("Melting_Curves/meltCurve_P55060_3_CSE1L.pdf", "Melting_Curves/meltCurve_P55060_3_CSE1L.pdf")</f>
        <v>Melting_Curves/meltCurve_P55060_3_CSE1L.pdf</v>
      </c>
    </row>
    <row r="2843" spans="1:28" x14ac:dyDescent="0.25">
      <c r="A2843" t="s">
        <v>2847</v>
      </c>
      <c r="B2843">
        <v>0.99542014353169495</v>
      </c>
      <c r="C2843">
        <v>0.84160457712608305</v>
      </c>
      <c r="D2843">
        <v>0.88045199212306102</v>
      </c>
      <c r="E2843">
        <v>0.69076448817010905</v>
      </c>
      <c r="F2843">
        <v>0.58038596535215403</v>
      </c>
      <c r="G2843">
        <v>0.29161633367071199</v>
      </c>
      <c r="H2843">
        <v>0.32718208786361802</v>
      </c>
      <c r="I2843">
        <v>0.34825453488838298</v>
      </c>
      <c r="J2843">
        <v>0.27525115869426597</v>
      </c>
      <c r="K2843">
        <v>0.20718696833625999</v>
      </c>
      <c r="L2843">
        <v>543.00635805552702</v>
      </c>
      <c r="M2843">
        <v>11.2427069131825</v>
      </c>
      <c r="N2843">
        <v>50.776355625353602</v>
      </c>
      <c r="O2843">
        <v>46.8461060049991</v>
      </c>
      <c r="P2843">
        <v>-4.7345431628931102E-2</v>
      </c>
      <c r="Q2843">
        <v>0.21112901246768301</v>
      </c>
      <c r="R2843">
        <v>0.95850317280962105</v>
      </c>
      <c r="S2843" t="s">
        <v>9245</v>
      </c>
      <c r="T2843" t="s">
        <v>12802</v>
      </c>
      <c r="U2843" t="s">
        <v>12802</v>
      </c>
      <c r="V2843" t="s">
        <v>12802</v>
      </c>
      <c r="W2843" t="s">
        <v>15597</v>
      </c>
      <c r="X2843">
        <v>62</v>
      </c>
      <c r="Y2843" t="s">
        <v>19480</v>
      </c>
      <c r="Z2843" t="s">
        <v>28161</v>
      </c>
      <c r="AA2843">
        <v>0.53486677906409619</v>
      </c>
      <c r="AB2843" t="str">
        <f>HYPERLINK("Melting_Curves/meltCurve_P55072_VCP.pdf", "Melting_Curves/meltCurve_P55072_VCP.pdf")</f>
        <v>Melting_Curves/meltCurve_P55072_VCP.pdf</v>
      </c>
    </row>
    <row r="2844" spans="1:28" x14ac:dyDescent="0.25">
      <c r="A2844" t="s">
        <v>2848</v>
      </c>
      <c r="B2844">
        <v>0.99542014353169495</v>
      </c>
      <c r="C2844">
        <v>1.0132098112705501</v>
      </c>
      <c r="D2844">
        <v>1.0022028143100401</v>
      </c>
      <c r="E2844">
        <v>0.98003670552734801</v>
      </c>
      <c r="F2844">
        <v>0.76617092634407902</v>
      </c>
      <c r="G2844">
        <v>0.584021332896418</v>
      </c>
      <c r="H2844">
        <v>0.42287022065739499</v>
      </c>
      <c r="I2844">
        <v>0.40311151689902303</v>
      </c>
      <c r="J2844">
        <v>0.66742690871928601</v>
      </c>
      <c r="K2844">
        <v>0.84630233311805803</v>
      </c>
      <c r="L2844">
        <v>3002.7950529705899</v>
      </c>
      <c r="M2844">
        <v>60.0777134772433</v>
      </c>
      <c r="O2844">
        <v>49.926549404204899</v>
      </c>
      <c r="P2844">
        <v>-0.125236396062477</v>
      </c>
      <c r="Q2844">
        <v>0.58369790556439005</v>
      </c>
      <c r="R2844">
        <v>0.73744573833901295</v>
      </c>
      <c r="S2844" t="s">
        <v>9246</v>
      </c>
      <c r="T2844" t="s">
        <v>12802</v>
      </c>
      <c r="U2844" t="s">
        <v>12802</v>
      </c>
      <c r="V2844" t="s">
        <v>12802</v>
      </c>
      <c r="W2844" t="s">
        <v>15598</v>
      </c>
      <c r="X2844">
        <v>19</v>
      </c>
      <c r="Y2844" t="s">
        <v>21859</v>
      </c>
      <c r="Z2844" t="s">
        <v>28162</v>
      </c>
      <c r="AA2844">
        <v>0.76447820021870327</v>
      </c>
      <c r="AB2844" t="str">
        <f>HYPERLINK("Melting_Curves/meltCurve_P55081_MFAP1.pdf", "Melting_Curves/meltCurve_P55081_MFAP1.pdf")</f>
        <v>Melting_Curves/meltCurve_P55081_MFAP1.pdf</v>
      </c>
    </row>
    <row r="2845" spans="1:28" x14ac:dyDescent="0.25">
      <c r="A2845" t="s">
        <v>2849</v>
      </c>
      <c r="B2845">
        <v>0.99542014353169495</v>
      </c>
      <c r="C2845">
        <v>1.01345578397056</v>
      </c>
      <c r="D2845">
        <v>1.0059593337441799</v>
      </c>
      <c r="E2845">
        <v>0.983542456534099</v>
      </c>
      <c r="F2845">
        <v>0.84516334400906101</v>
      </c>
      <c r="G2845">
        <v>0.73516115635664003</v>
      </c>
      <c r="H2845">
        <v>0.55969984442116705</v>
      </c>
      <c r="I2845">
        <v>0.50975411487458799</v>
      </c>
      <c r="J2845">
        <v>0.803716492872949</v>
      </c>
      <c r="K2845">
        <v>0.95300231135792002</v>
      </c>
      <c r="L2845">
        <v>2361.35371879374</v>
      </c>
      <c r="M2845">
        <v>47.180821167544302</v>
      </c>
      <c r="O2845">
        <v>49.959346090839297</v>
      </c>
      <c r="P2845">
        <v>-6.8466959551846104E-2</v>
      </c>
      <c r="Q2845">
        <v>0.71000409655242602</v>
      </c>
      <c r="R2845">
        <v>0.58343304924548101</v>
      </c>
      <c r="S2845" t="s">
        <v>9247</v>
      </c>
      <c r="T2845" t="s">
        <v>12802</v>
      </c>
      <c r="U2845" t="s">
        <v>12802</v>
      </c>
      <c r="V2845" t="s">
        <v>12802</v>
      </c>
      <c r="W2845" t="s">
        <v>15599</v>
      </c>
      <c r="X2845">
        <v>18</v>
      </c>
      <c r="Y2845" t="s">
        <v>21860</v>
      </c>
      <c r="Z2845" t="s">
        <v>28163</v>
      </c>
      <c r="AA2845">
        <v>0.83686219919843263</v>
      </c>
      <c r="AB2845" t="str">
        <f>HYPERLINK("Melting_Curves/meltCurve_P55145_MANF.pdf", "Melting_Curves/meltCurve_P55145_MANF.pdf")</f>
        <v>Melting_Curves/meltCurve_P55145_MANF.pdf</v>
      </c>
    </row>
    <row r="2846" spans="1:28" x14ac:dyDescent="0.25">
      <c r="A2846" t="s">
        <v>2850</v>
      </c>
      <c r="B2846">
        <v>0.99542014353169495</v>
      </c>
      <c r="C2846">
        <v>0.92533585569285104</v>
      </c>
      <c r="D2846">
        <v>0.96262805887181802</v>
      </c>
      <c r="E2846">
        <v>0.94845050859655899</v>
      </c>
      <c r="F2846">
        <v>0.48961057599706598</v>
      </c>
      <c r="G2846">
        <v>0.158290749241564</v>
      </c>
      <c r="H2846">
        <v>0.115750097152392</v>
      </c>
      <c r="I2846">
        <v>6.15294414669222E-2</v>
      </c>
      <c r="J2846">
        <v>8.7471794902320696E-2</v>
      </c>
      <c r="K2846">
        <v>2.2889367554892699E-2</v>
      </c>
      <c r="L2846">
        <v>1679.6816180442499</v>
      </c>
      <c r="M2846">
        <v>33.605998896028403</v>
      </c>
      <c r="N2846">
        <v>50.204878904374503</v>
      </c>
      <c r="O2846">
        <v>49.805612853802401</v>
      </c>
      <c r="P2846">
        <v>-0.15697747607714499</v>
      </c>
      <c r="Q2846">
        <v>6.9412933424312206E-2</v>
      </c>
      <c r="R2846">
        <v>0.99336134021890798</v>
      </c>
      <c r="S2846" t="s">
        <v>9248</v>
      </c>
      <c r="T2846" t="s">
        <v>12802</v>
      </c>
      <c r="U2846" t="s">
        <v>12802</v>
      </c>
      <c r="V2846" t="s">
        <v>12802</v>
      </c>
      <c r="W2846" t="s">
        <v>15600</v>
      </c>
      <c r="X2846">
        <v>50</v>
      </c>
      <c r="Y2846" t="s">
        <v>19921</v>
      </c>
      <c r="Z2846" t="s">
        <v>28164</v>
      </c>
      <c r="AA2846">
        <v>0.47665227309690211</v>
      </c>
      <c r="AB2846" t="str">
        <f>HYPERLINK("Melting_Curves/meltCurve_P55196_3_MLLT4.pdf", "Melting_Curves/meltCurve_P55196_3_MLLT4.pdf")</f>
        <v>Melting_Curves/meltCurve_P55196_3_MLLT4.pdf</v>
      </c>
    </row>
    <row r="2847" spans="1:28" x14ac:dyDescent="0.25">
      <c r="A2847" t="s">
        <v>2851</v>
      </c>
      <c r="B2847">
        <v>0.99542014353169495</v>
      </c>
      <c r="C2847">
        <v>1.0107028613820099</v>
      </c>
      <c r="D2847">
        <v>1.0290451457435399</v>
      </c>
      <c r="E2847">
        <v>0.44659704967681202</v>
      </c>
      <c r="F2847">
        <v>0.22878790229231899</v>
      </c>
      <c r="G2847">
        <v>0.113880137588627</v>
      </c>
      <c r="H2847">
        <v>3.9845584560798002E-2</v>
      </c>
      <c r="I2847">
        <v>2.2792204128117801E-2</v>
      </c>
      <c r="J2847">
        <v>0</v>
      </c>
      <c r="K2847">
        <v>1.2724709363685201E-2</v>
      </c>
      <c r="L2847">
        <v>1365.6440801828401</v>
      </c>
      <c r="M2847">
        <v>29.334079266909001</v>
      </c>
      <c r="N2847">
        <v>46.697805265579397</v>
      </c>
      <c r="O2847">
        <v>46.340115158030599</v>
      </c>
      <c r="P2847">
        <v>-0.15146011644365301</v>
      </c>
      <c r="Q2847">
        <v>4.29385404016819E-2</v>
      </c>
      <c r="R2847">
        <v>0.98374262499544296</v>
      </c>
      <c r="S2847" t="s">
        <v>9249</v>
      </c>
      <c r="T2847" t="s">
        <v>12802</v>
      </c>
      <c r="U2847" t="s">
        <v>12802</v>
      </c>
      <c r="V2847" t="s">
        <v>12802</v>
      </c>
      <c r="W2847" t="s">
        <v>15601</v>
      </c>
      <c r="X2847">
        <v>8</v>
      </c>
      <c r="Y2847" t="s">
        <v>21861</v>
      </c>
      <c r="Z2847" t="s">
        <v>28165</v>
      </c>
      <c r="AA2847">
        <v>0.35353171615052198</v>
      </c>
      <c r="AB2847" t="str">
        <f>HYPERLINK("Melting_Curves/meltCurve_P55199_ELL.pdf", "Melting_Curves/meltCurve_P55199_ELL.pdf")</f>
        <v>Melting_Curves/meltCurve_P55199_ELL.pdf</v>
      </c>
    </row>
    <row r="2848" spans="1:28" x14ac:dyDescent="0.25">
      <c r="A2848" t="s">
        <v>2852</v>
      </c>
      <c r="B2848">
        <v>0.99542014353169495</v>
      </c>
      <c r="C2848">
        <v>1.0322072243435301</v>
      </c>
      <c r="D2848">
        <v>0.98888460444536996</v>
      </c>
      <c r="E2848">
        <v>0.76577514729131602</v>
      </c>
      <c r="F2848">
        <v>0.25815540041120499</v>
      </c>
      <c r="G2848">
        <v>0.15959253140239699</v>
      </c>
      <c r="H2848">
        <v>0.10884976471623301</v>
      </c>
      <c r="I2848">
        <v>7.6116580772661604E-2</v>
      </c>
      <c r="J2848">
        <v>0.10185607730858701</v>
      </c>
      <c r="K2848">
        <v>4.0265336573049697E-2</v>
      </c>
      <c r="L2848">
        <v>1569.95983709029</v>
      </c>
      <c r="M2848">
        <v>32.649771559862501</v>
      </c>
      <c r="N2848">
        <v>48.373025127314698</v>
      </c>
      <c r="O2848">
        <v>47.905557700882603</v>
      </c>
      <c r="P2848">
        <v>-0.15532883859687699</v>
      </c>
      <c r="Q2848">
        <v>8.8375906252894695E-2</v>
      </c>
      <c r="R2848">
        <v>0.99631673403573795</v>
      </c>
      <c r="S2848" t="s">
        <v>9250</v>
      </c>
      <c r="T2848" t="s">
        <v>12802</v>
      </c>
      <c r="U2848" t="s">
        <v>12802</v>
      </c>
      <c r="V2848" t="s">
        <v>12802</v>
      </c>
      <c r="W2848" t="s">
        <v>15602</v>
      </c>
      <c r="X2848">
        <v>2</v>
      </c>
      <c r="Y2848" t="s">
        <v>21862</v>
      </c>
      <c r="Z2848" t="s">
        <v>28166</v>
      </c>
      <c r="AA2848">
        <v>0.42977852745000539</v>
      </c>
      <c r="AB2848" t="str">
        <f>HYPERLINK("Melting_Curves/meltCurve_P55211_2_CASP9.pdf", "Melting_Curves/meltCurve_P55211_2_CASP9.pdf")</f>
        <v>Melting_Curves/meltCurve_P55211_2_CASP9.pdf</v>
      </c>
    </row>
    <row r="2849" spans="1:28" x14ac:dyDescent="0.25">
      <c r="A2849" t="s">
        <v>2853</v>
      </c>
      <c r="B2849">
        <v>0.99542014353169495</v>
      </c>
      <c r="C2849">
        <v>0.97782269569382196</v>
      </c>
      <c r="D2849">
        <v>0.93334504498898196</v>
      </c>
      <c r="E2849">
        <v>0.91399167895838795</v>
      </c>
      <c r="F2849">
        <v>0.74179983800952098</v>
      </c>
      <c r="G2849">
        <v>0.62017985308724699</v>
      </c>
      <c r="H2849">
        <v>0.50670323378474302</v>
      </c>
      <c r="I2849">
        <v>0.49950322371084099</v>
      </c>
      <c r="J2849">
        <v>0.77738310306993896</v>
      </c>
      <c r="K2849">
        <v>0.93308955918044101</v>
      </c>
      <c r="L2849">
        <v>1691.7748073231801</v>
      </c>
      <c r="M2849">
        <v>35.285771550619401</v>
      </c>
      <c r="O2849">
        <v>47.791750216959699</v>
      </c>
      <c r="P2849">
        <v>-6.1144241394150797E-2</v>
      </c>
      <c r="Q2849">
        <v>0.66874124733140405</v>
      </c>
      <c r="R2849">
        <v>0.56179975304942897</v>
      </c>
      <c r="S2849" t="s">
        <v>9251</v>
      </c>
      <c r="T2849" t="s">
        <v>12802</v>
      </c>
      <c r="U2849" t="s">
        <v>12802</v>
      </c>
      <c r="V2849" t="s">
        <v>12802</v>
      </c>
      <c r="W2849" t="s">
        <v>15603</v>
      </c>
      <c r="X2849">
        <v>17</v>
      </c>
      <c r="Y2849" t="s">
        <v>21863</v>
      </c>
      <c r="Z2849" t="s">
        <v>28167</v>
      </c>
      <c r="AA2849">
        <v>0.79100863379320852</v>
      </c>
      <c r="AB2849" t="str">
        <f>HYPERLINK("Melting_Curves/meltCurve_P55212_CASP6.pdf", "Melting_Curves/meltCurve_P55212_CASP6.pdf")</f>
        <v>Melting_Curves/meltCurve_P55212_CASP6.pdf</v>
      </c>
    </row>
    <row r="2850" spans="1:28" x14ac:dyDescent="0.25">
      <c r="A2850" t="s">
        <v>2854</v>
      </c>
      <c r="B2850">
        <v>0.99542014353169495</v>
      </c>
      <c r="C2850">
        <v>1.0377693400499799</v>
      </c>
      <c r="D2850">
        <v>0.92699168613706096</v>
      </c>
      <c r="E2850">
        <v>0.88917038700237105</v>
      </c>
      <c r="F2850">
        <v>0.72942236903983904</v>
      </c>
      <c r="G2850">
        <v>0.65565682174131101</v>
      </c>
      <c r="H2850">
        <v>0.435179861769313</v>
      </c>
      <c r="I2850">
        <v>0.29039275844284901</v>
      </c>
      <c r="J2850">
        <v>7.7825466645222302E-2</v>
      </c>
      <c r="K2850">
        <v>7.4636907996086799E-2</v>
      </c>
      <c r="L2850">
        <v>684.45198798160698</v>
      </c>
      <c r="M2850">
        <v>12.3122342736823</v>
      </c>
      <c r="N2850">
        <v>55.591209005208803</v>
      </c>
      <c r="O2850">
        <v>54.185745917296998</v>
      </c>
      <c r="P2850">
        <v>-5.6818083943034399E-2</v>
      </c>
      <c r="Q2850">
        <v>0</v>
      </c>
      <c r="R2850">
        <v>0.98168444118411702</v>
      </c>
      <c r="S2850" t="s">
        <v>9252</v>
      </c>
      <c r="T2850" t="s">
        <v>12802</v>
      </c>
      <c r="U2850" t="s">
        <v>12802</v>
      </c>
      <c r="V2850" t="s">
        <v>12802</v>
      </c>
      <c r="W2850" t="s">
        <v>15604</v>
      </c>
      <c r="X2850">
        <v>23</v>
      </c>
      <c r="Y2850" t="s">
        <v>21864</v>
      </c>
      <c r="Z2850" t="s">
        <v>28168</v>
      </c>
      <c r="AA2850">
        <v>0.63163259570622954</v>
      </c>
      <c r="AB2850" t="str">
        <f>HYPERLINK("Melting_Curves/meltCurve_P55263_ADK.pdf", "Melting_Curves/meltCurve_P55263_ADK.pdf")</f>
        <v>Melting_Curves/meltCurve_P55263_ADK.pdf</v>
      </c>
    </row>
    <row r="2851" spans="1:28" x14ac:dyDescent="0.25">
      <c r="A2851" t="s">
        <v>2855</v>
      </c>
      <c r="B2851">
        <v>0.99542014353169495</v>
      </c>
      <c r="C2851">
        <v>1.1535587872814801</v>
      </c>
      <c r="D2851">
        <v>1.0325337050349499</v>
      </c>
      <c r="E2851">
        <v>0.92490672927606898</v>
      </c>
      <c r="F2851">
        <v>0.54286041741477298</v>
      </c>
      <c r="G2851">
        <v>0.56680070329001997</v>
      </c>
      <c r="H2851">
        <v>0.23024972269645</v>
      </c>
      <c r="I2851">
        <v>0.130685880991145</v>
      </c>
      <c r="J2851">
        <v>7.1694041155341406E-2</v>
      </c>
      <c r="K2851">
        <v>0</v>
      </c>
      <c r="L2851">
        <v>771.67567851838601</v>
      </c>
      <c r="M2851">
        <v>14.554264593242401</v>
      </c>
      <c r="N2851">
        <v>53.020600876147697</v>
      </c>
      <c r="O2851">
        <v>52.049792142201099</v>
      </c>
      <c r="P2851">
        <v>-6.9913436700406395E-2</v>
      </c>
      <c r="Q2851">
        <v>0</v>
      </c>
      <c r="R2851">
        <v>0.95884506441332595</v>
      </c>
      <c r="S2851" t="s">
        <v>9253</v>
      </c>
      <c r="T2851" t="s">
        <v>12802</v>
      </c>
      <c r="U2851" t="s">
        <v>12802</v>
      </c>
      <c r="V2851" t="s">
        <v>12802</v>
      </c>
      <c r="W2851" t="s">
        <v>15605</v>
      </c>
      <c r="X2851">
        <v>1</v>
      </c>
      <c r="Y2851" t="s">
        <v>21865</v>
      </c>
      <c r="Z2851" t="s">
        <v>28169</v>
      </c>
      <c r="AA2851">
        <v>0.55234369355065338</v>
      </c>
      <c r="AB2851" t="str">
        <f>HYPERLINK("Melting_Curves/meltCurve_P55273_CDKN2D.pdf", "Melting_Curves/meltCurve_P55273_CDKN2D.pdf")</f>
        <v>Melting_Curves/meltCurve_P55273_CDKN2D.pdf</v>
      </c>
    </row>
    <row r="2852" spans="1:28" x14ac:dyDescent="0.25">
      <c r="A2852" t="s">
        <v>2856</v>
      </c>
      <c r="B2852">
        <v>0.99542014353169495</v>
      </c>
      <c r="C2852">
        <v>1.01030317279233</v>
      </c>
      <c r="D2852">
        <v>0.92375719577093796</v>
      </c>
      <c r="E2852">
        <v>0.66074880184053997</v>
      </c>
      <c r="F2852">
        <v>0.296116825396534</v>
      </c>
      <c r="G2852">
        <v>0.155291824382432</v>
      </c>
      <c r="H2852">
        <v>6.8305048766067994E-2</v>
      </c>
      <c r="I2852">
        <v>4.0464735705492298E-2</v>
      </c>
      <c r="J2852">
        <v>3.6640796034003401E-2</v>
      </c>
      <c r="K2852">
        <v>4.0307520657309602E-2</v>
      </c>
      <c r="L2852">
        <v>1001.24660555556</v>
      </c>
      <c r="M2852">
        <v>20.878535873444999</v>
      </c>
      <c r="N2852">
        <v>48.138836197192703</v>
      </c>
      <c r="O2852">
        <v>47.522346327900998</v>
      </c>
      <c r="P2852">
        <v>-0.105646845288789</v>
      </c>
      <c r="Q2852">
        <v>3.8160793641531403E-2</v>
      </c>
      <c r="R2852">
        <v>0.999002447198164</v>
      </c>
      <c r="S2852" t="s">
        <v>9254</v>
      </c>
      <c r="T2852" t="s">
        <v>12802</v>
      </c>
      <c r="U2852" t="s">
        <v>12802</v>
      </c>
      <c r="V2852" t="s">
        <v>12802</v>
      </c>
      <c r="W2852" t="s">
        <v>15606</v>
      </c>
      <c r="X2852">
        <v>7</v>
      </c>
      <c r="Y2852" t="s">
        <v>21866</v>
      </c>
      <c r="Z2852" t="s">
        <v>28170</v>
      </c>
      <c r="AA2852">
        <v>0.40105910341352352</v>
      </c>
      <c r="AB2852" t="str">
        <f>HYPERLINK("Melting_Curves/meltCurve_P55735_SEC13.pdf", "Melting_Curves/meltCurve_P55735_SEC13.pdf")</f>
        <v>Melting_Curves/meltCurve_P55735_SEC13.pdf</v>
      </c>
    </row>
    <row r="2853" spans="1:28" x14ac:dyDescent="0.25">
      <c r="A2853" t="s">
        <v>2857</v>
      </c>
      <c r="B2853">
        <v>0.99542014353169495</v>
      </c>
      <c r="C2853">
        <v>1.0622015519580701</v>
      </c>
      <c r="D2853">
        <v>0.87718019379437495</v>
      </c>
      <c r="E2853">
        <v>0.82817057190298404</v>
      </c>
      <c r="F2853">
        <v>0.64021151874946003</v>
      </c>
      <c r="G2853">
        <v>0.48560504845254598</v>
      </c>
      <c r="H2853">
        <v>0.30105673434020902</v>
      </c>
      <c r="I2853">
        <v>0.288496105720771</v>
      </c>
      <c r="J2853">
        <v>0.39942163914087098</v>
      </c>
      <c r="K2853">
        <v>0.42787032209584103</v>
      </c>
      <c r="L2853">
        <v>895.55968084333699</v>
      </c>
      <c r="M2853">
        <v>18.199126551810501</v>
      </c>
      <c r="N2853">
        <v>52.586074487430899</v>
      </c>
      <c r="O2853">
        <v>48.626331468374303</v>
      </c>
      <c r="P2853">
        <v>-6.1323746850080602E-2</v>
      </c>
      <c r="Q2853">
        <v>0.344626119144401</v>
      </c>
      <c r="R2853">
        <v>0.95477238214927296</v>
      </c>
      <c r="S2853" t="s">
        <v>9255</v>
      </c>
      <c r="T2853" t="s">
        <v>12802</v>
      </c>
      <c r="U2853" t="s">
        <v>12802</v>
      </c>
      <c r="V2853" t="s">
        <v>12802</v>
      </c>
      <c r="W2853" t="s">
        <v>15607</v>
      </c>
      <c r="X2853">
        <v>6</v>
      </c>
      <c r="Y2853" t="s">
        <v>21867</v>
      </c>
      <c r="Z2853" t="s">
        <v>28171</v>
      </c>
      <c r="AA2853">
        <v>0.62154836840904404</v>
      </c>
      <c r="AB2853" t="str">
        <f>HYPERLINK("Melting_Curves/meltCurve_P55789_GFER.pdf", "Melting_Curves/meltCurve_P55789_GFER.pdf")</f>
        <v>Melting_Curves/meltCurve_P55789_GFER.pdf</v>
      </c>
    </row>
    <row r="2854" spans="1:28" x14ac:dyDescent="0.25">
      <c r="A2854" t="s">
        <v>2858</v>
      </c>
      <c r="B2854">
        <v>0.99542014353169495</v>
      </c>
      <c r="C2854">
        <v>0.87331059407863698</v>
      </c>
      <c r="D2854">
        <v>0.41711917506935597</v>
      </c>
      <c r="E2854">
        <v>0.22896219280218699</v>
      </c>
      <c r="F2854">
        <v>0.13372395791548</v>
      </c>
      <c r="G2854">
        <v>8.0074971207988899E-2</v>
      </c>
      <c r="H2854">
        <v>7.5629541085803303E-2</v>
      </c>
      <c r="I2854">
        <v>4.56620876379056E-2</v>
      </c>
      <c r="J2854">
        <v>4.9837928480150902E-2</v>
      </c>
      <c r="K2854">
        <v>5.11901698213457E-2</v>
      </c>
      <c r="L2854">
        <v>1004.1514743732</v>
      </c>
      <c r="M2854">
        <v>23.640919322320201</v>
      </c>
      <c r="N2854">
        <v>42.754276440763498</v>
      </c>
      <c r="O2854">
        <v>42.174721114058798</v>
      </c>
      <c r="P2854">
        <v>-0.130117491038614</v>
      </c>
      <c r="Q2854">
        <v>7.1511983287779302E-2</v>
      </c>
      <c r="R2854">
        <v>0.99046072473279001</v>
      </c>
      <c r="S2854" t="s">
        <v>9256</v>
      </c>
      <c r="T2854" t="s">
        <v>12802</v>
      </c>
      <c r="U2854" t="s">
        <v>12802</v>
      </c>
      <c r="V2854" t="s">
        <v>12802</v>
      </c>
      <c r="W2854" t="s">
        <v>15608</v>
      </c>
      <c r="X2854">
        <v>11</v>
      </c>
      <c r="Y2854" t="s">
        <v>21868</v>
      </c>
      <c r="Z2854" t="s">
        <v>28172</v>
      </c>
      <c r="AA2854">
        <v>0.25005187226082798</v>
      </c>
      <c r="AB2854" t="str">
        <f>HYPERLINK("Melting_Curves/meltCurve_P55795_HNRNPH2.pdf", "Melting_Curves/meltCurve_P55795_HNRNPH2.pdf")</f>
        <v>Melting_Curves/meltCurve_P55795_HNRNPH2.pdf</v>
      </c>
    </row>
    <row r="2855" spans="1:28" x14ac:dyDescent="0.25">
      <c r="A2855" t="s">
        <v>2859</v>
      </c>
      <c r="B2855">
        <v>0.99542014353169495</v>
      </c>
      <c r="C2855">
        <v>0.997620848538748</v>
      </c>
      <c r="D2855">
        <v>0.96718682187774396</v>
      </c>
      <c r="E2855">
        <v>0.86484118916324804</v>
      </c>
      <c r="F2855">
        <v>0.67962837272857801</v>
      </c>
      <c r="G2855">
        <v>0.35744501130237699</v>
      </c>
      <c r="H2855">
        <v>9.9384441497545994E-2</v>
      </c>
      <c r="I2855">
        <v>6.5828897025881794E-2</v>
      </c>
      <c r="J2855">
        <v>6.46218076805707E-2</v>
      </c>
      <c r="K2855">
        <v>6.60165388158276E-2</v>
      </c>
      <c r="L2855">
        <v>1041.91398205779</v>
      </c>
      <c r="M2855">
        <v>20.144219478725301</v>
      </c>
      <c r="N2855">
        <v>51.896050576652797</v>
      </c>
      <c r="O2855">
        <v>51.221093816761602</v>
      </c>
      <c r="P2855">
        <v>-9.5124367914436597E-2</v>
      </c>
      <c r="Q2855">
        <v>3.2532245657143098E-2</v>
      </c>
      <c r="R2855">
        <v>0.99632528427081901</v>
      </c>
      <c r="S2855" t="s">
        <v>9257</v>
      </c>
      <c r="T2855" t="s">
        <v>12802</v>
      </c>
      <c r="U2855" t="s">
        <v>12802</v>
      </c>
      <c r="V2855" t="s">
        <v>12802</v>
      </c>
      <c r="W2855" t="s">
        <v>15609</v>
      </c>
      <c r="X2855">
        <v>17</v>
      </c>
      <c r="Y2855" t="s">
        <v>21869</v>
      </c>
      <c r="Z2855" t="s">
        <v>28173</v>
      </c>
      <c r="AA2855">
        <v>0.51973476618004633</v>
      </c>
      <c r="AB2855" t="str">
        <f>HYPERLINK("Melting_Curves/meltCurve_P55809_OXCT1.pdf", "Melting_Curves/meltCurve_P55809_OXCT1.pdf")</f>
        <v>Melting_Curves/meltCurve_P55809_OXCT1.pdf</v>
      </c>
    </row>
    <row r="2856" spans="1:28" x14ac:dyDescent="0.25">
      <c r="A2856" t="s">
        <v>2860</v>
      </c>
      <c r="B2856">
        <v>0.99542014353169495</v>
      </c>
      <c r="C2856">
        <v>0.90130096172638696</v>
      </c>
      <c r="D2856">
        <v>0.94598036910723304</v>
      </c>
      <c r="E2856">
        <v>0.50221728360981799</v>
      </c>
      <c r="F2856">
        <v>0.15260559616819999</v>
      </c>
      <c r="G2856">
        <v>8.3888103897591895E-2</v>
      </c>
      <c r="H2856">
        <v>4.9033279271630002E-2</v>
      </c>
      <c r="I2856">
        <v>3.6815623770295201E-2</v>
      </c>
      <c r="J2856">
        <v>3.8994594502442699E-2</v>
      </c>
      <c r="K2856">
        <v>4.1478765679427203E-2</v>
      </c>
      <c r="L2856">
        <v>1329.14324341154</v>
      </c>
      <c r="M2856">
        <v>28.5689748794141</v>
      </c>
      <c r="N2856">
        <v>46.677421664767103</v>
      </c>
      <c r="O2856">
        <v>46.297822283521597</v>
      </c>
      <c r="P2856">
        <v>-0.14735557998399301</v>
      </c>
      <c r="Q2856">
        <v>4.4811069391894998E-2</v>
      </c>
      <c r="R2856">
        <v>0.99388151043405404</v>
      </c>
      <c r="S2856" t="s">
        <v>9258</v>
      </c>
      <c r="T2856" t="s">
        <v>12802</v>
      </c>
      <c r="U2856" t="s">
        <v>12802</v>
      </c>
      <c r="V2856" t="s">
        <v>12802</v>
      </c>
      <c r="W2856" t="s">
        <v>15610</v>
      </c>
      <c r="X2856">
        <v>37</v>
      </c>
      <c r="Y2856" t="s">
        <v>21870</v>
      </c>
      <c r="Z2856" t="s">
        <v>28174</v>
      </c>
      <c r="AA2856">
        <v>0.3541285297137548</v>
      </c>
      <c r="AB2856" t="str">
        <f>HYPERLINK("Melting_Curves/meltCurve_P55884_EIF3B.pdf", "Melting_Curves/meltCurve_P55884_EIF3B.pdf")</f>
        <v>Melting_Curves/meltCurve_P55884_EIF3B.pdf</v>
      </c>
    </row>
    <row r="2857" spans="1:28" x14ac:dyDescent="0.25">
      <c r="A2857" t="s">
        <v>2861</v>
      </c>
      <c r="B2857">
        <v>0.99542014353169495</v>
      </c>
      <c r="C2857">
        <v>1.0810032932357001</v>
      </c>
      <c r="D2857">
        <v>0.93446261807931696</v>
      </c>
      <c r="E2857">
        <v>0.933386767209337</v>
      </c>
      <c r="F2857">
        <v>0.77377764983477004</v>
      </c>
      <c r="G2857">
        <v>0.67794462122306198</v>
      </c>
      <c r="H2857">
        <v>0.475042233374877</v>
      </c>
      <c r="I2857">
        <v>0.42073188117483001</v>
      </c>
      <c r="J2857">
        <v>0.55020730136443596</v>
      </c>
      <c r="K2857">
        <v>0.55513878729574195</v>
      </c>
      <c r="L2857">
        <v>1058.42058403234</v>
      </c>
      <c r="M2857">
        <v>20.7738694805001</v>
      </c>
      <c r="N2857">
        <v>64.469024986807398</v>
      </c>
      <c r="O2857">
        <v>50.4845354566203</v>
      </c>
      <c r="P2857">
        <v>-5.2097345837213101E-2</v>
      </c>
      <c r="Q2857">
        <v>0.49358752697195601</v>
      </c>
      <c r="R2857">
        <v>0.93831163351802604</v>
      </c>
      <c r="S2857" t="s">
        <v>9259</v>
      </c>
      <c r="T2857" t="s">
        <v>12802</v>
      </c>
      <c r="U2857" t="s">
        <v>12802</v>
      </c>
      <c r="V2857" t="s">
        <v>12802</v>
      </c>
      <c r="W2857" t="s">
        <v>15611</v>
      </c>
      <c r="X2857">
        <v>7</v>
      </c>
      <c r="Y2857" t="s">
        <v>21871</v>
      </c>
      <c r="Z2857" t="s">
        <v>28175</v>
      </c>
      <c r="AA2857">
        <v>0.73528395582491823</v>
      </c>
      <c r="AB2857" t="str">
        <f>HYPERLINK("Melting_Curves/meltCurve_P55957_BID.pdf", "Melting_Curves/meltCurve_P55957_BID.pdf")</f>
        <v>Melting_Curves/meltCurve_P55957_BID.pdf</v>
      </c>
    </row>
    <row r="2858" spans="1:28" x14ac:dyDescent="0.25">
      <c r="A2858" t="s">
        <v>2862</v>
      </c>
      <c r="B2858">
        <v>0.99542014353169495</v>
      </c>
      <c r="C2858">
        <v>0.921614477765475</v>
      </c>
      <c r="D2858">
        <v>0.94099506864617599</v>
      </c>
      <c r="E2858">
        <v>0.82143887214752498</v>
      </c>
      <c r="F2858">
        <v>0.81876770627652895</v>
      </c>
      <c r="G2858">
        <v>0.62345966030367705</v>
      </c>
      <c r="H2858">
        <v>0.52254958591181799</v>
      </c>
      <c r="I2858">
        <v>0.52084513186045001</v>
      </c>
      <c r="J2858">
        <v>0.87046694371467404</v>
      </c>
      <c r="K2858">
        <v>1.07252160820271</v>
      </c>
      <c r="L2858">
        <v>996.13459883015901</v>
      </c>
      <c r="M2858">
        <v>22.141531354219499</v>
      </c>
      <c r="O2858">
        <v>44.627256622887003</v>
      </c>
      <c r="P2858">
        <v>-3.3174970622280503E-2</v>
      </c>
      <c r="Q2858">
        <v>0.73254321049231297</v>
      </c>
      <c r="R2858">
        <v>0.27170110649475399</v>
      </c>
      <c r="S2858" t="s">
        <v>9260</v>
      </c>
      <c r="T2858" t="s">
        <v>12802</v>
      </c>
      <c r="U2858" t="s">
        <v>12802</v>
      </c>
      <c r="V2858" t="s">
        <v>12802</v>
      </c>
      <c r="W2858" t="s">
        <v>15612</v>
      </c>
      <c r="X2858">
        <v>21</v>
      </c>
      <c r="Y2858" t="s">
        <v>21872</v>
      </c>
      <c r="Z2858" t="s">
        <v>28176</v>
      </c>
      <c r="AA2858">
        <v>0.80660642436937136</v>
      </c>
      <c r="AB2858" t="str">
        <f>HYPERLINK("Melting_Curves/meltCurve_P56181_2_NDUFV3.pdf", "Melting_Curves/meltCurve_P56181_2_NDUFV3.pdf")</f>
        <v>Melting_Curves/meltCurve_P56181_2_NDUFV3.pdf</v>
      </c>
    </row>
    <row r="2859" spans="1:28" x14ac:dyDescent="0.25">
      <c r="A2859" t="s">
        <v>2863</v>
      </c>
      <c r="B2859">
        <v>0.99542014353169495</v>
      </c>
      <c r="C2859">
        <v>0.97466369664099395</v>
      </c>
      <c r="D2859">
        <v>0.87915304968100005</v>
      </c>
      <c r="E2859">
        <v>0.43208986913655001</v>
      </c>
      <c r="F2859">
        <v>0.19312716785779299</v>
      </c>
      <c r="G2859">
        <v>0.10987513727357801</v>
      </c>
      <c r="H2859">
        <v>6.7263981896147004E-2</v>
      </c>
      <c r="I2859">
        <v>4.4772010929767403E-2</v>
      </c>
      <c r="J2859">
        <v>4.5426395189639597E-2</v>
      </c>
      <c r="K2859">
        <v>3.7950360901103701E-2</v>
      </c>
      <c r="L2859">
        <v>1100.5628426892799</v>
      </c>
      <c r="M2859">
        <v>23.904791979293201</v>
      </c>
      <c r="N2859">
        <v>46.2625297857075</v>
      </c>
      <c r="O2859">
        <v>45.720877148809599</v>
      </c>
      <c r="P2859">
        <v>-0.12359623520706001</v>
      </c>
      <c r="Q2859">
        <v>5.4443003850255599E-2</v>
      </c>
      <c r="R2859">
        <v>0.99783861115637196</v>
      </c>
      <c r="S2859" t="s">
        <v>9261</v>
      </c>
      <c r="T2859" t="s">
        <v>12802</v>
      </c>
      <c r="U2859" t="s">
        <v>12802</v>
      </c>
      <c r="V2859" t="s">
        <v>12802</v>
      </c>
      <c r="W2859" t="s">
        <v>15613</v>
      </c>
      <c r="X2859">
        <v>10</v>
      </c>
      <c r="Y2859" t="s">
        <v>21873</v>
      </c>
      <c r="Z2859" t="s">
        <v>28177</v>
      </c>
      <c r="AA2859">
        <v>0.3479444440826861</v>
      </c>
      <c r="AB2859" t="str">
        <f>HYPERLINK("Melting_Curves/meltCurve_P56182_RRP1.pdf", "Melting_Curves/meltCurve_P56182_RRP1.pdf")</f>
        <v>Melting_Curves/meltCurve_P56182_RRP1.pdf</v>
      </c>
    </row>
    <row r="2860" spans="1:28" x14ac:dyDescent="0.25">
      <c r="A2860" t="s">
        <v>2864</v>
      </c>
      <c r="B2860">
        <v>0.99542014353169495</v>
      </c>
      <c r="C2860">
        <v>0.93580273118552404</v>
      </c>
      <c r="D2860">
        <v>0.85838990406513405</v>
      </c>
      <c r="E2860">
        <v>0.63761468621464801</v>
      </c>
      <c r="F2860">
        <v>0.235108313098288</v>
      </c>
      <c r="G2860">
        <v>9.5019182438984204E-2</v>
      </c>
      <c r="H2860">
        <v>6.3268874899435806E-2</v>
      </c>
      <c r="I2860">
        <v>4.5785493363787302E-2</v>
      </c>
      <c r="J2860">
        <v>5.02095127181778E-2</v>
      </c>
      <c r="K2860">
        <v>5.9051835395325797E-2</v>
      </c>
      <c r="L2860">
        <v>993.61275689010097</v>
      </c>
      <c r="M2860">
        <v>21.000615154537702</v>
      </c>
      <c r="N2860">
        <v>47.500636112224697</v>
      </c>
      <c r="O2860">
        <v>46.890760597775497</v>
      </c>
      <c r="P2860">
        <v>-0.107523364863117</v>
      </c>
      <c r="Q2860">
        <v>3.9701067253383099E-2</v>
      </c>
      <c r="R2860">
        <v>0.99575575803806604</v>
      </c>
      <c r="S2860" t="s">
        <v>9262</v>
      </c>
      <c r="T2860" t="s">
        <v>12802</v>
      </c>
      <c r="U2860" t="s">
        <v>12802</v>
      </c>
      <c r="V2860" t="s">
        <v>12802</v>
      </c>
      <c r="W2860" t="s">
        <v>15614</v>
      </c>
      <c r="X2860">
        <v>25</v>
      </c>
      <c r="Y2860" t="s">
        <v>21874</v>
      </c>
      <c r="Z2860" t="s">
        <v>28178</v>
      </c>
      <c r="AA2860">
        <v>0.38128017460035218</v>
      </c>
      <c r="AB2860" t="str">
        <f>HYPERLINK("Melting_Curves/meltCurve_P56192_MARS.pdf", "Melting_Curves/meltCurve_P56192_MARS.pdf")</f>
        <v>Melting_Curves/meltCurve_P56192_MARS.pdf</v>
      </c>
    </row>
    <row r="2861" spans="1:28" x14ac:dyDescent="0.25">
      <c r="A2861" t="s">
        <v>2865</v>
      </c>
      <c r="B2861">
        <v>0.99542014353169495</v>
      </c>
      <c r="C2861">
        <v>1.0003215787653099</v>
      </c>
      <c r="D2861">
        <v>0.84097784963000599</v>
      </c>
      <c r="E2861">
        <v>0.649176847816616</v>
      </c>
      <c r="F2861">
        <v>0.47784575409334401</v>
      </c>
      <c r="G2861">
        <v>0.35151617322274797</v>
      </c>
      <c r="H2861">
        <v>0.245440216233655</v>
      </c>
      <c r="I2861">
        <v>0.159574016495895</v>
      </c>
      <c r="J2861">
        <v>0.26716869151531197</v>
      </c>
      <c r="K2861">
        <v>0.33659716417131902</v>
      </c>
      <c r="L2861">
        <v>757.77585716677004</v>
      </c>
      <c r="M2861">
        <v>16.064164493945</v>
      </c>
      <c r="N2861">
        <v>49.187297232629099</v>
      </c>
      <c r="O2861">
        <v>46.458975697966103</v>
      </c>
      <c r="P2861">
        <v>-6.5604835076360099E-2</v>
      </c>
      <c r="Q2861">
        <v>0.24111872461893499</v>
      </c>
      <c r="R2861">
        <v>0.97451063074330802</v>
      </c>
      <c r="S2861" t="s">
        <v>9263</v>
      </c>
      <c r="T2861" t="s">
        <v>12802</v>
      </c>
      <c r="U2861" t="s">
        <v>12802</v>
      </c>
      <c r="V2861" t="s">
        <v>12802</v>
      </c>
      <c r="W2861" t="s">
        <v>15615</v>
      </c>
      <c r="X2861">
        <v>8</v>
      </c>
      <c r="Y2861" t="s">
        <v>21875</v>
      </c>
      <c r="Z2861" t="s">
        <v>28179</v>
      </c>
      <c r="AA2861">
        <v>0.51347015526293105</v>
      </c>
      <c r="AB2861" t="str">
        <f>HYPERLINK("Melting_Curves/meltCurve_P56270_2_MAZ.pdf", "Melting_Curves/meltCurve_P56270_2_MAZ.pdf")</f>
        <v>Melting_Curves/meltCurve_P56270_2_MAZ.pdf</v>
      </c>
    </row>
    <row r="2862" spans="1:28" x14ac:dyDescent="0.25">
      <c r="A2862" t="s">
        <v>2866</v>
      </c>
      <c r="B2862">
        <v>0.99542014353169495</v>
      </c>
      <c r="C2862">
        <v>1.0149246049501801</v>
      </c>
      <c r="D2862">
        <v>0.97963916327621503</v>
      </c>
      <c r="E2862">
        <v>0.92989360736674098</v>
      </c>
      <c r="F2862">
        <v>0.81339454787335896</v>
      </c>
      <c r="G2862">
        <v>0.66190782018639505</v>
      </c>
      <c r="H2862">
        <v>0.52531916360798403</v>
      </c>
      <c r="I2862">
        <v>0.53453339447455095</v>
      </c>
      <c r="J2862">
        <v>0.726888685294243</v>
      </c>
      <c r="K2862">
        <v>0.95333042790828204</v>
      </c>
      <c r="L2862">
        <v>1689.8738772327499</v>
      </c>
      <c r="M2862">
        <v>34.3757358810157</v>
      </c>
      <c r="O2862">
        <v>48.993435258407899</v>
      </c>
      <c r="P2862">
        <v>-5.6083918751916102E-2</v>
      </c>
      <c r="Q2862">
        <v>0.68027052188120196</v>
      </c>
      <c r="R2862">
        <v>0.61290395460554103</v>
      </c>
      <c r="S2862" t="s">
        <v>9264</v>
      </c>
      <c r="T2862" t="s">
        <v>12802</v>
      </c>
      <c r="U2862" t="s">
        <v>12802</v>
      </c>
      <c r="V2862" t="s">
        <v>12802</v>
      </c>
      <c r="W2862" t="s">
        <v>15616</v>
      </c>
      <c r="X2862">
        <v>4</v>
      </c>
      <c r="Y2862" t="s">
        <v>21876</v>
      </c>
      <c r="Z2862" t="s">
        <v>28180</v>
      </c>
      <c r="AA2862">
        <v>0.8113289447582398</v>
      </c>
      <c r="AB2862" t="str">
        <f>HYPERLINK("Melting_Curves/meltCurve_P56277_CMC4.pdf", "Melting_Curves/meltCurve_P56277_CMC4.pdf")</f>
        <v>Melting_Curves/meltCurve_P56277_CMC4.pdf</v>
      </c>
    </row>
    <row r="2863" spans="1:28" x14ac:dyDescent="0.25">
      <c r="A2863" t="s">
        <v>2867</v>
      </c>
      <c r="B2863">
        <v>0.99542014353169495</v>
      </c>
      <c r="C2863">
        <v>0.86383941536665698</v>
      </c>
      <c r="D2863">
        <v>0.848504677284449</v>
      </c>
      <c r="E2863">
        <v>0.43111390115444098</v>
      </c>
      <c r="F2863">
        <v>0.218942173735168</v>
      </c>
      <c r="G2863">
        <v>0.14839191763448001</v>
      </c>
      <c r="H2863">
        <v>0.14425664397608501</v>
      </c>
      <c r="I2863">
        <v>7.3825376781881294E-2</v>
      </c>
      <c r="J2863">
        <v>5.6303932957900302E-2</v>
      </c>
      <c r="K2863">
        <v>3.5653377826628099E-2</v>
      </c>
      <c r="L2863">
        <v>825.47349148473199</v>
      </c>
      <c r="M2863">
        <v>18.008321259146999</v>
      </c>
      <c r="N2863">
        <v>46.207829818653501</v>
      </c>
      <c r="O2863">
        <v>45.2844228823663</v>
      </c>
      <c r="P2863">
        <v>-9.2757703247716802E-2</v>
      </c>
      <c r="Q2863">
        <v>6.7037581981263597E-2</v>
      </c>
      <c r="R2863">
        <v>0.987367830049657</v>
      </c>
      <c r="S2863" t="s">
        <v>9265</v>
      </c>
      <c r="T2863" t="s">
        <v>12802</v>
      </c>
      <c r="U2863" t="s">
        <v>12802</v>
      </c>
      <c r="V2863" t="s">
        <v>12802</v>
      </c>
      <c r="W2863" t="s">
        <v>15617</v>
      </c>
      <c r="X2863">
        <v>3</v>
      </c>
      <c r="Y2863" t="s">
        <v>21877</v>
      </c>
      <c r="Z2863" t="s">
        <v>28181</v>
      </c>
      <c r="AA2863">
        <v>0.35699164123841731</v>
      </c>
      <c r="AB2863" t="str">
        <f>HYPERLINK("Melting_Curves/meltCurve_P56377_AP1S2.pdf", "Melting_Curves/meltCurve_P56377_AP1S2.pdf")</f>
        <v>Melting_Curves/meltCurve_P56377_AP1S2.pdf</v>
      </c>
    </row>
    <row r="2864" spans="1:28" x14ac:dyDescent="0.25">
      <c r="A2864" t="s">
        <v>2868</v>
      </c>
      <c r="B2864">
        <v>0.99542014353169495</v>
      </c>
      <c r="C2864">
        <v>0.854045213798588</v>
      </c>
      <c r="D2864">
        <v>1.0047173778554701</v>
      </c>
      <c r="E2864">
        <v>0.67952672923503299</v>
      </c>
      <c r="F2864">
        <v>0.47430616592865998</v>
      </c>
      <c r="G2864">
        <v>0.20747223359346001</v>
      </c>
      <c r="H2864">
        <v>0.15742140417014</v>
      </c>
      <c r="I2864">
        <v>0.14154619476664801</v>
      </c>
      <c r="J2864">
        <v>0.28951234690302802</v>
      </c>
      <c r="K2864">
        <v>0.45235480360819802</v>
      </c>
      <c r="L2864">
        <v>1214.37559075281</v>
      </c>
      <c r="M2864">
        <v>25.559893455915802</v>
      </c>
      <c r="N2864">
        <v>48.835636536975798</v>
      </c>
      <c r="O2864">
        <v>47.223019416668201</v>
      </c>
      <c r="P2864">
        <v>-0.101481595362196</v>
      </c>
      <c r="Q2864">
        <v>0.25004251897295399</v>
      </c>
      <c r="R2864">
        <v>0.90273251618775296</v>
      </c>
      <c r="S2864" t="s">
        <v>9266</v>
      </c>
      <c r="T2864" t="s">
        <v>12802</v>
      </c>
      <c r="U2864" t="s">
        <v>12802</v>
      </c>
      <c r="V2864" t="s">
        <v>12802</v>
      </c>
      <c r="W2864" t="s">
        <v>15618</v>
      </c>
      <c r="X2864">
        <v>4</v>
      </c>
      <c r="Y2864" t="s">
        <v>21878</v>
      </c>
      <c r="Z2864" t="s">
        <v>28182</v>
      </c>
      <c r="AA2864">
        <v>0.5188730462440847</v>
      </c>
      <c r="AB2864" t="str">
        <f>HYPERLINK("Melting_Curves/meltCurve_P56381_ATP5E.pdf", "Melting_Curves/meltCurve_P56381_ATP5E.pdf")</f>
        <v>Melting_Curves/meltCurve_P56381_ATP5E.pdf</v>
      </c>
    </row>
    <row r="2865" spans="1:28" x14ac:dyDescent="0.25">
      <c r="A2865" t="s">
        <v>2869</v>
      </c>
      <c r="B2865">
        <v>0.99542014353169495</v>
      </c>
      <c r="C2865">
        <v>0.83799786113543895</v>
      </c>
      <c r="D2865">
        <v>0.89929635974914701</v>
      </c>
      <c r="E2865">
        <v>0.65445385796964906</v>
      </c>
      <c r="F2865">
        <v>0.462388364674714</v>
      </c>
      <c r="G2865">
        <v>0.265240360221077</v>
      </c>
      <c r="H2865">
        <v>0.21310825743857001</v>
      </c>
      <c r="I2865">
        <v>0.210701629432128</v>
      </c>
      <c r="J2865">
        <v>0.309795141270092</v>
      </c>
      <c r="K2865">
        <v>0.29850079382112199</v>
      </c>
      <c r="L2865">
        <v>800.06028121897702</v>
      </c>
      <c r="M2865">
        <v>17.032435901446501</v>
      </c>
      <c r="N2865">
        <v>48.834793417650701</v>
      </c>
      <c r="O2865">
        <v>46.339571281053402</v>
      </c>
      <c r="P2865">
        <v>-6.9947577013624002E-2</v>
      </c>
      <c r="Q2865">
        <v>0.23883056303122499</v>
      </c>
      <c r="R2865">
        <v>0.96060189286140996</v>
      </c>
      <c r="S2865" t="s">
        <v>9267</v>
      </c>
      <c r="T2865" t="s">
        <v>12802</v>
      </c>
      <c r="U2865" t="s">
        <v>12802</v>
      </c>
      <c r="V2865" t="s">
        <v>12802</v>
      </c>
      <c r="W2865" t="s">
        <v>15619</v>
      </c>
      <c r="X2865">
        <v>4</v>
      </c>
      <c r="Y2865" t="s">
        <v>21879</v>
      </c>
      <c r="Z2865" t="s">
        <v>28183</v>
      </c>
      <c r="AA2865">
        <v>0.50543394736056413</v>
      </c>
      <c r="AB2865" t="str">
        <f>HYPERLINK("Melting_Curves/meltCurve_P56385_ATP5I.pdf", "Melting_Curves/meltCurve_P56385_ATP5I.pdf")</f>
        <v>Melting_Curves/meltCurve_P56385_ATP5I.pdf</v>
      </c>
    </row>
    <row r="2866" spans="1:28" x14ac:dyDescent="0.25">
      <c r="A2866" t="s">
        <v>2870</v>
      </c>
      <c r="B2866">
        <v>0.99542014353169495</v>
      </c>
      <c r="C2866">
        <v>0.98267827252272399</v>
      </c>
      <c r="D2866">
        <v>0.94228670370836198</v>
      </c>
      <c r="E2866">
        <v>0.729867153505799</v>
      </c>
      <c r="F2866">
        <v>0.55860191060118602</v>
      </c>
      <c r="G2866">
        <v>0.34194685900626698</v>
      </c>
      <c r="H2866">
        <v>0.15972005228868999</v>
      </c>
      <c r="I2866">
        <v>0.104655000312186</v>
      </c>
      <c r="J2866">
        <v>7.7921374147885997E-2</v>
      </c>
      <c r="K2866">
        <v>0.14255312137654</v>
      </c>
      <c r="L2866">
        <v>733.70304034383696</v>
      </c>
      <c r="M2866">
        <v>14.620388883597901</v>
      </c>
      <c r="N2866">
        <v>50.662368596361098</v>
      </c>
      <c r="O2866">
        <v>49.272767792396799</v>
      </c>
      <c r="P2866">
        <v>-6.9401864610313599E-2</v>
      </c>
      <c r="Q2866">
        <v>6.4528733170357705E-2</v>
      </c>
      <c r="R2866">
        <v>0.99358802894865395</v>
      </c>
      <c r="S2866" t="s">
        <v>9268</v>
      </c>
      <c r="T2866" t="s">
        <v>12802</v>
      </c>
      <c r="U2866" t="s">
        <v>12802</v>
      </c>
      <c r="V2866" t="s">
        <v>12802</v>
      </c>
      <c r="W2866" t="s">
        <v>15620</v>
      </c>
      <c r="X2866">
        <v>6</v>
      </c>
      <c r="Y2866" t="s">
        <v>21880</v>
      </c>
      <c r="Z2866" t="s">
        <v>28184</v>
      </c>
      <c r="AA2866">
        <v>0.49577140809089998</v>
      </c>
      <c r="AB2866" t="str">
        <f>HYPERLINK("Melting_Curves/meltCurve_P56524_HDAC4.pdf", "Melting_Curves/meltCurve_P56524_HDAC4.pdf")</f>
        <v>Melting_Curves/meltCurve_P56524_HDAC4.pdf</v>
      </c>
    </row>
    <row r="2867" spans="1:28" x14ac:dyDescent="0.25">
      <c r="A2867" t="s">
        <v>2871</v>
      </c>
      <c r="B2867">
        <v>0.99542014353169495</v>
      </c>
      <c r="C2867">
        <v>1.14143172121031</v>
      </c>
      <c r="D2867">
        <v>1.0523797948729801</v>
      </c>
      <c r="E2867">
        <v>1.0164799220217799</v>
      </c>
      <c r="F2867">
        <v>0.94226225812755604</v>
      </c>
      <c r="G2867">
        <v>0.85317173757576703</v>
      </c>
      <c r="H2867">
        <v>0.746359910166281</v>
      </c>
      <c r="I2867">
        <v>0.71892333725476298</v>
      </c>
      <c r="J2867">
        <v>0.26976775442802398</v>
      </c>
      <c r="K2867">
        <v>5.9168080826849802E-2</v>
      </c>
      <c r="L2867">
        <v>1391.35835255758</v>
      </c>
      <c r="M2867">
        <v>22.520926114223101</v>
      </c>
      <c r="N2867">
        <v>61.780689855887601</v>
      </c>
      <c r="O2867">
        <v>61.299761965362002</v>
      </c>
      <c r="P2867">
        <v>-9.1849395779419099E-2</v>
      </c>
      <c r="Q2867">
        <v>0</v>
      </c>
      <c r="R2867">
        <v>0.92907126921335903</v>
      </c>
      <c r="S2867" t="s">
        <v>9269</v>
      </c>
      <c r="T2867" t="s">
        <v>12802</v>
      </c>
      <c r="U2867" t="s">
        <v>12802</v>
      </c>
      <c r="V2867" t="s">
        <v>12802</v>
      </c>
      <c r="W2867" t="s">
        <v>15621</v>
      </c>
      <c r="X2867">
        <v>8</v>
      </c>
      <c r="Y2867" t="s">
        <v>21881</v>
      </c>
      <c r="Z2867" t="s">
        <v>28185</v>
      </c>
      <c r="AA2867">
        <v>0.82056847316688319</v>
      </c>
      <c r="AB2867" t="str">
        <f>HYPERLINK("Melting_Curves/meltCurve_P56537_EIF6.pdf", "Melting_Curves/meltCurve_P56537_EIF6.pdf")</f>
        <v>Melting_Curves/meltCurve_P56537_EIF6.pdf</v>
      </c>
    </row>
    <row r="2868" spans="1:28" x14ac:dyDescent="0.25">
      <c r="A2868" t="s">
        <v>2872</v>
      </c>
      <c r="B2868">
        <v>0.99542014353169495</v>
      </c>
      <c r="C2868">
        <v>0.96795504793256104</v>
      </c>
      <c r="D2868">
        <v>0.91773231799878197</v>
      </c>
      <c r="E2868">
        <v>0.49613800750891301</v>
      </c>
      <c r="F2868">
        <v>0.12459768107257101</v>
      </c>
      <c r="G2868">
        <v>6.0719625952216E-2</v>
      </c>
      <c r="H2868">
        <v>3.85756532204658E-2</v>
      </c>
      <c r="I2868">
        <v>2.58007666046089E-2</v>
      </c>
      <c r="J2868">
        <v>3.355050110011E-2</v>
      </c>
      <c r="K2868">
        <v>3.8476404711371003E-2</v>
      </c>
      <c r="L2868">
        <v>1361.5794671404101</v>
      </c>
      <c r="M2868">
        <v>29.313048553654902</v>
      </c>
      <c r="N2868">
        <v>46.5613422068364</v>
      </c>
      <c r="O2868">
        <v>46.235033506553101</v>
      </c>
      <c r="P2868">
        <v>-0.153117939898919</v>
      </c>
      <c r="Q2868">
        <v>3.3964340611078302E-2</v>
      </c>
      <c r="R2868">
        <v>0.99949324559169705</v>
      </c>
      <c r="S2868" t="s">
        <v>9270</v>
      </c>
      <c r="T2868" t="s">
        <v>12802</v>
      </c>
      <c r="U2868" t="s">
        <v>12802</v>
      </c>
      <c r="V2868" t="s">
        <v>12802</v>
      </c>
      <c r="W2868" t="s">
        <v>15622</v>
      </c>
      <c r="X2868">
        <v>5</v>
      </c>
      <c r="Y2868" t="s">
        <v>21882</v>
      </c>
      <c r="Z2868" t="s">
        <v>28186</v>
      </c>
      <c r="AA2868">
        <v>0.34407772161384742</v>
      </c>
      <c r="AB2868" t="str">
        <f>HYPERLINK("Melting_Curves/meltCurve_P56556_NDUFA6.pdf", "Melting_Curves/meltCurve_P56556_NDUFA6.pdf")</f>
        <v>Melting_Curves/meltCurve_P56556_NDUFA6.pdf</v>
      </c>
    </row>
    <row r="2869" spans="1:28" x14ac:dyDescent="0.25">
      <c r="A2869" t="s">
        <v>2873</v>
      </c>
      <c r="B2869">
        <v>0.99542014353169495</v>
      </c>
      <c r="C2869">
        <v>0.95108940166742095</v>
      </c>
      <c r="D2869">
        <v>0.97060530300252801</v>
      </c>
      <c r="E2869">
        <v>0.65671142976729302</v>
      </c>
      <c r="F2869">
        <v>0.161703673153236</v>
      </c>
      <c r="G2869">
        <v>7.3419509148779996E-2</v>
      </c>
      <c r="H2869">
        <v>4.2908608296955197E-2</v>
      </c>
      <c r="I2869">
        <v>2.1189414835125701E-2</v>
      </c>
      <c r="J2869">
        <v>3.6329937018978901E-2</v>
      </c>
      <c r="K2869">
        <v>3.9379178939070898E-2</v>
      </c>
      <c r="L2869">
        <v>1577.6938640649601</v>
      </c>
      <c r="M2869">
        <v>33.275478971378099</v>
      </c>
      <c r="N2869">
        <v>47.523524374510401</v>
      </c>
      <c r="O2869">
        <v>47.242857747317998</v>
      </c>
      <c r="P2869">
        <v>-0.169538580631764</v>
      </c>
      <c r="Q2869">
        <v>3.7194772268852899E-2</v>
      </c>
      <c r="R2869">
        <v>0.99833864852890297</v>
      </c>
      <c r="S2869" t="s">
        <v>9271</v>
      </c>
      <c r="T2869" t="s">
        <v>12802</v>
      </c>
      <c r="U2869" t="s">
        <v>12802</v>
      </c>
      <c r="V2869" t="s">
        <v>12802</v>
      </c>
      <c r="W2869" t="s">
        <v>15623</v>
      </c>
      <c r="X2869">
        <v>3</v>
      </c>
      <c r="Y2869" t="s">
        <v>21883</v>
      </c>
      <c r="Z2869" t="s">
        <v>28187</v>
      </c>
      <c r="AA2869">
        <v>0.37596343660580422</v>
      </c>
      <c r="AB2869" t="str">
        <f>HYPERLINK("Melting_Curves/meltCurve_P56589_PEX3.pdf", "Melting_Curves/meltCurve_P56589_PEX3.pdf")</f>
        <v>Melting_Curves/meltCurve_P56589_PEX3.pdf</v>
      </c>
    </row>
    <row r="2870" spans="1:28" x14ac:dyDescent="0.25">
      <c r="A2870" t="s">
        <v>2874</v>
      </c>
      <c r="B2870">
        <v>0.99542014353169495</v>
      </c>
      <c r="C2870">
        <v>0.92524384847212005</v>
      </c>
      <c r="D2870">
        <v>0.83632732033701596</v>
      </c>
      <c r="E2870">
        <v>0.77682512397242998</v>
      </c>
      <c r="F2870">
        <v>0.54813033524473398</v>
      </c>
      <c r="G2870">
        <v>0.39247155800007</v>
      </c>
      <c r="H2870">
        <v>0.28099848431163399</v>
      </c>
      <c r="I2870">
        <v>0.27328716920239399</v>
      </c>
      <c r="J2870">
        <v>0.44977070961419402</v>
      </c>
      <c r="K2870">
        <v>0.61431626991274402</v>
      </c>
      <c r="L2870">
        <v>879.95790400043495</v>
      </c>
      <c r="M2870">
        <v>18.777845663974301</v>
      </c>
      <c r="N2870">
        <v>51.081885912868799</v>
      </c>
      <c r="O2870">
        <v>46.3397483884115</v>
      </c>
      <c r="P2870">
        <v>-6.1390808133145999E-2</v>
      </c>
      <c r="Q2870">
        <v>0.394027445539048</v>
      </c>
      <c r="R2870">
        <v>0.84218364481390795</v>
      </c>
      <c r="S2870" t="s">
        <v>9272</v>
      </c>
      <c r="T2870" t="s">
        <v>12802</v>
      </c>
      <c r="U2870" t="s">
        <v>12802</v>
      </c>
      <c r="V2870" t="s">
        <v>12802</v>
      </c>
      <c r="W2870" t="s">
        <v>15624</v>
      </c>
      <c r="X2870">
        <v>4</v>
      </c>
      <c r="Y2870" t="s">
        <v>21884</v>
      </c>
      <c r="Z2870" t="s">
        <v>28188</v>
      </c>
      <c r="AA2870">
        <v>0.60219111306336215</v>
      </c>
      <c r="AB2870" t="str">
        <f>HYPERLINK("Melting_Curves/meltCurve_P56645_PER3.pdf", "Melting_Curves/meltCurve_P56645_PER3.pdf")</f>
        <v>Melting_Curves/meltCurve_P56645_PER3.pdf</v>
      </c>
    </row>
    <row r="2871" spans="1:28" x14ac:dyDescent="0.25">
      <c r="A2871" t="s">
        <v>2875</v>
      </c>
      <c r="B2871">
        <v>0.99542014353169495</v>
      </c>
      <c r="C2871">
        <v>0.96915902576583202</v>
      </c>
      <c r="D2871">
        <v>0.96191034315128898</v>
      </c>
      <c r="E2871">
        <v>0.89556055566246595</v>
      </c>
      <c r="F2871">
        <v>0.60897478467020505</v>
      </c>
      <c r="G2871">
        <v>0.22672738800746001</v>
      </c>
      <c r="H2871">
        <v>8.7337284454033395E-2</v>
      </c>
      <c r="I2871">
        <v>6.6655800896161799E-2</v>
      </c>
      <c r="J2871">
        <v>9.9044415882536596E-2</v>
      </c>
      <c r="K2871">
        <v>7.8094006944493394E-2</v>
      </c>
      <c r="L2871">
        <v>1341.1652228175201</v>
      </c>
      <c r="M2871">
        <v>26.4637945731771</v>
      </c>
      <c r="N2871">
        <v>50.964450645043101</v>
      </c>
      <c r="O2871">
        <v>50.392516062753302</v>
      </c>
      <c r="P2871">
        <v>-0.122253698492838</v>
      </c>
      <c r="Q2871">
        <v>6.8825093643500604E-2</v>
      </c>
      <c r="R2871">
        <v>0.99755193971511702</v>
      </c>
      <c r="S2871" t="s">
        <v>9273</v>
      </c>
      <c r="T2871" t="s">
        <v>12802</v>
      </c>
      <c r="U2871" t="s">
        <v>12802</v>
      </c>
      <c r="V2871" t="s">
        <v>12802</v>
      </c>
      <c r="W2871" t="s">
        <v>15625</v>
      </c>
      <c r="X2871">
        <v>7</v>
      </c>
      <c r="Y2871" t="s">
        <v>21885</v>
      </c>
      <c r="Z2871" t="s">
        <v>28189</v>
      </c>
      <c r="AA2871">
        <v>0.50077734934154383</v>
      </c>
      <c r="AB2871" t="str">
        <f>HYPERLINK("Melting_Curves/meltCurve_P56937_3_HSD17B7.pdf", "Melting_Curves/meltCurve_P56937_3_HSD17B7.pdf")</f>
        <v>Melting_Curves/meltCurve_P56937_3_HSD17B7.pdf</v>
      </c>
    </row>
    <row r="2872" spans="1:28" x14ac:dyDescent="0.25">
      <c r="A2872" t="s">
        <v>2876</v>
      </c>
      <c r="B2872">
        <v>0.99542014353169495</v>
      </c>
      <c r="C2872">
        <v>0.95943228661851399</v>
      </c>
      <c r="D2872">
        <v>0.90728768795464898</v>
      </c>
      <c r="E2872">
        <v>0.70178361514222598</v>
      </c>
      <c r="F2872">
        <v>0.46873481518256999</v>
      </c>
      <c r="G2872">
        <v>0.26323360268246399</v>
      </c>
      <c r="H2872">
        <v>0.14339096150471201</v>
      </c>
      <c r="I2872">
        <v>0.112623387943033</v>
      </c>
      <c r="J2872">
        <v>0.15431473503853901</v>
      </c>
      <c r="K2872">
        <v>0.16322509275268601</v>
      </c>
      <c r="L2872">
        <v>815.77432835217905</v>
      </c>
      <c r="M2872">
        <v>16.785829125201801</v>
      </c>
      <c r="N2872">
        <v>49.394176768273802</v>
      </c>
      <c r="O2872">
        <v>47.924956077916399</v>
      </c>
      <c r="P2872">
        <v>-7.7200561795450498E-2</v>
      </c>
      <c r="Q2872">
        <v>0.118400840196313</v>
      </c>
      <c r="R2872">
        <v>0.99563837795320198</v>
      </c>
      <c r="S2872" t="s">
        <v>9274</v>
      </c>
      <c r="T2872" t="s">
        <v>12802</v>
      </c>
      <c r="U2872" t="s">
        <v>12802</v>
      </c>
      <c r="V2872" t="s">
        <v>12802</v>
      </c>
      <c r="W2872" t="s">
        <v>15626</v>
      </c>
      <c r="X2872">
        <v>7</v>
      </c>
      <c r="Y2872" t="s">
        <v>21886</v>
      </c>
      <c r="Z2872" t="s">
        <v>28190</v>
      </c>
      <c r="AA2872">
        <v>0.47513196431903992</v>
      </c>
      <c r="AB2872" t="str">
        <f>HYPERLINK("Melting_Curves/meltCurve_P56945_4_BCAR1.pdf", "Melting_Curves/meltCurve_P56945_4_BCAR1.pdf")</f>
        <v>Melting_Curves/meltCurve_P56945_4_BCAR1.pdf</v>
      </c>
    </row>
    <row r="2873" spans="1:28" x14ac:dyDescent="0.25">
      <c r="A2873" t="s">
        <v>2877</v>
      </c>
      <c r="B2873">
        <v>0.99542014353169495</v>
      </c>
      <c r="C2873">
        <v>0.99833203530718995</v>
      </c>
      <c r="D2873">
        <v>0.94841207238053504</v>
      </c>
      <c r="E2873">
        <v>0.56278978189634099</v>
      </c>
      <c r="F2873">
        <v>0.314000990690808</v>
      </c>
      <c r="G2873">
        <v>0.16226998826338701</v>
      </c>
      <c r="H2873">
        <v>8.64469538952337E-2</v>
      </c>
      <c r="I2873">
        <v>6.5735741906481196E-2</v>
      </c>
      <c r="J2873">
        <v>0.109571329960161</v>
      </c>
      <c r="K2873">
        <v>7.5417629392968602E-2</v>
      </c>
      <c r="L2873">
        <v>1015.83912306748</v>
      </c>
      <c r="M2873">
        <v>21.513454294592702</v>
      </c>
      <c r="N2873">
        <v>47.622119858918801</v>
      </c>
      <c r="O2873">
        <v>46.8164754505122</v>
      </c>
      <c r="P2873">
        <v>-0.105316373510186</v>
      </c>
      <c r="Q2873">
        <v>8.3285986644922302E-2</v>
      </c>
      <c r="R2873">
        <v>0.99518170373821901</v>
      </c>
      <c r="S2873" t="s">
        <v>9275</v>
      </c>
      <c r="T2873" t="s">
        <v>12802</v>
      </c>
      <c r="U2873" t="s">
        <v>12802</v>
      </c>
      <c r="V2873" t="s">
        <v>12802</v>
      </c>
      <c r="W2873" t="s">
        <v>15627</v>
      </c>
      <c r="X2873">
        <v>3</v>
      </c>
      <c r="Y2873" t="s">
        <v>21887</v>
      </c>
      <c r="Z2873" t="s">
        <v>28191</v>
      </c>
      <c r="AA2873">
        <v>0.40595486941244258</v>
      </c>
      <c r="AB2873" t="str">
        <f>HYPERLINK("Melting_Curves/meltCurve_P56962_STX17.pdf", "Melting_Curves/meltCurve_P56962_STX17.pdf")</f>
        <v>Melting_Curves/meltCurve_P56962_STX17.pdf</v>
      </c>
    </row>
    <row r="2874" spans="1:28" x14ac:dyDescent="0.25">
      <c r="A2874" t="s">
        <v>2878</v>
      </c>
      <c r="B2874">
        <v>0.99542014353169495</v>
      </c>
      <c r="C2874">
        <v>0.97652697276455203</v>
      </c>
      <c r="D2874">
        <v>0.94487487741354803</v>
      </c>
      <c r="E2874">
        <v>0.75384909604006001</v>
      </c>
      <c r="F2874">
        <v>0.296612148284293</v>
      </c>
      <c r="G2874">
        <v>0.14467857694442501</v>
      </c>
      <c r="H2874">
        <v>0.111651155532214</v>
      </c>
      <c r="I2874">
        <v>0.10577717412190001</v>
      </c>
      <c r="J2874">
        <v>0.11296911030755701</v>
      </c>
      <c r="K2874">
        <v>0.15349057531917601</v>
      </c>
      <c r="L2874">
        <v>1462.6087078967701</v>
      </c>
      <c r="M2874">
        <v>30.481970865898099</v>
      </c>
      <c r="N2874">
        <v>48.408901689148699</v>
      </c>
      <c r="O2874">
        <v>47.777651984452902</v>
      </c>
      <c r="P2874">
        <v>-0.14073055097199599</v>
      </c>
      <c r="Q2874">
        <v>0.11767725186325199</v>
      </c>
      <c r="R2874">
        <v>0.99787821581194203</v>
      </c>
      <c r="S2874" t="s">
        <v>9276</v>
      </c>
      <c r="T2874" t="s">
        <v>12802</v>
      </c>
      <c r="U2874" t="s">
        <v>12802</v>
      </c>
      <c r="V2874" t="s">
        <v>12802</v>
      </c>
      <c r="W2874" t="s">
        <v>15628</v>
      </c>
      <c r="X2874">
        <v>2</v>
      </c>
      <c r="Y2874" t="s">
        <v>21888</v>
      </c>
      <c r="Z2874" t="s">
        <v>28192</v>
      </c>
      <c r="AA2874">
        <v>0.44574747609910509</v>
      </c>
      <c r="AB2874" t="str">
        <f>HYPERLINK("Melting_Curves/meltCurve_P57060_RWDD2B.pdf", "Melting_Curves/meltCurve_P57060_RWDD2B.pdf")</f>
        <v>Melting_Curves/meltCurve_P57060_RWDD2B.pdf</v>
      </c>
    </row>
    <row r="2875" spans="1:28" x14ac:dyDescent="0.25">
      <c r="A2875" t="s">
        <v>2879</v>
      </c>
      <c r="B2875">
        <v>0.99542014353169495</v>
      </c>
      <c r="C2875">
        <v>1.0311670977181699</v>
      </c>
      <c r="D2875">
        <v>0.89506270912071995</v>
      </c>
      <c r="E2875">
        <v>0.27226879956751299</v>
      </c>
      <c r="F2875">
        <v>0.12712939351644401</v>
      </c>
      <c r="G2875">
        <v>7.0648008873918894E-2</v>
      </c>
      <c r="H2875">
        <v>4.7161567762000103E-2</v>
      </c>
      <c r="I2875">
        <v>3.5411099733426099E-2</v>
      </c>
      <c r="J2875">
        <v>3.94922025408454E-2</v>
      </c>
      <c r="K2875">
        <v>3.9185662126335397E-2</v>
      </c>
      <c r="L2875">
        <v>1766.20451056255</v>
      </c>
      <c r="M2875">
        <v>39.050826823732898</v>
      </c>
      <c r="N2875">
        <v>45.363549083649701</v>
      </c>
      <c r="O2875">
        <v>45.110232871538201</v>
      </c>
      <c r="P2875">
        <v>-0.204530739681302</v>
      </c>
      <c r="Q2875">
        <v>5.4933374433987402E-2</v>
      </c>
      <c r="R2875">
        <v>0.99682422378316504</v>
      </c>
      <c r="S2875" t="s">
        <v>9277</v>
      </c>
      <c r="T2875" t="s">
        <v>12802</v>
      </c>
      <c r="U2875" t="s">
        <v>12802</v>
      </c>
      <c r="V2875" t="s">
        <v>12802</v>
      </c>
      <c r="W2875" t="s">
        <v>15629</v>
      </c>
      <c r="X2875">
        <v>12</v>
      </c>
      <c r="Y2875" t="s">
        <v>21889</v>
      </c>
      <c r="Z2875" t="s">
        <v>28193</v>
      </c>
      <c r="AA2875">
        <v>0.31725061487386902</v>
      </c>
      <c r="AB2875" t="str">
        <f>HYPERLINK("Melting_Curves/meltCurve_P57076_C21orf59.pdf", "Melting_Curves/meltCurve_P57076_C21orf59.pdf")</f>
        <v>Melting_Curves/meltCurve_P57076_C21orf59.pdf</v>
      </c>
    </row>
    <row r="2876" spans="1:28" x14ac:dyDescent="0.25">
      <c r="A2876" t="s">
        <v>2880</v>
      </c>
      <c r="B2876">
        <v>0.99542014353169495</v>
      </c>
      <c r="C2876">
        <v>0.89874778565043401</v>
      </c>
      <c r="D2876">
        <v>0.86162104714537202</v>
      </c>
      <c r="E2876">
        <v>0.76846757426285295</v>
      </c>
      <c r="F2876">
        <v>0.50740746799835201</v>
      </c>
      <c r="G2876">
        <v>0.34241639562073201</v>
      </c>
      <c r="H2876">
        <v>9.9474428128240894E-2</v>
      </c>
      <c r="I2876">
        <v>5.1895947371066599E-2</v>
      </c>
      <c r="J2876">
        <v>4.5077711881154399E-2</v>
      </c>
      <c r="K2876">
        <v>5.2469657882247597E-2</v>
      </c>
      <c r="L2876">
        <v>672.11517546254402</v>
      </c>
      <c r="M2876">
        <v>13.372685298126999</v>
      </c>
      <c r="N2876">
        <v>50.260305403561397</v>
      </c>
      <c r="O2876">
        <v>49.176288248770398</v>
      </c>
      <c r="P2876">
        <v>-6.7994173301561295E-2</v>
      </c>
      <c r="Q2876">
        <v>0</v>
      </c>
      <c r="R2876">
        <v>0.98891612507398696</v>
      </c>
      <c r="S2876" t="s">
        <v>9278</v>
      </c>
      <c r="T2876" t="s">
        <v>12802</v>
      </c>
      <c r="U2876" t="s">
        <v>12802</v>
      </c>
      <c r="V2876" t="s">
        <v>12802</v>
      </c>
      <c r="W2876" t="s">
        <v>15630</v>
      </c>
      <c r="X2876">
        <v>8</v>
      </c>
      <c r="Y2876" t="s">
        <v>21890</v>
      </c>
      <c r="Z2876" t="s">
        <v>28194</v>
      </c>
      <c r="AA2876">
        <v>0.46617617930460048</v>
      </c>
      <c r="AB2876" t="str">
        <f>HYPERLINK("Melting_Curves/meltCurve_P57081_2_WDR4.pdf", "Melting_Curves/meltCurve_P57081_2_WDR4.pdf")</f>
        <v>Melting_Curves/meltCurve_P57081_2_WDR4.pdf</v>
      </c>
    </row>
    <row r="2877" spans="1:28" x14ac:dyDescent="0.25">
      <c r="A2877" t="s">
        <v>2881</v>
      </c>
      <c r="B2877">
        <v>0.99542014353169495</v>
      </c>
      <c r="C2877">
        <v>0.93257044893636998</v>
      </c>
      <c r="D2877">
        <v>0.924063755362726</v>
      </c>
      <c r="E2877">
        <v>0.75164965197717903</v>
      </c>
      <c r="F2877">
        <v>0.69697127563826899</v>
      </c>
      <c r="G2877">
        <v>0.46354825832576702</v>
      </c>
      <c r="H2877">
        <v>0.33607305152071498</v>
      </c>
      <c r="I2877">
        <v>0.217647339240718</v>
      </c>
      <c r="J2877">
        <v>0.108313567654743</v>
      </c>
      <c r="K2877">
        <v>6.6115870509125402E-2</v>
      </c>
      <c r="L2877">
        <v>553.29123572121102</v>
      </c>
      <c r="M2877">
        <v>10.419491690101401</v>
      </c>
      <c r="N2877">
        <v>53.101572983178599</v>
      </c>
      <c r="O2877">
        <v>51.2573258808048</v>
      </c>
      <c r="P2877">
        <v>-5.0840648119193602E-2</v>
      </c>
      <c r="Q2877">
        <v>0</v>
      </c>
      <c r="R2877">
        <v>0.99064241985593604</v>
      </c>
      <c r="S2877" t="s">
        <v>9279</v>
      </c>
      <c r="T2877" t="s">
        <v>12802</v>
      </c>
      <c r="U2877" t="s">
        <v>12802</v>
      </c>
      <c r="V2877" t="s">
        <v>12802</v>
      </c>
      <c r="W2877" t="s">
        <v>15631</v>
      </c>
      <c r="X2877">
        <v>6</v>
      </c>
      <c r="Y2877" t="s">
        <v>21891</v>
      </c>
      <c r="Z2877" t="s">
        <v>28195</v>
      </c>
      <c r="AA2877">
        <v>0.55852320489876495</v>
      </c>
      <c r="AB2877" t="str">
        <f>HYPERLINK("Melting_Curves/meltCurve_P57088_TMEM33.pdf", "Melting_Curves/meltCurve_P57088_TMEM33.pdf")</f>
        <v>Melting_Curves/meltCurve_P57088_TMEM33.pdf</v>
      </c>
    </row>
    <row r="2878" spans="1:28" x14ac:dyDescent="0.25">
      <c r="A2878" t="s">
        <v>2882</v>
      </c>
      <c r="B2878">
        <v>0.99542014353169495</v>
      </c>
      <c r="C2878">
        <v>1.0267596611493599</v>
      </c>
      <c r="D2878">
        <v>0.92077989144904804</v>
      </c>
      <c r="E2878">
        <v>0.72002394632690803</v>
      </c>
      <c r="F2878">
        <v>0.58632008661829704</v>
      </c>
      <c r="G2878">
        <v>0.33257651168214902</v>
      </c>
      <c r="H2878">
        <v>0.18418919505456099</v>
      </c>
      <c r="I2878">
        <v>0.132040311279503</v>
      </c>
      <c r="J2878">
        <v>0.15812853102507499</v>
      </c>
      <c r="K2878">
        <v>0.16689738438209101</v>
      </c>
      <c r="L2878">
        <v>753.455225438566</v>
      </c>
      <c r="M2878">
        <v>15.122179436201</v>
      </c>
      <c r="N2878">
        <v>50.694261631048803</v>
      </c>
      <c r="O2878">
        <v>48.977591994452197</v>
      </c>
      <c r="P2878">
        <v>-6.8376265195295605E-2</v>
      </c>
      <c r="Q2878">
        <v>0.114260887193322</v>
      </c>
      <c r="R2878">
        <v>0.99071126787538499</v>
      </c>
      <c r="S2878" t="s">
        <v>9280</v>
      </c>
      <c r="T2878" t="s">
        <v>12802</v>
      </c>
      <c r="U2878" t="s">
        <v>12802</v>
      </c>
      <c r="V2878" t="s">
        <v>12802</v>
      </c>
      <c r="W2878" t="s">
        <v>15632</v>
      </c>
      <c r="X2878">
        <v>1</v>
      </c>
      <c r="Y2878" t="s">
        <v>21892</v>
      </c>
      <c r="Z2878" t="s">
        <v>28196</v>
      </c>
      <c r="AA2878">
        <v>0.51129682208883875</v>
      </c>
      <c r="AB2878" t="str">
        <f>HYPERLINK("Melting_Curves/meltCurve_P57105_SYNJ2BP.pdf", "Melting_Curves/meltCurve_P57105_SYNJ2BP.pdf")</f>
        <v>Melting_Curves/meltCurve_P57105_SYNJ2BP.pdf</v>
      </c>
    </row>
    <row r="2879" spans="1:28" x14ac:dyDescent="0.25">
      <c r="A2879" t="s">
        <v>2883</v>
      </c>
      <c r="B2879">
        <v>0.99542014353169495</v>
      </c>
      <c r="C2879">
        <v>1.04578616596948</v>
      </c>
      <c r="D2879">
        <v>0.86946826050460502</v>
      </c>
      <c r="E2879">
        <v>0.80335896032894705</v>
      </c>
      <c r="F2879">
        <v>0.56735445066059198</v>
      </c>
      <c r="G2879">
        <v>0.399533356190095</v>
      </c>
      <c r="H2879">
        <v>0.27323512460167898</v>
      </c>
      <c r="I2879">
        <v>0.19964897829382799</v>
      </c>
      <c r="J2879">
        <v>0.315503607117541</v>
      </c>
      <c r="K2879">
        <v>0.32519180993149499</v>
      </c>
      <c r="L2879">
        <v>865.40776350232295</v>
      </c>
      <c r="M2879">
        <v>17.660768251989101</v>
      </c>
      <c r="N2879">
        <v>51.138212774377003</v>
      </c>
      <c r="O2879">
        <v>48.386392420824798</v>
      </c>
      <c r="P2879">
        <v>-6.7442908864366297E-2</v>
      </c>
      <c r="Q2879">
        <v>0.26092784742937403</v>
      </c>
      <c r="R2879">
        <v>0.97520661123614305</v>
      </c>
      <c r="S2879" t="s">
        <v>9281</v>
      </c>
      <c r="T2879" t="s">
        <v>12802</v>
      </c>
      <c r="U2879" t="s">
        <v>12802</v>
      </c>
      <c r="V2879" t="s">
        <v>12802</v>
      </c>
      <c r="W2879" t="s">
        <v>15633</v>
      </c>
      <c r="X2879">
        <v>2</v>
      </c>
      <c r="Y2879" t="s">
        <v>21893</v>
      </c>
      <c r="Z2879" t="s">
        <v>28197</v>
      </c>
      <c r="AA2879">
        <v>0.56874328645258931</v>
      </c>
      <c r="AB2879" t="str">
        <f>HYPERLINK("Melting_Curves/meltCurve_P57682_KLF3.pdf", "Melting_Curves/meltCurve_P57682_KLF3.pdf")</f>
        <v>Melting_Curves/meltCurve_P57682_KLF3.pdf</v>
      </c>
    </row>
    <row r="2880" spans="1:28" x14ac:dyDescent="0.25">
      <c r="A2880" t="s">
        <v>2884</v>
      </c>
      <c r="B2880">
        <v>0.99542014353169495</v>
      </c>
      <c r="C2880">
        <v>0.95513387599503496</v>
      </c>
      <c r="D2880">
        <v>0.92207908906023495</v>
      </c>
      <c r="E2880">
        <v>0.60155593418901598</v>
      </c>
      <c r="F2880">
        <v>0.441467654260701</v>
      </c>
      <c r="G2880">
        <v>0.30239076204027399</v>
      </c>
      <c r="H2880">
        <v>0.18988066479942201</v>
      </c>
      <c r="I2880">
        <v>0.11769400012629599</v>
      </c>
      <c r="J2880">
        <v>0.13459705526142601</v>
      </c>
      <c r="K2880">
        <v>0.16303543401260401</v>
      </c>
      <c r="L2880">
        <v>717.69608914997104</v>
      </c>
      <c r="M2880">
        <v>14.9514677786399</v>
      </c>
      <c r="N2880">
        <v>48.931836458824897</v>
      </c>
      <c r="O2880">
        <v>47.167567804736301</v>
      </c>
      <c r="P2880">
        <v>-6.9451365217754496E-2</v>
      </c>
      <c r="Q2880">
        <v>0.1236935750072</v>
      </c>
      <c r="R2880">
        <v>0.99142744142791095</v>
      </c>
      <c r="S2880" t="s">
        <v>9282</v>
      </c>
      <c r="T2880" t="s">
        <v>12802</v>
      </c>
      <c r="U2880" t="s">
        <v>12802</v>
      </c>
      <c r="V2880" t="s">
        <v>12802</v>
      </c>
      <c r="W2880" t="s">
        <v>15634</v>
      </c>
      <c r="X2880">
        <v>32</v>
      </c>
      <c r="Y2880" t="s">
        <v>21894</v>
      </c>
      <c r="Z2880" t="s">
        <v>28198</v>
      </c>
      <c r="AA2880">
        <v>0.464461125423619</v>
      </c>
      <c r="AB2880" t="str">
        <f>HYPERLINK("Melting_Curves/meltCurve_P57737_3_CORO7.pdf", "Melting_Curves/meltCurve_P57737_3_CORO7.pdf")</f>
        <v>Melting_Curves/meltCurve_P57737_3_CORO7.pdf</v>
      </c>
    </row>
    <row r="2881" spans="1:28" x14ac:dyDescent="0.25">
      <c r="A2881" t="s">
        <v>2885</v>
      </c>
      <c r="B2881">
        <v>0.99542014353169495</v>
      </c>
      <c r="C2881">
        <v>0.73899509091788096</v>
      </c>
      <c r="D2881">
        <v>0.58034497053788103</v>
      </c>
      <c r="E2881">
        <v>0.37990853346458298</v>
      </c>
      <c r="F2881">
        <v>0.307909762721152</v>
      </c>
      <c r="G2881">
        <v>0.102014786539722</v>
      </c>
      <c r="H2881">
        <v>7.5364927127436504E-2</v>
      </c>
      <c r="I2881">
        <v>4.74992490950739E-2</v>
      </c>
      <c r="J2881">
        <v>5.9103138159393102E-2</v>
      </c>
      <c r="K2881">
        <v>5.4334323805410298E-2</v>
      </c>
      <c r="L2881">
        <v>499.99248060261402</v>
      </c>
      <c r="M2881">
        <v>11.2482515650927</v>
      </c>
      <c r="N2881">
        <v>44.612755982727698</v>
      </c>
      <c r="O2881">
        <v>43.115214265545497</v>
      </c>
      <c r="P2881">
        <v>-6.3936179717535596E-2</v>
      </c>
      <c r="Q2881">
        <v>2.0018775970538E-2</v>
      </c>
      <c r="R2881">
        <v>0.98175123993046898</v>
      </c>
      <c r="S2881" t="s">
        <v>9283</v>
      </c>
      <c r="T2881" t="s">
        <v>12802</v>
      </c>
      <c r="U2881" t="s">
        <v>12802</v>
      </c>
      <c r="V2881" t="s">
        <v>12802</v>
      </c>
      <c r="W2881" t="s">
        <v>15635</v>
      </c>
      <c r="X2881">
        <v>7</v>
      </c>
      <c r="Y2881" t="s">
        <v>21895</v>
      </c>
      <c r="Z2881" t="s">
        <v>28199</v>
      </c>
      <c r="AA2881">
        <v>0.30477413134061609</v>
      </c>
      <c r="AB2881" t="str">
        <f>HYPERLINK("Melting_Curves/meltCurve_P57740_NUP107.pdf", "Melting_Curves/meltCurve_P57740_NUP107.pdf")</f>
        <v>Melting_Curves/meltCurve_P57740_NUP107.pdf</v>
      </c>
    </row>
    <row r="2882" spans="1:28" x14ac:dyDescent="0.25">
      <c r="A2882" t="s">
        <v>2886</v>
      </c>
      <c r="B2882">
        <v>0.99542014353169495</v>
      </c>
      <c r="C2882">
        <v>0.97035819675575596</v>
      </c>
      <c r="D2882">
        <v>0.87476855203779103</v>
      </c>
      <c r="E2882">
        <v>0.71137276175057096</v>
      </c>
      <c r="F2882">
        <v>0.23781826275614301</v>
      </c>
      <c r="G2882">
        <v>8.8384830556472699E-2</v>
      </c>
      <c r="H2882">
        <v>7.5152900233457595E-2</v>
      </c>
      <c r="I2882">
        <v>5.61620904345322E-2</v>
      </c>
      <c r="J2882">
        <v>4.6645354829374902E-2</v>
      </c>
      <c r="K2882">
        <v>3.69025898999489E-2</v>
      </c>
      <c r="L2882">
        <v>1207.4075656294499</v>
      </c>
      <c r="M2882">
        <v>25.258493199176701</v>
      </c>
      <c r="N2882">
        <v>47.975761148675701</v>
      </c>
      <c r="O2882">
        <v>47.505458262230597</v>
      </c>
      <c r="P2882">
        <v>-0.12711700390695299</v>
      </c>
      <c r="Q2882">
        <v>4.37006034826544E-2</v>
      </c>
      <c r="R2882">
        <v>0.99476717856331098</v>
      </c>
      <c r="S2882" t="s">
        <v>9284</v>
      </c>
      <c r="T2882" t="s">
        <v>12802</v>
      </c>
      <c r="U2882" t="s">
        <v>12802</v>
      </c>
      <c r="V2882" t="s">
        <v>12802</v>
      </c>
      <c r="W2882" t="s">
        <v>15636</v>
      </c>
      <c r="X2882">
        <v>7</v>
      </c>
      <c r="Y2882" t="s">
        <v>21896</v>
      </c>
      <c r="Z2882" t="s">
        <v>28200</v>
      </c>
      <c r="AA2882">
        <v>0.39599500115220132</v>
      </c>
      <c r="AB2882" t="str">
        <f>HYPERLINK("Melting_Curves/meltCurve_P57772_EEFSEC.pdf", "Melting_Curves/meltCurve_P57772_EEFSEC.pdf")</f>
        <v>Melting_Curves/meltCurve_P57772_EEFSEC.pdf</v>
      </c>
    </row>
    <row r="2883" spans="1:28" x14ac:dyDescent="0.25">
      <c r="A2883" t="s">
        <v>2887</v>
      </c>
      <c r="B2883">
        <v>0.99542014353169495</v>
      </c>
      <c r="C2883">
        <v>1.0080264698774</v>
      </c>
      <c r="D2883">
        <v>0.96414092965643206</v>
      </c>
      <c r="E2883">
        <v>0.71136345336887896</v>
      </c>
      <c r="F2883">
        <v>0.22125740635765201</v>
      </c>
      <c r="G2883">
        <v>0.12637317263335601</v>
      </c>
      <c r="H2883">
        <v>7.7147986285092396E-2</v>
      </c>
      <c r="I2883">
        <v>5.1713060810595797E-2</v>
      </c>
      <c r="J2883">
        <v>5.0557228103077098E-2</v>
      </c>
      <c r="K2883">
        <v>5.8010721685526997E-2</v>
      </c>
      <c r="L2883">
        <v>1476.1655677972601</v>
      </c>
      <c r="M2883">
        <v>30.897895271743899</v>
      </c>
      <c r="N2883">
        <v>47.986482444543697</v>
      </c>
      <c r="O2883">
        <v>47.576818816595498</v>
      </c>
      <c r="P2883">
        <v>-0.15205231037540301</v>
      </c>
      <c r="Q2883">
        <v>6.3480191995874E-2</v>
      </c>
      <c r="R2883">
        <v>0.99881133017574197</v>
      </c>
      <c r="S2883" t="s">
        <v>9285</v>
      </c>
      <c r="T2883" t="s">
        <v>12802</v>
      </c>
      <c r="U2883" t="s">
        <v>12802</v>
      </c>
      <c r="V2883" t="s">
        <v>12802</v>
      </c>
      <c r="W2883" t="s">
        <v>15637</v>
      </c>
      <c r="X2883">
        <v>11</v>
      </c>
      <c r="Y2883" t="s">
        <v>21897</v>
      </c>
      <c r="Z2883" t="s">
        <v>28201</v>
      </c>
      <c r="AA2883">
        <v>0.40507079178407529</v>
      </c>
      <c r="AB2883" t="str">
        <f>HYPERLINK("Melting_Curves/meltCurve_P58004_SESN2.pdf", "Melting_Curves/meltCurve_P58004_SESN2.pdf")</f>
        <v>Melting_Curves/meltCurve_P58004_SESN2.pdf</v>
      </c>
    </row>
    <row r="2884" spans="1:28" x14ac:dyDescent="0.25">
      <c r="A2884" t="s">
        <v>2888</v>
      </c>
      <c r="B2884">
        <v>0.99542014353169495</v>
      </c>
      <c r="C2884">
        <v>0.67871623650281099</v>
      </c>
      <c r="D2884">
        <v>0.26833446474092898</v>
      </c>
      <c r="E2884">
        <v>0.197705555915166</v>
      </c>
      <c r="F2884">
        <v>0.13915139312651201</v>
      </c>
      <c r="G2884">
        <v>9.0069089435689795E-2</v>
      </c>
      <c r="H2884">
        <v>5.0904606712862899E-2</v>
      </c>
      <c r="I2884">
        <v>2.6915180147863E-2</v>
      </c>
      <c r="J2884">
        <v>2.6840123177578199E-2</v>
      </c>
      <c r="K2884">
        <v>3.9402974689949397E-2</v>
      </c>
      <c r="L2884">
        <v>988.93831249188304</v>
      </c>
      <c r="M2884">
        <v>24.095409387227502</v>
      </c>
      <c r="N2884">
        <v>41.293101357657399</v>
      </c>
      <c r="O2884">
        <v>40.763022233887298</v>
      </c>
      <c r="P2884">
        <v>-0.13773094845641201</v>
      </c>
      <c r="Q2884">
        <v>6.7997570787278597E-2</v>
      </c>
      <c r="R2884">
        <v>0.97984224523293195</v>
      </c>
      <c r="S2884" t="s">
        <v>9286</v>
      </c>
      <c r="T2884" t="s">
        <v>12802</v>
      </c>
      <c r="U2884" t="s">
        <v>12802</v>
      </c>
      <c r="V2884" t="s">
        <v>12802</v>
      </c>
      <c r="W2884" t="s">
        <v>15638</v>
      </c>
      <c r="X2884">
        <v>21</v>
      </c>
      <c r="Y2884" t="s">
        <v>21898</v>
      </c>
      <c r="Z2884" t="s">
        <v>28202</v>
      </c>
      <c r="AA2884">
        <v>0.2037614769646123</v>
      </c>
      <c r="AB2884" t="str">
        <f>HYPERLINK("Melting_Curves/meltCurve_P58107_EPPK1.pdf", "Melting_Curves/meltCurve_P58107_EPPK1.pdf")</f>
        <v>Melting_Curves/meltCurve_P58107_EPPK1.pdf</v>
      </c>
    </row>
    <row r="2885" spans="1:28" x14ac:dyDescent="0.25">
      <c r="A2885" t="s">
        <v>2889</v>
      </c>
      <c r="B2885">
        <v>0.99542014353169495</v>
      </c>
      <c r="C2885">
        <v>0.98014398154194704</v>
      </c>
      <c r="D2885">
        <v>0.98674550796392202</v>
      </c>
      <c r="E2885">
        <v>0.95007692932104104</v>
      </c>
      <c r="F2885">
        <v>0.54560047051141602</v>
      </c>
      <c r="G2885">
        <v>0.17804340405587299</v>
      </c>
      <c r="H2885">
        <v>6.6240922399180599E-2</v>
      </c>
      <c r="I2885">
        <v>4.4585651613154399E-2</v>
      </c>
      <c r="J2885">
        <v>5.12970003698697E-2</v>
      </c>
      <c r="K2885">
        <v>5.3161168888498901E-2</v>
      </c>
      <c r="L2885">
        <v>1586.2347631781799</v>
      </c>
      <c r="M2885">
        <v>31.4689278747631</v>
      </c>
      <c r="N2885">
        <v>50.574220449557799</v>
      </c>
      <c r="O2885">
        <v>50.2041288870128</v>
      </c>
      <c r="P2885">
        <v>-0.14893556785728801</v>
      </c>
      <c r="Q2885">
        <v>4.9584182860784302E-2</v>
      </c>
      <c r="R2885">
        <v>0.99934662992614198</v>
      </c>
      <c r="S2885" t="s">
        <v>9287</v>
      </c>
      <c r="T2885" t="s">
        <v>12802</v>
      </c>
      <c r="U2885" t="s">
        <v>12802</v>
      </c>
      <c r="V2885" t="s">
        <v>12802</v>
      </c>
      <c r="W2885" t="s">
        <v>15639</v>
      </c>
      <c r="X2885">
        <v>6</v>
      </c>
      <c r="Y2885" t="s">
        <v>21899</v>
      </c>
      <c r="Z2885" t="s">
        <v>28203</v>
      </c>
      <c r="AA2885">
        <v>0.47964671742776738</v>
      </c>
      <c r="AB2885" t="str">
        <f>HYPERLINK("Melting_Curves/meltCurve_P58546_MTPN.pdf", "Melting_Curves/meltCurve_P58546_MTPN.pdf")</f>
        <v>Melting_Curves/meltCurve_P58546_MTPN.pdf</v>
      </c>
    </row>
    <row r="2886" spans="1:28" x14ac:dyDescent="0.25">
      <c r="A2886" t="s">
        <v>2890</v>
      </c>
      <c r="B2886">
        <v>0.99542014353169495</v>
      </c>
      <c r="C2886">
        <v>0.95020597050436895</v>
      </c>
      <c r="D2886">
        <v>0.82975988776132903</v>
      </c>
      <c r="E2886">
        <v>0.37474655272069202</v>
      </c>
      <c r="F2886">
        <v>0.124998159113166</v>
      </c>
      <c r="G2886">
        <v>8.1583112664307206E-2</v>
      </c>
      <c r="H2886">
        <v>7.2162201522726704E-2</v>
      </c>
      <c r="I2886">
        <v>4.9495971793262997E-2</v>
      </c>
      <c r="J2886">
        <v>2.8585991030939499E-2</v>
      </c>
      <c r="K2886">
        <v>9.5439707752183994E-2</v>
      </c>
      <c r="L2886">
        <v>1190.3779970672999</v>
      </c>
      <c r="M2886">
        <v>26.2271182001009</v>
      </c>
      <c r="N2886">
        <v>45.610512085674799</v>
      </c>
      <c r="O2886">
        <v>45.125893758917101</v>
      </c>
      <c r="P2886">
        <v>-0.136549966637286</v>
      </c>
      <c r="Q2886">
        <v>6.0229071913857603E-2</v>
      </c>
      <c r="R2886">
        <v>0.99780637672674599</v>
      </c>
      <c r="S2886" t="s">
        <v>9288</v>
      </c>
      <c r="T2886" t="s">
        <v>12802</v>
      </c>
      <c r="U2886" t="s">
        <v>12802</v>
      </c>
      <c r="V2886" t="s">
        <v>12802</v>
      </c>
      <c r="W2886" t="s">
        <v>15640</v>
      </c>
      <c r="X2886">
        <v>1</v>
      </c>
      <c r="Y2886" t="s">
        <v>21900</v>
      </c>
      <c r="Z2886" t="s">
        <v>28204</v>
      </c>
      <c r="AA2886">
        <v>0.32997081654123223</v>
      </c>
      <c r="AB2886" t="str">
        <f>HYPERLINK("Melting_Curves/meltCurve_P58557_4_YBEY.pdf", "Melting_Curves/meltCurve_P58557_4_YBEY.pdf")</f>
        <v>Melting_Curves/meltCurve_P58557_4_YBEY.pdf</v>
      </c>
    </row>
    <row r="2887" spans="1:28" x14ac:dyDescent="0.25">
      <c r="A2887" t="s">
        <v>2891</v>
      </c>
      <c r="B2887">
        <v>0.99542014353169495</v>
      </c>
      <c r="C2887">
        <v>0.89103425794693003</v>
      </c>
      <c r="D2887">
        <v>0.85134828604099</v>
      </c>
      <c r="E2887">
        <v>0.80654877137177905</v>
      </c>
      <c r="F2887">
        <v>0.64558036084394199</v>
      </c>
      <c r="G2887">
        <v>0.46248049371387301</v>
      </c>
      <c r="H2887">
        <v>0.28015042769133802</v>
      </c>
      <c r="I2887">
        <v>0.17016537443025301</v>
      </c>
      <c r="J2887">
        <v>7.6360065331642205E-2</v>
      </c>
      <c r="K2887">
        <v>3.3187960695730802E-2</v>
      </c>
      <c r="L2887">
        <v>580.56710235002799</v>
      </c>
      <c r="M2887">
        <v>11.0746959048678</v>
      </c>
      <c r="N2887">
        <v>52.422848204224103</v>
      </c>
      <c r="O2887">
        <v>50.800630523000699</v>
      </c>
      <c r="P2887">
        <v>-5.4518688193045298E-2</v>
      </c>
      <c r="Q2887">
        <v>0</v>
      </c>
      <c r="R2887">
        <v>0.98592383365765701</v>
      </c>
      <c r="S2887" t="s">
        <v>9289</v>
      </c>
      <c r="T2887" t="s">
        <v>12802</v>
      </c>
      <c r="U2887" t="s">
        <v>12802</v>
      </c>
      <c r="V2887" t="s">
        <v>12802</v>
      </c>
      <c r="W2887" t="s">
        <v>15641</v>
      </c>
      <c r="X2887">
        <v>7</v>
      </c>
      <c r="Y2887" t="s">
        <v>21901</v>
      </c>
      <c r="Z2887" t="s">
        <v>28205</v>
      </c>
      <c r="AA2887">
        <v>0.53790828508044108</v>
      </c>
      <c r="AB2887" t="str">
        <f>HYPERLINK("Melting_Curves/meltCurve_P59998_ARPC4.pdf", "Melting_Curves/meltCurve_P59998_ARPC4.pdf")</f>
        <v>Melting_Curves/meltCurve_P59998_ARPC4.pdf</v>
      </c>
    </row>
    <row r="2888" spans="1:28" x14ac:dyDescent="0.25">
      <c r="A2888" t="s">
        <v>2892</v>
      </c>
      <c r="B2888">
        <v>0.99542014353169495</v>
      </c>
      <c r="C2888">
        <v>1.0668046853414099</v>
      </c>
      <c r="D2888">
        <v>0.99732377824373497</v>
      </c>
      <c r="E2888">
        <v>0.92047543824607903</v>
      </c>
      <c r="F2888">
        <v>0.483545145616255</v>
      </c>
      <c r="G2888">
        <v>0.26136882293716102</v>
      </c>
      <c r="H2888">
        <v>0.17900856716801999</v>
      </c>
      <c r="I2888">
        <v>0.36978383564126999</v>
      </c>
      <c r="J2888">
        <v>0.97683074327905695</v>
      </c>
      <c r="K2888">
        <v>1.8231345134185599</v>
      </c>
      <c r="L2888">
        <v>11701.121629986999</v>
      </c>
      <c r="M2888">
        <v>250</v>
      </c>
      <c r="O2888">
        <v>46.801491203703698</v>
      </c>
      <c r="P2888">
        <v>-0.42429389757649899</v>
      </c>
      <c r="Q2888">
        <v>0.68227860558158304</v>
      </c>
      <c r="R2888">
        <v>0.109451872039244</v>
      </c>
      <c r="S2888" t="s">
        <v>9290</v>
      </c>
      <c r="T2888" t="s">
        <v>12802</v>
      </c>
      <c r="U2888" t="s">
        <v>12802</v>
      </c>
      <c r="V2888" t="s">
        <v>12802</v>
      </c>
      <c r="W2888" t="s">
        <v>15642</v>
      </c>
      <c r="X2888">
        <v>1</v>
      </c>
      <c r="Y2888" t="s">
        <v>21902</v>
      </c>
      <c r="Z2888" t="s">
        <v>28206</v>
      </c>
      <c r="AA2888">
        <v>0.78614120786998831</v>
      </c>
      <c r="AB2888" t="str">
        <f>HYPERLINK("Melting_Curves/meltCurve_P60059_SEC61G.pdf", "Melting_Curves/meltCurve_P60059_SEC61G.pdf")</f>
        <v>Melting_Curves/meltCurve_P60059_SEC61G.pdf</v>
      </c>
    </row>
    <row r="2889" spans="1:28" x14ac:dyDescent="0.25">
      <c r="A2889" t="s">
        <v>2893</v>
      </c>
      <c r="B2889">
        <v>0.99542014353169495</v>
      </c>
      <c r="C2889">
        <v>1.0163592550685601</v>
      </c>
      <c r="D2889">
        <v>0.96776783948704104</v>
      </c>
      <c r="E2889">
        <v>1.0398745791297901</v>
      </c>
      <c r="F2889">
        <v>0.85460195233741099</v>
      </c>
      <c r="G2889">
        <v>0.72352678713725704</v>
      </c>
      <c r="H2889">
        <v>0.47785107200660598</v>
      </c>
      <c r="I2889">
        <v>0.36371103723942599</v>
      </c>
      <c r="J2889">
        <v>0.18811152405348999</v>
      </c>
      <c r="K2889">
        <v>0.109847722202465</v>
      </c>
      <c r="L2889">
        <v>790.15048862610195</v>
      </c>
      <c r="M2889">
        <v>13.7321909277952</v>
      </c>
      <c r="N2889">
        <v>57.540016377889998</v>
      </c>
      <c r="O2889">
        <v>56.360946418786199</v>
      </c>
      <c r="P2889">
        <v>-6.0920509937772198E-2</v>
      </c>
      <c r="Q2889">
        <v>0</v>
      </c>
      <c r="R2889">
        <v>0.99021332062052903</v>
      </c>
      <c r="S2889" t="s">
        <v>9291</v>
      </c>
      <c r="T2889" t="s">
        <v>12802</v>
      </c>
      <c r="U2889" t="s">
        <v>12802</v>
      </c>
      <c r="V2889" t="s">
        <v>12802</v>
      </c>
      <c r="W2889" t="s">
        <v>15643</v>
      </c>
      <c r="X2889">
        <v>25</v>
      </c>
      <c r="Y2889" t="s">
        <v>21903</v>
      </c>
      <c r="Z2889" t="s">
        <v>28207</v>
      </c>
      <c r="AA2889">
        <v>0.68936575039217574</v>
      </c>
      <c r="AB2889" t="str">
        <f>HYPERLINK("Melting_Curves/meltCurve_P60174_1_TPI1.pdf", "Melting_Curves/meltCurve_P60174_1_TPI1.pdf")</f>
        <v>Melting_Curves/meltCurve_P60174_1_TPI1.pdf</v>
      </c>
    </row>
    <row r="2890" spans="1:28" x14ac:dyDescent="0.25">
      <c r="A2890" t="s">
        <v>2894</v>
      </c>
      <c r="B2890">
        <v>0.99542014353169495</v>
      </c>
      <c r="C2890">
        <v>0.84618475846871899</v>
      </c>
      <c r="D2890">
        <v>0.92510669641705801</v>
      </c>
      <c r="E2890">
        <v>0.52233647574550701</v>
      </c>
      <c r="F2890">
        <v>0.181514437804495</v>
      </c>
      <c r="G2890">
        <v>8.5454100780161205E-2</v>
      </c>
      <c r="H2890">
        <v>5.5502963095867601E-2</v>
      </c>
      <c r="I2890">
        <v>3.27379160280791E-2</v>
      </c>
      <c r="J2890">
        <v>2.8148060598303999E-2</v>
      </c>
      <c r="K2890">
        <v>2.1847308978063199E-2</v>
      </c>
      <c r="L2890">
        <v>1062.3588540415999</v>
      </c>
      <c r="M2890">
        <v>22.748075125609098</v>
      </c>
      <c r="N2890">
        <v>46.824794578701102</v>
      </c>
      <c r="O2890">
        <v>46.344635936533798</v>
      </c>
      <c r="P2890">
        <v>-0.119133816806875</v>
      </c>
      <c r="Q2890">
        <v>2.9174073088108401E-2</v>
      </c>
      <c r="R2890">
        <v>0.98644353712464194</v>
      </c>
      <c r="S2890" t="s">
        <v>9292</v>
      </c>
      <c r="T2890" t="s">
        <v>12802</v>
      </c>
      <c r="U2890" t="s">
        <v>12802</v>
      </c>
      <c r="V2890" t="s">
        <v>12802</v>
      </c>
      <c r="W2890" t="s">
        <v>15644</v>
      </c>
      <c r="X2890">
        <v>14</v>
      </c>
      <c r="Y2890" t="s">
        <v>21904</v>
      </c>
      <c r="Z2890" t="s">
        <v>28208</v>
      </c>
      <c r="AA2890">
        <v>0.35292967888192989</v>
      </c>
      <c r="AB2890" t="str">
        <f>HYPERLINK("Melting_Curves/meltCurve_P60228_EIF3E.pdf", "Melting_Curves/meltCurve_P60228_EIF3E.pdf")</f>
        <v>Melting_Curves/meltCurve_P60228_EIF3E.pdf</v>
      </c>
    </row>
    <row r="2891" spans="1:28" x14ac:dyDescent="0.25">
      <c r="A2891" t="s">
        <v>2895</v>
      </c>
      <c r="B2891">
        <v>0.99542014353169495</v>
      </c>
      <c r="C2891">
        <v>0.98665705746417698</v>
      </c>
      <c r="D2891">
        <v>0.98420488380319504</v>
      </c>
      <c r="E2891">
        <v>0.90187971545855306</v>
      </c>
      <c r="F2891">
        <v>0.76198099466095703</v>
      </c>
      <c r="G2891">
        <v>0.57050001435227404</v>
      </c>
      <c r="H2891">
        <v>0.48765103353675698</v>
      </c>
      <c r="I2891">
        <v>0.43861616900359202</v>
      </c>
      <c r="J2891">
        <v>0.53426960574063798</v>
      </c>
      <c r="K2891">
        <v>0.61667633759919105</v>
      </c>
      <c r="L2891">
        <v>1290.4739395494801</v>
      </c>
      <c r="M2891">
        <v>25.885672120378398</v>
      </c>
      <c r="O2891">
        <v>49.558155952784901</v>
      </c>
      <c r="P2891">
        <v>-6.3324750091798193E-2</v>
      </c>
      <c r="Q2891">
        <v>0.51506438366268803</v>
      </c>
      <c r="R2891">
        <v>0.95408899773802802</v>
      </c>
      <c r="S2891" t="s">
        <v>9293</v>
      </c>
      <c r="T2891" t="s">
        <v>12802</v>
      </c>
      <c r="U2891" t="s">
        <v>12802</v>
      </c>
      <c r="V2891" t="s">
        <v>12802</v>
      </c>
      <c r="W2891" t="s">
        <v>15645</v>
      </c>
      <c r="X2891">
        <v>3</v>
      </c>
      <c r="Y2891" t="s">
        <v>21905</v>
      </c>
      <c r="Z2891" t="s">
        <v>28209</v>
      </c>
      <c r="AA2891">
        <v>0.72678460228236608</v>
      </c>
      <c r="AB2891" t="str">
        <f>HYPERLINK("Melting_Curves/meltCurve_P60468_SEC61B.pdf", "Melting_Curves/meltCurve_P60468_SEC61B.pdf")</f>
        <v>Melting_Curves/meltCurve_P60468_SEC61B.pdf</v>
      </c>
    </row>
    <row r="2892" spans="1:28" x14ac:dyDescent="0.25">
      <c r="A2892" t="s">
        <v>2896</v>
      </c>
      <c r="B2892">
        <v>0.99542014353169495</v>
      </c>
      <c r="C2892">
        <v>0.98876697246729806</v>
      </c>
      <c r="D2892">
        <v>0.95063511354601704</v>
      </c>
      <c r="E2892">
        <v>0.91371549171862998</v>
      </c>
      <c r="F2892">
        <v>0.65578799149355205</v>
      </c>
      <c r="G2892">
        <v>0.504486207308117</v>
      </c>
      <c r="H2892">
        <v>0.32670899157019401</v>
      </c>
      <c r="I2892">
        <v>0.196206322304324</v>
      </c>
      <c r="J2892">
        <v>0.177019660292322</v>
      </c>
      <c r="K2892">
        <v>0.14190506902559999</v>
      </c>
      <c r="L2892">
        <v>733.02971604978802</v>
      </c>
      <c r="M2892">
        <v>13.915904397671699</v>
      </c>
      <c r="N2892">
        <v>53.523147579629999</v>
      </c>
      <c r="O2892">
        <v>51.623665013658098</v>
      </c>
      <c r="P2892">
        <v>-6.0735908481685801E-2</v>
      </c>
      <c r="Q2892">
        <v>9.8876976495665E-2</v>
      </c>
      <c r="R2892">
        <v>0.99611494980680804</v>
      </c>
      <c r="S2892" t="s">
        <v>9294</v>
      </c>
      <c r="T2892" t="s">
        <v>12802</v>
      </c>
      <c r="U2892" t="s">
        <v>12802</v>
      </c>
      <c r="V2892" t="s">
        <v>12802</v>
      </c>
      <c r="W2892" t="s">
        <v>15646</v>
      </c>
      <c r="X2892">
        <v>13</v>
      </c>
      <c r="Y2892" t="s">
        <v>21906</v>
      </c>
      <c r="Z2892" t="s">
        <v>28210</v>
      </c>
      <c r="AA2892">
        <v>0.58745818139153883</v>
      </c>
      <c r="AB2892" t="str">
        <f>HYPERLINK("Melting_Curves/meltCurve_P60510_PPP4C.pdf", "Melting_Curves/meltCurve_P60510_PPP4C.pdf")</f>
        <v>Melting_Curves/meltCurve_P60510_PPP4C.pdf</v>
      </c>
    </row>
    <row r="2893" spans="1:28" x14ac:dyDescent="0.25">
      <c r="A2893" t="s">
        <v>2897</v>
      </c>
      <c r="B2893">
        <v>0.99542014353169495</v>
      </c>
      <c r="C2893">
        <v>1.0611776061764699</v>
      </c>
      <c r="D2893">
        <v>0.98187452200374703</v>
      </c>
      <c r="E2893">
        <v>0.966437078447556</v>
      </c>
      <c r="F2893">
        <v>0.69215369743649402</v>
      </c>
      <c r="G2893">
        <v>0.39422184778916602</v>
      </c>
      <c r="H2893">
        <v>0.18624022062194301</v>
      </c>
      <c r="I2893">
        <v>0.11682867858946</v>
      </c>
      <c r="J2893">
        <v>9.1153003010950404E-2</v>
      </c>
      <c r="K2893">
        <v>7.3359755106767302E-2</v>
      </c>
      <c r="L2893">
        <v>1123.57820935942</v>
      </c>
      <c r="M2893">
        <v>21.572513395335299</v>
      </c>
      <c r="N2893">
        <v>52.475805946124098</v>
      </c>
      <c r="O2893">
        <v>51.642423665975997</v>
      </c>
      <c r="P2893">
        <v>-9.6662580290559005E-2</v>
      </c>
      <c r="Q2893">
        <v>7.4420416986202206E-2</v>
      </c>
      <c r="R2893">
        <v>0.99637295033015605</v>
      </c>
      <c r="S2893" t="s">
        <v>9295</v>
      </c>
      <c r="T2893" t="s">
        <v>12802</v>
      </c>
      <c r="U2893" t="s">
        <v>12802</v>
      </c>
      <c r="V2893" t="s">
        <v>12802</v>
      </c>
      <c r="W2893" t="s">
        <v>15647</v>
      </c>
      <c r="X2893">
        <v>7</v>
      </c>
      <c r="Y2893" t="s">
        <v>21907</v>
      </c>
      <c r="Z2893" t="s">
        <v>28211</v>
      </c>
      <c r="AA2893">
        <v>0.55036665295137321</v>
      </c>
      <c r="AB2893" t="str">
        <f>HYPERLINK("Melting_Curves/meltCurve_P60520_GABARAPL2.pdf", "Melting_Curves/meltCurve_P60520_GABARAPL2.pdf")</f>
        <v>Melting_Curves/meltCurve_P60520_GABARAPL2.pdf</v>
      </c>
    </row>
    <row r="2894" spans="1:28" x14ac:dyDescent="0.25">
      <c r="A2894" t="s">
        <v>2898</v>
      </c>
      <c r="B2894">
        <v>0.99542014353169495</v>
      </c>
      <c r="C2894">
        <v>0.915680601059911</v>
      </c>
      <c r="D2894">
        <v>1.0919201177782101</v>
      </c>
      <c r="E2894">
        <v>0.78687983444081899</v>
      </c>
      <c r="F2894">
        <v>0.81925222004902098</v>
      </c>
      <c r="G2894">
        <v>0.44070617885081498</v>
      </c>
      <c r="H2894">
        <v>0.42761866746336102</v>
      </c>
      <c r="I2894">
        <v>0.335303636085725</v>
      </c>
      <c r="J2894">
        <v>0.40670187133676899</v>
      </c>
      <c r="K2894">
        <v>0.50073670414230498</v>
      </c>
      <c r="L2894">
        <v>1166.85154343165</v>
      </c>
      <c r="M2894">
        <v>23.140144720223802</v>
      </c>
      <c r="N2894">
        <v>54.167141289592102</v>
      </c>
      <c r="O2894">
        <v>50.053361170696697</v>
      </c>
      <c r="P2894">
        <v>-6.9475288925736595E-2</v>
      </c>
      <c r="Q2894">
        <v>0.398896042486102</v>
      </c>
      <c r="R2894">
        <v>0.90409259525464103</v>
      </c>
      <c r="S2894" t="s">
        <v>9296</v>
      </c>
      <c r="T2894" t="s">
        <v>12802</v>
      </c>
      <c r="U2894" t="s">
        <v>12802</v>
      </c>
      <c r="V2894" t="s">
        <v>12802</v>
      </c>
      <c r="W2894" t="s">
        <v>15648</v>
      </c>
      <c r="X2894">
        <v>5</v>
      </c>
      <c r="Y2894" t="s">
        <v>21908</v>
      </c>
      <c r="Z2894" t="s">
        <v>28212</v>
      </c>
      <c r="AA2894">
        <v>0.67399503475621547</v>
      </c>
      <c r="AB2894" t="str">
        <f>HYPERLINK("Melting_Curves/meltCurve_P60602_ROMO1.pdf", "Melting_Curves/meltCurve_P60602_ROMO1.pdf")</f>
        <v>Melting_Curves/meltCurve_P60602_ROMO1.pdf</v>
      </c>
    </row>
    <row r="2895" spans="1:28" x14ac:dyDescent="0.25">
      <c r="A2895" t="s">
        <v>2899</v>
      </c>
      <c r="B2895">
        <v>0.99542014353169495</v>
      </c>
      <c r="C2895">
        <v>0.86710459764529402</v>
      </c>
      <c r="D2895">
        <v>0.904017894377382</v>
      </c>
      <c r="E2895">
        <v>0.66416847000754697</v>
      </c>
      <c r="F2895">
        <v>0.289970411173265</v>
      </c>
      <c r="G2895">
        <v>0.13745393723362301</v>
      </c>
      <c r="H2895">
        <v>8.2095903109647206E-2</v>
      </c>
      <c r="I2895">
        <v>5.3327553334005497E-2</v>
      </c>
      <c r="J2895">
        <v>4.9822452075171497E-2</v>
      </c>
      <c r="K2895">
        <v>5.43242986438979E-2</v>
      </c>
      <c r="L2895">
        <v>917.38520259128904</v>
      </c>
      <c r="M2895">
        <v>19.2004623692522</v>
      </c>
      <c r="N2895">
        <v>47.995363337386102</v>
      </c>
      <c r="O2895">
        <v>47.270116759665399</v>
      </c>
      <c r="P2895">
        <v>-9.7346503837548198E-2</v>
      </c>
      <c r="Q2895">
        <v>4.1397491546778603E-2</v>
      </c>
      <c r="R2895">
        <v>0.99024518696612795</v>
      </c>
      <c r="S2895" t="s">
        <v>9297</v>
      </c>
      <c r="T2895" t="s">
        <v>12802</v>
      </c>
      <c r="U2895" t="s">
        <v>12802</v>
      </c>
      <c r="V2895" t="s">
        <v>12802</v>
      </c>
      <c r="W2895" t="s">
        <v>15649</v>
      </c>
      <c r="X2895">
        <v>4</v>
      </c>
      <c r="Y2895" t="s">
        <v>21909</v>
      </c>
      <c r="Z2895" t="s">
        <v>28213</v>
      </c>
      <c r="AA2895">
        <v>0.39943009329694779</v>
      </c>
      <c r="AB2895" t="str">
        <f>HYPERLINK("Melting_Curves/meltCurve_P60604_2_UBE2G2.pdf", "Melting_Curves/meltCurve_P60604_2_UBE2G2.pdf")</f>
        <v>Melting_Curves/meltCurve_P60604_2_UBE2G2.pdf</v>
      </c>
    </row>
    <row r="2896" spans="1:28" x14ac:dyDescent="0.25">
      <c r="A2896" t="s">
        <v>2900</v>
      </c>
      <c r="B2896">
        <v>0.99542014353169495</v>
      </c>
      <c r="C2896">
        <v>0.96822323934252597</v>
      </c>
      <c r="D2896">
        <v>0.93571339339968396</v>
      </c>
      <c r="E2896">
        <v>0.940368211428665</v>
      </c>
      <c r="F2896">
        <v>0.77017519535911905</v>
      </c>
      <c r="G2896">
        <v>0.46810989622916799</v>
      </c>
      <c r="H2896">
        <v>0.230754151387673</v>
      </c>
      <c r="I2896">
        <v>0.18408881162316701</v>
      </c>
      <c r="J2896">
        <v>0.28015225582374198</v>
      </c>
      <c r="K2896">
        <v>0.33421475788073002</v>
      </c>
      <c r="L2896">
        <v>1461.88853293188</v>
      </c>
      <c r="M2896">
        <v>28.2828470338122</v>
      </c>
      <c r="N2896">
        <v>52.984544983108101</v>
      </c>
      <c r="O2896">
        <v>51.431834265491503</v>
      </c>
      <c r="P2896">
        <v>-0.10314834645118801</v>
      </c>
      <c r="Q2896">
        <v>0.24971273882269401</v>
      </c>
      <c r="R2896">
        <v>0.97730009113760996</v>
      </c>
      <c r="S2896" t="s">
        <v>9298</v>
      </c>
      <c r="T2896" t="s">
        <v>12802</v>
      </c>
      <c r="U2896" t="s">
        <v>12802</v>
      </c>
      <c r="V2896" t="s">
        <v>12802</v>
      </c>
      <c r="W2896" t="s">
        <v>15650</v>
      </c>
      <c r="X2896">
        <v>36</v>
      </c>
      <c r="Y2896" t="s">
        <v>19479</v>
      </c>
      <c r="Z2896" t="s">
        <v>28214</v>
      </c>
      <c r="AA2896">
        <v>0.6223376314447896</v>
      </c>
      <c r="AB2896" t="str">
        <f>HYPERLINK("Melting_Curves/meltCurve_P60709_ACTB.pdf", "Melting_Curves/meltCurve_P60709_ACTB.pdf")</f>
        <v>Melting_Curves/meltCurve_P60709_ACTB.pdf</v>
      </c>
    </row>
    <row r="2897" spans="1:28" x14ac:dyDescent="0.25">
      <c r="A2897" t="s">
        <v>2901</v>
      </c>
      <c r="B2897">
        <v>0.99542014353169495</v>
      </c>
      <c r="C2897">
        <v>1.0192647997511299</v>
      </c>
      <c r="D2897">
        <v>1.0973545726279501</v>
      </c>
      <c r="E2897">
        <v>0.97154689519677495</v>
      </c>
      <c r="F2897">
        <v>0.762684425258215</v>
      </c>
      <c r="G2897">
        <v>0.49495796041992801</v>
      </c>
      <c r="H2897">
        <v>0.30571359784184998</v>
      </c>
      <c r="I2897">
        <v>0.15816579030031899</v>
      </c>
      <c r="J2897">
        <v>0.114200073971266</v>
      </c>
      <c r="K2897">
        <v>6.9602998412209696E-2</v>
      </c>
      <c r="L2897">
        <v>979.12956956893595</v>
      </c>
      <c r="M2897">
        <v>18.294010158570799</v>
      </c>
      <c r="N2897">
        <v>53.939514296093002</v>
      </c>
      <c r="O2897">
        <v>52.894628172581299</v>
      </c>
      <c r="P2897">
        <v>-8.0758303575127297E-2</v>
      </c>
      <c r="Q2897">
        <v>6.6036874473049206E-2</v>
      </c>
      <c r="R2897">
        <v>0.99034227182130896</v>
      </c>
      <c r="S2897" t="s">
        <v>9299</v>
      </c>
      <c r="T2897" t="s">
        <v>12802</v>
      </c>
      <c r="U2897" t="s">
        <v>12802</v>
      </c>
      <c r="V2897" t="s">
        <v>12802</v>
      </c>
      <c r="W2897" t="s">
        <v>15651</v>
      </c>
      <c r="X2897">
        <v>9</v>
      </c>
      <c r="Y2897" t="s">
        <v>21910</v>
      </c>
      <c r="Z2897" t="s">
        <v>28215</v>
      </c>
      <c r="AA2897">
        <v>0.5933523513045259</v>
      </c>
      <c r="AB2897" t="str">
        <f>HYPERLINK("Melting_Curves/meltCurve_P60763_RAC3.pdf", "Melting_Curves/meltCurve_P60763_RAC3.pdf")</f>
        <v>Melting_Curves/meltCurve_P60763_RAC3.pdf</v>
      </c>
    </row>
    <row r="2898" spans="1:28" x14ac:dyDescent="0.25">
      <c r="A2898" t="s">
        <v>2902</v>
      </c>
      <c r="B2898">
        <v>0.99542014353169495</v>
      </c>
      <c r="C2898">
        <v>0.99923459376846602</v>
      </c>
      <c r="D2898">
        <v>0.95953251490959801</v>
      </c>
      <c r="E2898">
        <v>0.86560027513631599</v>
      </c>
      <c r="F2898">
        <v>0.50922774228242695</v>
      </c>
      <c r="G2898">
        <v>0.193386575959104</v>
      </c>
      <c r="H2898">
        <v>7.5511703071497696E-2</v>
      </c>
      <c r="I2898">
        <v>4.4032463906316897E-2</v>
      </c>
      <c r="J2898">
        <v>4.1047590115210003E-2</v>
      </c>
      <c r="K2898">
        <v>4.0016057688264897E-2</v>
      </c>
      <c r="L2898">
        <v>1183.86329620368</v>
      </c>
      <c r="M2898">
        <v>23.6162438431843</v>
      </c>
      <c r="N2898">
        <v>50.274948467618202</v>
      </c>
      <c r="O2898">
        <v>49.773925993773098</v>
      </c>
      <c r="P2898">
        <v>-0.114694746230471</v>
      </c>
      <c r="Q2898">
        <v>3.3087612531923702E-2</v>
      </c>
      <c r="R2898">
        <v>0.99968075238672105</v>
      </c>
      <c r="S2898" t="s">
        <v>9300</v>
      </c>
      <c r="T2898" t="s">
        <v>12802</v>
      </c>
      <c r="U2898" t="s">
        <v>12802</v>
      </c>
      <c r="V2898" t="s">
        <v>12802</v>
      </c>
      <c r="W2898" t="s">
        <v>15652</v>
      </c>
      <c r="X2898">
        <v>32</v>
      </c>
      <c r="Y2898" t="s">
        <v>21911</v>
      </c>
      <c r="Z2898" t="s">
        <v>28216</v>
      </c>
      <c r="AA2898">
        <v>0.46567304651903491</v>
      </c>
      <c r="AB2898" t="str">
        <f>HYPERLINK("Melting_Curves/meltCurve_P60842_EIF4A1.pdf", "Melting_Curves/meltCurve_P60842_EIF4A1.pdf")</f>
        <v>Melting_Curves/meltCurve_P60842_EIF4A1.pdf</v>
      </c>
    </row>
    <row r="2899" spans="1:28" x14ac:dyDescent="0.25">
      <c r="A2899" t="s">
        <v>2903</v>
      </c>
      <c r="B2899">
        <v>0.99542014353169495</v>
      </c>
      <c r="C2899">
        <v>1.00896488937808</v>
      </c>
      <c r="D2899">
        <v>0.97044253371271405</v>
      </c>
      <c r="E2899">
        <v>0.86748646857359202</v>
      </c>
      <c r="F2899">
        <v>0.49213612850920901</v>
      </c>
      <c r="G2899">
        <v>0.328971229631003</v>
      </c>
      <c r="H2899">
        <v>0.15640439592459501</v>
      </c>
      <c r="I2899">
        <v>9.1388116717994197E-2</v>
      </c>
      <c r="J2899">
        <v>8.6288598633057698E-2</v>
      </c>
      <c r="K2899">
        <v>0.107120912213564</v>
      </c>
      <c r="L2899">
        <v>983.95412369064297</v>
      </c>
      <c r="M2899">
        <v>19.603497624832698</v>
      </c>
      <c r="N2899">
        <v>50.679666609153202</v>
      </c>
      <c r="O2899">
        <v>49.679245135136803</v>
      </c>
      <c r="P2899">
        <v>-9.0186659546060199E-2</v>
      </c>
      <c r="Q2899">
        <v>8.5827177764092905E-2</v>
      </c>
      <c r="R2899">
        <v>0.99524217215046495</v>
      </c>
      <c r="S2899" t="s">
        <v>9301</v>
      </c>
      <c r="T2899" t="s">
        <v>12802</v>
      </c>
      <c r="U2899" t="s">
        <v>12802</v>
      </c>
      <c r="V2899" t="s">
        <v>12802</v>
      </c>
      <c r="W2899" t="s">
        <v>15653</v>
      </c>
      <c r="X2899">
        <v>9</v>
      </c>
      <c r="Y2899" t="s">
        <v>21912</v>
      </c>
      <c r="Z2899" t="s">
        <v>28217</v>
      </c>
      <c r="AA2899">
        <v>0.50029751399547751</v>
      </c>
      <c r="AB2899" t="str">
        <f>HYPERLINK("Melting_Curves/meltCurve_P60866_RPS20.pdf", "Melting_Curves/meltCurve_P60866_RPS20.pdf")</f>
        <v>Melting_Curves/meltCurve_P60866_RPS20.pdf</v>
      </c>
    </row>
    <row r="2900" spans="1:28" x14ac:dyDescent="0.25">
      <c r="A2900" t="s">
        <v>2904</v>
      </c>
      <c r="B2900">
        <v>0.99542014353169495</v>
      </c>
      <c r="C2900">
        <v>1.0260411916710299</v>
      </c>
      <c r="D2900">
        <v>1.0254417465191501</v>
      </c>
      <c r="E2900">
        <v>0.93279261910225797</v>
      </c>
      <c r="F2900">
        <v>0.72697165238002903</v>
      </c>
      <c r="G2900">
        <v>0.63261102042290496</v>
      </c>
      <c r="H2900">
        <v>0.45518770403175401</v>
      </c>
      <c r="I2900">
        <v>0.370561273207763</v>
      </c>
      <c r="J2900">
        <v>0.30629122989435598</v>
      </c>
      <c r="K2900">
        <v>0.17467330332664199</v>
      </c>
      <c r="L2900">
        <v>624.06382625876995</v>
      </c>
      <c r="M2900">
        <v>11.289283543384601</v>
      </c>
      <c r="N2900">
        <v>56.570825464684901</v>
      </c>
      <c r="O2900">
        <v>53.629965794035201</v>
      </c>
      <c r="P2900">
        <v>-4.6661770008565202E-2</v>
      </c>
      <c r="Q2900">
        <v>0.11359991527962</v>
      </c>
      <c r="R2900">
        <v>0.98536407147911698</v>
      </c>
      <c r="S2900" t="s">
        <v>9302</v>
      </c>
      <c r="T2900" t="s">
        <v>12802</v>
      </c>
      <c r="U2900" t="s">
        <v>12802</v>
      </c>
      <c r="V2900" t="s">
        <v>12802</v>
      </c>
      <c r="W2900" t="s">
        <v>15654</v>
      </c>
      <c r="X2900">
        <v>15</v>
      </c>
      <c r="Y2900" t="s">
        <v>21913</v>
      </c>
      <c r="Z2900" t="s">
        <v>28218</v>
      </c>
      <c r="AA2900">
        <v>0.66471228680908867</v>
      </c>
      <c r="AB2900" t="str">
        <f>HYPERLINK("Melting_Curves/meltCurve_P60891_PRPS1.pdf", "Melting_Curves/meltCurve_P60891_PRPS1.pdf")</f>
        <v>Melting_Curves/meltCurve_P60891_PRPS1.pdf</v>
      </c>
    </row>
    <row r="2901" spans="1:28" x14ac:dyDescent="0.25">
      <c r="A2901" t="s">
        <v>2905</v>
      </c>
      <c r="B2901">
        <v>0.99542014353169495</v>
      </c>
      <c r="C2901">
        <v>0.79769533682800497</v>
      </c>
      <c r="D2901">
        <v>0.69394404651479102</v>
      </c>
      <c r="E2901">
        <v>0.57982196084797999</v>
      </c>
      <c r="F2901">
        <v>0.48188541012849401</v>
      </c>
      <c r="G2901">
        <v>0.29199164708155201</v>
      </c>
      <c r="H2901">
        <v>0.337155770455839</v>
      </c>
      <c r="I2901">
        <v>0.47843989264203102</v>
      </c>
      <c r="J2901">
        <v>0.68143631017758999</v>
      </c>
      <c r="K2901">
        <v>1.1323743882284401</v>
      </c>
      <c r="L2901">
        <v>1042.83993199887</v>
      </c>
      <c r="M2901">
        <v>25.727765704718099</v>
      </c>
      <c r="O2901">
        <v>40.291136167678502</v>
      </c>
      <c r="P2901">
        <v>-6.8610716874117794E-2</v>
      </c>
      <c r="Q2901">
        <v>0.57021217291005299</v>
      </c>
      <c r="R2901">
        <v>0.27681509619234201</v>
      </c>
      <c r="S2901" t="s">
        <v>9303</v>
      </c>
      <c r="T2901" t="s">
        <v>12802</v>
      </c>
      <c r="U2901" t="s">
        <v>12802</v>
      </c>
      <c r="V2901" t="s">
        <v>12802</v>
      </c>
      <c r="W2901" t="s">
        <v>15655</v>
      </c>
      <c r="X2901">
        <v>1</v>
      </c>
      <c r="Y2901" t="s">
        <v>21914</v>
      </c>
      <c r="Z2901" t="s">
        <v>28219</v>
      </c>
      <c r="AA2901">
        <v>0.62522747573583615</v>
      </c>
      <c r="AB2901" t="str">
        <f>HYPERLINK("Melting_Curves/meltCurve_P60896_SHFM1.pdf", "Melting_Curves/meltCurve_P60896_SHFM1.pdf")</f>
        <v>Melting_Curves/meltCurve_P60896_SHFM1.pdf</v>
      </c>
    </row>
    <row r="2902" spans="1:28" x14ac:dyDescent="0.25">
      <c r="A2902" t="s">
        <v>2906</v>
      </c>
      <c r="B2902">
        <v>0.99542014353169495</v>
      </c>
      <c r="C2902">
        <v>0.98132815769431503</v>
      </c>
      <c r="D2902">
        <v>0.96472447895657198</v>
      </c>
      <c r="E2902">
        <v>0.91699520553557601</v>
      </c>
      <c r="F2902">
        <v>0.75183967562478604</v>
      </c>
      <c r="G2902">
        <v>0.58258376141798096</v>
      </c>
      <c r="H2902">
        <v>0.47233422640653</v>
      </c>
      <c r="I2902">
        <v>0.44205463145125501</v>
      </c>
      <c r="J2902">
        <v>0.73364053289110098</v>
      </c>
      <c r="K2902">
        <v>0.62495942482726596</v>
      </c>
      <c r="L2902">
        <v>1512.5041508208701</v>
      </c>
      <c r="M2902">
        <v>30.646973793288101</v>
      </c>
      <c r="O2902">
        <v>49.143757052727402</v>
      </c>
      <c r="P2902">
        <v>-6.7657487773493993E-2</v>
      </c>
      <c r="Q2902">
        <v>0.56603549806111797</v>
      </c>
      <c r="R2902">
        <v>0.85231487454852695</v>
      </c>
      <c r="S2902" t="s">
        <v>9304</v>
      </c>
      <c r="T2902" t="s">
        <v>12802</v>
      </c>
      <c r="U2902" t="s">
        <v>12802</v>
      </c>
      <c r="V2902" t="s">
        <v>12802</v>
      </c>
      <c r="W2902" t="s">
        <v>15656</v>
      </c>
      <c r="X2902">
        <v>9</v>
      </c>
      <c r="Y2902" t="s">
        <v>21915</v>
      </c>
      <c r="Z2902" t="s">
        <v>28220</v>
      </c>
      <c r="AA2902">
        <v>0.74724445839659814</v>
      </c>
      <c r="AB2902" t="str">
        <f>HYPERLINK("Melting_Curves/meltCurve_P60953_CDC42.pdf", "Melting_Curves/meltCurve_P60953_CDC42.pdf")</f>
        <v>Melting_Curves/meltCurve_P60953_CDC42.pdf</v>
      </c>
    </row>
    <row r="2903" spans="1:28" x14ac:dyDescent="0.25">
      <c r="A2903" t="s">
        <v>2907</v>
      </c>
      <c r="B2903">
        <v>0.99542014353169495</v>
      </c>
      <c r="C2903">
        <v>0.97808876465297201</v>
      </c>
      <c r="D2903">
        <v>0.91414886000673301</v>
      </c>
      <c r="E2903">
        <v>0.85744903330299405</v>
      </c>
      <c r="F2903">
        <v>0.59679966780096805</v>
      </c>
      <c r="G2903">
        <v>0.31729646615391399</v>
      </c>
      <c r="H2903">
        <v>7.9038400147917104E-2</v>
      </c>
      <c r="I2903">
        <v>4.5096439134205801E-2</v>
      </c>
      <c r="J2903">
        <v>4.9213724779669898E-2</v>
      </c>
      <c r="K2903">
        <v>4.33111889459478E-2</v>
      </c>
      <c r="L2903">
        <v>932.78498834463596</v>
      </c>
      <c r="M2903">
        <v>18.240211808717</v>
      </c>
      <c r="N2903">
        <v>51.1879601825039</v>
      </c>
      <c r="O2903">
        <v>50.536150807222</v>
      </c>
      <c r="P2903">
        <v>-8.9456339163600407E-2</v>
      </c>
      <c r="Q2903">
        <v>8.6590239517560005E-3</v>
      </c>
      <c r="R2903">
        <v>0.99551609425180299</v>
      </c>
      <c r="S2903" t="s">
        <v>9305</v>
      </c>
      <c r="T2903" t="s">
        <v>12802</v>
      </c>
      <c r="U2903" t="s">
        <v>12802</v>
      </c>
      <c r="V2903" t="s">
        <v>12802</v>
      </c>
      <c r="W2903" t="s">
        <v>15657</v>
      </c>
      <c r="X2903">
        <v>14</v>
      </c>
      <c r="Y2903" t="s">
        <v>21916</v>
      </c>
      <c r="Z2903" t="s">
        <v>28221</v>
      </c>
      <c r="AA2903">
        <v>0.490896992371957</v>
      </c>
      <c r="AB2903" t="str">
        <f>HYPERLINK("Melting_Curves/meltCurve_P60981_DSTN.pdf", "Melting_Curves/meltCurve_P60981_DSTN.pdf")</f>
        <v>Melting_Curves/meltCurve_P60981_DSTN.pdf</v>
      </c>
    </row>
    <row r="2904" spans="1:28" x14ac:dyDescent="0.25">
      <c r="A2904" t="s">
        <v>2908</v>
      </c>
      <c r="B2904">
        <v>0.99542014353169495</v>
      </c>
      <c r="C2904">
        <v>1.0471164065760299</v>
      </c>
      <c r="D2904">
        <v>1.0077107924475299</v>
      </c>
      <c r="E2904">
        <v>0.99854558568551999</v>
      </c>
      <c r="F2904">
        <v>0.84514000189259397</v>
      </c>
      <c r="G2904">
        <v>0.705468437688484</v>
      </c>
      <c r="H2904">
        <v>0.47146959615753198</v>
      </c>
      <c r="I2904">
        <v>0.34912024513226098</v>
      </c>
      <c r="J2904">
        <v>0.27478843931616698</v>
      </c>
      <c r="K2904">
        <v>0.23496861064336899</v>
      </c>
      <c r="L2904">
        <v>918.08834820724496</v>
      </c>
      <c r="M2904">
        <v>16.599778933026698</v>
      </c>
      <c r="N2904">
        <v>57.049111262783498</v>
      </c>
      <c r="O2904">
        <v>54.523306153112998</v>
      </c>
      <c r="P2904">
        <v>-6.0986078827497903E-2</v>
      </c>
      <c r="Q2904">
        <v>0.198799696973289</v>
      </c>
      <c r="R2904">
        <v>0.99490625778127695</v>
      </c>
      <c r="S2904" t="s">
        <v>9306</v>
      </c>
      <c r="T2904" t="s">
        <v>12802</v>
      </c>
      <c r="U2904" t="s">
        <v>12802</v>
      </c>
      <c r="V2904" t="s">
        <v>12802</v>
      </c>
      <c r="W2904" t="s">
        <v>15658</v>
      </c>
      <c r="X2904">
        <v>7</v>
      </c>
      <c r="Y2904" t="s">
        <v>21917</v>
      </c>
      <c r="Z2904" t="s">
        <v>28222</v>
      </c>
      <c r="AA2904">
        <v>0.69799007179833439</v>
      </c>
      <c r="AB2904" t="str">
        <f>HYPERLINK("Melting_Curves/meltCurve_P60983_GMFB.pdf", "Melting_Curves/meltCurve_P60983_GMFB.pdf")</f>
        <v>Melting_Curves/meltCurve_P60983_GMFB.pdf</v>
      </c>
    </row>
    <row r="2905" spans="1:28" x14ac:dyDescent="0.25">
      <c r="A2905" t="s">
        <v>2909</v>
      </c>
      <c r="B2905">
        <v>0.99542014353169495</v>
      </c>
      <c r="C2905">
        <v>0.93899959642706399</v>
      </c>
      <c r="D2905">
        <v>0.91762555878789498</v>
      </c>
      <c r="E2905">
        <v>0.84168204495348897</v>
      </c>
      <c r="F2905">
        <v>0.69663783418574299</v>
      </c>
      <c r="G2905">
        <v>0.56032611275063904</v>
      </c>
      <c r="H2905">
        <v>0.43877534277596197</v>
      </c>
      <c r="I2905">
        <v>0.388920071676158</v>
      </c>
      <c r="J2905">
        <v>0.53390378325297605</v>
      </c>
      <c r="K2905">
        <v>0.38804433451229697</v>
      </c>
      <c r="L2905">
        <v>689.19370111246201</v>
      </c>
      <c r="M2905">
        <v>13.8761165941438</v>
      </c>
      <c r="N2905">
        <v>56.2532012604402</v>
      </c>
      <c r="O2905">
        <v>48.670174689784901</v>
      </c>
      <c r="P2905">
        <v>-4.2665198381362998E-2</v>
      </c>
      <c r="Q2905">
        <v>0.40149300912398</v>
      </c>
      <c r="R2905">
        <v>0.96126321987105601</v>
      </c>
      <c r="S2905" t="s">
        <v>9307</v>
      </c>
      <c r="T2905" t="s">
        <v>12802</v>
      </c>
      <c r="U2905" t="s">
        <v>12802</v>
      </c>
      <c r="V2905" t="s">
        <v>12802</v>
      </c>
      <c r="W2905" t="s">
        <v>15659</v>
      </c>
      <c r="X2905">
        <v>15</v>
      </c>
      <c r="Y2905" t="s">
        <v>21918</v>
      </c>
      <c r="Z2905" t="s">
        <v>28223</v>
      </c>
      <c r="AA2905">
        <v>0.66835934572852196</v>
      </c>
      <c r="AB2905" t="str">
        <f>HYPERLINK("Melting_Curves/meltCurve_P61006_RAB8A.pdf", "Melting_Curves/meltCurve_P61006_RAB8A.pdf")</f>
        <v>Melting_Curves/meltCurve_P61006_RAB8A.pdf</v>
      </c>
    </row>
    <row r="2906" spans="1:28" x14ac:dyDescent="0.25">
      <c r="A2906" t="s">
        <v>2910</v>
      </c>
      <c r="B2906">
        <v>0.99542014353169495</v>
      </c>
      <c r="C2906">
        <v>0.93762747936319801</v>
      </c>
      <c r="D2906">
        <v>0.94852737647208096</v>
      </c>
      <c r="E2906">
        <v>0.774696770207422</v>
      </c>
      <c r="F2906">
        <v>0.72929042911233</v>
      </c>
      <c r="G2906">
        <v>0.38013826620907498</v>
      </c>
      <c r="H2906">
        <v>0.16773852851268101</v>
      </c>
      <c r="I2906">
        <v>7.5257871645828506E-2</v>
      </c>
      <c r="J2906">
        <v>6.1245183502815E-2</v>
      </c>
      <c r="K2906">
        <v>6.8165982613582296E-2</v>
      </c>
      <c r="L2906">
        <v>780.29549407487696</v>
      </c>
      <c r="M2906">
        <v>14.958445730260699</v>
      </c>
      <c r="N2906">
        <v>52.164206277203803</v>
      </c>
      <c r="O2906">
        <v>51.258550602560902</v>
      </c>
      <c r="P2906">
        <v>-7.2963307731903695E-2</v>
      </c>
      <c r="Q2906">
        <v>0</v>
      </c>
      <c r="R2906">
        <v>0.98595168147934698</v>
      </c>
      <c r="S2906" t="s">
        <v>9308</v>
      </c>
      <c r="T2906" t="s">
        <v>12802</v>
      </c>
      <c r="U2906" t="s">
        <v>12802</v>
      </c>
      <c r="V2906" t="s">
        <v>12802</v>
      </c>
      <c r="W2906" t="s">
        <v>15660</v>
      </c>
      <c r="X2906">
        <v>5</v>
      </c>
      <c r="Y2906" t="s">
        <v>21919</v>
      </c>
      <c r="Z2906" t="s">
        <v>28224</v>
      </c>
      <c r="AA2906">
        <v>0.52447853349281826</v>
      </c>
      <c r="AB2906" t="str">
        <f>HYPERLINK("Melting_Curves/meltCurve_P61009_SPCS3.pdf", "Melting_Curves/meltCurve_P61009_SPCS3.pdf")</f>
        <v>Melting_Curves/meltCurve_P61009_SPCS3.pdf</v>
      </c>
    </row>
    <row r="2907" spans="1:28" x14ac:dyDescent="0.25">
      <c r="A2907" t="s">
        <v>2911</v>
      </c>
      <c r="B2907">
        <v>0.99542014353169495</v>
      </c>
      <c r="C2907">
        <v>0.89563579981646901</v>
      </c>
      <c r="D2907">
        <v>0.93062533778291801</v>
      </c>
      <c r="E2907">
        <v>0.71450181794534096</v>
      </c>
      <c r="F2907">
        <v>0.45270542084638299</v>
      </c>
      <c r="G2907">
        <v>0.17274781872469799</v>
      </c>
      <c r="H2907">
        <v>5.7763187716526998E-2</v>
      </c>
      <c r="I2907">
        <v>3.75114072907035E-2</v>
      </c>
      <c r="J2907">
        <v>4.7909322157457003E-2</v>
      </c>
      <c r="K2907">
        <v>3.6460593832664E-2</v>
      </c>
      <c r="L2907">
        <v>839.46614808308902</v>
      </c>
      <c r="M2907">
        <v>17.067693722958001</v>
      </c>
      <c r="N2907">
        <v>49.237513557659298</v>
      </c>
      <c r="O2907">
        <v>48.524204254102202</v>
      </c>
      <c r="P2907">
        <v>-8.7138868641751299E-2</v>
      </c>
      <c r="Q2907">
        <v>9.1017352500893205E-3</v>
      </c>
      <c r="R2907">
        <v>0.99291753823916196</v>
      </c>
      <c r="S2907" t="s">
        <v>9309</v>
      </c>
      <c r="T2907" t="s">
        <v>12802</v>
      </c>
      <c r="U2907" t="s">
        <v>12802</v>
      </c>
      <c r="V2907" t="s">
        <v>12802</v>
      </c>
      <c r="W2907" t="s">
        <v>15661</v>
      </c>
      <c r="X2907">
        <v>19</v>
      </c>
      <c r="Y2907" t="s">
        <v>21920</v>
      </c>
      <c r="Z2907" t="s">
        <v>28225</v>
      </c>
      <c r="AA2907">
        <v>0.42877951633687073</v>
      </c>
      <c r="AB2907" t="str">
        <f>HYPERLINK("Melting_Curves/meltCurve_P61011_SRP54.pdf", "Melting_Curves/meltCurve_P61011_SRP54.pdf")</f>
        <v>Melting_Curves/meltCurve_P61011_SRP54.pdf</v>
      </c>
    </row>
    <row r="2908" spans="1:28" x14ac:dyDescent="0.25">
      <c r="A2908" t="s">
        <v>2912</v>
      </c>
      <c r="B2908">
        <v>0.99542014353169495</v>
      </c>
      <c r="C2908">
        <v>0.97524954596749203</v>
      </c>
      <c r="D2908">
        <v>0.95854101589352902</v>
      </c>
      <c r="E2908">
        <v>0.90182269432796003</v>
      </c>
      <c r="F2908">
        <v>0.78084367560469303</v>
      </c>
      <c r="G2908">
        <v>0.64102202846280198</v>
      </c>
      <c r="H2908">
        <v>0.55234562932982001</v>
      </c>
      <c r="I2908">
        <v>0.52906031944184995</v>
      </c>
      <c r="J2908">
        <v>0.79329033556343698</v>
      </c>
      <c r="K2908">
        <v>0.61212057528532604</v>
      </c>
      <c r="L2908">
        <v>1208.32094332764</v>
      </c>
      <c r="M2908">
        <v>24.6942250316215</v>
      </c>
      <c r="O2908">
        <v>48.613822144759602</v>
      </c>
      <c r="P2908">
        <v>-4.8373441784360698E-2</v>
      </c>
      <c r="Q2908">
        <v>0.61908754086520401</v>
      </c>
      <c r="R2908">
        <v>0.83937643092346403</v>
      </c>
      <c r="S2908" t="s">
        <v>9310</v>
      </c>
      <c r="T2908" t="s">
        <v>12802</v>
      </c>
      <c r="U2908" t="s">
        <v>12802</v>
      </c>
      <c r="V2908" t="s">
        <v>12802</v>
      </c>
      <c r="W2908" t="s">
        <v>15662</v>
      </c>
      <c r="X2908">
        <v>17</v>
      </c>
      <c r="Y2908" t="s">
        <v>21921</v>
      </c>
      <c r="Z2908" t="s">
        <v>28226</v>
      </c>
      <c r="AA2908">
        <v>0.77394864920511863</v>
      </c>
      <c r="AB2908" t="str">
        <f>HYPERLINK("Melting_Curves/meltCurve_P61019_RAB2A.pdf", "Melting_Curves/meltCurve_P61019_RAB2A.pdf")</f>
        <v>Melting_Curves/meltCurve_P61019_RAB2A.pdf</v>
      </c>
    </row>
    <row r="2909" spans="1:28" x14ac:dyDescent="0.25">
      <c r="A2909" t="s">
        <v>2913</v>
      </c>
      <c r="B2909">
        <v>0.99542014353169495</v>
      </c>
      <c r="C2909">
        <v>1.0829847324945501</v>
      </c>
      <c r="D2909">
        <v>0.94610174601357599</v>
      </c>
      <c r="E2909">
        <v>0.95759334516084504</v>
      </c>
      <c r="F2909">
        <v>0.81631312804487899</v>
      </c>
      <c r="G2909">
        <v>0.70772690034353403</v>
      </c>
      <c r="H2909">
        <v>0.51288144245174505</v>
      </c>
      <c r="I2909">
        <v>0.47366493745344301</v>
      </c>
      <c r="J2909">
        <v>0.63257008556314898</v>
      </c>
      <c r="K2909">
        <v>0.59709828633695305</v>
      </c>
      <c r="L2909">
        <v>1245.44426573345</v>
      </c>
      <c r="M2909">
        <v>24.3349742520193</v>
      </c>
      <c r="O2909">
        <v>50.837345789428397</v>
      </c>
      <c r="P2909">
        <v>-5.3506905691929403E-2</v>
      </c>
      <c r="Q2909">
        <v>0.55288912028127102</v>
      </c>
      <c r="R2909">
        <v>0.92349051619261302</v>
      </c>
      <c r="S2909" t="s">
        <v>9311</v>
      </c>
      <c r="T2909" t="s">
        <v>12802</v>
      </c>
      <c r="U2909" t="s">
        <v>12802</v>
      </c>
      <c r="V2909" t="s">
        <v>12802</v>
      </c>
      <c r="W2909" t="s">
        <v>15663</v>
      </c>
      <c r="X2909">
        <v>6</v>
      </c>
      <c r="Y2909" t="s">
        <v>21922</v>
      </c>
      <c r="Z2909" t="s">
        <v>28227</v>
      </c>
      <c r="AA2909">
        <v>0.76836128475382026</v>
      </c>
      <c r="AB2909" t="str">
        <f>HYPERLINK("Melting_Curves/meltCurve_P61020_RAB5B.pdf", "Melting_Curves/meltCurve_P61020_RAB5B.pdf")</f>
        <v>Melting_Curves/meltCurve_P61020_RAB5B.pdf</v>
      </c>
    </row>
    <row r="2910" spans="1:28" x14ac:dyDescent="0.25">
      <c r="A2910" t="s">
        <v>2914</v>
      </c>
      <c r="B2910">
        <v>0.99542014353169495</v>
      </c>
      <c r="C2910">
        <v>0.98868328756056001</v>
      </c>
      <c r="D2910">
        <v>0.94446876168160099</v>
      </c>
      <c r="E2910">
        <v>0.84100409954345301</v>
      </c>
      <c r="F2910">
        <v>0.73918920130415</v>
      </c>
      <c r="G2910">
        <v>0.56597775120849603</v>
      </c>
      <c r="H2910">
        <v>0.45299218115728701</v>
      </c>
      <c r="I2910">
        <v>0.426233674504295</v>
      </c>
      <c r="J2910">
        <v>0.62786955947263001</v>
      </c>
      <c r="K2910">
        <v>0.59325854622023999</v>
      </c>
      <c r="L2910">
        <v>998.39655836037502</v>
      </c>
      <c r="M2910">
        <v>20.517079462468701</v>
      </c>
      <c r="O2910">
        <v>48.206522772776999</v>
      </c>
      <c r="P2910">
        <v>-5.0940632333092498E-2</v>
      </c>
      <c r="Q2910">
        <v>0.52125769570656899</v>
      </c>
      <c r="R2910">
        <v>0.90955893359580697</v>
      </c>
      <c r="S2910" t="s">
        <v>9312</v>
      </c>
      <c r="T2910" t="s">
        <v>12802</v>
      </c>
      <c r="U2910" t="s">
        <v>12802</v>
      </c>
      <c r="V2910" t="s">
        <v>12802</v>
      </c>
      <c r="W2910" t="s">
        <v>15664</v>
      </c>
      <c r="X2910">
        <v>15</v>
      </c>
      <c r="Y2910" t="s">
        <v>21923</v>
      </c>
      <c r="Z2910" t="s">
        <v>28228</v>
      </c>
      <c r="AA2910">
        <v>0.71336789898495445</v>
      </c>
      <c r="AB2910" t="str">
        <f>HYPERLINK("Melting_Curves/meltCurve_P61026_RAB10.pdf", "Melting_Curves/meltCurve_P61026_RAB10.pdf")</f>
        <v>Melting_Curves/meltCurve_P61026_RAB10.pdf</v>
      </c>
    </row>
    <row r="2911" spans="1:28" x14ac:dyDescent="0.25">
      <c r="A2911" t="s">
        <v>2915</v>
      </c>
      <c r="B2911">
        <v>0.99542014353169495</v>
      </c>
      <c r="C2911">
        <v>0.97961457878131697</v>
      </c>
      <c r="D2911">
        <v>0.96444505643799605</v>
      </c>
      <c r="E2911">
        <v>1.0486815408608801</v>
      </c>
      <c r="F2911">
        <v>0.52804757498546695</v>
      </c>
      <c r="G2911">
        <v>0.27542392508091801</v>
      </c>
      <c r="H2911">
        <v>0.12707626427969901</v>
      </c>
      <c r="I2911">
        <v>7.0328107955227606E-2</v>
      </c>
      <c r="J2911">
        <v>7.5112010044355595E-2</v>
      </c>
      <c r="K2911">
        <v>8.11812169641946E-2</v>
      </c>
      <c r="L2911">
        <v>1580.5241586346799</v>
      </c>
      <c r="M2911">
        <v>31.3027457956021</v>
      </c>
      <c r="N2911">
        <v>50.820896890832103</v>
      </c>
      <c r="O2911">
        <v>50.286825374130402</v>
      </c>
      <c r="P2911">
        <v>-0.141335219042414</v>
      </c>
      <c r="Q2911">
        <v>9.1803598674386505E-2</v>
      </c>
      <c r="R2911">
        <v>0.986579415374367</v>
      </c>
      <c r="S2911" t="s">
        <v>9313</v>
      </c>
      <c r="T2911" t="s">
        <v>12802</v>
      </c>
      <c r="U2911" t="s">
        <v>12802</v>
      </c>
      <c r="V2911" t="s">
        <v>12802</v>
      </c>
      <c r="W2911" t="s">
        <v>15665</v>
      </c>
      <c r="X2911">
        <v>4</v>
      </c>
      <c r="Y2911" t="s">
        <v>21924</v>
      </c>
      <c r="Z2911" t="s">
        <v>28229</v>
      </c>
      <c r="AA2911">
        <v>0.50540113003750653</v>
      </c>
      <c r="AB2911" t="str">
        <f>HYPERLINK("Melting_Curves/meltCurve_P61077_UBE2D3.pdf", "Melting_Curves/meltCurve_P61077_UBE2D3.pdf")</f>
        <v>Melting_Curves/meltCurve_P61077_UBE2D3.pdf</v>
      </c>
    </row>
    <row r="2912" spans="1:28" x14ac:dyDescent="0.25">
      <c r="A2912" t="s">
        <v>2916</v>
      </c>
      <c r="B2912">
        <v>0.99542014353169495</v>
      </c>
      <c r="C2912">
        <v>0.98148283073161302</v>
      </c>
      <c r="D2912">
        <v>0.87255692054364897</v>
      </c>
      <c r="E2912">
        <v>0.84225180189741</v>
      </c>
      <c r="F2912">
        <v>0.50621156770928499</v>
      </c>
      <c r="G2912">
        <v>0.14204667574867699</v>
      </c>
      <c r="H2912">
        <v>6.7640112691016302E-2</v>
      </c>
      <c r="I2912">
        <v>3.65620354335656E-2</v>
      </c>
      <c r="J2912">
        <v>3.7543571910385501E-2</v>
      </c>
      <c r="K2912">
        <v>3.4700247443227798E-2</v>
      </c>
      <c r="L2912">
        <v>1115.26371681912</v>
      </c>
      <c r="M2912">
        <v>22.3468852257772</v>
      </c>
      <c r="N2912">
        <v>49.9978335454283</v>
      </c>
      <c r="O2912">
        <v>49.512404919047803</v>
      </c>
      <c r="P2912">
        <v>-0.11059002339894</v>
      </c>
      <c r="Q2912">
        <v>1.9914744503521299E-2</v>
      </c>
      <c r="R2912">
        <v>0.99209394876936796</v>
      </c>
      <c r="S2912" t="s">
        <v>9314</v>
      </c>
      <c r="T2912" t="s">
        <v>12802</v>
      </c>
      <c r="U2912" t="s">
        <v>12802</v>
      </c>
      <c r="V2912" t="s">
        <v>12802</v>
      </c>
      <c r="W2912" t="s">
        <v>15666</v>
      </c>
      <c r="X2912">
        <v>9</v>
      </c>
      <c r="Y2912" t="s">
        <v>21925</v>
      </c>
      <c r="Z2912" t="s">
        <v>28230</v>
      </c>
      <c r="AA2912">
        <v>0.45214730091578542</v>
      </c>
      <c r="AB2912" t="str">
        <f>HYPERLINK("Melting_Curves/meltCurve_P61081_UBE2M.pdf", "Melting_Curves/meltCurve_P61081_UBE2M.pdf")</f>
        <v>Melting_Curves/meltCurve_P61081_UBE2M.pdf</v>
      </c>
    </row>
    <row r="2913" spans="1:28" x14ac:dyDescent="0.25">
      <c r="A2913" t="s">
        <v>2917</v>
      </c>
      <c r="B2913">
        <v>0.99542014353169495</v>
      </c>
      <c r="C2913">
        <v>1.03507671122622</v>
      </c>
      <c r="D2913">
        <v>0.98198310364533004</v>
      </c>
      <c r="E2913">
        <v>0.99415254884480297</v>
      </c>
      <c r="F2913">
        <v>0.75827399061166401</v>
      </c>
      <c r="G2913">
        <v>0.463638369207172</v>
      </c>
      <c r="H2913">
        <v>0.121538446956295</v>
      </c>
      <c r="I2913">
        <v>7.5783879323057204E-2</v>
      </c>
      <c r="J2913">
        <v>7.4892141941549695E-2</v>
      </c>
      <c r="K2913">
        <v>7.4523072789823702E-2</v>
      </c>
      <c r="L2913">
        <v>1303.3703092431499</v>
      </c>
      <c r="M2913">
        <v>24.676489461591</v>
      </c>
      <c r="N2913">
        <v>53.050741393131403</v>
      </c>
      <c r="O2913">
        <v>52.475096276837498</v>
      </c>
      <c r="P2913">
        <v>-0.111540825112904</v>
      </c>
      <c r="Q2913">
        <v>5.1237388957002999E-2</v>
      </c>
      <c r="R2913">
        <v>0.99530894369997103</v>
      </c>
      <c r="S2913" t="s">
        <v>9315</v>
      </c>
      <c r="T2913" t="s">
        <v>12802</v>
      </c>
      <c r="U2913" t="s">
        <v>12802</v>
      </c>
      <c r="V2913" t="s">
        <v>12802</v>
      </c>
      <c r="W2913" t="s">
        <v>15667</v>
      </c>
      <c r="X2913">
        <v>13</v>
      </c>
      <c r="Y2913" t="s">
        <v>21926</v>
      </c>
      <c r="Z2913" t="s">
        <v>28231</v>
      </c>
      <c r="AA2913">
        <v>0.56008209526907182</v>
      </c>
      <c r="AB2913" t="str">
        <f>HYPERLINK("Melting_Curves/meltCurve_P61086_UBE2K.pdf", "Melting_Curves/meltCurve_P61086_UBE2K.pdf")</f>
        <v>Melting_Curves/meltCurve_P61086_UBE2K.pdf</v>
      </c>
    </row>
    <row r="2914" spans="1:28" x14ac:dyDescent="0.25">
      <c r="A2914" t="s">
        <v>2918</v>
      </c>
      <c r="B2914">
        <v>0.99542014353169495</v>
      </c>
      <c r="C2914">
        <v>1.0309641788953301</v>
      </c>
      <c r="D2914">
        <v>0.93796713512465502</v>
      </c>
      <c r="E2914">
        <v>0.97294417439735104</v>
      </c>
      <c r="F2914">
        <v>0.65390886167601803</v>
      </c>
      <c r="G2914">
        <v>0.33727134750763998</v>
      </c>
      <c r="H2914">
        <v>9.17470111740121E-2</v>
      </c>
      <c r="I2914">
        <v>5.9320975454075497E-2</v>
      </c>
      <c r="J2914">
        <v>6.4563719145462703E-2</v>
      </c>
      <c r="K2914">
        <v>6.8657861694934902E-2</v>
      </c>
      <c r="L2914">
        <v>1259.7198971549701</v>
      </c>
      <c r="M2914">
        <v>24.4132894698418</v>
      </c>
      <c r="N2914">
        <v>51.818878838565702</v>
      </c>
      <c r="O2914">
        <v>51.2573062563051</v>
      </c>
      <c r="P2914">
        <v>-0.11323408583804701</v>
      </c>
      <c r="Q2914">
        <v>4.9044850559567497E-2</v>
      </c>
      <c r="R2914">
        <v>0.99499774139289598</v>
      </c>
      <c r="S2914" t="s">
        <v>9316</v>
      </c>
      <c r="T2914" t="s">
        <v>12802</v>
      </c>
      <c r="U2914" t="s">
        <v>12802</v>
      </c>
      <c r="V2914" t="s">
        <v>12802</v>
      </c>
      <c r="W2914" t="s">
        <v>15668</v>
      </c>
      <c r="X2914">
        <v>13</v>
      </c>
      <c r="Y2914" t="s">
        <v>21927</v>
      </c>
      <c r="Z2914" t="s">
        <v>28232</v>
      </c>
      <c r="AA2914">
        <v>0.52062236927301886</v>
      </c>
      <c r="AB2914" t="str">
        <f>HYPERLINK("Melting_Curves/meltCurve_P61088_UBE2N.pdf", "Melting_Curves/meltCurve_P61088_UBE2N.pdf")</f>
        <v>Melting_Curves/meltCurve_P61088_UBE2N.pdf</v>
      </c>
    </row>
    <row r="2915" spans="1:28" x14ac:dyDescent="0.25">
      <c r="A2915" t="s">
        <v>2919</v>
      </c>
      <c r="B2915">
        <v>0.99542014353169495</v>
      </c>
      <c r="C2915">
        <v>0.99495487031179397</v>
      </c>
      <c r="D2915">
        <v>0.95913952119799695</v>
      </c>
      <c r="E2915">
        <v>0.88376403824052296</v>
      </c>
      <c r="F2915">
        <v>0.76525445566221195</v>
      </c>
      <c r="G2915">
        <v>0.61305699565885896</v>
      </c>
      <c r="H2915">
        <v>0.48494957719279203</v>
      </c>
      <c r="I2915">
        <v>0.41731552391987198</v>
      </c>
      <c r="J2915">
        <v>0.456814789448515</v>
      </c>
      <c r="K2915">
        <v>0.24350476318179901</v>
      </c>
      <c r="L2915">
        <v>555.81428897083504</v>
      </c>
      <c r="M2915">
        <v>10.2488976150733</v>
      </c>
      <c r="N2915">
        <v>57.5831671509956</v>
      </c>
      <c r="O2915">
        <v>52.288623501707001</v>
      </c>
      <c r="P2915">
        <v>-3.8010752880699002E-2</v>
      </c>
      <c r="Q2915">
        <v>0.22463847570263401</v>
      </c>
      <c r="R2915">
        <v>0.97506173712083699</v>
      </c>
      <c r="S2915" t="s">
        <v>9317</v>
      </c>
      <c r="T2915" t="s">
        <v>12802</v>
      </c>
      <c r="U2915" t="s">
        <v>12802</v>
      </c>
      <c r="V2915" t="s">
        <v>12802</v>
      </c>
      <c r="W2915" t="s">
        <v>15669</v>
      </c>
      <c r="X2915">
        <v>19</v>
      </c>
      <c r="Y2915" t="s">
        <v>21928</v>
      </c>
      <c r="Z2915" t="s">
        <v>28233</v>
      </c>
      <c r="AA2915">
        <v>0.68286701973413944</v>
      </c>
      <c r="AB2915" t="str">
        <f>HYPERLINK("Melting_Curves/meltCurve_P61106_RAB14.pdf", "Melting_Curves/meltCurve_P61106_RAB14.pdf")</f>
        <v>Melting_Curves/meltCurve_P61106_RAB14.pdf</v>
      </c>
    </row>
    <row r="2916" spans="1:28" x14ac:dyDescent="0.25">
      <c r="A2916" t="s">
        <v>2920</v>
      </c>
      <c r="B2916">
        <v>0.99542014353169495</v>
      </c>
      <c r="C2916">
        <v>1.0728075911119901</v>
      </c>
      <c r="D2916">
        <v>0.71728403400983098</v>
      </c>
      <c r="E2916">
        <v>0.49845387540717301</v>
      </c>
      <c r="F2916">
        <v>0.42749496745071502</v>
      </c>
      <c r="G2916">
        <v>0.41606455335584402</v>
      </c>
      <c r="H2916">
        <v>0.21980147670765801</v>
      </c>
      <c r="I2916">
        <v>9.0307215034461097E-2</v>
      </c>
      <c r="J2916">
        <v>0.127438995507618</v>
      </c>
      <c r="K2916">
        <v>0.14841298773706399</v>
      </c>
      <c r="L2916">
        <v>543.30045195707805</v>
      </c>
      <c r="M2916">
        <v>11.4727802328051</v>
      </c>
      <c r="N2916">
        <v>48.352790183247997</v>
      </c>
      <c r="O2916">
        <v>45.985380873859697</v>
      </c>
      <c r="P2916">
        <v>-5.5817127813877702E-2</v>
      </c>
      <c r="Q2916">
        <v>0.105348202546813</v>
      </c>
      <c r="R2916">
        <v>0.94115119766343502</v>
      </c>
      <c r="S2916" t="s">
        <v>9318</v>
      </c>
      <c r="T2916" t="s">
        <v>12802</v>
      </c>
      <c r="U2916" t="s">
        <v>12802</v>
      </c>
      <c r="V2916" t="s">
        <v>12802</v>
      </c>
      <c r="W2916" t="s">
        <v>15670</v>
      </c>
      <c r="X2916">
        <v>1</v>
      </c>
      <c r="Y2916" t="s">
        <v>21929</v>
      </c>
      <c r="Z2916" t="s">
        <v>28234</v>
      </c>
      <c r="AA2916">
        <v>0.44511877846521358</v>
      </c>
      <c r="AB2916" t="str">
        <f>HYPERLINK("Melting_Curves/meltCurve_P61129_ZC3H6.pdf", "Melting_Curves/meltCurve_P61129_ZC3H6.pdf")</f>
        <v>Melting_Curves/meltCurve_P61129_ZC3H6.pdf</v>
      </c>
    </row>
    <row r="2917" spans="1:28" x14ac:dyDescent="0.25">
      <c r="A2917" t="s">
        <v>2921</v>
      </c>
      <c r="B2917">
        <v>0.99542014353169495</v>
      </c>
      <c r="C2917">
        <v>0.92897886238303296</v>
      </c>
      <c r="D2917">
        <v>1.0178699322178399</v>
      </c>
      <c r="E2917">
        <v>0.90985112929455303</v>
      </c>
      <c r="F2917">
        <v>0.76562507045514805</v>
      </c>
      <c r="G2917">
        <v>0.52088918597508704</v>
      </c>
      <c r="H2917">
        <v>0.321223891107624</v>
      </c>
      <c r="I2917">
        <v>0.19036450877684499</v>
      </c>
      <c r="J2917">
        <v>0.110651456660126</v>
      </c>
      <c r="K2917">
        <v>9.3360517502962495E-2</v>
      </c>
      <c r="L2917">
        <v>806.13424634457704</v>
      </c>
      <c r="M2917">
        <v>14.949561537784</v>
      </c>
      <c r="N2917">
        <v>54.225459260404101</v>
      </c>
      <c r="O2917">
        <v>52.986329978984003</v>
      </c>
      <c r="P2917">
        <v>-6.7725813501608695E-2</v>
      </c>
      <c r="Q2917">
        <v>3.9925236509203203E-2</v>
      </c>
      <c r="R2917">
        <v>0.99525898965785398</v>
      </c>
      <c r="S2917" t="s">
        <v>9319</v>
      </c>
      <c r="T2917" t="s">
        <v>12802</v>
      </c>
      <c r="U2917" t="s">
        <v>12802</v>
      </c>
      <c r="V2917" t="s">
        <v>12802</v>
      </c>
      <c r="W2917" t="s">
        <v>15671</v>
      </c>
      <c r="X2917">
        <v>24</v>
      </c>
      <c r="Y2917" t="s">
        <v>21930</v>
      </c>
      <c r="Z2917" t="s">
        <v>28235</v>
      </c>
      <c r="AA2917">
        <v>0.59724737515018667</v>
      </c>
      <c r="AB2917" t="str">
        <f>HYPERLINK("Melting_Curves/meltCurve_P61158_ACTR3.pdf", "Melting_Curves/meltCurve_P61158_ACTR3.pdf")</f>
        <v>Melting_Curves/meltCurve_P61158_ACTR3.pdf</v>
      </c>
    </row>
    <row r="2918" spans="1:28" x14ac:dyDescent="0.25">
      <c r="A2918" t="s">
        <v>2922</v>
      </c>
      <c r="B2918">
        <v>0.99542014353169495</v>
      </c>
      <c r="C2918">
        <v>0.93528057306346102</v>
      </c>
      <c r="D2918">
        <v>0.987157513192921</v>
      </c>
      <c r="E2918">
        <v>0.85963807018824001</v>
      </c>
      <c r="F2918">
        <v>0.672261534312113</v>
      </c>
      <c r="G2918">
        <v>0.44182279899973198</v>
      </c>
      <c r="H2918">
        <v>0.27854071710480699</v>
      </c>
      <c r="I2918">
        <v>0.15203512779912801</v>
      </c>
      <c r="J2918">
        <v>8.9407269982778995E-2</v>
      </c>
      <c r="K2918">
        <v>6.6156114004835606E-2</v>
      </c>
      <c r="L2918">
        <v>702.33034484015195</v>
      </c>
      <c r="M2918">
        <v>13.2701880688348</v>
      </c>
      <c r="N2918">
        <v>52.976128722539599</v>
      </c>
      <c r="O2918">
        <v>51.766857696605598</v>
      </c>
      <c r="P2918">
        <v>-6.3692291483937194E-2</v>
      </c>
      <c r="Q2918">
        <v>6.3103093363974403E-3</v>
      </c>
      <c r="R2918">
        <v>0.99706150884376998</v>
      </c>
      <c r="S2918" t="s">
        <v>9320</v>
      </c>
      <c r="T2918" t="s">
        <v>12802</v>
      </c>
      <c r="U2918" t="s">
        <v>12802</v>
      </c>
      <c r="V2918" t="s">
        <v>12802</v>
      </c>
      <c r="W2918" t="s">
        <v>15672</v>
      </c>
      <c r="X2918">
        <v>18</v>
      </c>
      <c r="Y2918" t="s">
        <v>21931</v>
      </c>
      <c r="Z2918" t="s">
        <v>28236</v>
      </c>
      <c r="AA2918">
        <v>0.55363727313127098</v>
      </c>
      <c r="AB2918" t="str">
        <f>HYPERLINK("Melting_Curves/meltCurve_P61160_ACTR2.pdf", "Melting_Curves/meltCurve_P61160_ACTR2.pdf")</f>
        <v>Melting_Curves/meltCurve_P61160_ACTR2.pdf</v>
      </c>
    </row>
    <row r="2919" spans="1:28" x14ac:dyDescent="0.25">
      <c r="A2919" t="s">
        <v>2923</v>
      </c>
      <c r="B2919">
        <v>0.99542014353169495</v>
      </c>
      <c r="C2919">
        <v>0.77242528297782798</v>
      </c>
      <c r="D2919">
        <v>0.864760006811647</v>
      </c>
      <c r="E2919">
        <v>0.69209407471229401</v>
      </c>
      <c r="F2919">
        <v>0.52121766879243503</v>
      </c>
      <c r="G2919">
        <v>0.39557570309986401</v>
      </c>
      <c r="H2919">
        <v>0.25556887959368202</v>
      </c>
      <c r="I2919">
        <v>0.193556956519394</v>
      </c>
      <c r="J2919">
        <v>0.115429359148823</v>
      </c>
      <c r="K2919">
        <v>6.6578953478807004E-2</v>
      </c>
      <c r="L2919">
        <v>438.83812210462997</v>
      </c>
      <c r="M2919">
        <v>8.6782048455183407</v>
      </c>
      <c r="N2919">
        <v>50.567844820786298</v>
      </c>
      <c r="O2919">
        <v>48.097919582566298</v>
      </c>
      <c r="P2919">
        <v>-4.5144553240472798E-2</v>
      </c>
      <c r="Q2919">
        <v>0</v>
      </c>
      <c r="R2919">
        <v>0.97452130496387102</v>
      </c>
      <c r="S2919" t="s">
        <v>9321</v>
      </c>
      <c r="T2919" t="s">
        <v>12802</v>
      </c>
      <c r="U2919" t="s">
        <v>12802</v>
      </c>
      <c r="V2919" t="s">
        <v>12802</v>
      </c>
      <c r="W2919" t="s">
        <v>15673</v>
      </c>
      <c r="X2919">
        <v>14</v>
      </c>
      <c r="Y2919" t="s">
        <v>21932</v>
      </c>
      <c r="Z2919" t="s">
        <v>28237</v>
      </c>
      <c r="AA2919">
        <v>0.48784870755630361</v>
      </c>
      <c r="AB2919" t="str">
        <f>HYPERLINK("Melting_Curves/meltCurve_P61163_ACTR1A.pdf", "Melting_Curves/meltCurve_P61163_ACTR1A.pdf")</f>
        <v>Melting_Curves/meltCurve_P61163_ACTR1A.pdf</v>
      </c>
    </row>
    <row r="2920" spans="1:28" x14ac:dyDescent="0.25">
      <c r="A2920" t="s">
        <v>2924</v>
      </c>
      <c r="B2920">
        <v>0.99542014353169495</v>
      </c>
      <c r="C2920">
        <v>0.92276545550302802</v>
      </c>
      <c r="D2920">
        <v>0.99051034609612498</v>
      </c>
      <c r="E2920">
        <v>0.85423471063022305</v>
      </c>
      <c r="F2920">
        <v>0.67197455765842695</v>
      </c>
      <c r="G2920">
        <v>0.34412924391814498</v>
      </c>
      <c r="H2920">
        <v>0.13052149867016699</v>
      </c>
      <c r="I2920">
        <v>8.6094696179389696E-2</v>
      </c>
      <c r="J2920">
        <v>7.6202059950399595E-2</v>
      </c>
      <c r="K2920">
        <v>8.3812032902744402E-2</v>
      </c>
      <c r="L2920">
        <v>1010.1444678430699</v>
      </c>
      <c r="M2920">
        <v>19.607677773125701</v>
      </c>
      <c r="N2920">
        <v>51.803050939446202</v>
      </c>
      <c r="O2920">
        <v>50.990913079624903</v>
      </c>
      <c r="P2920">
        <v>-9.12171253220012E-2</v>
      </c>
      <c r="Q2920">
        <v>5.1171488517355097E-2</v>
      </c>
      <c r="R2920">
        <v>0.99362279530208597</v>
      </c>
      <c r="S2920" t="s">
        <v>9322</v>
      </c>
      <c r="T2920" t="s">
        <v>12802</v>
      </c>
      <c r="U2920" t="s">
        <v>12802</v>
      </c>
      <c r="V2920" t="s">
        <v>12802</v>
      </c>
      <c r="W2920" t="s">
        <v>15674</v>
      </c>
      <c r="X2920">
        <v>19</v>
      </c>
      <c r="Y2920" t="s">
        <v>21933</v>
      </c>
      <c r="Z2920" t="s">
        <v>28238</v>
      </c>
      <c r="AA2920">
        <v>0.52308305607404304</v>
      </c>
      <c r="AB2920" t="str">
        <f>HYPERLINK("Melting_Curves/meltCurve_P61201_COPS2.pdf", "Melting_Curves/meltCurve_P61201_COPS2.pdf")</f>
        <v>Melting_Curves/meltCurve_P61201_COPS2.pdf</v>
      </c>
    </row>
    <row r="2921" spans="1:28" x14ac:dyDescent="0.25">
      <c r="A2921" t="s">
        <v>2925</v>
      </c>
      <c r="B2921">
        <v>0.99542014353169495</v>
      </c>
      <c r="C2921">
        <v>0.84944675160657002</v>
      </c>
      <c r="D2921">
        <v>0.824521834285737</v>
      </c>
      <c r="E2921">
        <v>0.70976204844579804</v>
      </c>
      <c r="F2921">
        <v>0.54978249561429104</v>
      </c>
      <c r="G2921">
        <v>0.52850699706788895</v>
      </c>
      <c r="H2921">
        <v>0.34400896786706697</v>
      </c>
      <c r="I2921">
        <v>0.33643135428503701</v>
      </c>
      <c r="J2921">
        <v>0.48483362007177599</v>
      </c>
      <c r="K2921">
        <v>0.45699900513949998</v>
      </c>
      <c r="L2921">
        <v>538.62430665997795</v>
      </c>
      <c r="M2921">
        <v>11.6851429189116</v>
      </c>
      <c r="N2921">
        <v>52.845234414902997</v>
      </c>
      <c r="O2921">
        <v>44.806887229877503</v>
      </c>
      <c r="P2921">
        <v>-3.99366554620086E-2</v>
      </c>
      <c r="Q2921">
        <v>0.38761237416950001</v>
      </c>
      <c r="R2921">
        <v>0.92585022898677305</v>
      </c>
      <c r="S2921" t="s">
        <v>9323</v>
      </c>
      <c r="T2921" t="s">
        <v>12802</v>
      </c>
      <c r="U2921" t="s">
        <v>12802</v>
      </c>
      <c r="V2921" t="s">
        <v>12802</v>
      </c>
      <c r="W2921" t="s">
        <v>15675</v>
      </c>
      <c r="X2921">
        <v>3</v>
      </c>
      <c r="Y2921" t="s">
        <v>21934</v>
      </c>
      <c r="Z2921" t="s">
        <v>28239</v>
      </c>
      <c r="AA2921">
        <v>0.5952500138074146</v>
      </c>
      <c r="AB2921" t="str">
        <f>HYPERLINK("Melting_Curves/meltCurve_P61218_POLR2F.pdf", "Melting_Curves/meltCurve_P61218_POLR2F.pdf")</f>
        <v>Melting_Curves/meltCurve_P61218_POLR2F.pdf</v>
      </c>
    </row>
    <row r="2922" spans="1:28" x14ac:dyDescent="0.25">
      <c r="A2922" t="s">
        <v>2926</v>
      </c>
      <c r="B2922">
        <v>0.99542014353169495</v>
      </c>
      <c r="C2922">
        <v>0.98131815869239702</v>
      </c>
      <c r="D2922">
        <v>0.94315902529529305</v>
      </c>
      <c r="E2922">
        <v>0.89301057591319</v>
      </c>
      <c r="F2922">
        <v>0.74659638437903297</v>
      </c>
      <c r="G2922">
        <v>0.65829380004326599</v>
      </c>
      <c r="H2922">
        <v>0.51400392106357595</v>
      </c>
      <c r="I2922">
        <v>0.458548752934546</v>
      </c>
      <c r="J2922">
        <v>0.45137148428275498</v>
      </c>
      <c r="K2922">
        <v>0.14580100656186301</v>
      </c>
      <c r="L2922">
        <v>451.90173370826602</v>
      </c>
      <c r="M2922">
        <v>7.7295254643476703</v>
      </c>
      <c r="N2922">
        <v>58.4643552568063</v>
      </c>
      <c r="O2922">
        <v>54.937534014439599</v>
      </c>
      <c r="P2922">
        <v>-3.5219392155816702E-2</v>
      </c>
      <c r="Q2922">
        <v>0</v>
      </c>
      <c r="R2922">
        <v>0.95492519043131796</v>
      </c>
      <c r="S2922" t="s">
        <v>9324</v>
      </c>
      <c r="T2922" t="s">
        <v>12802</v>
      </c>
      <c r="U2922" t="s">
        <v>12802</v>
      </c>
      <c r="V2922" t="s">
        <v>12802</v>
      </c>
      <c r="W2922" t="s">
        <v>15676</v>
      </c>
      <c r="X2922">
        <v>37</v>
      </c>
      <c r="Y2922" t="s">
        <v>21935</v>
      </c>
      <c r="Z2922" t="s">
        <v>28240</v>
      </c>
      <c r="AA2922">
        <v>0.6872806838981913</v>
      </c>
      <c r="AB2922" t="str">
        <f>HYPERLINK("Melting_Curves/meltCurve_P61221_ABCE1.pdf", "Melting_Curves/meltCurve_P61221_ABCE1.pdf")</f>
        <v>Melting_Curves/meltCurve_P61221_ABCE1.pdf</v>
      </c>
    </row>
    <row r="2923" spans="1:28" x14ac:dyDescent="0.25">
      <c r="A2923" t="s">
        <v>2927</v>
      </c>
      <c r="B2923">
        <v>0.99542014353169495</v>
      </c>
      <c r="C2923">
        <v>0.96311468758554997</v>
      </c>
      <c r="D2923">
        <v>0.91138860437972302</v>
      </c>
      <c r="E2923">
        <v>0.86568419132536101</v>
      </c>
      <c r="F2923">
        <v>0.772933178310236</v>
      </c>
      <c r="G2923">
        <v>0.64347274793281395</v>
      </c>
      <c r="H2923">
        <v>0.54731842082952298</v>
      </c>
      <c r="I2923">
        <v>0.55652600360274895</v>
      </c>
      <c r="J2923">
        <v>0.84248525531560003</v>
      </c>
      <c r="K2923">
        <v>0.92534591889052598</v>
      </c>
      <c r="L2923">
        <v>995.26446268335997</v>
      </c>
      <c r="M2923">
        <v>21.664155803726999</v>
      </c>
      <c r="O2923">
        <v>45.554543297374501</v>
      </c>
      <c r="P2923">
        <v>-3.4792402584942601E-2</v>
      </c>
      <c r="Q2923">
        <v>0.70736651631549297</v>
      </c>
      <c r="R2923">
        <v>0.49491283451495499</v>
      </c>
      <c r="S2923" t="s">
        <v>9325</v>
      </c>
      <c r="T2923" t="s">
        <v>12802</v>
      </c>
      <c r="U2923" t="s">
        <v>12802</v>
      </c>
      <c r="V2923" t="s">
        <v>12802</v>
      </c>
      <c r="W2923" t="s">
        <v>15677</v>
      </c>
      <c r="X2923">
        <v>16</v>
      </c>
      <c r="Y2923" t="s">
        <v>19785</v>
      </c>
      <c r="Z2923" t="s">
        <v>28241</v>
      </c>
      <c r="AA2923">
        <v>0.79782754443826331</v>
      </c>
      <c r="AB2923" t="str">
        <f>HYPERLINK("Melting_Curves/meltCurve_P61224_RAP1B.pdf", "Melting_Curves/meltCurve_P61224_RAP1B.pdf")</f>
        <v>Melting_Curves/meltCurve_P61224_RAP1B.pdf</v>
      </c>
    </row>
    <row r="2924" spans="1:28" x14ac:dyDescent="0.25">
      <c r="A2924" t="s">
        <v>2928</v>
      </c>
      <c r="B2924">
        <v>0.99542014353169495</v>
      </c>
      <c r="C2924">
        <v>0.96091434305580603</v>
      </c>
      <c r="D2924">
        <v>0.90686363329207198</v>
      </c>
      <c r="E2924">
        <v>0.81588339664217102</v>
      </c>
      <c r="F2924">
        <v>0.735921696096277</v>
      </c>
      <c r="G2924">
        <v>0.58026775146689702</v>
      </c>
      <c r="H2924">
        <v>0.46105246959407598</v>
      </c>
      <c r="I2924">
        <v>0.40080958773589498</v>
      </c>
      <c r="J2924">
        <v>0.51978520798948902</v>
      </c>
      <c r="K2924">
        <v>0.388258005130237</v>
      </c>
      <c r="L2924">
        <v>587.54690831151299</v>
      </c>
      <c r="M2924">
        <v>11.673760809865501</v>
      </c>
      <c r="N2924">
        <v>57.3909214673604</v>
      </c>
      <c r="O2924">
        <v>48.921682216637898</v>
      </c>
      <c r="P2924">
        <v>-3.6931967713439602E-2</v>
      </c>
      <c r="Q2924">
        <v>0.381077084749679</v>
      </c>
      <c r="R2924">
        <v>0.96889260698645696</v>
      </c>
      <c r="S2924" t="s">
        <v>9326</v>
      </c>
      <c r="T2924" t="s">
        <v>12802</v>
      </c>
      <c r="U2924" t="s">
        <v>12802</v>
      </c>
      <c r="V2924" t="s">
        <v>12802</v>
      </c>
      <c r="W2924" t="s">
        <v>15678</v>
      </c>
      <c r="X2924">
        <v>8</v>
      </c>
      <c r="Y2924" t="s">
        <v>21936</v>
      </c>
      <c r="Z2924" t="s">
        <v>28242</v>
      </c>
      <c r="AA2924">
        <v>0.67355891413419955</v>
      </c>
      <c r="AB2924" t="str">
        <f>HYPERLINK("Melting_Curves/meltCurve_P61225_RAP2B.pdf", "Melting_Curves/meltCurve_P61225_RAP2B.pdf")</f>
        <v>Melting_Curves/meltCurve_P61225_RAP2B.pdf</v>
      </c>
    </row>
    <row r="2925" spans="1:28" x14ac:dyDescent="0.25">
      <c r="A2925" t="s">
        <v>2929</v>
      </c>
      <c r="B2925">
        <v>0.99542014353169495</v>
      </c>
      <c r="C2925">
        <v>1.10950231963196</v>
      </c>
      <c r="D2925">
        <v>1.04497624459709</v>
      </c>
      <c r="E2925">
        <v>0.98965076892666903</v>
      </c>
      <c r="F2925">
        <v>0.84431325436272397</v>
      </c>
      <c r="G2925">
        <v>0.57723538445198197</v>
      </c>
      <c r="H2925">
        <v>0.40130014782263002</v>
      </c>
      <c r="I2925">
        <v>0.31161119766502399</v>
      </c>
      <c r="J2925">
        <v>0.37664477657029399</v>
      </c>
      <c r="K2925">
        <v>0.41113651410702001</v>
      </c>
      <c r="L2925">
        <v>1526.5320347480099</v>
      </c>
      <c r="M2925">
        <v>29.162186472213499</v>
      </c>
      <c r="N2925">
        <v>54.772098574236999</v>
      </c>
      <c r="O2925">
        <v>52.101984766338802</v>
      </c>
      <c r="P2925">
        <v>-8.9193689987590793E-2</v>
      </c>
      <c r="Q2925">
        <v>0.36258080046318603</v>
      </c>
      <c r="R2925">
        <v>0.97747736292271403</v>
      </c>
      <c r="S2925" t="s">
        <v>9327</v>
      </c>
      <c r="T2925" t="s">
        <v>12802</v>
      </c>
      <c r="U2925" t="s">
        <v>12802</v>
      </c>
      <c r="V2925" t="s">
        <v>12802</v>
      </c>
      <c r="W2925" t="s">
        <v>15679</v>
      </c>
      <c r="X2925">
        <v>7</v>
      </c>
      <c r="Y2925" t="s">
        <v>21937</v>
      </c>
      <c r="Z2925" t="s">
        <v>28243</v>
      </c>
      <c r="AA2925">
        <v>0.69290645691415131</v>
      </c>
      <c r="AB2925" t="str">
        <f>HYPERLINK("Melting_Curves/meltCurve_P61244_2_MAX.pdf", "Melting_Curves/meltCurve_P61244_2_MAX.pdf")</f>
        <v>Melting_Curves/meltCurve_P61244_2_MAX.pdf</v>
      </c>
    </row>
    <row r="2926" spans="1:28" x14ac:dyDescent="0.25">
      <c r="A2926" t="s">
        <v>2930</v>
      </c>
      <c r="B2926">
        <v>0.99542014353169495</v>
      </c>
      <c r="C2926">
        <v>0.96796806573730199</v>
      </c>
      <c r="D2926">
        <v>0.96953538703197595</v>
      </c>
      <c r="E2926">
        <v>0.77564032272625505</v>
      </c>
      <c r="F2926">
        <v>0.47689598951665901</v>
      </c>
      <c r="G2926">
        <v>0.22107332619520501</v>
      </c>
      <c r="H2926">
        <v>0.15193042045073599</v>
      </c>
      <c r="I2926">
        <v>6.8800302079783798E-2</v>
      </c>
      <c r="J2926">
        <v>6.7124503110502595E-2</v>
      </c>
      <c r="K2926">
        <v>7.0571838079421301E-2</v>
      </c>
      <c r="L2926">
        <v>935.608679272318</v>
      </c>
      <c r="M2926">
        <v>18.877909928981602</v>
      </c>
      <c r="N2926">
        <v>49.893544517584701</v>
      </c>
      <c r="O2926">
        <v>49.0149398947596</v>
      </c>
      <c r="P2926">
        <v>-9.0598789298683896E-2</v>
      </c>
      <c r="Q2926">
        <v>5.9109277661474703E-2</v>
      </c>
      <c r="R2926">
        <v>0.99860870319944195</v>
      </c>
      <c r="S2926" t="s">
        <v>9328</v>
      </c>
      <c r="T2926" t="s">
        <v>12802</v>
      </c>
      <c r="U2926" t="s">
        <v>12802</v>
      </c>
      <c r="V2926" t="s">
        <v>12802</v>
      </c>
      <c r="W2926" t="s">
        <v>15680</v>
      </c>
      <c r="X2926">
        <v>16</v>
      </c>
      <c r="Y2926" t="s">
        <v>21938</v>
      </c>
      <c r="Z2926" t="s">
        <v>28244</v>
      </c>
      <c r="AA2926">
        <v>0.46678671589255832</v>
      </c>
      <c r="AB2926" t="str">
        <f>HYPERLINK("Melting_Curves/meltCurve_P61247_RPS3A.pdf", "Melting_Curves/meltCurve_P61247_RPS3A.pdf")</f>
        <v>Melting_Curves/meltCurve_P61247_RPS3A.pdf</v>
      </c>
    </row>
    <row r="2927" spans="1:28" x14ac:dyDescent="0.25">
      <c r="A2927" t="s">
        <v>2931</v>
      </c>
      <c r="B2927">
        <v>0.99542014353169495</v>
      </c>
      <c r="C2927">
        <v>0.96758861655238004</v>
      </c>
      <c r="D2927">
        <v>0.83576715201589402</v>
      </c>
      <c r="E2927">
        <v>0.64419293469048</v>
      </c>
      <c r="F2927">
        <v>0.4537959595205</v>
      </c>
      <c r="G2927">
        <v>0.26095596401041499</v>
      </c>
      <c r="H2927">
        <v>0.12568085797831</v>
      </c>
      <c r="I2927">
        <v>5.5255360086956799E-2</v>
      </c>
      <c r="J2927">
        <v>5.91520374213255E-2</v>
      </c>
      <c r="K2927">
        <v>8.1578825334446894E-2</v>
      </c>
      <c r="L2927">
        <v>623.23454650570295</v>
      </c>
      <c r="M2927">
        <v>12.741096441244</v>
      </c>
      <c r="N2927">
        <v>49.0367700531745</v>
      </c>
      <c r="O2927">
        <v>47.757279120092903</v>
      </c>
      <c r="P2927">
        <v>-6.5673596267276105E-2</v>
      </c>
      <c r="Q2927">
        <v>1.55342714169922E-2</v>
      </c>
      <c r="R2927">
        <v>0.99655633341431304</v>
      </c>
      <c r="S2927" t="s">
        <v>9329</v>
      </c>
      <c r="T2927" t="s">
        <v>12802</v>
      </c>
      <c r="U2927" t="s">
        <v>12802</v>
      </c>
      <c r="V2927" t="s">
        <v>12802</v>
      </c>
      <c r="W2927" t="s">
        <v>15681</v>
      </c>
      <c r="X2927">
        <v>10</v>
      </c>
      <c r="Y2927" t="s">
        <v>21939</v>
      </c>
      <c r="Z2927" t="s">
        <v>28245</v>
      </c>
      <c r="AA2927">
        <v>0.43361861669129242</v>
      </c>
      <c r="AB2927" t="str">
        <f>HYPERLINK("Melting_Curves/meltCurve_P61254_RPL26.pdf", "Melting_Curves/meltCurve_P61254_RPL26.pdf")</f>
        <v>Melting_Curves/meltCurve_P61254_RPL26.pdf</v>
      </c>
    </row>
    <row r="2928" spans="1:28" x14ac:dyDescent="0.25">
      <c r="A2928" t="s">
        <v>2932</v>
      </c>
      <c r="B2928">
        <v>0.99542014353169495</v>
      </c>
      <c r="C2928">
        <v>0.93940067933138005</v>
      </c>
      <c r="D2928">
        <v>0.96349466714502696</v>
      </c>
      <c r="E2928">
        <v>0.86717334751340402</v>
      </c>
      <c r="F2928">
        <v>0.76183767662998703</v>
      </c>
      <c r="G2928">
        <v>0.60209131495697599</v>
      </c>
      <c r="H2928">
        <v>0.50767612889464697</v>
      </c>
      <c r="I2928">
        <v>0.52183422080390096</v>
      </c>
      <c r="J2928">
        <v>0.79369702184472302</v>
      </c>
      <c r="K2928">
        <v>1.09209150231772</v>
      </c>
      <c r="L2928">
        <v>1551.22128714829</v>
      </c>
      <c r="M2928">
        <v>33.154541977610698</v>
      </c>
      <c r="O2928">
        <v>46.618363773712801</v>
      </c>
      <c r="P2928">
        <v>-5.1958676397019898E-2</v>
      </c>
      <c r="Q2928">
        <v>0.70776638974777295</v>
      </c>
      <c r="R2928">
        <v>0.34639075147698001</v>
      </c>
      <c r="S2928" t="s">
        <v>9330</v>
      </c>
      <c r="T2928" t="s">
        <v>12802</v>
      </c>
      <c r="U2928" t="s">
        <v>12802</v>
      </c>
      <c r="V2928" t="s">
        <v>12802</v>
      </c>
      <c r="W2928" t="s">
        <v>12926</v>
      </c>
      <c r="X2928">
        <v>22</v>
      </c>
      <c r="Y2928" t="s">
        <v>19248</v>
      </c>
      <c r="Z2928" t="s">
        <v>28246</v>
      </c>
      <c r="AA2928">
        <v>0.80449011843269036</v>
      </c>
      <c r="AB2928" t="str">
        <f>HYPERLINK("Melting_Curves/meltCurve_P61289_PSME3.pdf", "Melting_Curves/meltCurve_P61289_PSME3.pdf")</f>
        <v>Melting_Curves/meltCurve_P61289_PSME3.pdf</v>
      </c>
    </row>
    <row r="2929" spans="1:28" x14ac:dyDescent="0.25">
      <c r="A2929" t="s">
        <v>2933</v>
      </c>
      <c r="B2929">
        <v>0.99542014353169495</v>
      </c>
      <c r="C2929">
        <v>1.0806824885323301</v>
      </c>
      <c r="D2929">
        <v>1.0789689253301</v>
      </c>
      <c r="E2929">
        <v>1.06647777604295</v>
      </c>
      <c r="F2929">
        <v>0.68258894853746499</v>
      </c>
      <c r="G2929">
        <v>0.25331051653243802</v>
      </c>
      <c r="H2929">
        <v>0.10386542433460901</v>
      </c>
      <c r="I2929">
        <v>4.8310988816351E-2</v>
      </c>
      <c r="J2929">
        <v>4.2203114703267701E-2</v>
      </c>
      <c r="K2929">
        <v>4.5008698966714999E-2</v>
      </c>
      <c r="L2929">
        <v>1690.7759100334299</v>
      </c>
      <c r="M2929">
        <v>32.849648030963401</v>
      </c>
      <c r="N2929">
        <v>51.643080151393001</v>
      </c>
      <c r="O2929">
        <v>51.280518616531801</v>
      </c>
      <c r="P2929">
        <v>-0.15180609120299901</v>
      </c>
      <c r="Q2929">
        <v>5.2086064096903098E-2</v>
      </c>
      <c r="R2929">
        <v>0.98847335950819704</v>
      </c>
      <c r="S2929" t="s">
        <v>9331</v>
      </c>
      <c r="T2929" t="s">
        <v>12802</v>
      </c>
      <c r="U2929" t="s">
        <v>12802</v>
      </c>
      <c r="V2929" t="s">
        <v>12802</v>
      </c>
      <c r="W2929" t="s">
        <v>15682</v>
      </c>
      <c r="X2929">
        <v>10</v>
      </c>
      <c r="Y2929" t="s">
        <v>21940</v>
      </c>
      <c r="Z2929" t="s">
        <v>28247</v>
      </c>
      <c r="AA2929">
        <v>0.51427942479409128</v>
      </c>
      <c r="AB2929" t="str">
        <f>HYPERLINK("Melting_Curves/meltCurve_P61326_MAGOH.pdf", "Melting_Curves/meltCurve_P61326_MAGOH.pdf")</f>
        <v>Melting_Curves/meltCurve_P61326_MAGOH.pdf</v>
      </c>
    </row>
    <row r="2930" spans="1:28" x14ac:dyDescent="0.25">
      <c r="A2930" t="s">
        <v>2934</v>
      </c>
      <c r="B2930">
        <v>0.99542014353169495</v>
      </c>
      <c r="C2930">
        <v>0.90787139347943002</v>
      </c>
      <c r="D2930">
        <v>0.89506537308775702</v>
      </c>
      <c r="E2930">
        <v>0.72956249278446095</v>
      </c>
      <c r="F2930">
        <v>0.53769802322515103</v>
      </c>
      <c r="G2930">
        <v>0.28943023789245198</v>
      </c>
      <c r="H2930">
        <v>0.22242666282368101</v>
      </c>
      <c r="I2930">
        <v>0.111845748880153</v>
      </c>
      <c r="J2930">
        <v>0.11060256263696</v>
      </c>
      <c r="K2930">
        <v>0.112552683619476</v>
      </c>
      <c r="L2930">
        <v>634.12190466991296</v>
      </c>
      <c r="M2930">
        <v>12.711416882394801</v>
      </c>
      <c r="N2930">
        <v>50.352864975952599</v>
      </c>
      <c r="O2930">
        <v>48.699706909030198</v>
      </c>
      <c r="P2930">
        <v>-6.16386312072554E-2</v>
      </c>
      <c r="Q2930">
        <v>5.5587679291869502E-2</v>
      </c>
      <c r="R2930">
        <v>0.99447924796239495</v>
      </c>
      <c r="S2930" t="s">
        <v>9332</v>
      </c>
      <c r="T2930" t="s">
        <v>12802</v>
      </c>
      <c r="U2930" t="s">
        <v>12802</v>
      </c>
      <c r="V2930" t="s">
        <v>12802</v>
      </c>
      <c r="W2930" t="s">
        <v>15683</v>
      </c>
      <c r="X2930">
        <v>5</v>
      </c>
      <c r="Y2930" t="s">
        <v>21941</v>
      </c>
      <c r="Z2930" t="s">
        <v>28248</v>
      </c>
      <c r="AA2930">
        <v>0.48606433738248939</v>
      </c>
      <c r="AB2930" t="str">
        <f>HYPERLINK("Melting_Curves/meltCurve_P61353_RPL27.pdf", "Melting_Curves/meltCurve_P61353_RPL27.pdf")</f>
        <v>Melting_Curves/meltCurve_P61353_RPL27.pdf</v>
      </c>
    </row>
    <row r="2931" spans="1:28" x14ac:dyDescent="0.25">
      <c r="A2931" t="s">
        <v>2935</v>
      </c>
      <c r="B2931">
        <v>0.99542014353169495</v>
      </c>
      <c r="C2931">
        <v>1.0903004143147199</v>
      </c>
      <c r="D2931">
        <v>0.86338460267852501</v>
      </c>
      <c r="E2931">
        <v>0.612516083004923</v>
      </c>
      <c r="F2931">
        <v>0.46362525067035598</v>
      </c>
      <c r="G2931">
        <v>0.34026907003566498</v>
      </c>
      <c r="H2931">
        <v>0.14330309550117701</v>
      </c>
      <c r="I2931">
        <v>0.108953119288587</v>
      </c>
      <c r="J2931">
        <v>0.124259153962962</v>
      </c>
      <c r="K2931">
        <v>0.114127018542068</v>
      </c>
      <c r="L2931">
        <v>681.10201818866801</v>
      </c>
      <c r="M2931">
        <v>14.0063171743534</v>
      </c>
      <c r="N2931">
        <v>49.294254441616701</v>
      </c>
      <c r="O2931">
        <v>47.669098931548398</v>
      </c>
      <c r="P2931">
        <v>-6.7132170817101003E-2</v>
      </c>
      <c r="Q2931">
        <v>8.62099375309371E-2</v>
      </c>
      <c r="R2931">
        <v>0.97845996199236396</v>
      </c>
      <c r="S2931" t="s">
        <v>9333</v>
      </c>
      <c r="T2931" t="s">
        <v>12802</v>
      </c>
      <c r="U2931" t="s">
        <v>12802</v>
      </c>
      <c r="V2931" t="s">
        <v>12802</v>
      </c>
      <c r="W2931" t="s">
        <v>15684</v>
      </c>
      <c r="X2931">
        <v>2</v>
      </c>
      <c r="Y2931" t="s">
        <v>21942</v>
      </c>
      <c r="Z2931" t="s">
        <v>28249</v>
      </c>
      <c r="AA2931">
        <v>0.46250597127830873</v>
      </c>
      <c r="AB2931" t="str">
        <f>HYPERLINK("Melting_Curves/meltCurve_P61457_PCBD1.pdf", "Melting_Curves/meltCurve_P61457_PCBD1.pdf")</f>
        <v>Melting_Curves/meltCurve_P61457_PCBD1.pdf</v>
      </c>
    </row>
    <row r="2932" spans="1:28" x14ac:dyDescent="0.25">
      <c r="A2932" t="s">
        <v>2936</v>
      </c>
      <c r="B2932">
        <v>0.99542014353169495</v>
      </c>
      <c r="C2932">
        <v>0.98140993367751495</v>
      </c>
      <c r="D2932">
        <v>0.93378475044215403</v>
      </c>
      <c r="E2932">
        <v>0.89844624013593799</v>
      </c>
      <c r="F2932">
        <v>0.74245422036990605</v>
      </c>
      <c r="G2932">
        <v>0.56790609234331801</v>
      </c>
      <c r="H2932">
        <v>0.42243031802289099</v>
      </c>
      <c r="I2932">
        <v>0.37429983941421102</v>
      </c>
      <c r="J2932">
        <v>0.50736334510094305</v>
      </c>
      <c r="K2932">
        <v>0.49790317932592998</v>
      </c>
      <c r="L2932">
        <v>1074.8130865533501</v>
      </c>
      <c r="M2932">
        <v>21.396925676259599</v>
      </c>
      <c r="N2932">
        <v>55.877101762360503</v>
      </c>
      <c r="O2932">
        <v>49.799540926091602</v>
      </c>
      <c r="P2932">
        <v>-5.9892941572076398E-2</v>
      </c>
      <c r="Q2932">
        <v>0.44243082114001298</v>
      </c>
      <c r="R2932">
        <v>0.963474083715536</v>
      </c>
      <c r="S2932" t="s">
        <v>9334</v>
      </c>
      <c r="T2932" t="s">
        <v>12802</v>
      </c>
      <c r="U2932" t="s">
        <v>12802</v>
      </c>
      <c r="V2932" t="s">
        <v>12802</v>
      </c>
      <c r="W2932" t="s">
        <v>15685</v>
      </c>
      <c r="X2932">
        <v>13</v>
      </c>
      <c r="Y2932" t="s">
        <v>21943</v>
      </c>
      <c r="Z2932" t="s">
        <v>28250</v>
      </c>
      <c r="AA2932">
        <v>0.69487263876088268</v>
      </c>
      <c r="AB2932" t="str">
        <f>HYPERLINK("Melting_Curves/meltCurve_P61586_RHOA.pdf", "Melting_Curves/meltCurve_P61586_RHOA.pdf")</f>
        <v>Melting_Curves/meltCurve_P61586_RHOA.pdf</v>
      </c>
    </row>
    <row r="2933" spans="1:28" x14ac:dyDescent="0.25">
      <c r="A2933" t="s">
        <v>2937</v>
      </c>
      <c r="B2933">
        <v>0.99542014353169495</v>
      </c>
      <c r="C2933">
        <v>0.92954780100158496</v>
      </c>
      <c r="D2933">
        <v>0.816315974056391</v>
      </c>
      <c r="E2933">
        <v>0.72932419962779604</v>
      </c>
      <c r="F2933">
        <v>0.496938919758044</v>
      </c>
      <c r="G2933">
        <v>0.108690633974282</v>
      </c>
      <c r="H2933">
        <v>5.3919222838937499E-2</v>
      </c>
      <c r="I2933">
        <v>2.2033628591692798E-2</v>
      </c>
      <c r="J2933">
        <v>1.47105418917306E-2</v>
      </c>
      <c r="K2933">
        <v>8.6295610705076301E-3</v>
      </c>
      <c r="L2933">
        <v>817.25548017198105</v>
      </c>
      <c r="M2933">
        <v>16.636093953377799</v>
      </c>
      <c r="N2933">
        <v>49.125446363315604</v>
      </c>
      <c r="O2933">
        <v>48.4320758315314</v>
      </c>
      <c r="P2933">
        <v>-8.5879105528932395E-2</v>
      </c>
      <c r="Q2933">
        <v>0</v>
      </c>
      <c r="R2933">
        <v>0.98249138845879203</v>
      </c>
      <c r="S2933" t="s">
        <v>9335</v>
      </c>
      <c r="T2933" t="s">
        <v>12802</v>
      </c>
      <c r="U2933" t="s">
        <v>12802</v>
      </c>
      <c r="V2933" t="s">
        <v>12802</v>
      </c>
      <c r="W2933" t="s">
        <v>15686</v>
      </c>
      <c r="X2933">
        <v>4</v>
      </c>
      <c r="Y2933" t="s">
        <v>21944</v>
      </c>
      <c r="Z2933" t="s">
        <v>28251</v>
      </c>
      <c r="AA2933">
        <v>0.42233710093808779</v>
      </c>
      <c r="AB2933" t="str">
        <f>HYPERLINK("Melting_Curves/meltCurve_P61599_NAA20.pdf", "Melting_Curves/meltCurve_P61599_NAA20.pdf")</f>
        <v>Melting_Curves/meltCurve_P61599_NAA20.pdf</v>
      </c>
    </row>
    <row r="2934" spans="1:28" x14ac:dyDescent="0.25">
      <c r="A2934" t="s">
        <v>2938</v>
      </c>
      <c r="B2934">
        <v>0.99542014353169495</v>
      </c>
      <c r="C2934">
        <v>1.0604244196767101</v>
      </c>
      <c r="D2934">
        <v>0.94389607008666498</v>
      </c>
      <c r="E2934">
        <v>0.96935794525970398</v>
      </c>
      <c r="F2934">
        <v>0.79256238632174003</v>
      </c>
      <c r="G2934">
        <v>0.52323398190068904</v>
      </c>
      <c r="H2934">
        <v>0.21720049194433799</v>
      </c>
      <c r="I2934">
        <v>0.12777270562746901</v>
      </c>
      <c r="J2934">
        <v>0.12966764167749201</v>
      </c>
      <c r="K2934">
        <v>0.1214119420197</v>
      </c>
      <c r="L2934">
        <v>1197.07299739818</v>
      </c>
      <c r="M2934">
        <v>22.5022952492968</v>
      </c>
      <c r="N2934">
        <v>53.719083300977999</v>
      </c>
      <c r="O2934">
        <v>52.783027790899197</v>
      </c>
      <c r="P2934">
        <v>-9.6128018630811607E-2</v>
      </c>
      <c r="Q2934">
        <v>9.8078840576746304E-2</v>
      </c>
      <c r="R2934">
        <v>0.99378647734607795</v>
      </c>
      <c r="S2934" t="s">
        <v>9336</v>
      </c>
      <c r="T2934" t="s">
        <v>12802</v>
      </c>
      <c r="U2934" t="s">
        <v>12802</v>
      </c>
      <c r="V2934" t="s">
        <v>12802</v>
      </c>
      <c r="W2934" t="s">
        <v>15687</v>
      </c>
      <c r="X2934">
        <v>8</v>
      </c>
      <c r="Y2934" t="s">
        <v>21945</v>
      </c>
      <c r="Z2934" t="s">
        <v>28252</v>
      </c>
      <c r="AA2934">
        <v>0.59450933329970279</v>
      </c>
      <c r="AB2934" t="str">
        <f>HYPERLINK("Melting_Curves/meltCurve_P61601_NCALD.pdf", "Melting_Curves/meltCurve_P61601_NCALD.pdf")</f>
        <v>Melting_Curves/meltCurve_P61601_NCALD.pdf</v>
      </c>
    </row>
    <row r="2935" spans="1:28" x14ac:dyDescent="0.25">
      <c r="A2935" t="s">
        <v>2939</v>
      </c>
      <c r="B2935">
        <v>0.99542014353169495</v>
      </c>
      <c r="C2935">
        <v>1.0728735525517801</v>
      </c>
      <c r="D2935">
        <v>1.04255510908702</v>
      </c>
      <c r="E2935">
        <v>1.2240936950633401</v>
      </c>
      <c r="F2935">
        <v>1.0425671360279301</v>
      </c>
      <c r="G2935">
        <v>0.85920957493583805</v>
      </c>
      <c r="H2935">
        <v>0.71334403668422397</v>
      </c>
      <c r="I2935">
        <v>0.62912972162597203</v>
      </c>
      <c r="J2935">
        <v>0.941822596946987</v>
      </c>
      <c r="K2935">
        <v>0.95045696961784398</v>
      </c>
      <c r="L2935">
        <v>13394.861510692101</v>
      </c>
      <c r="M2935">
        <v>250</v>
      </c>
      <c r="O2935">
        <v>53.576017293245897</v>
      </c>
      <c r="P2935">
        <v>-0.223177828352882</v>
      </c>
      <c r="Q2935">
        <v>0.80868833309068899</v>
      </c>
      <c r="R2935">
        <v>0.49992969973830098</v>
      </c>
      <c r="S2935" t="s">
        <v>9337</v>
      </c>
      <c r="T2935" t="s">
        <v>12802</v>
      </c>
      <c r="U2935" t="s">
        <v>12802</v>
      </c>
      <c r="V2935" t="s">
        <v>12802</v>
      </c>
      <c r="W2935" t="s">
        <v>15688</v>
      </c>
      <c r="X2935">
        <v>18</v>
      </c>
      <c r="Y2935" t="s">
        <v>21946</v>
      </c>
      <c r="Z2935" t="s">
        <v>28253</v>
      </c>
      <c r="AA2935">
        <v>0.91443437096517499</v>
      </c>
      <c r="AB2935" t="str">
        <f>HYPERLINK("Melting_Curves/meltCurve_P61604_HSPE1.pdf", "Melting_Curves/meltCurve_P61604_HSPE1.pdf")</f>
        <v>Melting_Curves/meltCurve_P61604_HSPE1.pdf</v>
      </c>
    </row>
    <row r="2936" spans="1:28" x14ac:dyDescent="0.25">
      <c r="A2936" t="s">
        <v>2940</v>
      </c>
      <c r="B2936">
        <v>0.99542014353169495</v>
      </c>
      <c r="C2936">
        <v>0.96168367742835004</v>
      </c>
      <c r="D2936">
        <v>0.85318809356263003</v>
      </c>
      <c r="E2936">
        <v>0.79423560373774005</v>
      </c>
      <c r="F2936">
        <v>0.62661869618610999</v>
      </c>
      <c r="G2936">
        <v>0.52959765747310905</v>
      </c>
      <c r="H2936">
        <v>0.37210706115094699</v>
      </c>
      <c r="I2936">
        <v>0.30068925174876399</v>
      </c>
      <c r="J2936">
        <v>0.31066417946331998</v>
      </c>
      <c r="K2936">
        <v>0.18026250409589401</v>
      </c>
      <c r="L2936">
        <v>443.333100024072</v>
      </c>
      <c r="M2936">
        <v>8.3803461666874508</v>
      </c>
      <c r="N2936">
        <v>54.056975822149198</v>
      </c>
      <c r="O2936">
        <v>50.146489522688299</v>
      </c>
      <c r="P2936">
        <v>-3.8389863547419502E-2</v>
      </c>
      <c r="Q2936">
        <v>8.2000190649920895E-2</v>
      </c>
      <c r="R2936">
        <v>0.99029214437937196</v>
      </c>
      <c r="S2936" t="s">
        <v>9338</v>
      </c>
      <c r="T2936" t="s">
        <v>12802</v>
      </c>
      <c r="U2936" t="s">
        <v>12802</v>
      </c>
      <c r="V2936" t="s">
        <v>12802</v>
      </c>
      <c r="W2936" t="s">
        <v>15689</v>
      </c>
      <c r="X2936">
        <v>19</v>
      </c>
      <c r="Y2936" t="s">
        <v>21947</v>
      </c>
      <c r="Z2936" t="s">
        <v>28254</v>
      </c>
      <c r="AA2936">
        <v>0.58950716459089536</v>
      </c>
      <c r="AB2936" t="str">
        <f>HYPERLINK("Melting_Curves/meltCurve_P61758_VBP1.pdf", "Melting_Curves/meltCurve_P61758_VBP1.pdf")</f>
        <v>Melting_Curves/meltCurve_P61758_VBP1.pdf</v>
      </c>
    </row>
    <row r="2937" spans="1:28" x14ac:dyDescent="0.25">
      <c r="A2937" t="s">
        <v>2941</v>
      </c>
      <c r="B2937">
        <v>0.99542014353169495</v>
      </c>
      <c r="C2937">
        <v>0.97053641551927505</v>
      </c>
      <c r="D2937">
        <v>0.93400427128871299</v>
      </c>
      <c r="E2937">
        <v>0.69579230689668903</v>
      </c>
      <c r="F2937">
        <v>0.15432551764157099</v>
      </c>
      <c r="G2937">
        <v>0.10743392434988901</v>
      </c>
      <c r="H2937">
        <v>6.1270805298850803E-2</v>
      </c>
      <c r="I2937">
        <v>4.7686401638159799E-2</v>
      </c>
      <c r="J2937">
        <v>5.90016656589561E-2</v>
      </c>
      <c r="K2937">
        <v>6.8797104838901293E-2</v>
      </c>
      <c r="L2937">
        <v>1755.26394438497</v>
      </c>
      <c r="M2937">
        <v>36.988499124834398</v>
      </c>
      <c r="N2937">
        <v>47.628712370213101</v>
      </c>
      <c r="O2937">
        <v>47.316263477586197</v>
      </c>
      <c r="P2937">
        <v>-0.18305697246386601</v>
      </c>
      <c r="Q2937">
        <v>6.3325637706150101E-2</v>
      </c>
      <c r="R2937">
        <v>0.997119423070988</v>
      </c>
      <c r="S2937" t="s">
        <v>9339</v>
      </c>
      <c r="T2937" t="s">
        <v>12802</v>
      </c>
      <c r="U2937" t="s">
        <v>12802</v>
      </c>
      <c r="V2937" t="s">
        <v>12802</v>
      </c>
      <c r="W2937" t="s">
        <v>15690</v>
      </c>
      <c r="X2937">
        <v>14</v>
      </c>
      <c r="Y2937" t="s">
        <v>21948</v>
      </c>
      <c r="Z2937" t="s">
        <v>28255</v>
      </c>
      <c r="AA2937">
        <v>0.39333381411324458</v>
      </c>
      <c r="AB2937" t="str">
        <f>HYPERLINK("Melting_Curves/meltCurve_P61764_STXBP1.pdf", "Melting_Curves/meltCurve_P61764_STXBP1.pdf")</f>
        <v>Melting_Curves/meltCurve_P61764_STXBP1.pdf</v>
      </c>
    </row>
    <row r="2938" spans="1:28" x14ac:dyDescent="0.25">
      <c r="A2938" t="s">
        <v>2942</v>
      </c>
      <c r="B2938">
        <v>0.99542014353169495</v>
      </c>
      <c r="C2938">
        <v>0.84976887134971302</v>
      </c>
      <c r="D2938">
        <v>0.86379524872852698</v>
      </c>
      <c r="E2938">
        <v>0.69392254514240104</v>
      </c>
      <c r="F2938">
        <v>0.54626812876332098</v>
      </c>
      <c r="G2938">
        <v>0.35617456779949502</v>
      </c>
      <c r="H2938">
        <v>0.13041154427910301</v>
      </c>
      <c r="I2938">
        <v>6.4653334442516405E-2</v>
      </c>
      <c r="J2938">
        <v>4.8722399405572402E-2</v>
      </c>
      <c r="K2938">
        <v>5.3993057044980398E-2</v>
      </c>
      <c r="L2938">
        <v>583.85706303574398</v>
      </c>
      <c r="M2938">
        <v>11.6502275305347</v>
      </c>
      <c r="N2938">
        <v>50.115513960797102</v>
      </c>
      <c r="O2938">
        <v>48.707238928500402</v>
      </c>
      <c r="P2938">
        <v>-5.9813371643920803E-2</v>
      </c>
      <c r="Q2938">
        <v>0</v>
      </c>
      <c r="R2938">
        <v>0.98327122636245301</v>
      </c>
      <c r="S2938" t="s">
        <v>9340</v>
      </c>
      <c r="T2938" t="s">
        <v>12802</v>
      </c>
      <c r="U2938" t="s">
        <v>12802</v>
      </c>
      <c r="V2938" t="s">
        <v>12802</v>
      </c>
      <c r="W2938" t="s">
        <v>15691</v>
      </c>
      <c r="X2938">
        <v>10</v>
      </c>
      <c r="Y2938" t="s">
        <v>21949</v>
      </c>
      <c r="Z2938" t="s">
        <v>28256</v>
      </c>
      <c r="AA2938">
        <v>0.46590832584432618</v>
      </c>
      <c r="AB2938" t="str">
        <f>HYPERLINK("Melting_Curves/meltCurve_P61962_DCAF7.pdf", "Melting_Curves/meltCurve_P61962_DCAF7.pdf")</f>
        <v>Melting_Curves/meltCurve_P61962_DCAF7.pdf</v>
      </c>
    </row>
    <row r="2939" spans="1:28" x14ac:dyDescent="0.25">
      <c r="A2939" t="s">
        <v>2943</v>
      </c>
      <c r="B2939">
        <v>0.99542014353169495</v>
      </c>
      <c r="C2939">
        <v>0.84339796465637895</v>
      </c>
      <c r="D2939">
        <v>0.80998189106543805</v>
      </c>
      <c r="E2939">
        <v>0.72687936160965405</v>
      </c>
      <c r="F2939">
        <v>0.52555765013389</v>
      </c>
      <c r="G2939">
        <v>0.42757678369336</v>
      </c>
      <c r="H2939">
        <v>0.37492413265351898</v>
      </c>
      <c r="I2939">
        <v>0.37586877586832601</v>
      </c>
      <c r="J2939">
        <v>0.63608650774268904</v>
      </c>
      <c r="K2939">
        <v>0.69627687772219804</v>
      </c>
      <c r="L2939">
        <v>716.015279382583</v>
      </c>
      <c r="M2939">
        <v>16.2702204754607</v>
      </c>
      <c r="O2939">
        <v>43.359011994910503</v>
      </c>
      <c r="P2939">
        <v>-4.6974828820612997E-2</v>
      </c>
      <c r="Q2939">
        <v>0.49929795941982502</v>
      </c>
      <c r="R2939">
        <v>0.71720645828811502</v>
      </c>
      <c r="S2939" t="s">
        <v>9341</v>
      </c>
      <c r="T2939" t="s">
        <v>12802</v>
      </c>
      <c r="U2939" t="s">
        <v>12802</v>
      </c>
      <c r="V2939" t="s">
        <v>12802</v>
      </c>
      <c r="W2939" t="s">
        <v>15692</v>
      </c>
      <c r="X2939">
        <v>6</v>
      </c>
      <c r="Y2939" t="s">
        <v>21950</v>
      </c>
      <c r="Z2939" t="s">
        <v>28257</v>
      </c>
      <c r="AA2939">
        <v>0.62673564726260977</v>
      </c>
      <c r="AB2939" t="str">
        <f>HYPERLINK("Melting_Curves/meltCurve_P61964_WDR5.pdf", "Melting_Curves/meltCurve_P61964_WDR5.pdf")</f>
        <v>Melting_Curves/meltCurve_P61964_WDR5.pdf</v>
      </c>
    </row>
    <row r="2940" spans="1:28" x14ac:dyDescent="0.25">
      <c r="A2940" t="s">
        <v>2944</v>
      </c>
      <c r="B2940">
        <v>0.99542014353169495</v>
      </c>
      <c r="C2940">
        <v>0.92967566345735297</v>
      </c>
      <c r="D2940">
        <v>0.88968749125542301</v>
      </c>
      <c r="E2940">
        <v>0.43354546741976802</v>
      </c>
      <c r="F2940">
        <v>0.193406710813635</v>
      </c>
      <c r="G2940">
        <v>0.1026829703038</v>
      </c>
      <c r="H2940">
        <v>4.8931731422392502E-2</v>
      </c>
      <c r="I2940">
        <v>3.1563828622634398E-2</v>
      </c>
      <c r="J2940">
        <v>3.1303191117918801E-2</v>
      </c>
      <c r="K2940">
        <v>3.2517489784133498E-2</v>
      </c>
      <c r="L2940">
        <v>1046.54837383311</v>
      </c>
      <c r="M2940">
        <v>22.681666936006501</v>
      </c>
      <c r="N2940">
        <v>46.3093199281127</v>
      </c>
      <c r="O2940">
        <v>45.786566552623398</v>
      </c>
      <c r="P2940">
        <v>-0.11893890584085599</v>
      </c>
      <c r="Q2940">
        <v>3.9630743826269799E-2</v>
      </c>
      <c r="R2940">
        <v>0.99585429174571205</v>
      </c>
      <c r="S2940" t="s">
        <v>9342</v>
      </c>
      <c r="T2940" t="s">
        <v>12802</v>
      </c>
      <c r="U2940" t="s">
        <v>12802</v>
      </c>
      <c r="V2940" t="s">
        <v>12802</v>
      </c>
      <c r="W2940" t="s">
        <v>15693</v>
      </c>
      <c r="X2940">
        <v>2</v>
      </c>
      <c r="Y2940" t="s">
        <v>21951</v>
      </c>
      <c r="Z2940" t="s">
        <v>28258</v>
      </c>
      <c r="AA2940">
        <v>0.34197034139602173</v>
      </c>
      <c r="AB2940" t="str">
        <f>HYPERLINK("Melting_Curves/meltCurve_P61966_AP1S1.pdf", "Melting_Curves/meltCurve_P61966_AP1S1.pdf")</f>
        <v>Melting_Curves/meltCurve_P61966_AP1S1.pdf</v>
      </c>
    </row>
    <row r="2941" spans="1:28" x14ac:dyDescent="0.25">
      <c r="A2941" t="s">
        <v>2945</v>
      </c>
      <c r="B2941">
        <v>0.99542014353169495</v>
      </c>
      <c r="C2941">
        <v>1.0327900306962601</v>
      </c>
      <c r="D2941">
        <v>0.92183970705139295</v>
      </c>
      <c r="E2941">
        <v>0.94949429390741003</v>
      </c>
      <c r="F2941">
        <v>0.86278481753963199</v>
      </c>
      <c r="G2941">
        <v>0.77043802617708101</v>
      </c>
      <c r="H2941">
        <v>0.63216305925185301</v>
      </c>
      <c r="I2941">
        <v>0.665457088073237</v>
      </c>
      <c r="J2941">
        <v>0.90372109048957106</v>
      </c>
      <c r="K2941">
        <v>0.88874525933100501</v>
      </c>
      <c r="L2941">
        <v>1452.6910921987201</v>
      </c>
      <c r="M2941">
        <v>29.776121625807601</v>
      </c>
      <c r="O2941">
        <v>48.568661321325898</v>
      </c>
      <c r="P2941">
        <v>-3.4964794801251801E-2</v>
      </c>
      <c r="Q2941">
        <v>0.77187337196545602</v>
      </c>
      <c r="R2941">
        <v>0.56377699534383996</v>
      </c>
      <c r="S2941" t="s">
        <v>9343</v>
      </c>
      <c r="T2941" t="s">
        <v>12802</v>
      </c>
      <c r="U2941" t="s">
        <v>12802</v>
      </c>
      <c r="V2941" t="s">
        <v>12802</v>
      </c>
      <c r="W2941" t="s">
        <v>15694</v>
      </c>
      <c r="X2941">
        <v>6</v>
      </c>
      <c r="Y2941" t="s">
        <v>21952</v>
      </c>
      <c r="Z2941" t="s">
        <v>28259</v>
      </c>
      <c r="AA2941">
        <v>0.8628966184214516</v>
      </c>
      <c r="AB2941" t="str">
        <f>HYPERLINK("Melting_Curves/meltCurve_P61970_NUTF2.pdf", "Melting_Curves/meltCurve_P61970_NUTF2.pdf")</f>
        <v>Melting_Curves/meltCurve_P61970_NUTF2.pdf</v>
      </c>
    </row>
    <row r="2942" spans="1:28" x14ac:dyDescent="0.25">
      <c r="A2942" t="s">
        <v>2946</v>
      </c>
      <c r="B2942">
        <v>0.99542014353169495</v>
      </c>
      <c r="C2942">
        <v>0.82069966694052099</v>
      </c>
      <c r="D2942">
        <v>1.0750702082280399</v>
      </c>
      <c r="E2942">
        <v>1.10757826259269</v>
      </c>
      <c r="F2942">
        <v>0.78148660437617601</v>
      </c>
      <c r="G2942">
        <v>0.69821449304857996</v>
      </c>
      <c r="H2942">
        <v>0.53612132868739404</v>
      </c>
      <c r="I2942">
        <v>0.187291334557913</v>
      </c>
      <c r="J2942">
        <v>0.18832399993013199</v>
      </c>
      <c r="K2942">
        <v>8.9848431581586105E-2</v>
      </c>
      <c r="L2942">
        <v>862.85399676838404</v>
      </c>
      <c r="M2942">
        <v>15.168777906282401</v>
      </c>
      <c r="N2942">
        <v>56.883554243284301</v>
      </c>
      <c r="O2942">
        <v>55.922395867140203</v>
      </c>
      <c r="P2942">
        <v>-6.7818285633105102E-2</v>
      </c>
      <c r="Q2942">
        <v>0</v>
      </c>
      <c r="R2942">
        <v>0.93838664070275701</v>
      </c>
      <c r="S2942" t="s">
        <v>9344</v>
      </c>
      <c r="T2942" t="s">
        <v>12802</v>
      </c>
      <c r="U2942" t="s">
        <v>12802</v>
      </c>
      <c r="V2942" t="s">
        <v>12802</v>
      </c>
      <c r="W2942" t="s">
        <v>15695</v>
      </c>
      <c r="X2942">
        <v>31</v>
      </c>
      <c r="Y2942" t="s">
        <v>21953</v>
      </c>
      <c r="Z2942" t="s">
        <v>28260</v>
      </c>
      <c r="AA2942">
        <v>0.67148096087300002</v>
      </c>
      <c r="AB2942" t="str">
        <f>HYPERLINK("Melting_Curves/meltCurve_P61978_2_HNRNPK.pdf", "Melting_Curves/meltCurve_P61978_2_HNRNPK.pdf")</f>
        <v>Melting_Curves/meltCurve_P61978_2_HNRNPK.pdf</v>
      </c>
    </row>
    <row r="2943" spans="1:28" x14ac:dyDescent="0.25">
      <c r="A2943" t="s">
        <v>2947</v>
      </c>
      <c r="B2943">
        <v>0.99542014353169495</v>
      </c>
      <c r="C2943">
        <v>1.0403728504726999</v>
      </c>
      <c r="D2943">
        <v>0.93828810595613299</v>
      </c>
      <c r="E2943">
        <v>0.77208081165557496</v>
      </c>
      <c r="F2943">
        <v>0.27175811430473001</v>
      </c>
      <c r="G2943">
        <v>0.10371633365921</v>
      </c>
      <c r="H2943">
        <v>6.2051648230153703E-2</v>
      </c>
      <c r="I2943">
        <v>4.3400440840573699E-2</v>
      </c>
      <c r="J2943">
        <v>5.20121597425433E-2</v>
      </c>
      <c r="K2943">
        <v>6.4689635350654806E-2</v>
      </c>
      <c r="L2943">
        <v>1458.7297226680901</v>
      </c>
      <c r="M2943">
        <v>30.216360200442001</v>
      </c>
      <c r="N2943">
        <v>48.459514500526303</v>
      </c>
      <c r="O2943">
        <v>48.066188478557201</v>
      </c>
      <c r="P2943">
        <v>-0.14867152523272101</v>
      </c>
      <c r="Q2943">
        <v>5.4018648092364202E-2</v>
      </c>
      <c r="R2943">
        <v>0.99781476716838202</v>
      </c>
      <c r="S2943" t="s">
        <v>9345</v>
      </c>
      <c r="T2943" t="s">
        <v>12802</v>
      </c>
      <c r="U2943" t="s">
        <v>12802</v>
      </c>
      <c r="V2943" t="s">
        <v>12802</v>
      </c>
      <c r="W2943" t="s">
        <v>15696</v>
      </c>
      <c r="X2943">
        <v>32</v>
      </c>
      <c r="Y2943" t="s">
        <v>21953</v>
      </c>
      <c r="Z2943" t="s">
        <v>28261</v>
      </c>
      <c r="AA2943">
        <v>0.41513732465929049</v>
      </c>
      <c r="AB2943" t="str">
        <f>HYPERLINK("Melting_Curves/meltCurve_P61978_3_HNRNPK.pdf", "Melting_Curves/meltCurve_P61978_3_HNRNPK.pdf")</f>
        <v>Melting_Curves/meltCurve_P61978_3_HNRNPK.pdf</v>
      </c>
    </row>
    <row r="2944" spans="1:28" x14ac:dyDescent="0.25">
      <c r="A2944" t="s">
        <v>2948</v>
      </c>
      <c r="B2944">
        <v>0.99542014353169495</v>
      </c>
      <c r="C2944">
        <v>0.92178802626632095</v>
      </c>
      <c r="D2944">
        <v>0.89238282072861497</v>
      </c>
      <c r="E2944">
        <v>0.94811179377018195</v>
      </c>
      <c r="F2944">
        <v>0.75389208713086997</v>
      </c>
      <c r="G2944">
        <v>0.619645983669455</v>
      </c>
      <c r="H2944">
        <v>0.31755673201330697</v>
      </c>
      <c r="I2944">
        <v>0.14506496516439299</v>
      </c>
      <c r="J2944">
        <v>9.7484270134359202E-2</v>
      </c>
      <c r="K2944">
        <v>6.9438425357209593E-2</v>
      </c>
      <c r="L2944">
        <v>810.65225382664596</v>
      </c>
      <c r="M2944">
        <v>14.8228459050169</v>
      </c>
      <c r="N2944">
        <v>54.689380363851797</v>
      </c>
      <c r="O2944">
        <v>53.722938140674103</v>
      </c>
      <c r="P2944">
        <v>-6.8985499688601196E-2</v>
      </c>
      <c r="Q2944">
        <v>0</v>
      </c>
      <c r="R2944">
        <v>0.98461575259052303</v>
      </c>
      <c r="S2944" t="s">
        <v>9346</v>
      </c>
      <c r="T2944" t="s">
        <v>12802</v>
      </c>
      <c r="U2944" t="s">
        <v>12802</v>
      </c>
      <c r="V2944" t="s">
        <v>12802</v>
      </c>
      <c r="W2944" t="s">
        <v>15697</v>
      </c>
      <c r="X2944">
        <v>28</v>
      </c>
      <c r="Y2944" t="s">
        <v>21954</v>
      </c>
      <c r="Z2944" t="s">
        <v>28262</v>
      </c>
      <c r="AA2944">
        <v>0.60453743759069722</v>
      </c>
      <c r="AB2944" t="str">
        <f>HYPERLINK("Melting_Curves/meltCurve_P61981_YWHAG.pdf", "Melting_Curves/meltCurve_P61981_YWHAG.pdf")</f>
        <v>Melting_Curves/meltCurve_P61981_YWHAG.pdf</v>
      </c>
    </row>
    <row r="2945" spans="1:28" x14ac:dyDescent="0.25">
      <c r="A2945" t="s">
        <v>2949</v>
      </c>
      <c r="B2945">
        <v>0.99542014353169495</v>
      </c>
      <c r="C2945">
        <v>0.98005474458405695</v>
      </c>
      <c r="D2945">
        <v>0.97482165065597604</v>
      </c>
      <c r="E2945">
        <v>0.89804986357422301</v>
      </c>
      <c r="F2945">
        <v>0.80907231210774</v>
      </c>
      <c r="G2945">
        <v>0.63049948934735001</v>
      </c>
      <c r="H2945">
        <v>0.48313418219354298</v>
      </c>
      <c r="I2945">
        <v>0.33692992842052</v>
      </c>
      <c r="J2945">
        <v>0.22497941105238101</v>
      </c>
      <c r="K2945">
        <v>9.1017479227657697E-2</v>
      </c>
      <c r="L2945">
        <v>634.42791113561304</v>
      </c>
      <c r="M2945">
        <v>11.1978296994077</v>
      </c>
      <c r="N2945">
        <v>56.6563279363926</v>
      </c>
      <c r="O2945">
        <v>54.939550563266799</v>
      </c>
      <c r="P2945">
        <v>-5.09712798280278E-2</v>
      </c>
      <c r="Q2945">
        <v>0</v>
      </c>
      <c r="R2945">
        <v>0.99472847446468005</v>
      </c>
      <c r="S2945" t="s">
        <v>9347</v>
      </c>
      <c r="T2945" t="s">
        <v>12802</v>
      </c>
      <c r="U2945" t="s">
        <v>12802</v>
      </c>
      <c r="V2945" t="s">
        <v>12802</v>
      </c>
      <c r="W2945" t="s">
        <v>15698</v>
      </c>
      <c r="X2945">
        <v>14</v>
      </c>
      <c r="Y2945" t="s">
        <v>21955</v>
      </c>
      <c r="Z2945" t="s">
        <v>28263</v>
      </c>
      <c r="AA2945">
        <v>0.66014997677012821</v>
      </c>
      <c r="AB2945" t="str">
        <f>HYPERLINK("Melting_Curves/meltCurve_P62070_RRAS2.pdf", "Melting_Curves/meltCurve_P62070_RRAS2.pdf")</f>
        <v>Melting_Curves/meltCurve_P62070_RRAS2.pdf</v>
      </c>
    </row>
    <row r="2946" spans="1:28" x14ac:dyDescent="0.25">
      <c r="A2946" t="s">
        <v>2950</v>
      </c>
      <c r="B2946">
        <v>0.99542014353169495</v>
      </c>
      <c r="C2946">
        <v>1.02218339841108</v>
      </c>
      <c r="D2946">
        <v>1.0816691102296401</v>
      </c>
      <c r="E2946">
        <v>1.02840115560426</v>
      </c>
      <c r="F2946">
        <v>0.93261022519658698</v>
      </c>
      <c r="G2946">
        <v>0.69442971758704297</v>
      </c>
      <c r="H2946">
        <v>0.55832277066230895</v>
      </c>
      <c r="I2946">
        <v>0.53381694759504095</v>
      </c>
      <c r="J2946">
        <v>0.77242611255278404</v>
      </c>
      <c r="K2946">
        <v>0.91927562658971296</v>
      </c>
      <c r="L2946">
        <v>12613.120534101699</v>
      </c>
      <c r="M2946">
        <v>250</v>
      </c>
      <c r="O2946">
        <v>50.449253691438898</v>
      </c>
      <c r="P2946">
        <v>-0.37704444908926099</v>
      </c>
      <c r="Q2946">
        <v>0.69565422439716595</v>
      </c>
      <c r="R2946">
        <v>0.69991017776615805</v>
      </c>
      <c r="S2946" t="s">
        <v>9348</v>
      </c>
      <c r="T2946" t="s">
        <v>12802</v>
      </c>
      <c r="U2946" t="s">
        <v>12802</v>
      </c>
      <c r="V2946" t="s">
        <v>12802</v>
      </c>
      <c r="W2946" t="s">
        <v>15699</v>
      </c>
      <c r="X2946">
        <v>11</v>
      </c>
      <c r="Y2946" t="s">
        <v>21956</v>
      </c>
      <c r="Z2946" t="s">
        <v>28264</v>
      </c>
      <c r="AA2946">
        <v>0.83215470916911705</v>
      </c>
      <c r="AB2946" t="str">
        <f>HYPERLINK("Melting_Curves/meltCurve_P62072_TIMM10.pdf", "Melting_Curves/meltCurve_P62072_TIMM10.pdf")</f>
        <v>Melting_Curves/meltCurve_P62072_TIMM10.pdf</v>
      </c>
    </row>
    <row r="2947" spans="1:28" x14ac:dyDescent="0.25">
      <c r="A2947" t="s">
        <v>2951</v>
      </c>
      <c r="B2947">
        <v>0.99542014353169495</v>
      </c>
      <c r="C2947">
        <v>1.03927500802109</v>
      </c>
      <c r="D2947">
        <v>0.83618702391900901</v>
      </c>
      <c r="E2947">
        <v>0.72101395960987202</v>
      </c>
      <c r="F2947">
        <v>0.43362974981261498</v>
      </c>
      <c r="G2947">
        <v>0.28655300888114899</v>
      </c>
      <c r="H2947">
        <v>0.157792730655471</v>
      </c>
      <c r="I2947">
        <v>0.11624061610404</v>
      </c>
      <c r="J2947">
        <v>0.12627097100756901</v>
      </c>
      <c r="K2947">
        <v>0.16208438148534199</v>
      </c>
      <c r="L2947">
        <v>771.73071649525104</v>
      </c>
      <c r="M2947">
        <v>15.9039326040646</v>
      </c>
      <c r="N2947">
        <v>49.311285326789601</v>
      </c>
      <c r="O2947">
        <v>47.776769496912699</v>
      </c>
      <c r="P2947">
        <v>-7.3900814561240299E-2</v>
      </c>
      <c r="Q2947">
        <v>0.11205391992092099</v>
      </c>
      <c r="R2947">
        <v>0.99024984866266597</v>
      </c>
      <c r="S2947" t="s">
        <v>9349</v>
      </c>
      <c r="T2947" t="s">
        <v>12802</v>
      </c>
      <c r="U2947" t="s">
        <v>12802</v>
      </c>
      <c r="V2947" t="s">
        <v>12802</v>
      </c>
      <c r="W2947" t="s">
        <v>15700</v>
      </c>
      <c r="X2947">
        <v>12</v>
      </c>
      <c r="Y2947" t="s">
        <v>21957</v>
      </c>
      <c r="Z2947" t="s">
        <v>28265</v>
      </c>
      <c r="AA2947">
        <v>0.47070375239639289</v>
      </c>
      <c r="AB2947" t="str">
        <f>HYPERLINK("Melting_Curves/meltCurve_P62081_RPS7.pdf", "Melting_Curves/meltCurve_P62081_RPS7.pdf")</f>
        <v>Melting_Curves/meltCurve_P62081_RPS7.pdf</v>
      </c>
    </row>
    <row r="2948" spans="1:28" x14ac:dyDescent="0.25">
      <c r="A2948" t="s">
        <v>2952</v>
      </c>
      <c r="B2948">
        <v>0.99542014353169495</v>
      </c>
      <c r="C2948">
        <v>1.0095083032045999</v>
      </c>
      <c r="D2948">
        <v>0.98535271339114205</v>
      </c>
      <c r="E2948">
        <v>0.941978519285946</v>
      </c>
      <c r="F2948">
        <v>0.69373747391583696</v>
      </c>
      <c r="G2948">
        <v>0.468350259809241</v>
      </c>
      <c r="H2948">
        <v>0.19761961180701201</v>
      </c>
      <c r="I2948">
        <v>0.103220903381569</v>
      </c>
      <c r="J2948">
        <v>7.9601366576002697E-2</v>
      </c>
      <c r="K2948">
        <v>7.3580652000045196E-2</v>
      </c>
      <c r="L2948">
        <v>968.5418919192</v>
      </c>
      <c r="M2948">
        <v>18.376026460313899</v>
      </c>
      <c r="N2948">
        <v>52.963838558212899</v>
      </c>
      <c r="O2948">
        <v>52.094527718970603</v>
      </c>
      <c r="P2948">
        <v>-8.4428128590317994E-2</v>
      </c>
      <c r="Q2948">
        <v>4.2656263456412997E-2</v>
      </c>
      <c r="R2948">
        <v>0.99766611115943604</v>
      </c>
      <c r="S2948" t="s">
        <v>9350</v>
      </c>
      <c r="T2948" t="s">
        <v>12802</v>
      </c>
      <c r="U2948" t="s">
        <v>12802</v>
      </c>
      <c r="V2948" t="s">
        <v>12802</v>
      </c>
      <c r="W2948" t="s">
        <v>15701</v>
      </c>
      <c r="X2948">
        <v>23</v>
      </c>
      <c r="Y2948" t="s">
        <v>21958</v>
      </c>
      <c r="Z2948" t="s">
        <v>28266</v>
      </c>
      <c r="AA2948">
        <v>0.55760318646008078</v>
      </c>
      <c r="AB2948" t="str">
        <f>HYPERLINK("Melting_Curves/meltCurve_P62136_PPP1CA.pdf", "Melting_Curves/meltCurve_P62136_PPP1CA.pdf")</f>
        <v>Melting_Curves/meltCurve_P62136_PPP1CA.pdf</v>
      </c>
    </row>
    <row r="2949" spans="1:28" x14ac:dyDescent="0.25">
      <c r="A2949" t="s">
        <v>2953</v>
      </c>
      <c r="B2949">
        <v>0.99542014353169495</v>
      </c>
      <c r="C2949">
        <v>1.0114596118107799</v>
      </c>
      <c r="D2949">
        <v>0.959940867620381</v>
      </c>
      <c r="E2949">
        <v>0.82685819498049196</v>
      </c>
      <c r="F2949">
        <v>0.58922345247746999</v>
      </c>
      <c r="G2949">
        <v>0.36589550674066001</v>
      </c>
      <c r="H2949">
        <v>0.19214051463524001</v>
      </c>
      <c r="I2949">
        <v>0.104005593154159</v>
      </c>
      <c r="J2949">
        <v>8.0613516867248602E-2</v>
      </c>
      <c r="K2949">
        <v>0.13662774971437699</v>
      </c>
      <c r="L2949">
        <v>845.09305008208901</v>
      </c>
      <c r="M2949">
        <v>16.595749440663798</v>
      </c>
      <c r="N2949">
        <v>51.429675618916399</v>
      </c>
      <c r="O2949">
        <v>50.200113714593002</v>
      </c>
      <c r="P2949">
        <v>-7.6411650511351306E-2</v>
      </c>
      <c r="Q2949">
        <v>7.5519170814861203E-2</v>
      </c>
      <c r="R2949">
        <v>0.99691415844544695</v>
      </c>
      <c r="S2949" t="s">
        <v>9351</v>
      </c>
      <c r="T2949" t="s">
        <v>12802</v>
      </c>
      <c r="U2949" t="s">
        <v>12802</v>
      </c>
      <c r="V2949" t="s">
        <v>12802</v>
      </c>
      <c r="W2949" t="s">
        <v>15702</v>
      </c>
      <c r="X2949">
        <v>18</v>
      </c>
      <c r="Y2949" t="s">
        <v>21959</v>
      </c>
      <c r="Z2949" t="s">
        <v>28267</v>
      </c>
      <c r="AA2949">
        <v>0.52077580266784396</v>
      </c>
      <c r="AB2949" t="str">
        <f>HYPERLINK("Melting_Curves/meltCurve_P62140_PPP1CB.pdf", "Melting_Curves/meltCurve_P62140_PPP1CB.pdf")</f>
        <v>Melting_Curves/meltCurve_P62140_PPP1CB.pdf</v>
      </c>
    </row>
    <row r="2950" spans="1:28" x14ac:dyDescent="0.25">
      <c r="A2950" t="s">
        <v>2954</v>
      </c>
      <c r="B2950">
        <v>0.99542014353169495</v>
      </c>
      <c r="C2950">
        <v>1.01079491471183</v>
      </c>
      <c r="D2950">
        <v>1.0455859750643299</v>
      </c>
      <c r="E2950">
        <v>1.02275204323934</v>
      </c>
      <c r="F2950">
        <v>0.72187075040413895</v>
      </c>
      <c r="G2950">
        <v>0.47322332370421299</v>
      </c>
      <c r="H2950">
        <v>0.31021848011819497</v>
      </c>
      <c r="I2950">
        <v>0.24430679146933301</v>
      </c>
      <c r="J2950">
        <v>0.30560409480692602</v>
      </c>
      <c r="K2950">
        <v>0.36053281181719898</v>
      </c>
      <c r="L2950">
        <v>1539.5307860063499</v>
      </c>
      <c r="M2950">
        <v>30.057743611735301</v>
      </c>
      <c r="N2950">
        <v>52.850900019247902</v>
      </c>
      <c r="O2950">
        <v>50.994000554905199</v>
      </c>
      <c r="P2950">
        <v>-0.102808045048594</v>
      </c>
      <c r="Q2950">
        <v>0.30233492257837802</v>
      </c>
      <c r="R2950">
        <v>0.98515588540518595</v>
      </c>
      <c r="S2950" t="s">
        <v>9352</v>
      </c>
      <c r="T2950" t="s">
        <v>12802</v>
      </c>
      <c r="U2950" t="s">
        <v>12802</v>
      </c>
      <c r="V2950" t="s">
        <v>12802</v>
      </c>
      <c r="W2950" t="s">
        <v>15703</v>
      </c>
      <c r="X2950">
        <v>6</v>
      </c>
      <c r="Y2950" t="s">
        <v>21960</v>
      </c>
      <c r="Z2950" t="s">
        <v>28268</v>
      </c>
      <c r="AA2950">
        <v>0.63735088025335596</v>
      </c>
      <c r="AB2950" t="str">
        <f>HYPERLINK("Melting_Curves/meltCurve_P62166_NCS1.pdf", "Melting_Curves/meltCurve_P62166_NCS1.pdf")</f>
        <v>Melting_Curves/meltCurve_P62166_NCS1.pdf</v>
      </c>
    </row>
    <row r="2951" spans="1:28" x14ac:dyDescent="0.25">
      <c r="A2951" t="s">
        <v>2955</v>
      </c>
      <c r="B2951">
        <v>0.99542014353169495</v>
      </c>
      <c r="C2951">
        <v>0.92770763942845802</v>
      </c>
      <c r="D2951">
        <v>0.99416203423179095</v>
      </c>
      <c r="E2951">
        <v>0.81786250211816802</v>
      </c>
      <c r="F2951">
        <v>0.56098548886686805</v>
      </c>
      <c r="G2951">
        <v>0.25666797976933098</v>
      </c>
      <c r="H2951">
        <v>0.133086596772127</v>
      </c>
      <c r="I2951">
        <v>5.9128635093909601E-2</v>
      </c>
      <c r="J2951">
        <v>5.18866060752146E-2</v>
      </c>
      <c r="K2951">
        <v>5.2562022594747702E-2</v>
      </c>
      <c r="L2951">
        <v>944.94158580572105</v>
      </c>
      <c r="M2951">
        <v>18.701293439440601</v>
      </c>
      <c r="N2951">
        <v>50.716334935511398</v>
      </c>
      <c r="O2951">
        <v>49.961040410883399</v>
      </c>
      <c r="P2951">
        <v>-9.0446388888151194E-2</v>
      </c>
      <c r="Q2951">
        <v>3.3520876020066703E-2</v>
      </c>
      <c r="R2951">
        <v>0.99610664405100302</v>
      </c>
      <c r="S2951" t="s">
        <v>9353</v>
      </c>
      <c r="T2951" t="s">
        <v>12802</v>
      </c>
      <c r="U2951" t="s">
        <v>12802</v>
      </c>
      <c r="V2951" t="s">
        <v>12802</v>
      </c>
      <c r="W2951" t="s">
        <v>15704</v>
      </c>
      <c r="X2951">
        <v>29</v>
      </c>
      <c r="Y2951" t="s">
        <v>21961</v>
      </c>
      <c r="Z2951" t="s">
        <v>28269</v>
      </c>
      <c r="AA2951">
        <v>0.48355225320234962</v>
      </c>
      <c r="AB2951" t="str">
        <f>HYPERLINK("Melting_Curves/meltCurve_P62191_PSMC1.pdf", "Melting_Curves/meltCurve_P62191_PSMC1.pdf")</f>
        <v>Melting_Curves/meltCurve_P62191_PSMC1.pdf</v>
      </c>
    </row>
    <row r="2952" spans="1:28" x14ac:dyDescent="0.25">
      <c r="A2952" t="s">
        <v>2956</v>
      </c>
      <c r="B2952">
        <v>0.99542014353169495</v>
      </c>
      <c r="C2952">
        <v>0.87870773454902495</v>
      </c>
      <c r="D2952">
        <v>0.94525223133020997</v>
      </c>
      <c r="E2952">
        <v>0.76051569909212502</v>
      </c>
      <c r="F2952">
        <v>0.539791467323676</v>
      </c>
      <c r="G2952">
        <v>0.24486695339299899</v>
      </c>
      <c r="H2952">
        <v>0.122834816802508</v>
      </c>
      <c r="I2952">
        <v>5.2889857720896202E-2</v>
      </c>
      <c r="J2952">
        <v>4.7297443234098097E-2</v>
      </c>
      <c r="K2952">
        <v>5.2109176381453598E-2</v>
      </c>
      <c r="L2952">
        <v>778.86833881796099</v>
      </c>
      <c r="M2952">
        <v>15.5140982966376</v>
      </c>
      <c r="N2952">
        <v>50.264009980750899</v>
      </c>
      <c r="O2952">
        <v>49.391950540277101</v>
      </c>
      <c r="P2952">
        <v>-7.7810743574756994E-2</v>
      </c>
      <c r="Q2952">
        <v>9.1889530639987695E-3</v>
      </c>
      <c r="R2952">
        <v>0.99057911198869197</v>
      </c>
      <c r="S2952" t="s">
        <v>9354</v>
      </c>
      <c r="T2952" t="s">
        <v>12802</v>
      </c>
      <c r="U2952" t="s">
        <v>12802</v>
      </c>
      <c r="V2952" t="s">
        <v>12802</v>
      </c>
      <c r="W2952" t="s">
        <v>15705</v>
      </c>
      <c r="X2952">
        <v>24</v>
      </c>
      <c r="Y2952" t="s">
        <v>21962</v>
      </c>
      <c r="Z2952" t="s">
        <v>28270</v>
      </c>
      <c r="AA2952">
        <v>0.4648703396833006</v>
      </c>
      <c r="AB2952" t="str">
        <f>HYPERLINK("Melting_Curves/meltCurve_P62195_2_PSMC5.pdf", "Melting_Curves/meltCurve_P62195_2_PSMC5.pdf")</f>
        <v>Melting_Curves/meltCurve_P62195_2_PSMC5.pdf</v>
      </c>
    </row>
    <row r="2953" spans="1:28" x14ac:dyDescent="0.25">
      <c r="A2953" t="s">
        <v>2957</v>
      </c>
      <c r="B2953">
        <v>0.99542014353169495</v>
      </c>
      <c r="C2953">
        <v>0.91434444204006704</v>
      </c>
      <c r="D2953">
        <v>0.86027113762623197</v>
      </c>
      <c r="E2953">
        <v>0.63431696269447502</v>
      </c>
      <c r="F2953">
        <v>0.37424836788655802</v>
      </c>
      <c r="G2953">
        <v>0.184977918080825</v>
      </c>
      <c r="H2953">
        <v>0.13205347693221201</v>
      </c>
      <c r="I2953">
        <v>6.7539112641332597E-2</v>
      </c>
      <c r="J2953">
        <v>8.0205061710959896E-2</v>
      </c>
      <c r="K2953">
        <v>7.4234658724751504E-2</v>
      </c>
      <c r="L2953">
        <v>717.15730759341795</v>
      </c>
      <c r="M2953">
        <v>14.964379156925</v>
      </c>
      <c r="N2953">
        <v>48.260227493260203</v>
      </c>
      <c r="O2953">
        <v>47.092887864642798</v>
      </c>
      <c r="P2953">
        <v>-7.5519179426411204E-2</v>
      </c>
      <c r="Q2953">
        <v>4.9461769594753603E-2</v>
      </c>
      <c r="R2953">
        <v>0.997780598354152</v>
      </c>
      <c r="S2953" t="s">
        <v>9355</v>
      </c>
      <c r="T2953" t="s">
        <v>12802</v>
      </c>
      <c r="U2953" t="s">
        <v>12802</v>
      </c>
      <c r="V2953" t="s">
        <v>12802</v>
      </c>
      <c r="W2953" t="s">
        <v>15706</v>
      </c>
      <c r="X2953">
        <v>13</v>
      </c>
      <c r="Y2953" t="s">
        <v>21963</v>
      </c>
      <c r="Z2953" t="s">
        <v>28271</v>
      </c>
      <c r="AA2953">
        <v>0.41664849333556853</v>
      </c>
      <c r="AB2953" t="str">
        <f>HYPERLINK("Melting_Curves/meltCurve_P62241_RPS8.pdf", "Melting_Curves/meltCurve_P62241_RPS8.pdf")</f>
        <v>Melting_Curves/meltCurve_P62241_RPS8.pdf</v>
      </c>
    </row>
    <row r="2954" spans="1:28" x14ac:dyDescent="0.25">
      <c r="A2954" t="s">
        <v>2958</v>
      </c>
      <c r="B2954">
        <v>0.99542014353169495</v>
      </c>
      <c r="C2954">
        <v>0.93488774412237696</v>
      </c>
      <c r="D2954">
        <v>0.89242688318178598</v>
      </c>
      <c r="E2954">
        <v>0.74010068571922005</v>
      </c>
      <c r="F2954">
        <v>0.423934030901857</v>
      </c>
      <c r="G2954">
        <v>0.246414307745939</v>
      </c>
      <c r="H2954">
        <v>0.145411847082527</v>
      </c>
      <c r="I2954">
        <v>9.0688611454676799E-2</v>
      </c>
      <c r="J2954">
        <v>0.140515748628572</v>
      </c>
      <c r="K2954">
        <v>0.20141646000069399</v>
      </c>
      <c r="L2954">
        <v>901.96020982715299</v>
      </c>
      <c r="M2954">
        <v>18.6266363483882</v>
      </c>
      <c r="N2954">
        <v>49.197440962086603</v>
      </c>
      <c r="O2954">
        <v>47.875363222877802</v>
      </c>
      <c r="P2954">
        <v>-8.4912469075197297E-2</v>
      </c>
      <c r="Q2954">
        <v>0.127047928460195</v>
      </c>
      <c r="R2954">
        <v>0.98976221613490301</v>
      </c>
      <c r="S2954" t="s">
        <v>9356</v>
      </c>
      <c r="T2954" t="s">
        <v>12802</v>
      </c>
      <c r="U2954" t="s">
        <v>12802</v>
      </c>
      <c r="V2954" t="s">
        <v>12802</v>
      </c>
      <c r="W2954" t="s">
        <v>15707</v>
      </c>
      <c r="X2954">
        <v>10</v>
      </c>
      <c r="Y2954" t="s">
        <v>21964</v>
      </c>
      <c r="Z2954" t="s">
        <v>28272</v>
      </c>
      <c r="AA2954">
        <v>0.47253512575485029</v>
      </c>
      <c r="AB2954" t="str">
        <f>HYPERLINK("Melting_Curves/meltCurve_P62249_RPS16.pdf", "Melting_Curves/meltCurve_P62249_RPS16.pdf")</f>
        <v>Melting_Curves/meltCurve_P62249_RPS16.pdf</v>
      </c>
    </row>
    <row r="2955" spans="1:28" x14ac:dyDescent="0.25">
      <c r="A2955" t="s">
        <v>2959</v>
      </c>
      <c r="B2955">
        <v>0.99542014353169495</v>
      </c>
      <c r="C2955">
        <v>1.04754099261788</v>
      </c>
      <c r="D2955">
        <v>1.0183897243332101</v>
      </c>
      <c r="E2955">
        <v>0.95277267741402505</v>
      </c>
      <c r="F2955">
        <v>0.67940021036754505</v>
      </c>
      <c r="G2955">
        <v>0.28305420857576202</v>
      </c>
      <c r="H2955">
        <v>9.3443511040812596E-2</v>
      </c>
      <c r="I2955">
        <v>5.9179632848082503E-2</v>
      </c>
      <c r="J2955">
        <v>6.2630126313127907E-2</v>
      </c>
      <c r="K2955">
        <v>7.0680902281720207E-2</v>
      </c>
      <c r="L2955">
        <v>1430.1749205625299</v>
      </c>
      <c r="M2955">
        <v>27.796652199654702</v>
      </c>
      <c r="N2955">
        <v>51.673748243191199</v>
      </c>
      <c r="O2955">
        <v>51.187251136276899</v>
      </c>
      <c r="P2955">
        <v>-0.12810658579665701</v>
      </c>
      <c r="Q2955">
        <v>5.6380450864856803E-2</v>
      </c>
      <c r="R2955">
        <v>0.99814573106326498</v>
      </c>
      <c r="S2955" t="s">
        <v>9357</v>
      </c>
      <c r="T2955" t="s">
        <v>12802</v>
      </c>
      <c r="U2955" t="s">
        <v>12802</v>
      </c>
      <c r="V2955" t="s">
        <v>12802</v>
      </c>
      <c r="W2955" t="s">
        <v>15708</v>
      </c>
      <c r="X2955">
        <v>3</v>
      </c>
      <c r="Y2955" t="s">
        <v>21965</v>
      </c>
      <c r="Z2955" t="s">
        <v>28273</v>
      </c>
      <c r="AA2955">
        <v>0.51777953547145006</v>
      </c>
      <c r="AB2955" t="str">
        <f>HYPERLINK("Melting_Curves/meltCurve_P62253_UBE2G1.pdf", "Melting_Curves/meltCurve_P62253_UBE2G1.pdf")</f>
        <v>Melting_Curves/meltCurve_P62253_UBE2G1.pdf</v>
      </c>
    </row>
    <row r="2956" spans="1:28" x14ac:dyDescent="0.25">
      <c r="A2956" t="s">
        <v>2960</v>
      </c>
      <c r="B2956">
        <v>0.99542014353169495</v>
      </c>
      <c r="C2956">
        <v>0.99900487407789196</v>
      </c>
      <c r="D2956">
        <v>0.99771318485355698</v>
      </c>
      <c r="E2956">
        <v>1.0274201104309899</v>
      </c>
      <c r="F2956">
        <v>0.895608973500575</v>
      </c>
      <c r="G2956">
        <v>0.75503916419367401</v>
      </c>
      <c r="H2956">
        <v>0.55570714263342502</v>
      </c>
      <c r="I2956">
        <v>0.241996926125881</v>
      </c>
      <c r="J2956">
        <v>0.14074657294897699</v>
      </c>
      <c r="K2956">
        <v>9.6646904641308901E-2</v>
      </c>
      <c r="L2956">
        <v>993.426284192102</v>
      </c>
      <c r="M2956">
        <v>17.252730441115698</v>
      </c>
      <c r="N2956">
        <v>57.580815817399902</v>
      </c>
      <c r="O2956">
        <v>56.823922622382902</v>
      </c>
      <c r="P2956">
        <v>-7.5908770976915604E-2</v>
      </c>
      <c r="Q2956">
        <v>0</v>
      </c>
      <c r="R2956">
        <v>0.99514659239902603</v>
      </c>
      <c r="S2956" t="s">
        <v>9358</v>
      </c>
      <c r="T2956" t="s">
        <v>12802</v>
      </c>
      <c r="U2956" t="s">
        <v>12802</v>
      </c>
      <c r="V2956" t="s">
        <v>12802</v>
      </c>
      <c r="W2956" t="s">
        <v>15709</v>
      </c>
      <c r="X2956">
        <v>23</v>
      </c>
      <c r="Y2956" t="s">
        <v>21966</v>
      </c>
      <c r="Z2956" t="s">
        <v>28274</v>
      </c>
      <c r="AA2956">
        <v>0.69332044042961338</v>
      </c>
      <c r="AB2956" t="str">
        <f>HYPERLINK("Melting_Curves/meltCurve_P62258_YWHAE.pdf", "Melting_Curves/meltCurve_P62258_YWHAE.pdf")</f>
        <v>Melting_Curves/meltCurve_P62258_YWHAE.pdf</v>
      </c>
    </row>
    <row r="2957" spans="1:28" x14ac:dyDescent="0.25">
      <c r="A2957" t="s">
        <v>2961</v>
      </c>
      <c r="B2957">
        <v>0.99542014353169495</v>
      </c>
      <c r="C2957">
        <v>1.00479206246103</v>
      </c>
      <c r="D2957">
        <v>0.96194926406961501</v>
      </c>
      <c r="E2957">
        <v>0.77495266759008596</v>
      </c>
      <c r="F2957">
        <v>0.31317882609443998</v>
      </c>
      <c r="G2957">
        <v>0.16835677945719599</v>
      </c>
      <c r="H2957">
        <v>8.8908184945004298E-2</v>
      </c>
      <c r="I2957">
        <v>5.4349421081946903E-2</v>
      </c>
      <c r="J2957">
        <v>5.9468532181001101E-2</v>
      </c>
      <c r="K2957">
        <v>6.4840410553982597E-2</v>
      </c>
      <c r="L2957">
        <v>1284.1228774234301</v>
      </c>
      <c r="M2957">
        <v>26.4846412658197</v>
      </c>
      <c r="N2957">
        <v>48.750856743582403</v>
      </c>
      <c r="O2957">
        <v>48.211659900695103</v>
      </c>
      <c r="P2957">
        <v>-0.128119989620187</v>
      </c>
      <c r="Q2957">
        <v>6.7110161723392805E-2</v>
      </c>
      <c r="R2957">
        <v>0.99839624915321501</v>
      </c>
      <c r="S2957" t="s">
        <v>9359</v>
      </c>
      <c r="T2957" t="s">
        <v>12802</v>
      </c>
      <c r="U2957" t="s">
        <v>12802</v>
      </c>
      <c r="V2957" t="s">
        <v>12802</v>
      </c>
      <c r="W2957" t="s">
        <v>15710</v>
      </c>
      <c r="X2957">
        <v>9</v>
      </c>
      <c r="Y2957" t="s">
        <v>21967</v>
      </c>
      <c r="Z2957" t="s">
        <v>28275</v>
      </c>
      <c r="AA2957">
        <v>0.43141408240000512</v>
      </c>
      <c r="AB2957" t="str">
        <f>HYPERLINK("Melting_Curves/meltCurve_P62263_RPS14.pdf", "Melting_Curves/meltCurve_P62263_RPS14.pdf")</f>
        <v>Melting_Curves/meltCurve_P62263_RPS14.pdf</v>
      </c>
    </row>
    <row r="2958" spans="1:28" x14ac:dyDescent="0.25">
      <c r="A2958" t="s">
        <v>2962</v>
      </c>
      <c r="B2958">
        <v>0.99542014353169495</v>
      </c>
      <c r="C2958">
        <v>1.0193540962614001</v>
      </c>
      <c r="D2958">
        <v>1.00489657731703</v>
      </c>
      <c r="E2958">
        <v>0.77655549647387001</v>
      </c>
      <c r="F2958">
        <v>0.53324622699121005</v>
      </c>
      <c r="G2958">
        <v>0.33357592681303999</v>
      </c>
      <c r="H2958">
        <v>0.169582242744066</v>
      </c>
      <c r="I2958">
        <v>0.10375700023066201</v>
      </c>
      <c r="J2958">
        <v>9.2851726092246803E-2</v>
      </c>
      <c r="K2958">
        <v>0.118159946641422</v>
      </c>
      <c r="L2958">
        <v>864.97751036152704</v>
      </c>
      <c r="M2958">
        <v>17.2351386222313</v>
      </c>
      <c r="N2958">
        <v>50.724332880185997</v>
      </c>
      <c r="O2958">
        <v>49.525840718867599</v>
      </c>
      <c r="P2958">
        <v>-7.9744437645586502E-2</v>
      </c>
      <c r="Q2958">
        <v>8.3458652169719302E-2</v>
      </c>
      <c r="R2958">
        <v>0.995224612437417</v>
      </c>
      <c r="S2958" t="s">
        <v>9360</v>
      </c>
      <c r="T2958" t="s">
        <v>12802</v>
      </c>
      <c r="U2958" t="s">
        <v>12802</v>
      </c>
      <c r="V2958" t="s">
        <v>12802</v>
      </c>
      <c r="W2958" t="s">
        <v>15711</v>
      </c>
      <c r="X2958">
        <v>6</v>
      </c>
      <c r="Y2958" t="s">
        <v>21968</v>
      </c>
      <c r="Z2958" t="s">
        <v>28276</v>
      </c>
      <c r="AA2958">
        <v>0.50178343630023781</v>
      </c>
      <c r="AB2958" t="str">
        <f>HYPERLINK("Melting_Curves/meltCurve_P62266_RPS23.pdf", "Melting_Curves/meltCurve_P62266_RPS23.pdf")</f>
        <v>Melting_Curves/meltCurve_P62266_RPS23.pdf</v>
      </c>
    </row>
    <row r="2959" spans="1:28" x14ac:dyDescent="0.25">
      <c r="A2959" t="s">
        <v>2963</v>
      </c>
      <c r="B2959">
        <v>0.99542014353169495</v>
      </c>
      <c r="C2959">
        <v>0.87172541223492495</v>
      </c>
      <c r="D2959">
        <v>0.88928913666293896</v>
      </c>
      <c r="E2959">
        <v>0.71374383797719898</v>
      </c>
      <c r="F2959">
        <v>0.48333529176274598</v>
      </c>
      <c r="G2959">
        <v>0.22977991317727101</v>
      </c>
      <c r="H2959">
        <v>0.11348820299500401</v>
      </c>
      <c r="I2959">
        <v>6.3150030983261704E-2</v>
      </c>
      <c r="J2959">
        <v>6.3414776445767498E-2</v>
      </c>
      <c r="K2959">
        <v>7.8450748821711005E-2</v>
      </c>
      <c r="L2959">
        <v>688.34725048635403</v>
      </c>
      <c r="M2959">
        <v>13.9468738018009</v>
      </c>
      <c r="N2959">
        <v>49.487852038660598</v>
      </c>
      <c r="O2959">
        <v>48.373484395552197</v>
      </c>
      <c r="P2959">
        <v>-7.0763727213740094E-2</v>
      </c>
      <c r="Q2959">
        <v>1.8381205212622601E-2</v>
      </c>
      <c r="R2959">
        <v>0.99034065319317299</v>
      </c>
      <c r="S2959" t="s">
        <v>9361</v>
      </c>
      <c r="T2959" t="s">
        <v>12802</v>
      </c>
      <c r="U2959" t="s">
        <v>12802</v>
      </c>
      <c r="V2959" t="s">
        <v>12802</v>
      </c>
      <c r="W2959" t="s">
        <v>15712</v>
      </c>
      <c r="X2959">
        <v>15</v>
      </c>
      <c r="Y2959" t="s">
        <v>21969</v>
      </c>
      <c r="Z2959" t="s">
        <v>28277</v>
      </c>
      <c r="AA2959">
        <v>0.44595210213778202</v>
      </c>
      <c r="AB2959" t="str">
        <f>HYPERLINK("Melting_Curves/meltCurve_P62269_RPS18.pdf", "Melting_Curves/meltCurve_P62269_RPS18.pdf")</f>
        <v>Melting_Curves/meltCurve_P62269_RPS18.pdf</v>
      </c>
    </row>
    <row r="2960" spans="1:28" x14ac:dyDescent="0.25">
      <c r="A2960" t="s">
        <v>2964</v>
      </c>
      <c r="B2960">
        <v>0.99542014353169495</v>
      </c>
      <c r="C2960">
        <v>0.81083532080464205</v>
      </c>
      <c r="D2960">
        <v>0.712061333952968</v>
      </c>
      <c r="E2960">
        <v>0.63430052765584999</v>
      </c>
      <c r="F2960">
        <v>0.43386281061058202</v>
      </c>
      <c r="G2960">
        <v>0.36107801786256599</v>
      </c>
      <c r="H2960">
        <v>0.17398622113954801</v>
      </c>
      <c r="I2960">
        <v>0.13040535577559101</v>
      </c>
      <c r="J2960">
        <v>0.16745247971254801</v>
      </c>
      <c r="K2960">
        <v>0.183850367847358</v>
      </c>
      <c r="L2960">
        <v>428.23081708809298</v>
      </c>
      <c r="M2960">
        <v>8.9686803913752602</v>
      </c>
      <c r="N2960">
        <v>48.542414149276901</v>
      </c>
      <c r="O2960">
        <v>45.552705923981499</v>
      </c>
      <c r="P2960">
        <v>-4.5893016634003699E-2</v>
      </c>
      <c r="Q2960">
        <v>6.8307168882396893E-2</v>
      </c>
      <c r="R2960">
        <v>0.97520330559370405</v>
      </c>
      <c r="S2960" t="s">
        <v>9362</v>
      </c>
      <c r="T2960" t="s">
        <v>12802</v>
      </c>
      <c r="U2960" t="s">
        <v>12802</v>
      </c>
      <c r="V2960" t="s">
        <v>12802</v>
      </c>
      <c r="W2960" t="s">
        <v>15713</v>
      </c>
      <c r="X2960">
        <v>2</v>
      </c>
      <c r="Y2960" t="s">
        <v>21970</v>
      </c>
      <c r="Z2960" t="s">
        <v>28278</v>
      </c>
      <c r="AA2960">
        <v>0.44573176344733179</v>
      </c>
      <c r="AB2960" t="str">
        <f>HYPERLINK("Melting_Curves/meltCurve_P62273_RPS29.pdf", "Melting_Curves/meltCurve_P62273_RPS29.pdf")</f>
        <v>Melting_Curves/meltCurve_P62273_RPS29.pdf</v>
      </c>
    </row>
    <row r="2961" spans="1:28" x14ac:dyDescent="0.25">
      <c r="A2961" t="s">
        <v>2965</v>
      </c>
      <c r="B2961">
        <v>0.99542014353169495</v>
      </c>
      <c r="C2961">
        <v>0.91965736451289304</v>
      </c>
      <c r="D2961">
        <v>0.91035536078426105</v>
      </c>
      <c r="E2961">
        <v>0.79260316134753195</v>
      </c>
      <c r="F2961">
        <v>0.47604673959288502</v>
      </c>
      <c r="G2961">
        <v>0.235727724184087</v>
      </c>
      <c r="H2961">
        <v>0.13453676824173699</v>
      </c>
      <c r="I2961">
        <v>7.9914316698458998E-2</v>
      </c>
      <c r="J2961">
        <v>9.4432890876247899E-2</v>
      </c>
      <c r="K2961">
        <v>8.6796119980028494E-2</v>
      </c>
      <c r="L2961">
        <v>881.21462913883499</v>
      </c>
      <c r="M2961">
        <v>17.803599928777299</v>
      </c>
      <c r="N2961">
        <v>49.8886773608982</v>
      </c>
      <c r="O2961">
        <v>48.8846334020784</v>
      </c>
      <c r="P2961">
        <v>-8.5106830210491494E-2</v>
      </c>
      <c r="Q2961">
        <v>6.5312213674998898E-2</v>
      </c>
      <c r="R2961">
        <v>0.99503371095628401</v>
      </c>
      <c r="S2961" t="s">
        <v>9363</v>
      </c>
      <c r="T2961" t="s">
        <v>12802</v>
      </c>
      <c r="U2961" t="s">
        <v>12802</v>
      </c>
      <c r="V2961" t="s">
        <v>12802</v>
      </c>
      <c r="W2961" t="s">
        <v>15714</v>
      </c>
      <c r="X2961">
        <v>7</v>
      </c>
      <c r="Y2961" t="s">
        <v>21971</v>
      </c>
      <c r="Z2961" t="s">
        <v>28279</v>
      </c>
      <c r="AA2961">
        <v>0.46973469788741462</v>
      </c>
      <c r="AB2961" t="str">
        <f>HYPERLINK("Melting_Curves/meltCurve_P62277_RPS13.pdf", "Melting_Curves/meltCurve_P62277_RPS13.pdf")</f>
        <v>Melting_Curves/meltCurve_P62277_RPS13.pdf</v>
      </c>
    </row>
    <row r="2962" spans="1:28" x14ac:dyDescent="0.25">
      <c r="A2962" t="s">
        <v>2966</v>
      </c>
      <c r="B2962">
        <v>0.99542014353169495</v>
      </c>
      <c r="C2962">
        <v>0.96780973618238997</v>
      </c>
      <c r="D2962">
        <v>1.0597469898470899</v>
      </c>
      <c r="E2962">
        <v>0.78546576708122195</v>
      </c>
      <c r="F2962">
        <v>0.46256668197647499</v>
      </c>
      <c r="G2962">
        <v>0.211607775425079</v>
      </c>
      <c r="H2962">
        <v>0.120322454298666</v>
      </c>
      <c r="I2962">
        <v>5.90631135517828E-2</v>
      </c>
      <c r="J2962">
        <v>6.7724675326390898E-2</v>
      </c>
      <c r="K2962">
        <v>7.3218561129820503E-2</v>
      </c>
      <c r="L2962">
        <v>1102.94612518496</v>
      </c>
      <c r="M2962">
        <v>22.277369253349999</v>
      </c>
      <c r="N2962">
        <v>49.824598688769903</v>
      </c>
      <c r="O2962">
        <v>49.115944975727103</v>
      </c>
      <c r="P2962">
        <v>-0.105948166867772</v>
      </c>
      <c r="Q2962">
        <v>6.5664583566358597E-2</v>
      </c>
      <c r="R2962">
        <v>0.99358578320925905</v>
      </c>
      <c r="S2962" t="s">
        <v>9364</v>
      </c>
      <c r="T2962" t="s">
        <v>12802</v>
      </c>
      <c r="U2962" t="s">
        <v>12802</v>
      </c>
      <c r="V2962" t="s">
        <v>12802</v>
      </c>
      <c r="W2962" t="s">
        <v>15715</v>
      </c>
      <c r="X2962">
        <v>11</v>
      </c>
      <c r="Y2962" t="s">
        <v>21972</v>
      </c>
      <c r="Z2962" t="s">
        <v>28280</v>
      </c>
      <c r="AA2962">
        <v>0.46538503661764791</v>
      </c>
      <c r="AB2962" t="str">
        <f>HYPERLINK("Melting_Curves/meltCurve_P62280_RPS11.pdf", "Melting_Curves/meltCurve_P62280_RPS11.pdf")</f>
        <v>Melting_Curves/meltCurve_P62280_RPS11.pdf</v>
      </c>
    </row>
    <row r="2963" spans="1:28" x14ac:dyDescent="0.25">
      <c r="A2963" t="s">
        <v>2967</v>
      </c>
      <c r="B2963">
        <v>0.99542014353169495</v>
      </c>
      <c r="C2963">
        <v>1.0772545609905499</v>
      </c>
      <c r="D2963">
        <v>0.95056399540428704</v>
      </c>
      <c r="E2963">
        <v>0.90974738766373298</v>
      </c>
      <c r="F2963">
        <v>0.73749029863419402</v>
      </c>
      <c r="G2963">
        <v>0.53203502457745699</v>
      </c>
      <c r="H2963">
        <v>0.32016502198645103</v>
      </c>
      <c r="I2963">
        <v>0.29608584838491903</v>
      </c>
      <c r="J2963">
        <v>0.462192062346239</v>
      </c>
      <c r="K2963">
        <v>0.49645164925417001</v>
      </c>
      <c r="L2963">
        <v>1333.6461537095199</v>
      </c>
      <c r="M2963">
        <v>26.374023951768201</v>
      </c>
      <c r="N2963">
        <v>53.724368009648103</v>
      </c>
      <c r="O2963">
        <v>50.278635815608098</v>
      </c>
      <c r="P2963">
        <v>-7.9485274103562903E-2</v>
      </c>
      <c r="Q2963">
        <v>0.39389348418909298</v>
      </c>
      <c r="R2963">
        <v>0.94033592131711596</v>
      </c>
      <c r="S2963" t="s">
        <v>9365</v>
      </c>
      <c r="T2963" t="s">
        <v>12802</v>
      </c>
      <c r="U2963" t="s">
        <v>12802</v>
      </c>
      <c r="V2963" t="s">
        <v>12802</v>
      </c>
      <c r="W2963" t="s">
        <v>15716</v>
      </c>
      <c r="X2963">
        <v>5</v>
      </c>
      <c r="Y2963" t="s">
        <v>21973</v>
      </c>
      <c r="Z2963" t="s">
        <v>28281</v>
      </c>
      <c r="AA2963">
        <v>0.67280388400728997</v>
      </c>
      <c r="AB2963" t="str">
        <f>HYPERLINK("Melting_Curves/meltCurve_P62304_SNRPE.pdf", "Melting_Curves/meltCurve_P62304_SNRPE.pdf")</f>
        <v>Melting_Curves/meltCurve_P62304_SNRPE.pdf</v>
      </c>
    </row>
    <row r="2964" spans="1:28" x14ac:dyDescent="0.25">
      <c r="A2964" t="s">
        <v>2968</v>
      </c>
      <c r="B2964">
        <v>0.99542014353169495</v>
      </c>
      <c r="C2964">
        <v>0.91550773047173595</v>
      </c>
      <c r="D2964">
        <v>0.83784941577141403</v>
      </c>
      <c r="E2964">
        <v>0.74055488048120099</v>
      </c>
      <c r="F2964">
        <v>0.57136025595434803</v>
      </c>
      <c r="G2964">
        <v>0.42777539615055399</v>
      </c>
      <c r="H2964">
        <v>0.26996979131916299</v>
      </c>
      <c r="I2964">
        <v>0.25701627411589201</v>
      </c>
      <c r="J2964">
        <v>0.37932148546175798</v>
      </c>
      <c r="K2964">
        <v>0.44160388500778902</v>
      </c>
      <c r="L2964">
        <v>681.00111876775895</v>
      </c>
      <c r="M2964">
        <v>14.337822933954399</v>
      </c>
      <c r="N2964">
        <v>51.145419656165402</v>
      </c>
      <c r="O2964">
        <v>46.601539498007298</v>
      </c>
      <c r="P2964">
        <v>-5.2293705203853097E-2</v>
      </c>
      <c r="Q2964">
        <v>0.32021104828692398</v>
      </c>
      <c r="R2964">
        <v>0.94125079815127199</v>
      </c>
      <c r="S2964" t="s">
        <v>9366</v>
      </c>
      <c r="T2964" t="s">
        <v>12802</v>
      </c>
      <c r="U2964" t="s">
        <v>12802</v>
      </c>
      <c r="V2964" t="s">
        <v>12802</v>
      </c>
      <c r="W2964" t="s">
        <v>15717</v>
      </c>
      <c r="X2964">
        <v>2</v>
      </c>
      <c r="Y2964" t="s">
        <v>21974</v>
      </c>
      <c r="Z2964" t="s">
        <v>28282</v>
      </c>
      <c r="AA2964">
        <v>0.57442443743419036</v>
      </c>
      <c r="AB2964" t="str">
        <f>HYPERLINK("Melting_Curves/meltCurve_P62306_SNRPF.pdf", "Melting_Curves/meltCurve_P62306_SNRPF.pdf")</f>
        <v>Melting_Curves/meltCurve_P62306_SNRPF.pdf</v>
      </c>
    </row>
    <row r="2965" spans="1:28" x14ac:dyDescent="0.25">
      <c r="A2965" t="s">
        <v>2969</v>
      </c>
      <c r="B2965">
        <v>0.99542014353169495</v>
      </c>
      <c r="C2965">
        <v>1.0370021926694899</v>
      </c>
      <c r="D2965">
        <v>0.80549500649961703</v>
      </c>
      <c r="E2965">
        <v>0.74059883305351504</v>
      </c>
      <c r="F2965">
        <v>0.56023652569431703</v>
      </c>
      <c r="G2965">
        <v>0.44755515156581199</v>
      </c>
      <c r="H2965">
        <v>0.20816853915125599</v>
      </c>
      <c r="I2965">
        <v>0.192371063132148</v>
      </c>
      <c r="J2965">
        <v>0.322686280046175</v>
      </c>
      <c r="K2965">
        <v>0.35831446717582</v>
      </c>
      <c r="L2965">
        <v>700.26518248774903</v>
      </c>
      <c r="M2965">
        <v>14.4846152758572</v>
      </c>
      <c r="N2965">
        <v>50.832520875421501</v>
      </c>
      <c r="O2965">
        <v>47.451977275679802</v>
      </c>
      <c r="P2965">
        <v>-5.6946401529119499E-2</v>
      </c>
      <c r="Q2965">
        <v>0.25385486179347999</v>
      </c>
      <c r="R2965">
        <v>0.94295618707797901</v>
      </c>
      <c r="S2965" t="s">
        <v>9367</v>
      </c>
      <c r="T2965" t="s">
        <v>12802</v>
      </c>
      <c r="U2965" t="s">
        <v>12802</v>
      </c>
      <c r="V2965" t="s">
        <v>12802</v>
      </c>
      <c r="W2965" t="s">
        <v>15718</v>
      </c>
      <c r="X2965">
        <v>4</v>
      </c>
      <c r="Y2965" t="s">
        <v>21975</v>
      </c>
      <c r="Z2965" t="s">
        <v>28283</v>
      </c>
      <c r="AA2965">
        <v>0.55329464327509681</v>
      </c>
      <c r="AB2965" t="str">
        <f>HYPERLINK("Melting_Curves/meltCurve_P62308_SNRPG.pdf", "Melting_Curves/meltCurve_P62308_SNRPG.pdf")</f>
        <v>Melting_Curves/meltCurve_P62308_SNRPG.pdf</v>
      </c>
    </row>
    <row r="2966" spans="1:28" x14ac:dyDescent="0.25">
      <c r="A2966" t="s">
        <v>2970</v>
      </c>
      <c r="B2966">
        <v>0.99542014353169495</v>
      </c>
      <c r="C2966">
        <v>0.96546875723988201</v>
      </c>
      <c r="D2966">
        <v>0.83009938296380004</v>
      </c>
      <c r="E2966">
        <v>0.92128463273977002</v>
      </c>
      <c r="F2966">
        <v>0.62019679824014795</v>
      </c>
      <c r="G2966">
        <v>0.48069109444879099</v>
      </c>
      <c r="H2966">
        <v>0.31802766419289002</v>
      </c>
      <c r="I2966">
        <v>0.296004180379416</v>
      </c>
      <c r="J2966">
        <v>0.63389887592904104</v>
      </c>
      <c r="K2966">
        <v>1.06177749775561</v>
      </c>
      <c r="L2966">
        <v>2199.5165166638499</v>
      </c>
      <c r="M2966">
        <v>45.755526741041002</v>
      </c>
      <c r="O2966">
        <v>47.979500596230103</v>
      </c>
      <c r="P2966">
        <v>-0.105226631128187</v>
      </c>
      <c r="Q2966">
        <v>0.55863558459471996</v>
      </c>
      <c r="R2966">
        <v>0.414806283027845</v>
      </c>
      <c r="S2966" t="s">
        <v>9368</v>
      </c>
      <c r="T2966" t="s">
        <v>12802</v>
      </c>
      <c r="U2966" t="s">
        <v>12802</v>
      </c>
      <c r="V2966" t="s">
        <v>12802</v>
      </c>
      <c r="W2966" t="s">
        <v>15719</v>
      </c>
      <c r="X2966">
        <v>3</v>
      </c>
      <c r="Y2966" t="s">
        <v>21976</v>
      </c>
      <c r="Z2966" t="s">
        <v>28284</v>
      </c>
      <c r="AA2966">
        <v>0.7226333291121616</v>
      </c>
      <c r="AB2966" t="str">
        <f>HYPERLINK("Melting_Curves/meltCurve_P62310_LSM3.pdf", "Melting_Curves/meltCurve_P62310_LSM3.pdf")</f>
        <v>Melting_Curves/meltCurve_P62310_LSM3.pdf</v>
      </c>
    </row>
    <row r="2967" spans="1:28" x14ac:dyDescent="0.25">
      <c r="A2967" t="s">
        <v>2971</v>
      </c>
      <c r="B2967">
        <v>0.99542014353169495</v>
      </c>
      <c r="C2967">
        <v>1.00024572053799</v>
      </c>
      <c r="D2967">
        <v>1.0804508021896599</v>
      </c>
      <c r="E2967">
        <v>1.1518251392988299</v>
      </c>
      <c r="F2967">
        <v>0.90525876456256005</v>
      </c>
      <c r="G2967">
        <v>0.70841590757336703</v>
      </c>
      <c r="H2967">
        <v>0.51893362247638397</v>
      </c>
      <c r="I2967">
        <v>0.59305486600445101</v>
      </c>
      <c r="J2967">
        <v>1.1116039069263499</v>
      </c>
      <c r="K2967">
        <v>1.57106188177913</v>
      </c>
      <c r="L2967">
        <v>15000</v>
      </c>
      <c r="M2967">
        <v>232.76289395082799</v>
      </c>
      <c r="O2967">
        <v>64.438506577397504</v>
      </c>
      <c r="P2967">
        <v>0.45152137250678498</v>
      </c>
      <c r="Q2967">
        <v>1.5</v>
      </c>
      <c r="R2967">
        <v>0.37861896092541703</v>
      </c>
      <c r="S2967" t="s">
        <v>9369</v>
      </c>
      <c r="T2967" t="s">
        <v>12802</v>
      </c>
      <c r="U2967" t="s">
        <v>12802</v>
      </c>
      <c r="V2967" t="s">
        <v>12802</v>
      </c>
      <c r="W2967" t="s">
        <v>15720</v>
      </c>
      <c r="X2967">
        <v>8</v>
      </c>
      <c r="Y2967" t="s">
        <v>21977</v>
      </c>
      <c r="Z2967" t="s">
        <v>28285</v>
      </c>
      <c r="AA2967">
        <v>1.042547773905576</v>
      </c>
      <c r="AB2967" t="str">
        <f>HYPERLINK("Melting_Curves/meltCurve_P62312_LSM6.pdf", "Melting_Curves/meltCurve_P62312_LSM6.pdf")</f>
        <v>Melting_Curves/meltCurve_P62312_LSM6.pdf</v>
      </c>
    </row>
    <row r="2968" spans="1:28" x14ac:dyDescent="0.25">
      <c r="A2968" t="s">
        <v>2972</v>
      </c>
      <c r="B2968">
        <v>0.99542014353169495</v>
      </c>
      <c r="C2968">
        <v>0.98332266891335596</v>
      </c>
      <c r="D2968">
        <v>0.98704337747764304</v>
      </c>
      <c r="E2968">
        <v>0.86411856885406102</v>
      </c>
      <c r="F2968">
        <v>0.76356255373463899</v>
      </c>
      <c r="G2968">
        <v>0.48399198930392801</v>
      </c>
      <c r="H2968">
        <v>0.31477820505006898</v>
      </c>
      <c r="I2968">
        <v>0.22169616357960401</v>
      </c>
      <c r="J2968">
        <v>0.28921431761002903</v>
      </c>
      <c r="K2968">
        <v>0.27052080594685002</v>
      </c>
      <c r="L2968">
        <v>1011.47820079444</v>
      </c>
      <c r="M2968">
        <v>19.557858948070901</v>
      </c>
      <c r="N2968">
        <v>53.479160852409599</v>
      </c>
      <c r="O2968">
        <v>51.185646160724801</v>
      </c>
      <c r="P2968">
        <v>-7.2839739908684503E-2</v>
      </c>
      <c r="Q2968">
        <v>0.23750005586303499</v>
      </c>
      <c r="R2968">
        <v>0.99032892374494796</v>
      </c>
      <c r="S2968" t="s">
        <v>9370</v>
      </c>
      <c r="T2968" t="s">
        <v>12802</v>
      </c>
      <c r="U2968" t="s">
        <v>12802</v>
      </c>
      <c r="V2968" t="s">
        <v>12802</v>
      </c>
      <c r="W2968" t="s">
        <v>15721</v>
      </c>
      <c r="X2968">
        <v>4</v>
      </c>
      <c r="Y2968" t="s">
        <v>21978</v>
      </c>
      <c r="Z2968" t="s">
        <v>28286</v>
      </c>
      <c r="AA2968">
        <v>0.62181412670938863</v>
      </c>
      <c r="AB2968" t="str">
        <f>HYPERLINK("Melting_Curves/meltCurve_P62314_SNRPD1.pdf", "Melting_Curves/meltCurve_P62314_SNRPD1.pdf")</f>
        <v>Melting_Curves/meltCurve_P62314_SNRPD1.pdf</v>
      </c>
    </row>
    <row r="2969" spans="1:28" x14ac:dyDescent="0.25">
      <c r="A2969" t="s">
        <v>2973</v>
      </c>
      <c r="B2969">
        <v>0.99542014353169495</v>
      </c>
      <c r="C2969">
        <v>1.0409107521715799</v>
      </c>
      <c r="D2969">
        <v>1.0324560734800501</v>
      </c>
      <c r="E2969">
        <v>0.91745016302211502</v>
      </c>
      <c r="F2969">
        <v>0.71827499179262899</v>
      </c>
      <c r="G2969">
        <v>0.45750801513683798</v>
      </c>
      <c r="H2969">
        <v>0.25322697733361299</v>
      </c>
      <c r="I2969">
        <v>0.202706603725437</v>
      </c>
      <c r="J2969">
        <v>0.30233151394313101</v>
      </c>
      <c r="K2969">
        <v>0.31450210288011299</v>
      </c>
      <c r="L2969">
        <v>1306.4151756726701</v>
      </c>
      <c r="M2969">
        <v>25.523379330967199</v>
      </c>
      <c r="N2969">
        <v>52.693532719311001</v>
      </c>
      <c r="O2969">
        <v>50.873948842066604</v>
      </c>
      <c r="P2969">
        <v>-9.2914726404435696E-2</v>
      </c>
      <c r="Q2969">
        <v>0.25920799414900397</v>
      </c>
      <c r="R2969">
        <v>0.98519818965009098</v>
      </c>
      <c r="S2969" t="s">
        <v>9371</v>
      </c>
      <c r="T2969" t="s">
        <v>12802</v>
      </c>
      <c r="U2969" t="s">
        <v>12802</v>
      </c>
      <c r="V2969" t="s">
        <v>12802</v>
      </c>
      <c r="W2969" t="s">
        <v>15722</v>
      </c>
      <c r="X2969">
        <v>15</v>
      </c>
      <c r="Y2969" t="s">
        <v>21979</v>
      </c>
      <c r="Z2969" t="s">
        <v>28287</v>
      </c>
      <c r="AA2969">
        <v>0.61577682656827615</v>
      </c>
      <c r="AB2969" t="str">
        <f>HYPERLINK("Melting_Curves/meltCurve_P62316_SNRPD2.pdf", "Melting_Curves/meltCurve_P62316_SNRPD2.pdf")</f>
        <v>Melting_Curves/meltCurve_P62316_SNRPD2.pdf</v>
      </c>
    </row>
    <row r="2970" spans="1:28" x14ac:dyDescent="0.25">
      <c r="A2970" t="s">
        <v>2974</v>
      </c>
      <c r="B2970">
        <v>0.99542014353169495</v>
      </c>
      <c r="C2970">
        <v>1.0733672974838899</v>
      </c>
      <c r="D2970">
        <v>1.0851368130166701</v>
      </c>
      <c r="E2970">
        <v>1.1327430051121801</v>
      </c>
      <c r="F2970">
        <v>0.97970336780043099</v>
      </c>
      <c r="G2970">
        <v>0.79286810314978595</v>
      </c>
      <c r="H2970">
        <v>0.714046706965905</v>
      </c>
      <c r="I2970">
        <v>0.66548816836904001</v>
      </c>
      <c r="J2970">
        <v>0.97071350475794804</v>
      </c>
      <c r="K2970">
        <v>1.2539259902341799</v>
      </c>
      <c r="L2970">
        <v>638.478099175588</v>
      </c>
      <c r="M2970">
        <v>1.0000000000000001E-5</v>
      </c>
      <c r="Q2970">
        <v>1.5</v>
      </c>
      <c r="R2970">
        <v>-3.5257978564621401E-2</v>
      </c>
      <c r="S2970" t="s">
        <v>9372</v>
      </c>
      <c r="T2970" t="s">
        <v>12802</v>
      </c>
      <c r="U2970" t="s">
        <v>12802</v>
      </c>
      <c r="V2970" t="s">
        <v>12802</v>
      </c>
      <c r="W2970" t="s">
        <v>15723</v>
      </c>
      <c r="X2970">
        <v>9</v>
      </c>
      <c r="Y2970" t="s">
        <v>21980</v>
      </c>
      <c r="Z2970" t="s">
        <v>28288</v>
      </c>
      <c r="AA2970">
        <v>1.000007131740605</v>
      </c>
      <c r="AB2970" t="str">
        <f>HYPERLINK("Melting_Curves/meltCurve_P62328_TMSB4X.pdf", "Melting_Curves/meltCurve_P62328_TMSB4X.pdf")</f>
        <v>Melting_Curves/meltCurve_P62328_TMSB4X.pdf</v>
      </c>
    </row>
    <row r="2971" spans="1:28" x14ac:dyDescent="0.25">
      <c r="A2971" t="s">
        <v>2975</v>
      </c>
      <c r="B2971">
        <v>0.99542014353169495</v>
      </c>
      <c r="C2971">
        <v>1.0057680869119601</v>
      </c>
      <c r="D2971">
        <v>1.01338012995867</v>
      </c>
      <c r="E2971">
        <v>0.95981032323181203</v>
      </c>
      <c r="F2971">
        <v>0.75077322108913302</v>
      </c>
      <c r="G2971">
        <v>0.52426024845635399</v>
      </c>
      <c r="H2971">
        <v>0.243811838240481</v>
      </c>
      <c r="I2971">
        <v>0.18333306951188399</v>
      </c>
      <c r="J2971">
        <v>0.160805464712306</v>
      </c>
      <c r="K2971">
        <v>0.142725310908973</v>
      </c>
      <c r="L2971">
        <v>1073.53279167798</v>
      </c>
      <c r="M2971">
        <v>20.301240561555002</v>
      </c>
      <c r="N2971">
        <v>53.662255386004098</v>
      </c>
      <c r="O2971">
        <v>52.3750884016168</v>
      </c>
      <c r="P2971">
        <v>-8.4496191330405507E-2</v>
      </c>
      <c r="Q2971">
        <v>0.128061322246423</v>
      </c>
      <c r="R2971">
        <v>0.99719200965900501</v>
      </c>
      <c r="S2971" t="s">
        <v>9373</v>
      </c>
      <c r="T2971" t="s">
        <v>12802</v>
      </c>
      <c r="U2971" t="s">
        <v>12802</v>
      </c>
      <c r="V2971" t="s">
        <v>12802</v>
      </c>
      <c r="W2971" t="s">
        <v>15724</v>
      </c>
      <c r="X2971">
        <v>6</v>
      </c>
      <c r="Y2971" t="s">
        <v>21981</v>
      </c>
      <c r="Z2971" t="s">
        <v>28289</v>
      </c>
      <c r="AA2971">
        <v>0.6003968749698998</v>
      </c>
      <c r="AB2971" t="str">
        <f>HYPERLINK("Melting_Curves/meltCurve_P62330_ARF6.pdf", "Melting_Curves/meltCurve_P62330_ARF6.pdf")</f>
        <v>Melting_Curves/meltCurve_P62330_ARF6.pdf</v>
      </c>
    </row>
    <row r="2972" spans="1:28" x14ac:dyDescent="0.25">
      <c r="A2972" t="s">
        <v>2976</v>
      </c>
      <c r="B2972">
        <v>0.99542014353169495</v>
      </c>
      <c r="C2972">
        <v>0.92716307615281202</v>
      </c>
      <c r="D2972">
        <v>0.93079420043375205</v>
      </c>
      <c r="E2972">
        <v>0.79950717489996004</v>
      </c>
      <c r="F2972">
        <v>0.53660325815312304</v>
      </c>
      <c r="G2972">
        <v>0.301908768607342</v>
      </c>
      <c r="H2972">
        <v>0.14848934731272101</v>
      </c>
      <c r="I2972">
        <v>6.7980131226126603E-2</v>
      </c>
      <c r="J2972">
        <v>7.4630801095916105E-2</v>
      </c>
      <c r="K2972">
        <v>7.5170208083949905E-2</v>
      </c>
      <c r="L2972">
        <v>789.62449914744195</v>
      </c>
      <c r="M2972">
        <v>15.6632103674095</v>
      </c>
      <c r="N2972">
        <v>50.642949495768903</v>
      </c>
      <c r="O2972">
        <v>49.612406293541099</v>
      </c>
      <c r="P2972">
        <v>-7.6221786159861499E-2</v>
      </c>
      <c r="Q2972">
        <v>3.4368096814291899E-2</v>
      </c>
      <c r="R2972">
        <v>0.99659704570885699</v>
      </c>
      <c r="S2972" t="s">
        <v>9374</v>
      </c>
      <c r="T2972" t="s">
        <v>12802</v>
      </c>
      <c r="U2972" t="s">
        <v>12802</v>
      </c>
      <c r="V2972" t="s">
        <v>12802</v>
      </c>
      <c r="W2972" t="s">
        <v>15725</v>
      </c>
      <c r="X2972">
        <v>31</v>
      </c>
      <c r="Y2972" t="s">
        <v>21982</v>
      </c>
      <c r="Z2972" t="s">
        <v>28290</v>
      </c>
      <c r="AA2972">
        <v>0.48480658476799088</v>
      </c>
      <c r="AB2972" t="str">
        <f>HYPERLINK("Melting_Curves/meltCurve_P62333_PSMC6.pdf", "Melting_Curves/meltCurve_P62333_PSMC6.pdf")</f>
        <v>Melting_Curves/meltCurve_P62333_PSMC6.pdf</v>
      </c>
    </row>
    <row r="2973" spans="1:28" x14ac:dyDescent="0.25">
      <c r="A2973" t="s">
        <v>2977</v>
      </c>
      <c r="B2973">
        <v>0.99542014353169495</v>
      </c>
      <c r="C2973">
        <v>0.88619448005215995</v>
      </c>
      <c r="D2973">
        <v>0.92964811037089401</v>
      </c>
      <c r="E2973">
        <v>0.818280040286953</v>
      </c>
      <c r="F2973">
        <v>0.67087449773631003</v>
      </c>
      <c r="G2973">
        <v>0.34145749591881902</v>
      </c>
      <c r="H2973">
        <v>0.25461876492567098</v>
      </c>
      <c r="I2973">
        <v>7.7489469872463995E-2</v>
      </c>
      <c r="J2973">
        <v>5.7892681056129297E-2</v>
      </c>
      <c r="K2973">
        <v>7.8889012524976404E-2</v>
      </c>
      <c r="L2973">
        <v>701.38703244998499</v>
      </c>
      <c r="M2973">
        <v>13.4914205666516</v>
      </c>
      <c r="N2973">
        <v>51.987657233818098</v>
      </c>
      <c r="O2973">
        <v>50.8853191242723</v>
      </c>
      <c r="P2973">
        <v>-6.6293596562011906E-2</v>
      </c>
      <c r="Q2973">
        <v>0</v>
      </c>
      <c r="R2973">
        <v>0.98581572254942995</v>
      </c>
      <c r="S2973" t="s">
        <v>9375</v>
      </c>
      <c r="T2973" t="s">
        <v>12802</v>
      </c>
      <c r="U2973" t="s">
        <v>12802</v>
      </c>
      <c r="V2973" t="s">
        <v>12802</v>
      </c>
      <c r="W2973" t="s">
        <v>15726</v>
      </c>
      <c r="X2973">
        <v>11</v>
      </c>
      <c r="Y2973" t="s">
        <v>21983</v>
      </c>
      <c r="Z2973" t="s">
        <v>28291</v>
      </c>
      <c r="AA2973">
        <v>0.52103281414735314</v>
      </c>
      <c r="AB2973" t="str">
        <f>HYPERLINK("Melting_Curves/meltCurve_P62424_RPL7A.pdf", "Melting_Curves/meltCurve_P62424_RPL7A.pdf")</f>
        <v>Melting_Curves/meltCurve_P62424_RPL7A.pdf</v>
      </c>
    </row>
    <row r="2974" spans="1:28" x14ac:dyDescent="0.25">
      <c r="A2974" t="s">
        <v>2978</v>
      </c>
      <c r="B2974">
        <v>0.99542014353169495</v>
      </c>
      <c r="C2974">
        <v>1.0466159910587001</v>
      </c>
      <c r="D2974">
        <v>0.94385990152798505</v>
      </c>
      <c r="E2974">
        <v>0.94386634974908301</v>
      </c>
      <c r="F2974">
        <v>0.72927171406362901</v>
      </c>
      <c r="G2974">
        <v>0.70477512048095003</v>
      </c>
      <c r="H2974">
        <v>0.54780391463341205</v>
      </c>
      <c r="I2974">
        <v>0.50266552472387405</v>
      </c>
      <c r="J2974">
        <v>0.51007229904020002</v>
      </c>
      <c r="K2974">
        <v>0.139840798983007</v>
      </c>
      <c r="L2974">
        <v>469.19285083268102</v>
      </c>
      <c r="M2974">
        <v>7.8743434508933499</v>
      </c>
      <c r="N2974">
        <v>59.585008975492897</v>
      </c>
      <c r="O2974">
        <v>56.109200446534999</v>
      </c>
      <c r="P2974">
        <v>-3.5126997758649602E-2</v>
      </c>
      <c r="Q2974">
        <v>0</v>
      </c>
      <c r="R2974">
        <v>0.91632302103691099</v>
      </c>
      <c r="S2974" t="s">
        <v>9376</v>
      </c>
      <c r="T2974" t="s">
        <v>12802</v>
      </c>
      <c r="U2974" t="s">
        <v>12802</v>
      </c>
      <c r="V2974" t="s">
        <v>12802</v>
      </c>
      <c r="W2974" t="s">
        <v>15727</v>
      </c>
      <c r="X2974">
        <v>7</v>
      </c>
      <c r="Y2974" t="s">
        <v>21984</v>
      </c>
      <c r="Z2974" t="s">
        <v>28292</v>
      </c>
      <c r="AA2974">
        <v>0.71315108337472566</v>
      </c>
      <c r="AB2974" t="str">
        <f>HYPERLINK("Melting_Curves/meltCurve_P62487_POLR2G.pdf", "Melting_Curves/meltCurve_P62487_POLR2G.pdf")</f>
        <v>Melting_Curves/meltCurve_P62487_POLR2G.pdf</v>
      </c>
    </row>
    <row r="2975" spans="1:28" x14ac:dyDescent="0.25">
      <c r="A2975" t="s">
        <v>2979</v>
      </c>
      <c r="B2975">
        <v>0.99542014353169495</v>
      </c>
      <c r="C2975">
        <v>0.94451800994735402</v>
      </c>
      <c r="D2975">
        <v>0.90185394612969805</v>
      </c>
      <c r="E2975">
        <v>0.90515803712719001</v>
      </c>
      <c r="F2975">
        <v>0.60062348438677104</v>
      </c>
      <c r="G2975">
        <v>0.15469522064004601</v>
      </c>
      <c r="H2975">
        <v>6.2314449753562699E-2</v>
      </c>
      <c r="I2975">
        <v>3.61281742630662E-2</v>
      </c>
      <c r="J2975">
        <v>3.6848568790899698E-2</v>
      </c>
      <c r="K2975">
        <v>3.48797812237761E-2</v>
      </c>
      <c r="L2975">
        <v>1463.3789550630499</v>
      </c>
      <c r="M2975">
        <v>28.884396966983399</v>
      </c>
      <c r="N2975">
        <v>50.766086454266102</v>
      </c>
      <c r="O2975">
        <v>50.422313492379303</v>
      </c>
      <c r="P2975">
        <v>-0.13914588584841001</v>
      </c>
      <c r="Q2975">
        <v>2.8401920881767701E-2</v>
      </c>
      <c r="R2975">
        <v>0.992262671617679</v>
      </c>
      <c r="S2975" t="s">
        <v>9377</v>
      </c>
      <c r="T2975" t="s">
        <v>12802</v>
      </c>
      <c r="U2975" t="s">
        <v>12802</v>
      </c>
      <c r="V2975" t="s">
        <v>12802</v>
      </c>
      <c r="W2975" t="s">
        <v>15728</v>
      </c>
      <c r="X2975">
        <v>12</v>
      </c>
      <c r="Y2975" t="s">
        <v>21985</v>
      </c>
      <c r="Z2975" t="s">
        <v>28293</v>
      </c>
      <c r="AA2975">
        <v>0.47739607630484399</v>
      </c>
      <c r="AB2975" t="str">
        <f>HYPERLINK("Melting_Curves/meltCurve_P62495_ETF1.pdf", "Melting_Curves/meltCurve_P62495_ETF1.pdf")</f>
        <v>Melting_Curves/meltCurve_P62495_ETF1.pdf</v>
      </c>
    </row>
    <row r="2976" spans="1:28" x14ac:dyDescent="0.25">
      <c r="A2976" t="s">
        <v>2980</v>
      </c>
      <c r="B2976">
        <v>0.99542014353169495</v>
      </c>
      <c r="C2976">
        <v>1.06385116627462</v>
      </c>
      <c r="D2976">
        <v>1.0578329883358499</v>
      </c>
      <c r="E2976">
        <v>1.04033569204856</v>
      </c>
      <c r="F2976">
        <v>0.81264378291684203</v>
      </c>
      <c r="G2976">
        <v>0.70810429447165602</v>
      </c>
      <c r="H2976">
        <v>0.40251982659048802</v>
      </c>
      <c r="I2976">
        <v>0.36793281532926803</v>
      </c>
      <c r="J2976">
        <v>0.62514508813868297</v>
      </c>
      <c r="K2976">
        <v>0.88734210726473495</v>
      </c>
      <c r="L2976">
        <v>1909.2665908766601</v>
      </c>
      <c r="M2976">
        <v>37.563815374950799</v>
      </c>
      <c r="O2976">
        <v>50.683873338683902</v>
      </c>
      <c r="P2976">
        <v>-7.6944000337514695E-2</v>
      </c>
      <c r="Q2976">
        <v>0.584726998886683</v>
      </c>
      <c r="R2976">
        <v>0.690654774111091</v>
      </c>
      <c r="S2976" t="s">
        <v>9378</v>
      </c>
      <c r="T2976" t="s">
        <v>12802</v>
      </c>
      <c r="U2976" t="s">
        <v>12802</v>
      </c>
      <c r="V2976" t="s">
        <v>12802</v>
      </c>
      <c r="W2976" t="s">
        <v>15729</v>
      </c>
      <c r="X2976">
        <v>12</v>
      </c>
      <c r="Y2976" t="s">
        <v>21986</v>
      </c>
      <c r="Z2976" t="s">
        <v>28294</v>
      </c>
      <c r="AA2976">
        <v>0.77778299736728918</v>
      </c>
      <c r="AB2976" t="str">
        <f>HYPERLINK("Melting_Curves/meltCurve_P62633_2_CNBP.pdf", "Melting_Curves/meltCurve_P62633_2_CNBP.pdf")</f>
        <v>Melting_Curves/meltCurve_P62633_2_CNBP.pdf</v>
      </c>
    </row>
    <row r="2977" spans="1:28" x14ac:dyDescent="0.25">
      <c r="A2977" t="s">
        <v>2981</v>
      </c>
      <c r="B2977">
        <v>0.99542014353169495</v>
      </c>
      <c r="C2977">
        <v>1.21011426139775</v>
      </c>
      <c r="D2977">
        <v>1.1063932040911899</v>
      </c>
      <c r="E2977">
        <v>1.0281287334109701</v>
      </c>
      <c r="F2977">
        <v>0.87487680909111598</v>
      </c>
      <c r="G2977">
        <v>0.78395333798951505</v>
      </c>
      <c r="H2977">
        <v>0.358072272964511</v>
      </c>
      <c r="I2977">
        <v>0.34560073475582098</v>
      </c>
      <c r="J2977">
        <v>0.43907994227464697</v>
      </c>
      <c r="K2977">
        <v>0.659765783185845</v>
      </c>
      <c r="L2977">
        <v>13473.328697130801</v>
      </c>
      <c r="M2977">
        <v>250</v>
      </c>
      <c r="N2977">
        <v>54.397111268024197</v>
      </c>
      <c r="O2977">
        <v>53.889865557333998</v>
      </c>
      <c r="P2977">
        <v>-0.63714476445544099</v>
      </c>
      <c r="Q2977">
        <v>0.45062966524436299</v>
      </c>
      <c r="R2977">
        <v>0.850535022322361</v>
      </c>
      <c r="S2977" t="s">
        <v>9379</v>
      </c>
      <c r="T2977" t="s">
        <v>12802</v>
      </c>
      <c r="U2977" t="s">
        <v>12802</v>
      </c>
      <c r="V2977" t="s">
        <v>12802</v>
      </c>
      <c r="W2977" t="s">
        <v>15730</v>
      </c>
      <c r="X2977">
        <v>12</v>
      </c>
      <c r="Y2977" t="s">
        <v>21986</v>
      </c>
      <c r="Z2977" t="s">
        <v>28295</v>
      </c>
      <c r="AA2977">
        <v>0.76003782576696655</v>
      </c>
      <c r="AB2977" t="str">
        <f>HYPERLINK("Melting_Curves/meltCurve_P62633_4_CNBP.pdf", "Melting_Curves/meltCurve_P62633_4_CNBP.pdf")</f>
        <v>Melting_Curves/meltCurve_P62633_4_CNBP.pdf</v>
      </c>
    </row>
    <row r="2978" spans="1:28" x14ac:dyDescent="0.25">
      <c r="A2978" t="s">
        <v>2982</v>
      </c>
      <c r="B2978">
        <v>0.99542014353169495</v>
      </c>
      <c r="C2978">
        <v>0.91533983900687799</v>
      </c>
      <c r="D2978">
        <v>0.89576120948885696</v>
      </c>
      <c r="E2978">
        <v>0.67658617352082895</v>
      </c>
      <c r="F2978">
        <v>0.41623094686972001</v>
      </c>
      <c r="G2978">
        <v>0.16623688811781201</v>
      </c>
      <c r="H2978">
        <v>8.6853579070389E-2</v>
      </c>
      <c r="I2978">
        <v>4.9406658673182398E-2</v>
      </c>
      <c r="J2978">
        <v>5.6813530283631501E-2</v>
      </c>
      <c r="K2978">
        <v>3.9924018913159602E-2</v>
      </c>
      <c r="L2978">
        <v>774.03363481877602</v>
      </c>
      <c r="M2978">
        <v>15.906566215822901</v>
      </c>
      <c r="N2978">
        <v>48.776240293244101</v>
      </c>
      <c r="O2978">
        <v>47.911648014471297</v>
      </c>
      <c r="P2978">
        <v>-8.1478794709125002E-2</v>
      </c>
      <c r="Q2978">
        <v>1.84003264899473E-2</v>
      </c>
      <c r="R2978">
        <v>0.99650517113568404</v>
      </c>
      <c r="S2978" t="s">
        <v>9380</v>
      </c>
      <c r="T2978" t="s">
        <v>12802</v>
      </c>
      <c r="U2978" t="s">
        <v>12802</v>
      </c>
      <c r="V2978" t="s">
        <v>12802</v>
      </c>
      <c r="W2978" t="s">
        <v>15731</v>
      </c>
      <c r="X2978">
        <v>3</v>
      </c>
      <c r="Y2978" t="s">
        <v>21987</v>
      </c>
      <c r="Z2978" t="s">
        <v>28296</v>
      </c>
      <c r="AA2978">
        <v>0.41930085187953109</v>
      </c>
      <c r="AB2978" t="str">
        <f>HYPERLINK("Melting_Curves/meltCurve_P62699_YPEL5.pdf", "Melting_Curves/meltCurve_P62699_YPEL5.pdf")</f>
        <v>Melting_Curves/meltCurve_P62699_YPEL5.pdf</v>
      </c>
    </row>
    <row r="2979" spans="1:28" x14ac:dyDescent="0.25">
      <c r="A2979" t="s">
        <v>2983</v>
      </c>
      <c r="B2979">
        <v>0.99542014353169495</v>
      </c>
      <c r="C2979">
        <v>1.0116588818566199</v>
      </c>
      <c r="D2979">
        <v>1.08348677921642</v>
      </c>
      <c r="E2979">
        <v>0.82862975567984498</v>
      </c>
      <c r="F2979">
        <v>0.46897350717592201</v>
      </c>
      <c r="G2979">
        <v>0.22953911005890701</v>
      </c>
      <c r="H2979">
        <v>0.124143436230527</v>
      </c>
      <c r="I2979">
        <v>5.1664329158888099E-2</v>
      </c>
      <c r="J2979">
        <v>4.7381839610558397E-2</v>
      </c>
      <c r="K2979">
        <v>5.42372842820186E-2</v>
      </c>
      <c r="L2979">
        <v>1147.4704351790001</v>
      </c>
      <c r="M2979">
        <v>23.0210760798963</v>
      </c>
      <c r="N2979">
        <v>50.102017571477901</v>
      </c>
      <c r="O2979">
        <v>49.472803237012698</v>
      </c>
      <c r="P2979">
        <v>-0.109839408359741</v>
      </c>
      <c r="Q2979">
        <v>5.5828296759843202E-2</v>
      </c>
      <c r="R2979">
        <v>0.992013008579678</v>
      </c>
      <c r="S2979" t="s">
        <v>9381</v>
      </c>
      <c r="T2979" t="s">
        <v>12802</v>
      </c>
      <c r="U2979" t="s">
        <v>12802</v>
      </c>
      <c r="V2979" t="s">
        <v>12802</v>
      </c>
      <c r="W2979" t="s">
        <v>15732</v>
      </c>
      <c r="X2979">
        <v>17</v>
      </c>
      <c r="Y2979" t="s">
        <v>21988</v>
      </c>
      <c r="Z2979" t="s">
        <v>28297</v>
      </c>
      <c r="AA2979">
        <v>0.46970381348305179</v>
      </c>
      <c r="AB2979" t="str">
        <f>HYPERLINK("Melting_Curves/meltCurve_P62701_RPS4X.pdf", "Melting_Curves/meltCurve_P62701_RPS4X.pdf")</f>
        <v>Melting_Curves/meltCurve_P62701_RPS4X.pdf</v>
      </c>
    </row>
    <row r="2980" spans="1:28" x14ac:dyDescent="0.25">
      <c r="A2980" t="s">
        <v>2984</v>
      </c>
      <c r="B2980">
        <v>0.99542014353169495</v>
      </c>
      <c r="C2980">
        <v>0.94415789393910898</v>
      </c>
      <c r="D2980">
        <v>0.842945000035907</v>
      </c>
      <c r="E2980">
        <v>0.79691556089291105</v>
      </c>
      <c r="F2980">
        <v>0.68475656979391497</v>
      </c>
      <c r="G2980">
        <v>0.525610995499741</v>
      </c>
      <c r="H2980">
        <v>0.452993428358682</v>
      </c>
      <c r="I2980">
        <v>0.301148273047112</v>
      </c>
      <c r="J2980">
        <v>0.24304465997769101</v>
      </c>
      <c r="K2980">
        <v>0.16160863420837601</v>
      </c>
      <c r="L2980">
        <v>423.58085115107099</v>
      </c>
      <c r="M2980">
        <v>7.73781753349511</v>
      </c>
      <c r="N2980">
        <v>54.741651933229498</v>
      </c>
      <c r="O2980">
        <v>51.445753922131097</v>
      </c>
      <c r="P2980">
        <v>-3.7649977665329501E-2</v>
      </c>
      <c r="Q2980">
        <v>0</v>
      </c>
      <c r="R2980">
        <v>0.99249074943147197</v>
      </c>
      <c r="S2980" t="s">
        <v>9382</v>
      </c>
      <c r="T2980" t="s">
        <v>12802</v>
      </c>
      <c r="U2980" t="s">
        <v>12802</v>
      </c>
      <c r="V2980" t="s">
        <v>12802</v>
      </c>
      <c r="W2980" t="s">
        <v>15733</v>
      </c>
      <c r="X2980">
        <v>19</v>
      </c>
      <c r="Y2980" t="s">
        <v>19550</v>
      </c>
      <c r="Z2980" t="s">
        <v>28298</v>
      </c>
      <c r="AA2980">
        <v>0.59926293804391029</v>
      </c>
      <c r="AB2980" t="str">
        <f>HYPERLINK("Melting_Curves/meltCurve_P62714_PPP2CB.pdf", "Melting_Curves/meltCurve_P62714_PPP2CB.pdf")</f>
        <v>Melting_Curves/meltCurve_P62714_PPP2CB.pdf</v>
      </c>
    </row>
    <row r="2981" spans="1:28" x14ac:dyDescent="0.25">
      <c r="A2981" t="s">
        <v>2985</v>
      </c>
      <c r="B2981">
        <v>0.99542014353169495</v>
      </c>
      <c r="C2981">
        <v>0.93790523241189905</v>
      </c>
      <c r="D2981">
        <v>0.90728719436951499</v>
      </c>
      <c r="E2981">
        <v>0.81666534793328904</v>
      </c>
      <c r="F2981">
        <v>0.59146270119456801</v>
      </c>
      <c r="G2981">
        <v>0.374986238255272</v>
      </c>
      <c r="H2981">
        <v>0.142836653494717</v>
      </c>
      <c r="I2981">
        <v>7.8649245175962806E-2</v>
      </c>
      <c r="J2981">
        <v>9.6516125457762406E-2</v>
      </c>
      <c r="K2981">
        <v>0.108064788945485</v>
      </c>
      <c r="L2981">
        <v>764.67139156232395</v>
      </c>
      <c r="M2981">
        <v>14.9893430936204</v>
      </c>
      <c r="N2981">
        <v>51.306132896096898</v>
      </c>
      <c r="O2981">
        <v>50.132184264084501</v>
      </c>
      <c r="P2981">
        <v>-7.1702275295352905E-2</v>
      </c>
      <c r="Q2981">
        <v>4.0857886234674998E-2</v>
      </c>
      <c r="R2981">
        <v>0.99207079376663698</v>
      </c>
      <c r="S2981" t="s">
        <v>9383</v>
      </c>
      <c r="T2981" t="s">
        <v>12802</v>
      </c>
      <c r="U2981" t="s">
        <v>12802</v>
      </c>
      <c r="V2981" t="s">
        <v>12802</v>
      </c>
      <c r="W2981" t="s">
        <v>15734</v>
      </c>
      <c r="X2981">
        <v>7</v>
      </c>
      <c r="Y2981" t="s">
        <v>21989</v>
      </c>
      <c r="Z2981" t="s">
        <v>28299</v>
      </c>
      <c r="AA2981">
        <v>0.50823097920385429</v>
      </c>
      <c r="AB2981" t="str">
        <f>HYPERLINK("Melting_Curves/meltCurve_P62750_RPL23A.pdf", "Melting_Curves/meltCurve_P62750_RPL23A.pdf")</f>
        <v>Melting_Curves/meltCurve_P62750_RPL23A.pdf</v>
      </c>
    </row>
    <row r="2982" spans="1:28" x14ac:dyDescent="0.25">
      <c r="A2982" t="s">
        <v>2986</v>
      </c>
      <c r="B2982">
        <v>0.99542014353169495</v>
      </c>
      <c r="C2982">
        <v>0.97134210457105596</v>
      </c>
      <c r="D2982">
        <v>1.01975755333041</v>
      </c>
      <c r="E2982">
        <v>0.822447282535128</v>
      </c>
      <c r="F2982">
        <v>0.54049788213000804</v>
      </c>
      <c r="G2982">
        <v>0.241817568651153</v>
      </c>
      <c r="H2982">
        <v>0.154416815199904</v>
      </c>
      <c r="I2982">
        <v>5.9817439347479802E-2</v>
      </c>
      <c r="J2982">
        <v>6.2385459104408202E-2</v>
      </c>
      <c r="K2982">
        <v>6.27615826189524E-2</v>
      </c>
      <c r="L2982">
        <v>1014.6315241815601</v>
      </c>
      <c r="M2982">
        <v>20.178779288437099</v>
      </c>
      <c r="N2982">
        <v>50.5654818229984</v>
      </c>
      <c r="O2982">
        <v>49.7960932789032</v>
      </c>
      <c r="P2982">
        <v>-9.5893934915413495E-2</v>
      </c>
      <c r="Q2982">
        <v>5.3462412639335599E-2</v>
      </c>
      <c r="R2982">
        <v>0.99699388721119497</v>
      </c>
      <c r="S2982" t="s">
        <v>9384</v>
      </c>
      <c r="T2982" t="s">
        <v>12802</v>
      </c>
      <c r="U2982" t="s">
        <v>12802</v>
      </c>
      <c r="V2982" t="s">
        <v>12802</v>
      </c>
      <c r="W2982" t="s">
        <v>15735</v>
      </c>
      <c r="X2982">
        <v>10</v>
      </c>
      <c r="Y2982" t="s">
        <v>21990</v>
      </c>
      <c r="Z2982" t="s">
        <v>28300</v>
      </c>
      <c r="AA2982">
        <v>0.484791652191987</v>
      </c>
      <c r="AB2982" t="str">
        <f>HYPERLINK("Melting_Curves/meltCurve_P62753_RPS6.pdf", "Melting_Curves/meltCurve_P62753_RPS6.pdf")</f>
        <v>Melting_Curves/meltCurve_P62753_RPS6.pdf</v>
      </c>
    </row>
    <row r="2983" spans="1:28" x14ac:dyDescent="0.25">
      <c r="A2983" t="s">
        <v>2987</v>
      </c>
      <c r="B2983">
        <v>0.99542014353169495</v>
      </c>
      <c r="C2983">
        <v>0.86053158738955704</v>
      </c>
      <c r="D2983">
        <v>0.75696915224774697</v>
      </c>
      <c r="E2983">
        <v>0.43857443734171803</v>
      </c>
      <c r="F2983">
        <v>0.187003632923671</v>
      </c>
      <c r="G2983">
        <v>0.11279415578402401</v>
      </c>
      <c r="H2983">
        <v>5.2278515370937799E-2</v>
      </c>
      <c r="I2983">
        <v>4.0340283894896897E-2</v>
      </c>
      <c r="J2983">
        <v>4.5103412932300503E-2</v>
      </c>
      <c r="K2983">
        <v>4.0595708293994399E-2</v>
      </c>
      <c r="L2983">
        <v>732.966769757782</v>
      </c>
      <c r="M2983">
        <v>16.074371621336699</v>
      </c>
      <c r="N2983">
        <v>45.758925899423197</v>
      </c>
      <c r="O2983">
        <v>44.910263355727999</v>
      </c>
      <c r="P2983">
        <v>-8.7035171139049294E-2</v>
      </c>
      <c r="Q2983">
        <v>2.7403043351148501E-2</v>
      </c>
      <c r="R2983">
        <v>0.99671741589329999</v>
      </c>
      <c r="S2983" t="s">
        <v>9385</v>
      </c>
      <c r="T2983" t="s">
        <v>12802</v>
      </c>
      <c r="U2983" t="s">
        <v>12802</v>
      </c>
      <c r="V2983" t="s">
        <v>12802</v>
      </c>
      <c r="W2983" t="s">
        <v>15736</v>
      </c>
      <c r="X2983">
        <v>11</v>
      </c>
      <c r="Y2983" t="s">
        <v>21991</v>
      </c>
      <c r="Z2983" t="s">
        <v>28301</v>
      </c>
      <c r="AA2983">
        <v>0.32597695043604419</v>
      </c>
      <c r="AB2983" t="str">
        <f>HYPERLINK("Melting_Curves/meltCurve_P62805_HIST1H4A.pdf", "Melting_Curves/meltCurve_P62805_HIST1H4A.pdf")</f>
        <v>Melting_Curves/meltCurve_P62805_HIST1H4A.pdf</v>
      </c>
    </row>
    <row r="2984" spans="1:28" x14ac:dyDescent="0.25">
      <c r="A2984" t="s">
        <v>2988</v>
      </c>
      <c r="B2984">
        <v>0.99542014353169495</v>
      </c>
      <c r="C2984">
        <v>0.99094263497951596</v>
      </c>
      <c r="D2984">
        <v>0.92146440533808305</v>
      </c>
      <c r="E2984">
        <v>0.85451092101076098</v>
      </c>
      <c r="F2984">
        <v>0.74308312127071197</v>
      </c>
      <c r="G2984">
        <v>0.59989305752595001</v>
      </c>
      <c r="H2984">
        <v>0.50247230439152202</v>
      </c>
      <c r="I2984">
        <v>0.46729711982315197</v>
      </c>
      <c r="J2984">
        <v>0.75195925453893997</v>
      </c>
      <c r="K2984">
        <v>0.74586041814866799</v>
      </c>
      <c r="L2984">
        <v>1072.04924089932</v>
      </c>
      <c r="M2984">
        <v>22.566693344988501</v>
      </c>
      <c r="O2984">
        <v>47.137480729044398</v>
      </c>
      <c r="P2984">
        <v>-4.6311769860380499E-2</v>
      </c>
      <c r="Q2984">
        <v>0.61306221170796005</v>
      </c>
      <c r="R2984">
        <v>0.75819148266470404</v>
      </c>
      <c r="S2984" t="s">
        <v>9386</v>
      </c>
      <c r="T2984" t="s">
        <v>12802</v>
      </c>
      <c r="U2984" t="s">
        <v>12802</v>
      </c>
      <c r="V2984" t="s">
        <v>12802</v>
      </c>
      <c r="W2984" t="s">
        <v>15737</v>
      </c>
      <c r="X2984">
        <v>18</v>
      </c>
      <c r="Y2984" t="s">
        <v>21992</v>
      </c>
      <c r="Z2984" t="s">
        <v>28302</v>
      </c>
      <c r="AA2984">
        <v>0.75257619852203761</v>
      </c>
      <c r="AB2984" t="str">
        <f>HYPERLINK("Melting_Curves/meltCurve_P62820_RAB1A.pdf", "Melting_Curves/meltCurve_P62820_RAB1A.pdf")</f>
        <v>Melting_Curves/meltCurve_P62820_RAB1A.pdf</v>
      </c>
    </row>
    <row r="2985" spans="1:28" x14ac:dyDescent="0.25">
      <c r="A2985" t="s">
        <v>2989</v>
      </c>
      <c r="B2985">
        <v>0.99542014353169495</v>
      </c>
      <c r="C2985">
        <v>0.94394969494564995</v>
      </c>
      <c r="D2985">
        <v>0.832497101645162</v>
      </c>
      <c r="E2985">
        <v>0.701478181302292</v>
      </c>
      <c r="F2985">
        <v>0.445730833039088</v>
      </c>
      <c r="G2985">
        <v>0.28995073411188899</v>
      </c>
      <c r="H2985">
        <v>9.7553601244961499E-2</v>
      </c>
      <c r="I2985">
        <v>4.0218199122661301E-2</v>
      </c>
      <c r="J2985">
        <v>3.8406677560277901E-2</v>
      </c>
      <c r="K2985">
        <v>4.4307417488360902E-2</v>
      </c>
      <c r="L2985">
        <v>645.12822897633998</v>
      </c>
      <c r="M2985">
        <v>13.079657070252299</v>
      </c>
      <c r="N2985">
        <v>49.323005674057697</v>
      </c>
      <c r="O2985">
        <v>48.212805802116002</v>
      </c>
      <c r="P2985">
        <v>-6.7834227084226595E-2</v>
      </c>
      <c r="Q2985">
        <v>0</v>
      </c>
      <c r="R2985">
        <v>0.99521892945053103</v>
      </c>
      <c r="S2985" t="s">
        <v>9387</v>
      </c>
      <c r="T2985" t="s">
        <v>12802</v>
      </c>
      <c r="U2985" t="s">
        <v>12802</v>
      </c>
      <c r="V2985" t="s">
        <v>12802</v>
      </c>
      <c r="W2985" t="s">
        <v>15738</v>
      </c>
      <c r="X2985">
        <v>8</v>
      </c>
      <c r="Y2985" t="s">
        <v>21993</v>
      </c>
      <c r="Z2985" t="s">
        <v>28303</v>
      </c>
      <c r="AA2985">
        <v>0.4367984539634871</v>
      </c>
      <c r="AB2985" t="str">
        <f>HYPERLINK("Melting_Curves/meltCurve_P62829_RPL23.pdf", "Melting_Curves/meltCurve_P62829_RPL23.pdf")</f>
        <v>Melting_Curves/meltCurve_P62829_RPL23.pdf</v>
      </c>
    </row>
    <row r="2986" spans="1:28" x14ac:dyDescent="0.25">
      <c r="A2986" t="s">
        <v>2990</v>
      </c>
      <c r="B2986">
        <v>0.99542014353169495</v>
      </c>
      <c r="C2986">
        <v>0.98468948397297096</v>
      </c>
      <c r="D2986">
        <v>0.97122131053206195</v>
      </c>
      <c r="E2986">
        <v>0.91598047760474399</v>
      </c>
      <c r="F2986">
        <v>0.79420457821401302</v>
      </c>
      <c r="G2986">
        <v>0.642760081979322</v>
      </c>
      <c r="H2986">
        <v>0.51750543052274001</v>
      </c>
      <c r="I2986">
        <v>0.47734357012770401</v>
      </c>
      <c r="J2986">
        <v>0.62250176544487301</v>
      </c>
      <c r="K2986">
        <v>0.60957010046734295</v>
      </c>
      <c r="L2986">
        <v>1205.27882832093</v>
      </c>
      <c r="M2986">
        <v>24.013536786240699</v>
      </c>
      <c r="O2986">
        <v>49.847441701795802</v>
      </c>
      <c r="P2986">
        <v>-5.3689191799940202E-2</v>
      </c>
      <c r="Q2986">
        <v>0.55421355976247999</v>
      </c>
      <c r="R2986">
        <v>0.94795723563183198</v>
      </c>
      <c r="S2986" t="s">
        <v>9388</v>
      </c>
      <c r="T2986" t="s">
        <v>12802</v>
      </c>
      <c r="U2986" t="s">
        <v>12802</v>
      </c>
      <c r="V2986" t="s">
        <v>12802</v>
      </c>
      <c r="W2986" t="s">
        <v>15739</v>
      </c>
      <c r="X2986">
        <v>16</v>
      </c>
      <c r="Y2986" t="s">
        <v>21994</v>
      </c>
      <c r="Z2986" t="s">
        <v>28304</v>
      </c>
      <c r="AA2986">
        <v>0.75444972392919807</v>
      </c>
      <c r="AB2986" t="str">
        <f>HYPERLINK("Melting_Curves/meltCurve_P62834_RAP1A.pdf", "Melting_Curves/meltCurve_P62834_RAP1A.pdf")</f>
        <v>Melting_Curves/meltCurve_P62834_RAP1A.pdf</v>
      </c>
    </row>
    <row r="2987" spans="1:28" x14ac:dyDescent="0.25">
      <c r="A2987" t="s">
        <v>2991</v>
      </c>
      <c r="B2987">
        <v>0.99542014353169495</v>
      </c>
      <c r="C2987">
        <v>0.97226418957977001</v>
      </c>
      <c r="D2987">
        <v>1.0509551399371899</v>
      </c>
      <c r="E2987">
        <v>1.9981965558941399</v>
      </c>
      <c r="F2987">
        <v>1.4522226458273499</v>
      </c>
      <c r="G2987">
        <v>0.75794076978292402</v>
      </c>
      <c r="H2987">
        <v>0.276523490584002</v>
      </c>
      <c r="I2987">
        <v>8.1542977799815897E-2</v>
      </c>
      <c r="J2987">
        <v>5.7473200055531699E-2</v>
      </c>
      <c r="K2987">
        <v>4.2597175536028799E-2</v>
      </c>
      <c r="L2987">
        <v>2446.0248712841899</v>
      </c>
      <c r="M2987">
        <v>44.027748052417401</v>
      </c>
      <c r="N2987">
        <v>55.717505380726898</v>
      </c>
      <c r="O2987">
        <v>55.442193058020798</v>
      </c>
      <c r="P2987">
        <v>-0.18666727895298801</v>
      </c>
      <c r="Q2987">
        <v>5.9754038649211402E-2</v>
      </c>
      <c r="R2987">
        <v>0.68769763629129199</v>
      </c>
      <c r="S2987" t="s">
        <v>9389</v>
      </c>
      <c r="T2987" t="s">
        <v>12802</v>
      </c>
      <c r="U2987" t="s">
        <v>12802</v>
      </c>
      <c r="V2987" t="s">
        <v>12802</v>
      </c>
      <c r="W2987" t="s">
        <v>15740</v>
      </c>
      <c r="X2987">
        <v>4</v>
      </c>
      <c r="Y2987" t="s">
        <v>21995</v>
      </c>
      <c r="Z2987" t="s">
        <v>28305</v>
      </c>
      <c r="AA2987">
        <v>0.64428477169089216</v>
      </c>
      <c r="AB2987" t="str">
        <f>HYPERLINK("Melting_Curves/meltCurve_P62837_UBE2D2.pdf", "Melting_Curves/meltCurve_P62837_UBE2D2.pdf")</f>
        <v>Melting_Curves/meltCurve_P62837_UBE2D2.pdf</v>
      </c>
    </row>
    <row r="2988" spans="1:28" x14ac:dyDescent="0.25">
      <c r="A2988" t="s">
        <v>2992</v>
      </c>
      <c r="B2988">
        <v>0.99542014353169495</v>
      </c>
      <c r="C2988">
        <v>0.91023104681189704</v>
      </c>
      <c r="D2988">
        <v>0.83875833146024104</v>
      </c>
      <c r="E2988">
        <v>0.83487401237732395</v>
      </c>
      <c r="F2988">
        <v>0.55545127006670902</v>
      </c>
      <c r="G2988">
        <v>0.44049737871446198</v>
      </c>
      <c r="H2988">
        <v>0.23997418600613901</v>
      </c>
      <c r="I2988">
        <v>0.15820735833294899</v>
      </c>
      <c r="J2988">
        <v>0.188990325733188</v>
      </c>
      <c r="K2988">
        <v>0.23089558415506201</v>
      </c>
      <c r="L2988">
        <v>624.65091324945797</v>
      </c>
      <c r="M2988">
        <v>12.4060865630276</v>
      </c>
      <c r="N2988">
        <v>51.5962140343877</v>
      </c>
      <c r="O2988">
        <v>49.095796161120603</v>
      </c>
      <c r="P2988">
        <v>-5.5008175000235401E-2</v>
      </c>
      <c r="Q2988">
        <v>0.12942795171771901</v>
      </c>
      <c r="R2988">
        <v>0.975228234809556</v>
      </c>
      <c r="S2988" t="s">
        <v>9390</v>
      </c>
      <c r="T2988" t="s">
        <v>12802</v>
      </c>
      <c r="U2988" t="s">
        <v>12802</v>
      </c>
      <c r="V2988" t="s">
        <v>12802</v>
      </c>
      <c r="W2988" t="s">
        <v>15741</v>
      </c>
      <c r="X2988">
        <v>5</v>
      </c>
      <c r="Y2988" t="s">
        <v>21996</v>
      </c>
      <c r="Z2988" t="s">
        <v>28306</v>
      </c>
      <c r="AA2988">
        <v>0.5397615342735459</v>
      </c>
      <c r="AB2988" t="str">
        <f>HYPERLINK("Melting_Curves/meltCurve_P62851_RPS25.pdf", "Melting_Curves/meltCurve_P62851_RPS25.pdf")</f>
        <v>Melting_Curves/meltCurve_P62851_RPS25.pdf</v>
      </c>
    </row>
    <row r="2989" spans="1:28" x14ac:dyDescent="0.25">
      <c r="A2989" t="s">
        <v>2993</v>
      </c>
      <c r="B2989">
        <v>0.99542014353169495</v>
      </c>
      <c r="C2989">
        <v>0.88269545431230301</v>
      </c>
      <c r="D2989">
        <v>0.80766830060999395</v>
      </c>
      <c r="E2989">
        <v>0.73987647372426402</v>
      </c>
      <c r="F2989">
        <v>0.50680595403627904</v>
      </c>
      <c r="G2989">
        <v>0.29662029047265798</v>
      </c>
      <c r="H2989">
        <v>0.142650737399491</v>
      </c>
      <c r="I2989">
        <v>4.9119728317404097E-2</v>
      </c>
      <c r="J2989">
        <v>3.1467602126292599E-2</v>
      </c>
      <c r="K2989">
        <v>5.1172872686959497E-2</v>
      </c>
      <c r="L2989">
        <v>607.18435648368995</v>
      </c>
      <c r="M2989">
        <v>12.195206962603001</v>
      </c>
      <c r="N2989">
        <v>49.788784082474699</v>
      </c>
      <c r="O2989">
        <v>48.506754841653802</v>
      </c>
      <c r="P2989">
        <v>-6.2867365939080794E-2</v>
      </c>
      <c r="Q2989">
        <v>0</v>
      </c>
      <c r="R2989">
        <v>0.98781175994469295</v>
      </c>
      <c r="S2989" t="s">
        <v>9391</v>
      </c>
      <c r="T2989" t="s">
        <v>12802</v>
      </c>
      <c r="U2989" t="s">
        <v>12802</v>
      </c>
      <c r="V2989" t="s">
        <v>12802</v>
      </c>
      <c r="W2989" t="s">
        <v>15742</v>
      </c>
      <c r="X2989">
        <v>4</v>
      </c>
      <c r="Y2989" t="s">
        <v>21997</v>
      </c>
      <c r="Z2989" t="s">
        <v>28307</v>
      </c>
      <c r="AA2989">
        <v>0.45411570381211391</v>
      </c>
      <c r="AB2989" t="str">
        <f>HYPERLINK("Melting_Curves/meltCurve_P62854_RPS26.pdf", "Melting_Curves/meltCurve_P62854_RPS26.pdf")</f>
        <v>Melting_Curves/meltCurve_P62854_RPS26.pdf</v>
      </c>
    </row>
    <row r="2990" spans="1:28" x14ac:dyDescent="0.25">
      <c r="A2990" t="s">
        <v>2994</v>
      </c>
      <c r="B2990">
        <v>0.99542014353169495</v>
      </c>
      <c r="C2990">
        <v>1.01074244033086</v>
      </c>
      <c r="D2990">
        <v>0.95223631652759599</v>
      </c>
      <c r="E2990">
        <v>0.99312455575516301</v>
      </c>
      <c r="F2990">
        <v>0.91961390326693704</v>
      </c>
      <c r="G2990">
        <v>0.88540384220087598</v>
      </c>
      <c r="H2990">
        <v>0.78227965201006699</v>
      </c>
      <c r="I2990">
        <v>0.824798034728361</v>
      </c>
      <c r="J2990">
        <v>1.1696827873353299</v>
      </c>
      <c r="K2990">
        <v>1.3650659501445099</v>
      </c>
      <c r="L2990">
        <v>15000</v>
      </c>
      <c r="M2990">
        <v>233.868191955686</v>
      </c>
      <c r="O2990">
        <v>64.134001094060906</v>
      </c>
      <c r="P2990">
        <v>0.33282442484517899</v>
      </c>
      <c r="Q2990">
        <v>1.3650836339086601</v>
      </c>
      <c r="R2990">
        <v>0.61653195147030904</v>
      </c>
      <c r="S2990" t="s">
        <v>9392</v>
      </c>
      <c r="T2990" t="s">
        <v>12802</v>
      </c>
      <c r="U2990" t="s">
        <v>12802</v>
      </c>
      <c r="V2990" t="s">
        <v>12802</v>
      </c>
      <c r="W2990" t="s">
        <v>15743</v>
      </c>
      <c r="X2990">
        <v>11</v>
      </c>
      <c r="Y2990" t="s">
        <v>21998</v>
      </c>
      <c r="Z2990" t="s">
        <v>28308</v>
      </c>
      <c r="AA2990">
        <v>1.0347737618355981</v>
      </c>
      <c r="AB2990" t="str">
        <f>HYPERLINK("Melting_Curves/meltCurve_P62857_RPS28.pdf", "Melting_Curves/meltCurve_P62857_RPS28.pdf")</f>
        <v>Melting_Curves/meltCurve_P62857_RPS28.pdf</v>
      </c>
    </row>
    <row r="2991" spans="1:28" x14ac:dyDescent="0.25">
      <c r="A2991" t="s">
        <v>2995</v>
      </c>
      <c r="B2991">
        <v>0.99542014353169495</v>
      </c>
      <c r="C2991">
        <v>0.95445817097885099</v>
      </c>
      <c r="D2991">
        <v>0.98160349613766995</v>
      </c>
      <c r="E2991">
        <v>0.92533694801746003</v>
      </c>
      <c r="F2991">
        <v>0.85798877983882704</v>
      </c>
      <c r="G2991">
        <v>0.64028145233287403</v>
      </c>
      <c r="H2991">
        <v>0.20927681369842299</v>
      </c>
      <c r="I2991">
        <v>4.1497763399165E-2</v>
      </c>
      <c r="J2991">
        <v>2.1661911918079198E-2</v>
      </c>
      <c r="K2991">
        <v>2.7879640640133301E-2</v>
      </c>
      <c r="L2991">
        <v>1375.16239205026</v>
      </c>
      <c r="M2991">
        <v>25.162277777195801</v>
      </c>
      <c r="N2991">
        <v>54.651765761804498</v>
      </c>
      <c r="O2991">
        <v>54.310062491435097</v>
      </c>
      <c r="P2991">
        <v>-0.11582847710543</v>
      </c>
      <c r="Q2991">
        <v>0</v>
      </c>
      <c r="R2991">
        <v>0.99329667509735997</v>
      </c>
      <c r="S2991" t="s">
        <v>9393</v>
      </c>
      <c r="T2991" t="s">
        <v>12802</v>
      </c>
      <c r="U2991" t="s">
        <v>12802</v>
      </c>
      <c r="V2991" t="s">
        <v>12802</v>
      </c>
      <c r="W2991" t="s">
        <v>15744</v>
      </c>
      <c r="X2991">
        <v>11</v>
      </c>
      <c r="Y2991" t="s">
        <v>21999</v>
      </c>
      <c r="Z2991" t="s">
        <v>28309</v>
      </c>
      <c r="AA2991">
        <v>0.59690559980450619</v>
      </c>
      <c r="AB2991" t="str">
        <f>HYPERLINK("Melting_Curves/meltCurve_P62873_GNB1.pdf", "Melting_Curves/meltCurve_P62873_GNB1.pdf")</f>
        <v>Melting_Curves/meltCurve_P62873_GNB1.pdf</v>
      </c>
    </row>
    <row r="2992" spans="1:28" x14ac:dyDescent="0.25">
      <c r="A2992" t="s">
        <v>2996</v>
      </c>
      <c r="B2992">
        <v>0.99542014353169495</v>
      </c>
      <c r="C2992">
        <v>0.831546569342002</v>
      </c>
      <c r="D2992">
        <v>0.79707234279732198</v>
      </c>
      <c r="E2992">
        <v>0.535031932019981</v>
      </c>
      <c r="F2992">
        <v>0.274642326628669</v>
      </c>
      <c r="G2992">
        <v>0.123972828965051</v>
      </c>
      <c r="H2992">
        <v>8.3613484957848094E-2</v>
      </c>
      <c r="I2992">
        <v>5.7599253140277397E-2</v>
      </c>
      <c r="J2992">
        <v>6.2861654279341705E-2</v>
      </c>
      <c r="K2992">
        <v>8.7164750563086105E-2</v>
      </c>
      <c r="L2992">
        <v>671.36404224428395</v>
      </c>
      <c r="M2992">
        <v>14.455049240938999</v>
      </c>
      <c r="N2992">
        <v>46.706715998856801</v>
      </c>
      <c r="O2992">
        <v>45.583202841860199</v>
      </c>
      <c r="P2992">
        <v>-7.6202641332449403E-2</v>
      </c>
      <c r="Q2992">
        <v>3.8909001875157501E-2</v>
      </c>
      <c r="R2992">
        <v>0.99025763155156699</v>
      </c>
      <c r="S2992" t="s">
        <v>9394</v>
      </c>
      <c r="T2992" t="s">
        <v>12802</v>
      </c>
      <c r="U2992" t="s">
        <v>12802</v>
      </c>
      <c r="V2992" t="s">
        <v>12802</v>
      </c>
      <c r="W2992" t="s">
        <v>15745</v>
      </c>
      <c r="X2992">
        <v>2</v>
      </c>
      <c r="Y2992" t="s">
        <v>22000</v>
      </c>
      <c r="Z2992" t="s">
        <v>28310</v>
      </c>
      <c r="AA2992">
        <v>0.36494726624234419</v>
      </c>
      <c r="AB2992" t="str">
        <f>HYPERLINK("Melting_Curves/meltCurve_P62875_POLR2L.pdf", "Melting_Curves/meltCurve_P62875_POLR2L.pdf")</f>
        <v>Melting_Curves/meltCurve_P62875_POLR2L.pdf</v>
      </c>
    </row>
    <row r="2993" spans="1:28" x14ac:dyDescent="0.25">
      <c r="A2993" t="s">
        <v>2997</v>
      </c>
      <c r="B2993">
        <v>0.99542014353169495</v>
      </c>
      <c r="C2993">
        <v>0.89530398588641003</v>
      </c>
      <c r="D2993">
        <v>1.0573145170573901</v>
      </c>
      <c r="E2993">
        <v>0.97265081789498897</v>
      </c>
      <c r="F2993">
        <v>0.71146094016130501</v>
      </c>
      <c r="G2993">
        <v>0.34828145527470999</v>
      </c>
      <c r="H2993">
        <v>0.19780758652884201</v>
      </c>
      <c r="I2993">
        <v>0.20089113819072801</v>
      </c>
      <c r="J2993">
        <v>0.19159219334087399</v>
      </c>
      <c r="K2993">
        <v>0.19920024227129199</v>
      </c>
      <c r="L2993">
        <v>1609.1017496028301</v>
      </c>
      <c r="M2993">
        <v>31.426329032346899</v>
      </c>
      <c r="N2993">
        <v>51.999107858548903</v>
      </c>
      <c r="O2993">
        <v>50.996357987433797</v>
      </c>
      <c r="P2993">
        <v>-0.12462383713446901</v>
      </c>
      <c r="Q2993">
        <v>0.19108245932696699</v>
      </c>
      <c r="R2993">
        <v>0.98841478035235797</v>
      </c>
      <c r="S2993" t="s">
        <v>9395</v>
      </c>
      <c r="T2993" t="s">
        <v>12802</v>
      </c>
      <c r="U2993" t="s">
        <v>12802</v>
      </c>
      <c r="V2993" t="s">
        <v>12802</v>
      </c>
      <c r="W2993" t="s">
        <v>15746</v>
      </c>
      <c r="X2993">
        <v>3</v>
      </c>
      <c r="Y2993" t="s">
        <v>22001</v>
      </c>
      <c r="Z2993" t="s">
        <v>28311</v>
      </c>
      <c r="AA2993">
        <v>0.57864909293838529</v>
      </c>
      <c r="AB2993" t="str">
        <f>HYPERLINK("Melting_Curves/meltCurve_P62877_RBX1.pdf", "Melting_Curves/meltCurve_P62877_RBX1.pdf")</f>
        <v>Melting_Curves/meltCurve_P62877_RBX1.pdf</v>
      </c>
    </row>
    <row r="2994" spans="1:28" x14ac:dyDescent="0.25">
      <c r="A2994" t="s">
        <v>2998</v>
      </c>
      <c r="B2994">
        <v>0.99542014353169495</v>
      </c>
      <c r="C2994">
        <v>0.93055340655986196</v>
      </c>
      <c r="D2994">
        <v>0.98830864365989302</v>
      </c>
      <c r="E2994">
        <v>0.86382541695289505</v>
      </c>
      <c r="F2994">
        <v>0.78729428194466899</v>
      </c>
      <c r="G2994">
        <v>0.45782089213967597</v>
      </c>
      <c r="H2994">
        <v>0.10252100142153101</v>
      </c>
      <c r="I2994">
        <v>4.9104665019861098E-2</v>
      </c>
      <c r="J2994">
        <v>3.4553511310903097E-2</v>
      </c>
      <c r="K2994">
        <v>4.6980679345441E-2</v>
      </c>
      <c r="L2994">
        <v>1161.04585359719</v>
      </c>
      <c r="M2994">
        <v>21.916712277021801</v>
      </c>
      <c r="N2994">
        <v>53.004708880859702</v>
      </c>
      <c r="O2994">
        <v>52.540245928348803</v>
      </c>
      <c r="P2994">
        <v>-0.103658882126132</v>
      </c>
      <c r="Q2994">
        <v>6.02980314246094E-3</v>
      </c>
      <c r="R2994">
        <v>0.98867103488413</v>
      </c>
      <c r="S2994" t="s">
        <v>9396</v>
      </c>
      <c r="T2994" t="s">
        <v>12802</v>
      </c>
      <c r="U2994" t="s">
        <v>12802</v>
      </c>
      <c r="V2994" t="s">
        <v>12802</v>
      </c>
      <c r="W2994" t="s">
        <v>15747</v>
      </c>
      <c r="X2994">
        <v>13</v>
      </c>
      <c r="Y2994" t="s">
        <v>22002</v>
      </c>
      <c r="Z2994" t="s">
        <v>28312</v>
      </c>
      <c r="AA2994">
        <v>0.5462449661187283</v>
      </c>
      <c r="AB2994" t="str">
        <f>HYPERLINK("Melting_Curves/meltCurve_P62879_GNB2.pdf", "Melting_Curves/meltCurve_P62879_GNB2.pdf")</f>
        <v>Melting_Curves/meltCurve_P62879_GNB2.pdf</v>
      </c>
    </row>
    <row r="2995" spans="1:28" x14ac:dyDescent="0.25">
      <c r="A2995" t="s">
        <v>2999</v>
      </c>
      <c r="B2995">
        <v>0.99542014353169495</v>
      </c>
      <c r="C2995">
        <v>0.99039125819651896</v>
      </c>
      <c r="D2995">
        <v>1.03961860764198</v>
      </c>
      <c r="E2995">
        <v>0.801036690035694</v>
      </c>
      <c r="F2995">
        <v>0.588660522825183</v>
      </c>
      <c r="G2995">
        <v>0.26880296677299897</v>
      </c>
      <c r="H2995">
        <v>0.16018363579820699</v>
      </c>
      <c r="I2995">
        <v>9.0143894240908906E-2</v>
      </c>
      <c r="J2995">
        <v>9.1215554922712896E-2</v>
      </c>
      <c r="K2995">
        <v>0.121310576213012</v>
      </c>
      <c r="L2995">
        <v>1022.31118465999</v>
      </c>
      <c r="M2995">
        <v>20.299652466151301</v>
      </c>
      <c r="N2995">
        <v>50.838926088665097</v>
      </c>
      <c r="O2995">
        <v>49.879946778299498</v>
      </c>
      <c r="P2995">
        <v>-9.2907946457284202E-2</v>
      </c>
      <c r="Q2995">
        <v>8.6861260540466501E-2</v>
      </c>
      <c r="R2995">
        <v>0.99370003784276095</v>
      </c>
      <c r="S2995" t="s">
        <v>9397</v>
      </c>
      <c r="T2995" t="s">
        <v>12802</v>
      </c>
      <c r="U2995" t="s">
        <v>12802</v>
      </c>
      <c r="V2995" t="s">
        <v>12802</v>
      </c>
      <c r="W2995" t="s">
        <v>15748</v>
      </c>
      <c r="X2995">
        <v>6</v>
      </c>
      <c r="Y2995" t="s">
        <v>22003</v>
      </c>
      <c r="Z2995" t="s">
        <v>28313</v>
      </c>
      <c r="AA2995">
        <v>0.50524755711093194</v>
      </c>
      <c r="AB2995" t="str">
        <f>HYPERLINK("Melting_Curves/meltCurve_P62899_RPL31.pdf", "Melting_Curves/meltCurve_P62899_RPL31.pdf")</f>
        <v>Melting_Curves/meltCurve_P62899_RPL31.pdf</v>
      </c>
    </row>
    <row r="2996" spans="1:28" x14ac:dyDescent="0.25">
      <c r="A2996" t="s">
        <v>3000</v>
      </c>
      <c r="B2996">
        <v>0.99542014353169495</v>
      </c>
      <c r="C2996">
        <v>0.94983220639897303</v>
      </c>
      <c r="D2996">
        <v>0.93119096120942002</v>
      </c>
      <c r="E2996">
        <v>0.821361840748838</v>
      </c>
      <c r="F2996">
        <v>0.71491023042132096</v>
      </c>
      <c r="G2996">
        <v>0.43677076067368598</v>
      </c>
      <c r="H2996">
        <v>0.23861340445568799</v>
      </c>
      <c r="I2996">
        <v>0.10776496460105101</v>
      </c>
      <c r="J2996">
        <v>0.10589702261398699</v>
      </c>
      <c r="K2996">
        <v>9.5898257559362807E-2</v>
      </c>
      <c r="L2996">
        <v>725.39644659207295</v>
      </c>
      <c r="M2996">
        <v>13.791448147557199</v>
      </c>
      <c r="N2996">
        <v>52.752106822653801</v>
      </c>
      <c r="O2996">
        <v>51.528714358928298</v>
      </c>
      <c r="P2996">
        <v>-6.5595824172469994E-2</v>
      </c>
      <c r="Q2996">
        <v>1.98004038021398E-2</v>
      </c>
      <c r="R2996">
        <v>0.99344972080777505</v>
      </c>
      <c r="S2996" t="s">
        <v>9398</v>
      </c>
      <c r="T2996" t="s">
        <v>12802</v>
      </c>
      <c r="U2996" t="s">
        <v>12802</v>
      </c>
      <c r="V2996" t="s">
        <v>12802</v>
      </c>
      <c r="W2996" t="s">
        <v>15749</v>
      </c>
      <c r="X2996">
        <v>6</v>
      </c>
      <c r="Y2996" t="s">
        <v>22004</v>
      </c>
      <c r="Z2996" t="s">
        <v>28314</v>
      </c>
      <c r="AA2996">
        <v>0.54899433024116162</v>
      </c>
      <c r="AB2996" t="str">
        <f>HYPERLINK("Melting_Curves/meltCurve_P62906_RPL10A.pdf", "Melting_Curves/meltCurve_P62906_RPL10A.pdf")</f>
        <v>Melting_Curves/meltCurve_P62906_RPL10A.pdf</v>
      </c>
    </row>
    <row r="2997" spans="1:28" x14ac:dyDescent="0.25">
      <c r="A2997" t="s">
        <v>3001</v>
      </c>
      <c r="B2997">
        <v>0.99542014353169495</v>
      </c>
      <c r="C2997">
        <v>1.1216948090514101</v>
      </c>
      <c r="D2997">
        <v>0.99014035569665604</v>
      </c>
      <c r="E2997">
        <v>0.71630271294813397</v>
      </c>
      <c r="F2997">
        <v>0.49585112167009499</v>
      </c>
      <c r="G2997">
        <v>0.33977140698860497</v>
      </c>
      <c r="H2997">
        <v>0.14646599578914901</v>
      </c>
      <c r="I2997">
        <v>7.0386583643411799E-2</v>
      </c>
      <c r="J2997">
        <v>7.7934155868062002E-2</v>
      </c>
      <c r="K2997">
        <v>6.2536205914879406E-2</v>
      </c>
      <c r="L2997">
        <v>794.03203890418797</v>
      </c>
      <c r="M2997">
        <v>15.861827479114</v>
      </c>
      <c r="N2997">
        <v>50.354687763364097</v>
      </c>
      <c r="O2997">
        <v>49.283909233523602</v>
      </c>
      <c r="P2997">
        <v>-7.6893154424719695E-2</v>
      </c>
      <c r="Q2997">
        <v>4.4426007185282203E-2</v>
      </c>
      <c r="R2997">
        <v>0.98151438109731903</v>
      </c>
      <c r="S2997" t="s">
        <v>9399</v>
      </c>
      <c r="T2997" t="s">
        <v>12802</v>
      </c>
      <c r="U2997" t="s">
        <v>12802</v>
      </c>
      <c r="V2997" t="s">
        <v>12802</v>
      </c>
      <c r="W2997" t="s">
        <v>15750</v>
      </c>
      <c r="X2997">
        <v>10</v>
      </c>
      <c r="Y2997" t="s">
        <v>22005</v>
      </c>
      <c r="Z2997" t="s">
        <v>28315</v>
      </c>
      <c r="AA2997">
        <v>0.47875882266812603</v>
      </c>
      <c r="AB2997" t="str">
        <f>HYPERLINK("Melting_Curves/meltCurve_P62913_2_RPL11.pdf", "Melting_Curves/meltCurve_P62913_2_RPL11.pdf")</f>
        <v>Melting_Curves/meltCurve_P62913_2_RPL11.pdf</v>
      </c>
    </row>
    <row r="2998" spans="1:28" x14ac:dyDescent="0.25">
      <c r="A2998" t="s">
        <v>3002</v>
      </c>
      <c r="B2998">
        <v>0.99542014353169495</v>
      </c>
      <c r="C2998">
        <v>1.0325031580466899</v>
      </c>
      <c r="D2998">
        <v>0.93931556700169405</v>
      </c>
      <c r="E2998">
        <v>0.92153674288829102</v>
      </c>
      <c r="F2998">
        <v>0.55551120200371096</v>
      </c>
      <c r="G2998">
        <v>0.192807897363069</v>
      </c>
      <c r="H2998">
        <v>6.8419857361810096E-2</v>
      </c>
      <c r="I2998">
        <v>4.33114139621898E-2</v>
      </c>
      <c r="J2998">
        <v>4.7568370166916701E-2</v>
      </c>
      <c r="K2998">
        <v>5.4743039569578503E-2</v>
      </c>
      <c r="L2998">
        <v>1396.37579277707</v>
      </c>
      <c r="M2998">
        <v>27.666088078201501</v>
      </c>
      <c r="N2998">
        <v>50.637260684626703</v>
      </c>
      <c r="O2998">
        <v>50.210982496333699</v>
      </c>
      <c r="P2998">
        <v>-0.13182020781925299</v>
      </c>
      <c r="Q2998">
        <v>4.3050531844326202E-2</v>
      </c>
      <c r="R2998">
        <v>0.997632458891481</v>
      </c>
      <c r="S2998" t="s">
        <v>9400</v>
      </c>
      <c r="T2998" t="s">
        <v>12802</v>
      </c>
      <c r="U2998" t="s">
        <v>12802</v>
      </c>
      <c r="V2998" t="s">
        <v>12802</v>
      </c>
      <c r="W2998" t="s">
        <v>15751</v>
      </c>
      <c r="X2998">
        <v>18</v>
      </c>
      <c r="Y2998" t="s">
        <v>22006</v>
      </c>
      <c r="Z2998" t="s">
        <v>28316</v>
      </c>
      <c r="AA2998">
        <v>0.4797273150162622</v>
      </c>
      <c r="AB2998" t="str">
        <f>HYPERLINK("Melting_Curves/meltCurve_P62937_PPIA.pdf", "Melting_Curves/meltCurve_P62937_PPIA.pdf")</f>
        <v>Melting_Curves/meltCurve_P62937_PPIA.pdf</v>
      </c>
    </row>
    <row r="2999" spans="1:28" x14ac:dyDescent="0.25">
      <c r="A2999" t="s">
        <v>3003</v>
      </c>
      <c r="B2999">
        <v>0.99542014353169495</v>
      </c>
      <c r="C2999">
        <v>1.05404315479366</v>
      </c>
      <c r="D2999">
        <v>0.96586162513955398</v>
      </c>
      <c r="E2999">
        <v>1.0059947169196699</v>
      </c>
      <c r="F2999">
        <v>0.81295110381272695</v>
      </c>
      <c r="G2999">
        <v>0.69731173130663004</v>
      </c>
      <c r="H2999">
        <v>0.29179709936548798</v>
      </c>
      <c r="I2999">
        <v>0.16090640318785701</v>
      </c>
      <c r="J2999">
        <v>0.18404921643618799</v>
      </c>
      <c r="K2999">
        <v>0.20817255456150499</v>
      </c>
      <c r="L2999">
        <v>1345.9307254482301</v>
      </c>
      <c r="M2999">
        <v>24.785408055361401</v>
      </c>
      <c r="N2999">
        <v>55.132907918946003</v>
      </c>
      <c r="O2999">
        <v>53.953568464875701</v>
      </c>
      <c r="P2999">
        <v>-9.6972243081752799E-2</v>
      </c>
      <c r="Q2999">
        <v>0.15564439925965001</v>
      </c>
      <c r="R2999">
        <v>0.98240238871139696</v>
      </c>
      <c r="S2999" t="s">
        <v>9401</v>
      </c>
      <c r="T2999" t="s">
        <v>12802</v>
      </c>
      <c r="U2999" t="s">
        <v>12802</v>
      </c>
      <c r="V2999" t="s">
        <v>12802</v>
      </c>
      <c r="W2999" t="s">
        <v>15752</v>
      </c>
      <c r="X2999">
        <v>7</v>
      </c>
      <c r="Y2999" t="s">
        <v>22007</v>
      </c>
      <c r="Z2999" t="s">
        <v>28317</v>
      </c>
      <c r="AA2999">
        <v>0.65007634276073112</v>
      </c>
      <c r="AB2999" t="str">
        <f>HYPERLINK("Melting_Curves/meltCurve_P62942_FKBP1A.pdf", "Melting_Curves/meltCurve_P62942_FKBP1A.pdf")</f>
        <v>Melting_Curves/meltCurve_P62942_FKBP1A.pdf</v>
      </c>
    </row>
    <row r="3000" spans="1:28" x14ac:dyDescent="0.25">
      <c r="A3000" t="s">
        <v>3004</v>
      </c>
      <c r="B3000">
        <v>0.99542014353169495</v>
      </c>
      <c r="C3000">
        <v>0.96119876329072496</v>
      </c>
      <c r="D3000">
        <v>1.01273873385505</v>
      </c>
      <c r="E3000">
        <v>0.84279894695450897</v>
      </c>
      <c r="F3000">
        <v>0.63421695462128402</v>
      </c>
      <c r="G3000">
        <v>0.44073603481386298</v>
      </c>
      <c r="H3000">
        <v>0.332227940790912</v>
      </c>
      <c r="I3000">
        <v>0.28670567732399399</v>
      </c>
      <c r="J3000">
        <v>0.38793750484169498</v>
      </c>
      <c r="K3000">
        <v>0.42816327418456801</v>
      </c>
      <c r="L3000">
        <v>1161.17406278369</v>
      </c>
      <c r="M3000">
        <v>23.5319079080978</v>
      </c>
      <c r="N3000">
        <v>52.069214020918103</v>
      </c>
      <c r="O3000">
        <v>48.992455204265298</v>
      </c>
      <c r="P3000">
        <v>-7.75668231433468E-2</v>
      </c>
      <c r="Q3000">
        <v>0.35404741353569902</v>
      </c>
      <c r="R3000">
        <v>0.97752756881090197</v>
      </c>
      <c r="S3000" t="s">
        <v>9402</v>
      </c>
      <c r="T3000" t="s">
        <v>12802</v>
      </c>
      <c r="U3000" t="s">
        <v>12802</v>
      </c>
      <c r="V3000" t="s">
        <v>12802</v>
      </c>
      <c r="W3000" t="s">
        <v>15753</v>
      </c>
      <c r="X3000">
        <v>8</v>
      </c>
      <c r="Y3000" t="s">
        <v>22008</v>
      </c>
      <c r="Z3000" t="s">
        <v>28318</v>
      </c>
      <c r="AA3000">
        <v>0.62614611067889858</v>
      </c>
      <c r="AB3000" t="str">
        <f>HYPERLINK("Melting_Curves/meltCurve_P62979_RPS27A.pdf", "Melting_Curves/meltCurve_P62979_RPS27A.pdf")</f>
        <v>Melting_Curves/meltCurve_P62979_RPS27A.pdf</v>
      </c>
    </row>
    <row r="3001" spans="1:28" x14ac:dyDescent="0.25">
      <c r="A3001" t="s">
        <v>3005</v>
      </c>
      <c r="B3001">
        <v>0.99542014353169495</v>
      </c>
      <c r="C3001">
        <v>0.98520924011361399</v>
      </c>
      <c r="D3001">
        <v>0.93121829033832404</v>
      </c>
      <c r="E3001">
        <v>0.83797922575123296</v>
      </c>
      <c r="F3001">
        <v>0.61675635954819097</v>
      </c>
      <c r="G3001">
        <v>0.31164928501262701</v>
      </c>
      <c r="H3001">
        <v>9.4040460396554004E-2</v>
      </c>
      <c r="I3001">
        <v>6.1911631697029998E-2</v>
      </c>
      <c r="J3001">
        <v>6.9906906779309899E-2</v>
      </c>
      <c r="K3001">
        <v>7.6383228680717702E-2</v>
      </c>
      <c r="L3001">
        <v>955.37257121464495</v>
      </c>
      <c r="M3001">
        <v>18.7284444106599</v>
      </c>
      <c r="N3001">
        <v>51.212441847244598</v>
      </c>
      <c r="O3001">
        <v>50.440930746167602</v>
      </c>
      <c r="P3001">
        <v>-8.9544702325335596E-2</v>
      </c>
      <c r="Q3001">
        <v>3.5365147476078003E-2</v>
      </c>
      <c r="R3001">
        <v>0.99567040078753399</v>
      </c>
      <c r="S3001" t="s">
        <v>9403</v>
      </c>
      <c r="T3001" t="s">
        <v>12802</v>
      </c>
      <c r="U3001" t="s">
        <v>12802</v>
      </c>
      <c r="V3001" t="s">
        <v>12802</v>
      </c>
      <c r="W3001" t="s">
        <v>15754</v>
      </c>
      <c r="X3001">
        <v>20</v>
      </c>
      <c r="Y3001" t="s">
        <v>22009</v>
      </c>
      <c r="Z3001" t="s">
        <v>28319</v>
      </c>
      <c r="AA3001">
        <v>0.49996355013756061</v>
      </c>
      <c r="AB3001" t="str">
        <f>HYPERLINK("Melting_Curves/meltCurve_P62993_GRB2.pdf", "Melting_Curves/meltCurve_P62993_GRB2.pdf")</f>
        <v>Melting_Curves/meltCurve_P62993_GRB2.pdf</v>
      </c>
    </row>
    <row r="3002" spans="1:28" x14ac:dyDescent="0.25">
      <c r="A3002" t="s">
        <v>3006</v>
      </c>
      <c r="B3002">
        <v>0.99542014353169495</v>
      </c>
      <c r="C3002">
        <v>0.87933007790554796</v>
      </c>
      <c r="D3002">
        <v>0.81884096786905702</v>
      </c>
      <c r="E3002">
        <v>0.62430187497395095</v>
      </c>
      <c r="F3002">
        <v>0.42080052692351899</v>
      </c>
      <c r="G3002">
        <v>0.206218185700663</v>
      </c>
      <c r="H3002">
        <v>0.16978412119643399</v>
      </c>
      <c r="I3002">
        <v>9.7274344065878801E-2</v>
      </c>
      <c r="J3002">
        <v>0.10734009613555399</v>
      </c>
      <c r="K3002">
        <v>0.18191982754875699</v>
      </c>
      <c r="L3002">
        <v>637.88401127433895</v>
      </c>
      <c r="M3002">
        <v>13.429360865562399</v>
      </c>
      <c r="N3002">
        <v>48.247680705973202</v>
      </c>
      <c r="O3002">
        <v>46.483047489139402</v>
      </c>
      <c r="P3002">
        <v>-6.5445770394301397E-2</v>
      </c>
      <c r="Q3002">
        <v>9.4030933294482297E-2</v>
      </c>
      <c r="R3002">
        <v>0.98791135103558203</v>
      </c>
      <c r="S3002" t="s">
        <v>9404</v>
      </c>
      <c r="T3002" t="s">
        <v>12802</v>
      </c>
      <c r="U3002" t="s">
        <v>12802</v>
      </c>
      <c r="V3002" t="s">
        <v>12802</v>
      </c>
      <c r="W3002" t="s">
        <v>15755</v>
      </c>
      <c r="X3002">
        <v>6</v>
      </c>
      <c r="Y3002" t="s">
        <v>22010</v>
      </c>
      <c r="Z3002" t="s">
        <v>28320</v>
      </c>
      <c r="AA3002">
        <v>0.43541440613713578</v>
      </c>
      <c r="AB3002" t="str">
        <f>HYPERLINK("Melting_Curves/meltCurve_P62995_3_TRA2B.pdf", "Melting_Curves/meltCurve_P62995_3_TRA2B.pdf")</f>
        <v>Melting_Curves/meltCurve_P62995_3_TRA2B.pdf</v>
      </c>
    </row>
    <row r="3003" spans="1:28" x14ac:dyDescent="0.25">
      <c r="A3003" t="s">
        <v>3007</v>
      </c>
      <c r="B3003">
        <v>0.99542014353169495</v>
      </c>
      <c r="C3003">
        <v>1.0288597441498399</v>
      </c>
      <c r="D3003">
        <v>1.0376537850360801</v>
      </c>
      <c r="E3003">
        <v>1.03214595807398</v>
      </c>
      <c r="F3003">
        <v>0.83760522871542298</v>
      </c>
      <c r="G3003">
        <v>0.63950994060395605</v>
      </c>
      <c r="H3003">
        <v>0.38005549133252398</v>
      </c>
      <c r="I3003">
        <v>0.30591486296420201</v>
      </c>
      <c r="J3003">
        <v>0.312618677972895</v>
      </c>
      <c r="K3003">
        <v>0.150816513269346</v>
      </c>
      <c r="L3003">
        <v>1083.4631769904099</v>
      </c>
      <c r="M3003">
        <v>20.0028010813562</v>
      </c>
      <c r="N3003">
        <v>55.663002411437702</v>
      </c>
      <c r="O3003">
        <v>53.632922957576397</v>
      </c>
      <c r="P3003">
        <v>-7.38410565585437E-2</v>
      </c>
      <c r="Q3003">
        <v>0.20807436119439299</v>
      </c>
      <c r="R3003">
        <v>0.98367654480084199</v>
      </c>
      <c r="S3003" t="s">
        <v>9405</v>
      </c>
      <c r="T3003" t="s">
        <v>12802</v>
      </c>
      <c r="U3003" t="s">
        <v>12802</v>
      </c>
      <c r="V3003" t="s">
        <v>12802</v>
      </c>
      <c r="W3003" t="s">
        <v>15756</v>
      </c>
      <c r="X3003">
        <v>12</v>
      </c>
      <c r="Y3003" t="s">
        <v>22011</v>
      </c>
      <c r="Z3003" t="s">
        <v>28321</v>
      </c>
      <c r="AA3003">
        <v>0.67069481019099553</v>
      </c>
      <c r="AB3003" t="str">
        <f>HYPERLINK("Melting_Curves/meltCurve_P63000_RAC1.pdf", "Melting_Curves/meltCurve_P63000_RAC1.pdf")</f>
        <v>Melting_Curves/meltCurve_P63000_RAC1.pdf</v>
      </c>
    </row>
    <row r="3004" spans="1:28" x14ac:dyDescent="0.25">
      <c r="A3004" t="s">
        <v>3008</v>
      </c>
      <c r="B3004">
        <v>0.99542014353169495</v>
      </c>
      <c r="C3004">
        <v>0.88979599302092005</v>
      </c>
      <c r="D3004">
        <v>0.95788904778200201</v>
      </c>
      <c r="E3004">
        <v>0.76374312623775598</v>
      </c>
      <c r="F3004">
        <v>0.54312822678313399</v>
      </c>
      <c r="G3004">
        <v>0.26289623683329</v>
      </c>
      <c r="H3004">
        <v>8.6826075962789101E-2</v>
      </c>
      <c r="I3004">
        <v>4.1281668180378199E-2</v>
      </c>
      <c r="J3004">
        <v>3.63460749667536E-2</v>
      </c>
      <c r="K3004">
        <v>3.9296357889457699E-2</v>
      </c>
      <c r="L3004">
        <v>811.370879066881</v>
      </c>
      <c r="M3004">
        <v>16.115337637962199</v>
      </c>
      <c r="N3004">
        <v>50.347745865101899</v>
      </c>
      <c r="O3004">
        <v>49.591614013349997</v>
      </c>
      <c r="P3004">
        <v>-8.1246427733222104E-2</v>
      </c>
      <c r="Q3004">
        <v>0</v>
      </c>
      <c r="R3004">
        <v>0.99160375877831897</v>
      </c>
      <c r="S3004" t="s">
        <v>9406</v>
      </c>
      <c r="T3004" t="s">
        <v>12802</v>
      </c>
      <c r="U3004" t="s">
        <v>12802</v>
      </c>
      <c r="V3004" t="s">
        <v>12802</v>
      </c>
      <c r="W3004" t="s">
        <v>15757</v>
      </c>
      <c r="X3004">
        <v>34</v>
      </c>
      <c r="Y3004" t="s">
        <v>22012</v>
      </c>
      <c r="Z3004" t="s">
        <v>28322</v>
      </c>
      <c r="AA3004">
        <v>0.46354737108728428</v>
      </c>
      <c r="AB3004" t="str">
        <f>HYPERLINK("Melting_Curves/meltCurve_P63010_AP2B1.pdf", "Melting_Curves/meltCurve_P63010_AP2B1.pdf")</f>
        <v>Melting_Curves/meltCurve_P63010_AP2B1.pdf</v>
      </c>
    </row>
    <row r="3005" spans="1:28" x14ac:dyDescent="0.25">
      <c r="A3005" t="s">
        <v>3009</v>
      </c>
      <c r="B3005">
        <v>0.99542014353169495</v>
      </c>
      <c r="C3005">
        <v>0.96126647663662101</v>
      </c>
      <c r="D3005">
        <v>0.88985571290454402</v>
      </c>
      <c r="E3005">
        <v>0.79968636894307199</v>
      </c>
      <c r="F3005">
        <v>0.56076460929459004</v>
      </c>
      <c r="G3005">
        <v>0.28647020599694201</v>
      </c>
      <c r="H3005">
        <v>9.2715483179891506E-2</v>
      </c>
      <c r="I3005">
        <v>4.7214654255321502E-2</v>
      </c>
      <c r="J3005">
        <v>4.6909588197357299E-2</v>
      </c>
      <c r="K3005">
        <v>4.9847644319064598E-2</v>
      </c>
      <c r="L3005">
        <v>797.11282647947201</v>
      </c>
      <c r="M3005">
        <v>15.745379298783201</v>
      </c>
      <c r="N3005">
        <v>50.6251921605107</v>
      </c>
      <c r="O3005">
        <v>49.829687629260903</v>
      </c>
      <c r="P3005">
        <v>-7.9002574969159106E-2</v>
      </c>
      <c r="Q3005">
        <v>0</v>
      </c>
      <c r="R3005">
        <v>0.99528448962021399</v>
      </c>
      <c r="S3005" t="s">
        <v>9407</v>
      </c>
      <c r="T3005" t="s">
        <v>12802</v>
      </c>
      <c r="U3005" t="s">
        <v>12802</v>
      </c>
      <c r="V3005" t="s">
        <v>12802</v>
      </c>
      <c r="W3005" t="s">
        <v>15758</v>
      </c>
      <c r="X3005">
        <v>14</v>
      </c>
      <c r="Y3005" t="s">
        <v>22013</v>
      </c>
      <c r="Z3005" t="s">
        <v>28323</v>
      </c>
      <c r="AA3005">
        <v>0.47328011253038288</v>
      </c>
      <c r="AB3005" t="str">
        <f>HYPERLINK("Melting_Curves/meltCurve_P63092_GNAS.pdf", "Melting_Curves/meltCurve_P63092_GNAS.pdf")</f>
        <v>Melting_Curves/meltCurve_P63092_GNAS.pdf</v>
      </c>
    </row>
    <row r="3006" spans="1:28" x14ac:dyDescent="0.25">
      <c r="A3006" t="s">
        <v>3010</v>
      </c>
      <c r="B3006">
        <v>0.99542014353169495</v>
      </c>
      <c r="C3006">
        <v>1.0035701050358401</v>
      </c>
      <c r="D3006">
        <v>1.0172919173956201</v>
      </c>
      <c r="E3006">
        <v>1.0731481349132199</v>
      </c>
      <c r="F3006">
        <v>0.95255978749942505</v>
      </c>
      <c r="G3006">
        <v>0.82468223687605402</v>
      </c>
      <c r="H3006">
        <v>0.38509919831741402</v>
      </c>
      <c r="I3006">
        <v>0.105225906669918</v>
      </c>
      <c r="J3006">
        <v>5.6089566042480603E-2</v>
      </c>
      <c r="K3006">
        <v>5.2574136164813899E-2</v>
      </c>
      <c r="L3006">
        <v>1786.1117488599</v>
      </c>
      <c r="M3006">
        <v>31.707470499328998</v>
      </c>
      <c r="N3006">
        <v>56.470341964119399</v>
      </c>
      <c r="O3006">
        <v>56.1083024198781</v>
      </c>
      <c r="P3006">
        <v>-0.135960987814048</v>
      </c>
      <c r="Q3006">
        <v>3.76400836995507E-2</v>
      </c>
      <c r="R3006">
        <v>0.99609512107119402</v>
      </c>
      <c r="S3006" t="s">
        <v>9408</v>
      </c>
      <c r="T3006" t="s">
        <v>12802</v>
      </c>
      <c r="U3006" t="s">
        <v>12802</v>
      </c>
      <c r="V3006" t="s">
        <v>12802</v>
      </c>
      <c r="W3006" t="s">
        <v>15759</v>
      </c>
      <c r="X3006">
        <v>28</v>
      </c>
      <c r="Y3006" t="s">
        <v>19648</v>
      </c>
      <c r="Z3006" t="s">
        <v>28324</v>
      </c>
      <c r="AA3006">
        <v>0.66318856106522517</v>
      </c>
      <c r="AB3006" t="str">
        <f>HYPERLINK("Melting_Curves/meltCurve_P63104_YWHAZ.pdf", "Melting_Curves/meltCurve_P63104_YWHAZ.pdf")</f>
        <v>Melting_Curves/meltCurve_P63104_YWHAZ.pdf</v>
      </c>
    </row>
    <row r="3007" spans="1:28" x14ac:dyDescent="0.25">
      <c r="A3007" t="s">
        <v>3011</v>
      </c>
      <c r="B3007">
        <v>0.99542014353169495</v>
      </c>
      <c r="C3007">
        <v>0.95858398587014804</v>
      </c>
      <c r="D3007">
        <v>0.98040967224411302</v>
      </c>
      <c r="E3007">
        <v>0.81400166347904401</v>
      </c>
      <c r="F3007">
        <v>0.70426866207697103</v>
      </c>
      <c r="G3007">
        <v>0.45261206702700701</v>
      </c>
      <c r="H3007">
        <v>0.24884277527023899</v>
      </c>
      <c r="I3007">
        <v>0.10027784992792201</v>
      </c>
      <c r="J3007">
        <v>6.2165022468581799E-2</v>
      </c>
      <c r="K3007">
        <v>6.1554517512685598E-2</v>
      </c>
      <c r="L3007">
        <v>743.440235975311</v>
      </c>
      <c r="M3007">
        <v>14.0690062677378</v>
      </c>
      <c r="N3007">
        <v>52.842413248507903</v>
      </c>
      <c r="O3007">
        <v>51.809175596355097</v>
      </c>
      <c r="P3007">
        <v>-6.7897396838195498E-2</v>
      </c>
      <c r="Q3007">
        <v>0</v>
      </c>
      <c r="R3007">
        <v>0.99531769233288503</v>
      </c>
      <c r="S3007" t="s">
        <v>9409</v>
      </c>
      <c r="T3007" t="s">
        <v>12802</v>
      </c>
      <c r="U3007" t="s">
        <v>12802</v>
      </c>
      <c r="V3007" t="s">
        <v>12802</v>
      </c>
      <c r="W3007" t="s">
        <v>15760</v>
      </c>
      <c r="X3007">
        <v>19</v>
      </c>
      <c r="Y3007" t="s">
        <v>22014</v>
      </c>
      <c r="Z3007" t="s">
        <v>28325</v>
      </c>
      <c r="AA3007">
        <v>0.54726954768056246</v>
      </c>
      <c r="AB3007" t="str">
        <f>HYPERLINK("Melting_Curves/meltCurve_P63151_PPP2R2A.pdf", "Melting_Curves/meltCurve_P63151_PPP2R2A.pdf")</f>
        <v>Melting_Curves/meltCurve_P63151_PPP2R2A.pdf</v>
      </c>
    </row>
    <row r="3008" spans="1:28" x14ac:dyDescent="0.25">
      <c r="A3008" t="s">
        <v>3012</v>
      </c>
      <c r="B3008">
        <v>0.99542014353169495</v>
      </c>
      <c r="C3008">
        <v>0.97028412692571298</v>
      </c>
      <c r="D3008">
        <v>0.92374452066607804</v>
      </c>
      <c r="E3008">
        <v>0.76001777735272202</v>
      </c>
      <c r="F3008">
        <v>0.48293228699129398</v>
      </c>
      <c r="G3008">
        <v>0.27191480747304297</v>
      </c>
      <c r="H3008">
        <v>0.13975282356894</v>
      </c>
      <c r="I3008">
        <v>8.1174368848213094E-2</v>
      </c>
      <c r="J3008">
        <v>8.35284226856641E-2</v>
      </c>
      <c r="K3008">
        <v>8.7329480871815302E-2</v>
      </c>
      <c r="L3008">
        <v>811.27393879962904</v>
      </c>
      <c r="M3008">
        <v>16.3530845873705</v>
      </c>
      <c r="N3008">
        <v>49.981223538962603</v>
      </c>
      <c r="O3008">
        <v>48.885781700822903</v>
      </c>
      <c r="P3008">
        <v>-7.8850377951585102E-2</v>
      </c>
      <c r="Q3008">
        <v>5.7209060583041503E-2</v>
      </c>
      <c r="R3008">
        <v>0.99928675117477905</v>
      </c>
      <c r="S3008" t="s">
        <v>9410</v>
      </c>
      <c r="T3008" t="s">
        <v>12802</v>
      </c>
      <c r="U3008" t="s">
        <v>12802</v>
      </c>
      <c r="V3008" t="s">
        <v>12802</v>
      </c>
      <c r="W3008" t="s">
        <v>15761</v>
      </c>
      <c r="X3008">
        <v>9</v>
      </c>
      <c r="Y3008" t="s">
        <v>22015</v>
      </c>
      <c r="Z3008" t="s">
        <v>28326</v>
      </c>
      <c r="AA3008">
        <v>0.47094744176324888</v>
      </c>
      <c r="AB3008" t="str">
        <f>HYPERLINK("Melting_Curves/meltCurve_P63167_DYNLL1.pdf", "Melting_Curves/meltCurve_P63167_DYNLL1.pdf")</f>
        <v>Melting_Curves/meltCurve_P63167_DYNLL1.pdf</v>
      </c>
    </row>
    <row r="3009" spans="1:28" x14ac:dyDescent="0.25">
      <c r="A3009" t="s">
        <v>3013</v>
      </c>
      <c r="B3009">
        <v>0.99542014353169495</v>
      </c>
      <c r="C3009">
        <v>1.02594595647806</v>
      </c>
      <c r="D3009">
        <v>0.90288794257904703</v>
      </c>
      <c r="E3009">
        <v>0.79033569482608002</v>
      </c>
      <c r="F3009">
        <v>0.454733382392212</v>
      </c>
      <c r="G3009">
        <v>0.28449924418932399</v>
      </c>
      <c r="H3009">
        <v>0.123460269933529</v>
      </c>
      <c r="I3009">
        <v>6.9021919764409398E-2</v>
      </c>
      <c r="J3009">
        <v>7.3551462094559802E-2</v>
      </c>
      <c r="K3009">
        <v>7.9159765518047598E-2</v>
      </c>
      <c r="L3009">
        <v>850.54037945324797</v>
      </c>
      <c r="M3009">
        <v>17.132921907049202</v>
      </c>
      <c r="N3009">
        <v>49.966252647988597</v>
      </c>
      <c r="O3009">
        <v>48.982110893896397</v>
      </c>
      <c r="P3009">
        <v>-8.2870893706048901E-2</v>
      </c>
      <c r="Q3009">
        <v>5.2362916076571397E-2</v>
      </c>
      <c r="R3009">
        <v>0.995976543883063</v>
      </c>
      <c r="S3009" t="s">
        <v>9411</v>
      </c>
      <c r="T3009" t="s">
        <v>12802</v>
      </c>
      <c r="U3009" t="s">
        <v>12802</v>
      </c>
      <c r="V3009" t="s">
        <v>12802</v>
      </c>
      <c r="W3009" t="s">
        <v>15762</v>
      </c>
      <c r="X3009">
        <v>6</v>
      </c>
      <c r="Y3009" t="s">
        <v>22016</v>
      </c>
      <c r="Z3009" t="s">
        <v>28327</v>
      </c>
      <c r="AA3009">
        <v>0.46801580649900948</v>
      </c>
      <c r="AB3009" t="str">
        <f>HYPERLINK("Melting_Curves/meltCurve_P63173_RPL38.pdf", "Melting_Curves/meltCurve_P63173_RPL38.pdf")</f>
        <v>Melting_Curves/meltCurve_P63173_RPL38.pdf</v>
      </c>
    </row>
    <row r="3010" spans="1:28" x14ac:dyDescent="0.25">
      <c r="A3010" t="s">
        <v>3014</v>
      </c>
      <c r="B3010">
        <v>0.99542014353169495</v>
      </c>
      <c r="C3010">
        <v>1.02936778029677</v>
      </c>
      <c r="D3010">
        <v>0.85140539143903105</v>
      </c>
      <c r="E3010">
        <v>0.51585075622228804</v>
      </c>
      <c r="F3010">
        <v>0.43527340560523597</v>
      </c>
      <c r="G3010">
        <v>0.312212126681369</v>
      </c>
      <c r="H3010">
        <v>0.19948017516914501</v>
      </c>
      <c r="I3010">
        <v>0.163531443627567</v>
      </c>
      <c r="J3010">
        <v>0.32857862906008201</v>
      </c>
      <c r="K3010">
        <v>0.39882245809351502</v>
      </c>
      <c r="L3010">
        <v>1037.4865553059899</v>
      </c>
      <c r="M3010">
        <v>22.780721143894699</v>
      </c>
      <c r="N3010">
        <v>47.281414308166397</v>
      </c>
      <c r="O3010">
        <v>45.195732270443301</v>
      </c>
      <c r="P3010">
        <v>-9.02641689880435E-2</v>
      </c>
      <c r="Q3010">
        <v>0.28369695283788299</v>
      </c>
      <c r="R3010">
        <v>0.94783997405018305</v>
      </c>
      <c r="S3010" t="s">
        <v>9412</v>
      </c>
      <c r="T3010" t="s">
        <v>12802</v>
      </c>
      <c r="U3010" t="s">
        <v>12802</v>
      </c>
      <c r="V3010" t="s">
        <v>12802</v>
      </c>
      <c r="W3010" t="s">
        <v>15763</v>
      </c>
      <c r="X3010">
        <v>4</v>
      </c>
      <c r="Y3010" t="s">
        <v>22017</v>
      </c>
      <c r="Z3010" t="s">
        <v>28328</v>
      </c>
      <c r="AA3010">
        <v>0.49482029124510268</v>
      </c>
      <c r="AB3010" t="str">
        <f>HYPERLINK("Melting_Curves/meltCurve_P63218_GNG5.pdf", "Melting_Curves/meltCurve_P63218_GNG5.pdf")</f>
        <v>Melting_Curves/meltCurve_P63218_GNG5.pdf</v>
      </c>
    </row>
    <row r="3011" spans="1:28" x14ac:dyDescent="0.25">
      <c r="A3011" t="s">
        <v>3015</v>
      </c>
      <c r="B3011">
        <v>0.99542014353169495</v>
      </c>
      <c r="C3011">
        <v>1.07688803914219</v>
      </c>
      <c r="D3011">
        <v>0.98866586736833195</v>
      </c>
      <c r="E3011">
        <v>0.78970441497091604</v>
      </c>
      <c r="F3011">
        <v>0.291051804865398</v>
      </c>
      <c r="G3011">
        <v>0.14394324212376999</v>
      </c>
      <c r="H3011">
        <v>8.8050577039278294E-2</v>
      </c>
      <c r="I3011">
        <v>6.6115701424902501E-2</v>
      </c>
      <c r="J3011">
        <v>8.5869732435133198E-2</v>
      </c>
      <c r="K3011">
        <v>9.0265103159791193E-2</v>
      </c>
      <c r="L3011">
        <v>1558.5199268855999</v>
      </c>
      <c r="M3011">
        <v>32.243007950130803</v>
      </c>
      <c r="N3011">
        <v>48.6199147478941</v>
      </c>
      <c r="O3011">
        <v>48.151865033904897</v>
      </c>
      <c r="P3011">
        <v>-0.15306984735646201</v>
      </c>
      <c r="Q3011">
        <v>8.5623105709108305E-2</v>
      </c>
      <c r="R3011">
        <v>0.99587232264526104</v>
      </c>
      <c r="S3011" t="s">
        <v>9413</v>
      </c>
      <c r="T3011" t="s">
        <v>12802</v>
      </c>
      <c r="U3011" t="s">
        <v>12802</v>
      </c>
      <c r="V3011" t="s">
        <v>12802</v>
      </c>
      <c r="W3011" t="s">
        <v>15764</v>
      </c>
      <c r="X3011">
        <v>14</v>
      </c>
      <c r="Y3011" t="s">
        <v>22018</v>
      </c>
      <c r="Z3011" t="s">
        <v>28329</v>
      </c>
      <c r="AA3011">
        <v>0.43587163645834398</v>
      </c>
      <c r="AB3011" t="str">
        <f>HYPERLINK("Melting_Curves/meltCurve_P63241_EIF5A.pdf", "Melting_Curves/meltCurve_P63241_EIF5A.pdf")</f>
        <v>Melting_Curves/meltCurve_P63241_EIF5A.pdf</v>
      </c>
    </row>
    <row r="3012" spans="1:28" x14ac:dyDescent="0.25">
      <c r="A3012" t="s">
        <v>3016</v>
      </c>
      <c r="B3012">
        <v>0.99542014353169495</v>
      </c>
      <c r="C3012">
        <v>1.06623900203129</v>
      </c>
      <c r="D3012">
        <v>0.96238242109816696</v>
      </c>
      <c r="E3012">
        <v>0.83784464096337397</v>
      </c>
      <c r="F3012">
        <v>0.43696219111632101</v>
      </c>
      <c r="G3012">
        <v>0.30818162182889902</v>
      </c>
      <c r="H3012">
        <v>0.116297464545246</v>
      </c>
      <c r="I3012">
        <v>6.7930550139308807E-2</v>
      </c>
      <c r="J3012">
        <v>6.8739000508196396E-2</v>
      </c>
      <c r="K3012">
        <v>7.5945264259318607E-2</v>
      </c>
      <c r="L3012">
        <v>985.00021401478705</v>
      </c>
      <c r="M3012">
        <v>19.778199600643202</v>
      </c>
      <c r="N3012">
        <v>50.150460949600102</v>
      </c>
      <c r="O3012">
        <v>49.301575580151102</v>
      </c>
      <c r="P3012">
        <v>-9.3862123331140898E-2</v>
      </c>
      <c r="Q3012">
        <v>6.4142691290899806E-2</v>
      </c>
      <c r="R3012">
        <v>0.99080554878004801</v>
      </c>
      <c r="S3012" t="s">
        <v>9414</v>
      </c>
      <c r="T3012" t="s">
        <v>12802</v>
      </c>
      <c r="U3012" t="s">
        <v>12802</v>
      </c>
      <c r="V3012" t="s">
        <v>12802</v>
      </c>
      <c r="W3012" t="s">
        <v>15765</v>
      </c>
      <c r="X3012">
        <v>19</v>
      </c>
      <c r="Y3012" t="s">
        <v>22019</v>
      </c>
      <c r="Z3012" t="s">
        <v>28330</v>
      </c>
      <c r="AA3012">
        <v>0.47608839510990958</v>
      </c>
      <c r="AB3012" t="str">
        <f>HYPERLINK("Melting_Curves/meltCurve_P63244_GNB2L1.pdf", "Melting_Curves/meltCurve_P63244_GNB2L1.pdf")</f>
        <v>Melting_Curves/meltCurve_P63244_GNB2L1.pdf</v>
      </c>
    </row>
    <row r="3013" spans="1:28" x14ac:dyDescent="0.25">
      <c r="A3013" t="s">
        <v>3017</v>
      </c>
      <c r="B3013">
        <v>0.99542014353169495</v>
      </c>
      <c r="C3013">
        <v>0.90652687866394699</v>
      </c>
      <c r="D3013">
        <v>0.861362243913813</v>
      </c>
      <c r="E3013">
        <v>0.79644289241412203</v>
      </c>
      <c r="F3013">
        <v>0.65304811781786898</v>
      </c>
      <c r="G3013">
        <v>0.53060940892743103</v>
      </c>
      <c r="H3013">
        <v>0.38752764965720299</v>
      </c>
      <c r="I3013">
        <v>0.23130212051867099</v>
      </c>
      <c r="J3013">
        <v>0.116832140345225</v>
      </c>
      <c r="K3013">
        <v>8.2430319018694104E-2</v>
      </c>
      <c r="L3013">
        <v>508.41381525710199</v>
      </c>
      <c r="M3013">
        <v>9.5025280897244908</v>
      </c>
      <c r="N3013">
        <v>53.503019246714601</v>
      </c>
      <c r="O3013">
        <v>51.2942778845999</v>
      </c>
      <c r="P3013">
        <v>-4.6341148743524602E-2</v>
      </c>
      <c r="Q3013">
        <v>0</v>
      </c>
      <c r="R3013">
        <v>0.98571181775009298</v>
      </c>
      <c r="S3013" t="s">
        <v>9415</v>
      </c>
      <c r="T3013" t="s">
        <v>12802</v>
      </c>
      <c r="U3013" t="s">
        <v>12802</v>
      </c>
      <c r="V3013" t="s">
        <v>12802</v>
      </c>
      <c r="W3013" t="s">
        <v>15766</v>
      </c>
      <c r="X3013">
        <v>21</v>
      </c>
      <c r="Y3013" t="s">
        <v>22020</v>
      </c>
      <c r="Z3013" t="s">
        <v>28331</v>
      </c>
      <c r="AA3013">
        <v>0.56998158534736632</v>
      </c>
      <c r="AB3013" t="str">
        <f>HYPERLINK("Melting_Curves/meltCurve_P67775_PPP2CA.pdf", "Melting_Curves/meltCurve_P67775_PPP2CA.pdf")</f>
        <v>Melting_Curves/meltCurve_P67775_PPP2CA.pdf</v>
      </c>
    </row>
    <row r="3014" spans="1:28" x14ac:dyDescent="0.25">
      <c r="A3014" t="s">
        <v>3018</v>
      </c>
      <c r="B3014">
        <v>0.99542014353169495</v>
      </c>
      <c r="C3014">
        <v>0.87158731790296395</v>
      </c>
      <c r="D3014">
        <v>0.93292959938403897</v>
      </c>
      <c r="E3014">
        <v>0.85267301963597797</v>
      </c>
      <c r="F3014">
        <v>0.62284361554512502</v>
      </c>
      <c r="G3014">
        <v>0.29103089073685801</v>
      </c>
      <c r="H3014">
        <v>0.22931629878620299</v>
      </c>
      <c r="I3014">
        <v>0.16002857291654701</v>
      </c>
      <c r="J3014">
        <v>0.19551661842318699</v>
      </c>
      <c r="K3014">
        <v>0.29074488039247998</v>
      </c>
      <c r="L3014">
        <v>1159.7901536730899</v>
      </c>
      <c r="M3014">
        <v>23.2064091563579</v>
      </c>
      <c r="N3014">
        <v>51.111155772672802</v>
      </c>
      <c r="O3014">
        <v>49.610472992100597</v>
      </c>
      <c r="P3014">
        <v>-9.3414107573289301E-2</v>
      </c>
      <c r="Q3014">
        <v>0.20121475693472299</v>
      </c>
      <c r="R3014">
        <v>0.96903786454517804</v>
      </c>
      <c r="S3014" t="s">
        <v>9416</v>
      </c>
      <c r="T3014" t="s">
        <v>12802</v>
      </c>
      <c r="U3014" t="s">
        <v>12802</v>
      </c>
      <c r="V3014" t="s">
        <v>12802</v>
      </c>
      <c r="W3014" t="s">
        <v>15767</v>
      </c>
      <c r="X3014">
        <v>8</v>
      </c>
      <c r="Y3014" t="s">
        <v>22021</v>
      </c>
      <c r="Z3014" t="s">
        <v>28332</v>
      </c>
      <c r="AA3014">
        <v>0.55478319175584045</v>
      </c>
      <c r="AB3014" t="str">
        <f>HYPERLINK("Melting_Curves/meltCurve_P67809_YBX1.pdf", "Melting_Curves/meltCurve_P67809_YBX1.pdf")</f>
        <v>Melting_Curves/meltCurve_P67809_YBX1.pdf</v>
      </c>
    </row>
    <row r="3015" spans="1:28" x14ac:dyDescent="0.25">
      <c r="A3015" t="s">
        <v>3019</v>
      </c>
      <c r="B3015">
        <v>0.99542014353169495</v>
      </c>
      <c r="C3015">
        <v>1.0640737188215501</v>
      </c>
      <c r="D3015">
        <v>0.98050507987820101</v>
      </c>
      <c r="E3015">
        <v>1.00367678378422</v>
      </c>
      <c r="F3015">
        <v>0.87874195220004103</v>
      </c>
      <c r="G3015">
        <v>0.69590915657350905</v>
      </c>
      <c r="H3015">
        <v>0.58376332611406601</v>
      </c>
      <c r="I3015">
        <v>0.55526384523294403</v>
      </c>
      <c r="J3015">
        <v>0.83174291882406104</v>
      </c>
      <c r="K3015">
        <v>1.0543510801620899</v>
      </c>
      <c r="L3015">
        <v>12555.216278019199</v>
      </c>
      <c r="M3015">
        <v>250</v>
      </c>
      <c r="O3015">
        <v>50.217643736788503</v>
      </c>
      <c r="P3015">
        <v>-0.31835660571445001</v>
      </c>
      <c r="Q3015">
        <v>0.74420606392156397</v>
      </c>
      <c r="R3015">
        <v>0.47831168785108502</v>
      </c>
      <c r="S3015" t="s">
        <v>9417</v>
      </c>
      <c r="T3015" t="s">
        <v>12802</v>
      </c>
      <c r="U3015" t="s">
        <v>12802</v>
      </c>
      <c r="V3015" t="s">
        <v>12802</v>
      </c>
      <c r="W3015" t="s">
        <v>15768</v>
      </c>
      <c r="X3015">
        <v>35</v>
      </c>
      <c r="Y3015" t="s">
        <v>20391</v>
      </c>
      <c r="Z3015" t="s">
        <v>28333</v>
      </c>
      <c r="AA3015">
        <v>0.8569558463026008</v>
      </c>
      <c r="AB3015" t="str">
        <f>HYPERLINK("Melting_Curves/meltCurve_P67936_TPM4.pdf", "Melting_Curves/meltCurve_P67936_TPM4.pdf")</f>
        <v>Melting_Curves/meltCurve_P67936_TPM4.pdf</v>
      </c>
    </row>
    <row r="3016" spans="1:28" x14ac:dyDescent="0.25">
      <c r="A3016" t="s">
        <v>3020</v>
      </c>
      <c r="B3016">
        <v>0.99542014353169495</v>
      </c>
      <c r="C3016">
        <v>1.07976024523292</v>
      </c>
      <c r="D3016">
        <v>0.77425085780153502</v>
      </c>
      <c r="E3016">
        <v>0.81260372524036195</v>
      </c>
      <c r="F3016">
        <v>0.66955233670620296</v>
      </c>
      <c r="G3016">
        <v>0.643163340730313</v>
      </c>
      <c r="H3016">
        <v>0.255772149460188</v>
      </c>
      <c r="I3016">
        <v>0.12107261895511701</v>
      </c>
      <c r="J3016">
        <v>0.122398004600886</v>
      </c>
      <c r="K3016">
        <v>0.13632510996458699</v>
      </c>
      <c r="L3016">
        <v>590.01876090449502</v>
      </c>
      <c r="M3016">
        <v>11.0214115564055</v>
      </c>
      <c r="N3016">
        <v>53.5338655105935</v>
      </c>
      <c r="O3016">
        <v>51.862038995176498</v>
      </c>
      <c r="P3016">
        <v>-5.3146301574237803E-2</v>
      </c>
      <c r="Q3016">
        <v>0</v>
      </c>
      <c r="R3016">
        <v>0.93922928373388104</v>
      </c>
      <c r="S3016" t="s">
        <v>9418</v>
      </c>
      <c r="T3016" t="s">
        <v>12802</v>
      </c>
      <c r="U3016" t="s">
        <v>12802</v>
      </c>
      <c r="V3016" t="s">
        <v>12802</v>
      </c>
      <c r="W3016" t="s">
        <v>15769</v>
      </c>
      <c r="X3016">
        <v>17</v>
      </c>
      <c r="Y3016" t="s">
        <v>22022</v>
      </c>
      <c r="Z3016" t="s">
        <v>28334</v>
      </c>
      <c r="AA3016">
        <v>0.57099659655831903</v>
      </c>
      <c r="AB3016" t="str">
        <f>HYPERLINK("Melting_Curves/meltCurve_P68036_UBE2L3.pdf", "Melting_Curves/meltCurve_P68036_UBE2L3.pdf")</f>
        <v>Melting_Curves/meltCurve_P68036_UBE2L3.pdf</v>
      </c>
    </row>
    <row r="3017" spans="1:28" x14ac:dyDescent="0.25">
      <c r="A3017" t="s">
        <v>3021</v>
      </c>
      <c r="B3017">
        <v>0.99542014353169495</v>
      </c>
      <c r="C3017">
        <v>0.98382649023485702</v>
      </c>
      <c r="D3017">
        <v>0.94149916497450303</v>
      </c>
      <c r="E3017">
        <v>0.91866921122419898</v>
      </c>
      <c r="F3017">
        <v>0.71701609784707199</v>
      </c>
      <c r="G3017">
        <v>0.575191566530461</v>
      </c>
      <c r="H3017">
        <v>0.180399739241624</v>
      </c>
      <c r="I3017">
        <v>4.89491745088824E-2</v>
      </c>
      <c r="J3017">
        <v>3.6780786245964203E-2</v>
      </c>
      <c r="K3017">
        <v>4.0009233683687501E-2</v>
      </c>
      <c r="L3017">
        <v>978.65617386366603</v>
      </c>
      <c r="M3017">
        <v>18.273867233624198</v>
      </c>
      <c r="N3017">
        <v>53.554956887300897</v>
      </c>
      <c r="O3017">
        <v>52.925973411504103</v>
      </c>
      <c r="P3017">
        <v>-8.6322062588170795E-2</v>
      </c>
      <c r="Q3017">
        <v>0</v>
      </c>
      <c r="R3017">
        <v>0.98763372720552201</v>
      </c>
      <c r="S3017" t="s">
        <v>9419</v>
      </c>
      <c r="T3017" t="s">
        <v>12802</v>
      </c>
      <c r="U3017" t="s">
        <v>12802</v>
      </c>
      <c r="V3017" t="s">
        <v>12802</v>
      </c>
      <c r="W3017" t="s">
        <v>15770</v>
      </c>
      <c r="X3017">
        <v>36</v>
      </c>
      <c r="Y3017" t="s">
        <v>22023</v>
      </c>
      <c r="Z3017" t="s">
        <v>28335</v>
      </c>
      <c r="AA3017">
        <v>0.56569563963543823</v>
      </c>
      <c r="AB3017" t="str">
        <f>HYPERLINK("Melting_Curves/meltCurve_P68104_EEF1A1.pdf", "Melting_Curves/meltCurve_P68104_EEF1A1.pdf")</f>
        <v>Melting_Curves/meltCurve_P68104_EEF1A1.pdf</v>
      </c>
    </row>
    <row r="3018" spans="1:28" x14ac:dyDescent="0.25">
      <c r="A3018" t="s">
        <v>3022</v>
      </c>
      <c r="B3018">
        <v>0.99542014353169495</v>
      </c>
      <c r="C3018">
        <v>1.0920418741112199</v>
      </c>
      <c r="D3018">
        <v>1.0415247565164001</v>
      </c>
      <c r="E3018">
        <v>1.17919708384235</v>
      </c>
      <c r="F3018">
        <v>0.82512513778527297</v>
      </c>
      <c r="G3018">
        <v>0.56847534529407096</v>
      </c>
      <c r="H3018">
        <v>0.20113071567835</v>
      </c>
      <c r="I3018">
        <v>0.15344194480950199</v>
      </c>
      <c r="J3018">
        <v>0.25394702599844099</v>
      </c>
      <c r="K3018">
        <v>0.28618707900478002</v>
      </c>
      <c r="L3018">
        <v>1809.6319613430301</v>
      </c>
      <c r="M3018">
        <v>34.095996941458303</v>
      </c>
      <c r="N3018">
        <v>53.957370432331203</v>
      </c>
      <c r="O3018">
        <v>52.893041891225401</v>
      </c>
      <c r="P3018">
        <v>-0.12670518203051301</v>
      </c>
      <c r="Q3018">
        <v>0.213773266884076</v>
      </c>
      <c r="R3018">
        <v>0.95434508924942196</v>
      </c>
      <c r="S3018" t="s">
        <v>9420</v>
      </c>
      <c r="T3018" t="s">
        <v>12802</v>
      </c>
      <c r="U3018" t="s">
        <v>12802</v>
      </c>
      <c r="V3018" t="s">
        <v>12802</v>
      </c>
      <c r="W3018" t="s">
        <v>15771</v>
      </c>
      <c r="X3018">
        <v>24</v>
      </c>
      <c r="Y3018" t="s">
        <v>22024</v>
      </c>
      <c r="Z3018" t="s">
        <v>28336</v>
      </c>
      <c r="AA3018">
        <v>0.63897519638021849</v>
      </c>
      <c r="AB3018" t="str">
        <f>HYPERLINK("Melting_Curves/meltCurve_P68133_ACTA1.pdf", "Melting_Curves/meltCurve_P68133_ACTA1.pdf")</f>
        <v>Melting_Curves/meltCurve_P68133_ACTA1.pdf</v>
      </c>
    </row>
    <row r="3019" spans="1:28" x14ac:dyDescent="0.25">
      <c r="A3019" t="s">
        <v>3023</v>
      </c>
      <c r="B3019">
        <v>0.99542014353169495</v>
      </c>
      <c r="C3019">
        <v>0.95117747089673499</v>
      </c>
      <c r="D3019">
        <v>0.88369241846315205</v>
      </c>
      <c r="E3019">
        <v>0.84320084854592403</v>
      </c>
      <c r="F3019">
        <v>0.71514254924755705</v>
      </c>
      <c r="G3019">
        <v>0.64181602016839601</v>
      </c>
      <c r="H3019">
        <v>0.28086550465993199</v>
      </c>
      <c r="I3019">
        <v>0.131220513335847</v>
      </c>
      <c r="J3019">
        <v>4.2595455990278898E-2</v>
      </c>
      <c r="K3019">
        <v>3.5656878103714797E-2</v>
      </c>
      <c r="L3019">
        <v>769.00058091844096</v>
      </c>
      <c r="M3019">
        <v>14.219346812498101</v>
      </c>
      <c r="N3019">
        <v>54.081287390198199</v>
      </c>
      <c r="O3019">
        <v>53.045365521377001</v>
      </c>
      <c r="P3019">
        <v>-6.7023373965082997E-2</v>
      </c>
      <c r="Q3019">
        <v>0</v>
      </c>
      <c r="R3019">
        <v>0.97343958655372598</v>
      </c>
      <c r="S3019" t="s">
        <v>9421</v>
      </c>
      <c r="T3019" t="s">
        <v>12802</v>
      </c>
      <c r="U3019" t="s">
        <v>12802</v>
      </c>
      <c r="V3019" t="s">
        <v>12802</v>
      </c>
      <c r="W3019" t="s">
        <v>15772</v>
      </c>
      <c r="X3019">
        <v>31</v>
      </c>
      <c r="Y3019" t="s">
        <v>22025</v>
      </c>
      <c r="Z3019" t="s">
        <v>28337</v>
      </c>
      <c r="AA3019">
        <v>0.58597392791005121</v>
      </c>
      <c r="AB3019" t="str">
        <f>HYPERLINK("Melting_Curves/meltCurve_P68363_TUBA1B.pdf", "Melting_Curves/meltCurve_P68363_TUBA1B.pdf")</f>
        <v>Melting_Curves/meltCurve_P68363_TUBA1B.pdf</v>
      </c>
    </row>
    <row r="3020" spans="1:28" x14ac:dyDescent="0.25">
      <c r="A3020" t="s">
        <v>3024</v>
      </c>
      <c r="B3020">
        <v>0.99542014353169495</v>
      </c>
      <c r="C3020">
        <v>0.96315250663558305</v>
      </c>
      <c r="D3020">
        <v>0.92174242221657399</v>
      </c>
      <c r="E3020">
        <v>0.89008103105288705</v>
      </c>
      <c r="F3020">
        <v>0.69335220536167697</v>
      </c>
      <c r="G3020">
        <v>0.54175935974373801</v>
      </c>
      <c r="H3020">
        <v>0.301458712082393</v>
      </c>
      <c r="I3020">
        <v>0.13940520620451299</v>
      </c>
      <c r="J3020">
        <v>4.5268723642149698E-2</v>
      </c>
      <c r="K3020">
        <v>4.28777088263399E-2</v>
      </c>
      <c r="L3020">
        <v>750.01530236493397</v>
      </c>
      <c r="M3020">
        <v>13.9742220885508</v>
      </c>
      <c r="N3020">
        <v>53.6713661080829</v>
      </c>
      <c r="O3020">
        <v>52.6080842046958</v>
      </c>
      <c r="P3020">
        <v>-6.6416052533346495E-2</v>
      </c>
      <c r="Q3020">
        <v>0</v>
      </c>
      <c r="R3020">
        <v>0.99300316727103199</v>
      </c>
      <c r="S3020" t="s">
        <v>9422</v>
      </c>
      <c r="T3020" t="s">
        <v>12802</v>
      </c>
      <c r="U3020" t="s">
        <v>12802</v>
      </c>
      <c r="V3020" t="s">
        <v>12802</v>
      </c>
      <c r="W3020" t="s">
        <v>15773</v>
      </c>
      <c r="X3020">
        <v>35</v>
      </c>
      <c r="Y3020" t="s">
        <v>22026</v>
      </c>
      <c r="Z3020" t="s">
        <v>28338</v>
      </c>
      <c r="AA3020">
        <v>0.57338733865798419</v>
      </c>
      <c r="AB3020" t="str">
        <f>HYPERLINK("Melting_Curves/meltCurve_P68371_TUBB4B.pdf", "Melting_Curves/meltCurve_P68371_TUBB4B.pdf")</f>
        <v>Melting_Curves/meltCurve_P68371_TUBB4B.pdf</v>
      </c>
    </row>
    <row r="3021" spans="1:28" x14ac:dyDescent="0.25">
      <c r="A3021" t="s">
        <v>3025</v>
      </c>
      <c r="B3021">
        <v>0.99542014353169495</v>
      </c>
      <c r="C3021">
        <v>0.95649935225174199</v>
      </c>
      <c r="D3021">
        <v>0.77737994093737595</v>
      </c>
      <c r="E3021">
        <v>0.62247491356628804</v>
      </c>
      <c r="F3021">
        <v>0.44937030885615598</v>
      </c>
      <c r="G3021">
        <v>0.222028413894439</v>
      </c>
      <c r="H3021">
        <v>0.12628755845223399</v>
      </c>
      <c r="I3021">
        <v>8.4268619779791498E-2</v>
      </c>
      <c r="J3021">
        <v>8.1767733845406004E-2</v>
      </c>
      <c r="K3021">
        <v>9.1335130709378598E-2</v>
      </c>
      <c r="L3021">
        <v>593.65073715632695</v>
      </c>
      <c r="M3021">
        <v>12.303890672613599</v>
      </c>
      <c r="N3021">
        <v>48.515304762306599</v>
      </c>
      <c r="O3021">
        <v>47.027623094112698</v>
      </c>
      <c r="P3021">
        <v>-6.3286064753838106E-2</v>
      </c>
      <c r="Q3021">
        <v>3.2650420298910701E-2</v>
      </c>
      <c r="R3021">
        <v>0.99390408631764904</v>
      </c>
      <c r="S3021" t="s">
        <v>9423</v>
      </c>
      <c r="T3021" t="s">
        <v>12802</v>
      </c>
      <c r="U3021" t="s">
        <v>12802</v>
      </c>
      <c r="V3021" t="s">
        <v>12802</v>
      </c>
      <c r="W3021" t="s">
        <v>15774</v>
      </c>
      <c r="X3021">
        <v>6</v>
      </c>
      <c r="Y3021" t="s">
        <v>22027</v>
      </c>
      <c r="Z3021" t="s">
        <v>28339</v>
      </c>
      <c r="AA3021">
        <v>0.42422487119464292</v>
      </c>
      <c r="AB3021" t="str">
        <f>HYPERLINK("Melting_Curves/meltCurve_P68402_PAFAH1B2.pdf", "Melting_Curves/meltCurve_P68402_PAFAH1B2.pdf")</f>
        <v>Melting_Curves/meltCurve_P68402_PAFAH1B2.pdf</v>
      </c>
    </row>
    <row r="3022" spans="1:28" x14ac:dyDescent="0.25">
      <c r="A3022" t="s">
        <v>3026</v>
      </c>
      <c r="B3022">
        <v>0.99542014353169495</v>
      </c>
      <c r="C3022">
        <v>0.90844969646015905</v>
      </c>
      <c r="D3022">
        <v>1.07480572974004</v>
      </c>
      <c r="E3022">
        <v>0.78440439259167904</v>
      </c>
      <c r="F3022">
        <v>0.64764097750300798</v>
      </c>
      <c r="G3022">
        <v>0.38553382724480001</v>
      </c>
      <c r="H3022">
        <v>0.27322332113194198</v>
      </c>
      <c r="I3022">
        <v>0.232195302878274</v>
      </c>
      <c r="J3022">
        <v>0.27193675327904698</v>
      </c>
      <c r="K3022">
        <v>0.39016717759206598</v>
      </c>
      <c r="L3022">
        <v>1071.6535342774</v>
      </c>
      <c r="M3022">
        <v>21.597891638302301</v>
      </c>
      <c r="N3022">
        <v>51.590144052214399</v>
      </c>
      <c r="O3022">
        <v>49.198936768836703</v>
      </c>
      <c r="P3022">
        <v>-7.89127428413441E-2</v>
      </c>
      <c r="Q3022">
        <v>0.280979891109713</v>
      </c>
      <c r="R3022">
        <v>0.95475911466122598</v>
      </c>
      <c r="S3022" t="s">
        <v>9424</v>
      </c>
      <c r="T3022" t="s">
        <v>12802</v>
      </c>
      <c r="U3022" t="s">
        <v>12802</v>
      </c>
      <c r="V3022" t="s">
        <v>12802</v>
      </c>
      <c r="W3022" t="s">
        <v>15775</v>
      </c>
      <c r="X3022">
        <v>6</v>
      </c>
      <c r="Y3022" t="s">
        <v>22028</v>
      </c>
      <c r="Z3022" t="s">
        <v>28340</v>
      </c>
      <c r="AA3022">
        <v>0.59165546575878403</v>
      </c>
      <c r="AB3022" t="str">
        <f>HYPERLINK("Melting_Curves/meltCurve_P68871_HBB.pdf", "Melting_Curves/meltCurve_P68871_HBB.pdf")</f>
        <v>Melting_Curves/meltCurve_P68871_HBB.pdf</v>
      </c>
    </row>
    <row r="3023" spans="1:28" x14ac:dyDescent="0.25">
      <c r="A3023" t="s">
        <v>3027</v>
      </c>
      <c r="B3023">
        <v>0.99542014353169495</v>
      </c>
      <c r="C3023">
        <v>1.06384749727957</v>
      </c>
      <c r="D3023">
        <v>0.97352166902646897</v>
      </c>
      <c r="E3023">
        <v>1.0862891209697101</v>
      </c>
      <c r="F3023">
        <v>0.601369383782136</v>
      </c>
      <c r="G3023">
        <v>0.49317928031300501</v>
      </c>
      <c r="H3023">
        <v>0.22672502044294399</v>
      </c>
      <c r="I3023">
        <v>0.28073332984752197</v>
      </c>
      <c r="J3023">
        <v>0.53633086843092503</v>
      </c>
      <c r="K3023">
        <v>0.54860438013794499</v>
      </c>
      <c r="L3023">
        <v>8834.0884510987198</v>
      </c>
      <c r="M3023">
        <v>176.74955042784799</v>
      </c>
      <c r="N3023">
        <v>50.4942412173503</v>
      </c>
      <c r="O3023">
        <v>49.974438562515097</v>
      </c>
      <c r="P3023">
        <v>-0.515387946331888</v>
      </c>
      <c r="Q3023">
        <v>0.41711382391746099</v>
      </c>
      <c r="R3023">
        <v>0.889182694623744</v>
      </c>
      <c r="S3023" t="s">
        <v>9425</v>
      </c>
      <c r="T3023" t="s">
        <v>12802</v>
      </c>
      <c r="U3023" t="s">
        <v>12802</v>
      </c>
      <c r="V3023" t="s">
        <v>12802</v>
      </c>
      <c r="W3023" t="s">
        <v>15776</v>
      </c>
      <c r="X3023">
        <v>12</v>
      </c>
      <c r="Y3023" t="s">
        <v>22029</v>
      </c>
      <c r="Z3023" t="s">
        <v>28341</v>
      </c>
      <c r="AA3023">
        <v>0.66942759384369466</v>
      </c>
      <c r="AB3023" t="str">
        <f>HYPERLINK("Melting_Curves/meltCurve_P69891_HBG1.pdf", "Melting_Curves/meltCurve_P69891_HBG1.pdf")</f>
        <v>Melting_Curves/meltCurve_P69891_HBG1.pdf</v>
      </c>
    </row>
    <row r="3024" spans="1:28" x14ac:dyDescent="0.25">
      <c r="A3024" t="s">
        <v>3028</v>
      </c>
      <c r="B3024">
        <v>0.99542014353169495</v>
      </c>
      <c r="C3024">
        <v>1.05484237138042</v>
      </c>
      <c r="D3024">
        <v>0.91515832327073898</v>
      </c>
      <c r="E3024">
        <v>0.97222569571917905</v>
      </c>
      <c r="F3024">
        <v>0.77374160876102105</v>
      </c>
      <c r="G3024">
        <v>0.79009382187731803</v>
      </c>
      <c r="H3024">
        <v>0.56354753650172995</v>
      </c>
      <c r="I3024">
        <v>0.54408369102033804</v>
      </c>
      <c r="J3024">
        <v>0.82280027307630599</v>
      </c>
      <c r="K3024">
        <v>0.79072147448011598</v>
      </c>
      <c r="L3024">
        <v>1524.95069323343</v>
      </c>
      <c r="M3024">
        <v>31.088808757044699</v>
      </c>
      <c r="O3024">
        <v>48.849834501231001</v>
      </c>
      <c r="P3024">
        <v>-4.8566286681218797E-2</v>
      </c>
      <c r="Q3024">
        <v>0.69475305136072296</v>
      </c>
      <c r="R3024">
        <v>0.68540410748152103</v>
      </c>
      <c r="S3024" t="s">
        <v>9426</v>
      </c>
      <c r="T3024" t="s">
        <v>12802</v>
      </c>
      <c r="U3024" t="s">
        <v>12802</v>
      </c>
      <c r="V3024" t="s">
        <v>12802</v>
      </c>
      <c r="W3024" t="s">
        <v>15777</v>
      </c>
      <c r="X3024">
        <v>12</v>
      </c>
      <c r="Y3024" t="s">
        <v>22030</v>
      </c>
      <c r="Z3024" t="s">
        <v>28342</v>
      </c>
      <c r="AA3024">
        <v>0.81909151699338656</v>
      </c>
      <c r="AB3024" t="str">
        <f>HYPERLINK("Melting_Curves/meltCurve_P69892_HBG2.pdf", "Melting_Curves/meltCurve_P69892_HBG2.pdf")</f>
        <v>Melting_Curves/meltCurve_P69892_HBG2.pdf</v>
      </c>
    </row>
    <row r="3025" spans="1:28" x14ac:dyDescent="0.25">
      <c r="A3025" t="s">
        <v>3029</v>
      </c>
      <c r="B3025">
        <v>0.99542014353169495</v>
      </c>
      <c r="C3025">
        <v>1.0390285353350099</v>
      </c>
      <c r="D3025">
        <v>0.97914599029561</v>
      </c>
      <c r="E3025">
        <v>0.98517484650302201</v>
      </c>
      <c r="F3025">
        <v>0.83030755762223396</v>
      </c>
      <c r="G3025">
        <v>0.711681113374943</v>
      </c>
      <c r="H3025">
        <v>0.57742136490365803</v>
      </c>
      <c r="I3025">
        <v>0.579202052111364</v>
      </c>
      <c r="J3025">
        <v>0.85466921685476804</v>
      </c>
      <c r="K3025">
        <v>0.85642238680689597</v>
      </c>
      <c r="L3025">
        <v>3018.2703953083801</v>
      </c>
      <c r="M3025">
        <v>60.531459689968699</v>
      </c>
      <c r="O3025">
        <v>49.808502837947302</v>
      </c>
      <c r="P3025">
        <v>-8.6490032026240699E-2</v>
      </c>
      <c r="Q3025">
        <v>0.715325729081152</v>
      </c>
      <c r="R3025">
        <v>0.69386494164569801</v>
      </c>
      <c r="S3025" t="s">
        <v>9427</v>
      </c>
      <c r="T3025" t="s">
        <v>12802</v>
      </c>
      <c r="U3025" t="s">
        <v>12802</v>
      </c>
      <c r="V3025" t="s">
        <v>12802</v>
      </c>
      <c r="W3025" t="s">
        <v>15778</v>
      </c>
      <c r="X3025">
        <v>9</v>
      </c>
      <c r="Y3025" t="s">
        <v>22031</v>
      </c>
      <c r="Z3025" t="s">
        <v>28343</v>
      </c>
      <c r="AA3025">
        <v>0.83780948231674357</v>
      </c>
      <c r="AB3025" t="str">
        <f>HYPERLINK("Melting_Curves/meltCurve_P69905_HBA1.pdf", "Melting_Curves/meltCurve_P69905_HBA1.pdf")</f>
        <v>Melting_Curves/meltCurve_P69905_HBA1.pdf</v>
      </c>
    </row>
    <row r="3026" spans="1:28" x14ac:dyDescent="0.25">
      <c r="A3026" t="s">
        <v>3030</v>
      </c>
      <c r="B3026">
        <v>0.99542014353169495</v>
      </c>
      <c r="C3026">
        <v>0.89327264250919403</v>
      </c>
      <c r="D3026">
        <v>1.16007577162286</v>
      </c>
      <c r="E3026">
        <v>0.53859363346096101</v>
      </c>
      <c r="F3026">
        <v>0.26739212515946098</v>
      </c>
      <c r="G3026">
        <v>0.159734717997353</v>
      </c>
      <c r="H3026">
        <v>0.109076360625727</v>
      </c>
      <c r="I3026">
        <v>9.1588144253614098E-2</v>
      </c>
      <c r="J3026">
        <v>9.7481760889243804E-2</v>
      </c>
      <c r="K3026">
        <v>8.1733345327912904E-2</v>
      </c>
      <c r="L3026">
        <v>2217.6366761222698</v>
      </c>
      <c r="M3026">
        <v>47.581949974593002</v>
      </c>
      <c r="N3026">
        <v>46.896207508576097</v>
      </c>
      <c r="O3026">
        <v>46.524578385025698</v>
      </c>
      <c r="P3026">
        <v>-0.22314066362391699</v>
      </c>
      <c r="Q3026">
        <v>0.12727288039156501</v>
      </c>
      <c r="R3026">
        <v>0.96245270526700999</v>
      </c>
      <c r="S3026" t="s">
        <v>9428</v>
      </c>
      <c r="T3026" t="s">
        <v>12802</v>
      </c>
      <c r="U3026" t="s">
        <v>12802</v>
      </c>
      <c r="V3026" t="s">
        <v>12802</v>
      </c>
      <c r="W3026" t="s">
        <v>15779</v>
      </c>
      <c r="X3026">
        <v>6</v>
      </c>
      <c r="Y3026" t="s">
        <v>22032</v>
      </c>
      <c r="Z3026" t="s">
        <v>28344</v>
      </c>
      <c r="AA3026">
        <v>0.40872224853309791</v>
      </c>
      <c r="AB3026" t="str">
        <f>HYPERLINK("Melting_Curves/meltCurve_P78316_NOP14.pdf", "Melting_Curves/meltCurve_P78316_NOP14.pdf")</f>
        <v>Melting_Curves/meltCurve_P78316_NOP14.pdf</v>
      </c>
    </row>
    <row r="3027" spans="1:28" x14ac:dyDescent="0.25">
      <c r="A3027" t="s">
        <v>3031</v>
      </c>
      <c r="B3027">
        <v>0.99542014353169495</v>
      </c>
      <c r="C3027">
        <v>0.98030208654130002</v>
      </c>
      <c r="D3027">
        <v>0.89774532577780797</v>
      </c>
      <c r="E3027">
        <v>0.82645900580141696</v>
      </c>
      <c r="F3027">
        <v>0.40926116117510403</v>
      </c>
      <c r="G3027">
        <v>0.14984899169455199</v>
      </c>
      <c r="H3027">
        <v>7.98030222134406E-2</v>
      </c>
      <c r="I3027">
        <v>5.45050700412767E-2</v>
      </c>
      <c r="J3027">
        <v>4.9794223645895697E-2</v>
      </c>
      <c r="K3027">
        <v>4.5610867388442701E-2</v>
      </c>
      <c r="L3027">
        <v>1153.51825574638</v>
      </c>
      <c r="M3027">
        <v>23.428797536494201</v>
      </c>
      <c r="N3027">
        <v>49.425050899577002</v>
      </c>
      <c r="O3027">
        <v>48.880572802573703</v>
      </c>
      <c r="P3027">
        <v>-0.11466917961763499</v>
      </c>
      <c r="Q3027">
        <v>4.3058419210959098E-2</v>
      </c>
      <c r="R3027">
        <v>0.99617691915339202</v>
      </c>
      <c r="S3027" t="s">
        <v>9429</v>
      </c>
      <c r="T3027" t="s">
        <v>12802</v>
      </c>
      <c r="U3027" t="s">
        <v>12802</v>
      </c>
      <c r="V3027" t="s">
        <v>12802</v>
      </c>
      <c r="W3027" t="s">
        <v>15780</v>
      </c>
      <c r="X3027">
        <v>16</v>
      </c>
      <c r="Y3027" t="s">
        <v>22033</v>
      </c>
      <c r="Z3027" t="s">
        <v>28345</v>
      </c>
      <c r="AA3027">
        <v>0.44272898507180791</v>
      </c>
      <c r="AB3027" t="str">
        <f>HYPERLINK("Melting_Curves/meltCurve_P78318_IGBP1.pdf", "Melting_Curves/meltCurve_P78318_IGBP1.pdf")</f>
        <v>Melting_Curves/meltCurve_P78318_IGBP1.pdf</v>
      </c>
    </row>
    <row r="3028" spans="1:28" x14ac:dyDescent="0.25">
      <c r="A3028" t="s">
        <v>3032</v>
      </c>
      <c r="B3028">
        <v>0.99542014353169495</v>
      </c>
      <c r="C3028">
        <v>1.0704890076992399</v>
      </c>
      <c r="D3028">
        <v>0.91185951001607901</v>
      </c>
      <c r="E3028">
        <v>0.94518752652662896</v>
      </c>
      <c r="F3028">
        <v>0.80231717502867295</v>
      </c>
      <c r="G3028">
        <v>0.69986185446914795</v>
      </c>
      <c r="H3028">
        <v>0.54651945133330804</v>
      </c>
      <c r="I3028">
        <v>0.50742540627406296</v>
      </c>
      <c r="J3028">
        <v>0.75195608587457696</v>
      </c>
      <c r="K3028">
        <v>0.47463293004514401</v>
      </c>
      <c r="L3028">
        <v>992.81445310122501</v>
      </c>
      <c r="M3028">
        <v>19.554863266727398</v>
      </c>
      <c r="O3028">
        <v>50.248710546511198</v>
      </c>
      <c r="P3028">
        <v>-4.2843025463190597E-2</v>
      </c>
      <c r="Q3028">
        <v>0.55965323549194101</v>
      </c>
      <c r="R3028">
        <v>0.84721748199244595</v>
      </c>
      <c r="S3028" t="s">
        <v>9430</v>
      </c>
      <c r="T3028" t="s">
        <v>12802</v>
      </c>
      <c r="U3028" t="s">
        <v>12802</v>
      </c>
      <c r="V3028" t="s">
        <v>12802</v>
      </c>
      <c r="W3028" t="s">
        <v>15781</v>
      </c>
      <c r="X3028">
        <v>11</v>
      </c>
      <c r="Y3028" t="s">
        <v>22034</v>
      </c>
      <c r="Z3028" t="s">
        <v>28346</v>
      </c>
      <c r="AA3028">
        <v>0.767781322170207</v>
      </c>
      <c r="AB3028" t="str">
        <f>HYPERLINK("Melting_Curves/meltCurve_P78330_PSPH.pdf", "Melting_Curves/meltCurve_P78330_PSPH.pdf")</f>
        <v>Melting_Curves/meltCurve_P78330_PSPH.pdf</v>
      </c>
    </row>
    <row r="3029" spans="1:28" x14ac:dyDescent="0.25">
      <c r="A3029" t="s">
        <v>3033</v>
      </c>
      <c r="B3029">
        <v>0.99542014353169495</v>
      </c>
      <c r="C3029">
        <v>0.97973206825421899</v>
      </c>
      <c r="D3029">
        <v>0.88079131252643705</v>
      </c>
      <c r="E3029">
        <v>0.46503604660065301</v>
      </c>
      <c r="F3029">
        <v>0.21515516161002499</v>
      </c>
      <c r="G3029">
        <v>0.13273279651731101</v>
      </c>
      <c r="H3029">
        <v>8.4424311416753897E-2</v>
      </c>
      <c r="I3029">
        <v>6.6976169832674307E-2</v>
      </c>
      <c r="J3029">
        <v>9.9450277381527202E-2</v>
      </c>
      <c r="K3029">
        <v>0.10308036004585699</v>
      </c>
      <c r="L3029">
        <v>1134.2543361252001</v>
      </c>
      <c r="M3029">
        <v>24.6266916004056</v>
      </c>
      <c r="N3029">
        <v>46.440776549062697</v>
      </c>
      <c r="O3029">
        <v>45.757448288636603</v>
      </c>
      <c r="P3029">
        <v>-0.122191146284219</v>
      </c>
      <c r="Q3029">
        <v>9.1867419739244699E-2</v>
      </c>
      <c r="R3029">
        <v>0.99847817723906995</v>
      </c>
      <c r="S3029" t="s">
        <v>9431</v>
      </c>
      <c r="T3029" t="s">
        <v>12802</v>
      </c>
      <c r="U3029" t="s">
        <v>12802</v>
      </c>
      <c r="V3029" t="s">
        <v>12802</v>
      </c>
      <c r="W3029" t="s">
        <v>15782</v>
      </c>
      <c r="X3029">
        <v>14</v>
      </c>
      <c r="Y3029" t="s">
        <v>22035</v>
      </c>
      <c r="Z3029" t="s">
        <v>28347</v>
      </c>
      <c r="AA3029">
        <v>0.37382623632827278</v>
      </c>
      <c r="AB3029" t="str">
        <f>HYPERLINK("Melting_Curves/meltCurve_P78332_RBM6.pdf", "Melting_Curves/meltCurve_P78332_RBM6.pdf")</f>
        <v>Melting_Curves/meltCurve_P78332_RBM6.pdf</v>
      </c>
    </row>
    <row r="3030" spans="1:28" x14ac:dyDescent="0.25">
      <c r="A3030" t="s">
        <v>3034</v>
      </c>
      <c r="B3030">
        <v>0.99542014353169495</v>
      </c>
      <c r="C3030">
        <v>0.89091511351061603</v>
      </c>
      <c r="D3030">
        <v>0.84704786508602703</v>
      </c>
      <c r="E3030">
        <v>0.66250154547166396</v>
      </c>
      <c r="F3030">
        <v>0.57156124557613897</v>
      </c>
      <c r="G3030">
        <v>0.22645997490981001</v>
      </c>
      <c r="H3030">
        <v>0.109478118719013</v>
      </c>
      <c r="I3030">
        <v>6.5811077862524298E-2</v>
      </c>
      <c r="J3030">
        <v>6.8933263814503903E-2</v>
      </c>
      <c r="K3030">
        <v>5.00949620806527E-2</v>
      </c>
      <c r="L3030">
        <v>613.73627246098499</v>
      </c>
      <c r="M3030">
        <v>12.3790159816496</v>
      </c>
      <c r="N3030">
        <v>49.578781859865401</v>
      </c>
      <c r="O3030">
        <v>48.338237389934498</v>
      </c>
      <c r="P3030">
        <v>-6.4036577687098903E-2</v>
      </c>
      <c r="Q3030">
        <v>0</v>
      </c>
      <c r="R3030">
        <v>0.983084319007689</v>
      </c>
      <c r="S3030" t="s">
        <v>9432</v>
      </c>
      <c r="T3030" t="s">
        <v>12802</v>
      </c>
      <c r="U3030" t="s">
        <v>12802</v>
      </c>
      <c r="V3030" t="s">
        <v>12802</v>
      </c>
      <c r="W3030" t="s">
        <v>15783</v>
      </c>
      <c r="X3030">
        <v>2</v>
      </c>
      <c r="Y3030" t="s">
        <v>22036</v>
      </c>
      <c r="Z3030" t="s">
        <v>28348</v>
      </c>
      <c r="AA3030">
        <v>0.44693475909137159</v>
      </c>
      <c r="AB3030" t="str">
        <f>HYPERLINK("Melting_Curves/meltCurve_P78345_RPP38.pdf", "Melting_Curves/meltCurve_P78345_RPP38.pdf")</f>
        <v>Melting_Curves/meltCurve_P78345_RPP38.pdf</v>
      </c>
    </row>
    <row r="3031" spans="1:28" x14ac:dyDescent="0.25">
      <c r="A3031" t="s">
        <v>3035</v>
      </c>
      <c r="B3031">
        <v>0.99542014353169495</v>
      </c>
      <c r="C3031">
        <v>0.95030041176625901</v>
      </c>
      <c r="D3031">
        <v>0.93448083181137798</v>
      </c>
      <c r="E3031">
        <v>0.70585124063392601</v>
      </c>
      <c r="F3031">
        <v>0.58803807623684301</v>
      </c>
      <c r="G3031">
        <v>0.40101248316694899</v>
      </c>
      <c r="H3031">
        <v>0.282232092836944</v>
      </c>
      <c r="I3031">
        <v>0.16243268128652799</v>
      </c>
      <c r="J3031">
        <v>0.17221059662531299</v>
      </c>
      <c r="K3031">
        <v>9.1981175466961301E-2</v>
      </c>
      <c r="L3031">
        <v>546.38924425962296</v>
      </c>
      <c r="M3031">
        <v>10.659984214281</v>
      </c>
      <c r="N3031">
        <v>51.640142988747002</v>
      </c>
      <c r="O3031">
        <v>49.551046714412898</v>
      </c>
      <c r="P3031">
        <v>-5.1752979985980802E-2</v>
      </c>
      <c r="Q3031">
        <v>3.8107987341659898E-2</v>
      </c>
      <c r="R3031">
        <v>0.99400950047604097</v>
      </c>
      <c r="S3031" t="s">
        <v>9433</v>
      </c>
      <c r="T3031" t="s">
        <v>12802</v>
      </c>
      <c r="U3031" t="s">
        <v>12802</v>
      </c>
      <c r="V3031" t="s">
        <v>12802</v>
      </c>
      <c r="W3031" t="s">
        <v>15784</v>
      </c>
      <c r="X3031">
        <v>5</v>
      </c>
      <c r="Y3031" t="s">
        <v>22037</v>
      </c>
      <c r="Z3031" t="s">
        <v>28349</v>
      </c>
      <c r="AA3031">
        <v>0.52233000592989498</v>
      </c>
      <c r="AB3031" t="str">
        <f>HYPERLINK("Melting_Curves/meltCurve_P78346_RPP30.pdf", "Melting_Curves/meltCurve_P78346_RPP30.pdf")</f>
        <v>Melting_Curves/meltCurve_P78346_RPP30.pdf</v>
      </c>
    </row>
    <row r="3032" spans="1:28" x14ac:dyDescent="0.25">
      <c r="A3032" t="s">
        <v>3036</v>
      </c>
      <c r="B3032">
        <v>0.99542014353169495</v>
      </c>
      <c r="C3032">
        <v>0.90602942267553299</v>
      </c>
      <c r="D3032">
        <v>0.72212953728012297</v>
      </c>
      <c r="E3032">
        <v>0.22229332374385499</v>
      </c>
      <c r="F3032">
        <v>0.12967265064383701</v>
      </c>
      <c r="G3032">
        <v>7.7235366904879296E-2</v>
      </c>
      <c r="H3032">
        <v>5.32699372712973E-2</v>
      </c>
      <c r="I3032">
        <v>3.7292838218332E-2</v>
      </c>
      <c r="J3032">
        <v>4.0537058803581202E-2</v>
      </c>
      <c r="K3032">
        <v>4.10077923201074E-2</v>
      </c>
      <c r="L3032">
        <v>1137.8276260684399</v>
      </c>
      <c r="M3032">
        <v>25.711070202583301</v>
      </c>
      <c r="N3032">
        <v>44.437339381374699</v>
      </c>
      <c r="O3032">
        <v>43.989263040235699</v>
      </c>
      <c r="P3032">
        <v>-0.13878432121363701</v>
      </c>
      <c r="Q3032">
        <v>5.02225785541301E-2</v>
      </c>
      <c r="R3032">
        <v>0.99610989235205405</v>
      </c>
      <c r="S3032" t="s">
        <v>9434</v>
      </c>
      <c r="T3032" t="s">
        <v>12802</v>
      </c>
      <c r="U3032" t="s">
        <v>12802</v>
      </c>
      <c r="V3032" t="s">
        <v>12802</v>
      </c>
      <c r="W3032" t="s">
        <v>15785</v>
      </c>
      <c r="X3032">
        <v>36</v>
      </c>
      <c r="Y3032" t="s">
        <v>22038</v>
      </c>
      <c r="Z3032" t="s">
        <v>28350</v>
      </c>
      <c r="AA3032">
        <v>0.28722467365103083</v>
      </c>
      <c r="AB3032" t="str">
        <f>HYPERLINK("Melting_Curves/meltCurve_P78347_2_GTF2I.pdf", "Melting_Curves/meltCurve_P78347_2_GTF2I.pdf")</f>
        <v>Melting_Curves/meltCurve_P78347_2_GTF2I.pdf</v>
      </c>
    </row>
    <row r="3033" spans="1:28" x14ac:dyDescent="0.25">
      <c r="A3033" t="s">
        <v>3037</v>
      </c>
      <c r="B3033">
        <v>0.99542014353169495</v>
      </c>
      <c r="C3033">
        <v>0.95716172436629599</v>
      </c>
      <c r="D3033">
        <v>0.98693248017194501</v>
      </c>
      <c r="E3033">
        <v>0.87016870447490902</v>
      </c>
      <c r="F3033">
        <v>0.56936338212432902</v>
      </c>
      <c r="G3033">
        <v>0.271536427503072</v>
      </c>
      <c r="H3033">
        <v>0.14056992170402499</v>
      </c>
      <c r="I3033">
        <v>9.8523577121339703E-2</v>
      </c>
      <c r="J3033">
        <v>0.139549736002955</v>
      </c>
      <c r="K3033">
        <v>0.15398983390895599</v>
      </c>
      <c r="L3033">
        <v>1207.8584312580001</v>
      </c>
      <c r="M3033">
        <v>24.055020945984602</v>
      </c>
      <c r="N3033">
        <v>50.791045997893001</v>
      </c>
      <c r="O3033">
        <v>49.869155890940597</v>
      </c>
      <c r="P3033">
        <v>-0.10613743761566601</v>
      </c>
      <c r="Q3033">
        <v>0.119867342088237</v>
      </c>
      <c r="R3033">
        <v>0.99666825257314295</v>
      </c>
      <c r="S3033" t="s">
        <v>9435</v>
      </c>
      <c r="T3033" t="s">
        <v>12802</v>
      </c>
      <c r="U3033" t="s">
        <v>12802</v>
      </c>
      <c r="V3033" t="s">
        <v>12802</v>
      </c>
      <c r="W3033" t="s">
        <v>15786</v>
      </c>
      <c r="X3033">
        <v>11</v>
      </c>
      <c r="Y3033" t="s">
        <v>22039</v>
      </c>
      <c r="Z3033" t="s">
        <v>28351</v>
      </c>
      <c r="AA3033">
        <v>0.51578221261024071</v>
      </c>
      <c r="AB3033" t="str">
        <f>HYPERLINK("Melting_Curves/meltCurve_P78356_PIP4K2B.pdf", "Melting_Curves/meltCurve_P78356_PIP4K2B.pdf")</f>
        <v>Melting_Curves/meltCurve_P78356_PIP4K2B.pdf</v>
      </c>
    </row>
    <row r="3034" spans="1:28" x14ac:dyDescent="0.25">
      <c r="A3034" t="s">
        <v>3038</v>
      </c>
      <c r="B3034">
        <v>0.99542014353169495</v>
      </c>
      <c r="C3034">
        <v>0.950786338301294</v>
      </c>
      <c r="D3034">
        <v>0.88667972681976104</v>
      </c>
      <c r="E3034">
        <v>0.847536147306582</v>
      </c>
      <c r="F3034">
        <v>0.55024722057226905</v>
      </c>
      <c r="G3034">
        <v>0.33221561351232698</v>
      </c>
      <c r="H3034">
        <v>0.128571861059491</v>
      </c>
      <c r="I3034">
        <v>6.93524308277432E-2</v>
      </c>
      <c r="J3034">
        <v>4.5239240492128699E-2</v>
      </c>
      <c r="K3034">
        <v>6.45472292857803E-2</v>
      </c>
      <c r="L3034">
        <v>790.29947615081596</v>
      </c>
      <c r="M3034">
        <v>15.521040243961201</v>
      </c>
      <c r="N3034">
        <v>50.995944883590198</v>
      </c>
      <c r="O3034">
        <v>50.095167140946501</v>
      </c>
      <c r="P3034">
        <v>-7.6555960921846994E-2</v>
      </c>
      <c r="Q3034">
        <v>1.1729936754406299E-2</v>
      </c>
      <c r="R3034">
        <v>0.99408763153275903</v>
      </c>
      <c r="S3034" t="s">
        <v>9436</v>
      </c>
      <c r="T3034" t="s">
        <v>12802</v>
      </c>
      <c r="U3034" t="s">
        <v>12802</v>
      </c>
      <c r="V3034" t="s">
        <v>12802</v>
      </c>
      <c r="W3034" t="s">
        <v>15787</v>
      </c>
      <c r="X3034">
        <v>5</v>
      </c>
      <c r="Y3034" t="s">
        <v>22040</v>
      </c>
      <c r="Z3034" t="s">
        <v>28352</v>
      </c>
      <c r="AA3034">
        <v>0.48928927148013629</v>
      </c>
      <c r="AB3034" t="str">
        <f>HYPERLINK("Melting_Curves/meltCurve_P78362_SRPK2.pdf", "Melting_Curves/meltCurve_P78362_SRPK2.pdf")</f>
        <v>Melting_Curves/meltCurve_P78362_SRPK2.pdf</v>
      </c>
    </row>
    <row r="3035" spans="1:28" x14ac:dyDescent="0.25">
      <c r="A3035" t="s">
        <v>3039</v>
      </c>
      <c r="B3035">
        <v>0.99542014353169495</v>
      </c>
      <c r="C3035">
        <v>0.97347363763250605</v>
      </c>
      <c r="D3035">
        <v>0.98819386014288302</v>
      </c>
      <c r="E3035">
        <v>0.840142175161114</v>
      </c>
      <c r="F3035">
        <v>0.74315120424645698</v>
      </c>
      <c r="G3035">
        <v>0.42646624133213501</v>
      </c>
      <c r="H3035">
        <v>7.6670341649865803E-2</v>
      </c>
      <c r="I3035">
        <v>0</v>
      </c>
      <c r="J3035">
        <v>0</v>
      </c>
      <c r="K3035">
        <v>6.9589326474081697E-2</v>
      </c>
      <c r="L3035">
        <v>1124.1871249292701</v>
      </c>
      <c r="M3035">
        <v>21.409861266560402</v>
      </c>
      <c r="N3035">
        <v>52.507892342969598</v>
      </c>
      <c r="O3035">
        <v>52.056279738998199</v>
      </c>
      <c r="P3035">
        <v>-0.102823327702792</v>
      </c>
      <c r="Q3035">
        <v>0</v>
      </c>
      <c r="R3035">
        <v>0.98664138726688999</v>
      </c>
      <c r="S3035" t="s">
        <v>9437</v>
      </c>
      <c r="T3035" t="s">
        <v>12802</v>
      </c>
      <c r="U3035" t="s">
        <v>12802</v>
      </c>
      <c r="V3035" t="s">
        <v>12802</v>
      </c>
      <c r="W3035" t="s">
        <v>15788</v>
      </c>
      <c r="X3035">
        <v>7</v>
      </c>
      <c r="Y3035" t="s">
        <v>22041</v>
      </c>
      <c r="Z3035" t="s">
        <v>28353</v>
      </c>
      <c r="AA3035">
        <v>0.52842308612484834</v>
      </c>
      <c r="AB3035" t="str">
        <f>HYPERLINK("Melting_Curves/meltCurve_P78368_CSNK1G2.pdf", "Melting_Curves/meltCurve_P78368_CSNK1G2.pdf")</f>
        <v>Melting_Curves/meltCurve_P78368_CSNK1G2.pdf</v>
      </c>
    </row>
    <row r="3036" spans="1:28" x14ac:dyDescent="0.25">
      <c r="A3036" t="s">
        <v>3040</v>
      </c>
      <c r="B3036">
        <v>0.99542014353169495</v>
      </c>
      <c r="C3036">
        <v>0.93879798292607597</v>
      </c>
      <c r="D3036">
        <v>0.92232432822945298</v>
      </c>
      <c r="E3036">
        <v>0.78133955219851403</v>
      </c>
      <c r="F3036">
        <v>0.56593723937079399</v>
      </c>
      <c r="G3036">
        <v>0.34662115658950599</v>
      </c>
      <c r="H3036">
        <v>0.27729636469199798</v>
      </c>
      <c r="I3036">
        <v>0.17799682360338101</v>
      </c>
      <c r="J3036">
        <v>0.13472726810925301</v>
      </c>
      <c r="K3036">
        <v>7.2978098175099898E-2</v>
      </c>
      <c r="L3036">
        <v>610.04565590537595</v>
      </c>
      <c r="M3036">
        <v>11.9582956019463</v>
      </c>
      <c r="N3036">
        <v>51.444255584220898</v>
      </c>
      <c r="O3036">
        <v>49.650608708781398</v>
      </c>
      <c r="P3036">
        <v>-5.7363663881006603E-2</v>
      </c>
      <c r="Q3036">
        <v>4.7541495624909801E-2</v>
      </c>
      <c r="R3036">
        <v>0.99634747205080998</v>
      </c>
      <c r="S3036" t="s">
        <v>9438</v>
      </c>
      <c r="T3036" t="s">
        <v>12802</v>
      </c>
      <c r="U3036" t="s">
        <v>12802</v>
      </c>
      <c r="V3036" t="s">
        <v>12802</v>
      </c>
      <c r="W3036" t="s">
        <v>15789</v>
      </c>
      <c r="X3036">
        <v>42</v>
      </c>
      <c r="Y3036" t="s">
        <v>22042</v>
      </c>
      <c r="Z3036" t="s">
        <v>28354</v>
      </c>
      <c r="AA3036">
        <v>0.51733201538236506</v>
      </c>
      <c r="AB3036" t="str">
        <f>HYPERLINK("Melting_Curves/meltCurve_P78371_CCT2.pdf", "Melting_Curves/meltCurve_P78371_CCT2.pdf")</f>
        <v>Melting_Curves/meltCurve_P78371_CCT2.pdf</v>
      </c>
    </row>
    <row r="3037" spans="1:28" x14ac:dyDescent="0.25">
      <c r="A3037" t="s">
        <v>3041</v>
      </c>
      <c r="B3037">
        <v>0.99542014353169495</v>
      </c>
      <c r="C3037">
        <v>0.99634347750928998</v>
      </c>
      <c r="D3037">
        <v>0.86973403624584</v>
      </c>
      <c r="E3037">
        <v>0.60236732366322998</v>
      </c>
      <c r="F3037">
        <v>0.27990968976338199</v>
      </c>
      <c r="G3037">
        <v>0.109397388436015</v>
      </c>
      <c r="H3037">
        <v>6.2628548102751105E-2</v>
      </c>
      <c r="I3037">
        <v>4.7272762729120003E-2</v>
      </c>
      <c r="J3037">
        <v>4.2669233357084002E-2</v>
      </c>
      <c r="K3037">
        <v>4.3632842784946203E-2</v>
      </c>
      <c r="L3037">
        <v>931.45595615866603</v>
      </c>
      <c r="M3037">
        <v>19.6554656905071</v>
      </c>
      <c r="N3037">
        <v>47.564570008361699</v>
      </c>
      <c r="O3037">
        <v>46.906808494950504</v>
      </c>
      <c r="P3037">
        <v>-0.101099128270147</v>
      </c>
      <c r="Q3037">
        <v>3.4961123118423601E-2</v>
      </c>
      <c r="R3037">
        <v>0.99946366732038705</v>
      </c>
      <c r="S3037" t="s">
        <v>9439</v>
      </c>
      <c r="T3037" t="s">
        <v>12802</v>
      </c>
      <c r="U3037" t="s">
        <v>12802</v>
      </c>
      <c r="V3037" t="s">
        <v>12802</v>
      </c>
      <c r="W3037" t="s">
        <v>15790</v>
      </c>
      <c r="X3037">
        <v>11</v>
      </c>
      <c r="Y3037" t="s">
        <v>22043</v>
      </c>
      <c r="Z3037" t="s">
        <v>28355</v>
      </c>
      <c r="AA3037">
        <v>0.38224083198696662</v>
      </c>
      <c r="AB3037" t="str">
        <f>HYPERLINK("Melting_Curves/meltCurve_P78406_RAE1.pdf", "Melting_Curves/meltCurve_P78406_RAE1.pdf")</f>
        <v>Melting_Curves/meltCurve_P78406_RAE1.pdf</v>
      </c>
    </row>
    <row r="3038" spans="1:28" x14ac:dyDescent="0.25">
      <c r="A3038" t="s">
        <v>3042</v>
      </c>
      <c r="B3038">
        <v>0.99542014353169495</v>
      </c>
      <c r="C3038">
        <v>1.0323840793986601</v>
      </c>
      <c r="D3038">
        <v>1.0198482701226099</v>
      </c>
      <c r="E3038">
        <v>1.0657426123843099</v>
      </c>
      <c r="F3038">
        <v>0.82882544721545404</v>
      </c>
      <c r="G3038">
        <v>0.71902164657829004</v>
      </c>
      <c r="H3038">
        <v>0.39174469495819197</v>
      </c>
      <c r="I3038">
        <v>0.32212491149573702</v>
      </c>
      <c r="J3038">
        <v>0.3978115903942</v>
      </c>
      <c r="K3038">
        <v>0.306505749156255</v>
      </c>
      <c r="L3038">
        <v>1360.3708450131301</v>
      </c>
      <c r="M3038">
        <v>25.277532688670298</v>
      </c>
      <c r="N3038">
        <v>56.085318757461202</v>
      </c>
      <c r="O3038">
        <v>53.483954533818199</v>
      </c>
      <c r="P3038">
        <v>-8.0335656718328E-2</v>
      </c>
      <c r="Q3038">
        <v>0.32008976413995799</v>
      </c>
      <c r="R3038">
        <v>0.97367084399704895</v>
      </c>
      <c r="S3038" t="s">
        <v>9440</v>
      </c>
      <c r="T3038" t="s">
        <v>12802</v>
      </c>
      <c r="U3038" t="s">
        <v>12802</v>
      </c>
      <c r="V3038" t="s">
        <v>12802</v>
      </c>
      <c r="W3038" t="s">
        <v>15791</v>
      </c>
      <c r="X3038">
        <v>18</v>
      </c>
      <c r="Y3038" t="s">
        <v>22044</v>
      </c>
      <c r="Z3038" t="s">
        <v>28356</v>
      </c>
      <c r="AA3038">
        <v>0.70708093172060782</v>
      </c>
      <c r="AB3038" t="str">
        <f>HYPERLINK("Melting_Curves/meltCurve_P78417_GSTO1.pdf", "Melting_Curves/meltCurve_P78417_GSTO1.pdf")</f>
        <v>Melting_Curves/meltCurve_P78417_GSTO1.pdf</v>
      </c>
    </row>
    <row r="3039" spans="1:28" x14ac:dyDescent="0.25">
      <c r="A3039" t="s">
        <v>3043</v>
      </c>
      <c r="B3039">
        <v>0.99542014353169495</v>
      </c>
      <c r="C3039">
        <v>0.84934328230116796</v>
      </c>
      <c r="D3039">
        <v>0.91638759400314096</v>
      </c>
      <c r="E3039">
        <v>0.70977325209311803</v>
      </c>
      <c r="F3039">
        <v>0.48533127780596702</v>
      </c>
      <c r="G3039">
        <v>9.6814561969989596E-2</v>
      </c>
      <c r="H3039">
        <v>6.1271777078852702E-2</v>
      </c>
      <c r="I3039">
        <v>4.0836611877474303E-2</v>
      </c>
      <c r="J3039">
        <v>4.1701816602753003E-2</v>
      </c>
      <c r="K3039">
        <v>4.2541609383629699E-2</v>
      </c>
      <c r="L3039">
        <v>861.24297448384903</v>
      </c>
      <c r="M3039">
        <v>17.539088061661499</v>
      </c>
      <c r="N3039">
        <v>49.140167062788102</v>
      </c>
      <c r="O3039">
        <v>48.479179510335101</v>
      </c>
      <c r="P3039">
        <v>-8.9874692896733693E-2</v>
      </c>
      <c r="Q3039">
        <v>6.3758998447182103E-3</v>
      </c>
      <c r="R3039">
        <v>0.97837163594833498</v>
      </c>
      <c r="S3039" t="s">
        <v>9441</v>
      </c>
      <c r="T3039" t="s">
        <v>12802</v>
      </c>
      <c r="U3039" t="s">
        <v>12802</v>
      </c>
      <c r="V3039" t="s">
        <v>12802</v>
      </c>
      <c r="W3039" t="s">
        <v>15792</v>
      </c>
      <c r="X3039">
        <v>159</v>
      </c>
      <c r="Y3039" t="s">
        <v>22045</v>
      </c>
      <c r="Z3039" t="s">
        <v>28357</v>
      </c>
      <c r="AA3039">
        <v>0.42378410614839462</v>
      </c>
      <c r="AB3039" t="str">
        <f>HYPERLINK("Melting_Curves/meltCurve_P78527_PRKDC.pdf", "Melting_Curves/meltCurve_P78527_PRKDC.pdf")</f>
        <v>Melting_Curves/meltCurve_P78527_PRKDC.pdf</v>
      </c>
    </row>
    <row r="3040" spans="1:28" x14ac:dyDescent="0.25">
      <c r="A3040" t="s">
        <v>3044</v>
      </c>
      <c r="B3040">
        <v>0.99542014353169495</v>
      </c>
      <c r="C3040">
        <v>0.88196341841179005</v>
      </c>
      <c r="D3040">
        <v>0.978756556108061</v>
      </c>
      <c r="E3040">
        <v>0.74368867462214305</v>
      </c>
      <c r="F3040">
        <v>0.48630693764346999</v>
      </c>
      <c r="G3040">
        <v>0.174799085704991</v>
      </c>
      <c r="H3040">
        <v>0.14781073745510301</v>
      </c>
      <c r="I3040">
        <v>8.06302225114367E-2</v>
      </c>
      <c r="J3040">
        <v>6.21482611094882E-2</v>
      </c>
      <c r="K3040">
        <v>6.3259489385578294E-2</v>
      </c>
      <c r="L3040">
        <v>910.25256522857603</v>
      </c>
      <c r="M3040">
        <v>18.442032206631101</v>
      </c>
      <c r="N3040">
        <v>49.660904930016002</v>
      </c>
      <c r="O3040">
        <v>48.788134394010299</v>
      </c>
      <c r="P3040">
        <v>-8.9469753820483E-2</v>
      </c>
      <c r="Q3040">
        <v>5.3278595350890599E-2</v>
      </c>
      <c r="R3040">
        <v>0.988197387570804</v>
      </c>
      <c r="S3040" t="s">
        <v>9442</v>
      </c>
      <c r="T3040" t="s">
        <v>12802</v>
      </c>
      <c r="U3040" t="s">
        <v>12802</v>
      </c>
      <c r="V3040" t="s">
        <v>12802</v>
      </c>
      <c r="W3040" t="s">
        <v>15793</v>
      </c>
      <c r="X3040">
        <v>9</v>
      </c>
      <c r="Y3040" t="s">
        <v>22046</v>
      </c>
      <c r="Z3040" t="s">
        <v>28358</v>
      </c>
      <c r="AA3040">
        <v>0.4576466686566486</v>
      </c>
      <c r="AB3040" t="str">
        <f>HYPERLINK("Melting_Curves/meltCurve_P78536_ADAM17.pdf", "Melting_Curves/meltCurve_P78536_ADAM17.pdf")</f>
        <v>Melting_Curves/meltCurve_P78536_ADAM17.pdf</v>
      </c>
    </row>
    <row r="3041" spans="1:28" x14ac:dyDescent="0.25">
      <c r="A3041" t="s">
        <v>3045</v>
      </c>
      <c r="B3041">
        <v>0.99542014353169495</v>
      </c>
      <c r="C3041">
        <v>0.97714012151218099</v>
      </c>
      <c r="D3041">
        <v>0.90954032495075199</v>
      </c>
      <c r="E3041">
        <v>0.78378218705700198</v>
      </c>
      <c r="F3041">
        <v>0.67786214442387405</v>
      </c>
      <c r="G3041">
        <v>0.49390658429117901</v>
      </c>
      <c r="H3041">
        <v>0.266035024213926</v>
      </c>
      <c r="I3041">
        <v>0.12282216342493101</v>
      </c>
      <c r="J3041">
        <v>0.111510530940038</v>
      </c>
      <c r="K3041">
        <v>0.119405902001596</v>
      </c>
      <c r="L3041">
        <v>607.22877905340397</v>
      </c>
      <c r="M3041">
        <v>11.485850272055901</v>
      </c>
      <c r="N3041">
        <v>52.867560876212202</v>
      </c>
      <c r="O3041">
        <v>51.3411542631423</v>
      </c>
      <c r="P3041">
        <v>-5.5945032997640802E-2</v>
      </c>
      <c r="Q3041">
        <v>0</v>
      </c>
      <c r="R3041">
        <v>0.99187843323934</v>
      </c>
      <c r="S3041" t="s">
        <v>9443</v>
      </c>
      <c r="T3041" t="s">
        <v>12802</v>
      </c>
      <c r="U3041" t="s">
        <v>12802</v>
      </c>
      <c r="V3041" t="s">
        <v>12802</v>
      </c>
      <c r="W3041" t="s">
        <v>15794</v>
      </c>
      <c r="X3041">
        <v>5</v>
      </c>
      <c r="Y3041" t="s">
        <v>22047</v>
      </c>
      <c r="Z3041" t="s">
        <v>28359</v>
      </c>
      <c r="AA3041">
        <v>0.55086950823928416</v>
      </c>
      <c r="AB3041" t="str">
        <f>HYPERLINK("Melting_Curves/meltCurve_P78537_BLOC1S1.pdf", "Melting_Curves/meltCurve_P78537_BLOC1S1.pdf")</f>
        <v>Melting_Curves/meltCurve_P78537_BLOC1S1.pdf</v>
      </c>
    </row>
    <row r="3042" spans="1:28" x14ac:dyDescent="0.25">
      <c r="A3042" t="s">
        <v>3046</v>
      </c>
      <c r="B3042">
        <v>0.99542014353169495</v>
      </c>
      <c r="C3042">
        <v>0.94349210777982095</v>
      </c>
      <c r="D3042">
        <v>0.858717489719386</v>
      </c>
      <c r="E3042">
        <v>0.94340236646617603</v>
      </c>
      <c r="F3042">
        <v>0.70377104747848396</v>
      </c>
      <c r="G3042">
        <v>0.52858896840573</v>
      </c>
      <c r="H3042">
        <v>0.34441680998421897</v>
      </c>
      <c r="I3042">
        <v>0.31315825594841001</v>
      </c>
      <c r="J3042">
        <v>0.28786684102580401</v>
      </c>
      <c r="K3042">
        <v>0.10870353679129099</v>
      </c>
      <c r="L3042">
        <v>556.98984139529796</v>
      </c>
      <c r="M3042">
        <v>10.2813042663914</v>
      </c>
      <c r="N3042">
        <v>54.781848126959503</v>
      </c>
      <c r="O3042">
        <v>52.245557769940703</v>
      </c>
      <c r="P3042">
        <v>-4.6569555587948598E-2</v>
      </c>
      <c r="Q3042">
        <v>5.3821069912947397E-2</v>
      </c>
      <c r="R3042">
        <v>0.96967297157043197</v>
      </c>
      <c r="S3042" t="s">
        <v>9444</v>
      </c>
      <c r="T3042" t="s">
        <v>12802</v>
      </c>
      <c r="U3042" t="s">
        <v>12802</v>
      </c>
      <c r="V3042" t="s">
        <v>12802</v>
      </c>
      <c r="W3042" t="s">
        <v>15795</v>
      </c>
      <c r="X3042">
        <v>5</v>
      </c>
      <c r="Y3042" t="s">
        <v>22048</v>
      </c>
      <c r="Z3042" t="s">
        <v>28360</v>
      </c>
      <c r="AA3042">
        <v>0.61150325001230332</v>
      </c>
      <c r="AB3042" t="str">
        <f>HYPERLINK("Melting_Curves/meltCurve_P78540_ARG2.pdf", "Melting_Curves/meltCurve_P78540_ARG2.pdf")</f>
        <v>Melting_Curves/meltCurve_P78540_ARG2.pdf</v>
      </c>
    </row>
    <row r="3043" spans="1:28" x14ac:dyDescent="0.25">
      <c r="A3043" t="s">
        <v>3047</v>
      </c>
      <c r="B3043">
        <v>0.99542014353169495</v>
      </c>
      <c r="C3043">
        <v>1.02971050551221</v>
      </c>
      <c r="D3043">
        <v>0.89017597458924602</v>
      </c>
      <c r="E3043">
        <v>0.68938570389704201</v>
      </c>
      <c r="F3043">
        <v>0.49220285789820001</v>
      </c>
      <c r="G3043">
        <v>0.34341259426793302</v>
      </c>
      <c r="H3043">
        <v>0.23997200674949501</v>
      </c>
      <c r="I3043">
        <v>0.18829449228020601</v>
      </c>
      <c r="J3043">
        <v>0.17822275806805499</v>
      </c>
      <c r="K3043">
        <v>0.135388086117017</v>
      </c>
      <c r="L3043">
        <v>687.10940321323801</v>
      </c>
      <c r="M3043">
        <v>14.0445274479502</v>
      </c>
      <c r="N3043">
        <v>50.077116284638301</v>
      </c>
      <c r="O3043">
        <v>47.963797165978399</v>
      </c>
      <c r="P3043">
        <v>-6.3095792120959698E-2</v>
      </c>
      <c r="Q3043">
        <v>0.138192913004415</v>
      </c>
      <c r="R3043">
        <v>0.99502817207954297</v>
      </c>
      <c r="S3043" t="s">
        <v>9445</v>
      </c>
      <c r="T3043" t="s">
        <v>12802</v>
      </c>
      <c r="U3043" t="s">
        <v>12802</v>
      </c>
      <c r="V3043" t="s">
        <v>12802</v>
      </c>
      <c r="W3043" t="s">
        <v>15796</v>
      </c>
      <c r="X3043">
        <v>4</v>
      </c>
      <c r="Y3043" t="s">
        <v>22049</v>
      </c>
      <c r="Z3043" t="s">
        <v>28361</v>
      </c>
      <c r="AA3043">
        <v>0.50128408597359919</v>
      </c>
      <c r="AB3043" t="str">
        <f>HYPERLINK("Melting_Curves/meltCurve_P78560_CRADD.pdf", "Melting_Curves/meltCurve_P78560_CRADD.pdf")</f>
        <v>Melting_Curves/meltCurve_P78560_CRADD.pdf</v>
      </c>
    </row>
    <row r="3044" spans="1:28" x14ac:dyDescent="0.25">
      <c r="A3044" t="s">
        <v>3048</v>
      </c>
      <c r="B3044">
        <v>0.99542014353169495</v>
      </c>
      <c r="C3044">
        <v>0.99691440472571102</v>
      </c>
      <c r="D3044">
        <v>0.92920468707260395</v>
      </c>
      <c r="E3044">
        <v>0.91852228771657596</v>
      </c>
      <c r="F3044">
        <v>0.76965340557320705</v>
      </c>
      <c r="G3044">
        <v>0.622736636780856</v>
      </c>
      <c r="H3044">
        <v>0.34919486811008799</v>
      </c>
      <c r="I3044">
        <v>8.7851665671366305E-2</v>
      </c>
      <c r="J3044">
        <v>3.8991528707820897E-2</v>
      </c>
      <c r="K3044">
        <v>5.40980355165296E-2</v>
      </c>
      <c r="L3044">
        <v>914.62238539945201</v>
      </c>
      <c r="M3044">
        <v>16.714105668743599</v>
      </c>
      <c r="N3044">
        <v>54.721587930227003</v>
      </c>
      <c r="O3044">
        <v>53.956261378767302</v>
      </c>
      <c r="P3044">
        <v>-7.7447961796585807E-2</v>
      </c>
      <c r="Q3044">
        <v>0</v>
      </c>
      <c r="R3044">
        <v>0.98877794349804105</v>
      </c>
      <c r="S3044" t="s">
        <v>9446</v>
      </c>
      <c r="T3044" t="s">
        <v>12802</v>
      </c>
      <c r="U3044" t="s">
        <v>12802</v>
      </c>
      <c r="V3044" t="s">
        <v>12802</v>
      </c>
      <c r="W3044" t="s">
        <v>15797</v>
      </c>
      <c r="X3044">
        <v>8</v>
      </c>
      <c r="Y3044" t="s">
        <v>22050</v>
      </c>
      <c r="Z3044" t="s">
        <v>28362</v>
      </c>
      <c r="AA3044">
        <v>0.60448269746781136</v>
      </c>
      <c r="AB3044" t="str">
        <f>HYPERLINK("Melting_Curves/meltCurve_P80217_IFI35.pdf", "Melting_Curves/meltCurve_P80217_IFI35.pdf")</f>
        <v>Melting_Curves/meltCurve_P80217_IFI35.pdf</v>
      </c>
    </row>
    <row r="3045" spans="1:28" x14ac:dyDescent="0.25">
      <c r="A3045" t="s">
        <v>3049</v>
      </c>
      <c r="B3045">
        <v>0.99542014353169495</v>
      </c>
      <c r="C3045">
        <v>1.02761740240472</v>
      </c>
      <c r="D3045">
        <v>0.95426047632645195</v>
      </c>
      <c r="E3045">
        <v>0.96718640130454403</v>
      </c>
      <c r="F3045">
        <v>0.82706292029908701</v>
      </c>
      <c r="G3045">
        <v>0.71271377781214995</v>
      </c>
      <c r="H3045">
        <v>0.54591828848245805</v>
      </c>
      <c r="I3045">
        <v>0.528274873549201</v>
      </c>
      <c r="J3045">
        <v>0.79448506964783705</v>
      </c>
      <c r="K3045">
        <v>1.01435450554203</v>
      </c>
      <c r="L3045">
        <v>2225.3006638649199</v>
      </c>
      <c r="M3045">
        <v>44.9067822010688</v>
      </c>
      <c r="O3045">
        <v>49.455793391910397</v>
      </c>
      <c r="P3045">
        <v>-6.3936008524261304E-2</v>
      </c>
      <c r="Q3045">
        <v>0.71834963082617098</v>
      </c>
      <c r="R3045">
        <v>0.49249939340833798</v>
      </c>
      <c r="S3045" t="s">
        <v>9447</v>
      </c>
      <c r="T3045" t="s">
        <v>12802</v>
      </c>
      <c r="U3045" t="s">
        <v>12802</v>
      </c>
      <c r="V3045" t="s">
        <v>12802</v>
      </c>
      <c r="W3045" t="s">
        <v>15798</v>
      </c>
      <c r="X3045">
        <v>25</v>
      </c>
      <c r="Y3045" t="s">
        <v>22051</v>
      </c>
      <c r="Z3045" t="s">
        <v>28363</v>
      </c>
      <c r="AA3045">
        <v>0.83697290546842418</v>
      </c>
      <c r="AB3045" t="str">
        <f>HYPERLINK("Melting_Curves/meltCurve_P80303_NUCB2.pdf", "Melting_Curves/meltCurve_P80303_NUCB2.pdf")</f>
        <v>Melting_Curves/meltCurve_P80303_NUCB2.pdf</v>
      </c>
    </row>
    <row r="3046" spans="1:28" x14ac:dyDescent="0.25">
      <c r="A3046" t="s">
        <v>3050</v>
      </c>
      <c r="B3046">
        <v>0.99542014353169495</v>
      </c>
      <c r="C3046">
        <v>0.97714343649068602</v>
      </c>
      <c r="D3046">
        <v>0.97322657971047699</v>
      </c>
      <c r="E3046">
        <v>0.78618460695461301</v>
      </c>
      <c r="F3046">
        <v>0.79488406011198398</v>
      </c>
      <c r="G3046">
        <v>0.61796573115417897</v>
      </c>
      <c r="H3046">
        <v>0.28739101162175901</v>
      </c>
      <c r="I3046">
        <v>0.11477180316702</v>
      </c>
      <c r="J3046">
        <v>0</v>
      </c>
      <c r="K3046">
        <v>0</v>
      </c>
      <c r="L3046">
        <v>911.84863632256202</v>
      </c>
      <c r="M3046">
        <v>16.7827294793221</v>
      </c>
      <c r="N3046">
        <v>54.332559506472798</v>
      </c>
      <c r="O3046">
        <v>53.578733294648302</v>
      </c>
      <c r="P3046">
        <v>-7.8313817113867507E-2</v>
      </c>
      <c r="Q3046">
        <v>0</v>
      </c>
      <c r="R3046">
        <v>0.97532103310362195</v>
      </c>
      <c r="S3046" t="s">
        <v>9448</v>
      </c>
      <c r="T3046" t="s">
        <v>12802</v>
      </c>
      <c r="U3046" t="s">
        <v>12802</v>
      </c>
      <c r="V3046" t="s">
        <v>12802</v>
      </c>
      <c r="W3046" t="s">
        <v>15799</v>
      </c>
      <c r="X3046">
        <v>3</v>
      </c>
      <c r="Y3046" t="s">
        <v>22052</v>
      </c>
      <c r="Z3046" t="s">
        <v>28364</v>
      </c>
      <c r="AA3046">
        <v>0.59204624369966652</v>
      </c>
      <c r="AB3046" t="str">
        <f>HYPERLINK("Melting_Curves/meltCurve_P81877_4_SSBP2.pdf", "Melting_Curves/meltCurve_P81877_4_SSBP2.pdf")</f>
        <v>Melting_Curves/meltCurve_P81877_4_SSBP2.pdf</v>
      </c>
    </row>
    <row r="3047" spans="1:28" x14ac:dyDescent="0.25">
      <c r="A3047" t="s">
        <v>3051</v>
      </c>
      <c r="B3047">
        <v>0.99542014353169495</v>
      </c>
      <c r="C3047">
        <v>1.0044488377585401</v>
      </c>
      <c r="D3047">
        <v>1.01940724589594</v>
      </c>
      <c r="E3047">
        <v>0.83488874361554</v>
      </c>
      <c r="F3047">
        <v>0.60270407407041704</v>
      </c>
      <c r="G3047">
        <v>0.31163319150275498</v>
      </c>
      <c r="H3047">
        <v>0.20556541050190399</v>
      </c>
      <c r="I3047">
        <v>0.17850395419333501</v>
      </c>
      <c r="J3047">
        <v>0.32035509701199399</v>
      </c>
      <c r="K3047">
        <v>0.50203743831638703</v>
      </c>
      <c r="L3047">
        <v>1417.5823871605701</v>
      </c>
      <c r="M3047">
        <v>28.782238468694199</v>
      </c>
      <c r="N3047">
        <v>50.824579156680997</v>
      </c>
      <c r="O3047">
        <v>49.016076670975899</v>
      </c>
      <c r="P3047">
        <v>-0.103525813219771</v>
      </c>
      <c r="Q3047">
        <v>0.29478877224788003</v>
      </c>
      <c r="R3047">
        <v>0.92869532994613102</v>
      </c>
      <c r="S3047" t="s">
        <v>9449</v>
      </c>
      <c r="T3047" t="s">
        <v>12802</v>
      </c>
      <c r="U3047" t="s">
        <v>12802</v>
      </c>
      <c r="V3047" t="s">
        <v>12802</v>
      </c>
      <c r="W3047" t="s">
        <v>15800</v>
      </c>
      <c r="X3047">
        <v>35</v>
      </c>
      <c r="Y3047" t="s">
        <v>22053</v>
      </c>
      <c r="Z3047" t="s">
        <v>28365</v>
      </c>
      <c r="AA3047">
        <v>0.58743547593555767</v>
      </c>
      <c r="AB3047" t="str">
        <f>HYPERLINK("Melting_Curves/meltCurve_P82094_TMF1.pdf", "Melting_Curves/meltCurve_P82094_TMF1.pdf")</f>
        <v>Melting_Curves/meltCurve_P82094_TMF1.pdf</v>
      </c>
    </row>
    <row r="3048" spans="1:28" x14ac:dyDescent="0.25">
      <c r="A3048" t="s">
        <v>3052</v>
      </c>
      <c r="B3048">
        <v>0.99542014353169495</v>
      </c>
      <c r="C3048">
        <v>0.95598778962664399</v>
      </c>
      <c r="D3048">
        <v>0.943807548164044</v>
      </c>
      <c r="E3048">
        <v>0.62551393364189001</v>
      </c>
      <c r="F3048">
        <v>0.48670836053338001</v>
      </c>
      <c r="G3048">
        <v>0.18709212834640501</v>
      </c>
      <c r="H3048">
        <v>0.12394464095973901</v>
      </c>
      <c r="I3048">
        <v>9.2131600201482797E-2</v>
      </c>
      <c r="J3048">
        <v>0.11033015873186</v>
      </c>
      <c r="K3048">
        <v>0.111890895191827</v>
      </c>
      <c r="L3048">
        <v>804.65757290777799</v>
      </c>
      <c r="M3048">
        <v>16.598982811078098</v>
      </c>
      <c r="N3048">
        <v>48.984697202758497</v>
      </c>
      <c r="O3048">
        <v>47.7891222005101</v>
      </c>
      <c r="P3048">
        <v>-7.9969344281740504E-2</v>
      </c>
      <c r="Q3048">
        <v>7.9123003974844799E-2</v>
      </c>
      <c r="R3048">
        <v>0.98906405898007299</v>
      </c>
      <c r="S3048" t="s">
        <v>9450</v>
      </c>
      <c r="T3048" t="s">
        <v>12802</v>
      </c>
      <c r="U3048" t="s">
        <v>12802</v>
      </c>
      <c r="V3048" t="s">
        <v>12802</v>
      </c>
      <c r="W3048" t="s">
        <v>15801</v>
      </c>
      <c r="X3048">
        <v>4</v>
      </c>
      <c r="Y3048" t="s">
        <v>22054</v>
      </c>
      <c r="Z3048" t="s">
        <v>28366</v>
      </c>
      <c r="AA3048">
        <v>0.44832982472966437</v>
      </c>
      <c r="AB3048" t="str">
        <f>HYPERLINK("Melting_Curves/meltCurve_P82673_MRPS35.pdf", "Melting_Curves/meltCurve_P82673_MRPS35.pdf")</f>
        <v>Melting_Curves/meltCurve_P82673_MRPS35.pdf</v>
      </c>
    </row>
    <row r="3049" spans="1:28" x14ac:dyDescent="0.25">
      <c r="A3049" t="s">
        <v>3053</v>
      </c>
      <c r="B3049">
        <v>0.99542014353169495</v>
      </c>
      <c r="C3049">
        <v>0.95497694653528997</v>
      </c>
      <c r="D3049">
        <v>0.833951716720711</v>
      </c>
      <c r="E3049">
        <v>0.87610683679638102</v>
      </c>
      <c r="F3049">
        <v>0.74142474003016301</v>
      </c>
      <c r="G3049">
        <v>0.645310215955472</v>
      </c>
      <c r="H3049">
        <v>0.34159647783427999</v>
      </c>
      <c r="I3049">
        <v>0.356224461759508</v>
      </c>
      <c r="J3049">
        <v>0.50042089424873004</v>
      </c>
      <c r="K3049">
        <v>0.58487350409129002</v>
      </c>
      <c r="L3049">
        <v>749.10164013756105</v>
      </c>
      <c r="M3049">
        <v>15.0648207887249</v>
      </c>
      <c r="N3049">
        <v>57.672584165300599</v>
      </c>
      <c r="O3049">
        <v>48.873719314748399</v>
      </c>
      <c r="P3049">
        <v>-4.3367376373367197E-2</v>
      </c>
      <c r="Q3049">
        <v>0.43728121428738997</v>
      </c>
      <c r="R3049">
        <v>0.83659224465090798</v>
      </c>
      <c r="S3049" t="s">
        <v>9451</v>
      </c>
      <c r="T3049" t="s">
        <v>12802</v>
      </c>
      <c r="U3049" t="s">
        <v>12802</v>
      </c>
      <c r="V3049" t="s">
        <v>12802</v>
      </c>
      <c r="W3049" t="s">
        <v>15802</v>
      </c>
      <c r="X3049">
        <v>3</v>
      </c>
      <c r="Y3049" t="s">
        <v>22055</v>
      </c>
      <c r="Z3049" t="s">
        <v>28367</v>
      </c>
      <c r="AA3049">
        <v>0.68776063718256708</v>
      </c>
      <c r="AB3049" t="str">
        <f>HYPERLINK("Melting_Curves/meltCurve_P82675_MRPS5.pdf", "Melting_Curves/meltCurve_P82675_MRPS5.pdf")</f>
        <v>Melting_Curves/meltCurve_P82675_MRPS5.pdf</v>
      </c>
    </row>
    <row r="3050" spans="1:28" x14ac:dyDescent="0.25">
      <c r="A3050" t="s">
        <v>3054</v>
      </c>
      <c r="B3050">
        <v>0.99542014353169495</v>
      </c>
      <c r="C3050">
        <v>0.98967298504114798</v>
      </c>
      <c r="D3050">
        <v>0.97770454105910898</v>
      </c>
      <c r="E3050">
        <v>0.90519124954013697</v>
      </c>
      <c r="F3050">
        <v>0.79517070321377903</v>
      </c>
      <c r="G3050">
        <v>0.63481126640486996</v>
      </c>
      <c r="H3050">
        <v>0.43614943699032099</v>
      </c>
      <c r="I3050">
        <v>0.40703575277020698</v>
      </c>
      <c r="J3050">
        <v>0.652969066545244</v>
      </c>
      <c r="K3050">
        <v>0.78331868403614202</v>
      </c>
      <c r="L3050">
        <v>1441.22205765997</v>
      </c>
      <c r="M3050">
        <v>28.9020440224228</v>
      </c>
      <c r="O3050">
        <v>49.628862207243003</v>
      </c>
      <c r="P3050">
        <v>-6.2070405427251202E-2</v>
      </c>
      <c r="Q3050">
        <v>0.57366894371383903</v>
      </c>
      <c r="R3050">
        <v>0.761725945973732</v>
      </c>
      <c r="S3050" t="s">
        <v>9452</v>
      </c>
      <c r="T3050" t="s">
        <v>12802</v>
      </c>
      <c r="U3050" t="s">
        <v>12802</v>
      </c>
      <c r="V3050" t="s">
        <v>12802</v>
      </c>
      <c r="W3050" t="s">
        <v>13177</v>
      </c>
      <c r="X3050">
        <v>6</v>
      </c>
      <c r="Y3050" t="s">
        <v>19500</v>
      </c>
      <c r="Z3050" t="s">
        <v>28368</v>
      </c>
      <c r="AA3050">
        <v>0.75931379613329075</v>
      </c>
      <c r="AB3050" t="str">
        <f>HYPERLINK("Melting_Curves/meltCurve_P82909_MRPS36.pdf", "Melting_Curves/meltCurve_P82909_MRPS36.pdf")</f>
        <v>Melting_Curves/meltCurve_P82909_MRPS36.pdf</v>
      </c>
    </row>
    <row r="3051" spans="1:28" x14ac:dyDescent="0.25">
      <c r="A3051" t="s">
        <v>3055</v>
      </c>
      <c r="B3051">
        <v>0.99542014353169495</v>
      </c>
      <c r="C3051">
        <v>0.902725885601532</v>
      </c>
      <c r="D3051">
        <v>0.91897464242768001</v>
      </c>
      <c r="E3051">
        <v>0.75969964880030905</v>
      </c>
      <c r="F3051">
        <v>0.36459600560526001</v>
      </c>
      <c r="G3051">
        <v>0.24255336615047399</v>
      </c>
      <c r="H3051">
        <v>0.12950531694287501</v>
      </c>
      <c r="I3051">
        <v>3.68937405687585E-2</v>
      </c>
      <c r="J3051">
        <v>3.6375048737735997E-2</v>
      </c>
      <c r="K3051">
        <v>6.2715031838136107E-2</v>
      </c>
      <c r="L3051">
        <v>830.95119196386099</v>
      </c>
      <c r="M3051">
        <v>16.959712073837</v>
      </c>
      <c r="N3051">
        <v>49.2006266687536</v>
      </c>
      <c r="O3051">
        <v>48.3296026946308</v>
      </c>
      <c r="P3051">
        <v>-8.4741553782020196E-2</v>
      </c>
      <c r="Q3051">
        <v>3.41177989946315E-2</v>
      </c>
      <c r="R3051">
        <v>0.99030290106152796</v>
      </c>
      <c r="S3051" t="s">
        <v>9453</v>
      </c>
      <c r="T3051" t="s">
        <v>12802</v>
      </c>
      <c r="U3051" t="s">
        <v>12802</v>
      </c>
      <c r="V3051" t="s">
        <v>12802</v>
      </c>
      <c r="W3051" t="s">
        <v>15803</v>
      </c>
      <c r="X3051">
        <v>2</v>
      </c>
      <c r="Y3051" t="s">
        <v>22056</v>
      </c>
      <c r="Z3051" t="s">
        <v>28369</v>
      </c>
      <c r="AA3051">
        <v>0.43733827836570599</v>
      </c>
      <c r="AB3051" t="str">
        <f>HYPERLINK("Melting_Curves/meltCurve_P82912_2_MRPS11.pdf", "Melting_Curves/meltCurve_P82912_2_MRPS11.pdf")</f>
        <v>Melting_Curves/meltCurve_P82912_2_MRPS11.pdf</v>
      </c>
    </row>
    <row r="3052" spans="1:28" x14ac:dyDescent="0.25">
      <c r="A3052" t="s">
        <v>3056</v>
      </c>
      <c r="B3052">
        <v>0.99542014353169495</v>
      </c>
      <c r="C3052">
        <v>0.92688806222540998</v>
      </c>
      <c r="D3052">
        <v>1.11299777631068</v>
      </c>
      <c r="E3052">
        <v>1.48131033103576</v>
      </c>
      <c r="F3052">
        <v>0.435505940184584</v>
      </c>
      <c r="G3052">
        <v>0.24222154921480801</v>
      </c>
      <c r="H3052">
        <v>0.11117576124415</v>
      </c>
      <c r="I3052">
        <v>6.9353649538127005E-2</v>
      </c>
      <c r="J3052">
        <v>7.2438868257314201E-2</v>
      </c>
      <c r="K3052">
        <v>6.3684118673198203E-2</v>
      </c>
      <c r="L3052">
        <v>12434.4759338534</v>
      </c>
      <c r="M3052">
        <v>248.254740025182</v>
      </c>
      <c r="N3052">
        <v>50.1386709360523</v>
      </c>
      <c r="O3052">
        <v>50.084327354314198</v>
      </c>
      <c r="P3052">
        <v>-1.1006745080164799</v>
      </c>
      <c r="Q3052">
        <v>0.11177477711974999</v>
      </c>
      <c r="R3052">
        <v>0.89190794917400995</v>
      </c>
      <c r="S3052" t="s">
        <v>9454</v>
      </c>
      <c r="T3052" t="s">
        <v>12802</v>
      </c>
      <c r="U3052" t="s">
        <v>12802</v>
      </c>
      <c r="V3052" t="s">
        <v>12802</v>
      </c>
      <c r="W3052" t="s">
        <v>15804</v>
      </c>
      <c r="X3052">
        <v>6</v>
      </c>
      <c r="Y3052" t="s">
        <v>22057</v>
      </c>
      <c r="Z3052" t="s">
        <v>28370</v>
      </c>
      <c r="AA3052">
        <v>0.49934419493848048</v>
      </c>
      <c r="AB3052" t="str">
        <f>HYPERLINK("Melting_Curves/meltCurve_P82930_MRPS34.pdf", "Melting_Curves/meltCurve_P82930_MRPS34.pdf")</f>
        <v>Melting_Curves/meltCurve_P82930_MRPS34.pdf</v>
      </c>
    </row>
    <row r="3053" spans="1:28" x14ac:dyDescent="0.25">
      <c r="A3053" t="s">
        <v>3057</v>
      </c>
      <c r="B3053">
        <v>0.99542014353169495</v>
      </c>
      <c r="C3053">
        <v>1.1036196119306201</v>
      </c>
      <c r="D3053">
        <v>1.0022725478935901</v>
      </c>
      <c r="E3053">
        <v>0.85289445277673903</v>
      </c>
      <c r="F3053">
        <v>0.484732927253333</v>
      </c>
      <c r="G3053">
        <v>0.269207197788359</v>
      </c>
      <c r="H3053">
        <v>0.17566138413795601</v>
      </c>
      <c r="I3053">
        <v>0.15003639691304299</v>
      </c>
      <c r="J3053">
        <v>0.200276998247266</v>
      </c>
      <c r="K3053">
        <v>0.24305930522618099</v>
      </c>
      <c r="L3053">
        <v>1397.82665042298</v>
      </c>
      <c r="M3053">
        <v>28.418093569441101</v>
      </c>
      <c r="N3053">
        <v>50.034719892337897</v>
      </c>
      <c r="O3053">
        <v>48.946274451949201</v>
      </c>
      <c r="P3053">
        <v>-0.117440593702494</v>
      </c>
      <c r="Q3053">
        <v>0.190905182733178</v>
      </c>
      <c r="R3053">
        <v>0.98785782864338101</v>
      </c>
      <c r="S3053" t="s">
        <v>9455</v>
      </c>
      <c r="T3053" t="s">
        <v>12802</v>
      </c>
      <c r="U3053" t="s">
        <v>12802</v>
      </c>
      <c r="V3053" t="s">
        <v>12802</v>
      </c>
      <c r="W3053" t="s">
        <v>15805</v>
      </c>
      <c r="X3053">
        <v>2</v>
      </c>
      <c r="Y3053" t="s">
        <v>22058</v>
      </c>
      <c r="Z3053" t="s">
        <v>28371</v>
      </c>
      <c r="AA3053">
        <v>0.52506317384176138</v>
      </c>
      <c r="AB3053" t="str">
        <f>HYPERLINK("Melting_Curves/meltCurve_P82932_MRPS6.pdf", "Melting_Curves/meltCurve_P82932_MRPS6.pdf")</f>
        <v>Melting_Curves/meltCurve_P82932_MRPS6.pdf</v>
      </c>
    </row>
    <row r="3054" spans="1:28" x14ac:dyDescent="0.25">
      <c r="A3054" t="s">
        <v>3058</v>
      </c>
      <c r="B3054">
        <v>0.99542014353169495</v>
      </c>
      <c r="C3054">
        <v>0.91857324662454898</v>
      </c>
      <c r="D3054">
        <v>0.91853630717809598</v>
      </c>
      <c r="E3054">
        <v>0.465804526286419</v>
      </c>
      <c r="F3054">
        <v>0.15800294807142901</v>
      </c>
      <c r="G3054">
        <v>6.8230925191914302E-2</v>
      </c>
      <c r="H3054">
        <v>4.42408320626285E-2</v>
      </c>
      <c r="I3054">
        <v>2.9688681844182E-2</v>
      </c>
      <c r="J3054">
        <v>1.1551819228866099E-2</v>
      </c>
      <c r="K3054">
        <v>2.0171069324647298E-2</v>
      </c>
      <c r="L3054">
        <v>1185.2164165256199</v>
      </c>
      <c r="M3054">
        <v>25.564385394541599</v>
      </c>
      <c r="N3054">
        <v>46.465527977197098</v>
      </c>
      <c r="O3054">
        <v>46.081120704666603</v>
      </c>
      <c r="P3054">
        <v>-0.13485501141149001</v>
      </c>
      <c r="Q3054">
        <v>2.7679671040532101E-2</v>
      </c>
      <c r="R3054">
        <v>0.99593004294197396</v>
      </c>
      <c r="S3054" t="s">
        <v>9456</v>
      </c>
      <c r="T3054" t="s">
        <v>12802</v>
      </c>
      <c r="U3054" t="s">
        <v>12802</v>
      </c>
      <c r="V3054" t="s">
        <v>12802</v>
      </c>
      <c r="W3054" t="s">
        <v>15806</v>
      </c>
      <c r="X3054">
        <v>4</v>
      </c>
      <c r="Y3054" t="s">
        <v>22059</v>
      </c>
      <c r="Z3054" t="s">
        <v>28372</v>
      </c>
      <c r="AA3054">
        <v>0.33884295616777022</v>
      </c>
      <c r="AB3054" t="str">
        <f>HYPERLINK("Melting_Curves/meltCurve_P82933_MRPS9.pdf", "Melting_Curves/meltCurve_P82933_MRPS9.pdf")</f>
        <v>Melting_Curves/meltCurve_P82933_MRPS9.pdf</v>
      </c>
    </row>
    <row r="3055" spans="1:28" x14ac:dyDescent="0.25">
      <c r="A3055" t="s">
        <v>3059</v>
      </c>
      <c r="B3055">
        <v>0.99542014353169495</v>
      </c>
      <c r="C3055">
        <v>1.0551243053717601</v>
      </c>
      <c r="D3055">
        <v>0.89284193183304295</v>
      </c>
      <c r="E3055">
        <v>0.89645645136675001</v>
      </c>
      <c r="F3055">
        <v>0.75431446691332904</v>
      </c>
      <c r="G3055">
        <v>0.72366333728933996</v>
      </c>
      <c r="H3055">
        <v>0.56252049119747205</v>
      </c>
      <c r="I3055">
        <v>0.51419227316080596</v>
      </c>
      <c r="J3055">
        <v>0.73858842261508695</v>
      </c>
      <c r="K3055">
        <v>0.91708909939791206</v>
      </c>
      <c r="L3055">
        <v>1055.77754357964</v>
      </c>
      <c r="M3055">
        <v>22.378204699744401</v>
      </c>
      <c r="O3055">
        <v>46.806931149359897</v>
      </c>
      <c r="P3055">
        <v>-3.7320582205741797E-2</v>
      </c>
      <c r="Q3055">
        <v>0.68776306299256795</v>
      </c>
      <c r="R3055">
        <v>0.60118048931654999</v>
      </c>
      <c r="S3055" t="s">
        <v>9457</v>
      </c>
      <c r="T3055" t="s">
        <v>12802</v>
      </c>
      <c r="U3055" t="s">
        <v>12802</v>
      </c>
      <c r="V3055" t="s">
        <v>12802</v>
      </c>
      <c r="W3055" t="s">
        <v>15807</v>
      </c>
      <c r="X3055">
        <v>14</v>
      </c>
      <c r="Y3055" t="s">
        <v>22060</v>
      </c>
      <c r="Z3055" t="s">
        <v>28373</v>
      </c>
      <c r="AA3055">
        <v>0.79698278844395487</v>
      </c>
      <c r="AB3055" t="str">
        <f>HYPERLINK("Melting_Curves/meltCurve_P82979_SARNP.pdf", "Melting_Curves/meltCurve_P82979_SARNP.pdf")</f>
        <v>Melting_Curves/meltCurve_P82979_SARNP.pdf</v>
      </c>
    </row>
    <row r="3056" spans="1:28" x14ac:dyDescent="0.25">
      <c r="A3056" t="s">
        <v>3060</v>
      </c>
      <c r="B3056">
        <v>0.99542014353169495</v>
      </c>
      <c r="C3056">
        <v>0.75837846003930498</v>
      </c>
      <c r="D3056">
        <v>0.75158363664964101</v>
      </c>
      <c r="E3056">
        <v>0.79311204416931402</v>
      </c>
      <c r="F3056">
        <v>0.44663088924403599</v>
      </c>
      <c r="G3056">
        <v>0.32123848751342998</v>
      </c>
      <c r="H3056">
        <v>0.14171184899200301</v>
      </c>
      <c r="I3056">
        <v>0.102649989928022</v>
      </c>
      <c r="J3056">
        <v>9.7974637982412599E-2</v>
      </c>
      <c r="K3056">
        <v>0.112601921285399</v>
      </c>
      <c r="L3056">
        <v>472.32410582644701</v>
      </c>
      <c r="M3056">
        <v>9.5602913000757894</v>
      </c>
      <c r="N3056">
        <v>49.404775461899803</v>
      </c>
      <c r="O3056">
        <v>47.388173501550597</v>
      </c>
      <c r="P3056">
        <v>-5.0465185134595601E-2</v>
      </c>
      <c r="Q3056">
        <v>0</v>
      </c>
      <c r="R3056">
        <v>0.94654938406134703</v>
      </c>
      <c r="S3056" t="s">
        <v>9458</v>
      </c>
      <c r="T3056" t="s">
        <v>12802</v>
      </c>
      <c r="U3056" t="s">
        <v>12802</v>
      </c>
      <c r="V3056" t="s">
        <v>12802</v>
      </c>
      <c r="W3056" t="s">
        <v>15808</v>
      </c>
      <c r="X3056">
        <v>2</v>
      </c>
      <c r="Y3056" t="s">
        <v>22061</v>
      </c>
      <c r="Z3056" t="s">
        <v>28374</v>
      </c>
      <c r="AA3056">
        <v>0.45104862721486222</v>
      </c>
      <c r="AB3056" t="str">
        <f>HYPERLINK("Melting_Curves/meltCurve_P82980_RBP5.pdf", "Melting_Curves/meltCurve_P82980_RBP5.pdf")</f>
        <v>Melting_Curves/meltCurve_P82980_RBP5.pdf</v>
      </c>
    </row>
    <row r="3057" spans="1:28" x14ac:dyDescent="0.25">
      <c r="A3057" t="s">
        <v>3061</v>
      </c>
      <c r="B3057">
        <v>0.99542014353169495</v>
      </c>
      <c r="C3057">
        <v>0.96898674875971702</v>
      </c>
      <c r="D3057">
        <v>1.06750533773349</v>
      </c>
      <c r="E3057">
        <v>1.0266142232303099</v>
      </c>
      <c r="F3057">
        <v>0.52920752087169098</v>
      </c>
      <c r="G3057">
        <v>0.24411658398934</v>
      </c>
      <c r="H3057">
        <v>0.127011261608625</v>
      </c>
      <c r="I3057">
        <v>6.8629568769317806E-2</v>
      </c>
      <c r="J3057">
        <v>7.6153802578682095E-2</v>
      </c>
      <c r="K3057">
        <v>7.4937032317104801E-2</v>
      </c>
      <c r="L3057">
        <v>1712.50731874538</v>
      </c>
      <c r="M3057">
        <v>34.0021983452339</v>
      </c>
      <c r="N3057">
        <v>50.667429479191497</v>
      </c>
      <c r="O3057">
        <v>50.191356833201901</v>
      </c>
      <c r="P3057">
        <v>-0.153790234445421</v>
      </c>
      <c r="Q3057">
        <v>9.1951695293840896E-2</v>
      </c>
      <c r="R3057">
        <v>0.98926428283586099</v>
      </c>
      <c r="S3057" t="s">
        <v>9459</v>
      </c>
      <c r="T3057" t="s">
        <v>12802</v>
      </c>
      <c r="U3057" t="s">
        <v>12802</v>
      </c>
      <c r="V3057" t="s">
        <v>12802</v>
      </c>
      <c r="W3057" t="s">
        <v>15809</v>
      </c>
      <c r="X3057">
        <v>3</v>
      </c>
      <c r="Y3057" t="s">
        <v>22062</v>
      </c>
      <c r="Z3057" t="s">
        <v>28375</v>
      </c>
      <c r="AA3057">
        <v>0.50084796681102239</v>
      </c>
      <c r="AB3057" t="str">
        <f>HYPERLINK("Melting_Curves/meltCurve_P83111_LACTB.pdf", "Melting_Curves/meltCurve_P83111_LACTB.pdf")</f>
        <v>Melting_Curves/meltCurve_P83111_LACTB.pdf</v>
      </c>
    </row>
    <row r="3058" spans="1:28" x14ac:dyDescent="0.25">
      <c r="A3058" t="s">
        <v>3062</v>
      </c>
      <c r="B3058">
        <v>0.99542014353169495</v>
      </c>
      <c r="C3058">
        <v>0.92574137340049101</v>
      </c>
      <c r="D3058">
        <v>0.68414905393812997</v>
      </c>
      <c r="E3058">
        <v>0.36412079108261602</v>
      </c>
      <c r="F3058">
        <v>0.20165412384787601</v>
      </c>
      <c r="G3058">
        <v>0.115651937783185</v>
      </c>
      <c r="H3058">
        <v>6.9304882108328594E-2</v>
      </c>
      <c r="I3058">
        <v>5.2057956406475203E-2</v>
      </c>
      <c r="J3058">
        <v>5.5921865911811502E-2</v>
      </c>
      <c r="K3058">
        <v>5.04475733472649E-2</v>
      </c>
      <c r="L3058">
        <v>786.19325564706298</v>
      </c>
      <c r="M3058">
        <v>17.530881706618398</v>
      </c>
      <c r="N3058">
        <v>45.1372405231321</v>
      </c>
      <c r="O3058">
        <v>44.274856843766699</v>
      </c>
      <c r="P3058">
        <v>-9.3703709702305904E-2</v>
      </c>
      <c r="Q3058">
        <v>5.3443752643885803E-2</v>
      </c>
      <c r="R3058">
        <v>0.99847419059496401</v>
      </c>
      <c r="S3058" t="s">
        <v>9460</v>
      </c>
      <c r="T3058" t="s">
        <v>12802</v>
      </c>
      <c r="U3058" t="s">
        <v>12802</v>
      </c>
      <c r="V3058" t="s">
        <v>12802</v>
      </c>
      <c r="W3058" t="s">
        <v>15810</v>
      </c>
      <c r="X3058">
        <v>5</v>
      </c>
      <c r="Y3058" t="s">
        <v>22063</v>
      </c>
      <c r="Z3058" t="s">
        <v>28376</v>
      </c>
      <c r="AA3058">
        <v>0.31745144323806268</v>
      </c>
      <c r="AB3058" t="str">
        <f>HYPERLINK("Melting_Curves/meltCurve_P83436_COG7.pdf", "Melting_Curves/meltCurve_P83436_COG7.pdf")</f>
        <v>Melting_Curves/meltCurve_P83436_COG7.pdf</v>
      </c>
    </row>
    <row r="3059" spans="1:28" x14ac:dyDescent="0.25">
      <c r="A3059" t="s">
        <v>3063</v>
      </c>
      <c r="B3059">
        <v>0.99542014353169495</v>
      </c>
      <c r="C3059">
        <v>1.03266160709292</v>
      </c>
      <c r="D3059">
        <v>0.73088901807961404</v>
      </c>
      <c r="E3059">
        <v>0.410915945830017</v>
      </c>
      <c r="F3059">
        <v>0.16406466723435201</v>
      </c>
      <c r="G3059">
        <v>6.2880697672492394E-2</v>
      </c>
      <c r="H3059">
        <v>6.1559325587014699E-2</v>
      </c>
      <c r="I3059">
        <v>4.7223530444916999E-2</v>
      </c>
      <c r="J3059">
        <v>6.6906146457799298E-2</v>
      </c>
      <c r="K3059">
        <v>5.0275651892717002E-2</v>
      </c>
      <c r="L3059">
        <v>973.45566368018797</v>
      </c>
      <c r="M3059">
        <v>21.462378438116801</v>
      </c>
      <c r="N3059">
        <v>45.582344652061401</v>
      </c>
      <c r="O3059">
        <v>44.968127941897102</v>
      </c>
      <c r="P3059">
        <v>-0.11330108508588201</v>
      </c>
      <c r="Q3059">
        <v>5.0466584854172901E-2</v>
      </c>
      <c r="R3059">
        <v>0.99359029414011901</v>
      </c>
      <c r="S3059" t="s">
        <v>9461</v>
      </c>
      <c r="T3059" t="s">
        <v>12802</v>
      </c>
      <c r="U3059" t="s">
        <v>12802</v>
      </c>
      <c r="V3059" t="s">
        <v>12802</v>
      </c>
      <c r="W3059" t="s">
        <v>15811</v>
      </c>
      <c r="X3059">
        <v>9</v>
      </c>
      <c r="Y3059" t="s">
        <v>22064</v>
      </c>
      <c r="Z3059" t="s">
        <v>28377</v>
      </c>
      <c r="AA3059">
        <v>0.32569631978204161</v>
      </c>
      <c r="AB3059" t="str">
        <f>HYPERLINK("Melting_Curves/meltCurve_P84022_SMAD3.pdf", "Melting_Curves/meltCurve_P84022_SMAD3.pdf")</f>
        <v>Melting_Curves/meltCurve_P84022_SMAD3.pdf</v>
      </c>
    </row>
    <row r="3060" spans="1:28" x14ac:dyDescent="0.25">
      <c r="A3060" t="s">
        <v>3064</v>
      </c>
      <c r="B3060">
        <v>0.99542014353169495</v>
      </c>
      <c r="C3060">
        <v>1.01647692027662</v>
      </c>
      <c r="D3060">
        <v>0.94426479583020495</v>
      </c>
      <c r="E3060">
        <v>0.92358241923987305</v>
      </c>
      <c r="F3060">
        <v>0.751787731735721</v>
      </c>
      <c r="G3060">
        <v>0.62023496395661804</v>
      </c>
      <c r="H3060">
        <v>0.43383554055260598</v>
      </c>
      <c r="I3060">
        <v>0.344357664136896</v>
      </c>
      <c r="J3060">
        <v>0.41768329483064098</v>
      </c>
      <c r="K3060">
        <v>0.25133724257684598</v>
      </c>
      <c r="L3060">
        <v>726.24508479938595</v>
      </c>
      <c r="M3060">
        <v>13.6896406802577</v>
      </c>
      <c r="N3060">
        <v>56.145486074418798</v>
      </c>
      <c r="O3060">
        <v>51.9570889102433</v>
      </c>
      <c r="P3060">
        <v>-4.8428228837145398E-2</v>
      </c>
      <c r="Q3060">
        <v>0.26489628867966503</v>
      </c>
      <c r="R3060">
        <v>0.98114018209494003</v>
      </c>
      <c r="S3060" t="s">
        <v>9462</v>
      </c>
      <c r="T3060" t="s">
        <v>12802</v>
      </c>
      <c r="U3060" t="s">
        <v>12802</v>
      </c>
      <c r="V3060" t="s">
        <v>12802</v>
      </c>
      <c r="W3060" t="s">
        <v>15812</v>
      </c>
      <c r="X3060">
        <v>11</v>
      </c>
      <c r="Y3060" t="s">
        <v>22065</v>
      </c>
      <c r="Z3060" t="s">
        <v>28378</v>
      </c>
      <c r="AA3060">
        <v>0.67233200749585742</v>
      </c>
      <c r="AB3060" t="str">
        <f>HYPERLINK("Melting_Curves/meltCurve_P84077_ARF1.pdf", "Melting_Curves/meltCurve_P84077_ARF1.pdf")</f>
        <v>Melting_Curves/meltCurve_P84077_ARF1.pdf</v>
      </c>
    </row>
    <row r="3061" spans="1:28" x14ac:dyDescent="0.25">
      <c r="A3061" t="s">
        <v>3065</v>
      </c>
      <c r="B3061">
        <v>0.99542014353169495</v>
      </c>
      <c r="C3061">
        <v>1.1680182153071801</v>
      </c>
      <c r="D3061">
        <v>1.2355136767369399</v>
      </c>
      <c r="E3061">
        <v>1.0657283599416001</v>
      </c>
      <c r="F3061">
        <v>0.96629594588588696</v>
      </c>
      <c r="G3061">
        <v>0.75397641816952599</v>
      </c>
      <c r="H3061">
        <v>0.456149005575476</v>
      </c>
      <c r="I3061">
        <v>0.24345514957044401</v>
      </c>
      <c r="J3061">
        <v>8.5813871651681597E-2</v>
      </c>
      <c r="K3061">
        <v>7.4157032018627306E-2</v>
      </c>
      <c r="L3061">
        <v>1236.3576785369501</v>
      </c>
      <c r="M3061">
        <v>21.786976893759999</v>
      </c>
      <c r="N3061">
        <v>56.956494590280002</v>
      </c>
      <c r="O3061">
        <v>56.2759763327728</v>
      </c>
      <c r="P3061">
        <v>-9.3071308227664004E-2</v>
      </c>
      <c r="Q3061">
        <v>3.8406143521242102E-2</v>
      </c>
      <c r="R3061">
        <v>0.94978939719950395</v>
      </c>
      <c r="S3061" t="s">
        <v>9463</v>
      </c>
      <c r="T3061" t="s">
        <v>12802</v>
      </c>
      <c r="U3061" t="s">
        <v>12802</v>
      </c>
      <c r="V3061" t="s">
        <v>12802</v>
      </c>
      <c r="W3061" t="s">
        <v>15813</v>
      </c>
      <c r="X3061">
        <v>8</v>
      </c>
      <c r="Y3061" t="s">
        <v>22066</v>
      </c>
      <c r="Z3061" t="s">
        <v>28379</v>
      </c>
      <c r="AA3061">
        <v>0.67976058533420336</v>
      </c>
      <c r="AB3061" t="str">
        <f>HYPERLINK("Melting_Curves/meltCurve_P84085_ARF5.pdf", "Melting_Curves/meltCurve_P84085_ARF5.pdf")</f>
        <v>Melting_Curves/meltCurve_P84085_ARF5.pdf</v>
      </c>
    </row>
    <row r="3062" spans="1:28" x14ac:dyDescent="0.25">
      <c r="A3062" t="s">
        <v>3066</v>
      </c>
      <c r="B3062">
        <v>0.99542014353169495</v>
      </c>
      <c r="C3062">
        <v>0.74913238161792794</v>
      </c>
      <c r="D3062">
        <v>0.95528209643799</v>
      </c>
      <c r="E3062">
        <v>0.855281485560067</v>
      </c>
      <c r="F3062">
        <v>0.59521200206709801</v>
      </c>
      <c r="G3062">
        <v>0.44570096962351502</v>
      </c>
      <c r="H3062">
        <v>0.33053098988165802</v>
      </c>
      <c r="I3062">
        <v>0.27136230143050599</v>
      </c>
      <c r="J3062">
        <v>0.47753088798563897</v>
      </c>
      <c r="K3062">
        <v>0.49875957325503101</v>
      </c>
      <c r="L3062">
        <v>1194.02273534511</v>
      </c>
      <c r="M3062">
        <v>24.548503400371299</v>
      </c>
      <c r="N3062">
        <v>51.878471574675103</v>
      </c>
      <c r="O3062">
        <v>48.320008158383096</v>
      </c>
      <c r="P3062">
        <v>-7.7219763076961601E-2</v>
      </c>
      <c r="Q3062">
        <v>0.39202719050858098</v>
      </c>
      <c r="R3062">
        <v>0.82942821499347097</v>
      </c>
      <c r="S3062" t="s">
        <v>9464</v>
      </c>
      <c r="T3062" t="s">
        <v>12802</v>
      </c>
      <c r="U3062" t="s">
        <v>12802</v>
      </c>
      <c r="V3062" t="s">
        <v>12802</v>
      </c>
      <c r="W3062" t="s">
        <v>15814</v>
      </c>
      <c r="X3062">
        <v>5</v>
      </c>
      <c r="Y3062" t="s">
        <v>22067</v>
      </c>
      <c r="Z3062" t="s">
        <v>28380</v>
      </c>
      <c r="AA3062">
        <v>0.63332470936904295</v>
      </c>
      <c r="AB3062" t="str">
        <f>HYPERLINK("Melting_Curves/meltCurve_P84090_ERH.pdf", "Melting_Curves/meltCurve_P84090_ERH.pdf")</f>
        <v>Melting_Curves/meltCurve_P84090_ERH.pdf</v>
      </c>
    </row>
    <row r="3063" spans="1:28" x14ac:dyDescent="0.25">
      <c r="A3063" t="s">
        <v>3067</v>
      </c>
      <c r="B3063">
        <v>0.99542014353169495</v>
      </c>
      <c r="C3063">
        <v>0.96223078278136698</v>
      </c>
      <c r="D3063">
        <v>0.97360595686460405</v>
      </c>
      <c r="E3063">
        <v>0.97097501882913295</v>
      </c>
      <c r="F3063">
        <v>0.82024442705737</v>
      </c>
      <c r="G3063">
        <v>0.67159907235197402</v>
      </c>
      <c r="H3063">
        <v>0.41652352301104201</v>
      </c>
      <c r="I3063">
        <v>0.22973885171900399</v>
      </c>
      <c r="J3063">
        <v>0.12997405566571099</v>
      </c>
      <c r="K3063">
        <v>0.10137768075671499</v>
      </c>
      <c r="L3063">
        <v>821.35350941873298</v>
      </c>
      <c r="M3063">
        <v>14.653306913702799</v>
      </c>
      <c r="N3063">
        <v>56.089702215698502</v>
      </c>
      <c r="O3063">
        <v>55.039538680510297</v>
      </c>
      <c r="P3063">
        <v>-6.6242985910160299E-2</v>
      </c>
      <c r="Q3063">
        <v>4.84450359070743E-3</v>
      </c>
      <c r="R3063">
        <v>0.99728604638087803</v>
      </c>
      <c r="S3063" t="s">
        <v>9465</v>
      </c>
      <c r="T3063" t="s">
        <v>12802</v>
      </c>
      <c r="U3063" t="s">
        <v>12802</v>
      </c>
      <c r="V3063" t="s">
        <v>12802</v>
      </c>
      <c r="W3063" t="s">
        <v>15815</v>
      </c>
      <c r="X3063">
        <v>14</v>
      </c>
      <c r="Y3063" t="s">
        <v>22068</v>
      </c>
      <c r="Z3063" t="s">
        <v>28381</v>
      </c>
      <c r="AA3063">
        <v>0.64805214361387842</v>
      </c>
      <c r="AB3063" t="str">
        <f>HYPERLINK("Melting_Curves/meltCurve_P84095_RHOG.pdf", "Melting_Curves/meltCurve_P84095_RHOG.pdf")</f>
        <v>Melting_Curves/meltCurve_P84095_RHOG.pdf</v>
      </c>
    </row>
    <row r="3064" spans="1:28" x14ac:dyDescent="0.25">
      <c r="A3064" t="s">
        <v>3068</v>
      </c>
      <c r="B3064">
        <v>0.99542014353169495</v>
      </c>
      <c r="C3064">
        <v>1.1471963536260601</v>
      </c>
      <c r="D3064">
        <v>0.71292560840948704</v>
      </c>
      <c r="E3064">
        <v>0.33572887597310902</v>
      </c>
      <c r="F3064">
        <v>0.35976652850902602</v>
      </c>
      <c r="G3064">
        <v>0.41112901011883701</v>
      </c>
      <c r="H3064">
        <v>0.45194559402964302</v>
      </c>
      <c r="I3064">
        <v>0.43881664230483702</v>
      </c>
      <c r="J3064">
        <v>1.16062201158242</v>
      </c>
      <c r="K3064">
        <v>1.45193311592388</v>
      </c>
      <c r="L3064">
        <v>10678.445150080401</v>
      </c>
      <c r="M3064">
        <v>250</v>
      </c>
      <c r="O3064">
        <v>42.711047440431003</v>
      </c>
      <c r="P3064">
        <v>-0.49963199514739898</v>
      </c>
      <c r="Q3064">
        <v>0.65856310874871404</v>
      </c>
      <c r="R3064">
        <v>0.17016080374260201</v>
      </c>
      <c r="S3064" t="s">
        <v>9466</v>
      </c>
      <c r="T3064" t="s">
        <v>12802</v>
      </c>
      <c r="U3064" t="s">
        <v>12802</v>
      </c>
      <c r="V3064" t="s">
        <v>12802</v>
      </c>
      <c r="W3064" t="s">
        <v>15816</v>
      </c>
      <c r="X3064">
        <v>3</v>
      </c>
      <c r="Y3064" t="s">
        <v>22069</v>
      </c>
      <c r="Z3064" t="s">
        <v>28382</v>
      </c>
      <c r="AA3064">
        <v>0.72361855306336997</v>
      </c>
      <c r="AB3064" t="str">
        <f>HYPERLINK("Melting_Curves/meltCurve_P84101_4_SERF2.pdf", "Melting_Curves/meltCurve_P84101_4_SERF2.pdf")</f>
        <v>Melting_Curves/meltCurve_P84101_4_SERF2.pdf</v>
      </c>
    </row>
    <row r="3065" spans="1:28" x14ac:dyDescent="0.25">
      <c r="A3065" t="s">
        <v>3069</v>
      </c>
      <c r="B3065">
        <v>0.99542014353169495</v>
      </c>
      <c r="C3065">
        <v>0.993338620626388</v>
      </c>
      <c r="D3065">
        <v>0.84161768038623797</v>
      </c>
      <c r="E3065">
        <v>0.50723641886152104</v>
      </c>
      <c r="F3065">
        <v>0.20546510184713901</v>
      </c>
      <c r="G3065">
        <v>9.4231177399920402E-2</v>
      </c>
      <c r="H3065">
        <v>5.3794942172949903E-2</v>
      </c>
      <c r="I3065">
        <v>4.07092007004035E-2</v>
      </c>
      <c r="J3065">
        <v>5.4785931883629201E-2</v>
      </c>
      <c r="K3065">
        <v>5.4947162917894102E-2</v>
      </c>
      <c r="L3065">
        <v>991.32533797448195</v>
      </c>
      <c r="M3065">
        <v>21.352103136799698</v>
      </c>
      <c r="N3065">
        <v>46.634070579239697</v>
      </c>
      <c r="O3065">
        <v>46.026068064369603</v>
      </c>
      <c r="P3065">
        <v>-0.110748493181105</v>
      </c>
      <c r="Q3065">
        <v>4.5117523390733098E-2</v>
      </c>
      <c r="R3065">
        <v>0.99942674772893503</v>
      </c>
      <c r="S3065" t="s">
        <v>9467</v>
      </c>
      <c r="T3065" t="s">
        <v>12802</v>
      </c>
      <c r="U3065" t="s">
        <v>12802</v>
      </c>
      <c r="V3065" t="s">
        <v>12802</v>
      </c>
      <c r="W3065" t="s">
        <v>15817</v>
      </c>
      <c r="X3065">
        <v>12</v>
      </c>
      <c r="Y3065" t="s">
        <v>22070</v>
      </c>
      <c r="Z3065" t="s">
        <v>28383</v>
      </c>
      <c r="AA3065">
        <v>0.35613955265982972</v>
      </c>
      <c r="AB3065" t="str">
        <f>HYPERLINK("Melting_Curves/meltCurve_P85037_FOXK1.pdf", "Melting_Curves/meltCurve_P85037_FOXK1.pdf")</f>
        <v>Melting_Curves/meltCurve_P85037_FOXK1.pdf</v>
      </c>
    </row>
    <row r="3066" spans="1:28" x14ac:dyDescent="0.25">
      <c r="A3066" t="s">
        <v>3070</v>
      </c>
      <c r="B3066">
        <v>0.99542014353169495</v>
      </c>
      <c r="C3066">
        <v>1.0197408862202499</v>
      </c>
      <c r="D3066">
        <v>0.916803985975014</v>
      </c>
      <c r="E3066">
        <v>0.68539042225288904</v>
      </c>
      <c r="F3066">
        <v>0.574362122126574</v>
      </c>
      <c r="G3066">
        <v>0.49060153229042403</v>
      </c>
      <c r="H3066">
        <v>0.250291555050977</v>
      </c>
      <c r="I3066">
        <v>0.19417021944958601</v>
      </c>
      <c r="J3066">
        <v>0.11965258830980401</v>
      </c>
      <c r="K3066">
        <v>5.3355669818188803E-2</v>
      </c>
      <c r="L3066">
        <v>529.85714558206405</v>
      </c>
      <c r="M3066">
        <v>10.201003242065299</v>
      </c>
      <c r="N3066">
        <v>51.9416701201691</v>
      </c>
      <c r="O3066">
        <v>50.0642349867503</v>
      </c>
      <c r="P3066">
        <v>-5.0962533589755603E-2</v>
      </c>
      <c r="Q3066">
        <v>0</v>
      </c>
      <c r="R3066">
        <v>0.98416133185322097</v>
      </c>
      <c r="S3066" t="s">
        <v>9468</v>
      </c>
      <c r="T3066" t="s">
        <v>12802</v>
      </c>
      <c r="U3066" t="s">
        <v>12802</v>
      </c>
      <c r="V3066" t="s">
        <v>12802</v>
      </c>
      <c r="W3066" t="s">
        <v>15818</v>
      </c>
      <c r="X3066">
        <v>1</v>
      </c>
      <c r="Y3066" t="s">
        <v>22071</v>
      </c>
      <c r="Z3066" t="s">
        <v>28384</v>
      </c>
      <c r="AA3066">
        <v>0.52467628749164497</v>
      </c>
      <c r="AB3066" t="str">
        <f>HYPERLINK("Melting_Curves/meltCurve_P86397_RPP14.pdf", "Melting_Curves/meltCurve_P86397_RPP14.pdf")</f>
        <v>Melting_Curves/meltCurve_P86397_RPP14.pdf</v>
      </c>
    </row>
    <row r="3067" spans="1:28" x14ac:dyDescent="0.25">
      <c r="A3067" t="s">
        <v>3071</v>
      </c>
      <c r="B3067">
        <v>0.99542014353169495</v>
      </c>
      <c r="C3067">
        <v>0.98353179374440702</v>
      </c>
      <c r="D3067">
        <v>0.95651240307325403</v>
      </c>
      <c r="E3067">
        <v>0.80871963963693805</v>
      </c>
      <c r="F3067">
        <v>0.53903700510600705</v>
      </c>
      <c r="G3067">
        <v>0.32324995428949099</v>
      </c>
      <c r="H3067">
        <v>0.19717153315784899</v>
      </c>
      <c r="I3067">
        <v>7.4416922391948401E-2</v>
      </c>
      <c r="J3067">
        <v>5.7971086068136703E-2</v>
      </c>
      <c r="K3067">
        <v>5.5113496634971303E-2</v>
      </c>
      <c r="L3067">
        <v>768.69252298100605</v>
      </c>
      <c r="M3067">
        <v>15.123967706400901</v>
      </c>
      <c r="N3067">
        <v>50.988918617944201</v>
      </c>
      <c r="O3067">
        <v>49.9623664685666</v>
      </c>
      <c r="P3067">
        <v>-7.3900292272235504E-2</v>
      </c>
      <c r="Q3067">
        <v>2.3570598725737E-2</v>
      </c>
      <c r="R3067">
        <v>0.99870761044480405</v>
      </c>
      <c r="S3067" t="s">
        <v>9469</v>
      </c>
      <c r="T3067" t="s">
        <v>12802</v>
      </c>
      <c r="U3067" t="s">
        <v>12802</v>
      </c>
      <c r="V3067" t="s">
        <v>12802</v>
      </c>
      <c r="W3067" t="s">
        <v>15819</v>
      </c>
      <c r="X3067">
        <v>9</v>
      </c>
      <c r="Y3067" t="s">
        <v>22072</v>
      </c>
      <c r="Z3067" t="s">
        <v>28385</v>
      </c>
      <c r="AA3067">
        <v>0.49316307343169641</v>
      </c>
      <c r="AB3067" t="str">
        <f>HYPERLINK("Melting_Curves/meltCurve_P86791_CCZ1.pdf", "Melting_Curves/meltCurve_P86791_CCZ1.pdf")</f>
        <v>Melting_Curves/meltCurve_P86791_CCZ1.pdf</v>
      </c>
    </row>
    <row r="3068" spans="1:28" x14ac:dyDescent="0.25">
      <c r="A3068" t="s">
        <v>3072</v>
      </c>
      <c r="B3068">
        <v>0.99542014353169495</v>
      </c>
      <c r="C3068">
        <v>1.0045365214747299</v>
      </c>
      <c r="D3068">
        <v>0.89621675148166302</v>
      </c>
      <c r="E3068">
        <v>0.80910743122477402</v>
      </c>
      <c r="F3068">
        <v>0.58636832927670701</v>
      </c>
      <c r="G3068">
        <v>0.38776176359057402</v>
      </c>
      <c r="H3068">
        <v>0.242364108612036</v>
      </c>
      <c r="I3068">
        <v>0.22872389766359599</v>
      </c>
      <c r="J3068">
        <v>0.211103785335855</v>
      </c>
      <c r="K3068">
        <v>0.21275601661257301</v>
      </c>
      <c r="L3068">
        <v>782.89583598568299</v>
      </c>
      <c r="M3068">
        <v>15.6756357053856</v>
      </c>
      <c r="N3068">
        <v>51.429608388662402</v>
      </c>
      <c r="O3068">
        <v>49.151899133029303</v>
      </c>
      <c r="P3068">
        <v>-6.5214752322309805E-2</v>
      </c>
      <c r="Q3068">
        <v>0.18213077849079401</v>
      </c>
      <c r="R3068">
        <v>0.99618749654297001</v>
      </c>
      <c r="S3068" t="s">
        <v>9470</v>
      </c>
      <c r="T3068" t="s">
        <v>12802</v>
      </c>
      <c r="U3068" t="s">
        <v>12802</v>
      </c>
      <c r="V3068" t="s">
        <v>12802</v>
      </c>
      <c r="W3068" t="s">
        <v>15820</v>
      </c>
      <c r="X3068">
        <v>1</v>
      </c>
      <c r="Y3068" t="s">
        <v>22073</v>
      </c>
      <c r="Z3068" t="s">
        <v>28386</v>
      </c>
      <c r="AA3068">
        <v>0.55104631246926605</v>
      </c>
      <c r="AB3068" t="str">
        <f>HYPERLINK("Melting_Curves/meltCurve_P98153_2_DGCR2.pdf", "Melting_Curves/meltCurve_P98153_2_DGCR2.pdf")</f>
        <v>Melting_Curves/meltCurve_P98153_2_DGCR2.pdf</v>
      </c>
    </row>
    <row r="3069" spans="1:28" x14ac:dyDescent="0.25">
      <c r="A3069" t="s">
        <v>3073</v>
      </c>
      <c r="B3069">
        <v>0.99542014353169495</v>
      </c>
      <c r="C3069">
        <v>0.78875458993409397</v>
      </c>
      <c r="D3069">
        <v>0.728652134679034</v>
      </c>
      <c r="E3069">
        <v>0.55671978369655495</v>
      </c>
      <c r="F3069">
        <v>0.33022259583542002</v>
      </c>
      <c r="G3069">
        <v>0.16027454991489501</v>
      </c>
      <c r="H3069">
        <v>8.5771015787738603E-2</v>
      </c>
      <c r="I3069">
        <v>8.10204671039466E-2</v>
      </c>
      <c r="J3069">
        <v>6.2711905953663105E-2</v>
      </c>
      <c r="K3069">
        <v>0.106450138450684</v>
      </c>
      <c r="L3069">
        <v>528.05024585507704</v>
      </c>
      <c r="M3069">
        <v>11.3514720964184</v>
      </c>
      <c r="N3069">
        <v>46.726911638615299</v>
      </c>
      <c r="O3069">
        <v>45.144707069043001</v>
      </c>
      <c r="P3069">
        <v>-6.1326139929535201E-2</v>
      </c>
      <c r="Q3069">
        <v>2.47174208750497E-2</v>
      </c>
      <c r="R3069">
        <v>0.98436893265375403</v>
      </c>
      <c r="S3069" t="s">
        <v>9471</v>
      </c>
      <c r="T3069" t="s">
        <v>12802</v>
      </c>
      <c r="U3069" t="s">
        <v>12802</v>
      </c>
      <c r="V3069" t="s">
        <v>12802</v>
      </c>
      <c r="W3069" t="s">
        <v>15821</v>
      </c>
      <c r="X3069">
        <v>2</v>
      </c>
      <c r="Y3069" t="s">
        <v>22074</v>
      </c>
      <c r="Z3069" t="s">
        <v>28387</v>
      </c>
      <c r="AA3069">
        <v>0.370032414807203</v>
      </c>
      <c r="AB3069" t="str">
        <f>HYPERLINK("Melting_Curves/meltCurve_P98160_HSPG2.pdf", "Melting_Curves/meltCurve_P98160_HSPG2.pdf")</f>
        <v>Melting_Curves/meltCurve_P98160_HSPG2.pdf</v>
      </c>
    </row>
    <row r="3070" spans="1:28" x14ac:dyDescent="0.25">
      <c r="A3070" t="s">
        <v>3074</v>
      </c>
      <c r="B3070">
        <v>0.99542014353169495</v>
      </c>
      <c r="C3070">
        <v>0.94887760511044095</v>
      </c>
      <c r="D3070">
        <v>0.94819665585583601</v>
      </c>
      <c r="E3070">
        <v>0.56301854806995499</v>
      </c>
      <c r="F3070">
        <v>0.26144786266838599</v>
      </c>
      <c r="G3070">
        <v>0.15894201410474601</v>
      </c>
      <c r="H3070">
        <v>9.3512580533365794E-2</v>
      </c>
      <c r="I3070">
        <v>6.6415606726042201E-2</v>
      </c>
      <c r="J3070">
        <v>0.10540252690249501</v>
      </c>
      <c r="K3070">
        <v>0.122774701425441</v>
      </c>
      <c r="L3070">
        <v>1148.67655879822</v>
      </c>
      <c r="M3070">
        <v>24.4998281934392</v>
      </c>
      <c r="N3070">
        <v>47.314773592712399</v>
      </c>
      <c r="O3070">
        <v>46.576071769215403</v>
      </c>
      <c r="P3070">
        <v>-0.11839027472057401</v>
      </c>
      <c r="Q3070">
        <v>9.9736784293143504E-2</v>
      </c>
      <c r="R3070">
        <v>0.99572631744028295</v>
      </c>
      <c r="S3070" t="s">
        <v>9472</v>
      </c>
      <c r="T3070" t="s">
        <v>12802</v>
      </c>
      <c r="U3070" t="s">
        <v>12802</v>
      </c>
      <c r="V3070" t="s">
        <v>12802</v>
      </c>
      <c r="W3070" t="s">
        <v>15822</v>
      </c>
      <c r="X3070">
        <v>9</v>
      </c>
      <c r="Y3070" t="s">
        <v>22075</v>
      </c>
      <c r="Z3070" t="s">
        <v>28388</v>
      </c>
      <c r="AA3070">
        <v>0.40423792364359251</v>
      </c>
      <c r="AB3070" t="str">
        <f>HYPERLINK("Melting_Curves/meltCurve_P98170_XIAP.pdf", "Melting_Curves/meltCurve_P98170_XIAP.pdf")</f>
        <v>Melting_Curves/meltCurve_P98170_XIAP.pdf</v>
      </c>
    </row>
    <row r="3071" spans="1:28" x14ac:dyDescent="0.25">
      <c r="A3071" t="s">
        <v>3075</v>
      </c>
      <c r="B3071">
        <v>0.99542014353169495</v>
      </c>
      <c r="C3071">
        <v>0.97605684023350803</v>
      </c>
      <c r="D3071">
        <v>1.0108320725539599</v>
      </c>
      <c r="E3071">
        <v>0.87297460764102996</v>
      </c>
      <c r="F3071">
        <v>0.68960470476117097</v>
      </c>
      <c r="G3071">
        <v>0.444554599752982</v>
      </c>
      <c r="H3071">
        <v>0.241428853003438</v>
      </c>
      <c r="I3071">
        <v>0.16318533227635501</v>
      </c>
      <c r="J3071">
        <v>0.18865432416046399</v>
      </c>
      <c r="K3071">
        <v>0.20648729686161901</v>
      </c>
      <c r="L3071">
        <v>987.86386966617602</v>
      </c>
      <c r="M3071">
        <v>19.170341497162099</v>
      </c>
      <c r="N3071">
        <v>52.602402393930397</v>
      </c>
      <c r="O3071">
        <v>50.979949439681199</v>
      </c>
      <c r="P3071">
        <v>-7.8816006959949794E-2</v>
      </c>
      <c r="Q3071">
        <v>0.16164661711922201</v>
      </c>
      <c r="R3071">
        <v>0.99490866559716096</v>
      </c>
      <c r="S3071" t="s">
        <v>9473</v>
      </c>
      <c r="T3071" t="s">
        <v>12802</v>
      </c>
      <c r="U3071" t="s">
        <v>12802</v>
      </c>
      <c r="V3071" t="s">
        <v>12802</v>
      </c>
      <c r="W3071" t="s">
        <v>15823</v>
      </c>
      <c r="X3071">
        <v>4</v>
      </c>
      <c r="Y3071" t="s">
        <v>22076</v>
      </c>
      <c r="Z3071" t="s">
        <v>28389</v>
      </c>
      <c r="AA3071">
        <v>0.5793822642630162</v>
      </c>
      <c r="AB3071" t="str">
        <f>HYPERLINK("Melting_Curves/meltCurve_P98172_EFNB1.pdf", "Melting_Curves/meltCurve_P98172_EFNB1.pdf")</f>
        <v>Melting_Curves/meltCurve_P98172_EFNB1.pdf</v>
      </c>
    </row>
    <row r="3072" spans="1:28" x14ac:dyDescent="0.25">
      <c r="A3072" t="s">
        <v>3076</v>
      </c>
      <c r="B3072">
        <v>0.99542014353169495</v>
      </c>
      <c r="C3072">
        <v>1.0145136371658099</v>
      </c>
      <c r="D3072">
        <v>0.92965027602698402</v>
      </c>
      <c r="E3072">
        <v>0.71132781727954597</v>
      </c>
      <c r="F3072">
        <v>0.58344434539122103</v>
      </c>
      <c r="G3072">
        <v>0.31010555749917801</v>
      </c>
      <c r="H3072">
        <v>0.159954649389527</v>
      </c>
      <c r="I3072">
        <v>0.122565762676119</v>
      </c>
      <c r="J3072">
        <v>0.123778090444897</v>
      </c>
      <c r="K3072">
        <v>0.104581029888114</v>
      </c>
      <c r="L3072">
        <v>732.95299959063698</v>
      </c>
      <c r="M3072">
        <v>14.6368880371502</v>
      </c>
      <c r="N3072">
        <v>50.5968262169133</v>
      </c>
      <c r="O3072">
        <v>49.168883051101297</v>
      </c>
      <c r="P3072">
        <v>-6.9222281465278396E-2</v>
      </c>
      <c r="Q3072">
        <v>6.9965329685635305E-2</v>
      </c>
      <c r="R3072">
        <v>0.99296235308692204</v>
      </c>
      <c r="S3072" t="s">
        <v>9474</v>
      </c>
      <c r="T3072" t="s">
        <v>12802</v>
      </c>
      <c r="U3072" t="s">
        <v>12802</v>
      </c>
      <c r="V3072" t="s">
        <v>12802</v>
      </c>
      <c r="W3072" t="s">
        <v>15824</v>
      </c>
      <c r="X3072">
        <v>6</v>
      </c>
      <c r="Y3072" t="s">
        <v>22077</v>
      </c>
      <c r="Z3072" t="s">
        <v>28390</v>
      </c>
      <c r="AA3072">
        <v>0.49540792638094983</v>
      </c>
      <c r="AB3072" t="str">
        <f>HYPERLINK("Melting_Curves/meltCurve_P98173_3_FAM3A.pdf", "Melting_Curves/meltCurve_P98173_3_FAM3A.pdf")</f>
        <v>Melting_Curves/meltCurve_P98173_3_FAM3A.pdf</v>
      </c>
    </row>
    <row r="3073" spans="1:28" x14ac:dyDescent="0.25">
      <c r="A3073" t="s">
        <v>3077</v>
      </c>
      <c r="B3073">
        <v>0.99542014353169495</v>
      </c>
      <c r="C3073">
        <v>0.950392079060001</v>
      </c>
      <c r="D3073">
        <v>0.84522195893202501</v>
      </c>
      <c r="E3073">
        <v>0.73525819237172096</v>
      </c>
      <c r="F3073">
        <v>0.492794956754603</v>
      </c>
      <c r="G3073">
        <v>0.28750655047624901</v>
      </c>
      <c r="H3073">
        <v>0.21010603365696301</v>
      </c>
      <c r="I3073">
        <v>0.139671185365244</v>
      </c>
      <c r="J3073">
        <v>0.12978101205749201</v>
      </c>
      <c r="K3073">
        <v>0.13819311211497301</v>
      </c>
      <c r="L3073">
        <v>656.74553368982504</v>
      </c>
      <c r="M3073">
        <v>13.360637812176501</v>
      </c>
      <c r="N3073">
        <v>49.914861293174603</v>
      </c>
      <c r="O3073">
        <v>48.093220416948299</v>
      </c>
      <c r="P3073">
        <v>-6.3072738023471894E-2</v>
      </c>
      <c r="Q3073">
        <v>9.1992616066133404E-2</v>
      </c>
      <c r="R3073">
        <v>0.99672566557625497</v>
      </c>
      <c r="S3073" t="s">
        <v>9475</v>
      </c>
      <c r="T3073" t="s">
        <v>12802</v>
      </c>
      <c r="U3073" t="s">
        <v>12802</v>
      </c>
      <c r="V3073" t="s">
        <v>12802</v>
      </c>
      <c r="W3073" t="s">
        <v>15825</v>
      </c>
      <c r="X3073">
        <v>6</v>
      </c>
      <c r="Y3073" t="s">
        <v>22078</v>
      </c>
      <c r="Z3073" t="s">
        <v>28391</v>
      </c>
      <c r="AA3073">
        <v>0.48300503504402392</v>
      </c>
      <c r="AB3073" t="str">
        <f>HYPERLINK("Melting_Curves/meltCurve_P98175_2_RBM10.pdf", "Melting_Curves/meltCurve_P98175_2_RBM10.pdf")</f>
        <v>Melting_Curves/meltCurve_P98175_2_RBM10.pdf</v>
      </c>
    </row>
    <row r="3074" spans="1:28" x14ac:dyDescent="0.25">
      <c r="A3074" t="s">
        <v>3078</v>
      </c>
      <c r="B3074">
        <v>0.99542014353169495</v>
      </c>
      <c r="C3074">
        <v>0.984302043598832</v>
      </c>
      <c r="D3074">
        <v>0.94969027554809904</v>
      </c>
      <c r="E3074">
        <v>0.78777472053471398</v>
      </c>
      <c r="F3074">
        <v>0.66852968416327296</v>
      </c>
      <c r="G3074">
        <v>0.44448316456109999</v>
      </c>
      <c r="H3074">
        <v>0.32038403986081598</v>
      </c>
      <c r="I3074">
        <v>0.24517468777767701</v>
      </c>
      <c r="J3074">
        <v>0.35690400547846401</v>
      </c>
      <c r="K3074">
        <v>0.53923779813398898</v>
      </c>
      <c r="L3074">
        <v>963.62544559278797</v>
      </c>
      <c r="M3074">
        <v>19.666013835605799</v>
      </c>
      <c r="N3074">
        <v>52.3462420025066</v>
      </c>
      <c r="O3074">
        <v>48.501316569988703</v>
      </c>
      <c r="P3074">
        <v>-6.5101721258356504E-2</v>
      </c>
      <c r="Q3074">
        <v>0.35779373075363902</v>
      </c>
      <c r="R3074">
        <v>0.92149593990855305</v>
      </c>
      <c r="S3074" t="s">
        <v>9476</v>
      </c>
      <c r="T3074" t="s">
        <v>12802</v>
      </c>
      <c r="U3074" t="s">
        <v>12802</v>
      </c>
      <c r="V3074" t="s">
        <v>12802</v>
      </c>
      <c r="W3074" t="s">
        <v>15826</v>
      </c>
      <c r="X3074">
        <v>3</v>
      </c>
      <c r="Y3074" t="s">
        <v>22079</v>
      </c>
      <c r="Z3074" t="s">
        <v>28392</v>
      </c>
      <c r="AA3074">
        <v>0.62339002311084668</v>
      </c>
      <c r="AB3074" t="str">
        <f>HYPERLINK("Melting_Curves/meltCurve_P98179_RBM3.pdf", "Melting_Curves/meltCurve_P98179_RBM3.pdf")</f>
        <v>Melting_Curves/meltCurve_P98179_RBM3.pdf</v>
      </c>
    </row>
    <row r="3075" spans="1:28" x14ac:dyDescent="0.25">
      <c r="A3075" t="s">
        <v>3079</v>
      </c>
      <c r="B3075">
        <v>0.99542014353169495</v>
      </c>
      <c r="C3075">
        <v>1.0265290995068199</v>
      </c>
      <c r="D3075">
        <v>0.86591803578246795</v>
      </c>
      <c r="E3075">
        <v>0.57327485184165705</v>
      </c>
      <c r="F3075">
        <v>0.20486865981875599</v>
      </c>
      <c r="G3075">
        <v>8.4647390372847797E-2</v>
      </c>
      <c r="H3075">
        <v>4.8177427466009698E-2</v>
      </c>
      <c r="I3075">
        <v>3.5144872926122298E-2</v>
      </c>
      <c r="J3075">
        <v>3.6376654018042201E-2</v>
      </c>
      <c r="K3075">
        <v>4.2802440403223799E-2</v>
      </c>
      <c r="L3075">
        <v>1069.37089952368</v>
      </c>
      <c r="M3075">
        <v>22.772500971482099</v>
      </c>
      <c r="N3075">
        <v>47.104020415645998</v>
      </c>
      <c r="O3075">
        <v>46.601226702928898</v>
      </c>
      <c r="P3075">
        <v>-0.118029594952066</v>
      </c>
      <c r="Q3075">
        <v>3.3883938492085403E-2</v>
      </c>
      <c r="R3075">
        <v>0.99814086264651203</v>
      </c>
      <c r="S3075" t="s">
        <v>9477</v>
      </c>
      <c r="T3075" t="s">
        <v>12802</v>
      </c>
      <c r="U3075" t="s">
        <v>12802</v>
      </c>
      <c r="V3075" t="s">
        <v>12802</v>
      </c>
      <c r="W3075" t="s">
        <v>15827</v>
      </c>
      <c r="X3075">
        <v>25</v>
      </c>
      <c r="Y3075" t="s">
        <v>22080</v>
      </c>
      <c r="Z3075" t="s">
        <v>28393</v>
      </c>
      <c r="AA3075">
        <v>0.36437660226165808</v>
      </c>
      <c r="AB3075" t="str">
        <f>HYPERLINK("Melting_Curves/meltCurve_Q00013_MPP1.pdf", "Melting_Curves/meltCurve_Q00013_MPP1.pdf")</f>
        <v>Melting_Curves/meltCurve_Q00013_MPP1.pdf</v>
      </c>
    </row>
    <row r="3076" spans="1:28" x14ac:dyDescent="0.25">
      <c r="A3076" t="s">
        <v>3080</v>
      </c>
      <c r="B3076">
        <v>0.99542014353169495</v>
      </c>
      <c r="C3076">
        <v>0.97377528462061202</v>
      </c>
      <c r="D3076">
        <v>1.1091955246188301</v>
      </c>
      <c r="E3076">
        <v>0.74303397815522199</v>
      </c>
      <c r="F3076">
        <v>0.43463389516255402</v>
      </c>
      <c r="G3076">
        <v>0.280212651018859</v>
      </c>
      <c r="H3076">
        <v>0.17240458484766399</v>
      </c>
      <c r="I3076">
        <v>0.13750123818417101</v>
      </c>
      <c r="J3076">
        <v>0.13887490683727499</v>
      </c>
      <c r="K3076">
        <v>0.14455261104668701</v>
      </c>
      <c r="L3076">
        <v>1146.3749231101201</v>
      </c>
      <c r="M3076">
        <v>23.490987484659801</v>
      </c>
      <c r="N3076">
        <v>49.537699768365997</v>
      </c>
      <c r="O3076">
        <v>48.451120315936699</v>
      </c>
      <c r="P3076">
        <v>-0.103334572143959</v>
      </c>
      <c r="Q3076">
        <v>0.147487888248055</v>
      </c>
      <c r="R3076">
        <v>0.98214802776545895</v>
      </c>
      <c r="S3076" t="s">
        <v>9478</v>
      </c>
      <c r="T3076" t="s">
        <v>12802</v>
      </c>
      <c r="U3076" t="s">
        <v>12802</v>
      </c>
      <c r="V3076" t="s">
        <v>12802</v>
      </c>
      <c r="W3076" t="s">
        <v>15828</v>
      </c>
      <c r="X3076">
        <v>16</v>
      </c>
      <c r="Y3076" t="s">
        <v>22081</v>
      </c>
      <c r="Z3076" t="s">
        <v>28394</v>
      </c>
      <c r="AA3076">
        <v>0.49111724924932121</v>
      </c>
      <c r="AB3076" t="str">
        <f>HYPERLINK("Melting_Curves/meltCurve_Q00059_TFAM.pdf", "Melting_Curves/meltCurve_Q00059_TFAM.pdf")</f>
        <v>Melting_Curves/meltCurve_Q00059_TFAM.pdf</v>
      </c>
    </row>
    <row r="3077" spans="1:28" x14ac:dyDescent="0.25">
      <c r="A3077" t="s">
        <v>3081</v>
      </c>
      <c r="B3077">
        <v>0.99542014353169495</v>
      </c>
      <c r="C3077">
        <v>1.04547148566835</v>
      </c>
      <c r="D3077">
        <v>1.00449845973519</v>
      </c>
      <c r="E3077">
        <v>0.949811814506625</v>
      </c>
      <c r="F3077">
        <v>0.75609692383017402</v>
      </c>
      <c r="G3077">
        <v>0.54893023850678502</v>
      </c>
      <c r="H3077">
        <v>0.18674610961900001</v>
      </c>
      <c r="I3077">
        <v>0.103993525954935</v>
      </c>
      <c r="J3077">
        <v>0.10017980882566099</v>
      </c>
      <c r="K3077">
        <v>9.1919595617291905E-2</v>
      </c>
      <c r="L3077">
        <v>1099.9506936318801</v>
      </c>
      <c r="M3077">
        <v>20.6182125514236</v>
      </c>
      <c r="N3077">
        <v>53.6663086754292</v>
      </c>
      <c r="O3077">
        <v>52.854256978069699</v>
      </c>
      <c r="P3077">
        <v>-9.1921833966764704E-2</v>
      </c>
      <c r="Q3077">
        <v>5.7470149862213001E-2</v>
      </c>
      <c r="R3077">
        <v>0.99300980933584604</v>
      </c>
      <c r="S3077" t="s">
        <v>9479</v>
      </c>
      <c r="T3077" t="s">
        <v>12802</v>
      </c>
      <c r="U3077" t="s">
        <v>12802</v>
      </c>
      <c r="V3077" t="s">
        <v>12802</v>
      </c>
      <c r="W3077" t="s">
        <v>15829</v>
      </c>
      <c r="X3077">
        <v>12</v>
      </c>
      <c r="Y3077" t="s">
        <v>22082</v>
      </c>
      <c r="Z3077" t="s">
        <v>28395</v>
      </c>
      <c r="AA3077">
        <v>0.58233673924075779</v>
      </c>
      <c r="AB3077" t="str">
        <f>HYPERLINK("Melting_Curves/meltCurve_Q00169_PITPNA.pdf", "Melting_Curves/meltCurve_Q00169_PITPNA.pdf")</f>
        <v>Melting_Curves/meltCurve_Q00169_PITPNA.pdf</v>
      </c>
    </row>
    <row r="3078" spans="1:28" x14ac:dyDescent="0.25">
      <c r="A3078" t="s">
        <v>3082</v>
      </c>
      <c r="B3078">
        <v>0.99542014353169495</v>
      </c>
      <c r="C3078">
        <v>0.95305190791102801</v>
      </c>
      <c r="D3078">
        <v>0.935107992109941</v>
      </c>
      <c r="E3078">
        <v>0.793396445315243</v>
      </c>
      <c r="F3078">
        <v>0.583552961155268</v>
      </c>
      <c r="G3078">
        <v>0.36389625467252301</v>
      </c>
      <c r="H3078">
        <v>0.30928305418451701</v>
      </c>
      <c r="I3078">
        <v>0.28567677173324701</v>
      </c>
      <c r="J3078">
        <v>0.49806187582758099</v>
      </c>
      <c r="K3078">
        <v>0.78694288350378405</v>
      </c>
      <c r="L3078">
        <v>1390.99077059201</v>
      </c>
      <c r="M3078">
        <v>29.3533157107323</v>
      </c>
      <c r="N3078">
        <v>51.510499010378901</v>
      </c>
      <c r="O3078">
        <v>47.169550738023197</v>
      </c>
      <c r="P3078">
        <v>-8.5211037013407195E-2</v>
      </c>
      <c r="Q3078">
        <v>0.45228160111918198</v>
      </c>
      <c r="R3078">
        <v>0.73958910905227104</v>
      </c>
      <c r="S3078" t="s">
        <v>9480</v>
      </c>
      <c r="T3078" t="s">
        <v>12802</v>
      </c>
      <c r="U3078" t="s">
        <v>12802</v>
      </c>
      <c r="V3078" t="s">
        <v>12802</v>
      </c>
      <c r="W3078" t="s">
        <v>15830</v>
      </c>
      <c r="X3078">
        <v>16</v>
      </c>
      <c r="Y3078" t="s">
        <v>22083</v>
      </c>
      <c r="Z3078" t="s">
        <v>28396</v>
      </c>
      <c r="AA3078">
        <v>0.64528645276280039</v>
      </c>
      <c r="AB3078" t="str">
        <f>HYPERLINK("Melting_Curves/meltCurve_Q00325_2_SLC25A3.pdf", "Melting_Curves/meltCurve_Q00325_2_SLC25A3.pdf")</f>
        <v>Melting_Curves/meltCurve_Q00325_2_SLC25A3.pdf</v>
      </c>
    </row>
    <row r="3079" spans="1:28" x14ac:dyDescent="0.25">
      <c r="A3079" t="s">
        <v>3083</v>
      </c>
      <c r="B3079">
        <v>0.99542014353169495</v>
      </c>
      <c r="C3079">
        <v>0.98001311121865198</v>
      </c>
      <c r="D3079">
        <v>0.85200836935875701</v>
      </c>
      <c r="E3079">
        <v>0.27754198787603501</v>
      </c>
      <c r="F3079">
        <v>0.14477046807024299</v>
      </c>
      <c r="G3079">
        <v>8.5070032412911806E-2</v>
      </c>
      <c r="H3079">
        <v>5.7916764549322597E-2</v>
      </c>
      <c r="I3079">
        <v>4.33064461817117E-2</v>
      </c>
      <c r="J3079">
        <v>4.6292489537711298E-2</v>
      </c>
      <c r="K3079">
        <v>4.7567583135499997E-2</v>
      </c>
      <c r="L3079">
        <v>1498.3809676716501</v>
      </c>
      <c r="M3079">
        <v>33.2647544421798</v>
      </c>
      <c r="N3079">
        <v>45.226726283239699</v>
      </c>
      <c r="O3079">
        <v>44.8822474160323</v>
      </c>
      <c r="P3079">
        <v>-0.17364493778833301</v>
      </c>
      <c r="Q3079">
        <v>6.2846963343210493E-2</v>
      </c>
      <c r="R3079">
        <v>0.99709577527974502</v>
      </c>
      <c r="S3079" t="s">
        <v>9481</v>
      </c>
      <c r="T3079" t="s">
        <v>12802</v>
      </c>
      <c r="U3079" t="s">
        <v>12802</v>
      </c>
      <c r="V3079" t="s">
        <v>12802</v>
      </c>
      <c r="W3079" t="s">
        <v>15831</v>
      </c>
      <c r="X3079">
        <v>58</v>
      </c>
      <c r="Y3079" t="s">
        <v>22084</v>
      </c>
      <c r="Z3079" t="s">
        <v>28397</v>
      </c>
      <c r="AA3079">
        <v>0.31838713660927082</v>
      </c>
      <c r="AB3079" t="str">
        <f>HYPERLINK("Melting_Curves/meltCurve_Q00341_HDLBP.pdf", "Melting_Curves/meltCurve_Q00341_HDLBP.pdf")</f>
        <v>Melting_Curves/meltCurve_Q00341_HDLBP.pdf</v>
      </c>
    </row>
    <row r="3080" spans="1:28" x14ac:dyDescent="0.25">
      <c r="A3080" t="s">
        <v>3084</v>
      </c>
      <c r="B3080">
        <v>0.99542014353169495</v>
      </c>
      <c r="C3080">
        <v>0.997432236327355</v>
      </c>
      <c r="D3080">
        <v>0.94574031675161296</v>
      </c>
      <c r="E3080">
        <v>0.64815727462280004</v>
      </c>
      <c r="F3080">
        <v>0.195908787691464</v>
      </c>
      <c r="G3080">
        <v>0.11148853236595101</v>
      </c>
      <c r="H3080">
        <v>7.3286288629875102E-2</v>
      </c>
      <c r="I3080">
        <v>5.5740733499464103E-2</v>
      </c>
      <c r="J3080">
        <v>6.8028364058720703E-2</v>
      </c>
      <c r="K3080">
        <v>6.5204126420883204E-2</v>
      </c>
      <c r="L3080">
        <v>1429.39527581225</v>
      </c>
      <c r="M3080">
        <v>30.201128266387101</v>
      </c>
      <c r="N3080">
        <v>47.555620442084603</v>
      </c>
      <c r="O3080">
        <v>47.123162211981303</v>
      </c>
      <c r="P3080">
        <v>-0.14949584591849899</v>
      </c>
      <c r="Q3080">
        <v>6.6965999405161902E-2</v>
      </c>
      <c r="R3080">
        <v>0.99944101467994895</v>
      </c>
      <c r="S3080" t="s">
        <v>9482</v>
      </c>
      <c r="T3080" t="s">
        <v>12802</v>
      </c>
      <c r="U3080" t="s">
        <v>12802</v>
      </c>
      <c r="V3080" t="s">
        <v>12802</v>
      </c>
      <c r="W3080" t="s">
        <v>15832</v>
      </c>
      <c r="X3080">
        <v>11</v>
      </c>
      <c r="Y3080" t="s">
        <v>22085</v>
      </c>
      <c r="Z3080" t="s">
        <v>28398</v>
      </c>
      <c r="AA3080">
        <v>0.39359943277266052</v>
      </c>
      <c r="AB3080" t="str">
        <f>HYPERLINK("Melting_Curves/meltCurve_Q00403_GTF2B.pdf", "Melting_Curves/meltCurve_Q00403_GTF2B.pdf")</f>
        <v>Melting_Curves/meltCurve_Q00403_GTF2B.pdf</v>
      </c>
    </row>
    <row r="3081" spans="1:28" x14ac:dyDescent="0.25">
      <c r="A3081" t="s">
        <v>3085</v>
      </c>
      <c r="B3081">
        <v>0.99542014353169495</v>
      </c>
      <c r="C3081">
        <v>0.98662019869248596</v>
      </c>
      <c r="D3081">
        <v>0.69330700271910495</v>
      </c>
      <c r="E3081">
        <v>0.455855323858533</v>
      </c>
      <c r="F3081">
        <v>0.29529090540132302</v>
      </c>
      <c r="G3081">
        <v>0.21514359968984401</v>
      </c>
      <c r="H3081">
        <v>0.110650872013084</v>
      </c>
      <c r="I3081">
        <v>7.0267538588237893E-2</v>
      </c>
      <c r="J3081">
        <v>7.0319024148173606E-2</v>
      </c>
      <c r="K3081">
        <v>6.6858842973103794E-2</v>
      </c>
      <c r="L3081">
        <v>662.95213215975002</v>
      </c>
      <c r="M3081">
        <v>14.453595761996199</v>
      </c>
      <c r="N3081">
        <v>46.321136723044098</v>
      </c>
      <c r="O3081">
        <v>45.016419249072001</v>
      </c>
      <c r="P3081">
        <v>-7.4981411625596406E-2</v>
      </c>
      <c r="Q3081">
        <v>6.5976263559134704E-2</v>
      </c>
      <c r="R3081">
        <v>0.98873681283742798</v>
      </c>
      <c r="S3081" t="s">
        <v>9483</v>
      </c>
      <c r="T3081" t="s">
        <v>12802</v>
      </c>
      <c r="U3081" t="s">
        <v>12802</v>
      </c>
      <c r="V3081" t="s">
        <v>12802</v>
      </c>
      <c r="W3081" t="s">
        <v>15833</v>
      </c>
      <c r="X3081">
        <v>14</v>
      </c>
      <c r="Y3081" t="s">
        <v>22086</v>
      </c>
      <c r="Z3081" t="s">
        <v>28399</v>
      </c>
      <c r="AA3081">
        <v>0.36525504981428242</v>
      </c>
      <c r="AB3081" t="str">
        <f>HYPERLINK("Melting_Curves/meltCurve_Q00534_CDK6.pdf", "Melting_Curves/meltCurve_Q00534_CDK6.pdf")</f>
        <v>Melting_Curves/meltCurve_Q00534_CDK6.pdf</v>
      </c>
    </row>
    <row r="3082" spans="1:28" x14ac:dyDescent="0.25">
      <c r="A3082" t="s">
        <v>3086</v>
      </c>
      <c r="B3082">
        <v>0.99542014353169495</v>
      </c>
      <c r="C3082">
        <v>0.97314701514634705</v>
      </c>
      <c r="D3082">
        <v>0.877629249282462</v>
      </c>
      <c r="E3082">
        <v>0.80079631406208296</v>
      </c>
      <c r="F3082">
        <v>0.36691841470143199</v>
      </c>
      <c r="G3082">
        <v>0.116128860769128</v>
      </c>
      <c r="H3082">
        <v>7.5531098710674399E-2</v>
      </c>
      <c r="I3082">
        <v>5.3541957793873197E-2</v>
      </c>
      <c r="J3082">
        <v>5.8868356059817398E-2</v>
      </c>
      <c r="K3082">
        <v>6.8552408206073404E-2</v>
      </c>
      <c r="L3082">
        <v>1194.04062780514</v>
      </c>
      <c r="M3082">
        <v>24.474547240766999</v>
      </c>
      <c r="N3082">
        <v>49.002537330073999</v>
      </c>
      <c r="O3082">
        <v>48.464828203508901</v>
      </c>
      <c r="P3082">
        <v>-0.11980943388838999</v>
      </c>
      <c r="Q3082">
        <v>5.1020857338538998E-2</v>
      </c>
      <c r="R3082">
        <v>0.99367959680335904</v>
      </c>
      <c r="S3082" t="s">
        <v>9484</v>
      </c>
      <c r="T3082" t="s">
        <v>12802</v>
      </c>
      <c r="U3082" t="s">
        <v>12802</v>
      </c>
      <c r="V3082" t="s">
        <v>12802</v>
      </c>
      <c r="W3082" t="s">
        <v>15834</v>
      </c>
      <c r="X3082">
        <v>11</v>
      </c>
      <c r="Y3082" t="s">
        <v>22087</v>
      </c>
      <c r="Z3082" t="s">
        <v>28400</v>
      </c>
      <c r="AA3082">
        <v>0.43239842498304121</v>
      </c>
      <c r="AB3082" t="str">
        <f>HYPERLINK("Melting_Curves/meltCurve_Q00535_CDK5.pdf", "Melting_Curves/meltCurve_Q00535_CDK5.pdf")</f>
        <v>Melting_Curves/meltCurve_Q00535_CDK5.pdf</v>
      </c>
    </row>
    <row r="3083" spans="1:28" x14ac:dyDescent="0.25">
      <c r="A3083" t="s">
        <v>3087</v>
      </c>
      <c r="B3083">
        <v>0.99542014353169495</v>
      </c>
      <c r="C3083">
        <v>0.95325846973685402</v>
      </c>
      <c r="D3083">
        <v>0.90052333781286797</v>
      </c>
      <c r="E3083">
        <v>0.84645944121252903</v>
      </c>
      <c r="F3083">
        <v>0.57855290211504196</v>
      </c>
      <c r="G3083">
        <v>0.28294319425558601</v>
      </c>
      <c r="H3083">
        <v>0.180779011571361</v>
      </c>
      <c r="I3083">
        <v>0.139754958368595</v>
      </c>
      <c r="J3083">
        <v>0.151462452799035</v>
      </c>
      <c r="K3083">
        <v>0.20897289288785501</v>
      </c>
      <c r="L3083">
        <v>1040.87355408232</v>
      </c>
      <c r="M3083">
        <v>20.843086473377301</v>
      </c>
      <c r="N3083">
        <v>50.795501863817499</v>
      </c>
      <c r="O3083">
        <v>49.485682335751399</v>
      </c>
      <c r="P3083">
        <v>-8.9692429150680597E-2</v>
      </c>
      <c r="Q3083">
        <v>0.14823203339834701</v>
      </c>
      <c r="R3083">
        <v>0.98976096979384998</v>
      </c>
      <c r="S3083" t="s">
        <v>9485</v>
      </c>
      <c r="T3083" t="s">
        <v>12802</v>
      </c>
      <c r="U3083" t="s">
        <v>12802</v>
      </c>
      <c r="V3083" t="s">
        <v>12802</v>
      </c>
      <c r="W3083" t="s">
        <v>15835</v>
      </c>
      <c r="X3083">
        <v>6</v>
      </c>
      <c r="Y3083" t="s">
        <v>22088</v>
      </c>
      <c r="Z3083" t="s">
        <v>28401</v>
      </c>
      <c r="AA3083">
        <v>0.52601391830197519</v>
      </c>
      <c r="AB3083" t="str">
        <f>HYPERLINK("Melting_Curves/meltCurve_Q00536_CDK16.pdf", "Melting_Curves/meltCurve_Q00536_CDK16.pdf")</f>
        <v>Melting_Curves/meltCurve_Q00536_CDK16.pdf</v>
      </c>
    </row>
    <row r="3084" spans="1:28" x14ac:dyDescent="0.25">
      <c r="A3084" t="s">
        <v>3088</v>
      </c>
      <c r="B3084">
        <v>0.99542014353169495</v>
      </c>
      <c r="C3084">
        <v>0.93192898791846801</v>
      </c>
      <c r="D3084">
        <v>0.972158111058531</v>
      </c>
      <c r="E3084">
        <v>0.80902745447000601</v>
      </c>
      <c r="F3084">
        <v>0.39560651400910002</v>
      </c>
      <c r="G3084">
        <v>0.121697982129778</v>
      </c>
      <c r="H3084">
        <v>7.7115325703730295E-2</v>
      </c>
      <c r="I3084">
        <v>5.0654979358290803E-2</v>
      </c>
      <c r="J3084">
        <v>5.3907925825219902E-2</v>
      </c>
      <c r="K3084">
        <v>5.5919492445671903E-2</v>
      </c>
      <c r="L3084">
        <v>1280.78310283417</v>
      </c>
      <c r="M3084">
        <v>26.100339316723399</v>
      </c>
      <c r="N3084">
        <v>49.268225111788396</v>
      </c>
      <c r="O3084">
        <v>48.786166538753299</v>
      </c>
      <c r="P3084">
        <v>-0.12713191672101601</v>
      </c>
      <c r="Q3084">
        <v>4.9482353286142797E-2</v>
      </c>
      <c r="R3084">
        <v>0.997142407428115</v>
      </c>
      <c r="S3084" t="s">
        <v>9486</v>
      </c>
      <c r="T3084" t="s">
        <v>12802</v>
      </c>
      <c r="U3084" t="s">
        <v>12802</v>
      </c>
      <c r="V3084" t="s">
        <v>12802</v>
      </c>
      <c r="W3084" t="s">
        <v>15836</v>
      </c>
      <c r="X3084">
        <v>72</v>
      </c>
      <c r="Y3084" t="s">
        <v>22089</v>
      </c>
      <c r="Z3084" t="s">
        <v>28402</v>
      </c>
      <c r="AA3084">
        <v>0.43951430436333888</v>
      </c>
      <c r="AB3084" t="str">
        <f>HYPERLINK("Melting_Curves/meltCurve_Q00610_2_CLTC.pdf", "Melting_Curves/meltCurve_Q00610_2_CLTC.pdf")</f>
        <v>Melting_Curves/meltCurve_Q00610_2_CLTC.pdf</v>
      </c>
    </row>
    <row r="3085" spans="1:28" x14ac:dyDescent="0.25">
      <c r="A3085" t="s">
        <v>3089</v>
      </c>
      <c r="B3085">
        <v>0.99542014353169495</v>
      </c>
      <c r="C3085">
        <v>0.91526057994435195</v>
      </c>
      <c r="D3085">
        <v>0.82633175306460405</v>
      </c>
      <c r="E3085">
        <v>0.38211411524927302</v>
      </c>
      <c r="F3085">
        <v>0.218150361475167</v>
      </c>
      <c r="G3085">
        <v>0.13891778328992199</v>
      </c>
      <c r="H3085">
        <v>9.2436985001228503E-2</v>
      </c>
      <c r="I3085">
        <v>7.0580222015466501E-2</v>
      </c>
      <c r="J3085">
        <v>6.9347788730941107E-2</v>
      </c>
      <c r="K3085">
        <v>5.2804014615592802E-2</v>
      </c>
      <c r="L3085">
        <v>937.09834577871197</v>
      </c>
      <c r="M3085">
        <v>20.605840804111601</v>
      </c>
      <c r="N3085">
        <v>45.8346774429505</v>
      </c>
      <c r="O3085">
        <v>45.055512521108803</v>
      </c>
      <c r="P3085">
        <v>-0.10585425170688199</v>
      </c>
      <c r="Q3085">
        <v>7.4208467984989201E-2</v>
      </c>
      <c r="R3085">
        <v>0.99465758300954299</v>
      </c>
      <c r="S3085" t="s">
        <v>9487</v>
      </c>
      <c r="T3085" t="s">
        <v>12802</v>
      </c>
      <c r="U3085" t="s">
        <v>12802</v>
      </c>
      <c r="V3085" t="s">
        <v>12802</v>
      </c>
      <c r="W3085" t="s">
        <v>15837</v>
      </c>
      <c r="X3085">
        <v>11</v>
      </c>
      <c r="Y3085" t="s">
        <v>22090</v>
      </c>
      <c r="Z3085" t="s">
        <v>28403</v>
      </c>
      <c r="AA3085">
        <v>0.34721143166715562</v>
      </c>
      <c r="AB3085" t="str">
        <f>HYPERLINK("Melting_Curves/meltCurve_Q00653_4_NFKB2.pdf", "Melting_Curves/meltCurve_Q00653_4_NFKB2.pdf")</f>
        <v>Melting_Curves/meltCurve_Q00653_4_NFKB2.pdf</v>
      </c>
    </row>
    <row r="3086" spans="1:28" x14ac:dyDescent="0.25">
      <c r="A3086" t="s">
        <v>3090</v>
      </c>
      <c r="B3086">
        <v>0.99542014353169495</v>
      </c>
      <c r="C3086">
        <v>1.05088321095023</v>
      </c>
      <c r="D3086">
        <v>1.0114408144629199</v>
      </c>
      <c r="E3086">
        <v>1.00863848828265</v>
      </c>
      <c r="F3086">
        <v>0.74639636448723001</v>
      </c>
      <c r="G3086">
        <v>0.58082030064350798</v>
      </c>
      <c r="H3086">
        <v>0.26155631206983798</v>
      </c>
      <c r="I3086">
        <v>0.19423280963415801</v>
      </c>
      <c r="J3086">
        <v>0.30177588917934201</v>
      </c>
      <c r="K3086">
        <v>0.37134374997538699</v>
      </c>
      <c r="L3086">
        <v>1341.55845988901</v>
      </c>
      <c r="M3086">
        <v>25.719174655451798</v>
      </c>
      <c r="N3086">
        <v>53.807700346595801</v>
      </c>
      <c r="O3086">
        <v>51.849516390787798</v>
      </c>
      <c r="P3086">
        <v>-9.0238494059187102E-2</v>
      </c>
      <c r="Q3086">
        <v>0.27233029387586699</v>
      </c>
      <c r="R3086">
        <v>0.96501462522665304</v>
      </c>
      <c r="S3086" t="s">
        <v>9488</v>
      </c>
      <c r="T3086" t="s">
        <v>12802</v>
      </c>
      <c r="U3086" t="s">
        <v>12802</v>
      </c>
      <c r="V3086" t="s">
        <v>12802</v>
      </c>
      <c r="W3086" t="s">
        <v>15838</v>
      </c>
      <c r="X3086">
        <v>18</v>
      </c>
      <c r="Y3086" t="s">
        <v>22091</v>
      </c>
      <c r="Z3086" t="s">
        <v>28404</v>
      </c>
      <c r="AA3086">
        <v>0.64621659042837543</v>
      </c>
      <c r="AB3086" t="str">
        <f>HYPERLINK("Melting_Curves/meltCurve_Q00688_FKBP3.pdf", "Melting_Curves/meltCurve_Q00688_FKBP3.pdf")</f>
        <v>Melting_Curves/meltCurve_Q00688_FKBP3.pdf</v>
      </c>
    </row>
    <row r="3087" spans="1:28" x14ac:dyDescent="0.25">
      <c r="A3087" t="s">
        <v>3091</v>
      </c>
      <c r="B3087">
        <v>0.99542014353169495</v>
      </c>
      <c r="C3087">
        <v>1.0859158969382099</v>
      </c>
      <c r="D3087">
        <v>0.75358563843107795</v>
      </c>
      <c r="E3087">
        <v>0.63604397478008201</v>
      </c>
      <c r="F3087">
        <v>0.55972159337430605</v>
      </c>
      <c r="G3087">
        <v>0.50127581715399006</v>
      </c>
      <c r="H3087">
        <v>0.38593993007861799</v>
      </c>
      <c r="I3087">
        <v>0.35516163998924599</v>
      </c>
      <c r="J3087">
        <v>0.62537286739087405</v>
      </c>
      <c r="K3087">
        <v>0.90547116038707698</v>
      </c>
      <c r="L3087">
        <v>10738.041089337499</v>
      </c>
      <c r="M3087">
        <v>250</v>
      </c>
      <c r="O3087">
        <v>42.9494164167441</v>
      </c>
      <c r="P3087">
        <v>-0.63010441064215805</v>
      </c>
      <c r="Q3087">
        <v>0.56699814019496997</v>
      </c>
      <c r="R3087">
        <v>0.62369419500430301</v>
      </c>
      <c r="S3087" t="s">
        <v>9489</v>
      </c>
      <c r="T3087" t="s">
        <v>12802</v>
      </c>
      <c r="U3087" t="s">
        <v>12802</v>
      </c>
      <c r="V3087" t="s">
        <v>12802</v>
      </c>
      <c r="W3087" t="s">
        <v>15839</v>
      </c>
      <c r="X3087">
        <v>9</v>
      </c>
      <c r="Y3087" t="s">
        <v>22092</v>
      </c>
      <c r="Z3087" t="s">
        <v>28405</v>
      </c>
      <c r="AA3087">
        <v>0.65294072125961244</v>
      </c>
      <c r="AB3087" t="str">
        <f>HYPERLINK("Melting_Curves/meltCurve_Q00765_REEP5.pdf", "Melting_Curves/meltCurve_Q00765_REEP5.pdf")</f>
        <v>Melting_Curves/meltCurve_Q00765_REEP5.pdf</v>
      </c>
    </row>
    <row r="3088" spans="1:28" x14ac:dyDescent="0.25">
      <c r="A3088" t="s">
        <v>3092</v>
      </c>
      <c r="B3088">
        <v>0.99542014353169495</v>
      </c>
      <c r="C3088">
        <v>0.97481974497820101</v>
      </c>
      <c r="D3088">
        <v>1.04396518878619</v>
      </c>
      <c r="E3088">
        <v>0.97515122746900895</v>
      </c>
      <c r="F3088">
        <v>0.85872656781198897</v>
      </c>
      <c r="G3088">
        <v>0.72012405047489902</v>
      </c>
      <c r="H3088">
        <v>0.53685251757545205</v>
      </c>
      <c r="I3088">
        <v>0.43703793692375897</v>
      </c>
      <c r="J3088">
        <v>0.41378312020640001</v>
      </c>
      <c r="K3088">
        <v>0.17270198665734299</v>
      </c>
      <c r="L3088">
        <v>609.60630771618105</v>
      </c>
      <c r="M3088">
        <v>10.3328333626109</v>
      </c>
      <c r="N3088">
        <v>59.219818468708297</v>
      </c>
      <c r="O3088">
        <v>56.915508820115001</v>
      </c>
      <c r="P3088">
        <v>-4.4540536246572802E-2</v>
      </c>
      <c r="Q3088">
        <v>1.9064837474307698E-2</v>
      </c>
      <c r="R3088">
        <v>0.974306179708606</v>
      </c>
      <c r="S3088" t="s">
        <v>9490</v>
      </c>
      <c r="T3088" t="s">
        <v>12802</v>
      </c>
      <c r="U3088" t="s">
        <v>12802</v>
      </c>
      <c r="V3088" t="s">
        <v>12802</v>
      </c>
      <c r="W3088" t="s">
        <v>15840</v>
      </c>
      <c r="X3088">
        <v>16</v>
      </c>
      <c r="Y3088" t="s">
        <v>22093</v>
      </c>
      <c r="Z3088" t="s">
        <v>28406</v>
      </c>
      <c r="AA3088">
        <v>0.72320020577400568</v>
      </c>
      <c r="AB3088" t="str">
        <f>HYPERLINK("Melting_Curves/meltCurve_Q00796_SORD.pdf", "Melting_Curves/meltCurve_Q00796_SORD.pdf")</f>
        <v>Melting_Curves/meltCurve_Q00796_SORD.pdf</v>
      </c>
    </row>
    <row r="3089" spans="1:28" x14ac:dyDescent="0.25">
      <c r="A3089" t="s">
        <v>3093</v>
      </c>
      <c r="B3089">
        <v>0.99542014353169495</v>
      </c>
      <c r="C3089">
        <v>0.88982164229087002</v>
      </c>
      <c r="D3089">
        <v>0.966308512278787</v>
      </c>
      <c r="E3089">
        <v>0.52135764994842904</v>
      </c>
      <c r="F3089">
        <v>0.22055770629325899</v>
      </c>
      <c r="G3089">
        <v>0.13148753020755299</v>
      </c>
      <c r="H3089">
        <v>9.0290202664313604E-2</v>
      </c>
      <c r="I3089">
        <v>7.1102228161542103E-2</v>
      </c>
      <c r="J3089">
        <v>8.0287026876283696E-2</v>
      </c>
      <c r="K3089">
        <v>9.9083904031624204E-2</v>
      </c>
      <c r="L3089">
        <v>1269.68230110794</v>
      </c>
      <c r="M3089">
        <v>27.250982705494899</v>
      </c>
      <c r="N3089">
        <v>46.933598403869397</v>
      </c>
      <c r="O3089">
        <v>46.343433427743101</v>
      </c>
      <c r="P3089">
        <v>-0.13378953052081699</v>
      </c>
      <c r="Q3089">
        <v>8.9910694481424899E-2</v>
      </c>
      <c r="R3089">
        <v>0.98980184430861895</v>
      </c>
      <c r="S3089" t="s">
        <v>9491</v>
      </c>
      <c r="T3089" t="s">
        <v>12802</v>
      </c>
      <c r="U3089" t="s">
        <v>12802</v>
      </c>
      <c r="V3089" t="s">
        <v>12802</v>
      </c>
      <c r="W3089" t="s">
        <v>15841</v>
      </c>
      <c r="X3089">
        <v>20</v>
      </c>
      <c r="Y3089" t="s">
        <v>22094</v>
      </c>
      <c r="Z3089" t="s">
        <v>28407</v>
      </c>
      <c r="AA3089">
        <v>0.38728152485246231</v>
      </c>
      <c r="AB3089" t="str">
        <f>HYPERLINK("Melting_Curves/meltCurve_Q00839_2_HNRNPU.pdf", "Melting_Curves/meltCurve_Q00839_2_HNRNPU.pdf")</f>
        <v>Melting_Curves/meltCurve_Q00839_2_HNRNPU.pdf</v>
      </c>
    </row>
    <row r="3090" spans="1:28" x14ac:dyDescent="0.25">
      <c r="A3090" t="s">
        <v>3094</v>
      </c>
      <c r="B3090">
        <v>0.99542014353169495</v>
      </c>
      <c r="C3090">
        <v>0.87037781533234104</v>
      </c>
      <c r="D3090">
        <v>0.88471240827890696</v>
      </c>
      <c r="E3090">
        <v>0.70364985975842798</v>
      </c>
      <c r="F3090">
        <v>0.599181441039769</v>
      </c>
      <c r="G3090">
        <v>0.32632590946364398</v>
      </c>
      <c r="H3090">
        <v>0.24192949957728099</v>
      </c>
      <c r="I3090">
        <v>0.19221258037856601</v>
      </c>
      <c r="J3090">
        <v>0.18287731560964701</v>
      </c>
      <c r="K3090">
        <v>0.17587835991985801</v>
      </c>
      <c r="L3090">
        <v>561.27090411803499</v>
      </c>
      <c r="M3090">
        <v>11.284317174976399</v>
      </c>
      <c r="N3090">
        <v>50.803825655838303</v>
      </c>
      <c r="O3090">
        <v>48.253730553503097</v>
      </c>
      <c r="P3090">
        <v>-5.23226061546605E-2</v>
      </c>
      <c r="Q3090">
        <v>0.105310681737661</v>
      </c>
      <c r="R3090">
        <v>0.98453643404209901</v>
      </c>
      <c r="S3090" t="s">
        <v>9492</v>
      </c>
      <c r="T3090" t="s">
        <v>12802</v>
      </c>
      <c r="U3090" t="s">
        <v>12802</v>
      </c>
      <c r="V3090" t="s">
        <v>12802</v>
      </c>
      <c r="W3090" t="s">
        <v>15842</v>
      </c>
      <c r="X3090">
        <v>3</v>
      </c>
      <c r="Y3090" t="s">
        <v>22095</v>
      </c>
      <c r="Z3090" t="s">
        <v>28408</v>
      </c>
      <c r="AA3090">
        <v>0.51259685740213246</v>
      </c>
      <c r="AB3090" t="str">
        <f>HYPERLINK("Melting_Curves/meltCurve_Q00973_B4GALNT1.pdf", "Melting_Curves/meltCurve_Q00973_B4GALNT1.pdf")</f>
        <v>Melting_Curves/meltCurve_Q00973_B4GALNT1.pdf</v>
      </c>
    </row>
    <row r="3091" spans="1:28" x14ac:dyDescent="0.25">
      <c r="A3091" t="s">
        <v>3095</v>
      </c>
      <c r="B3091">
        <v>0.99542014353169495</v>
      </c>
      <c r="C3091">
        <v>0.97463947258593997</v>
      </c>
      <c r="D3091">
        <v>0.97357903008586899</v>
      </c>
      <c r="E3091">
        <v>0.71703303176297795</v>
      </c>
      <c r="F3091">
        <v>0.29350289144137098</v>
      </c>
      <c r="G3091">
        <v>0.15193222853883201</v>
      </c>
      <c r="H3091">
        <v>0.104070574005191</v>
      </c>
      <c r="I3091">
        <v>7.2211421787345603E-2</v>
      </c>
      <c r="J3091">
        <v>7.6276252318786306E-2</v>
      </c>
      <c r="K3091">
        <v>7.0185954211174198E-2</v>
      </c>
      <c r="L3091">
        <v>1262.6546489591101</v>
      </c>
      <c r="M3091">
        <v>26.286405315322401</v>
      </c>
      <c r="N3091">
        <v>48.352535365075497</v>
      </c>
      <c r="O3091">
        <v>47.759097386580002</v>
      </c>
      <c r="P3091">
        <v>-0.126677124225862</v>
      </c>
      <c r="Q3091">
        <v>7.9384438202167798E-2</v>
      </c>
      <c r="R3091">
        <v>0.99901005599026704</v>
      </c>
      <c r="S3091" t="s">
        <v>9493</v>
      </c>
      <c r="T3091" t="s">
        <v>12802</v>
      </c>
      <c r="U3091" t="s">
        <v>12802</v>
      </c>
      <c r="V3091" t="s">
        <v>12802</v>
      </c>
      <c r="W3091" t="s">
        <v>15843</v>
      </c>
      <c r="X3091">
        <v>10</v>
      </c>
      <c r="Y3091" t="s">
        <v>22096</v>
      </c>
      <c r="Z3091" t="s">
        <v>28409</v>
      </c>
      <c r="AA3091">
        <v>0.42510824995342428</v>
      </c>
      <c r="AB3091" t="str">
        <f>HYPERLINK("Melting_Curves/meltCurve_Q01081_U2AF1.pdf", "Melting_Curves/meltCurve_Q01081_U2AF1.pdf")</f>
        <v>Melting_Curves/meltCurve_Q01081_U2AF1.pdf</v>
      </c>
    </row>
    <row r="3092" spans="1:28" x14ac:dyDescent="0.25">
      <c r="A3092" t="s">
        <v>3096</v>
      </c>
      <c r="B3092">
        <v>0.99542014353169495</v>
      </c>
      <c r="C3092">
        <v>1.00041138053157</v>
      </c>
      <c r="D3092">
        <v>1.1599764271398501</v>
      </c>
      <c r="E3092">
        <v>0.54330365918402002</v>
      </c>
      <c r="F3092">
        <v>0.24859010070715601</v>
      </c>
      <c r="G3092">
        <v>0.12423545780200999</v>
      </c>
      <c r="H3092">
        <v>7.7293683489348106E-2</v>
      </c>
      <c r="I3092">
        <v>5.5316895670747997E-2</v>
      </c>
      <c r="J3092">
        <v>5.5259932012128199E-2</v>
      </c>
      <c r="K3092">
        <v>5.5157223283044197E-2</v>
      </c>
      <c r="L3092">
        <v>1753.6246666250499</v>
      </c>
      <c r="M3092">
        <v>37.398778355442403</v>
      </c>
      <c r="N3092">
        <v>47.125355253077203</v>
      </c>
      <c r="O3092">
        <v>46.7564312139287</v>
      </c>
      <c r="P3092">
        <v>-0.182925001225268</v>
      </c>
      <c r="Q3092">
        <v>8.5221817278383197E-2</v>
      </c>
      <c r="R3092">
        <v>0.97258921117757202</v>
      </c>
      <c r="S3092" t="s">
        <v>9494</v>
      </c>
      <c r="T3092" t="s">
        <v>12802</v>
      </c>
      <c r="U3092" t="s">
        <v>12802</v>
      </c>
      <c r="V3092" t="s">
        <v>12802</v>
      </c>
      <c r="W3092" t="s">
        <v>15844</v>
      </c>
      <c r="X3092">
        <v>86</v>
      </c>
      <c r="Y3092" t="s">
        <v>22097</v>
      </c>
      <c r="Z3092" t="s">
        <v>28410</v>
      </c>
      <c r="AA3092">
        <v>0.39018737880841342</v>
      </c>
      <c r="AB3092" t="str">
        <f>HYPERLINK("Melting_Curves/meltCurve_Q01082_SPTBN1.pdf", "Melting_Curves/meltCurve_Q01082_SPTBN1.pdf")</f>
        <v>Melting_Curves/meltCurve_Q01082_SPTBN1.pdf</v>
      </c>
    </row>
    <row r="3093" spans="1:28" x14ac:dyDescent="0.25">
      <c r="A3093" t="s">
        <v>3097</v>
      </c>
      <c r="B3093">
        <v>0.99542014353169495</v>
      </c>
      <c r="C3093">
        <v>0.882744244727519</v>
      </c>
      <c r="D3093">
        <v>1.0657227244188801</v>
      </c>
      <c r="E3093">
        <v>0.41731654451448502</v>
      </c>
      <c r="F3093">
        <v>0.18836370226121699</v>
      </c>
      <c r="G3093">
        <v>6.4691758952131806E-2</v>
      </c>
      <c r="H3093">
        <v>3.6803267516496298E-2</v>
      </c>
      <c r="I3093">
        <v>2.7154167781354099E-2</v>
      </c>
      <c r="J3093">
        <v>1.1527806690299101E-2</v>
      </c>
      <c r="K3093">
        <v>3.9594134921316498E-2</v>
      </c>
      <c r="L3093">
        <v>2409.52135695675</v>
      </c>
      <c r="M3093">
        <v>52.124358681079102</v>
      </c>
      <c r="N3093">
        <v>46.334556115031098</v>
      </c>
      <c r="O3093">
        <v>46.158508331291699</v>
      </c>
      <c r="P3093">
        <v>-0.26614088080736897</v>
      </c>
      <c r="Q3093">
        <v>5.7280893124681098E-2</v>
      </c>
      <c r="R3093">
        <v>0.977912563146901</v>
      </c>
      <c r="S3093" t="s">
        <v>9495</v>
      </c>
      <c r="T3093" t="s">
        <v>12802</v>
      </c>
      <c r="U3093" t="s">
        <v>12802</v>
      </c>
      <c r="V3093" t="s">
        <v>12802</v>
      </c>
      <c r="W3093" t="s">
        <v>15845</v>
      </c>
      <c r="X3093">
        <v>83</v>
      </c>
      <c r="Y3093" t="s">
        <v>22097</v>
      </c>
      <c r="Z3093" t="s">
        <v>28411</v>
      </c>
      <c r="AA3093">
        <v>0.34897896542696588</v>
      </c>
      <c r="AB3093" t="str">
        <f>HYPERLINK("Melting_Curves/meltCurve_Q01082_3_SPTBN1.pdf", "Melting_Curves/meltCurve_Q01082_3_SPTBN1.pdf")</f>
        <v>Melting_Curves/meltCurve_Q01082_3_SPTBN1.pdf</v>
      </c>
    </row>
    <row r="3094" spans="1:28" x14ac:dyDescent="0.25">
      <c r="A3094" t="s">
        <v>3098</v>
      </c>
      <c r="B3094">
        <v>0.99542014353169495</v>
      </c>
      <c r="C3094">
        <v>0.95506823888929104</v>
      </c>
      <c r="D3094">
        <v>0.94672638870951098</v>
      </c>
      <c r="E3094">
        <v>0.85352987976238104</v>
      </c>
      <c r="F3094">
        <v>0.45450524085775601</v>
      </c>
      <c r="G3094">
        <v>0.205878441585917</v>
      </c>
      <c r="H3094">
        <v>8.4360272738019895E-2</v>
      </c>
      <c r="I3094">
        <v>4.7563506472796897E-2</v>
      </c>
      <c r="J3094">
        <v>4.9005902698440497E-2</v>
      </c>
      <c r="K3094">
        <v>5.3889690963576001E-2</v>
      </c>
      <c r="L3094">
        <v>1132.94857548295</v>
      </c>
      <c r="M3094">
        <v>22.778504961271501</v>
      </c>
      <c r="N3094">
        <v>49.940228756382503</v>
      </c>
      <c r="O3094">
        <v>49.359036627614898</v>
      </c>
      <c r="P3094">
        <v>-0.110281595490358</v>
      </c>
      <c r="Q3094">
        <v>4.4136162798914302E-2</v>
      </c>
      <c r="R3094">
        <v>0.99769396060402404</v>
      </c>
      <c r="S3094" t="s">
        <v>9496</v>
      </c>
      <c r="T3094" t="s">
        <v>12802</v>
      </c>
      <c r="U3094" t="s">
        <v>12802</v>
      </c>
      <c r="V3094" t="s">
        <v>12802</v>
      </c>
      <c r="W3094" t="s">
        <v>15846</v>
      </c>
      <c r="X3094">
        <v>9</v>
      </c>
      <c r="Y3094" t="s">
        <v>22098</v>
      </c>
      <c r="Z3094" t="s">
        <v>28412</v>
      </c>
      <c r="AA3094">
        <v>0.45992347761984781</v>
      </c>
      <c r="AB3094" t="str">
        <f>HYPERLINK("Melting_Curves/meltCurve_Q01085_2_TIAL1.pdf", "Melting_Curves/meltCurve_Q01085_2_TIAL1.pdf")</f>
        <v>Melting_Curves/meltCurve_Q01085_2_TIAL1.pdf</v>
      </c>
    </row>
    <row r="3095" spans="1:28" x14ac:dyDescent="0.25">
      <c r="A3095" t="s">
        <v>3099</v>
      </c>
      <c r="B3095">
        <v>0.99542014353169495</v>
      </c>
      <c r="C3095">
        <v>0.96898750479754703</v>
      </c>
      <c r="D3095">
        <v>0.88983508729715799</v>
      </c>
      <c r="E3095">
        <v>0.91870060143204801</v>
      </c>
      <c r="F3095">
        <v>0.73119161802834198</v>
      </c>
      <c r="G3095">
        <v>0.77923792506829903</v>
      </c>
      <c r="H3095">
        <v>0.60256220166557595</v>
      </c>
      <c r="I3095">
        <v>0.49032991944550702</v>
      </c>
      <c r="J3095">
        <v>0.32597173713486099</v>
      </c>
      <c r="K3095">
        <v>0.20742371415112101</v>
      </c>
      <c r="L3095">
        <v>504.21679060996303</v>
      </c>
      <c r="M3095">
        <v>8.4943478204122407</v>
      </c>
      <c r="N3095">
        <v>59.359084551601001</v>
      </c>
      <c r="O3095">
        <v>56.343377786656099</v>
      </c>
      <c r="P3095">
        <v>-3.7724135499399E-2</v>
      </c>
      <c r="Q3095">
        <v>0</v>
      </c>
      <c r="R3095">
        <v>0.95942899594078801</v>
      </c>
      <c r="S3095" t="s">
        <v>9497</v>
      </c>
      <c r="T3095" t="s">
        <v>12802</v>
      </c>
      <c r="U3095" t="s">
        <v>12802</v>
      </c>
      <c r="V3095" t="s">
        <v>12802</v>
      </c>
      <c r="W3095" t="s">
        <v>15847</v>
      </c>
      <c r="X3095">
        <v>16</v>
      </c>
      <c r="Y3095" t="s">
        <v>22099</v>
      </c>
      <c r="Z3095" t="s">
        <v>28413</v>
      </c>
      <c r="AA3095">
        <v>0.71395574616308477</v>
      </c>
      <c r="AB3095" t="str">
        <f>HYPERLINK("Melting_Curves/meltCurve_Q01105_2_SET.pdf", "Melting_Curves/meltCurve_Q01105_2_SET.pdf")</f>
        <v>Melting_Curves/meltCurve_Q01105_2_SET.pdf</v>
      </c>
    </row>
    <row r="3096" spans="1:28" x14ac:dyDescent="0.25">
      <c r="A3096" t="s">
        <v>3100</v>
      </c>
      <c r="B3096">
        <v>0.99542014353169495</v>
      </c>
      <c r="C3096">
        <v>0.920572917161111</v>
      </c>
      <c r="D3096">
        <v>0.66179100210128305</v>
      </c>
      <c r="E3096">
        <v>0.33204893274265002</v>
      </c>
      <c r="F3096">
        <v>0.14188382289716001</v>
      </c>
      <c r="G3096">
        <v>0.10015594937248</v>
      </c>
      <c r="H3096">
        <v>7.7111020642981004E-2</v>
      </c>
      <c r="I3096">
        <v>5.3811566327635403E-2</v>
      </c>
      <c r="J3096">
        <v>6.9609799031164404E-2</v>
      </c>
      <c r="K3096">
        <v>7.4984939914312196E-2</v>
      </c>
      <c r="L3096">
        <v>889.90334123502601</v>
      </c>
      <c r="M3096">
        <v>20.0709735273653</v>
      </c>
      <c r="N3096">
        <v>44.653912054486199</v>
      </c>
      <c r="O3096">
        <v>43.904727868773897</v>
      </c>
      <c r="P3096">
        <v>-0.106722683952822</v>
      </c>
      <c r="Q3096">
        <v>6.62176908842875E-2</v>
      </c>
      <c r="R3096">
        <v>0.99924294651323098</v>
      </c>
      <c r="S3096" t="s">
        <v>9498</v>
      </c>
      <c r="T3096" t="s">
        <v>12802</v>
      </c>
      <c r="U3096" t="s">
        <v>12802</v>
      </c>
      <c r="V3096" t="s">
        <v>12802</v>
      </c>
      <c r="W3096" t="s">
        <v>15848</v>
      </c>
      <c r="X3096">
        <v>5</v>
      </c>
      <c r="Y3096" t="s">
        <v>22100</v>
      </c>
      <c r="Z3096" t="s">
        <v>28414</v>
      </c>
      <c r="AA3096">
        <v>0.30691554353936767</v>
      </c>
      <c r="AB3096" t="str">
        <f>HYPERLINK("Melting_Curves/meltCurve_Q01167_2_FOXK2.pdf", "Melting_Curves/meltCurve_Q01167_2_FOXK2.pdf")</f>
        <v>Melting_Curves/meltCurve_Q01167_2_FOXK2.pdf</v>
      </c>
    </row>
    <row r="3097" spans="1:28" x14ac:dyDescent="0.25">
      <c r="A3097" t="s">
        <v>3101</v>
      </c>
      <c r="B3097">
        <v>0.99542014353169495</v>
      </c>
      <c r="C3097">
        <v>0.86799144348476298</v>
      </c>
      <c r="D3097">
        <v>0.70237020454064303</v>
      </c>
      <c r="E3097">
        <v>0.4445136773833</v>
      </c>
      <c r="F3097">
        <v>0.253990772811168</v>
      </c>
      <c r="G3097">
        <v>0.13187636535480099</v>
      </c>
      <c r="H3097">
        <v>7.9711068890204101E-2</v>
      </c>
      <c r="I3097">
        <v>5.9088487967227703E-2</v>
      </c>
      <c r="J3097">
        <v>3.6389109080927198E-2</v>
      </c>
      <c r="K3097">
        <v>4.5911180393652301E-2</v>
      </c>
      <c r="L3097">
        <v>623.78283838459697</v>
      </c>
      <c r="M3097">
        <v>13.667309388255299</v>
      </c>
      <c r="N3097">
        <v>45.823864213534399</v>
      </c>
      <c r="O3097">
        <v>44.696688032731402</v>
      </c>
      <c r="P3097">
        <v>-7.4421377078949594E-2</v>
      </c>
      <c r="Q3097">
        <v>2.6610368795225801E-2</v>
      </c>
      <c r="R3097">
        <v>0.998728114143969</v>
      </c>
      <c r="S3097" t="s">
        <v>9499</v>
      </c>
      <c r="T3097" t="s">
        <v>12802</v>
      </c>
      <c r="U3097" t="s">
        <v>12802</v>
      </c>
      <c r="V3097" t="s">
        <v>12802</v>
      </c>
      <c r="W3097" t="s">
        <v>15849</v>
      </c>
      <c r="X3097">
        <v>6</v>
      </c>
      <c r="Y3097" t="s">
        <v>22101</v>
      </c>
      <c r="Z3097" t="s">
        <v>28415</v>
      </c>
      <c r="AA3097">
        <v>0.33401516368055201</v>
      </c>
      <c r="AB3097" t="str">
        <f>HYPERLINK("Melting_Curves/meltCurve_Q01196_RUNX1.pdf", "Melting_Curves/meltCurve_Q01196_RUNX1.pdf")</f>
        <v>Melting_Curves/meltCurve_Q01196_RUNX1.pdf</v>
      </c>
    </row>
    <row r="3098" spans="1:28" x14ac:dyDescent="0.25">
      <c r="A3098" t="s">
        <v>3102</v>
      </c>
      <c r="B3098">
        <v>0.99542014353169495</v>
      </c>
      <c r="C3098">
        <v>1.02366891807033</v>
      </c>
      <c r="D3098">
        <v>0.89532824848623005</v>
      </c>
      <c r="E3098">
        <v>0.964749177060376</v>
      </c>
      <c r="F3098">
        <v>0.73985714359750698</v>
      </c>
      <c r="G3098">
        <v>0.71450289561412605</v>
      </c>
      <c r="H3098">
        <v>0.40192868856285202</v>
      </c>
      <c r="I3098">
        <v>0.12283576436966399</v>
      </c>
      <c r="J3098">
        <v>3.1462554708750999E-2</v>
      </c>
      <c r="K3098">
        <v>2.4769732022889498E-2</v>
      </c>
      <c r="L3098">
        <v>966.31634580940101</v>
      </c>
      <c r="M3098">
        <v>17.407650020591898</v>
      </c>
      <c r="N3098">
        <v>55.511017974064103</v>
      </c>
      <c r="O3098">
        <v>54.793985361433798</v>
      </c>
      <c r="P3098">
        <v>-7.9427651643372996E-2</v>
      </c>
      <c r="Q3098">
        <v>0</v>
      </c>
      <c r="R3098">
        <v>0.97360403617892299</v>
      </c>
      <c r="S3098" t="s">
        <v>9500</v>
      </c>
      <c r="T3098" t="s">
        <v>12802</v>
      </c>
      <c r="U3098" t="s">
        <v>12802</v>
      </c>
      <c r="V3098" t="s">
        <v>12802</v>
      </c>
      <c r="W3098" t="s">
        <v>15850</v>
      </c>
      <c r="X3098">
        <v>8</v>
      </c>
      <c r="Y3098" t="s">
        <v>22102</v>
      </c>
      <c r="Z3098" t="s">
        <v>28416</v>
      </c>
      <c r="AA3098">
        <v>0.62913257103097575</v>
      </c>
      <c r="AB3098" t="str">
        <f>HYPERLINK("Melting_Curves/meltCurve_Q01415_GALK2.pdf", "Melting_Curves/meltCurve_Q01415_GALK2.pdf")</f>
        <v>Melting_Curves/meltCurve_Q01415_GALK2.pdf</v>
      </c>
    </row>
    <row r="3099" spans="1:28" x14ac:dyDescent="0.25">
      <c r="A3099" t="s">
        <v>3103</v>
      </c>
      <c r="B3099">
        <v>0.99542014353169495</v>
      </c>
      <c r="C3099">
        <v>0.90078527893109905</v>
      </c>
      <c r="D3099">
        <v>0.92083451555629903</v>
      </c>
      <c r="E3099">
        <v>0.72069260823873404</v>
      </c>
      <c r="F3099">
        <v>0.58587247102616802</v>
      </c>
      <c r="G3099">
        <v>0.26522202037419401</v>
      </c>
      <c r="H3099">
        <v>0.11515204213864701</v>
      </c>
      <c r="I3099">
        <v>7.1531106023804997E-2</v>
      </c>
      <c r="J3099">
        <v>7.5321946954701194E-2</v>
      </c>
      <c r="K3099">
        <v>7.0942495223418195E-2</v>
      </c>
      <c r="L3099">
        <v>708.50915393304103</v>
      </c>
      <c r="M3099">
        <v>14.0940046168054</v>
      </c>
      <c r="N3099">
        <v>50.361071003458001</v>
      </c>
      <c r="O3099">
        <v>49.290679433931601</v>
      </c>
      <c r="P3099">
        <v>-7.0596315201561302E-2</v>
      </c>
      <c r="Q3099">
        <v>1.25469867648957E-2</v>
      </c>
      <c r="R3099">
        <v>0.98804432975219703</v>
      </c>
      <c r="S3099" t="s">
        <v>9501</v>
      </c>
      <c r="T3099" t="s">
        <v>12802</v>
      </c>
      <c r="U3099" t="s">
        <v>12802</v>
      </c>
      <c r="V3099" t="s">
        <v>12802</v>
      </c>
      <c r="W3099" t="s">
        <v>15851</v>
      </c>
      <c r="X3099">
        <v>11</v>
      </c>
      <c r="Y3099" t="s">
        <v>22103</v>
      </c>
      <c r="Z3099" t="s">
        <v>28417</v>
      </c>
      <c r="AA3099">
        <v>0.47161663295757422</v>
      </c>
      <c r="AB3099" t="str">
        <f>HYPERLINK("Melting_Curves/meltCurve_Q01432_AMPD3.pdf", "Melting_Curves/meltCurve_Q01432_AMPD3.pdf")</f>
        <v>Melting_Curves/meltCurve_Q01432_AMPD3.pdf</v>
      </c>
    </row>
    <row r="3100" spans="1:28" x14ac:dyDescent="0.25">
      <c r="A3100" t="s">
        <v>3104</v>
      </c>
      <c r="B3100">
        <v>0.99542014353169495</v>
      </c>
      <c r="C3100">
        <v>1.04158616808778</v>
      </c>
      <c r="D3100">
        <v>1.0523816704192701</v>
      </c>
      <c r="E3100">
        <v>1.11831869372583</v>
      </c>
      <c r="F3100">
        <v>0.95562697495249704</v>
      </c>
      <c r="G3100">
        <v>0.69834549099320598</v>
      </c>
      <c r="H3100">
        <v>0.235909761902825</v>
      </c>
      <c r="I3100">
        <v>9.5815705010999799E-2</v>
      </c>
      <c r="J3100">
        <v>8.1958616879446E-2</v>
      </c>
      <c r="K3100">
        <v>8.4284211513091595E-2</v>
      </c>
      <c r="L3100">
        <v>1980.51124012491</v>
      </c>
      <c r="M3100">
        <v>36.093674014024202</v>
      </c>
      <c r="N3100">
        <v>55.129735358007302</v>
      </c>
      <c r="O3100">
        <v>54.703809089027899</v>
      </c>
      <c r="P3100">
        <v>-0.15211854192902799</v>
      </c>
      <c r="Q3100">
        <v>7.7795566674349906E-2</v>
      </c>
      <c r="R3100">
        <v>0.98977772877349102</v>
      </c>
      <c r="S3100" t="s">
        <v>9502</v>
      </c>
      <c r="T3100" t="s">
        <v>12802</v>
      </c>
      <c r="U3100" t="s">
        <v>12802</v>
      </c>
      <c r="V3100" t="s">
        <v>12802</v>
      </c>
      <c r="W3100" t="s">
        <v>15852</v>
      </c>
      <c r="X3100">
        <v>18</v>
      </c>
      <c r="Y3100" t="s">
        <v>22104</v>
      </c>
      <c r="Z3100" t="s">
        <v>28418</v>
      </c>
      <c r="AA3100">
        <v>0.63136279189674416</v>
      </c>
      <c r="AB3100" t="str">
        <f>HYPERLINK("Melting_Curves/meltCurve_Q01469_FABP5.pdf", "Melting_Curves/meltCurve_Q01469_FABP5.pdf")</f>
        <v>Melting_Curves/meltCurve_Q01469_FABP5.pdf</v>
      </c>
    </row>
    <row r="3101" spans="1:28" x14ac:dyDescent="0.25">
      <c r="A3101" t="s">
        <v>3105</v>
      </c>
      <c r="B3101">
        <v>0.99542014353169495</v>
      </c>
      <c r="C3101">
        <v>0.81636925439303298</v>
      </c>
      <c r="D3101">
        <v>0.96985057356939097</v>
      </c>
      <c r="E3101">
        <v>0.74096910273891503</v>
      </c>
      <c r="F3101">
        <v>0.62810142443952299</v>
      </c>
      <c r="G3101">
        <v>0.21324068649202199</v>
      </c>
      <c r="H3101">
        <v>6.3341921503916404E-2</v>
      </c>
      <c r="I3101">
        <v>3.7951214740802097E-2</v>
      </c>
      <c r="J3101">
        <v>4.52502199088659E-2</v>
      </c>
      <c r="K3101">
        <v>4.1987961792977202E-2</v>
      </c>
      <c r="L3101">
        <v>865.44104459017001</v>
      </c>
      <c r="M3101">
        <v>17.131792261676299</v>
      </c>
      <c r="N3101">
        <v>50.516668245809697</v>
      </c>
      <c r="O3101">
        <v>49.843430659410103</v>
      </c>
      <c r="P3101">
        <v>-8.5933186198767095E-2</v>
      </c>
      <c r="Q3101">
        <v>0</v>
      </c>
      <c r="R3101">
        <v>0.96646000848424096</v>
      </c>
      <c r="S3101" t="s">
        <v>9503</v>
      </c>
      <c r="T3101" t="s">
        <v>12802</v>
      </c>
      <c r="U3101" t="s">
        <v>12802</v>
      </c>
      <c r="V3101" t="s">
        <v>12802</v>
      </c>
      <c r="W3101" t="s">
        <v>15853</v>
      </c>
      <c r="X3101">
        <v>25</v>
      </c>
      <c r="Y3101" t="s">
        <v>22105</v>
      </c>
      <c r="Z3101" t="s">
        <v>28419</v>
      </c>
      <c r="AA3101">
        <v>0.46746137630653639</v>
      </c>
      <c r="AB3101" t="str">
        <f>HYPERLINK("Melting_Curves/meltCurve_Q01518_2_CAP1.pdf", "Melting_Curves/meltCurve_Q01518_2_CAP1.pdf")</f>
        <v>Melting_Curves/meltCurve_Q01518_2_CAP1.pdf</v>
      </c>
    </row>
    <row r="3102" spans="1:28" x14ac:dyDescent="0.25">
      <c r="A3102" t="s">
        <v>3106</v>
      </c>
      <c r="B3102">
        <v>0.99542014353169495</v>
      </c>
      <c r="C3102">
        <v>1.00463621154121</v>
      </c>
      <c r="D3102">
        <v>0.99287607804116296</v>
      </c>
      <c r="E3102">
        <v>0.94661104563263598</v>
      </c>
      <c r="F3102">
        <v>0.76823209741217402</v>
      </c>
      <c r="G3102">
        <v>0.53795867043588996</v>
      </c>
      <c r="H3102">
        <v>0.201795870337585</v>
      </c>
      <c r="I3102">
        <v>6.7498706332497799E-2</v>
      </c>
      <c r="J3102">
        <v>5.5060625832565699E-2</v>
      </c>
      <c r="K3102">
        <v>5.6281363449688197E-2</v>
      </c>
      <c r="L3102">
        <v>1060.53496664665</v>
      </c>
      <c r="M3102">
        <v>19.761391194965</v>
      </c>
      <c r="N3102">
        <v>53.7337730827645</v>
      </c>
      <c r="O3102">
        <v>53.1265146438774</v>
      </c>
      <c r="P3102">
        <v>-9.1867698129031103E-2</v>
      </c>
      <c r="Q3102">
        <v>1.21254153764246E-2</v>
      </c>
      <c r="R3102">
        <v>0.99693798263766198</v>
      </c>
      <c r="S3102" t="s">
        <v>9504</v>
      </c>
      <c r="T3102" t="s">
        <v>12802</v>
      </c>
      <c r="U3102" t="s">
        <v>12802</v>
      </c>
      <c r="V3102" t="s">
        <v>12802</v>
      </c>
      <c r="W3102" t="s">
        <v>15854</v>
      </c>
      <c r="X3102">
        <v>25</v>
      </c>
      <c r="Y3102" t="s">
        <v>22106</v>
      </c>
      <c r="Z3102" t="s">
        <v>28420</v>
      </c>
      <c r="AA3102">
        <v>0.57328773201070105</v>
      </c>
      <c r="AB3102" t="str">
        <f>HYPERLINK("Melting_Curves/meltCurve_Q01581_HMGCS1.pdf", "Melting_Curves/meltCurve_Q01581_HMGCS1.pdf")</f>
        <v>Melting_Curves/meltCurve_Q01581_HMGCS1.pdf</v>
      </c>
    </row>
    <row r="3103" spans="1:28" x14ac:dyDescent="0.25">
      <c r="A3103" t="s">
        <v>3107</v>
      </c>
      <c r="B3103">
        <v>0.99542014353169495</v>
      </c>
      <c r="C3103">
        <v>0.94611409444147698</v>
      </c>
      <c r="D3103">
        <v>1.0558104131667301</v>
      </c>
      <c r="E3103">
        <v>0.94742862377834902</v>
      </c>
      <c r="F3103">
        <v>0.98450534886643704</v>
      </c>
      <c r="G3103">
        <v>0.663084854178698</v>
      </c>
      <c r="H3103">
        <v>0.54605972786679102</v>
      </c>
      <c r="I3103">
        <v>0.44051028430845202</v>
      </c>
      <c r="J3103">
        <v>0.33253124470902101</v>
      </c>
      <c r="K3103">
        <v>0.34547377378091498</v>
      </c>
      <c r="L3103">
        <v>1142.1866783445801</v>
      </c>
      <c r="M3103">
        <v>20.877575841185301</v>
      </c>
      <c r="N3103">
        <v>57.7910926997193</v>
      </c>
      <c r="O3103">
        <v>54.214263444666301</v>
      </c>
      <c r="P3103">
        <v>-6.3946705565415499E-2</v>
      </c>
      <c r="Q3103">
        <v>0.33579868542803398</v>
      </c>
      <c r="R3103">
        <v>0.97382245939228396</v>
      </c>
      <c r="S3103" t="s">
        <v>9505</v>
      </c>
      <c r="T3103" t="s">
        <v>12802</v>
      </c>
      <c r="U3103" t="s">
        <v>12802</v>
      </c>
      <c r="V3103" t="s">
        <v>12802</v>
      </c>
      <c r="W3103" t="s">
        <v>15855</v>
      </c>
      <c r="X3103">
        <v>3</v>
      </c>
      <c r="Y3103" t="s">
        <v>22107</v>
      </c>
      <c r="Z3103" t="s">
        <v>28421</v>
      </c>
      <c r="AA3103">
        <v>0.73518763830987977</v>
      </c>
      <c r="AB3103" t="str">
        <f>HYPERLINK("Melting_Curves/meltCurve_Q01650_SLC7A5.pdf", "Melting_Curves/meltCurve_Q01650_SLC7A5.pdf")</f>
        <v>Melting_Curves/meltCurve_Q01650_SLC7A5.pdf</v>
      </c>
    </row>
    <row r="3104" spans="1:28" x14ac:dyDescent="0.25">
      <c r="A3104" t="s">
        <v>3108</v>
      </c>
      <c r="B3104">
        <v>0.99542014353169495</v>
      </c>
      <c r="C3104">
        <v>1.1195574745868</v>
      </c>
      <c r="D3104">
        <v>0.93799839275933505</v>
      </c>
      <c r="E3104">
        <v>0.89216992338824597</v>
      </c>
      <c r="F3104">
        <v>0.76370000601328303</v>
      </c>
      <c r="G3104">
        <v>0.65919541065769005</v>
      </c>
      <c r="H3104">
        <v>0.44122569187587501</v>
      </c>
      <c r="I3104">
        <v>0.265402288605185</v>
      </c>
      <c r="J3104">
        <v>0.21889685182735</v>
      </c>
      <c r="K3104">
        <v>0.22963336882874899</v>
      </c>
      <c r="L3104">
        <v>693.19007418639296</v>
      </c>
      <c r="M3104">
        <v>12.6356037780157</v>
      </c>
      <c r="N3104">
        <v>55.995487238266101</v>
      </c>
      <c r="O3104">
        <v>53.540396713066798</v>
      </c>
      <c r="P3104">
        <v>-5.2342953473984599E-2</v>
      </c>
      <c r="Q3104">
        <v>0.113011243126293</v>
      </c>
      <c r="R3104">
        <v>0.97683533633557296</v>
      </c>
      <c r="S3104" t="s">
        <v>9506</v>
      </c>
      <c r="T3104" t="s">
        <v>12802</v>
      </c>
      <c r="U3104" t="s">
        <v>12802</v>
      </c>
      <c r="V3104" t="s">
        <v>12802</v>
      </c>
      <c r="W3104" t="s">
        <v>15856</v>
      </c>
      <c r="X3104">
        <v>9</v>
      </c>
      <c r="Y3104" t="s">
        <v>22108</v>
      </c>
      <c r="Z3104" t="s">
        <v>28422</v>
      </c>
      <c r="AA3104">
        <v>0.65427362095354014</v>
      </c>
      <c r="AB3104" t="str">
        <f>HYPERLINK("Melting_Curves/meltCurve_Q01658_DR1.pdf", "Melting_Curves/meltCurve_Q01658_DR1.pdf")</f>
        <v>Melting_Curves/meltCurve_Q01658_DR1.pdf</v>
      </c>
    </row>
    <row r="3105" spans="1:28" x14ac:dyDescent="0.25">
      <c r="A3105" t="s">
        <v>3109</v>
      </c>
      <c r="B3105">
        <v>0.99542014353169495</v>
      </c>
      <c r="C3105">
        <v>0.82462363277411399</v>
      </c>
      <c r="D3105">
        <v>0.52423636856411304</v>
      </c>
      <c r="E3105">
        <v>0.261989965254603</v>
      </c>
      <c r="F3105">
        <v>0.178788907905293</v>
      </c>
      <c r="G3105">
        <v>0.100259533360521</v>
      </c>
      <c r="H3105">
        <v>5.81637718169324E-2</v>
      </c>
      <c r="I3105">
        <v>3.8456179870093102E-2</v>
      </c>
      <c r="J3105">
        <v>3.7083844472221003E-2</v>
      </c>
      <c r="K3105">
        <v>5.8509516819350502E-2</v>
      </c>
      <c r="L3105">
        <v>739.95701570892402</v>
      </c>
      <c r="M3105">
        <v>17.1114673071014</v>
      </c>
      <c r="N3105">
        <v>43.527156399750901</v>
      </c>
      <c r="O3105">
        <v>42.665697138076602</v>
      </c>
      <c r="P3105">
        <v>-9.4977784208760394E-2</v>
      </c>
      <c r="Q3105">
        <v>5.27874127339776E-2</v>
      </c>
      <c r="R3105">
        <v>0.99470251057075998</v>
      </c>
      <c r="S3105" t="s">
        <v>9507</v>
      </c>
      <c r="T3105" t="s">
        <v>12802</v>
      </c>
      <c r="U3105" t="s">
        <v>12802</v>
      </c>
      <c r="V3105" t="s">
        <v>12802</v>
      </c>
      <c r="W3105" t="s">
        <v>15857</v>
      </c>
      <c r="X3105">
        <v>7</v>
      </c>
      <c r="Y3105" t="s">
        <v>22109</v>
      </c>
      <c r="Z3105" t="s">
        <v>28423</v>
      </c>
      <c r="AA3105">
        <v>0.2684035141580835</v>
      </c>
      <c r="AB3105" t="str">
        <f>HYPERLINK("Melting_Curves/meltCurve_Q01780_2_EXOSC10.pdf", "Melting_Curves/meltCurve_Q01780_2_EXOSC10.pdf")</f>
        <v>Melting_Curves/meltCurve_Q01780_2_EXOSC10.pdf</v>
      </c>
    </row>
    <row r="3106" spans="1:28" x14ac:dyDescent="0.25">
      <c r="A3106" t="s">
        <v>3110</v>
      </c>
      <c r="B3106">
        <v>0.99542014353169495</v>
      </c>
      <c r="C3106">
        <v>0.89567465432272497</v>
      </c>
      <c r="D3106">
        <v>0.84961366226038904</v>
      </c>
      <c r="E3106">
        <v>0.78035514070114498</v>
      </c>
      <c r="F3106">
        <v>0.65006888474244195</v>
      </c>
      <c r="G3106">
        <v>0.55949894964355795</v>
      </c>
      <c r="H3106">
        <v>0.38633114286377401</v>
      </c>
      <c r="I3106">
        <v>0.39638064247363902</v>
      </c>
      <c r="J3106">
        <v>0.47403148833431602</v>
      </c>
      <c r="K3106">
        <v>0.60823818555895404</v>
      </c>
      <c r="L3106">
        <v>604.92664248344204</v>
      </c>
      <c r="M3106">
        <v>12.8807884342042</v>
      </c>
      <c r="N3106">
        <v>57.666783858473003</v>
      </c>
      <c r="O3106">
        <v>45.874735167892403</v>
      </c>
      <c r="P3106">
        <v>-3.8318309817338497E-2</v>
      </c>
      <c r="Q3106">
        <v>0.45421959090234698</v>
      </c>
      <c r="R3106">
        <v>0.88494356661304796</v>
      </c>
      <c r="S3106" t="s">
        <v>9508</v>
      </c>
      <c r="T3106" t="s">
        <v>12802</v>
      </c>
      <c r="U3106" t="s">
        <v>12802</v>
      </c>
      <c r="V3106" t="s">
        <v>12802</v>
      </c>
      <c r="W3106" t="s">
        <v>15858</v>
      </c>
      <c r="X3106">
        <v>41</v>
      </c>
      <c r="Y3106" t="s">
        <v>22110</v>
      </c>
      <c r="Z3106" t="s">
        <v>28424</v>
      </c>
      <c r="AA3106">
        <v>0.65148940972944014</v>
      </c>
      <c r="AB3106" t="str">
        <f>HYPERLINK("Melting_Curves/meltCurve_Q01813_PFKP.pdf", "Melting_Curves/meltCurve_Q01813_PFKP.pdf")</f>
        <v>Melting_Curves/meltCurve_Q01813_PFKP.pdf</v>
      </c>
    </row>
    <row r="3107" spans="1:28" x14ac:dyDescent="0.25">
      <c r="A3107" t="s">
        <v>3111</v>
      </c>
      <c r="B3107">
        <v>0.99542014353169495</v>
      </c>
      <c r="C3107">
        <v>0.95358480214748198</v>
      </c>
      <c r="D3107">
        <v>0.96285520257356805</v>
      </c>
      <c r="E3107">
        <v>0.74912047380028202</v>
      </c>
      <c r="F3107">
        <v>0.465874916233048</v>
      </c>
      <c r="G3107">
        <v>0.21718870260620199</v>
      </c>
      <c r="H3107">
        <v>9.5017165903769907E-2</v>
      </c>
      <c r="I3107">
        <v>6.2263300723251397E-2</v>
      </c>
      <c r="J3107">
        <v>6.3914710221962101E-2</v>
      </c>
      <c r="K3107">
        <v>4.9893649466427201E-2</v>
      </c>
      <c r="L3107">
        <v>902.46455787040702</v>
      </c>
      <c r="M3107">
        <v>18.247538800251402</v>
      </c>
      <c r="N3107">
        <v>49.672402018018502</v>
      </c>
      <c r="O3107">
        <v>48.874300441906797</v>
      </c>
      <c r="P3107">
        <v>-8.9789566835876702E-2</v>
      </c>
      <c r="Q3107">
        <v>3.8073936119063297E-2</v>
      </c>
      <c r="R3107">
        <v>0.99848317686520704</v>
      </c>
      <c r="S3107" t="s">
        <v>9509</v>
      </c>
      <c r="T3107" t="s">
        <v>12802</v>
      </c>
      <c r="U3107" t="s">
        <v>12802</v>
      </c>
      <c r="V3107" t="s">
        <v>12802</v>
      </c>
      <c r="W3107" t="s">
        <v>15859</v>
      </c>
      <c r="X3107">
        <v>4</v>
      </c>
      <c r="Y3107" t="s">
        <v>22111</v>
      </c>
      <c r="Z3107" t="s">
        <v>28425</v>
      </c>
      <c r="AA3107">
        <v>0.45237927425370439</v>
      </c>
      <c r="AB3107" t="str">
        <f>HYPERLINK("Melting_Curves/meltCurve_Q01968_OCRL.pdf", "Melting_Curves/meltCurve_Q01968_OCRL.pdf")</f>
        <v>Melting_Curves/meltCurve_Q01968_OCRL.pdf</v>
      </c>
    </row>
    <row r="3108" spans="1:28" x14ac:dyDescent="0.25">
      <c r="A3108" t="s">
        <v>3112</v>
      </c>
      <c r="B3108">
        <v>0.99542014353169495</v>
      </c>
      <c r="C3108">
        <v>0.98647861427289596</v>
      </c>
      <c r="D3108">
        <v>0.99689339308832403</v>
      </c>
      <c r="E3108">
        <v>0.86284847424225297</v>
      </c>
      <c r="F3108">
        <v>0.495992454629406</v>
      </c>
      <c r="G3108">
        <v>0.157224522400325</v>
      </c>
      <c r="H3108">
        <v>0.107644977818177</v>
      </c>
      <c r="I3108">
        <v>7.4360363921908104E-2</v>
      </c>
      <c r="J3108">
        <v>8.4808519239721894E-2</v>
      </c>
      <c r="K3108">
        <v>8.1912336216884998E-2</v>
      </c>
      <c r="L3108">
        <v>1380.5344248487099</v>
      </c>
      <c r="M3108">
        <v>27.7461232260478</v>
      </c>
      <c r="N3108">
        <v>50.054794596632597</v>
      </c>
      <c r="O3108">
        <v>49.499632233589402</v>
      </c>
      <c r="P3108">
        <v>-0.12943766920503799</v>
      </c>
      <c r="Q3108">
        <v>7.6330766701326797E-2</v>
      </c>
      <c r="R3108">
        <v>0.99920223651062301</v>
      </c>
      <c r="S3108" t="s">
        <v>9510</v>
      </c>
      <c r="T3108" t="s">
        <v>12802</v>
      </c>
      <c r="U3108" t="s">
        <v>12802</v>
      </c>
      <c r="V3108" t="s">
        <v>12802</v>
      </c>
      <c r="W3108" t="s">
        <v>15860</v>
      </c>
      <c r="X3108">
        <v>20</v>
      </c>
      <c r="Y3108" t="s">
        <v>22112</v>
      </c>
      <c r="Z3108" t="s">
        <v>28426</v>
      </c>
      <c r="AA3108">
        <v>0.47565597733608522</v>
      </c>
      <c r="AB3108" t="str">
        <f>HYPERLINK("Melting_Curves/meltCurve_Q01970_PLCB3.pdf", "Melting_Curves/meltCurve_Q01970_PLCB3.pdf")</f>
        <v>Melting_Curves/meltCurve_Q01970_PLCB3.pdf</v>
      </c>
    </row>
    <row r="3109" spans="1:28" x14ac:dyDescent="0.25">
      <c r="A3109" t="s">
        <v>3113</v>
      </c>
      <c r="B3109">
        <v>0.99542014353169495</v>
      </c>
      <c r="C3109">
        <v>1.02560547492455</v>
      </c>
      <c r="D3109">
        <v>0.97941405799888803</v>
      </c>
      <c r="E3109">
        <v>0.82819975672867296</v>
      </c>
      <c r="F3109">
        <v>0.60300755915306303</v>
      </c>
      <c r="G3109">
        <v>0.229954425900325</v>
      </c>
      <c r="H3109">
        <v>0.12768712873216401</v>
      </c>
      <c r="I3109">
        <v>0.109420452497314</v>
      </c>
      <c r="J3109">
        <v>9.7504811482758205E-2</v>
      </c>
      <c r="K3109">
        <v>0.120545677562768</v>
      </c>
      <c r="L3109">
        <v>1144.8622087690201</v>
      </c>
      <c r="M3109">
        <v>22.747873418541101</v>
      </c>
      <c r="N3109">
        <v>50.780397907521603</v>
      </c>
      <c r="O3109">
        <v>49.944234847242797</v>
      </c>
      <c r="P3109">
        <v>-0.10343145037879201</v>
      </c>
      <c r="Q3109">
        <v>9.1659777216945001E-2</v>
      </c>
      <c r="R3109">
        <v>0.995640601367213</v>
      </c>
      <c r="S3109" t="s">
        <v>9511</v>
      </c>
      <c r="T3109" t="s">
        <v>12802</v>
      </c>
      <c r="U3109" t="s">
        <v>12802</v>
      </c>
      <c r="V3109" t="s">
        <v>12802</v>
      </c>
      <c r="W3109" t="s">
        <v>15861</v>
      </c>
      <c r="X3109">
        <v>13</v>
      </c>
      <c r="Y3109" t="s">
        <v>22113</v>
      </c>
      <c r="Z3109" t="s">
        <v>28427</v>
      </c>
      <c r="AA3109">
        <v>0.50471624312976759</v>
      </c>
      <c r="AB3109" t="str">
        <f>HYPERLINK("Melting_Curves/meltCurve_Q01974_ROR2.pdf", "Melting_Curves/meltCurve_Q01974_ROR2.pdf")</f>
        <v>Melting_Curves/meltCurve_Q01974_ROR2.pdf</v>
      </c>
    </row>
    <row r="3110" spans="1:28" x14ac:dyDescent="0.25">
      <c r="A3110" t="s">
        <v>3114</v>
      </c>
      <c r="B3110">
        <v>0.99542014353169495</v>
      </c>
      <c r="C3110">
        <v>0.92622470198064899</v>
      </c>
      <c r="D3110">
        <v>0.90804232261946305</v>
      </c>
      <c r="E3110">
        <v>0.54782755434633001</v>
      </c>
      <c r="F3110">
        <v>0.33259464282957402</v>
      </c>
      <c r="G3110">
        <v>0.269635423249588</v>
      </c>
      <c r="H3110">
        <v>0.16140731055264501</v>
      </c>
      <c r="I3110">
        <v>0.13613956696204599</v>
      </c>
      <c r="J3110">
        <v>0.176436384710313</v>
      </c>
      <c r="K3110">
        <v>0.25903035272865099</v>
      </c>
      <c r="L3110">
        <v>982.04149082362801</v>
      </c>
      <c r="M3110">
        <v>21.180043820106601</v>
      </c>
      <c r="N3110">
        <v>47.4200053127527</v>
      </c>
      <c r="O3110">
        <v>45.958974618731297</v>
      </c>
      <c r="P3110">
        <v>-9.3589835009240702E-2</v>
      </c>
      <c r="Q3110">
        <v>0.18769194505002401</v>
      </c>
      <c r="R3110">
        <v>0.98512809693071501</v>
      </c>
      <c r="S3110" t="s">
        <v>9512</v>
      </c>
      <c r="T3110" t="s">
        <v>12802</v>
      </c>
      <c r="U3110" t="s">
        <v>12802</v>
      </c>
      <c r="V3110" t="s">
        <v>12802</v>
      </c>
      <c r="W3110" t="s">
        <v>15862</v>
      </c>
      <c r="X3110">
        <v>2</v>
      </c>
      <c r="Y3110" t="s">
        <v>22114</v>
      </c>
      <c r="Z3110" t="s">
        <v>28428</v>
      </c>
      <c r="AA3110">
        <v>0.45076877039678481</v>
      </c>
      <c r="AB3110" t="str">
        <f>HYPERLINK("Melting_Curves/meltCurve_Q02040_AKAP17A.pdf", "Melting_Curves/meltCurve_Q02040_AKAP17A.pdf")</f>
        <v>Melting_Curves/meltCurve_Q02040_AKAP17A.pdf</v>
      </c>
    </row>
    <row r="3111" spans="1:28" x14ac:dyDescent="0.25">
      <c r="A3111" t="s">
        <v>3115</v>
      </c>
      <c r="B3111">
        <v>0.99542014353169495</v>
      </c>
      <c r="C3111">
        <v>0.97379899877859999</v>
      </c>
      <c r="D3111">
        <v>0.58336745377633903</v>
      </c>
      <c r="E3111">
        <v>0.406267300397049</v>
      </c>
      <c r="F3111">
        <v>0.11384406022426</v>
      </c>
      <c r="G3111">
        <v>8.6881757609344995E-2</v>
      </c>
      <c r="H3111">
        <v>8.8406292667660702E-2</v>
      </c>
      <c r="I3111">
        <v>4.0113655636090997E-2</v>
      </c>
      <c r="J3111">
        <v>3.3341830625400901E-2</v>
      </c>
      <c r="K3111">
        <v>3.7105260716314203E-2</v>
      </c>
      <c r="L3111">
        <v>801.59479731597003</v>
      </c>
      <c r="M3111">
        <v>18.001075044785999</v>
      </c>
      <c r="N3111">
        <v>44.744301864182802</v>
      </c>
      <c r="O3111">
        <v>43.9917215907371</v>
      </c>
      <c r="P3111">
        <v>-9.8085040647309898E-2</v>
      </c>
      <c r="Q3111">
        <v>4.1230863032342399E-2</v>
      </c>
      <c r="R3111">
        <v>0.98421095135649295</v>
      </c>
      <c r="S3111" t="s">
        <v>9513</v>
      </c>
      <c r="T3111" t="s">
        <v>12802</v>
      </c>
      <c r="U3111" t="s">
        <v>12802</v>
      </c>
      <c r="V3111" t="s">
        <v>12802</v>
      </c>
      <c r="W3111" t="s">
        <v>15863</v>
      </c>
      <c r="X3111">
        <v>2</v>
      </c>
      <c r="Y3111" t="s">
        <v>22115</v>
      </c>
      <c r="Z3111" t="s">
        <v>28429</v>
      </c>
      <c r="AA3111">
        <v>0.29777440853260712</v>
      </c>
      <c r="AB3111" t="str">
        <f>HYPERLINK("Melting_Curves/meltCurve_Q02086_2_SP2.pdf", "Melting_Curves/meltCurve_Q02086_2_SP2.pdf")</f>
        <v>Melting_Curves/meltCurve_Q02086_2_SP2.pdf</v>
      </c>
    </row>
    <row r="3112" spans="1:28" x14ac:dyDescent="0.25">
      <c r="A3112" t="s">
        <v>3116</v>
      </c>
      <c r="B3112">
        <v>0.99542014353169495</v>
      </c>
      <c r="C3112">
        <v>1.0148462602274999</v>
      </c>
      <c r="D3112">
        <v>0.99164959926321705</v>
      </c>
      <c r="E3112">
        <v>0.94355653384729499</v>
      </c>
      <c r="F3112">
        <v>0.77599142942836397</v>
      </c>
      <c r="G3112">
        <v>0.60036004409325905</v>
      </c>
      <c r="H3112">
        <v>0.40958042488673102</v>
      </c>
      <c r="I3112">
        <v>0.33187328299573099</v>
      </c>
      <c r="J3112">
        <v>0.36013047864981002</v>
      </c>
      <c r="K3112">
        <v>0.232892306532411</v>
      </c>
      <c r="L3112">
        <v>867.15164859797096</v>
      </c>
      <c r="M3112">
        <v>16.334427646670001</v>
      </c>
      <c r="N3112">
        <v>55.531874046962997</v>
      </c>
      <c r="O3112">
        <v>52.310798987536103</v>
      </c>
      <c r="P3112">
        <v>-5.8053582036205899E-2</v>
      </c>
      <c r="Q3112">
        <v>0.256390023959578</v>
      </c>
      <c r="R3112">
        <v>0.99184765593469104</v>
      </c>
      <c r="S3112" t="s">
        <v>9514</v>
      </c>
      <c r="T3112" t="s">
        <v>12802</v>
      </c>
      <c r="U3112" t="s">
        <v>12802</v>
      </c>
      <c r="V3112" t="s">
        <v>12802</v>
      </c>
      <c r="W3112" t="s">
        <v>15864</v>
      </c>
      <c r="X3112">
        <v>17</v>
      </c>
      <c r="Y3112" t="s">
        <v>22116</v>
      </c>
      <c r="Z3112" t="s">
        <v>28430</v>
      </c>
      <c r="AA3112">
        <v>0.66722549783389384</v>
      </c>
      <c r="AB3112" t="str">
        <f>HYPERLINK("Melting_Curves/meltCurve_Q02127_DHODH.pdf", "Melting_Curves/meltCurve_Q02127_DHODH.pdf")</f>
        <v>Melting_Curves/meltCurve_Q02127_DHODH.pdf</v>
      </c>
    </row>
    <row r="3113" spans="1:28" x14ac:dyDescent="0.25">
      <c r="A3113" t="s">
        <v>3117</v>
      </c>
      <c r="B3113">
        <v>0.99542014353169495</v>
      </c>
      <c r="C3113">
        <v>0.87144091371625498</v>
      </c>
      <c r="D3113">
        <v>0.72515135196536296</v>
      </c>
      <c r="E3113">
        <v>0.37924703793305797</v>
      </c>
      <c r="F3113">
        <v>0.29737920030547799</v>
      </c>
      <c r="G3113">
        <v>0.15728550603102101</v>
      </c>
      <c r="H3113">
        <v>0.11363964888469601</v>
      </c>
      <c r="I3113">
        <v>5.7528839824323698E-2</v>
      </c>
      <c r="J3113">
        <v>9.6114874320637006E-2</v>
      </c>
      <c r="K3113">
        <v>7.0219969118986703E-2</v>
      </c>
      <c r="L3113">
        <v>659.41421088589095</v>
      </c>
      <c r="M3113">
        <v>14.5885393262198</v>
      </c>
      <c r="N3113">
        <v>45.668423992866799</v>
      </c>
      <c r="O3113">
        <v>44.3769981459319</v>
      </c>
      <c r="P3113">
        <v>-7.6492579027943194E-2</v>
      </c>
      <c r="Q3113">
        <v>6.9371438456654097E-2</v>
      </c>
      <c r="R3113">
        <v>0.99238241925367798</v>
      </c>
      <c r="S3113" t="s">
        <v>9515</v>
      </c>
      <c r="T3113" t="s">
        <v>12802</v>
      </c>
      <c r="U3113" t="s">
        <v>12802</v>
      </c>
      <c r="V3113" t="s">
        <v>12802</v>
      </c>
      <c r="W3113" t="s">
        <v>15865</v>
      </c>
      <c r="X3113">
        <v>12</v>
      </c>
      <c r="Y3113" t="s">
        <v>22117</v>
      </c>
      <c r="Z3113" t="s">
        <v>28431</v>
      </c>
      <c r="AA3113">
        <v>0.34698540419080082</v>
      </c>
      <c r="AB3113" t="str">
        <f>HYPERLINK("Melting_Curves/meltCurve_Q02224_3_CENPE.pdf", "Melting_Curves/meltCurve_Q02224_3_CENPE.pdf")</f>
        <v>Melting_Curves/meltCurve_Q02224_3_CENPE.pdf</v>
      </c>
    </row>
    <row r="3114" spans="1:28" x14ac:dyDescent="0.25">
      <c r="A3114" t="s">
        <v>3118</v>
      </c>
      <c r="B3114">
        <v>0.99542014353169495</v>
      </c>
      <c r="C3114">
        <v>0.91639198272087896</v>
      </c>
      <c r="D3114">
        <v>0.89258769410616401</v>
      </c>
      <c r="E3114">
        <v>0.65424505473435601</v>
      </c>
      <c r="F3114">
        <v>0.36279412758414198</v>
      </c>
      <c r="G3114">
        <v>0.17734353054992999</v>
      </c>
      <c r="H3114">
        <v>8.9542657794905695E-2</v>
      </c>
      <c r="I3114">
        <v>6.5241594656445301E-2</v>
      </c>
      <c r="J3114">
        <v>6.9613959177186005E-2</v>
      </c>
      <c r="K3114">
        <v>8.2592542420083695E-2</v>
      </c>
      <c r="L3114">
        <v>816.90135980797299</v>
      </c>
      <c r="M3114">
        <v>17.008416969844902</v>
      </c>
      <c r="N3114">
        <v>48.338683458546598</v>
      </c>
      <c r="O3114">
        <v>47.3800455414193</v>
      </c>
      <c r="P3114">
        <v>-8.5120408270655201E-2</v>
      </c>
      <c r="Q3114">
        <v>5.1584886568999698E-2</v>
      </c>
      <c r="R3114">
        <v>0.99699716374715297</v>
      </c>
      <c r="S3114" t="s">
        <v>9516</v>
      </c>
      <c r="T3114" t="s">
        <v>12802</v>
      </c>
      <c r="U3114" t="s">
        <v>12802</v>
      </c>
      <c r="V3114" t="s">
        <v>12802</v>
      </c>
      <c r="W3114" t="s">
        <v>15866</v>
      </c>
      <c r="X3114">
        <v>12</v>
      </c>
      <c r="Y3114" t="s">
        <v>22118</v>
      </c>
      <c r="Z3114" t="s">
        <v>28432</v>
      </c>
      <c r="AA3114">
        <v>0.41705100957564317</v>
      </c>
      <c r="AB3114" t="str">
        <f>HYPERLINK("Melting_Curves/meltCurve_Q02241_KIF23.pdf", "Melting_Curves/meltCurve_Q02241_KIF23.pdf")</f>
        <v>Melting_Curves/meltCurve_Q02241_KIF23.pdf</v>
      </c>
    </row>
    <row r="3115" spans="1:28" x14ac:dyDescent="0.25">
      <c r="A3115" t="s">
        <v>3119</v>
      </c>
      <c r="B3115">
        <v>0.99542014353169495</v>
      </c>
      <c r="C3115">
        <v>1.11262596881021</v>
      </c>
      <c r="D3115">
        <v>0.95457074712186696</v>
      </c>
      <c r="E3115">
        <v>0.83637088905970303</v>
      </c>
      <c r="F3115">
        <v>0.702337941613567</v>
      </c>
      <c r="G3115">
        <v>0.37627596504553001</v>
      </c>
      <c r="H3115">
        <v>0.22822360247845999</v>
      </c>
      <c r="I3115">
        <v>0.13044417397831301</v>
      </c>
      <c r="J3115">
        <v>0.16018564784938699</v>
      </c>
      <c r="K3115">
        <v>8.1252880891501997E-2</v>
      </c>
      <c r="L3115">
        <v>889.51850072232196</v>
      </c>
      <c r="M3115">
        <v>17.189802871650201</v>
      </c>
      <c r="N3115">
        <v>52.3151685653852</v>
      </c>
      <c r="O3115">
        <v>51.061784270712401</v>
      </c>
      <c r="P3115">
        <v>-7.6998592966895596E-2</v>
      </c>
      <c r="Q3115">
        <v>8.5166247429118394E-2</v>
      </c>
      <c r="R3115">
        <v>0.98560431836854501</v>
      </c>
      <c r="S3115" t="s">
        <v>9517</v>
      </c>
      <c r="T3115" t="s">
        <v>12802</v>
      </c>
      <c r="U3115" t="s">
        <v>12802</v>
      </c>
      <c r="V3115" t="s">
        <v>12802</v>
      </c>
      <c r="W3115" t="s">
        <v>15867</v>
      </c>
      <c r="X3115">
        <v>2</v>
      </c>
      <c r="Y3115" t="s">
        <v>22119</v>
      </c>
      <c r="Z3115" t="s">
        <v>28433</v>
      </c>
      <c r="AA3115">
        <v>0.54974831653783485</v>
      </c>
      <c r="AB3115" t="str">
        <f>HYPERLINK("Melting_Curves/meltCurve_Q02446_SP4.pdf", "Melting_Curves/meltCurve_Q02446_SP4.pdf")</f>
        <v>Melting_Curves/meltCurve_Q02446_SP4.pdf</v>
      </c>
    </row>
    <row r="3116" spans="1:28" x14ac:dyDescent="0.25">
      <c r="A3116" t="s">
        <v>3120</v>
      </c>
      <c r="B3116">
        <v>0.99542014353169495</v>
      </c>
      <c r="C3116">
        <v>0.80647047601462896</v>
      </c>
      <c r="D3116">
        <v>0.65798743764145895</v>
      </c>
      <c r="E3116">
        <v>0.50343237399773</v>
      </c>
      <c r="F3116">
        <v>0.36555902166972698</v>
      </c>
      <c r="G3116">
        <v>0.20715966426597199</v>
      </c>
      <c r="H3116">
        <v>0.12806496740770601</v>
      </c>
      <c r="I3116">
        <v>5.0532378328936901E-2</v>
      </c>
      <c r="J3116">
        <v>6.5232390325043105E-2</v>
      </c>
      <c r="K3116">
        <v>8.3303225574655498E-2</v>
      </c>
      <c r="L3116">
        <v>458.16470711477501</v>
      </c>
      <c r="M3116">
        <v>9.8568799437421593</v>
      </c>
      <c r="N3116">
        <v>46.525360108071503</v>
      </c>
      <c r="O3116">
        <v>44.689800195369401</v>
      </c>
      <c r="P3116">
        <v>-5.4915089081828197E-2</v>
      </c>
      <c r="Q3116">
        <v>4.60033774025946E-3</v>
      </c>
      <c r="R3116">
        <v>0.98940990779578997</v>
      </c>
      <c r="S3116" t="s">
        <v>9518</v>
      </c>
      <c r="T3116" t="s">
        <v>12802</v>
      </c>
      <c r="U3116" t="s">
        <v>12802</v>
      </c>
      <c r="V3116" t="s">
        <v>12802</v>
      </c>
      <c r="W3116" t="s">
        <v>15868</v>
      </c>
      <c r="X3116">
        <v>4</v>
      </c>
      <c r="Y3116" t="s">
        <v>22120</v>
      </c>
      <c r="Z3116" t="s">
        <v>28434</v>
      </c>
      <c r="AA3116">
        <v>0.36467177111626642</v>
      </c>
      <c r="AB3116" t="str">
        <f>HYPERLINK("Melting_Curves/meltCurve_Q02543_RPL18A.pdf", "Melting_Curves/meltCurve_Q02543_RPL18A.pdf")</f>
        <v>Melting_Curves/meltCurve_Q02543_RPL18A.pdf</v>
      </c>
    </row>
    <row r="3117" spans="1:28" x14ac:dyDescent="0.25">
      <c r="A3117" t="s">
        <v>3121</v>
      </c>
      <c r="B3117">
        <v>0.99542014353169495</v>
      </c>
      <c r="C3117">
        <v>1.02539315431074</v>
      </c>
      <c r="D3117">
        <v>1.07176883383807</v>
      </c>
      <c r="E3117">
        <v>1.0549383184602299</v>
      </c>
      <c r="F3117">
        <v>0.87621733173177097</v>
      </c>
      <c r="G3117">
        <v>0.56677923685930398</v>
      </c>
      <c r="H3117">
        <v>0.14006040764716601</v>
      </c>
      <c r="I3117">
        <v>6.7400392274585705E-2</v>
      </c>
      <c r="J3117">
        <v>6.2840879229406302E-2</v>
      </c>
      <c r="K3117">
        <v>7.8074228105707605E-2</v>
      </c>
      <c r="L3117">
        <v>1770.0217298762</v>
      </c>
      <c r="M3117">
        <v>32.838522988105701</v>
      </c>
      <c r="N3117">
        <v>54.093669350844102</v>
      </c>
      <c r="O3117">
        <v>53.702066689593003</v>
      </c>
      <c r="P3117">
        <v>-0.14442702118949799</v>
      </c>
      <c r="Q3117">
        <v>5.5256663171803798E-2</v>
      </c>
      <c r="R3117">
        <v>0.99285550429730696</v>
      </c>
      <c r="S3117" t="s">
        <v>9519</v>
      </c>
      <c r="T3117" t="s">
        <v>12802</v>
      </c>
      <c r="U3117" t="s">
        <v>12802</v>
      </c>
      <c r="V3117" t="s">
        <v>12802</v>
      </c>
      <c r="W3117" t="s">
        <v>15869</v>
      </c>
      <c r="X3117">
        <v>17</v>
      </c>
      <c r="Y3117" t="s">
        <v>22121</v>
      </c>
      <c r="Z3117" t="s">
        <v>28435</v>
      </c>
      <c r="AA3117">
        <v>0.59259210648788607</v>
      </c>
      <c r="AB3117" t="str">
        <f>HYPERLINK("Melting_Curves/meltCurve_Q02750_MAP2K1.pdf", "Melting_Curves/meltCurve_Q02750_MAP2K1.pdf")</f>
        <v>Melting_Curves/meltCurve_Q02750_MAP2K1.pdf</v>
      </c>
    </row>
    <row r="3118" spans="1:28" x14ac:dyDescent="0.25">
      <c r="A3118" t="s">
        <v>3122</v>
      </c>
      <c r="B3118">
        <v>0.99542014353169495</v>
      </c>
      <c r="C3118">
        <v>1.0000789590764101</v>
      </c>
      <c r="D3118">
        <v>1.1146853259938101</v>
      </c>
      <c r="E3118">
        <v>1.1410298157199901</v>
      </c>
      <c r="F3118">
        <v>0.89804874978043603</v>
      </c>
      <c r="G3118">
        <v>0.68105405776456396</v>
      </c>
      <c r="H3118">
        <v>0.50692670655668104</v>
      </c>
      <c r="I3118">
        <v>0.31100311063075298</v>
      </c>
      <c r="J3118">
        <v>0.305703671843293</v>
      </c>
      <c r="K3118">
        <v>0.124049346358415</v>
      </c>
      <c r="L3118">
        <v>1014.22599646113</v>
      </c>
      <c r="M3118">
        <v>18.0851290823997</v>
      </c>
      <c r="N3118">
        <v>57.219094940929502</v>
      </c>
      <c r="O3118">
        <v>55.408469298604601</v>
      </c>
      <c r="P3118">
        <v>-6.9272928327231795E-2</v>
      </c>
      <c r="Q3118">
        <v>0.15109899947027</v>
      </c>
      <c r="R3118">
        <v>0.95749567270106095</v>
      </c>
      <c r="S3118" t="s">
        <v>9520</v>
      </c>
      <c r="T3118" t="s">
        <v>12802</v>
      </c>
      <c r="U3118" t="s">
        <v>12802</v>
      </c>
      <c r="V3118" t="s">
        <v>12802</v>
      </c>
      <c r="W3118" t="s">
        <v>15870</v>
      </c>
      <c r="X3118">
        <v>1</v>
      </c>
      <c r="Y3118" t="s">
        <v>22122</v>
      </c>
      <c r="Z3118" t="s">
        <v>28436</v>
      </c>
      <c r="AA3118">
        <v>0.70023253380912498</v>
      </c>
      <c r="AB3118" t="str">
        <f>HYPERLINK("Melting_Curves/meltCurve_Q02763_2_TEK.pdf", "Melting_Curves/meltCurve_Q02763_2_TEK.pdf")</f>
        <v>Melting_Curves/meltCurve_Q02763_2_TEK.pdf</v>
      </c>
    </row>
    <row r="3119" spans="1:28" x14ac:dyDescent="0.25">
      <c r="A3119" t="s">
        <v>3123</v>
      </c>
      <c r="B3119">
        <v>0.99542014353169495</v>
      </c>
      <c r="C3119">
        <v>0.93219502982772995</v>
      </c>
      <c r="D3119">
        <v>0.91909950588536604</v>
      </c>
      <c r="E3119">
        <v>0.81663333251349701</v>
      </c>
      <c r="F3119">
        <v>0.227683185368772</v>
      </c>
      <c r="G3119">
        <v>0.100254701358735</v>
      </c>
      <c r="H3119">
        <v>6.0821728946716697E-2</v>
      </c>
      <c r="I3119">
        <v>4.1957560487264303E-2</v>
      </c>
      <c r="J3119">
        <v>4.4835413598816501E-2</v>
      </c>
      <c r="K3119">
        <v>4.3612202437816001E-2</v>
      </c>
      <c r="L3119">
        <v>1771.0737216652301</v>
      </c>
      <c r="M3119">
        <v>36.668131350760497</v>
      </c>
      <c r="N3119">
        <v>48.443444341663898</v>
      </c>
      <c r="O3119">
        <v>48.157099597897897</v>
      </c>
      <c r="P3119">
        <v>-0.18056969953722199</v>
      </c>
      <c r="Q3119">
        <v>5.1417457914345398E-2</v>
      </c>
      <c r="R3119">
        <v>0.99356295116562898</v>
      </c>
      <c r="S3119" t="s">
        <v>9521</v>
      </c>
      <c r="T3119" t="s">
        <v>12802</v>
      </c>
      <c r="U3119" t="s">
        <v>12802</v>
      </c>
      <c r="V3119" t="s">
        <v>12802</v>
      </c>
      <c r="W3119" t="s">
        <v>15871</v>
      </c>
      <c r="X3119">
        <v>35</v>
      </c>
      <c r="Y3119" t="s">
        <v>22123</v>
      </c>
      <c r="Z3119" t="s">
        <v>28437</v>
      </c>
      <c r="AA3119">
        <v>0.41249280323729381</v>
      </c>
      <c r="AB3119" t="str">
        <f>HYPERLINK("Melting_Curves/meltCurve_Q02790_FKBP4.pdf", "Melting_Curves/meltCurve_Q02790_FKBP4.pdf")</f>
        <v>Melting_Curves/meltCurve_Q02790_FKBP4.pdf</v>
      </c>
    </row>
    <row r="3120" spans="1:28" x14ac:dyDescent="0.25">
      <c r="A3120" t="s">
        <v>3124</v>
      </c>
      <c r="B3120">
        <v>0.99542014353169495</v>
      </c>
      <c r="C3120">
        <v>0.94139153095289996</v>
      </c>
      <c r="D3120">
        <v>0.96485540896361399</v>
      </c>
      <c r="E3120">
        <v>0.76600593987019505</v>
      </c>
      <c r="F3120">
        <v>0.50233282428580905</v>
      </c>
      <c r="G3120">
        <v>0.152335507342792</v>
      </c>
      <c r="H3120">
        <v>6.9600339156350097E-2</v>
      </c>
      <c r="I3120">
        <v>4.2823667329125299E-2</v>
      </c>
      <c r="J3120">
        <v>5.16295326833493E-2</v>
      </c>
      <c r="K3120">
        <v>4.4521308242977099E-2</v>
      </c>
      <c r="L3120">
        <v>1011.2876139687301</v>
      </c>
      <c r="M3120">
        <v>20.376121927897898</v>
      </c>
      <c r="N3120">
        <v>49.758078227815297</v>
      </c>
      <c r="O3120">
        <v>49.160397496704803</v>
      </c>
      <c r="P3120">
        <v>-0.100996598295922</v>
      </c>
      <c r="Q3120">
        <v>2.5352762615598899E-2</v>
      </c>
      <c r="R3120">
        <v>0.99512609037326905</v>
      </c>
      <c r="S3120" t="s">
        <v>9522</v>
      </c>
      <c r="T3120" t="s">
        <v>12802</v>
      </c>
      <c r="U3120" t="s">
        <v>12802</v>
      </c>
      <c r="V3120" t="s">
        <v>12802</v>
      </c>
      <c r="W3120" t="s">
        <v>15872</v>
      </c>
      <c r="X3120">
        <v>20</v>
      </c>
      <c r="Y3120" t="s">
        <v>22124</v>
      </c>
      <c r="Z3120" t="s">
        <v>28438</v>
      </c>
      <c r="AA3120">
        <v>0.44813562065056772</v>
      </c>
      <c r="AB3120" t="str">
        <f>HYPERLINK("Melting_Curves/meltCurve_Q02809_PLOD1.pdf", "Melting_Curves/meltCurve_Q02809_PLOD1.pdf")</f>
        <v>Melting_Curves/meltCurve_Q02809_PLOD1.pdf</v>
      </c>
    </row>
    <row r="3121" spans="1:28" x14ac:dyDescent="0.25">
      <c r="A3121" t="s">
        <v>3125</v>
      </c>
      <c r="B3121">
        <v>0.99542014353169495</v>
      </c>
      <c r="C3121">
        <v>1.01142692497628</v>
      </c>
      <c r="D3121">
        <v>0.96611334950098804</v>
      </c>
      <c r="E3121">
        <v>0.88783220514168704</v>
      </c>
      <c r="F3121">
        <v>0.739051028855086</v>
      </c>
      <c r="G3121">
        <v>0.56769096447785505</v>
      </c>
      <c r="H3121">
        <v>0.42805473829815199</v>
      </c>
      <c r="I3121">
        <v>0.394125771189896</v>
      </c>
      <c r="J3121">
        <v>0.57398940005656296</v>
      </c>
      <c r="K3121">
        <v>0.74192949846110701</v>
      </c>
      <c r="L3121">
        <v>1342.5032565649799</v>
      </c>
      <c r="M3121">
        <v>27.2936747916042</v>
      </c>
      <c r="O3121">
        <v>48.925569672023599</v>
      </c>
      <c r="P3121">
        <v>-6.4938286096837605E-2</v>
      </c>
      <c r="Q3121">
        <v>0.53438116045790496</v>
      </c>
      <c r="R3121">
        <v>0.833150218054448</v>
      </c>
      <c r="S3121" t="s">
        <v>9523</v>
      </c>
      <c r="T3121" t="s">
        <v>12802</v>
      </c>
      <c r="U3121" t="s">
        <v>12802</v>
      </c>
      <c r="V3121" t="s">
        <v>12802</v>
      </c>
      <c r="W3121" t="s">
        <v>15873</v>
      </c>
      <c r="X3121">
        <v>37</v>
      </c>
      <c r="Y3121" t="s">
        <v>22125</v>
      </c>
      <c r="Z3121" t="s">
        <v>28439</v>
      </c>
      <c r="AA3121">
        <v>0.72693407375658858</v>
      </c>
      <c r="AB3121" t="str">
        <f>HYPERLINK("Melting_Curves/meltCurve_Q02818_NUCB1.pdf", "Melting_Curves/meltCurve_Q02818_NUCB1.pdf")</f>
        <v>Melting_Curves/meltCurve_Q02818_NUCB1.pdf</v>
      </c>
    </row>
    <row r="3122" spans="1:28" x14ac:dyDescent="0.25">
      <c r="A3122" t="s">
        <v>3126</v>
      </c>
      <c r="B3122">
        <v>0.99542014353169495</v>
      </c>
      <c r="C3122">
        <v>1.0801845376594901</v>
      </c>
      <c r="D3122">
        <v>0.89988371435233605</v>
      </c>
      <c r="E3122">
        <v>0.65783457789436095</v>
      </c>
      <c r="F3122">
        <v>0.523355553143658</v>
      </c>
      <c r="G3122">
        <v>0.25747806124536399</v>
      </c>
      <c r="H3122">
        <v>0.15380962921261199</v>
      </c>
      <c r="I3122">
        <v>0.13633288168958699</v>
      </c>
      <c r="J3122">
        <v>0.102193066690031</v>
      </c>
      <c r="K3122">
        <v>0.112145080062565</v>
      </c>
      <c r="L3122">
        <v>753.73932493017196</v>
      </c>
      <c r="M3122">
        <v>15.3643293001091</v>
      </c>
      <c r="N3122">
        <v>49.6638618375028</v>
      </c>
      <c r="O3122">
        <v>48.249214565993803</v>
      </c>
      <c r="P3122">
        <v>-7.2810089516448503E-2</v>
      </c>
      <c r="Q3122">
        <v>8.5490413649194796E-2</v>
      </c>
      <c r="R3122">
        <v>0.98593310918640398</v>
      </c>
      <c r="S3122" t="s">
        <v>9524</v>
      </c>
      <c r="T3122" t="s">
        <v>12802</v>
      </c>
      <c r="U3122" t="s">
        <v>12802</v>
      </c>
      <c r="V3122" t="s">
        <v>12802</v>
      </c>
      <c r="W3122" t="s">
        <v>15874</v>
      </c>
      <c r="X3122">
        <v>3</v>
      </c>
      <c r="Y3122" t="s">
        <v>22126</v>
      </c>
      <c r="Z3122" t="s">
        <v>28440</v>
      </c>
      <c r="AA3122">
        <v>0.47197005109232498</v>
      </c>
      <c r="AB3122" t="str">
        <f>HYPERLINK("Melting_Curves/meltCurve_Q02833_3_RASSF7.pdf", "Melting_Curves/meltCurve_Q02833_3_RASSF7.pdf")</f>
        <v>Melting_Curves/meltCurve_Q02833_3_RASSF7.pdf</v>
      </c>
    </row>
    <row r="3123" spans="1:28" x14ac:dyDescent="0.25">
      <c r="A3123" t="s">
        <v>3127</v>
      </c>
      <c r="B3123">
        <v>0.99542014353169495</v>
      </c>
      <c r="C3123">
        <v>0.90648071321632395</v>
      </c>
      <c r="D3123">
        <v>0.94816139236110997</v>
      </c>
      <c r="E3123">
        <v>0.807969532001239</v>
      </c>
      <c r="F3123">
        <v>0.63493613612262401</v>
      </c>
      <c r="G3123">
        <v>0.27932459833504603</v>
      </c>
      <c r="H3123">
        <v>0.154413602578305</v>
      </c>
      <c r="I3123">
        <v>6.0085991177573302E-2</v>
      </c>
      <c r="J3123">
        <v>7.6490119176412893E-2</v>
      </c>
      <c r="K3123">
        <v>8.6930010647758904E-2</v>
      </c>
      <c r="L3123">
        <v>885.56900807903298</v>
      </c>
      <c r="M3123">
        <v>17.3939890466092</v>
      </c>
      <c r="N3123">
        <v>51.164791084124403</v>
      </c>
      <c r="O3123">
        <v>50.253715842379499</v>
      </c>
      <c r="P3123">
        <v>-8.2977574437706106E-2</v>
      </c>
      <c r="Q3123">
        <v>4.1117946569777103E-2</v>
      </c>
      <c r="R3123">
        <v>0.98965785190704203</v>
      </c>
      <c r="S3123" t="s">
        <v>9525</v>
      </c>
      <c r="T3123" t="s">
        <v>12802</v>
      </c>
      <c r="U3123" t="s">
        <v>12802</v>
      </c>
      <c r="V3123" t="s">
        <v>12802</v>
      </c>
      <c r="W3123" t="s">
        <v>15875</v>
      </c>
      <c r="X3123">
        <v>7</v>
      </c>
      <c r="Y3123" t="s">
        <v>22127</v>
      </c>
      <c r="Z3123" t="s">
        <v>28441</v>
      </c>
      <c r="AA3123">
        <v>0.50149644172118135</v>
      </c>
      <c r="AB3123" t="str">
        <f>HYPERLINK("Melting_Curves/meltCurve_Q02878_RPL6.pdf", "Melting_Curves/meltCurve_Q02878_RPL6.pdf")</f>
        <v>Melting_Curves/meltCurve_Q02878_RPL6.pdf</v>
      </c>
    </row>
    <row r="3124" spans="1:28" x14ac:dyDescent="0.25">
      <c r="A3124" t="s">
        <v>3128</v>
      </c>
      <c r="B3124">
        <v>0.99542014353169495</v>
      </c>
      <c r="C3124">
        <v>0.84183569382787304</v>
      </c>
      <c r="D3124">
        <v>0.92072263204389304</v>
      </c>
      <c r="E3124">
        <v>0.469105837754491</v>
      </c>
      <c r="F3124">
        <v>0.171824511130963</v>
      </c>
      <c r="G3124">
        <v>0.10393237420606399</v>
      </c>
      <c r="H3124">
        <v>6.23070810245447E-2</v>
      </c>
      <c r="I3124">
        <v>4.5882900517446097E-2</v>
      </c>
      <c r="J3124">
        <v>4.1333272673581598E-2</v>
      </c>
      <c r="K3124">
        <v>4.7266079659269399E-2</v>
      </c>
      <c r="L3124">
        <v>1101.03782723056</v>
      </c>
      <c r="M3124">
        <v>23.796122818106401</v>
      </c>
      <c r="N3124">
        <v>46.4710059098161</v>
      </c>
      <c r="O3124">
        <v>45.9465815138173</v>
      </c>
      <c r="P3124">
        <v>-0.12313618368623599</v>
      </c>
      <c r="Q3124">
        <v>4.8988911909006803E-2</v>
      </c>
      <c r="R3124">
        <v>0.98431426851767201</v>
      </c>
      <c r="S3124" t="s">
        <v>9526</v>
      </c>
      <c r="T3124" t="s">
        <v>12802</v>
      </c>
      <c r="U3124" t="s">
        <v>12802</v>
      </c>
      <c r="V3124" t="s">
        <v>12802</v>
      </c>
      <c r="W3124" t="s">
        <v>15876</v>
      </c>
      <c r="X3124">
        <v>32</v>
      </c>
      <c r="Y3124" t="s">
        <v>22128</v>
      </c>
      <c r="Z3124" t="s">
        <v>28442</v>
      </c>
      <c r="AA3124">
        <v>0.35158288412319311</v>
      </c>
      <c r="AB3124" t="str">
        <f>HYPERLINK("Melting_Curves/meltCurve_Q02880_2_TOP2B.pdf", "Melting_Curves/meltCurve_Q02880_2_TOP2B.pdf")</f>
        <v>Melting_Curves/meltCurve_Q02880_2_TOP2B.pdf</v>
      </c>
    </row>
    <row r="3125" spans="1:28" x14ac:dyDescent="0.25">
      <c r="A3125" t="s">
        <v>3129</v>
      </c>
      <c r="B3125">
        <v>0.99542014353169495</v>
      </c>
      <c r="C3125">
        <v>0.91715785387890003</v>
      </c>
      <c r="D3125">
        <v>0.80936224422932501</v>
      </c>
      <c r="E3125">
        <v>0.68467976116926799</v>
      </c>
      <c r="F3125">
        <v>0.60934240556792996</v>
      </c>
      <c r="G3125">
        <v>0.42273095400687899</v>
      </c>
      <c r="H3125">
        <v>0.31922637939338899</v>
      </c>
      <c r="I3125">
        <v>0.29326126613803</v>
      </c>
      <c r="J3125">
        <v>0.39062680843827402</v>
      </c>
      <c r="K3125">
        <v>0.53549736315451602</v>
      </c>
      <c r="L3125">
        <v>632.83431353380695</v>
      </c>
      <c r="M3125">
        <v>13.658844595425601</v>
      </c>
      <c r="N3125">
        <v>51.438351365148797</v>
      </c>
      <c r="O3125">
        <v>45.372200573788803</v>
      </c>
      <c r="P3125">
        <v>-4.7333054991870599E-2</v>
      </c>
      <c r="Q3125">
        <v>0.37116437758021098</v>
      </c>
      <c r="R3125">
        <v>0.90847175402902702</v>
      </c>
      <c r="S3125" t="s">
        <v>9527</v>
      </c>
      <c r="T3125" t="s">
        <v>12802</v>
      </c>
      <c r="U3125" t="s">
        <v>12802</v>
      </c>
      <c r="V3125" t="s">
        <v>12802</v>
      </c>
      <c r="W3125" t="s">
        <v>15877</v>
      </c>
      <c r="X3125">
        <v>7</v>
      </c>
      <c r="Y3125" t="s">
        <v>22129</v>
      </c>
      <c r="Z3125" t="s">
        <v>28443</v>
      </c>
      <c r="AA3125">
        <v>0.58382328043949228</v>
      </c>
      <c r="AB3125" t="str">
        <f>HYPERLINK("Melting_Curves/meltCurve_Q02952_3_AKAP12.pdf", "Melting_Curves/meltCurve_Q02952_3_AKAP12.pdf")</f>
        <v>Melting_Curves/meltCurve_Q02952_3_AKAP12.pdf</v>
      </c>
    </row>
    <row r="3126" spans="1:28" x14ac:dyDescent="0.25">
      <c r="A3126" t="s">
        <v>3130</v>
      </c>
      <c r="B3126">
        <v>0.99542014353169495</v>
      </c>
      <c r="C3126">
        <v>1.0063342441734799</v>
      </c>
      <c r="D3126">
        <v>0.86919700386531695</v>
      </c>
      <c r="E3126">
        <v>0.71909301338669696</v>
      </c>
      <c r="F3126">
        <v>0.51486351983137801</v>
      </c>
      <c r="G3126">
        <v>0.30313564732874099</v>
      </c>
      <c r="H3126">
        <v>0.14993117131525599</v>
      </c>
      <c r="I3126">
        <v>0.10736379042597</v>
      </c>
      <c r="J3126">
        <v>9.4836169167806697E-2</v>
      </c>
      <c r="K3126">
        <v>0.10966309245012699</v>
      </c>
      <c r="L3126">
        <v>692.00941416174601</v>
      </c>
      <c r="M3126">
        <v>13.946091131938401</v>
      </c>
      <c r="N3126">
        <v>50.054765229937097</v>
      </c>
      <c r="O3126">
        <v>48.633464577897797</v>
      </c>
      <c r="P3126">
        <v>-6.7612325902197803E-2</v>
      </c>
      <c r="Q3126">
        <v>5.7003159411761997E-2</v>
      </c>
      <c r="R3126">
        <v>0.99613635231069997</v>
      </c>
      <c r="S3126" t="s">
        <v>9528</v>
      </c>
      <c r="T3126" t="s">
        <v>12802</v>
      </c>
      <c r="U3126" t="s">
        <v>12802</v>
      </c>
      <c r="V3126" t="s">
        <v>12802</v>
      </c>
      <c r="W3126" t="s">
        <v>15878</v>
      </c>
      <c r="X3126">
        <v>3</v>
      </c>
      <c r="Y3126" t="s">
        <v>22130</v>
      </c>
      <c r="Z3126" t="s">
        <v>28444</v>
      </c>
      <c r="AA3126">
        <v>0.47587045882191059</v>
      </c>
      <c r="AB3126" t="str">
        <f>HYPERLINK("Melting_Curves/meltCurve_Q03013_2_GSTM4.pdf", "Melting_Curves/meltCurve_Q03013_2_GSTM4.pdf")</f>
        <v>Melting_Curves/meltCurve_Q03013_2_GSTM4.pdf</v>
      </c>
    </row>
    <row r="3127" spans="1:28" x14ac:dyDescent="0.25">
      <c r="A3127" t="s">
        <v>3131</v>
      </c>
      <c r="B3127">
        <v>0.99542014353169495</v>
      </c>
      <c r="C3127">
        <v>0.92942261909867496</v>
      </c>
      <c r="D3127">
        <v>0.79740768945297902</v>
      </c>
      <c r="E3127">
        <v>0.63167872217070198</v>
      </c>
      <c r="F3127">
        <v>0.42201181209277899</v>
      </c>
      <c r="G3127">
        <v>0.29377681673702</v>
      </c>
      <c r="H3127">
        <v>0.186011074982316</v>
      </c>
      <c r="I3127">
        <v>0.14740665943037301</v>
      </c>
      <c r="J3127">
        <v>0.177132888864384</v>
      </c>
      <c r="K3127">
        <v>0.19090413754552801</v>
      </c>
      <c r="L3127">
        <v>626.09580617076597</v>
      </c>
      <c r="M3127">
        <v>13.2221285869452</v>
      </c>
      <c r="N3127">
        <v>48.546256851178697</v>
      </c>
      <c r="O3127">
        <v>46.308280303209798</v>
      </c>
      <c r="P3127">
        <v>-6.1481955777037502E-2</v>
      </c>
      <c r="Q3127">
        <v>0.13882161398428999</v>
      </c>
      <c r="R3127">
        <v>0.99537773688134601</v>
      </c>
      <c r="S3127" t="s">
        <v>9529</v>
      </c>
      <c r="T3127" t="s">
        <v>12802</v>
      </c>
      <c r="U3127" t="s">
        <v>12802</v>
      </c>
      <c r="V3127" t="s">
        <v>12802</v>
      </c>
      <c r="W3127" t="s">
        <v>15879</v>
      </c>
      <c r="X3127">
        <v>3</v>
      </c>
      <c r="Y3127" t="s">
        <v>22131</v>
      </c>
      <c r="Z3127" t="s">
        <v>28445</v>
      </c>
      <c r="AA3127">
        <v>0.4598255914937488</v>
      </c>
      <c r="AB3127" t="str">
        <f>HYPERLINK("Melting_Curves/meltCurve_Q03014_HHEX.pdf", "Melting_Curves/meltCurve_Q03014_HHEX.pdf")</f>
        <v>Melting_Curves/meltCurve_Q03014_HHEX.pdf</v>
      </c>
    </row>
    <row r="3128" spans="1:28" x14ac:dyDescent="0.25">
      <c r="A3128" t="s">
        <v>3132</v>
      </c>
      <c r="B3128">
        <v>0.99542014353169495</v>
      </c>
      <c r="C3128">
        <v>0.96063076973261297</v>
      </c>
      <c r="D3128">
        <v>1.0294450413873</v>
      </c>
      <c r="E3128">
        <v>0.94333627761817795</v>
      </c>
      <c r="F3128">
        <v>0.73199505497727402</v>
      </c>
      <c r="G3128">
        <v>0.495706577415155</v>
      </c>
      <c r="H3128">
        <v>0.33816789571628902</v>
      </c>
      <c r="I3128">
        <v>0.29202771480873801</v>
      </c>
      <c r="J3128">
        <v>0.48955321549341202</v>
      </c>
      <c r="K3128">
        <v>0.72059964943766797</v>
      </c>
      <c r="L3128">
        <v>2030.41640772443</v>
      </c>
      <c r="M3128">
        <v>40.495238424518398</v>
      </c>
      <c r="N3128">
        <v>53.500456233856802</v>
      </c>
      <c r="O3128">
        <v>50.017831930610299</v>
      </c>
      <c r="P3128">
        <v>-0.109153070254528</v>
      </c>
      <c r="Q3128">
        <v>0.46071797466249997</v>
      </c>
      <c r="R3128">
        <v>0.83555849966118101</v>
      </c>
      <c r="S3128" t="s">
        <v>9530</v>
      </c>
      <c r="T3128" t="s">
        <v>12802</v>
      </c>
      <c r="U3128" t="s">
        <v>12802</v>
      </c>
      <c r="V3128" t="s">
        <v>12802</v>
      </c>
      <c r="W3128" t="s">
        <v>15880</v>
      </c>
      <c r="X3128">
        <v>4</v>
      </c>
      <c r="Y3128" t="s">
        <v>22132</v>
      </c>
      <c r="Z3128" t="s">
        <v>28446</v>
      </c>
      <c r="AA3128">
        <v>0.69873905307417361</v>
      </c>
      <c r="AB3128" t="str">
        <f>HYPERLINK("Melting_Curves/meltCurve_Q03060_9_CREM.pdf", "Melting_Curves/meltCurve_Q03060_9_CREM.pdf")</f>
        <v>Melting_Curves/meltCurve_Q03060_9_CREM.pdf</v>
      </c>
    </row>
    <row r="3129" spans="1:28" x14ac:dyDescent="0.25">
      <c r="A3129" t="s">
        <v>3133</v>
      </c>
      <c r="B3129">
        <v>0.99542014353169495</v>
      </c>
      <c r="C3129">
        <v>1.00896537932829</v>
      </c>
      <c r="D3129">
        <v>0.88267888464358302</v>
      </c>
      <c r="E3129">
        <v>0.69711139248071896</v>
      </c>
      <c r="F3129">
        <v>0.55465472684498196</v>
      </c>
      <c r="G3129">
        <v>0.35531087098769698</v>
      </c>
      <c r="H3129">
        <v>0.200033687517569</v>
      </c>
      <c r="I3129">
        <v>0.10881449015610099</v>
      </c>
      <c r="J3129">
        <v>8.2486470201981799E-2</v>
      </c>
      <c r="K3129">
        <v>9.01279679535852E-2</v>
      </c>
      <c r="L3129">
        <v>598.38381733223196</v>
      </c>
      <c r="M3129">
        <v>11.8344424575514</v>
      </c>
      <c r="N3129">
        <v>50.703864210196897</v>
      </c>
      <c r="O3129">
        <v>49.183989031130302</v>
      </c>
      <c r="P3129">
        <v>-5.9195598085298097E-2</v>
      </c>
      <c r="Q3129">
        <v>1.6181729951501401E-2</v>
      </c>
      <c r="R3129">
        <v>0.99527445174904505</v>
      </c>
      <c r="S3129" t="s">
        <v>9531</v>
      </c>
      <c r="T3129" t="s">
        <v>12802</v>
      </c>
      <c r="U3129" t="s">
        <v>12802</v>
      </c>
      <c r="V3129" t="s">
        <v>12802</v>
      </c>
      <c r="W3129" t="s">
        <v>15881</v>
      </c>
      <c r="X3129">
        <v>3</v>
      </c>
      <c r="Y3129" t="s">
        <v>22133</v>
      </c>
      <c r="Z3129" t="s">
        <v>28447</v>
      </c>
      <c r="AA3129">
        <v>0.4878451062792083</v>
      </c>
      <c r="AB3129" t="str">
        <f>HYPERLINK("Melting_Curves/meltCurve_Q03111_MLLT1.pdf", "Melting_Curves/meltCurve_Q03111_MLLT1.pdf")</f>
        <v>Melting_Curves/meltCurve_Q03111_MLLT1.pdf</v>
      </c>
    </row>
    <row r="3130" spans="1:28" x14ac:dyDescent="0.25">
      <c r="A3130" t="s">
        <v>3134</v>
      </c>
      <c r="B3130">
        <v>0.99542014353169495</v>
      </c>
      <c r="C3130">
        <v>1.0310081406743301</v>
      </c>
      <c r="D3130">
        <v>1.01833144040294</v>
      </c>
      <c r="E3130">
        <v>0.98385911064683995</v>
      </c>
      <c r="F3130">
        <v>0.81397908341843295</v>
      </c>
      <c r="G3130">
        <v>0.62626046282153303</v>
      </c>
      <c r="H3130">
        <v>0.50533843071224704</v>
      </c>
      <c r="I3130">
        <v>0.48273537523482801</v>
      </c>
      <c r="J3130">
        <v>0.71654937770106597</v>
      </c>
      <c r="K3130">
        <v>0.771801195792023</v>
      </c>
      <c r="L3130">
        <v>2995.04698498477</v>
      </c>
      <c r="M3130">
        <v>59.623750116364697</v>
      </c>
      <c r="O3130">
        <v>50.176034982489</v>
      </c>
      <c r="P3130">
        <v>-0.113149025444442</v>
      </c>
      <c r="Q3130">
        <v>0.61912043594369104</v>
      </c>
      <c r="R3130">
        <v>0.834615449926427</v>
      </c>
      <c r="S3130" t="s">
        <v>9532</v>
      </c>
      <c r="T3130" t="s">
        <v>12802</v>
      </c>
      <c r="U3130" t="s">
        <v>12802</v>
      </c>
      <c r="V3130" t="s">
        <v>12802</v>
      </c>
      <c r="W3130" t="s">
        <v>15882</v>
      </c>
      <c r="X3130">
        <v>22</v>
      </c>
      <c r="Y3130" t="s">
        <v>22134</v>
      </c>
      <c r="Z3130" t="s">
        <v>28448</v>
      </c>
      <c r="AA3130">
        <v>0.78771191197747836</v>
      </c>
      <c r="AB3130" t="str">
        <f>HYPERLINK("Melting_Curves/meltCurve_Q03154_ACY1.pdf", "Melting_Curves/meltCurve_Q03154_ACY1.pdf")</f>
        <v>Melting_Curves/meltCurve_Q03154_ACY1.pdf</v>
      </c>
    </row>
    <row r="3131" spans="1:28" x14ac:dyDescent="0.25">
      <c r="A3131" t="s">
        <v>3135</v>
      </c>
      <c r="B3131">
        <v>0.99542014353169495</v>
      </c>
      <c r="C3131">
        <v>1.2215040138511299</v>
      </c>
      <c r="D3131">
        <v>1.24517224994992</v>
      </c>
      <c r="E3131">
        <v>0.63397786016048097</v>
      </c>
      <c r="F3131">
        <v>0.73848596870060601</v>
      </c>
      <c r="G3131">
        <v>0.55276517390749103</v>
      </c>
      <c r="H3131">
        <v>8.7996127998781995E-2</v>
      </c>
      <c r="I3131">
        <v>7.3571396452232998E-2</v>
      </c>
      <c r="J3131">
        <v>0.32259494853991</v>
      </c>
      <c r="K3131">
        <v>0.43091832229140797</v>
      </c>
      <c r="L3131">
        <v>1009.37949073401</v>
      </c>
      <c r="M3131">
        <v>19.8964950791127</v>
      </c>
      <c r="N3131">
        <v>52.386079348761797</v>
      </c>
      <c r="O3131">
        <v>50.227383967495697</v>
      </c>
      <c r="P3131">
        <v>-7.5932413220626299E-2</v>
      </c>
      <c r="Q3131">
        <v>0.233280084557832</v>
      </c>
      <c r="R3131">
        <v>0.79387529316615102</v>
      </c>
      <c r="S3131" t="s">
        <v>9533</v>
      </c>
      <c r="T3131" t="s">
        <v>12802</v>
      </c>
      <c r="U3131" t="s">
        <v>12802</v>
      </c>
      <c r="V3131" t="s">
        <v>12802</v>
      </c>
      <c r="W3131" t="s">
        <v>15883</v>
      </c>
      <c r="X3131">
        <v>4</v>
      </c>
      <c r="Y3131" t="s">
        <v>22135</v>
      </c>
      <c r="Z3131" t="s">
        <v>28449</v>
      </c>
      <c r="AA3131">
        <v>0.59437036378612096</v>
      </c>
      <c r="AB3131" t="str">
        <f>HYPERLINK("Melting_Curves/meltCurve_Q03167_2_TGFBR3.pdf", "Melting_Curves/meltCurve_Q03167_2_TGFBR3.pdf")</f>
        <v>Melting_Curves/meltCurve_Q03167_2_TGFBR3.pdf</v>
      </c>
    </row>
    <row r="3132" spans="1:28" x14ac:dyDescent="0.25">
      <c r="A3132" t="s">
        <v>3136</v>
      </c>
      <c r="B3132">
        <v>0.99542014353169495</v>
      </c>
      <c r="C3132">
        <v>1.05773116081304</v>
      </c>
      <c r="D3132">
        <v>0.97328710766841997</v>
      </c>
      <c r="E3132">
        <v>0.64839018090298395</v>
      </c>
      <c r="F3132">
        <v>0.43291162680866202</v>
      </c>
      <c r="G3132">
        <v>0.221089540339477</v>
      </c>
      <c r="H3132">
        <v>0.18134873221507899</v>
      </c>
      <c r="I3132">
        <v>0.11707794704564101</v>
      </c>
      <c r="J3132">
        <v>0.13782633635669</v>
      </c>
      <c r="K3132">
        <v>0.13163423663943699</v>
      </c>
      <c r="L3132">
        <v>951.65229649985895</v>
      </c>
      <c r="M3132">
        <v>19.764422376682699</v>
      </c>
      <c r="N3132">
        <v>48.888682445993098</v>
      </c>
      <c r="O3132">
        <v>47.664967291040803</v>
      </c>
      <c r="P3132">
        <v>-9.0281626732910999E-2</v>
      </c>
      <c r="Q3132">
        <v>0.12911706423401401</v>
      </c>
      <c r="R3132">
        <v>0.990935393116948</v>
      </c>
      <c r="S3132" t="s">
        <v>9534</v>
      </c>
      <c r="T3132" t="s">
        <v>12802</v>
      </c>
      <c r="U3132" t="s">
        <v>12802</v>
      </c>
      <c r="V3132" t="s">
        <v>12802</v>
      </c>
      <c r="W3132" t="s">
        <v>15884</v>
      </c>
      <c r="X3132">
        <v>8</v>
      </c>
      <c r="Y3132" t="s">
        <v>22136</v>
      </c>
      <c r="Z3132" t="s">
        <v>28450</v>
      </c>
      <c r="AA3132">
        <v>0.46449414758229629</v>
      </c>
      <c r="AB3132" t="str">
        <f>HYPERLINK("Melting_Curves/meltCurve_Q03169_TNFAIP2.pdf", "Melting_Curves/meltCurve_Q03169_TNFAIP2.pdf")</f>
        <v>Melting_Curves/meltCurve_Q03169_TNFAIP2.pdf</v>
      </c>
    </row>
    <row r="3133" spans="1:28" x14ac:dyDescent="0.25">
      <c r="A3133" t="s">
        <v>3137</v>
      </c>
      <c r="B3133">
        <v>0.99542014353169495</v>
      </c>
      <c r="C3133">
        <v>0.99706850633961797</v>
      </c>
      <c r="D3133">
        <v>0.96241068542731201</v>
      </c>
      <c r="E3133">
        <v>0.60272120642871296</v>
      </c>
      <c r="F3133">
        <v>0.24421532311661101</v>
      </c>
      <c r="G3133">
        <v>0.124950586392818</v>
      </c>
      <c r="H3133">
        <v>7.6402989608815794E-2</v>
      </c>
      <c r="I3133">
        <v>6.2295343955987202E-2</v>
      </c>
      <c r="J3133">
        <v>6.8859423642286394E-2</v>
      </c>
      <c r="K3133">
        <v>9.1574073813478998E-2</v>
      </c>
      <c r="L3133">
        <v>1252.21263978608</v>
      </c>
      <c r="M3133">
        <v>26.5247495112019</v>
      </c>
      <c r="N3133">
        <v>47.505875567271801</v>
      </c>
      <c r="O3133">
        <v>46.943337102294102</v>
      </c>
      <c r="P3133">
        <v>-0.13047941641335201</v>
      </c>
      <c r="Q3133">
        <v>7.6323288332283898E-2</v>
      </c>
      <c r="R3133">
        <v>0.99881640458099796</v>
      </c>
      <c r="S3133" t="s">
        <v>9535</v>
      </c>
      <c r="T3133" t="s">
        <v>12802</v>
      </c>
      <c r="U3133" t="s">
        <v>12802</v>
      </c>
      <c r="V3133" t="s">
        <v>12802</v>
      </c>
      <c r="W3133" t="s">
        <v>15885</v>
      </c>
      <c r="X3133">
        <v>9</v>
      </c>
      <c r="Y3133" t="s">
        <v>22137</v>
      </c>
      <c r="Z3133" t="s">
        <v>28451</v>
      </c>
      <c r="AA3133">
        <v>0.39756563303140408</v>
      </c>
      <c r="AB3133" t="str">
        <f>HYPERLINK("Melting_Curves/meltCurve_Q04446_GBE1.pdf", "Melting_Curves/meltCurve_Q04446_GBE1.pdf")</f>
        <v>Melting_Curves/meltCurve_Q04446_GBE1.pdf</v>
      </c>
    </row>
    <row r="3134" spans="1:28" x14ac:dyDescent="0.25">
      <c r="A3134" t="s">
        <v>3138</v>
      </c>
      <c r="B3134">
        <v>0.99542014353169495</v>
      </c>
      <c r="C3134">
        <v>0.98617603989575198</v>
      </c>
      <c r="D3134">
        <v>1.0097728444373499</v>
      </c>
      <c r="E3134">
        <v>0.88413780144328902</v>
      </c>
      <c r="F3134">
        <v>0.59791941366274004</v>
      </c>
      <c r="G3134">
        <v>0.18400248147131101</v>
      </c>
      <c r="H3134">
        <v>9.5183024499735605E-2</v>
      </c>
      <c r="I3134">
        <v>5.8546738302124299E-2</v>
      </c>
      <c r="J3134">
        <v>5.1867624203150602E-2</v>
      </c>
      <c r="K3134">
        <v>4.57342052941156E-2</v>
      </c>
      <c r="L3134">
        <v>1360.66463747792</v>
      </c>
      <c r="M3134">
        <v>26.880038947647702</v>
      </c>
      <c r="N3134">
        <v>50.803548644582101</v>
      </c>
      <c r="O3134">
        <v>50.3422150401191</v>
      </c>
      <c r="P3134">
        <v>-0.12730735084768199</v>
      </c>
      <c r="Q3134">
        <v>4.6300577182791E-2</v>
      </c>
      <c r="R3134">
        <v>0.99852698570135801</v>
      </c>
      <c r="S3134" t="s">
        <v>9536</v>
      </c>
      <c r="T3134" t="s">
        <v>12802</v>
      </c>
      <c r="U3134" t="s">
        <v>12802</v>
      </c>
      <c r="V3134" t="s">
        <v>12802</v>
      </c>
      <c r="W3134" t="s">
        <v>15886</v>
      </c>
      <c r="X3134">
        <v>15</v>
      </c>
      <c r="Y3134" t="s">
        <v>22138</v>
      </c>
      <c r="Z3134" t="s">
        <v>28452</v>
      </c>
      <c r="AA3134">
        <v>0.48658812843420268</v>
      </c>
      <c r="AB3134" t="str">
        <f>HYPERLINK("Melting_Curves/meltCurve_Q04656_5_ATP7A.pdf", "Melting_Curves/meltCurve_Q04656_5_ATP7A.pdf")</f>
        <v>Melting_Curves/meltCurve_Q04656_5_ATP7A.pdf</v>
      </c>
    </row>
    <row r="3135" spans="1:28" x14ac:dyDescent="0.25">
      <c r="A3135" t="s">
        <v>3139</v>
      </c>
      <c r="B3135">
        <v>0.99542014353169495</v>
      </c>
      <c r="C3135">
        <v>0.99636304434857603</v>
      </c>
      <c r="D3135">
        <v>0.960819756068921</v>
      </c>
      <c r="E3135">
        <v>0.74078426438987099</v>
      </c>
      <c r="F3135">
        <v>0.32388380409002299</v>
      </c>
      <c r="G3135">
        <v>9.3486617592693902E-2</v>
      </c>
      <c r="H3135">
        <v>5.0180865028258803E-2</v>
      </c>
      <c r="I3135">
        <v>2.8137676752187101E-2</v>
      </c>
      <c r="J3135">
        <v>4.4976648824195803E-2</v>
      </c>
      <c r="K3135">
        <v>3.0682774844009199E-2</v>
      </c>
      <c r="L3135">
        <v>1224.7212156635401</v>
      </c>
      <c r="M3135">
        <v>25.2604564028005</v>
      </c>
      <c r="N3135">
        <v>48.603464827344197</v>
      </c>
      <c r="O3135">
        <v>48.1829175798214</v>
      </c>
      <c r="P3135">
        <v>-0.127113379224956</v>
      </c>
      <c r="Q3135">
        <v>3.0165214780023E-2</v>
      </c>
      <c r="R3135">
        <v>0.99977529679325505</v>
      </c>
      <c r="S3135" t="s">
        <v>9537</v>
      </c>
      <c r="T3135" t="s">
        <v>12802</v>
      </c>
      <c r="U3135" t="s">
        <v>12802</v>
      </c>
      <c r="V3135" t="s">
        <v>12802</v>
      </c>
      <c r="W3135" t="s">
        <v>15887</v>
      </c>
      <c r="X3135">
        <v>10</v>
      </c>
      <c r="Y3135" t="s">
        <v>22139</v>
      </c>
      <c r="Z3135" t="s">
        <v>28453</v>
      </c>
      <c r="AA3135">
        <v>0.40956356838179558</v>
      </c>
      <c r="AB3135" t="str">
        <f>HYPERLINK("Melting_Curves/meltCurve_Q04759_PRKCQ.pdf", "Melting_Curves/meltCurve_Q04759_PRKCQ.pdf")</f>
        <v>Melting_Curves/meltCurve_Q04759_PRKCQ.pdf</v>
      </c>
    </row>
    <row r="3136" spans="1:28" x14ac:dyDescent="0.25">
      <c r="A3136" t="s">
        <v>3140</v>
      </c>
      <c r="B3136">
        <v>0.99542014353169495</v>
      </c>
      <c r="C3136">
        <v>1.04021111140157</v>
      </c>
      <c r="D3136">
        <v>0.97674687785005898</v>
      </c>
      <c r="E3136">
        <v>0.97682082513297397</v>
      </c>
      <c r="F3136">
        <v>0.79165909223405395</v>
      </c>
      <c r="G3136">
        <v>0.73080907955982899</v>
      </c>
      <c r="H3136">
        <v>0.49495857747472999</v>
      </c>
      <c r="I3136">
        <v>0.45205458175638502</v>
      </c>
      <c r="J3136">
        <v>0.46831948197040502</v>
      </c>
      <c r="K3136">
        <v>0.191309025599111</v>
      </c>
      <c r="L3136">
        <v>564.00850085549303</v>
      </c>
      <c r="M3136">
        <v>9.7237383504004793</v>
      </c>
      <c r="N3136">
        <v>59.137315002102802</v>
      </c>
      <c r="O3136">
        <v>55.709502547006402</v>
      </c>
      <c r="P3136">
        <v>-3.9945893635624299E-2</v>
      </c>
      <c r="Q3136">
        <v>8.50589108309808E-2</v>
      </c>
      <c r="R3136">
        <v>0.953331610386141</v>
      </c>
      <c r="S3136" t="s">
        <v>9538</v>
      </c>
      <c r="T3136" t="s">
        <v>12802</v>
      </c>
      <c r="U3136" t="s">
        <v>12802</v>
      </c>
      <c r="V3136" t="s">
        <v>12802</v>
      </c>
      <c r="W3136" t="s">
        <v>15888</v>
      </c>
      <c r="X3136">
        <v>14</v>
      </c>
      <c r="Y3136" t="s">
        <v>22140</v>
      </c>
      <c r="Z3136" t="s">
        <v>28454</v>
      </c>
      <c r="AA3136">
        <v>0.71651859760303072</v>
      </c>
      <c r="AB3136" t="str">
        <f>HYPERLINK("Melting_Curves/meltCurve_Q04760_GLO1.pdf", "Melting_Curves/meltCurve_Q04760_GLO1.pdf")</f>
        <v>Melting_Curves/meltCurve_Q04760_GLO1.pdf</v>
      </c>
    </row>
    <row r="3137" spans="1:28" x14ac:dyDescent="0.25">
      <c r="A3137" t="s">
        <v>3141</v>
      </c>
      <c r="B3137">
        <v>0.99542014353169495</v>
      </c>
      <c r="C3137">
        <v>0.96818217809391904</v>
      </c>
      <c r="D3137">
        <v>0.95621217531777203</v>
      </c>
      <c r="E3137">
        <v>0.77116411612792202</v>
      </c>
      <c r="F3137">
        <v>0.409895074175255</v>
      </c>
      <c r="G3137">
        <v>0.176997870080599</v>
      </c>
      <c r="H3137">
        <v>0.105516173720006</v>
      </c>
      <c r="I3137">
        <v>8.3150896073301506E-2</v>
      </c>
      <c r="J3137">
        <v>5.6860072705095001E-2</v>
      </c>
      <c r="K3137">
        <v>3.6337276726795598E-2</v>
      </c>
      <c r="L3137">
        <v>1032.1414387249899</v>
      </c>
      <c r="M3137">
        <v>21.037469796757598</v>
      </c>
      <c r="N3137">
        <v>49.319907663797203</v>
      </c>
      <c r="O3137">
        <v>48.625211464922998</v>
      </c>
      <c r="P3137">
        <v>-0.102531298186608</v>
      </c>
      <c r="Q3137">
        <v>5.20777495529322E-2</v>
      </c>
      <c r="R3137">
        <v>0.99909866852876295</v>
      </c>
      <c r="S3137" t="s">
        <v>9539</v>
      </c>
      <c r="T3137" t="s">
        <v>12802</v>
      </c>
      <c r="U3137" t="s">
        <v>12802</v>
      </c>
      <c r="V3137" t="s">
        <v>12802</v>
      </c>
      <c r="W3137" t="s">
        <v>15889</v>
      </c>
      <c r="X3137">
        <v>5</v>
      </c>
      <c r="Y3137" t="s">
        <v>22141</v>
      </c>
      <c r="Z3137" t="s">
        <v>28455</v>
      </c>
      <c r="AA3137">
        <v>0.44458903547206508</v>
      </c>
      <c r="AB3137" t="str">
        <f>HYPERLINK("Melting_Curves/meltCurve_Q04771_ACVR1.pdf", "Melting_Curves/meltCurve_Q04771_ACVR1.pdf")</f>
        <v>Melting_Curves/meltCurve_Q04771_ACVR1.pdf</v>
      </c>
    </row>
    <row r="3138" spans="1:28" x14ac:dyDescent="0.25">
      <c r="A3138" t="s">
        <v>3142</v>
      </c>
      <c r="B3138">
        <v>0.99542014353169495</v>
      </c>
      <c r="C3138">
        <v>0.98830218614409304</v>
      </c>
      <c r="D3138">
        <v>0.97778624636621903</v>
      </c>
      <c r="E3138">
        <v>0.58025504271003803</v>
      </c>
      <c r="F3138">
        <v>0.22276985438306099</v>
      </c>
      <c r="G3138">
        <v>0.14531845424040801</v>
      </c>
      <c r="H3138">
        <v>9.3634935656612198E-2</v>
      </c>
      <c r="I3138">
        <v>7.7341887839295603E-2</v>
      </c>
      <c r="J3138">
        <v>0.100026502231811</v>
      </c>
      <c r="K3138">
        <v>9.1439251410446107E-2</v>
      </c>
      <c r="L3138">
        <v>1393.25837128129</v>
      </c>
      <c r="M3138">
        <v>29.690264179527102</v>
      </c>
      <c r="N3138">
        <v>47.271615725205102</v>
      </c>
      <c r="O3138">
        <v>46.715098267296803</v>
      </c>
      <c r="P3138">
        <v>-0.14340663588957001</v>
      </c>
      <c r="Q3138">
        <v>9.7453668540168195E-2</v>
      </c>
      <c r="R3138">
        <v>0.99810290848418803</v>
      </c>
      <c r="S3138" t="s">
        <v>9540</v>
      </c>
      <c r="T3138" t="s">
        <v>12802</v>
      </c>
      <c r="U3138" t="s">
        <v>12802</v>
      </c>
      <c r="V3138" t="s">
        <v>12802</v>
      </c>
      <c r="W3138" t="s">
        <v>15890</v>
      </c>
      <c r="X3138">
        <v>20</v>
      </c>
      <c r="Y3138" t="s">
        <v>22142</v>
      </c>
      <c r="Z3138" t="s">
        <v>28456</v>
      </c>
      <c r="AA3138">
        <v>0.40143891854939678</v>
      </c>
      <c r="AB3138" t="str">
        <f>HYPERLINK("Melting_Curves/meltCurve_Q04828_AKR1C1.pdf", "Melting_Curves/meltCurve_Q04828_AKR1C1.pdf")</f>
        <v>Melting_Curves/meltCurve_Q04828_AKR1C1.pdf</v>
      </c>
    </row>
    <row r="3139" spans="1:28" x14ac:dyDescent="0.25">
      <c r="A3139" t="s">
        <v>3143</v>
      </c>
      <c r="B3139">
        <v>0.99542014353169495</v>
      </c>
      <c r="C3139">
        <v>0.97957865301576397</v>
      </c>
      <c r="D3139">
        <v>0.96798058393504904</v>
      </c>
      <c r="E3139">
        <v>0.97924296883986595</v>
      </c>
      <c r="F3139">
        <v>0.75568511420911499</v>
      </c>
      <c r="G3139">
        <v>0.68853970141773801</v>
      </c>
      <c r="H3139">
        <v>0.51278305609862596</v>
      </c>
      <c r="I3139">
        <v>0.61791005480330097</v>
      </c>
      <c r="J3139">
        <v>1.1543695516534001</v>
      </c>
      <c r="K3139">
        <v>1.51519297124902</v>
      </c>
      <c r="L3139">
        <v>15000</v>
      </c>
      <c r="M3139">
        <v>233.203348157623</v>
      </c>
      <c r="O3139">
        <v>64.316816153291896</v>
      </c>
      <c r="P3139">
        <v>0.45323167911554602</v>
      </c>
      <c r="Q3139">
        <v>1.5</v>
      </c>
      <c r="R3139">
        <v>0.288248626651124</v>
      </c>
      <c r="S3139" t="s">
        <v>9541</v>
      </c>
      <c r="T3139" t="s">
        <v>12802</v>
      </c>
      <c r="U3139" t="s">
        <v>12802</v>
      </c>
      <c r="V3139" t="s">
        <v>12802</v>
      </c>
      <c r="W3139" t="s">
        <v>15891</v>
      </c>
      <c r="X3139">
        <v>12</v>
      </c>
      <c r="Y3139" t="s">
        <v>22143</v>
      </c>
      <c r="Z3139" t="s">
        <v>28457</v>
      </c>
      <c r="AA3139">
        <v>1.0445764744966071</v>
      </c>
      <c r="AB3139" t="str">
        <f>HYPERLINK("Melting_Curves/meltCurve_Q04837_SSBP1.pdf", "Melting_Curves/meltCurve_Q04837_SSBP1.pdf")</f>
        <v>Melting_Curves/meltCurve_Q04837_SSBP1.pdf</v>
      </c>
    </row>
    <row r="3140" spans="1:28" x14ac:dyDescent="0.25">
      <c r="A3140" t="s">
        <v>3144</v>
      </c>
      <c r="B3140">
        <v>0.99542014353169495</v>
      </c>
      <c r="C3140">
        <v>1.0147649003260799</v>
      </c>
      <c r="D3140">
        <v>1.0893914662761</v>
      </c>
      <c r="E3140">
        <v>1.1140876648498499</v>
      </c>
      <c r="F3140">
        <v>0.85541912360401995</v>
      </c>
      <c r="G3140">
        <v>0.48015207485487998</v>
      </c>
      <c r="H3140">
        <v>0.17332195443662099</v>
      </c>
      <c r="I3140">
        <v>6.6943211284381798E-2</v>
      </c>
      <c r="J3140">
        <v>6.0439130863861101E-2</v>
      </c>
      <c r="K3140">
        <v>6.8909198501091007E-2</v>
      </c>
      <c r="L3140">
        <v>1617.0558314484599</v>
      </c>
      <c r="M3140">
        <v>30.276110117856501</v>
      </c>
      <c r="N3140">
        <v>53.633189606473202</v>
      </c>
      <c r="O3140">
        <v>53.178902518864</v>
      </c>
      <c r="P3140">
        <v>-0.13391807287826299</v>
      </c>
      <c r="Q3140">
        <v>5.9116730881680603E-2</v>
      </c>
      <c r="R3140">
        <v>0.98712829845779404</v>
      </c>
      <c r="S3140" t="s">
        <v>9542</v>
      </c>
      <c r="T3140" t="s">
        <v>12802</v>
      </c>
      <c r="U3140" t="s">
        <v>12802</v>
      </c>
      <c r="V3140" t="s">
        <v>12802</v>
      </c>
      <c r="W3140" t="s">
        <v>15892</v>
      </c>
      <c r="X3140">
        <v>22</v>
      </c>
      <c r="Y3140" t="s">
        <v>22144</v>
      </c>
      <c r="Z3140" t="s">
        <v>28458</v>
      </c>
      <c r="AA3140">
        <v>0.57968982781977063</v>
      </c>
      <c r="AB3140" t="str">
        <f>HYPERLINK("Melting_Curves/meltCurve_Q04917_YWHAH.pdf", "Melting_Curves/meltCurve_Q04917_YWHAH.pdf")</f>
        <v>Melting_Curves/meltCurve_Q04917_YWHAH.pdf</v>
      </c>
    </row>
    <row r="3141" spans="1:28" x14ac:dyDescent="0.25">
      <c r="A3141" t="s">
        <v>3145</v>
      </c>
      <c r="B3141">
        <v>0.99542014353169495</v>
      </c>
      <c r="C3141">
        <v>1.02077923399877</v>
      </c>
      <c r="D3141">
        <v>1.04836897331659</v>
      </c>
      <c r="E3141">
        <v>0.78670810293192495</v>
      </c>
      <c r="F3141">
        <v>0.81168953540377298</v>
      </c>
      <c r="G3141">
        <v>0.52064798962069503</v>
      </c>
      <c r="H3141">
        <v>0.44459011296717099</v>
      </c>
      <c r="I3141">
        <v>0.365653773661409</v>
      </c>
      <c r="J3141">
        <v>0.44197392361480797</v>
      </c>
      <c r="K3141">
        <v>0.58401638150494195</v>
      </c>
      <c r="L3141">
        <v>1025.10938857315</v>
      </c>
      <c r="M3141">
        <v>20.4703582769293</v>
      </c>
      <c r="N3141">
        <v>56.180436942972399</v>
      </c>
      <c r="O3141">
        <v>49.607192068888601</v>
      </c>
      <c r="P3141">
        <v>-5.7164731626068603E-2</v>
      </c>
      <c r="Q3141">
        <v>0.44589201730160299</v>
      </c>
      <c r="R3141">
        <v>0.90796337707583696</v>
      </c>
      <c r="S3141" t="s">
        <v>9543</v>
      </c>
      <c r="T3141" t="s">
        <v>12802</v>
      </c>
      <c r="U3141" t="s">
        <v>12802</v>
      </c>
      <c r="V3141" t="s">
        <v>12802</v>
      </c>
      <c r="W3141" t="s">
        <v>15893</v>
      </c>
      <c r="X3141">
        <v>1</v>
      </c>
      <c r="Y3141" t="s">
        <v>22145</v>
      </c>
      <c r="Z3141" t="s">
        <v>28459</v>
      </c>
      <c r="AA3141">
        <v>0.69444533939782005</v>
      </c>
      <c r="AB3141" t="str">
        <f>HYPERLINK("Melting_Curves/meltCurve_Q04941_PLP2.pdf", "Melting_Curves/meltCurve_Q04941_PLP2.pdf")</f>
        <v>Melting_Curves/meltCurve_Q04941_PLP2.pdf</v>
      </c>
    </row>
    <row r="3142" spans="1:28" x14ac:dyDescent="0.25">
      <c r="A3142" t="s">
        <v>3146</v>
      </c>
      <c r="B3142">
        <v>0.99542014353169495</v>
      </c>
      <c r="C3142">
        <v>0.88417276641522902</v>
      </c>
      <c r="D3142">
        <v>0.91804413450792</v>
      </c>
      <c r="E3142">
        <v>0.73113585420642402</v>
      </c>
      <c r="F3142">
        <v>0.59756712916685295</v>
      </c>
      <c r="G3142">
        <v>0.34785127543997202</v>
      </c>
      <c r="H3142">
        <v>0.19288850017195799</v>
      </c>
      <c r="I3142">
        <v>0.11815125956380899</v>
      </c>
      <c r="J3142">
        <v>0.108255940719098</v>
      </c>
      <c r="K3142">
        <v>8.0674974050037193E-2</v>
      </c>
      <c r="L3142">
        <v>588.39246867220197</v>
      </c>
      <c r="M3142">
        <v>11.5309351697094</v>
      </c>
      <c r="N3142">
        <v>51.0748618759417</v>
      </c>
      <c r="O3142">
        <v>49.564989627878703</v>
      </c>
      <c r="P3142">
        <v>-5.7866354148685697E-2</v>
      </c>
      <c r="Q3142">
        <v>5.34043231893137E-3</v>
      </c>
      <c r="R3142">
        <v>0.99101067533498099</v>
      </c>
      <c r="S3142" t="s">
        <v>9544</v>
      </c>
      <c r="T3142" t="s">
        <v>12802</v>
      </c>
      <c r="U3142" t="s">
        <v>12802</v>
      </c>
      <c r="V3142" t="s">
        <v>12802</v>
      </c>
      <c r="W3142" t="s">
        <v>15894</v>
      </c>
      <c r="X3142">
        <v>14</v>
      </c>
      <c r="Y3142" t="s">
        <v>22146</v>
      </c>
      <c r="Z3142" t="s">
        <v>28460</v>
      </c>
      <c r="AA3142">
        <v>0.49726399074260408</v>
      </c>
      <c r="AB3142" t="str">
        <f>HYPERLINK("Melting_Curves/meltCurve_Q05048_CSTF1.pdf", "Melting_Curves/meltCurve_Q05048_CSTF1.pdf")</f>
        <v>Melting_Curves/meltCurve_Q05048_CSTF1.pdf</v>
      </c>
    </row>
    <row r="3143" spans="1:28" x14ac:dyDescent="0.25">
      <c r="A3143" t="s">
        <v>3147</v>
      </c>
      <c r="B3143">
        <v>0.99542014353169495</v>
      </c>
      <c r="C3143">
        <v>0.91869394334804699</v>
      </c>
      <c r="D3143">
        <v>0.83345584200436196</v>
      </c>
      <c r="E3143">
        <v>0.70629787583790904</v>
      </c>
      <c r="F3143">
        <v>0.548822077741147</v>
      </c>
      <c r="G3143">
        <v>0.19494863281299599</v>
      </c>
      <c r="H3143">
        <v>7.5289248545653095E-2</v>
      </c>
      <c r="I3143">
        <v>5.33228524508653E-2</v>
      </c>
      <c r="J3143">
        <v>5.9218343008439998E-2</v>
      </c>
      <c r="K3143">
        <v>6.3912310534117903E-2</v>
      </c>
      <c r="L3143">
        <v>683.84439767170795</v>
      </c>
      <c r="M3143">
        <v>13.8026962511056</v>
      </c>
      <c r="N3143">
        <v>49.544282972940401</v>
      </c>
      <c r="O3143">
        <v>48.539034744129602</v>
      </c>
      <c r="P3143">
        <v>-7.1100645787724001E-2</v>
      </c>
      <c r="Q3143">
        <v>0</v>
      </c>
      <c r="R3143">
        <v>0.98390116637932801</v>
      </c>
      <c r="S3143" t="s">
        <v>9545</v>
      </c>
      <c r="T3143" t="s">
        <v>12802</v>
      </c>
      <c r="U3143" t="s">
        <v>12802</v>
      </c>
      <c r="V3143" t="s">
        <v>12802</v>
      </c>
      <c r="W3143" t="s">
        <v>15895</v>
      </c>
      <c r="X3143">
        <v>22</v>
      </c>
      <c r="Y3143" t="s">
        <v>22147</v>
      </c>
      <c r="Z3143" t="s">
        <v>28461</v>
      </c>
      <c r="AA3143">
        <v>0.44206859480525001</v>
      </c>
      <c r="AB3143" t="str">
        <f>HYPERLINK("Melting_Curves/meltCurve_Q05086_3_UBE3A.pdf", "Melting_Curves/meltCurve_Q05086_3_UBE3A.pdf")</f>
        <v>Melting_Curves/meltCurve_Q05086_3_UBE3A.pdf</v>
      </c>
    </row>
    <row r="3144" spans="1:28" x14ac:dyDescent="0.25">
      <c r="A3144" t="s">
        <v>3148</v>
      </c>
      <c r="B3144">
        <v>0.99542014353169495</v>
      </c>
      <c r="C3144">
        <v>0.96458078828472704</v>
      </c>
      <c r="D3144">
        <v>1.07572844275777</v>
      </c>
      <c r="E3144">
        <v>0.80347402657924405</v>
      </c>
      <c r="F3144">
        <v>0.43076967665500498</v>
      </c>
      <c r="G3144">
        <v>8.8465280006301494E-2</v>
      </c>
      <c r="H3144">
        <v>6.8994543650965301E-2</v>
      </c>
      <c r="I3144">
        <v>3.8424674075340198E-2</v>
      </c>
      <c r="J3144">
        <v>4.7505042682183599E-2</v>
      </c>
      <c r="K3144">
        <v>4.9236735039961697E-2</v>
      </c>
      <c r="L3144">
        <v>1376.45592909018</v>
      </c>
      <c r="M3144">
        <v>27.9160689622822</v>
      </c>
      <c r="N3144">
        <v>49.453100529986997</v>
      </c>
      <c r="O3144">
        <v>49.056010818976198</v>
      </c>
      <c r="P3144">
        <v>-0.13663410766571599</v>
      </c>
      <c r="Q3144">
        <v>3.95975869503251E-2</v>
      </c>
      <c r="R3144">
        <v>0.99276626233338505</v>
      </c>
      <c r="S3144" t="s">
        <v>9546</v>
      </c>
      <c r="T3144" t="s">
        <v>12802</v>
      </c>
      <c r="U3144" t="s">
        <v>12802</v>
      </c>
      <c r="V3144" t="s">
        <v>12802</v>
      </c>
      <c r="W3144" t="s">
        <v>15896</v>
      </c>
      <c r="X3144">
        <v>9</v>
      </c>
      <c r="Y3144" t="s">
        <v>22148</v>
      </c>
      <c r="Z3144" t="s">
        <v>28462</v>
      </c>
      <c r="AA3144">
        <v>0.44030125735646952</v>
      </c>
      <c r="AB3144" t="str">
        <f>HYPERLINK("Melting_Curves/meltCurve_Q05193_5_DNM1.pdf", "Melting_Curves/meltCurve_Q05193_5_DNM1.pdf")</f>
        <v>Melting_Curves/meltCurve_Q05193_5_DNM1.pdf</v>
      </c>
    </row>
    <row r="3145" spans="1:28" x14ac:dyDescent="0.25">
      <c r="A3145" t="s">
        <v>3149</v>
      </c>
      <c r="B3145">
        <v>0.99542014353169495</v>
      </c>
      <c r="C3145">
        <v>1.0271718335993401</v>
      </c>
      <c r="D3145">
        <v>1.02491939392709</v>
      </c>
      <c r="E3145">
        <v>0.89214166837793496</v>
      </c>
      <c r="F3145">
        <v>0.31291480660986898</v>
      </c>
      <c r="G3145">
        <v>0.139333448428137</v>
      </c>
      <c r="H3145">
        <v>6.6262046637555805E-2</v>
      </c>
      <c r="I3145">
        <v>4.60550363885604E-2</v>
      </c>
      <c r="J3145">
        <v>4.9878650556455698E-2</v>
      </c>
      <c r="K3145">
        <v>5.5167814516566299E-2</v>
      </c>
      <c r="L3145">
        <v>1887.16123395009</v>
      </c>
      <c r="M3145">
        <v>38.539906163596299</v>
      </c>
      <c r="N3145">
        <v>49.138390148020598</v>
      </c>
      <c r="O3145">
        <v>48.835141834165803</v>
      </c>
      <c r="P3145">
        <v>-0.18485014198924199</v>
      </c>
      <c r="Q3145">
        <v>6.3084259965698206E-2</v>
      </c>
      <c r="R3145">
        <v>0.99753958584189595</v>
      </c>
      <c r="S3145" t="s">
        <v>9547</v>
      </c>
      <c r="T3145" t="s">
        <v>12802</v>
      </c>
      <c r="U3145" t="s">
        <v>12802</v>
      </c>
      <c r="V3145" t="s">
        <v>12802</v>
      </c>
      <c r="W3145" t="s">
        <v>15897</v>
      </c>
      <c r="X3145">
        <v>17</v>
      </c>
      <c r="Y3145" t="s">
        <v>22149</v>
      </c>
      <c r="Z3145" t="s">
        <v>28463</v>
      </c>
      <c r="AA3145">
        <v>0.44021876520229247</v>
      </c>
      <c r="AB3145" t="str">
        <f>HYPERLINK("Melting_Curves/meltCurve_Q05209_PTPN12.pdf", "Melting_Curves/meltCurve_Q05209_PTPN12.pdf")</f>
        <v>Melting_Curves/meltCurve_Q05209_PTPN12.pdf</v>
      </c>
    </row>
    <row r="3146" spans="1:28" x14ac:dyDescent="0.25">
      <c r="A3146" t="s">
        <v>3150</v>
      </c>
      <c r="B3146">
        <v>0.99542014353169495</v>
      </c>
      <c r="C3146">
        <v>1.0597576087268601</v>
      </c>
      <c r="D3146">
        <v>1.0521399778932701</v>
      </c>
      <c r="E3146">
        <v>0.78633848460845301</v>
      </c>
      <c r="F3146">
        <v>0.39350956443723101</v>
      </c>
      <c r="G3146">
        <v>0.137600578597802</v>
      </c>
      <c r="H3146">
        <v>7.8485821628488495E-2</v>
      </c>
      <c r="I3146">
        <v>5.1819499139786597E-2</v>
      </c>
      <c r="J3146">
        <v>5.6609463517584398E-2</v>
      </c>
      <c r="K3146">
        <v>8.8672789107893404E-2</v>
      </c>
      <c r="L3146">
        <v>1332.3244911522199</v>
      </c>
      <c r="M3146">
        <v>27.206323037080502</v>
      </c>
      <c r="N3146">
        <v>49.2184711833874</v>
      </c>
      <c r="O3146">
        <v>48.708850699495301</v>
      </c>
      <c r="P3146">
        <v>-0.13071709122608499</v>
      </c>
      <c r="Q3146">
        <v>6.3891433409486303E-2</v>
      </c>
      <c r="R3146">
        <v>0.99400814477724297</v>
      </c>
      <c r="S3146" t="s">
        <v>9548</v>
      </c>
      <c r="T3146" t="s">
        <v>12802</v>
      </c>
      <c r="U3146" t="s">
        <v>12802</v>
      </c>
      <c r="V3146" t="s">
        <v>12802</v>
      </c>
      <c r="W3146" t="s">
        <v>15898</v>
      </c>
      <c r="X3146">
        <v>12</v>
      </c>
      <c r="Y3146" t="s">
        <v>22150</v>
      </c>
      <c r="Z3146" t="s">
        <v>28464</v>
      </c>
      <c r="AA3146">
        <v>0.44428522618336541</v>
      </c>
      <c r="AB3146" t="str">
        <f>HYPERLINK("Melting_Curves/meltCurve_Q05519_2_SRSF11.pdf", "Melting_Curves/meltCurve_Q05519_2_SRSF11.pdf")</f>
        <v>Melting_Curves/meltCurve_Q05519_2_SRSF11.pdf</v>
      </c>
    </row>
    <row r="3147" spans="1:28" x14ac:dyDescent="0.25">
      <c r="A3147" t="s">
        <v>3151</v>
      </c>
      <c r="B3147">
        <v>0.99542014353169495</v>
      </c>
      <c r="C3147">
        <v>0.85537441256846403</v>
      </c>
      <c r="D3147">
        <v>0.97283641968839396</v>
      </c>
      <c r="E3147">
        <v>0.84316043690967502</v>
      </c>
      <c r="F3147">
        <v>0.67136265391806005</v>
      </c>
      <c r="G3147">
        <v>0.66424879462331299</v>
      </c>
      <c r="H3147">
        <v>0.46972587246023201</v>
      </c>
      <c r="I3147">
        <v>0.28580991878746098</v>
      </c>
      <c r="J3147">
        <v>8.4045040223548001E-2</v>
      </c>
      <c r="K3147">
        <v>4.1664172032726002E-2</v>
      </c>
      <c r="L3147">
        <v>616.19443394409598</v>
      </c>
      <c r="M3147">
        <v>11.148577024858</v>
      </c>
      <c r="N3147">
        <v>55.2711458638667</v>
      </c>
      <c r="O3147">
        <v>53.582238170344603</v>
      </c>
      <c r="P3147">
        <v>-5.2032862258052599E-2</v>
      </c>
      <c r="Q3147">
        <v>0</v>
      </c>
      <c r="R3147">
        <v>0.95040025227792502</v>
      </c>
      <c r="S3147" t="s">
        <v>9549</v>
      </c>
      <c r="T3147" t="s">
        <v>12802</v>
      </c>
      <c r="U3147" t="s">
        <v>12802</v>
      </c>
      <c r="V3147" t="s">
        <v>12802</v>
      </c>
      <c r="W3147" t="s">
        <v>15899</v>
      </c>
      <c r="X3147">
        <v>23</v>
      </c>
      <c r="Y3147" t="s">
        <v>22151</v>
      </c>
      <c r="Z3147" t="s">
        <v>28465</v>
      </c>
      <c r="AA3147">
        <v>0.62135807084469952</v>
      </c>
      <c r="AB3147" t="str">
        <f>HYPERLINK("Melting_Curves/meltCurve_Q05639_EEF1A2.pdf", "Melting_Curves/meltCurve_Q05639_EEF1A2.pdf")</f>
        <v>Melting_Curves/meltCurve_Q05639_EEF1A2.pdf</v>
      </c>
    </row>
    <row r="3148" spans="1:28" x14ac:dyDescent="0.25">
      <c r="A3148" t="s">
        <v>3152</v>
      </c>
      <c r="B3148">
        <v>0.99542014353169495</v>
      </c>
      <c r="C3148">
        <v>0.95682654337473505</v>
      </c>
      <c r="D3148">
        <v>0.93425279747983903</v>
      </c>
      <c r="E3148">
        <v>0.81231085009328297</v>
      </c>
      <c r="F3148">
        <v>0.57245288572413799</v>
      </c>
      <c r="G3148">
        <v>0.275274617919395</v>
      </c>
      <c r="H3148">
        <v>9.16884018286373E-2</v>
      </c>
      <c r="I3148">
        <v>6.1760341118636E-2</v>
      </c>
      <c r="J3148">
        <v>6.6302302510102801E-2</v>
      </c>
      <c r="K3148">
        <v>7.3530270135762799E-2</v>
      </c>
      <c r="L3148">
        <v>916.70390202931401</v>
      </c>
      <c r="M3148">
        <v>18.148056572151901</v>
      </c>
      <c r="N3148">
        <v>50.711402491780802</v>
      </c>
      <c r="O3148">
        <v>49.911154571667097</v>
      </c>
      <c r="P3148">
        <v>-8.7783410684254604E-2</v>
      </c>
      <c r="Q3148">
        <v>3.4350971432929797E-2</v>
      </c>
      <c r="R3148">
        <v>0.99619432140153097</v>
      </c>
      <c r="S3148" t="s">
        <v>9550</v>
      </c>
      <c r="T3148" t="s">
        <v>12802</v>
      </c>
      <c r="U3148" t="s">
        <v>12802</v>
      </c>
      <c r="V3148" t="s">
        <v>12802</v>
      </c>
      <c r="W3148" t="s">
        <v>15900</v>
      </c>
      <c r="X3148">
        <v>22</v>
      </c>
      <c r="Y3148" t="s">
        <v>22152</v>
      </c>
      <c r="Z3148" t="s">
        <v>28466</v>
      </c>
      <c r="AA3148">
        <v>0.48420516844808892</v>
      </c>
      <c r="AB3148" t="str">
        <f>HYPERLINK("Melting_Curves/meltCurve_Q05655_PRKCD.pdf", "Melting_Curves/meltCurve_Q05655_PRKCD.pdf")</f>
        <v>Melting_Curves/meltCurve_Q05655_PRKCD.pdf</v>
      </c>
    </row>
    <row r="3149" spans="1:28" x14ac:dyDescent="0.25">
      <c r="A3149" t="s">
        <v>3153</v>
      </c>
      <c r="B3149">
        <v>0.99542014353169495</v>
      </c>
      <c r="C3149">
        <v>0.84003935336620195</v>
      </c>
      <c r="D3149">
        <v>0.50444773049872704</v>
      </c>
      <c r="E3149">
        <v>0.26750237797690302</v>
      </c>
      <c r="F3149">
        <v>0.16453757675452699</v>
      </c>
      <c r="G3149">
        <v>9.0167635808742402E-2</v>
      </c>
      <c r="H3149">
        <v>6.6360609891470204E-2</v>
      </c>
      <c r="I3149">
        <v>4.65724933108854E-2</v>
      </c>
      <c r="J3149">
        <v>8.4092280021618199E-2</v>
      </c>
      <c r="K3149">
        <v>6.24473947632719E-2</v>
      </c>
      <c r="L3149">
        <v>799.66983192158204</v>
      </c>
      <c r="M3149">
        <v>18.579170859835099</v>
      </c>
      <c r="N3149">
        <v>43.387964067245797</v>
      </c>
      <c r="O3149">
        <v>42.551864353723602</v>
      </c>
      <c r="P3149">
        <v>-0.101629378065409</v>
      </c>
      <c r="Q3149">
        <v>6.8993715105404696E-2</v>
      </c>
      <c r="R3149">
        <v>0.99512616831726597</v>
      </c>
      <c r="S3149" t="s">
        <v>9551</v>
      </c>
      <c r="T3149" t="s">
        <v>12802</v>
      </c>
      <c r="U3149" t="s">
        <v>12802</v>
      </c>
      <c r="V3149" t="s">
        <v>12802</v>
      </c>
      <c r="W3149" t="s">
        <v>15901</v>
      </c>
      <c r="X3149">
        <v>5</v>
      </c>
      <c r="Y3149" t="s">
        <v>22153</v>
      </c>
      <c r="Z3149" t="s">
        <v>28467</v>
      </c>
      <c r="AA3149">
        <v>0.27178214339001172</v>
      </c>
      <c r="AB3149" t="str">
        <f>HYPERLINK("Melting_Curves/meltCurve_Q05823_RNASEL.pdf", "Melting_Curves/meltCurve_Q05823_RNASEL.pdf")</f>
        <v>Melting_Curves/meltCurve_Q05823_RNASEL.pdf</v>
      </c>
    </row>
    <row r="3150" spans="1:28" x14ac:dyDescent="0.25">
      <c r="A3150" t="s">
        <v>3154</v>
      </c>
      <c r="B3150">
        <v>0.99542014353169495</v>
      </c>
      <c r="C3150">
        <v>0.97909612005957902</v>
      </c>
      <c r="D3150">
        <v>0.90704959927520401</v>
      </c>
      <c r="E3150">
        <v>0.56061041062727301</v>
      </c>
      <c r="F3150">
        <v>0.25937819101495801</v>
      </c>
      <c r="G3150">
        <v>0.166707695970124</v>
      </c>
      <c r="H3150">
        <v>5.9413943793318699E-2</v>
      </c>
      <c r="I3150">
        <v>3.4434534578881799E-2</v>
      </c>
      <c r="J3150">
        <v>4.5577536331090997E-2</v>
      </c>
      <c r="K3150">
        <v>2.7827542102924301E-2</v>
      </c>
      <c r="L3150">
        <v>924.204355307735</v>
      </c>
      <c r="M3150">
        <v>19.569575014102199</v>
      </c>
      <c r="N3150">
        <v>47.417089980125702</v>
      </c>
      <c r="O3150">
        <v>46.741741817976802</v>
      </c>
      <c r="P3150">
        <v>-0.100714979452559</v>
      </c>
      <c r="Q3150">
        <v>3.7807082508636201E-2</v>
      </c>
      <c r="R3150">
        <v>0.99731072281115096</v>
      </c>
      <c r="S3150" t="s">
        <v>9552</v>
      </c>
      <c r="T3150" t="s">
        <v>12802</v>
      </c>
      <c r="U3150" t="s">
        <v>12802</v>
      </c>
      <c r="V3150" t="s">
        <v>12802</v>
      </c>
      <c r="W3150" t="s">
        <v>15902</v>
      </c>
      <c r="X3150">
        <v>4</v>
      </c>
      <c r="Y3150" t="s">
        <v>22154</v>
      </c>
      <c r="Z3150" t="s">
        <v>28468</v>
      </c>
      <c r="AA3150">
        <v>0.37895462585927447</v>
      </c>
      <c r="AB3150" t="str">
        <f>HYPERLINK("Melting_Curves/meltCurve_Q05932_3_FPGS.pdf", "Melting_Curves/meltCurve_Q05932_3_FPGS.pdf")</f>
        <v>Melting_Curves/meltCurve_Q05932_3_FPGS.pdf</v>
      </c>
    </row>
    <row r="3151" spans="1:28" x14ac:dyDescent="0.25">
      <c r="A3151" t="s">
        <v>3155</v>
      </c>
      <c r="B3151">
        <v>0.99542014353169495</v>
      </c>
      <c r="C3151">
        <v>0.95597409893604701</v>
      </c>
      <c r="D3151">
        <v>0.90991614889482397</v>
      </c>
      <c r="E3151">
        <v>0.71284013756245601</v>
      </c>
      <c r="F3151">
        <v>0.385334766157926</v>
      </c>
      <c r="G3151">
        <v>0.213891712731656</v>
      </c>
      <c r="H3151">
        <v>0.14592593514909799</v>
      </c>
      <c r="I3151">
        <v>0.10092908342667101</v>
      </c>
      <c r="J3151">
        <v>3.3498724594258698E-2</v>
      </c>
      <c r="K3151">
        <v>5.6437686956038402E-2</v>
      </c>
      <c r="L3151">
        <v>810.68439649304105</v>
      </c>
      <c r="M3151">
        <v>16.643363314557799</v>
      </c>
      <c r="N3151">
        <v>49.013775882327799</v>
      </c>
      <c r="O3151">
        <v>48.022263899764702</v>
      </c>
      <c r="P3151">
        <v>-8.2392534232608894E-2</v>
      </c>
      <c r="Q3151">
        <v>4.9132034718013903E-2</v>
      </c>
      <c r="R3151">
        <v>0.997591785031119</v>
      </c>
      <c r="S3151" t="s">
        <v>9553</v>
      </c>
      <c r="T3151" t="s">
        <v>12802</v>
      </c>
      <c r="U3151" t="s">
        <v>12802</v>
      </c>
      <c r="V3151" t="s">
        <v>12802</v>
      </c>
      <c r="W3151" t="s">
        <v>15903</v>
      </c>
      <c r="X3151">
        <v>2</v>
      </c>
      <c r="Y3151" t="s">
        <v>22155</v>
      </c>
      <c r="Z3151" t="s">
        <v>28469</v>
      </c>
      <c r="AA3151">
        <v>0.43761202364626861</v>
      </c>
      <c r="AB3151" t="str">
        <f>HYPERLINK("Melting_Curves/meltCurve_Q05D32_2_CTDSPL2.pdf", "Melting_Curves/meltCurve_Q05D32_2_CTDSPL2.pdf")</f>
        <v>Melting_Curves/meltCurve_Q05D32_2_CTDSPL2.pdf</v>
      </c>
    </row>
    <row r="3152" spans="1:28" x14ac:dyDescent="0.25">
      <c r="A3152" t="s">
        <v>3156</v>
      </c>
      <c r="B3152">
        <v>0.99542014353169495</v>
      </c>
      <c r="C3152">
        <v>1.00746748954075</v>
      </c>
      <c r="D3152">
        <v>0.97233567735822202</v>
      </c>
      <c r="E3152">
        <v>0.94574204504491</v>
      </c>
      <c r="F3152">
        <v>0.75853822549902505</v>
      </c>
      <c r="G3152">
        <v>0.25953605260936702</v>
      </c>
      <c r="H3152">
        <v>9.5280150096072103E-2</v>
      </c>
      <c r="I3152">
        <v>6.6052203189817096E-2</v>
      </c>
      <c r="J3152">
        <v>6.6109744059502595E-2</v>
      </c>
      <c r="K3152">
        <v>7.0009133163302803E-2</v>
      </c>
      <c r="L3152">
        <v>1731.94590520471</v>
      </c>
      <c r="M3152">
        <v>33.490832074666002</v>
      </c>
      <c r="N3152">
        <v>51.9253111957455</v>
      </c>
      <c r="O3152">
        <v>51.530697393071797</v>
      </c>
      <c r="P3152">
        <v>-0.152131089843872</v>
      </c>
      <c r="Q3152">
        <v>6.3697445816458406E-2</v>
      </c>
      <c r="R3152">
        <v>0.99892716278555604</v>
      </c>
      <c r="S3152" t="s">
        <v>9554</v>
      </c>
      <c r="T3152" t="s">
        <v>12802</v>
      </c>
      <c r="U3152" t="s">
        <v>12802</v>
      </c>
      <c r="V3152" t="s">
        <v>12802</v>
      </c>
      <c r="W3152" t="s">
        <v>15904</v>
      </c>
      <c r="X3152">
        <v>32</v>
      </c>
      <c r="Y3152" t="s">
        <v>22156</v>
      </c>
      <c r="Z3152" t="s">
        <v>28470</v>
      </c>
      <c r="AA3152">
        <v>0.52767539874814207</v>
      </c>
      <c r="AB3152" t="str">
        <f>HYPERLINK("Melting_Curves/meltCurve_Q06124_PTPN11.pdf", "Melting_Curves/meltCurve_Q06124_PTPN11.pdf")</f>
        <v>Melting_Curves/meltCurve_Q06124_PTPN11.pdf</v>
      </c>
    </row>
    <row r="3153" spans="1:28" x14ac:dyDescent="0.25">
      <c r="A3153" t="s">
        <v>3157</v>
      </c>
      <c r="B3153">
        <v>0.99542014353169495</v>
      </c>
      <c r="C3153">
        <v>0.97385974184679702</v>
      </c>
      <c r="D3153">
        <v>0.87758322732495098</v>
      </c>
      <c r="E3153">
        <v>0.33378315843398598</v>
      </c>
      <c r="F3153">
        <v>0.11218985665286201</v>
      </c>
      <c r="G3153">
        <v>6.8167301221013707E-2</v>
      </c>
      <c r="H3153">
        <v>4.14496789876884E-2</v>
      </c>
      <c r="I3153">
        <v>2.8133282701650799E-2</v>
      </c>
      <c r="J3153">
        <v>2.8013193534604901E-2</v>
      </c>
      <c r="K3153">
        <v>3.2773608564457199E-2</v>
      </c>
      <c r="L3153">
        <v>1431.3442105772799</v>
      </c>
      <c r="M3153">
        <v>31.4792669514907</v>
      </c>
      <c r="N3153">
        <v>45.593712912858201</v>
      </c>
      <c r="O3153">
        <v>45.287111613651497</v>
      </c>
      <c r="P3153">
        <v>-0.16663194750076499</v>
      </c>
      <c r="Q3153">
        <v>4.1116292244095902E-2</v>
      </c>
      <c r="R3153">
        <v>0.99881313346561995</v>
      </c>
      <c r="S3153" t="s">
        <v>9555</v>
      </c>
      <c r="T3153" t="s">
        <v>12802</v>
      </c>
      <c r="U3153" t="s">
        <v>12802</v>
      </c>
      <c r="V3153" t="s">
        <v>12802</v>
      </c>
      <c r="W3153" t="s">
        <v>15905</v>
      </c>
      <c r="X3153">
        <v>15</v>
      </c>
      <c r="Y3153" t="s">
        <v>22157</v>
      </c>
      <c r="Z3153" t="s">
        <v>28471</v>
      </c>
      <c r="AA3153">
        <v>0.31673437482077638</v>
      </c>
      <c r="AB3153" t="str">
        <f>HYPERLINK("Melting_Curves/meltCurve_Q06187_BTK.pdf", "Melting_Curves/meltCurve_Q06187_BTK.pdf")</f>
        <v>Melting_Curves/meltCurve_Q06187_BTK.pdf</v>
      </c>
    </row>
    <row r="3154" spans="1:28" x14ac:dyDescent="0.25">
      <c r="A3154" t="s">
        <v>3158</v>
      </c>
      <c r="B3154">
        <v>0.99542014353169495</v>
      </c>
      <c r="C3154">
        <v>0.91657422504939901</v>
      </c>
      <c r="D3154">
        <v>0.92559864071077902</v>
      </c>
      <c r="E3154">
        <v>0.77065213816533595</v>
      </c>
      <c r="F3154">
        <v>0.67398794980448196</v>
      </c>
      <c r="G3154">
        <v>0.43885002428021103</v>
      </c>
      <c r="H3154">
        <v>0.392086764136239</v>
      </c>
      <c r="I3154">
        <v>0.41501891296363203</v>
      </c>
      <c r="J3154">
        <v>0.51433874127960499</v>
      </c>
      <c r="K3154">
        <v>0.55348640203224797</v>
      </c>
      <c r="L3154">
        <v>894.79125449142998</v>
      </c>
      <c r="M3154">
        <v>18.826236890534499</v>
      </c>
      <c r="N3154">
        <v>54.584326720599897</v>
      </c>
      <c r="O3154">
        <v>47.002422909274799</v>
      </c>
      <c r="P3154">
        <v>-5.4462183919217803E-2</v>
      </c>
      <c r="Q3154">
        <v>0.45613161900501997</v>
      </c>
      <c r="R3154">
        <v>0.92252632186558903</v>
      </c>
      <c r="S3154" t="s">
        <v>9556</v>
      </c>
      <c r="T3154" t="s">
        <v>12802</v>
      </c>
      <c r="U3154" t="s">
        <v>12802</v>
      </c>
      <c r="V3154" t="s">
        <v>12802</v>
      </c>
      <c r="W3154" t="s">
        <v>15906</v>
      </c>
      <c r="X3154">
        <v>26</v>
      </c>
      <c r="Y3154" t="s">
        <v>22158</v>
      </c>
      <c r="Z3154" t="s">
        <v>28472</v>
      </c>
      <c r="AA3154">
        <v>0.65501602820751559</v>
      </c>
      <c r="AB3154" t="str">
        <f>HYPERLINK("Melting_Curves/meltCurve_Q06203_PPAT.pdf", "Melting_Curves/meltCurve_Q06203_PPAT.pdf")</f>
        <v>Melting_Curves/meltCurve_Q06203_PPAT.pdf</v>
      </c>
    </row>
    <row r="3155" spans="1:28" x14ac:dyDescent="0.25">
      <c r="A3155" t="s">
        <v>3159</v>
      </c>
      <c r="B3155">
        <v>0.99542014353169495</v>
      </c>
      <c r="C3155">
        <v>0.85843803107319405</v>
      </c>
      <c r="D3155">
        <v>0.88125231007549099</v>
      </c>
      <c r="E3155">
        <v>0.72631864478568997</v>
      </c>
      <c r="F3155">
        <v>0.62021910471483899</v>
      </c>
      <c r="G3155">
        <v>0.36949623268549497</v>
      </c>
      <c r="H3155">
        <v>0.23300470350497701</v>
      </c>
      <c r="I3155">
        <v>8.4793323291052602E-2</v>
      </c>
      <c r="J3155">
        <v>7.0125351693654803E-2</v>
      </c>
      <c r="K3155">
        <v>6.5985295878537603E-2</v>
      </c>
      <c r="L3155">
        <v>572.88956655033996</v>
      </c>
      <c r="M3155">
        <v>11.1982961042693</v>
      </c>
      <c r="N3155">
        <v>51.1586368335836</v>
      </c>
      <c r="O3155">
        <v>49.608570520514299</v>
      </c>
      <c r="P3155">
        <v>-5.6451045219618898E-2</v>
      </c>
      <c r="Q3155">
        <v>0</v>
      </c>
      <c r="R3155">
        <v>0.98423274517621595</v>
      </c>
      <c r="S3155" t="s">
        <v>9557</v>
      </c>
      <c r="T3155" t="s">
        <v>12802</v>
      </c>
      <c r="U3155" t="s">
        <v>12802</v>
      </c>
      <c r="V3155" t="s">
        <v>12802</v>
      </c>
      <c r="W3155" t="s">
        <v>15907</v>
      </c>
      <c r="X3155">
        <v>34</v>
      </c>
      <c r="Y3155" t="s">
        <v>22159</v>
      </c>
      <c r="Z3155" t="s">
        <v>28473</v>
      </c>
      <c r="AA3155">
        <v>0.49932238173556731</v>
      </c>
      <c r="AB3155" t="str">
        <f>HYPERLINK("Melting_Curves/meltCurve_Q06210_2_GFPT1.pdf", "Melting_Curves/meltCurve_Q06210_2_GFPT1.pdf")</f>
        <v>Melting_Curves/meltCurve_Q06210_2_GFPT1.pdf</v>
      </c>
    </row>
    <row r="3156" spans="1:28" x14ac:dyDescent="0.25">
      <c r="A3156" t="s">
        <v>3160</v>
      </c>
      <c r="B3156">
        <v>0.99542014353169495</v>
      </c>
      <c r="C3156">
        <v>0.94955967475594105</v>
      </c>
      <c r="D3156">
        <v>1.1351468849398201</v>
      </c>
      <c r="E3156">
        <v>1.2091873210374899</v>
      </c>
      <c r="F3156">
        <v>1.24601192261214</v>
      </c>
      <c r="G3156">
        <v>1.0260690271355699</v>
      </c>
      <c r="H3156">
        <v>0.81491542023871399</v>
      </c>
      <c r="I3156">
        <v>0.65617165581483206</v>
      </c>
      <c r="J3156">
        <v>0.51078886638461296</v>
      </c>
      <c r="K3156">
        <v>0.222721593563355</v>
      </c>
      <c r="L3156">
        <v>1234.8940032069299</v>
      </c>
      <c r="M3156">
        <v>19.4838749959432</v>
      </c>
      <c r="N3156">
        <v>63.380286332746302</v>
      </c>
      <c r="O3156">
        <v>62.723977379254002</v>
      </c>
      <c r="P3156">
        <v>-7.7660007588066807E-2</v>
      </c>
      <c r="Q3156">
        <v>0</v>
      </c>
      <c r="R3156">
        <v>0.85290931298495598</v>
      </c>
      <c r="S3156" t="s">
        <v>9558</v>
      </c>
      <c r="T3156" t="s">
        <v>12802</v>
      </c>
      <c r="U3156" t="s">
        <v>12802</v>
      </c>
      <c r="V3156" t="s">
        <v>12802</v>
      </c>
      <c r="W3156" t="s">
        <v>15908</v>
      </c>
      <c r="X3156">
        <v>12</v>
      </c>
      <c r="Y3156" t="s">
        <v>22160</v>
      </c>
      <c r="Z3156" t="s">
        <v>28474</v>
      </c>
      <c r="AA3156">
        <v>0.85692362006535838</v>
      </c>
      <c r="AB3156" t="str">
        <f>HYPERLINK("Melting_Curves/meltCurve_Q06265_EXOSC9.pdf", "Melting_Curves/meltCurve_Q06265_EXOSC9.pdf")</f>
        <v>Melting_Curves/meltCurve_Q06265_EXOSC9.pdf</v>
      </c>
    </row>
    <row r="3157" spans="1:28" x14ac:dyDescent="0.25">
      <c r="A3157" t="s">
        <v>3161</v>
      </c>
      <c r="B3157">
        <v>0.99542014353169495</v>
      </c>
      <c r="C3157">
        <v>0.99752684727903096</v>
      </c>
      <c r="D3157">
        <v>1.0049007131152801</v>
      </c>
      <c r="E3157">
        <v>0.96501849520819905</v>
      </c>
      <c r="F3157">
        <v>0.82456116604322505</v>
      </c>
      <c r="G3157">
        <v>0.64847806135145203</v>
      </c>
      <c r="H3157">
        <v>0.35415276759257303</v>
      </c>
      <c r="I3157">
        <v>0.131665039238651</v>
      </c>
      <c r="J3157">
        <v>5.3701677365598999E-2</v>
      </c>
      <c r="K3157">
        <v>5.86172463711747E-2</v>
      </c>
      <c r="L3157">
        <v>1000.44692142342</v>
      </c>
      <c r="M3157">
        <v>18.088999918112702</v>
      </c>
      <c r="N3157">
        <v>55.306924979835202</v>
      </c>
      <c r="O3157">
        <v>54.644284712374699</v>
      </c>
      <c r="P3157">
        <v>-8.2761975274114094E-2</v>
      </c>
      <c r="Q3157">
        <v>0</v>
      </c>
      <c r="R3157">
        <v>0.99749382089764704</v>
      </c>
      <c r="S3157" t="s">
        <v>9559</v>
      </c>
      <c r="T3157" t="s">
        <v>12802</v>
      </c>
      <c r="U3157" t="s">
        <v>12802</v>
      </c>
      <c r="V3157" t="s">
        <v>12802</v>
      </c>
      <c r="W3157" t="s">
        <v>15909</v>
      </c>
      <c r="X3157">
        <v>11</v>
      </c>
      <c r="Y3157" t="s">
        <v>22161</v>
      </c>
      <c r="Z3157" t="s">
        <v>28475</v>
      </c>
      <c r="AA3157">
        <v>0.62232700166646004</v>
      </c>
      <c r="AB3157" t="str">
        <f>HYPERLINK("Melting_Curves/meltCurve_Q06330_5_RBPJ.pdf", "Melting_Curves/meltCurve_Q06330_5_RBPJ.pdf")</f>
        <v>Melting_Curves/meltCurve_Q06330_5_RBPJ.pdf</v>
      </c>
    </row>
    <row r="3158" spans="1:28" x14ac:dyDescent="0.25">
      <c r="A3158" t="s">
        <v>3162</v>
      </c>
      <c r="B3158">
        <v>0.99542014353169495</v>
      </c>
      <c r="C3158">
        <v>1.06363432225165</v>
      </c>
      <c r="D3158">
        <v>0.95613390314678504</v>
      </c>
      <c r="E3158">
        <v>0.78333951138180002</v>
      </c>
      <c r="F3158">
        <v>0.56726841055940802</v>
      </c>
      <c r="G3158">
        <v>0.20818182699048701</v>
      </c>
      <c r="H3158">
        <v>8.9059638387375906E-2</v>
      </c>
      <c r="I3158">
        <v>5.1353913610033698E-2</v>
      </c>
      <c r="J3158">
        <v>4.8568929069876601E-2</v>
      </c>
      <c r="K3158">
        <v>6.3668688768098294E-2</v>
      </c>
      <c r="L3158">
        <v>992.33820192237397</v>
      </c>
      <c r="M3158">
        <v>19.759605746840698</v>
      </c>
      <c r="N3158">
        <v>50.384544952572</v>
      </c>
      <c r="O3158">
        <v>49.7146629077779</v>
      </c>
      <c r="P3158">
        <v>-9.6273116721123805E-2</v>
      </c>
      <c r="Q3158">
        <v>3.1150279403753599E-2</v>
      </c>
      <c r="R3158">
        <v>0.99337729995902702</v>
      </c>
      <c r="S3158" t="s">
        <v>9560</v>
      </c>
      <c r="T3158" t="s">
        <v>12802</v>
      </c>
      <c r="U3158" t="s">
        <v>12802</v>
      </c>
      <c r="V3158" t="s">
        <v>12802</v>
      </c>
      <c r="W3158" t="s">
        <v>15910</v>
      </c>
      <c r="X3158">
        <v>5</v>
      </c>
      <c r="Y3158" t="s">
        <v>22162</v>
      </c>
      <c r="Z3158" t="s">
        <v>28476</v>
      </c>
      <c r="AA3158">
        <v>0.4711261575105502</v>
      </c>
      <c r="AB3158" t="str">
        <f>HYPERLINK("Melting_Curves/meltCurve_Q06413_5_MEF2C.pdf", "Melting_Curves/meltCurve_Q06413_5_MEF2C.pdf")</f>
        <v>Melting_Curves/meltCurve_Q06413_5_MEF2C.pdf</v>
      </c>
    </row>
    <row r="3159" spans="1:28" x14ac:dyDescent="0.25">
      <c r="A3159" t="s">
        <v>3163</v>
      </c>
      <c r="B3159">
        <v>0.99542014353169495</v>
      </c>
      <c r="C3159">
        <v>0.89622893027314898</v>
      </c>
      <c r="D3159">
        <v>0.94396043264496099</v>
      </c>
      <c r="E3159">
        <v>0.76736197628639202</v>
      </c>
      <c r="F3159">
        <v>0.56713081841791901</v>
      </c>
      <c r="G3159">
        <v>0.33375286726999098</v>
      </c>
      <c r="H3159">
        <v>0.242057483464761</v>
      </c>
      <c r="I3159">
        <v>0.18432038030033701</v>
      </c>
      <c r="J3159">
        <v>0.25699909859922498</v>
      </c>
      <c r="K3159">
        <v>0.293926934201516</v>
      </c>
      <c r="L3159">
        <v>880.99657659663501</v>
      </c>
      <c r="M3159">
        <v>17.983180007373001</v>
      </c>
      <c r="N3159">
        <v>50.654232268201703</v>
      </c>
      <c r="O3159">
        <v>48.396311232478702</v>
      </c>
      <c r="P3159">
        <v>-7.2177390728718996E-2</v>
      </c>
      <c r="Q3159">
        <v>0.22306404538712399</v>
      </c>
      <c r="R3159">
        <v>0.97914709358034402</v>
      </c>
      <c r="S3159" t="s">
        <v>9561</v>
      </c>
      <c r="T3159" t="s">
        <v>12802</v>
      </c>
      <c r="U3159" t="s">
        <v>12802</v>
      </c>
      <c r="V3159" t="s">
        <v>12802</v>
      </c>
      <c r="W3159" t="s">
        <v>15911</v>
      </c>
      <c r="X3159">
        <v>10</v>
      </c>
      <c r="Y3159" t="s">
        <v>22163</v>
      </c>
      <c r="Z3159" t="s">
        <v>28477</v>
      </c>
      <c r="AA3159">
        <v>0.54595391372898072</v>
      </c>
      <c r="AB3159" t="str">
        <f>HYPERLINK("Melting_Curves/meltCurve_Q06481_APLP2.pdf", "Melting_Curves/meltCurve_Q06481_APLP2.pdf")</f>
        <v>Melting_Curves/meltCurve_Q06481_APLP2.pdf</v>
      </c>
    </row>
    <row r="3160" spans="1:28" x14ac:dyDescent="0.25">
      <c r="A3160" t="s">
        <v>3164</v>
      </c>
      <c r="B3160">
        <v>0.99542014353169495</v>
      </c>
      <c r="C3160">
        <v>0.97151181704512402</v>
      </c>
      <c r="D3160">
        <v>0.65402433656102799</v>
      </c>
      <c r="E3160">
        <v>0.37968634574554899</v>
      </c>
      <c r="F3160">
        <v>0.173816635749518</v>
      </c>
      <c r="G3160">
        <v>8.3808415030786704E-2</v>
      </c>
      <c r="H3160">
        <v>4.52516324192253E-2</v>
      </c>
      <c r="I3160">
        <v>2.7987788793778601E-2</v>
      </c>
      <c r="J3160">
        <v>4.8293507154081997E-2</v>
      </c>
      <c r="K3160">
        <v>5.6490602147318901E-2</v>
      </c>
      <c r="L3160">
        <v>824.96465226867997</v>
      </c>
      <c r="M3160">
        <v>18.386757501347599</v>
      </c>
      <c r="N3160">
        <v>45.0749995129637</v>
      </c>
      <c r="O3160">
        <v>44.3466836477238</v>
      </c>
      <c r="P3160">
        <v>-9.9448304712197205E-2</v>
      </c>
      <c r="Q3160">
        <v>4.06129367554297E-2</v>
      </c>
      <c r="R3160">
        <v>0.99463640964438105</v>
      </c>
      <c r="S3160" t="s">
        <v>9562</v>
      </c>
      <c r="T3160" t="s">
        <v>12802</v>
      </c>
      <c r="U3160" t="s">
        <v>12802</v>
      </c>
      <c r="V3160" t="s">
        <v>12802</v>
      </c>
      <c r="W3160" t="s">
        <v>15912</v>
      </c>
      <c r="X3160">
        <v>6</v>
      </c>
      <c r="Y3160" t="s">
        <v>22164</v>
      </c>
      <c r="Z3160" t="s">
        <v>28478</v>
      </c>
      <c r="AA3160">
        <v>0.30728423467729571</v>
      </c>
      <c r="AB3160" t="str">
        <f>HYPERLINK("Melting_Curves/meltCurve_Q06546_GABPA.pdf", "Melting_Curves/meltCurve_Q06546_GABPA.pdf")</f>
        <v>Melting_Curves/meltCurve_Q06546_GABPA.pdf</v>
      </c>
    </row>
    <row r="3161" spans="1:28" x14ac:dyDescent="0.25">
      <c r="A3161" t="s">
        <v>3165</v>
      </c>
      <c r="B3161">
        <v>0.99542014353169495</v>
      </c>
      <c r="C3161">
        <v>0.93711287494943696</v>
      </c>
      <c r="D3161">
        <v>0.74146599744547104</v>
      </c>
      <c r="E3161">
        <v>0.42788159674409199</v>
      </c>
      <c r="F3161">
        <v>0.15807375815097099</v>
      </c>
      <c r="G3161">
        <v>8.9463746437174294E-2</v>
      </c>
      <c r="H3161">
        <v>4.6135127109291602E-2</v>
      </c>
      <c r="I3161">
        <v>2.89974700302616E-2</v>
      </c>
      <c r="J3161">
        <v>2.2486534824029202E-2</v>
      </c>
      <c r="K3161">
        <v>3.5813154334378997E-2</v>
      </c>
      <c r="L3161">
        <v>833.45939468179802</v>
      </c>
      <c r="M3161">
        <v>18.297244784725599</v>
      </c>
      <c r="N3161">
        <v>45.673502496344803</v>
      </c>
      <c r="O3161">
        <v>45.017442669134098</v>
      </c>
      <c r="P3161">
        <v>-9.9185100633266202E-2</v>
      </c>
      <c r="Q3161">
        <v>2.3928807464926701E-2</v>
      </c>
      <c r="R3161">
        <v>0.99928004638325596</v>
      </c>
      <c r="S3161" t="s">
        <v>9563</v>
      </c>
      <c r="T3161" t="s">
        <v>12802</v>
      </c>
      <c r="U3161" t="s">
        <v>12802</v>
      </c>
      <c r="V3161" t="s">
        <v>12802</v>
      </c>
      <c r="W3161" t="s">
        <v>15913</v>
      </c>
      <c r="X3161">
        <v>6</v>
      </c>
      <c r="Y3161" t="s">
        <v>22165</v>
      </c>
      <c r="Z3161" t="s">
        <v>28479</v>
      </c>
      <c r="AA3161">
        <v>0.31747929035841432</v>
      </c>
      <c r="AB3161" t="str">
        <f>HYPERLINK("Melting_Curves/meltCurve_Q06587_RING1.pdf", "Melting_Curves/meltCurve_Q06587_RING1.pdf")</f>
        <v>Melting_Curves/meltCurve_Q06587_RING1.pdf</v>
      </c>
    </row>
    <row r="3162" spans="1:28" x14ac:dyDescent="0.25">
      <c r="A3162" t="s">
        <v>3166</v>
      </c>
      <c r="B3162">
        <v>0.99542014353169495</v>
      </c>
      <c r="C3162">
        <v>0.95143341099216805</v>
      </c>
      <c r="D3162">
        <v>0.97548810623198901</v>
      </c>
      <c r="E3162">
        <v>0.87259302018451002</v>
      </c>
      <c r="F3162">
        <v>0.72920503874087195</v>
      </c>
      <c r="G3162">
        <v>0.48983075158832301</v>
      </c>
      <c r="H3162">
        <v>0.21288043592182901</v>
      </c>
      <c r="I3162">
        <v>9.5046838755893606E-2</v>
      </c>
      <c r="J3162">
        <v>6.0443631947240499E-2</v>
      </c>
      <c r="K3162">
        <v>8.0377281067171694E-2</v>
      </c>
      <c r="L3162">
        <v>857.52952108001705</v>
      </c>
      <c r="M3162">
        <v>16.140288628923599</v>
      </c>
      <c r="N3162">
        <v>53.201586342365601</v>
      </c>
      <c r="O3162">
        <v>52.334250819081603</v>
      </c>
      <c r="P3162">
        <v>-7.6276659428881705E-2</v>
      </c>
      <c r="Q3162">
        <v>1.07787699358723E-2</v>
      </c>
      <c r="R3162">
        <v>0.99518661371177797</v>
      </c>
      <c r="S3162" t="s">
        <v>9564</v>
      </c>
      <c r="T3162" t="s">
        <v>12802</v>
      </c>
      <c r="U3162" t="s">
        <v>12802</v>
      </c>
      <c r="V3162" t="s">
        <v>12802</v>
      </c>
      <c r="W3162" t="s">
        <v>15914</v>
      </c>
      <c r="X3162">
        <v>8</v>
      </c>
      <c r="Y3162" t="s">
        <v>22166</v>
      </c>
      <c r="Z3162" t="s">
        <v>28480</v>
      </c>
      <c r="AA3162">
        <v>0.55887180762225719</v>
      </c>
      <c r="AB3162" t="str">
        <f>HYPERLINK("Melting_Curves/meltCurve_Q06609_3_RAD51.pdf", "Melting_Curves/meltCurve_Q06609_3_RAD51.pdf")</f>
        <v>Melting_Curves/meltCurve_Q06609_3_RAD51.pdf</v>
      </c>
    </row>
    <row r="3163" spans="1:28" x14ac:dyDescent="0.25">
      <c r="A3163" t="s">
        <v>3167</v>
      </c>
      <c r="B3163">
        <v>0.99542014353169495</v>
      </c>
      <c r="C3163">
        <v>0.981281593437623</v>
      </c>
      <c r="D3163">
        <v>0.93684364470916204</v>
      </c>
      <c r="E3163">
        <v>0.89806150343091795</v>
      </c>
      <c r="F3163">
        <v>0.72963052389113903</v>
      </c>
      <c r="G3163">
        <v>0.46253114634790199</v>
      </c>
      <c r="H3163">
        <v>0.13683646985178599</v>
      </c>
      <c r="I3163">
        <v>5.9676507252032898E-2</v>
      </c>
      <c r="J3163">
        <v>6.4290321884523605E-2</v>
      </c>
      <c r="K3163">
        <v>7.3726007263780702E-2</v>
      </c>
      <c r="L3163">
        <v>1023.61931699346</v>
      </c>
      <c r="M3163">
        <v>19.423853037891298</v>
      </c>
      <c r="N3163">
        <v>52.829513610653997</v>
      </c>
      <c r="O3163">
        <v>52.150043725633203</v>
      </c>
      <c r="P3163">
        <v>-9.0938782178528604E-2</v>
      </c>
      <c r="Q3163">
        <v>2.3409347868944799E-2</v>
      </c>
      <c r="R3163">
        <v>0.99304794855554301</v>
      </c>
      <c r="S3163" t="s">
        <v>9565</v>
      </c>
      <c r="T3163" t="s">
        <v>12802</v>
      </c>
      <c r="U3163" t="s">
        <v>12802</v>
      </c>
      <c r="V3163" t="s">
        <v>12802</v>
      </c>
      <c r="W3163" t="s">
        <v>15915</v>
      </c>
      <c r="X3163">
        <v>21</v>
      </c>
      <c r="Y3163" t="s">
        <v>22167</v>
      </c>
      <c r="Z3163" t="s">
        <v>28481</v>
      </c>
      <c r="AA3163">
        <v>0.54741562143547973</v>
      </c>
      <c r="AB3163" t="str">
        <f>HYPERLINK("Melting_Curves/meltCurve_Q06830_PRDX1.pdf", "Melting_Curves/meltCurve_Q06830_PRDX1.pdf")</f>
        <v>Melting_Curves/meltCurve_Q06830_PRDX1.pdf</v>
      </c>
    </row>
    <row r="3164" spans="1:28" x14ac:dyDescent="0.25">
      <c r="A3164" t="s">
        <v>3168</v>
      </c>
      <c r="B3164">
        <v>0.99542014353169495</v>
      </c>
      <c r="C3164">
        <v>0.90731826745979305</v>
      </c>
      <c r="D3164">
        <v>0.89771880335329801</v>
      </c>
      <c r="E3164">
        <v>0.70456693534479897</v>
      </c>
      <c r="F3164">
        <v>0.46443436501188901</v>
      </c>
      <c r="G3164">
        <v>0.172318489557512</v>
      </c>
      <c r="H3164">
        <v>0.102451631146719</v>
      </c>
      <c r="I3164">
        <v>7.0518341697957898E-2</v>
      </c>
      <c r="J3164">
        <v>7.9772155910000198E-2</v>
      </c>
      <c r="K3164">
        <v>7.3077842220608397E-2</v>
      </c>
      <c r="L3164">
        <v>795.314488733546</v>
      </c>
      <c r="M3164">
        <v>16.263588538646101</v>
      </c>
      <c r="N3164">
        <v>49.162397536122299</v>
      </c>
      <c r="O3164">
        <v>48.180156870025101</v>
      </c>
      <c r="P3164">
        <v>-8.0906903479326497E-2</v>
      </c>
      <c r="Q3164">
        <v>4.1338609316865303E-2</v>
      </c>
      <c r="R3164">
        <v>0.99282546971297403</v>
      </c>
      <c r="S3164" t="s">
        <v>9566</v>
      </c>
      <c r="T3164" t="s">
        <v>12802</v>
      </c>
      <c r="U3164" t="s">
        <v>12802</v>
      </c>
      <c r="V3164" t="s">
        <v>12802</v>
      </c>
      <c r="W3164" t="s">
        <v>15916</v>
      </c>
      <c r="X3164">
        <v>6</v>
      </c>
      <c r="Y3164" t="s">
        <v>22168</v>
      </c>
      <c r="Z3164" t="s">
        <v>28482</v>
      </c>
      <c r="AA3164">
        <v>0.43979103745219839</v>
      </c>
      <c r="AB3164" t="str">
        <f>HYPERLINK("Melting_Curves/meltCurve_Q07021_C1QBP.pdf", "Melting_Curves/meltCurve_Q07021_C1QBP.pdf")</f>
        <v>Melting_Curves/meltCurve_Q07021_C1QBP.pdf</v>
      </c>
    </row>
    <row r="3165" spans="1:28" x14ac:dyDescent="0.25">
      <c r="A3165" t="s">
        <v>3169</v>
      </c>
      <c r="B3165">
        <v>0.99542014353169495</v>
      </c>
      <c r="C3165">
        <v>1.00162705561974</v>
      </c>
      <c r="D3165">
        <v>1.0252189103321101</v>
      </c>
      <c r="E3165">
        <v>0.89661902650950798</v>
      </c>
      <c r="F3165">
        <v>0.70736720262390895</v>
      </c>
      <c r="G3165">
        <v>0.42046113055955597</v>
      </c>
      <c r="H3165">
        <v>0.30867226933799002</v>
      </c>
      <c r="I3165">
        <v>0.30691514562639999</v>
      </c>
      <c r="J3165">
        <v>0.35794360641578099</v>
      </c>
      <c r="K3165">
        <v>0.32760389746909802</v>
      </c>
      <c r="L3165">
        <v>1362.36249244791</v>
      </c>
      <c r="M3165">
        <v>26.9738860835336</v>
      </c>
      <c r="N3165">
        <v>52.4610056780094</v>
      </c>
      <c r="O3165">
        <v>50.231584310950801</v>
      </c>
      <c r="P3165">
        <v>-9.1699118744907396E-2</v>
      </c>
      <c r="Q3165">
        <v>0.31694750931363103</v>
      </c>
      <c r="R3165">
        <v>0.993461780769615</v>
      </c>
      <c r="S3165" t="s">
        <v>9567</v>
      </c>
      <c r="T3165" t="s">
        <v>12802</v>
      </c>
      <c r="U3165" t="s">
        <v>12802</v>
      </c>
      <c r="V3165" t="s">
        <v>12802</v>
      </c>
      <c r="W3165" t="s">
        <v>15917</v>
      </c>
      <c r="X3165">
        <v>2</v>
      </c>
      <c r="Y3165" t="s">
        <v>22169</v>
      </c>
      <c r="Z3165" t="s">
        <v>28483</v>
      </c>
      <c r="AA3165">
        <v>0.62966884725925865</v>
      </c>
      <c r="AB3165" t="str">
        <f>HYPERLINK("Melting_Curves/meltCurve_Q07108_CD69.pdf", "Melting_Curves/meltCurve_Q07108_CD69.pdf")</f>
        <v>Melting_Curves/meltCurve_Q07108_CD69.pdf</v>
      </c>
    </row>
    <row r="3166" spans="1:28" x14ac:dyDescent="0.25">
      <c r="A3166" t="s">
        <v>3170</v>
      </c>
      <c r="B3166">
        <v>0.99542014353169495</v>
      </c>
      <c r="C3166">
        <v>1.02875853038919</v>
      </c>
      <c r="D3166">
        <v>0.99526378750867095</v>
      </c>
      <c r="E3166">
        <v>0.89581662936225803</v>
      </c>
      <c r="F3166">
        <v>0.64374778260153398</v>
      </c>
      <c r="G3166">
        <v>4.4578770832116803E-2</v>
      </c>
      <c r="H3166">
        <v>3.3826301445671801E-2</v>
      </c>
      <c r="I3166">
        <v>6.3977674711616396E-3</v>
      </c>
      <c r="J3166">
        <v>1.1054966984732699E-2</v>
      </c>
      <c r="K3166">
        <v>1.5880526921777001E-2</v>
      </c>
      <c r="L3166">
        <v>2432.3532383346601</v>
      </c>
      <c r="M3166">
        <v>47.928319610115899</v>
      </c>
      <c r="N3166">
        <v>50.771607383746598</v>
      </c>
      <c r="O3166">
        <v>50.661675232883297</v>
      </c>
      <c r="P3166">
        <v>-0.23410441602344501</v>
      </c>
      <c r="Q3166">
        <v>1.0178934822845299E-2</v>
      </c>
      <c r="R3166">
        <v>0.99501348258841005</v>
      </c>
      <c r="S3166" t="s">
        <v>9568</v>
      </c>
      <c r="T3166" t="s">
        <v>12802</v>
      </c>
      <c r="U3166" t="s">
        <v>12802</v>
      </c>
      <c r="V3166" t="s">
        <v>12802</v>
      </c>
      <c r="W3166" t="s">
        <v>15918</v>
      </c>
      <c r="X3166">
        <v>2</v>
      </c>
      <c r="Y3166" t="s">
        <v>22170</v>
      </c>
      <c r="Z3166" t="s">
        <v>28484</v>
      </c>
      <c r="AA3166">
        <v>0.46625287023998302</v>
      </c>
      <c r="AB3166" t="str">
        <f>HYPERLINK("Melting_Curves/meltCurve_Q07283_TCHH.pdf", "Melting_Curves/meltCurve_Q07283_TCHH.pdf")</f>
        <v>Melting_Curves/meltCurve_Q07283_TCHH.pdf</v>
      </c>
    </row>
    <row r="3167" spans="1:28" x14ac:dyDescent="0.25">
      <c r="A3167" t="s">
        <v>3171</v>
      </c>
      <c r="B3167">
        <v>0.99542014353169495</v>
      </c>
      <c r="C3167">
        <v>1.0793572590916001</v>
      </c>
      <c r="D3167">
        <v>1.0599860712822</v>
      </c>
      <c r="E3167">
        <v>0.90988783323729905</v>
      </c>
      <c r="F3167">
        <v>0.54203274836513904</v>
      </c>
      <c r="G3167">
        <v>0.19590696462330701</v>
      </c>
      <c r="H3167">
        <v>7.5819063149357602E-2</v>
      </c>
      <c r="I3167">
        <v>4.9092439152043699E-2</v>
      </c>
      <c r="J3167">
        <v>5.5553380351768003E-2</v>
      </c>
      <c r="K3167">
        <v>6.3434534807353504E-2</v>
      </c>
      <c r="L3167">
        <v>1443.12540447777</v>
      </c>
      <c r="M3167">
        <v>28.660564536479399</v>
      </c>
      <c r="N3167">
        <v>50.5535248971211</v>
      </c>
      <c r="O3167">
        <v>50.109103029931802</v>
      </c>
      <c r="P3167">
        <v>-0.135283709530956</v>
      </c>
      <c r="Q3167">
        <v>5.3907091147322103E-2</v>
      </c>
      <c r="R3167">
        <v>0.99413496755193898</v>
      </c>
      <c r="S3167" t="s">
        <v>9569</v>
      </c>
      <c r="T3167" t="s">
        <v>12802</v>
      </c>
      <c r="U3167" t="s">
        <v>12802</v>
      </c>
      <c r="V3167" t="s">
        <v>12802</v>
      </c>
      <c r="W3167" t="s">
        <v>15919</v>
      </c>
      <c r="X3167">
        <v>11</v>
      </c>
      <c r="Y3167" t="s">
        <v>22171</v>
      </c>
      <c r="Z3167" t="s">
        <v>28485</v>
      </c>
      <c r="AA3167">
        <v>0.48137524916624508</v>
      </c>
      <c r="AB3167" t="str">
        <f>HYPERLINK("Melting_Curves/meltCurve_Q07666_KHDRBS1.pdf", "Melting_Curves/meltCurve_Q07666_KHDRBS1.pdf")</f>
        <v>Melting_Curves/meltCurve_Q07666_KHDRBS1.pdf</v>
      </c>
    </row>
    <row r="3168" spans="1:28" x14ac:dyDescent="0.25">
      <c r="A3168" t="s">
        <v>3172</v>
      </c>
      <c r="B3168">
        <v>0.99542014353169495</v>
      </c>
      <c r="C3168">
        <v>1.0581623659361099</v>
      </c>
      <c r="D3168">
        <v>0.96991964891593696</v>
      </c>
      <c r="E3168">
        <v>0.92719205346199496</v>
      </c>
      <c r="F3168">
        <v>0.72302227334066205</v>
      </c>
      <c r="G3168">
        <v>0.59609246682439498</v>
      </c>
      <c r="H3168">
        <v>0.38252272280951499</v>
      </c>
      <c r="I3168">
        <v>0.31294036420960097</v>
      </c>
      <c r="J3168">
        <v>0.37309885277534999</v>
      </c>
      <c r="K3168">
        <v>0.38093024491324201</v>
      </c>
      <c r="L3168">
        <v>985.01307704773603</v>
      </c>
      <c r="M3168">
        <v>19.115137164317701</v>
      </c>
      <c r="N3168">
        <v>54.730166265875297</v>
      </c>
      <c r="O3168">
        <v>50.976496766614602</v>
      </c>
      <c r="P3168">
        <v>-6.2206535282348797E-2</v>
      </c>
      <c r="Q3168">
        <v>0.33645312779826902</v>
      </c>
      <c r="R3168">
        <v>0.98260930703857596</v>
      </c>
      <c r="S3168" t="s">
        <v>9570</v>
      </c>
      <c r="T3168" t="s">
        <v>12802</v>
      </c>
      <c r="U3168" t="s">
        <v>12802</v>
      </c>
      <c r="V3168" t="s">
        <v>12802</v>
      </c>
      <c r="W3168" t="s">
        <v>15920</v>
      </c>
      <c r="X3168">
        <v>7</v>
      </c>
      <c r="Y3168" t="s">
        <v>22172</v>
      </c>
      <c r="Z3168" t="s">
        <v>28486</v>
      </c>
      <c r="AA3168">
        <v>0.66712075323924369</v>
      </c>
      <c r="AB3168" t="str">
        <f>HYPERLINK("Melting_Curves/meltCurve_Q07812_5_BAX.pdf", "Melting_Curves/meltCurve_Q07812_5_BAX.pdf")</f>
        <v>Melting_Curves/meltCurve_Q07812_5_BAX.pdf</v>
      </c>
    </row>
    <row r="3169" spans="1:28" x14ac:dyDescent="0.25">
      <c r="A3169" t="s">
        <v>3173</v>
      </c>
      <c r="B3169">
        <v>0.99542014353169495</v>
      </c>
      <c r="C3169">
        <v>0.97792169727843103</v>
      </c>
      <c r="D3169">
        <v>0.92064181583793503</v>
      </c>
      <c r="E3169">
        <v>0.83867097574261895</v>
      </c>
      <c r="F3169">
        <v>0.52969283068751605</v>
      </c>
      <c r="G3169">
        <v>0.43013865516857303</v>
      </c>
      <c r="H3169">
        <v>0.28301402625705901</v>
      </c>
      <c r="I3169">
        <v>0.224455437030953</v>
      </c>
      <c r="J3169">
        <v>0.25870986280876102</v>
      </c>
      <c r="K3169">
        <v>0.22169705766591</v>
      </c>
      <c r="L3169">
        <v>813.35252701340005</v>
      </c>
      <c r="M3169">
        <v>16.374178462297301</v>
      </c>
      <c r="N3169">
        <v>51.441610231563601</v>
      </c>
      <c r="O3169">
        <v>48.949721425535103</v>
      </c>
      <c r="P3169">
        <v>-6.5631351901703605E-2</v>
      </c>
      <c r="Q3169">
        <v>0.21525074011071299</v>
      </c>
      <c r="R3169">
        <v>0.99284999583370703</v>
      </c>
      <c r="S3169" t="s">
        <v>9571</v>
      </c>
      <c r="T3169" t="s">
        <v>12802</v>
      </c>
      <c r="U3169" t="s">
        <v>12802</v>
      </c>
      <c r="V3169" t="s">
        <v>12802</v>
      </c>
      <c r="W3169" t="s">
        <v>15921</v>
      </c>
      <c r="X3169">
        <v>4</v>
      </c>
      <c r="Y3169" t="s">
        <v>22173</v>
      </c>
      <c r="Z3169" t="s">
        <v>28487</v>
      </c>
      <c r="AA3169">
        <v>0.56123483425880316</v>
      </c>
      <c r="AB3169" t="str">
        <f>HYPERLINK("Melting_Curves/meltCurve_Q07820_MCL1.pdf", "Melting_Curves/meltCurve_Q07820_MCL1.pdf")</f>
        <v>Melting_Curves/meltCurve_Q07820_MCL1.pdf</v>
      </c>
    </row>
    <row r="3170" spans="1:28" x14ac:dyDescent="0.25">
      <c r="A3170" t="s">
        <v>3174</v>
      </c>
      <c r="B3170">
        <v>0.99542014353169495</v>
      </c>
      <c r="C3170">
        <v>0.84520682122538204</v>
      </c>
      <c r="D3170">
        <v>0.74872451907984705</v>
      </c>
      <c r="E3170">
        <v>0.310885386672766</v>
      </c>
      <c r="F3170">
        <v>0.217757205968581</v>
      </c>
      <c r="G3170">
        <v>0.13608665080371399</v>
      </c>
      <c r="H3170">
        <v>8.3825262170590401E-2</v>
      </c>
      <c r="I3170">
        <v>5.7428790222899602E-2</v>
      </c>
      <c r="J3170">
        <v>5.78725025150503E-2</v>
      </c>
      <c r="K3170">
        <v>5.5302931935642202E-2</v>
      </c>
      <c r="L3170">
        <v>776.02549770289704</v>
      </c>
      <c r="M3170">
        <v>17.350268412324802</v>
      </c>
      <c r="N3170">
        <v>45.067267615684301</v>
      </c>
      <c r="O3170">
        <v>44.145521814870499</v>
      </c>
      <c r="P3170">
        <v>-9.22294156917733E-2</v>
      </c>
      <c r="Q3170">
        <v>6.1390094463359697E-2</v>
      </c>
      <c r="R3170">
        <v>0.989374928055752</v>
      </c>
      <c r="S3170" t="s">
        <v>9572</v>
      </c>
      <c r="T3170" t="s">
        <v>12802</v>
      </c>
      <c r="U3170" t="s">
        <v>12802</v>
      </c>
      <c r="V3170" t="s">
        <v>12802</v>
      </c>
      <c r="W3170" t="s">
        <v>15922</v>
      </c>
      <c r="X3170">
        <v>14</v>
      </c>
      <c r="Y3170" t="s">
        <v>22174</v>
      </c>
      <c r="Z3170" t="s">
        <v>28488</v>
      </c>
      <c r="AA3170">
        <v>0.31985974110027598</v>
      </c>
      <c r="AB3170" t="str">
        <f>HYPERLINK("Melting_Curves/meltCurve_Q07864_POLE.pdf", "Melting_Curves/meltCurve_Q07864_POLE.pdf")</f>
        <v>Melting_Curves/meltCurve_Q07864_POLE.pdf</v>
      </c>
    </row>
    <row r="3171" spans="1:28" x14ac:dyDescent="0.25">
      <c r="A3171" t="s">
        <v>3175</v>
      </c>
      <c r="B3171">
        <v>0.99542014353169495</v>
      </c>
      <c r="C3171">
        <v>0.91261796683651497</v>
      </c>
      <c r="D3171">
        <v>1.0391127785826699</v>
      </c>
      <c r="E3171">
        <v>0.80070843610319897</v>
      </c>
      <c r="F3171">
        <v>0.57541500538317802</v>
      </c>
      <c r="G3171">
        <v>0.13892076343170301</v>
      </c>
      <c r="H3171">
        <v>6.9410604770425294E-2</v>
      </c>
      <c r="I3171">
        <v>4.5091206623730999E-2</v>
      </c>
      <c r="J3171">
        <v>5.0993496052695798E-2</v>
      </c>
      <c r="K3171">
        <v>5.5854966668733498E-2</v>
      </c>
      <c r="L3171">
        <v>1216.6818716247899</v>
      </c>
      <c r="M3171">
        <v>24.241352136227999</v>
      </c>
      <c r="N3171">
        <v>50.334604231902503</v>
      </c>
      <c r="O3171">
        <v>49.852534018735298</v>
      </c>
      <c r="P3171">
        <v>-0.117487557848398</v>
      </c>
      <c r="Q3171">
        <v>3.3558278939374998E-2</v>
      </c>
      <c r="R3171">
        <v>0.98694595031913401</v>
      </c>
      <c r="S3171" t="s">
        <v>9573</v>
      </c>
      <c r="T3171" t="s">
        <v>12802</v>
      </c>
      <c r="U3171" t="s">
        <v>12802</v>
      </c>
      <c r="V3171" t="s">
        <v>12802</v>
      </c>
      <c r="W3171" t="s">
        <v>15923</v>
      </c>
      <c r="X3171">
        <v>33</v>
      </c>
      <c r="Y3171" t="s">
        <v>19644</v>
      </c>
      <c r="Z3171" t="s">
        <v>28489</v>
      </c>
      <c r="AA3171">
        <v>0.46745754579426269</v>
      </c>
      <c r="AB3171" t="str">
        <f>HYPERLINK("Melting_Curves/meltCurve_Q07866_6_KLC1.pdf", "Melting_Curves/meltCurve_Q07866_6_KLC1.pdf")</f>
        <v>Melting_Curves/meltCurve_Q07866_6_KLC1.pdf</v>
      </c>
    </row>
    <row r="3172" spans="1:28" x14ac:dyDescent="0.25">
      <c r="A3172" t="s">
        <v>3176</v>
      </c>
      <c r="B3172">
        <v>0.99542014353169495</v>
      </c>
      <c r="C3172">
        <v>0.98720837859758903</v>
      </c>
      <c r="D3172">
        <v>0.96911986641085202</v>
      </c>
      <c r="E3172">
        <v>0.89941320386569601</v>
      </c>
      <c r="F3172">
        <v>0.59163404793086705</v>
      </c>
      <c r="G3172">
        <v>0.180779285286986</v>
      </c>
      <c r="H3172">
        <v>0.10332290077969</v>
      </c>
      <c r="I3172">
        <v>7.4420428860071206E-2</v>
      </c>
      <c r="J3172">
        <v>8.1427641968398301E-2</v>
      </c>
      <c r="K3172">
        <v>7.6305133098373695E-2</v>
      </c>
      <c r="L3172">
        <v>1466.97119224585</v>
      </c>
      <c r="M3172">
        <v>29.062864858294699</v>
      </c>
      <c r="N3172">
        <v>50.745559930820498</v>
      </c>
      <c r="O3172">
        <v>50.2386259589396</v>
      </c>
      <c r="P3172">
        <v>-0.134273145921182</v>
      </c>
      <c r="Q3172">
        <v>7.15783050535614E-2</v>
      </c>
      <c r="R3172">
        <v>0.99856067862778897</v>
      </c>
      <c r="S3172" t="s">
        <v>9574</v>
      </c>
      <c r="T3172" t="s">
        <v>12802</v>
      </c>
      <c r="U3172" t="s">
        <v>12802</v>
      </c>
      <c r="V3172" t="s">
        <v>12802</v>
      </c>
      <c r="W3172" t="s">
        <v>15924</v>
      </c>
      <c r="X3172">
        <v>14</v>
      </c>
      <c r="Y3172" t="s">
        <v>22175</v>
      </c>
      <c r="Z3172" t="s">
        <v>28490</v>
      </c>
      <c r="AA3172">
        <v>0.49472663545439372</v>
      </c>
      <c r="AB3172" t="str">
        <f>HYPERLINK("Melting_Curves/meltCurve_Q07960_ARHGAP1.pdf", "Melting_Curves/meltCurve_Q07960_ARHGAP1.pdf")</f>
        <v>Melting_Curves/meltCurve_Q07960_ARHGAP1.pdf</v>
      </c>
    </row>
    <row r="3173" spans="1:28" x14ac:dyDescent="0.25">
      <c r="A3173" t="s">
        <v>3177</v>
      </c>
      <c r="B3173">
        <v>0.99542014353169495</v>
      </c>
      <c r="C3173">
        <v>1.18540257489372</v>
      </c>
      <c r="D3173">
        <v>1.0378745383833601</v>
      </c>
      <c r="E3173">
        <v>0.93886428394025501</v>
      </c>
      <c r="F3173">
        <v>0.78659978620184301</v>
      </c>
      <c r="G3173">
        <v>0.54540411134682099</v>
      </c>
      <c r="H3173">
        <v>0.19757699506350099</v>
      </c>
      <c r="I3173">
        <v>0.105069487060482</v>
      </c>
      <c r="J3173">
        <v>0.17898660766852301</v>
      </c>
      <c r="K3173">
        <v>0.192908870618241</v>
      </c>
      <c r="L3173">
        <v>1299.23582086997</v>
      </c>
      <c r="M3173">
        <v>24.533138065507799</v>
      </c>
      <c r="N3173">
        <v>53.658190149560198</v>
      </c>
      <c r="O3173">
        <v>52.610296739533702</v>
      </c>
      <c r="P3173">
        <v>-0.100620481901223</v>
      </c>
      <c r="Q3173">
        <v>0.13690671640367899</v>
      </c>
      <c r="R3173">
        <v>0.96715787323727698</v>
      </c>
      <c r="S3173" t="s">
        <v>9575</v>
      </c>
      <c r="T3173" t="s">
        <v>12802</v>
      </c>
      <c r="U3173" t="s">
        <v>12802</v>
      </c>
      <c r="V3173" t="s">
        <v>12802</v>
      </c>
      <c r="W3173" t="s">
        <v>15925</v>
      </c>
      <c r="X3173">
        <v>5</v>
      </c>
      <c r="Y3173" t="s">
        <v>22176</v>
      </c>
      <c r="Z3173" t="s">
        <v>28491</v>
      </c>
      <c r="AA3173">
        <v>0.60390594674947407</v>
      </c>
      <c r="AB3173" t="str">
        <f>HYPERLINK("Melting_Curves/meltCurve_Q08209_2_PPP3CA.pdf", "Melting_Curves/meltCurve_Q08209_2_PPP3CA.pdf")</f>
        <v>Melting_Curves/meltCurve_Q08209_2_PPP3CA.pdf</v>
      </c>
    </row>
    <row r="3174" spans="1:28" x14ac:dyDescent="0.25">
      <c r="A3174" t="s">
        <v>3178</v>
      </c>
      <c r="B3174">
        <v>0.99542014353169495</v>
      </c>
      <c r="C3174">
        <v>0.76130557645555497</v>
      </c>
      <c r="D3174">
        <v>0.70833609304341005</v>
      </c>
      <c r="E3174">
        <v>0.515075575673136</v>
      </c>
      <c r="F3174">
        <v>0.21313136114089001</v>
      </c>
      <c r="G3174">
        <v>9.1940622548784295E-2</v>
      </c>
      <c r="H3174">
        <v>5.9515382458458201E-2</v>
      </c>
      <c r="I3174">
        <v>4.04138523218638E-2</v>
      </c>
      <c r="J3174">
        <v>4.84409045623422E-2</v>
      </c>
      <c r="K3174">
        <v>6.7750015144227696E-2</v>
      </c>
      <c r="L3174">
        <v>575.13835285369396</v>
      </c>
      <c r="M3174">
        <v>12.591514798408999</v>
      </c>
      <c r="N3174">
        <v>45.733737020438198</v>
      </c>
      <c r="O3174">
        <v>44.570498339105903</v>
      </c>
      <c r="P3174">
        <v>-7.0090384949390003E-2</v>
      </c>
      <c r="Q3174">
        <v>7.7957358725E-3</v>
      </c>
      <c r="R3174">
        <v>0.98002490244464102</v>
      </c>
      <c r="S3174" t="s">
        <v>9576</v>
      </c>
      <c r="T3174" t="s">
        <v>12802</v>
      </c>
      <c r="U3174" t="s">
        <v>12802</v>
      </c>
      <c r="V3174" t="s">
        <v>12802</v>
      </c>
      <c r="W3174" t="s">
        <v>15926</v>
      </c>
      <c r="X3174">
        <v>25</v>
      </c>
      <c r="Y3174" t="s">
        <v>22177</v>
      </c>
      <c r="Z3174" t="s">
        <v>28492</v>
      </c>
      <c r="AA3174">
        <v>0.32673285702526061</v>
      </c>
      <c r="AB3174" t="str">
        <f>HYPERLINK("Melting_Curves/meltCurve_Q08211_DHX9.pdf", "Melting_Curves/meltCurve_Q08211_DHX9.pdf")</f>
        <v>Melting_Curves/meltCurve_Q08211_DHX9.pdf</v>
      </c>
    </row>
    <row r="3175" spans="1:28" x14ac:dyDescent="0.25">
      <c r="A3175" t="s">
        <v>3179</v>
      </c>
      <c r="B3175">
        <v>0.99542014353169495</v>
      </c>
      <c r="C3175">
        <v>0.96593560787170696</v>
      </c>
      <c r="D3175">
        <v>0.92165010611103504</v>
      </c>
      <c r="E3175">
        <v>0.799775939309332</v>
      </c>
      <c r="F3175">
        <v>0.665352403301118</v>
      </c>
      <c r="G3175">
        <v>0.54312520187792501</v>
      </c>
      <c r="H3175">
        <v>0.28946203248582503</v>
      </c>
      <c r="I3175">
        <v>7.7444171647641696E-2</v>
      </c>
      <c r="J3175">
        <v>6.5158612548601405E-2</v>
      </c>
      <c r="K3175">
        <v>6.5419717051147699E-2</v>
      </c>
      <c r="L3175">
        <v>677.06163987024695</v>
      </c>
      <c r="M3175">
        <v>12.761816043497401</v>
      </c>
      <c r="N3175">
        <v>53.053706271050899</v>
      </c>
      <c r="O3175">
        <v>51.801630266668198</v>
      </c>
      <c r="P3175">
        <v>-6.1601530257200998E-2</v>
      </c>
      <c r="Q3175">
        <v>0</v>
      </c>
      <c r="R3175">
        <v>0.98509771628998</v>
      </c>
      <c r="S3175" t="s">
        <v>9577</v>
      </c>
      <c r="T3175" t="s">
        <v>12802</v>
      </c>
      <c r="U3175" t="s">
        <v>12802</v>
      </c>
      <c r="V3175" t="s">
        <v>12802</v>
      </c>
      <c r="W3175" t="s">
        <v>15927</v>
      </c>
      <c r="X3175">
        <v>16</v>
      </c>
      <c r="Y3175" t="s">
        <v>22178</v>
      </c>
      <c r="Z3175" t="s">
        <v>28493</v>
      </c>
      <c r="AA3175">
        <v>0.55532357923156184</v>
      </c>
      <c r="AB3175" t="str">
        <f>HYPERLINK("Melting_Curves/meltCurve_Q08257_CRYZ.pdf", "Melting_Curves/meltCurve_Q08257_CRYZ.pdf")</f>
        <v>Melting_Curves/meltCurve_Q08257_CRYZ.pdf</v>
      </c>
    </row>
    <row r="3176" spans="1:28" x14ac:dyDescent="0.25">
      <c r="A3176" t="s">
        <v>3180</v>
      </c>
      <c r="B3176">
        <v>0.99542014353169495</v>
      </c>
      <c r="C3176">
        <v>0.88498563550703002</v>
      </c>
      <c r="D3176">
        <v>0.98996459499591505</v>
      </c>
      <c r="E3176">
        <v>0.88401196105541802</v>
      </c>
      <c r="F3176">
        <v>0.79696421642617199</v>
      </c>
      <c r="G3176">
        <v>0.52711032768907595</v>
      </c>
      <c r="H3176">
        <v>0.42812231854271499</v>
      </c>
      <c r="I3176">
        <v>0.34516518277657199</v>
      </c>
      <c r="J3176">
        <v>0.47778498176698703</v>
      </c>
      <c r="K3176">
        <v>0.51955319591026095</v>
      </c>
      <c r="L3176">
        <v>1319.33447843008</v>
      </c>
      <c r="M3176">
        <v>25.994760300904201</v>
      </c>
      <c r="N3176">
        <v>55.045876153755401</v>
      </c>
      <c r="O3176">
        <v>50.456352671681302</v>
      </c>
      <c r="P3176">
        <v>-7.2884575078322994E-2</v>
      </c>
      <c r="Q3176">
        <v>0.43412480658578501</v>
      </c>
      <c r="R3176">
        <v>0.93148007790132004</v>
      </c>
      <c r="S3176" t="s">
        <v>9578</v>
      </c>
      <c r="T3176" t="s">
        <v>12802</v>
      </c>
      <c r="U3176" t="s">
        <v>12802</v>
      </c>
      <c r="V3176" t="s">
        <v>12802</v>
      </c>
      <c r="W3176" t="s">
        <v>15928</v>
      </c>
      <c r="X3176">
        <v>2</v>
      </c>
      <c r="Y3176" t="s">
        <v>22179</v>
      </c>
      <c r="Z3176" t="s">
        <v>28494</v>
      </c>
      <c r="AA3176">
        <v>0.69818778014023797</v>
      </c>
      <c r="AB3176" t="str">
        <f>HYPERLINK("Melting_Curves/meltCurve_Q08357_SLC20A2.pdf", "Melting_Curves/meltCurve_Q08357_SLC20A2.pdf")</f>
        <v>Melting_Curves/meltCurve_Q08357_SLC20A2.pdf</v>
      </c>
    </row>
    <row r="3177" spans="1:28" x14ac:dyDescent="0.25">
      <c r="A3177" t="s">
        <v>3181</v>
      </c>
      <c r="B3177">
        <v>0.99542014353169495</v>
      </c>
      <c r="C3177">
        <v>0.90985589161375102</v>
      </c>
      <c r="D3177">
        <v>0.90762149156529803</v>
      </c>
      <c r="E3177">
        <v>0.67065386420750905</v>
      </c>
      <c r="F3177">
        <v>0.46030035628563698</v>
      </c>
      <c r="G3177">
        <v>0.183638401866521</v>
      </c>
      <c r="H3177">
        <v>0.10174420148037799</v>
      </c>
      <c r="I3177">
        <v>7.8010696355312006E-2</v>
      </c>
      <c r="J3177">
        <v>9.4267989235386401E-2</v>
      </c>
      <c r="K3177">
        <v>0.114657179756727</v>
      </c>
      <c r="L3177">
        <v>794.25469112422104</v>
      </c>
      <c r="M3177">
        <v>16.3587560225874</v>
      </c>
      <c r="N3177">
        <v>48.962249984846601</v>
      </c>
      <c r="O3177">
        <v>47.844122947779503</v>
      </c>
      <c r="P3177">
        <v>-8.0014042828362594E-2</v>
      </c>
      <c r="Q3177">
        <v>6.4005474274173593E-2</v>
      </c>
      <c r="R3177">
        <v>0.99131389135839998</v>
      </c>
      <c r="S3177" t="s">
        <v>9579</v>
      </c>
      <c r="T3177" t="s">
        <v>12802</v>
      </c>
      <c r="U3177" t="s">
        <v>12802</v>
      </c>
      <c r="V3177" t="s">
        <v>12802</v>
      </c>
      <c r="W3177" t="s">
        <v>15929</v>
      </c>
      <c r="X3177">
        <v>46</v>
      </c>
      <c r="Y3177" t="s">
        <v>22180</v>
      </c>
      <c r="Z3177" t="s">
        <v>28495</v>
      </c>
      <c r="AA3177">
        <v>0.44205979591437189</v>
      </c>
      <c r="AB3177" t="str">
        <f>HYPERLINK("Melting_Curves/meltCurve_Q08378_GOLGA3.pdf", "Melting_Curves/meltCurve_Q08378_GOLGA3.pdf")</f>
        <v>Melting_Curves/meltCurve_Q08378_GOLGA3.pdf</v>
      </c>
    </row>
    <row r="3178" spans="1:28" x14ac:dyDescent="0.25">
      <c r="A3178" t="s">
        <v>3182</v>
      </c>
      <c r="B3178">
        <v>0.99542014353169495</v>
      </c>
      <c r="C3178">
        <v>0.87912370948782104</v>
      </c>
      <c r="D3178">
        <v>0.69856132496024403</v>
      </c>
      <c r="E3178">
        <v>0.34206864139535098</v>
      </c>
      <c r="F3178">
        <v>0.17483520778566</v>
      </c>
      <c r="G3178">
        <v>9.8863375160127595E-2</v>
      </c>
      <c r="H3178">
        <v>6.5265932022926701E-2</v>
      </c>
      <c r="I3178">
        <v>4.7638221190539599E-2</v>
      </c>
      <c r="J3178">
        <v>5.2893284249519397E-2</v>
      </c>
      <c r="K3178">
        <v>5.8314198861227899E-2</v>
      </c>
      <c r="L3178">
        <v>798.659950322035</v>
      </c>
      <c r="M3178">
        <v>17.881785228544899</v>
      </c>
      <c r="N3178">
        <v>44.927009256564901</v>
      </c>
      <c r="O3178">
        <v>44.115992143846697</v>
      </c>
      <c r="P3178">
        <v>-9.6290737369646801E-2</v>
      </c>
      <c r="Q3178">
        <v>4.9816201916454098E-2</v>
      </c>
      <c r="R3178">
        <v>0.99885262414182796</v>
      </c>
      <c r="S3178" t="s">
        <v>9580</v>
      </c>
      <c r="T3178" t="s">
        <v>12802</v>
      </c>
      <c r="U3178" t="s">
        <v>12802</v>
      </c>
      <c r="V3178" t="s">
        <v>12802</v>
      </c>
      <c r="W3178" t="s">
        <v>15930</v>
      </c>
      <c r="X3178">
        <v>31</v>
      </c>
      <c r="Y3178" t="s">
        <v>22181</v>
      </c>
      <c r="Z3178" t="s">
        <v>28496</v>
      </c>
      <c r="AA3178">
        <v>0.30844172894168859</v>
      </c>
      <c r="AB3178" t="str">
        <f>HYPERLINK("Melting_Curves/meltCurve_Q08379_GOLGA2.pdf", "Melting_Curves/meltCurve_Q08379_GOLGA2.pdf")</f>
        <v>Melting_Curves/meltCurve_Q08379_GOLGA2.pdf</v>
      </c>
    </row>
    <row r="3179" spans="1:28" x14ac:dyDescent="0.25">
      <c r="A3179" t="s">
        <v>3183</v>
      </c>
      <c r="B3179">
        <v>0.99542014353169495</v>
      </c>
      <c r="C3179">
        <v>1.15541128364264</v>
      </c>
      <c r="D3179">
        <v>1.06699689290115</v>
      </c>
      <c r="E3179">
        <v>0.79446411235873005</v>
      </c>
      <c r="F3179">
        <v>0.66019788903802701</v>
      </c>
      <c r="G3179">
        <v>0.26432652228978798</v>
      </c>
      <c r="H3179">
        <v>0.14703537835916899</v>
      </c>
      <c r="I3179">
        <v>0.125934519821395</v>
      </c>
      <c r="J3179">
        <v>0.143674785359</v>
      </c>
      <c r="K3179">
        <v>0.165707745454647</v>
      </c>
      <c r="L3179">
        <v>1184.1968434313501</v>
      </c>
      <c r="M3179">
        <v>23.430718691341301</v>
      </c>
      <c r="N3179">
        <v>51.1724635301183</v>
      </c>
      <c r="O3179">
        <v>50.176527918284997</v>
      </c>
      <c r="P3179">
        <v>-0.102074154979461</v>
      </c>
      <c r="Q3179">
        <v>0.125654191720348</v>
      </c>
      <c r="R3179">
        <v>0.97030706091415198</v>
      </c>
      <c r="S3179" t="s">
        <v>9581</v>
      </c>
      <c r="T3179" t="s">
        <v>12802</v>
      </c>
      <c r="U3179" t="s">
        <v>12802</v>
      </c>
      <c r="V3179" t="s">
        <v>12802</v>
      </c>
      <c r="W3179" t="s">
        <v>15931</v>
      </c>
      <c r="X3179">
        <v>9</v>
      </c>
      <c r="Y3179" t="s">
        <v>22182</v>
      </c>
      <c r="Z3179" t="s">
        <v>28497</v>
      </c>
      <c r="AA3179">
        <v>0.52895785545436624</v>
      </c>
      <c r="AB3179" t="str">
        <f>HYPERLINK("Melting_Curves/meltCurve_Q08426_EHHADH.pdf", "Melting_Curves/meltCurve_Q08426_EHHADH.pdf")</f>
        <v>Melting_Curves/meltCurve_Q08426_EHHADH.pdf</v>
      </c>
    </row>
    <row r="3180" spans="1:28" x14ac:dyDescent="0.25">
      <c r="A3180" t="s">
        <v>3184</v>
      </c>
      <c r="B3180">
        <v>0.99542014353169495</v>
      </c>
      <c r="C3180">
        <v>1.0895270523020399</v>
      </c>
      <c r="D3180">
        <v>1.00090314266661</v>
      </c>
      <c r="E3180">
        <v>0.90926647591127596</v>
      </c>
      <c r="F3180">
        <v>0.66117890769235099</v>
      </c>
      <c r="G3180">
        <v>0.45795576531572302</v>
      </c>
      <c r="H3180">
        <v>0.28093585708883501</v>
      </c>
      <c r="I3180">
        <v>0.23296968357345499</v>
      </c>
      <c r="J3180">
        <v>0.335529875020528</v>
      </c>
      <c r="K3180">
        <v>0.42646909879789902</v>
      </c>
      <c r="L3180">
        <v>1320.72786776669</v>
      </c>
      <c r="M3180">
        <v>26.280606445186699</v>
      </c>
      <c r="N3180">
        <v>52.267299865568603</v>
      </c>
      <c r="O3180">
        <v>49.9665761907644</v>
      </c>
      <c r="P3180">
        <v>-8.9647121103572799E-2</v>
      </c>
      <c r="Q3180">
        <v>0.31823334077676202</v>
      </c>
      <c r="R3180">
        <v>0.96604731507474395</v>
      </c>
      <c r="S3180" t="s">
        <v>9582</v>
      </c>
      <c r="T3180" t="s">
        <v>12802</v>
      </c>
      <c r="U3180" t="s">
        <v>12802</v>
      </c>
      <c r="V3180" t="s">
        <v>12802</v>
      </c>
      <c r="W3180" t="s">
        <v>15932</v>
      </c>
      <c r="X3180">
        <v>8</v>
      </c>
      <c r="Y3180" t="s">
        <v>22183</v>
      </c>
      <c r="Z3180" t="s">
        <v>28498</v>
      </c>
      <c r="AA3180">
        <v>0.62489163293784578</v>
      </c>
      <c r="AB3180" t="str">
        <f>HYPERLINK("Melting_Curves/meltCurve_Q08495_EPB49.pdf", "Melting_Curves/meltCurve_Q08495_EPB49.pdf")</f>
        <v>Melting_Curves/meltCurve_Q08495_EPB49.pdf</v>
      </c>
    </row>
    <row r="3181" spans="1:28" x14ac:dyDescent="0.25">
      <c r="A3181" t="s">
        <v>3185</v>
      </c>
      <c r="B3181">
        <v>0.99542014353169495</v>
      </c>
      <c r="C3181">
        <v>0.92370684275594706</v>
      </c>
      <c r="D3181">
        <v>0.93695920871900495</v>
      </c>
      <c r="E3181">
        <v>0.83478907056742102</v>
      </c>
      <c r="F3181">
        <v>0.73919666672836304</v>
      </c>
      <c r="G3181">
        <v>0.53119833225342805</v>
      </c>
      <c r="H3181">
        <v>0.46627330160070402</v>
      </c>
      <c r="I3181">
        <v>0.44592620370935199</v>
      </c>
      <c r="J3181">
        <v>0.63174739695739202</v>
      </c>
      <c r="K3181">
        <v>0.69991857000156998</v>
      </c>
      <c r="L3181">
        <v>1026.3307166110601</v>
      </c>
      <c r="M3181">
        <v>21.418731773032</v>
      </c>
      <c r="O3181">
        <v>47.505603909755898</v>
      </c>
      <c r="P3181">
        <v>-5.0388841327135003E-2</v>
      </c>
      <c r="Q3181">
        <v>0.552971993964673</v>
      </c>
      <c r="R3181">
        <v>0.82550347745601904</v>
      </c>
      <c r="S3181" t="s">
        <v>9583</v>
      </c>
      <c r="T3181" t="s">
        <v>12802</v>
      </c>
      <c r="U3181" t="s">
        <v>12802</v>
      </c>
      <c r="V3181" t="s">
        <v>12802</v>
      </c>
      <c r="W3181" t="s">
        <v>15933</v>
      </c>
      <c r="X3181">
        <v>3</v>
      </c>
      <c r="Y3181" t="s">
        <v>22184</v>
      </c>
      <c r="Z3181" t="s">
        <v>28499</v>
      </c>
      <c r="AA3181">
        <v>0.72080180637986124</v>
      </c>
      <c r="AB3181" t="str">
        <f>HYPERLINK("Melting_Curves/meltCurve_Q08722_CD47.pdf", "Melting_Curves/meltCurve_Q08722_CD47.pdf")</f>
        <v>Melting_Curves/meltCurve_Q08722_CD47.pdf</v>
      </c>
    </row>
    <row r="3182" spans="1:28" x14ac:dyDescent="0.25">
      <c r="A3182" t="s">
        <v>3186</v>
      </c>
      <c r="B3182">
        <v>0.99542014353169495</v>
      </c>
      <c r="C3182">
        <v>1.0133914195509199</v>
      </c>
      <c r="D3182">
        <v>0.95671717521949595</v>
      </c>
      <c r="E3182">
        <v>0.60423650492522796</v>
      </c>
      <c r="F3182">
        <v>0.12084176792659999</v>
      </c>
      <c r="G3182">
        <v>6.9136422215315199E-2</v>
      </c>
      <c r="H3182">
        <v>4.2965900050783302E-2</v>
      </c>
      <c r="I3182">
        <v>3.2472509587686202E-2</v>
      </c>
      <c r="J3182">
        <v>3.2918898298624502E-2</v>
      </c>
      <c r="K3182">
        <v>2.8807020023888501E-2</v>
      </c>
      <c r="L3182">
        <v>1677.3317059037699</v>
      </c>
      <c r="M3182">
        <v>35.650447158485001</v>
      </c>
      <c r="N3182">
        <v>47.151719867644303</v>
      </c>
      <c r="O3182">
        <v>46.902084048071302</v>
      </c>
      <c r="P3182">
        <v>-0.18295304841874199</v>
      </c>
      <c r="Q3182">
        <v>3.7223733724911702E-2</v>
      </c>
      <c r="R3182">
        <v>0.99942394485782005</v>
      </c>
      <c r="S3182" t="s">
        <v>9584</v>
      </c>
      <c r="T3182" t="s">
        <v>12802</v>
      </c>
      <c r="U3182" t="s">
        <v>12802</v>
      </c>
      <c r="V3182" t="s">
        <v>12802</v>
      </c>
      <c r="W3182" t="s">
        <v>15934</v>
      </c>
      <c r="X3182">
        <v>24</v>
      </c>
      <c r="Y3182" t="s">
        <v>22185</v>
      </c>
      <c r="Z3182" t="s">
        <v>28500</v>
      </c>
      <c r="AA3182">
        <v>0.36368544919108342</v>
      </c>
      <c r="AB3182" t="str">
        <f>HYPERLINK("Melting_Curves/meltCurve_Q08752_PPID.pdf", "Melting_Curves/meltCurve_Q08752_PPID.pdf")</f>
        <v>Melting_Curves/meltCurve_Q08752_PPID.pdf</v>
      </c>
    </row>
    <row r="3183" spans="1:28" x14ac:dyDescent="0.25">
      <c r="A3183" t="s">
        <v>3187</v>
      </c>
      <c r="B3183">
        <v>0.99542014353169495</v>
      </c>
      <c r="C3183">
        <v>0.92332151154660402</v>
      </c>
      <c r="D3183">
        <v>0.84721539714310301</v>
      </c>
      <c r="E3183">
        <v>0.57470871456335104</v>
      </c>
      <c r="F3183">
        <v>0.34374837883422399</v>
      </c>
      <c r="G3183">
        <v>0.29567740303890699</v>
      </c>
      <c r="H3183">
        <v>0.113990658667269</v>
      </c>
      <c r="I3183">
        <v>6.85130271992163E-2</v>
      </c>
      <c r="J3183">
        <v>7.1795330028939106E-2</v>
      </c>
      <c r="K3183">
        <v>7.0562708634867799E-2</v>
      </c>
      <c r="L3183">
        <v>621.68171778277804</v>
      </c>
      <c r="M3183">
        <v>13.0096124862596</v>
      </c>
      <c r="N3183">
        <v>48.087685359792403</v>
      </c>
      <c r="O3183">
        <v>46.699541694509399</v>
      </c>
      <c r="P3183">
        <v>-6.6930762725229603E-2</v>
      </c>
      <c r="Q3183">
        <v>3.9145982421629498E-2</v>
      </c>
      <c r="R3183">
        <v>0.99252197351501603</v>
      </c>
      <c r="S3183" t="s">
        <v>9585</v>
      </c>
      <c r="T3183" t="s">
        <v>12802</v>
      </c>
      <c r="U3183" t="s">
        <v>12802</v>
      </c>
      <c r="V3183" t="s">
        <v>12802</v>
      </c>
      <c r="W3183" t="s">
        <v>15935</v>
      </c>
      <c r="X3183">
        <v>21</v>
      </c>
      <c r="Y3183" t="s">
        <v>22186</v>
      </c>
      <c r="Z3183" t="s">
        <v>28501</v>
      </c>
      <c r="AA3183">
        <v>0.41147497691224599</v>
      </c>
      <c r="AB3183" t="str">
        <f>HYPERLINK("Melting_Curves/meltCurve_Q08945_SSRP1.pdf", "Melting_Curves/meltCurve_Q08945_SSRP1.pdf")</f>
        <v>Melting_Curves/meltCurve_Q08945_SSRP1.pdf</v>
      </c>
    </row>
    <row r="3184" spans="1:28" x14ac:dyDescent="0.25">
      <c r="A3184" t="s">
        <v>3188</v>
      </c>
      <c r="B3184">
        <v>0.99542014353169495</v>
      </c>
      <c r="C3184">
        <v>0.897749050405803</v>
      </c>
      <c r="D3184">
        <v>0.94487708137482196</v>
      </c>
      <c r="E3184">
        <v>0.43258875018616999</v>
      </c>
      <c r="F3184">
        <v>6.0612257910753198E-2</v>
      </c>
      <c r="G3184">
        <v>6.0609756625284998E-2</v>
      </c>
      <c r="H3184">
        <v>0</v>
      </c>
      <c r="I3184">
        <v>0</v>
      </c>
      <c r="J3184">
        <v>0</v>
      </c>
      <c r="K3184">
        <v>0</v>
      </c>
      <c r="L3184">
        <v>1597.9174294058901</v>
      </c>
      <c r="M3184">
        <v>34.575097390871797</v>
      </c>
      <c r="N3184">
        <v>46.239327669328802</v>
      </c>
      <c r="O3184">
        <v>46.062064528613902</v>
      </c>
      <c r="P3184">
        <v>-0.18602428903055601</v>
      </c>
      <c r="Q3184">
        <v>8.6933591084549598E-3</v>
      </c>
      <c r="R3184">
        <v>0.99295323277179204</v>
      </c>
      <c r="S3184" t="s">
        <v>9586</v>
      </c>
      <c r="T3184" t="s">
        <v>12802</v>
      </c>
      <c r="U3184" t="s">
        <v>12802</v>
      </c>
      <c r="V3184" t="s">
        <v>12802</v>
      </c>
      <c r="W3184" t="s">
        <v>15936</v>
      </c>
      <c r="X3184">
        <v>3</v>
      </c>
      <c r="Y3184" t="s">
        <v>22187</v>
      </c>
      <c r="Z3184" t="s">
        <v>28502</v>
      </c>
      <c r="AA3184">
        <v>0.31747303076487582</v>
      </c>
      <c r="AB3184" t="str">
        <f>HYPERLINK("Melting_Curves/meltCurve_Q08AE8_2_SPIRE1.pdf", "Melting_Curves/meltCurve_Q08AE8_2_SPIRE1.pdf")</f>
        <v>Melting_Curves/meltCurve_Q08AE8_2_SPIRE1.pdf</v>
      </c>
    </row>
    <row r="3185" spans="1:28" x14ac:dyDescent="0.25">
      <c r="A3185" t="s">
        <v>3189</v>
      </c>
      <c r="B3185">
        <v>0.99542014353169495</v>
      </c>
      <c r="C3185">
        <v>1.0221487442300501</v>
      </c>
      <c r="D3185">
        <v>0.80315846948861702</v>
      </c>
      <c r="E3185">
        <v>0.74964149645191802</v>
      </c>
      <c r="F3185">
        <v>0.69768199063416503</v>
      </c>
      <c r="G3185">
        <v>0.65548985209201305</v>
      </c>
      <c r="H3185">
        <v>0.53090550028711803</v>
      </c>
      <c r="I3185">
        <v>0.43072487470103699</v>
      </c>
      <c r="J3185">
        <v>0.53293116985188504</v>
      </c>
      <c r="K3185">
        <v>0.50395712843561202</v>
      </c>
      <c r="L3185">
        <v>484.74222042610398</v>
      </c>
      <c r="M3185">
        <v>10.060453866775701</v>
      </c>
      <c r="N3185">
        <v>63.652785035517901</v>
      </c>
      <c r="O3185">
        <v>46.395344645351003</v>
      </c>
      <c r="P3185">
        <v>-2.9469877243121799E-2</v>
      </c>
      <c r="Q3185">
        <v>0.45663871791014499</v>
      </c>
      <c r="R3185">
        <v>0.93085435699875796</v>
      </c>
      <c r="S3185" t="s">
        <v>9587</v>
      </c>
      <c r="T3185" t="s">
        <v>12802</v>
      </c>
      <c r="U3185" t="s">
        <v>12802</v>
      </c>
      <c r="V3185" t="s">
        <v>12802</v>
      </c>
      <c r="W3185" t="s">
        <v>15937</v>
      </c>
      <c r="X3185">
        <v>3</v>
      </c>
      <c r="Y3185" t="s">
        <v>22188</v>
      </c>
      <c r="Z3185" t="s">
        <v>28503</v>
      </c>
      <c r="AA3185">
        <v>0.68054833974082751</v>
      </c>
      <c r="AB3185" t="str">
        <f>HYPERLINK("Melting_Curves/meltCurve_Q08AG7_MZT1.pdf", "Melting_Curves/meltCurve_Q08AG7_MZT1.pdf")</f>
        <v>Melting_Curves/meltCurve_Q08AG7_MZT1.pdf</v>
      </c>
    </row>
    <row r="3186" spans="1:28" x14ac:dyDescent="0.25">
      <c r="A3186" t="s">
        <v>3190</v>
      </c>
      <c r="B3186">
        <v>0.99542014353169495</v>
      </c>
      <c r="C3186">
        <v>0.92330322756668604</v>
      </c>
      <c r="D3186">
        <v>0.92626897811786102</v>
      </c>
      <c r="E3186">
        <v>0.82786422198634402</v>
      </c>
      <c r="F3186">
        <v>0.82771051685242902</v>
      </c>
      <c r="G3186">
        <v>0.41375418328120001</v>
      </c>
      <c r="H3186">
        <v>9.9532022566982001E-2</v>
      </c>
      <c r="I3186">
        <v>5.87645474175649E-2</v>
      </c>
      <c r="J3186">
        <v>4.6118725726919697E-2</v>
      </c>
      <c r="K3186">
        <v>4.0126620289740497E-2</v>
      </c>
      <c r="L3186">
        <v>1250.4363751068299</v>
      </c>
      <c r="M3186">
        <v>23.6712712492706</v>
      </c>
      <c r="N3186">
        <v>52.905262441503801</v>
      </c>
      <c r="O3186">
        <v>52.452389650073002</v>
      </c>
      <c r="P3186">
        <v>-0.11083614290591801</v>
      </c>
      <c r="Q3186">
        <v>1.76238166319456E-2</v>
      </c>
      <c r="R3186">
        <v>0.97920269437230101</v>
      </c>
      <c r="S3186" t="s">
        <v>9588</v>
      </c>
      <c r="T3186" t="s">
        <v>12802</v>
      </c>
      <c r="U3186" t="s">
        <v>12802</v>
      </c>
      <c r="V3186" t="s">
        <v>12802</v>
      </c>
      <c r="W3186" t="s">
        <v>15938</v>
      </c>
      <c r="X3186">
        <v>12</v>
      </c>
      <c r="Y3186" t="s">
        <v>22189</v>
      </c>
      <c r="Z3186" t="s">
        <v>28504</v>
      </c>
      <c r="AA3186">
        <v>0.54536816689010026</v>
      </c>
      <c r="AB3186" t="str">
        <f>HYPERLINK("Melting_Curves/meltCurve_Q08AM6_VAC14.pdf", "Melting_Curves/meltCurve_Q08AM6_VAC14.pdf")</f>
        <v>Melting_Curves/meltCurve_Q08AM6_VAC14.pdf</v>
      </c>
    </row>
    <row r="3187" spans="1:28" x14ac:dyDescent="0.25">
      <c r="A3187" t="s">
        <v>3191</v>
      </c>
      <c r="B3187">
        <v>0.99542014353169495</v>
      </c>
      <c r="C3187">
        <v>0.93307590980690203</v>
      </c>
      <c r="D3187">
        <v>1.0322448530282</v>
      </c>
      <c r="E3187">
        <v>0.83446091676548695</v>
      </c>
      <c r="F3187">
        <v>0.519714771129972</v>
      </c>
      <c r="G3187">
        <v>0.131361906603296</v>
      </c>
      <c r="H3187">
        <v>9.0517888206802496E-2</v>
      </c>
      <c r="I3187">
        <v>3.6632260000826901E-2</v>
      </c>
      <c r="J3187">
        <v>4.6127411958454101E-2</v>
      </c>
      <c r="K3187">
        <v>7.6412212400073801E-2</v>
      </c>
      <c r="L3187">
        <v>1315.50360420982</v>
      </c>
      <c r="M3187">
        <v>26.355679761089501</v>
      </c>
      <c r="N3187">
        <v>50.0997798226743</v>
      </c>
      <c r="O3187">
        <v>49.628759678150502</v>
      </c>
      <c r="P3187">
        <v>-0.126568193314676</v>
      </c>
      <c r="Q3187">
        <v>4.66789407818003E-2</v>
      </c>
      <c r="R3187">
        <v>0.99313791469466595</v>
      </c>
      <c r="S3187" t="s">
        <v>9589</v>
      </c>
      <c r="T3187" t="s">
        <v>12802</v>
      </c>
      <c r="U3187" t="s">
        <v>12802</v>
      </c>
      <c r="V3187" t="s">
        <v>12802</v>
      </c>
      <c r="W3187" t="s">
        <v>15939</v>
      </c>
      <c r="X3187">
        <v>6</v>
      </c>
      <c r="Y3187" t="s">
        <v>22190</v>
      </c>
      <c r="Z3187" t="s">
        <v>28505</v>
      </c>
      <c r="AA3187">
        <v>0.46456088541124041</v>
      </c>
      <c r="AB3187" t="str">
        <f>HYPERLINK("Melting_Curves/meltCurve_Q08E86_KIAA0100.pdf", "Melting_Curves/meltCurve_Q08E86_KIAA0100.pdf")</f>
        <v>Melting_Curves/meltCurve_Q08E86_KIAA0100.pdf</v>
      </c>
    </row>
    <row r="3188" spans="1:28" x14ac:dyDescent="0.25">
      <c r="A3188" t="s">
        <v>3192</v>
      </c>
      <c r="B3188">
        <v>0.99542014353169495</v>
      </c>
      <c r="C3188">
        <v>0.74579384929650205</v>
      </c>
      <c r="D3188">
        <v>1.09962067586469</v>
      </c>
      <c r="E3188">
        <v>0.64040332777240505</v>
      </c>
      <c r="F3188">
        <v>0.80019696694583398</v>
      </c>
      <c r="G3188">
        <v>0.31293358112106501</v>
      </c>
      <c r="H3188">
        <v>0.88690911229120895</v>
      </c>
      <c r="I3188">
        <v>1.01851339133722</v>
      </c>
      <c r="J3188">
        <v>1.1005741930128401</v>
      </c>
      <c r="K3188">
        <v>0.83893858988705805</v>
      </c>
      <c r="L3188">
        <v>9383.3469942354895</v>
      </c>
      <c r="M3188">
        <v>250</v>
      </c>
      <c r="O3188">
        <v>37.530986141357502</v>
      </c>
      <c r="P3188">
        <v>-0.28793177203938602</v>
      </c>
      <c r="Q3188">
        <v>0.82709818690650105</v>
      </c>
      <c r="R3188">
        <v>4.8898548588211098E-2</v>
      </c>
      <c r="S3188" t="s">
        <v>9590</v>
      </c>
      <c r="T3188" t="s">
        <v>12802</v>
      </c>
      <c r="U3188" t="s">
        <v>12802</v>
      </c>
      <c r="V3188" t="s">
        <v>12802</v>
      </c>
      <c r="W3188" t="s">
        <v>15940</v>
      </c>
      <c r="X3188">
        <v>1</v>
      </c>
      <c r="Y3188" t="s">
        <v>22191</v>
      </c>
      <c r="Z3188" t="s">
        <v>28506</v>
      </c>
      <c r="AA3188">
        <v>0.83020610229295344</v>
      </c>
      <c r="AB3188" t="str">
        <f>HYPERLINK("Melting_Curves/meltCurve_Q08ER3_ZNF365.pdf", "Melting_Curves/meltCurve_Q08ER3_ZNF365.pdf")</f>
        <v>Melting_Curves/meltCurve_Q08ER3_ZNF365.pdf</v>
      </c>
    </row>
    <row r="3189" spans="1:28" x14ac:dyDescent="0.25">
      <c r="A3189" t="s">
        <v>3193</v>
      </c>
      <c r="B3189">
        <v>0.99542014353169495</v>
      </c>
      <c r="C3189">
        <v>0.90851154133370504</v>
      </c>
      <c r="D3189">
        <v>0.69894428583894097</v>
      </c>
      <c r="E3189">
        <v>0.27679986539156798</v>
      </c>
      <c r="F3189">
        <v>0.125229534231178</v>
      </c>
      <c r="G3189">
        <v>8.1678185477884593E-2</v>
      </c>
      <c r="H3189">
        <v>5.4467413429181703E-2</v>
      </c>
      <c r="I3189">
        <v>4.6009074223729497E-2</v>
      </c>
      <c r="J3189">
        <v>4.9765207766649902E-2</v>
      </c>
      <c r="K3189">
        <v>5.5329131771024401E-2</v>
      </c>
      <c r="L3189">
        <v>993.77622140075096</v>
      </c>
      <c r="M3189">
        <v>22.415138685044901</v>
      </c>
      <c r="N3189">
        <v>44.554060434810197</v>
      </c>
      <c r="O3189">
        <v>43.986700663937903</v>
      </c>
      <c r="P3189">
        <v>-0.120753772267822</v>
      </c>
      <c r="Q3189">
        <v>5.2167378698010802E-2</v>
      </c>
      <c r="R3189">
        <v>0.99916762189643304</v>
      </c>
      <c r="S3189" t="s">
        <v>9591</v>
      </c>
      <c r="T3189" t="s">
        <v>12802</v>
      </c>
      <c r="U3189" t="s">
        <v>12802</v>
      </c>
      <c r="V3189" t="s">
        <v>12802</v>
      </c>
      <c r="W3189" t="s">
        <v>15941</v>
      </c>
      <c r="X3189">
        <v>35</v>
      </c>
      <c r="Y3189" t="s">
        <v>22192</v>
      </c>
      <c r="Z3189" t="s">
        <v>28507</v>
      </c>
      <c r="AA3189">
        <v>0.29374479505151008</v>
      </c>
      <c r="AB3189" t="str">
        <f>HYPERLINK("Melting_Curves/meltCurve_Q08J23_NSUN2.pdf", "Melting_Curves/meltCurve_Q08J23_NSUN2.pdf")</f>
        <v>Melting_Curves/meltCurve_Q08J23_NSUN2.pdf</v>
      </c>
    </row>
    <row r="3190" spans="1:28" x14ac:dyDescent="0.25">
      <c r="A3190" t="s">
        <v>3194</v>
      </c>
      <c r="B3190">
        <v>0.99542014353169495</v>
      </c>
      <c r="C3190">
        <v>0.95523531731530498</v>
      </c>
      <c r="D3190">
        <v>0.984432202323131</v>
      </c>
      <c r="E3190">
        <v>0.84468840620919505</v>
      </c>
      <c r="F3190">
        <v>0.81200496971022795</v>
      </c>
      <c r="G3190">
        <v>0.76792646334821502</v>
      </c>
      <c r="H3190">
        <v>0.61122424076067405</v>
      </c>
      <c r="I3190">
        <v>0.466765822729799</v>
      </c>
      <c r="J3190">
        <v>0.22509926398385599</v>
      </c>
      <c r="K3190">
        <v>7.8997788741704905E-2</v>
      </c>
      <c r="L3190">
        <v>700.598212244877</v>
      </c>
      <c r="M3190">
        <v>11.9511734908903</v>
      </c>
      <c r="N3190">
        <v>58.621708871792499</v>
      </c>
      <c r="O3190">
        <v>57.052726241033099</v>
      </c>
      <c r="P3190">
        <v>-5.2381810724883703E-2</v>
      </c>
      <c r="Q3190">
        <v>0</v>
      </c>
      <c r="R3190">
        <v>0.95649456825241197</v>
      </c>
      <c r="S3190" t="s">
        <v>9592</v>
      </c>
      <c r="T3190" t="s">
        <v>12802</v>
      </c>
      <c r="U3190" t="s">
        <v>12802</v>
      </c>
      <c r="V3190" t="s">
        <v>12802</v>
      </c>
      <c r="W3190" t="s">
        <v>15942</v>
      </c>
      <c r="X3190">
        <v>16</v>
      </c>
      <c r="Y3190" t="s">
        <v>22193</v>
      </c>
      <c r="Z3190" t="s">
        <v>28508</v>
      </c>
      <c r="AA3190">
        <v>0.71502376134904289</v>
      </c>
      <c r="AB3190" t="str">
        <f>HYPERLINK("Melting_Curves/meltCurve_Q09028_3_RBBP4.pdf", "Melting_Curves/meltCurve_Q09028_3_RBBP4.pdf")</f>
        <v>Melting_Curves/meltCurve_Q09028_3_RBBP4.pdf</v>
      </c>
    </row>
    <row r="3191" spans="1:28" x14ac:dyDescent="0.25">
      <c r="A3191" t="s">
        <v>3195</v>
      </c>
      <c r="B3191">
        <v>0.99542014353169495</v>
      </c>
      <c r="C3191">
        <v>0.98990447886183397</v>
      </c>
      <c r="D3191">
        <v>1.0340967895995099</v>
      </c>
      <c r="E3191">
        <v>0.91412577473498402</v>
      </c>
      <c r="F3191">
        <v>0.56827206586995804</v>
      </c>
      <c r="G3191">
        <v>0.24684782111503401</v>
      </c>
      <c r="H3191">
        <v>0.104741968661757</v>
      </c>
      <c r="I3191">
        <v>6.3899862195018697E-2</v>
      </c>
      <c r="J3191">
        <v>7.7861500213564597E-2</v>
      </c>
      <c r="K3191">
        <v>7.9911858207888195E-2</v>
      </c>
      <c r="L3191">
        <v>1320.3904242619999</v>
      </c>
      <c r="M3191">
        <v>26.1103448410786</v>
      </c>
      <c r="N3191">
        <v>50.863880980478299</v>
      </c>
      <c r="O3191">
        <v>50.275808425999699</v>
      </c>
      <c r="P3191">
        <v>-0.12073569399225501</v>
      </c>
      <c r="Q3191">
        <v>7.0098227410677005E-2</v>
      </c>
      <c r="R3191">
        <v>0.99836453712112705</v>
      </c>
      <c r="S3191" t="s">
        <v>9593</v>
      </c>
      <c r="T3191" t="s">
        <v>12802</v>
      </c>
      <c r="U3191" t="s">
        <v>12802</v>
      </c>
      <c r="V3191" t="s">
        <v>12802</v>
      </c>
      <c r="W3191" t="s">
        <v>15943</v>
      </c>
      <c r="X3191">
        <v>17</v>
      </c>
      <c r="Y3191" t="s">
        <v>22194</v>
      </c>
      <c r="Z3191" t="s">
        <v>28509</v>
      </c>
      <c r="AA3191">
        <v>0.4982439299801798</v>
      </c>
      <c r="AB3191" t="str">
        <f>HYPERLINK("Melting_Curves/meltCurve_Q09161_NCBP1.pdf", "Melting_Curves/meltCurve_Q09161_NCBP1.pdf")</f>
        <v>Melting_Curves/meltCurve_Q09161_NCBP1.pdf</v>
      </c>
    </row>
    <row r="3192" spans="1:28" x14ac:dyDescent="0.25">
      <c r="A3192" t="s">
        <v>3196</v>
      </c>
      <c r="B3192">
        <v>0.99542014353169495</v>
      </c>
      <c r="C3192">
        <v>0.99518926867945501</v>
      </c>
      <c r="D3192">
        <v>0.93921157107627096</v>
      </c>
      <c r="E3192">
        <v>0.90743074665280998</v>
      </c>
      <c r="F3192">
        <v>0.73571204982101901</v>
      </c>
      <c r="G3192">
        <v>0.46250154893144801</v>
      </c>
      <c r="H3192">
        <v>0.182481804680174</v>
      </c>
      <c r="I3192">
        <v>4.8808836297530599E-2</v>
      </c>
      <c r="J3192">
        <v>6.5956190331236494E-2</v>
      </c>
      <c r="K3192">
        <v>6.2787131896291704E-2</v>
      </c>
      <c r="L3192">
        <v>982.54943794197197</v>
      </c>
      <c r="M3192">
        <v>18.566835726598502</v>
      </c>
      <c r="N3192">
        <v>53.005407297143897</v>
      </c>
      <c r="O3192">
        <v>52.317165960638803</v>
      </c>
      <c r="P3192">
        <v>-8.7412717575052201E-2</v>
      </c>
      <c r="Q3192">
        <v>1.4805517030431E-2</v>
      </c>
      <c r="R3192">
        <v>0.99569167313926499</v>
      </c>
      <c r="S3192" t="s">
        <v>9594</v>
      </c>
      <c r="T3192" t="s">
        <v>12802</v>
      </c>
      <c r="U3192" t="s">
        <v>12802</v>
      </c>
      <c r="V3192" t="s">
        <v>12802</v>
      </c>
      <c r="W3192" t="s">
        <v>15944</v>
      </c>
      <c r="X3192">
        <v>4</v>
      </c>
      <c r="Y3192" t="s">
        <v>22195</v>
      </c>
      <c r="Z3192" t="s">
        <v>28510</v>
      </c>
      <c r="AA3192">
        <v>0.55140645147121092</v>
      </c>
      <c r="AB3192" t="str">
        <f>HYPERLINK("Melting_Curves/meltCurve_Q09328_MGAT5.pdf", "Melting_Curves/meltCurve_Q09328_MGAT5.pdf")</f>
        <v>Melting_Curves/meltCurve_Q09328_MGAT5.pdf</v>
      </c>
    </row>
    <row r="3193" spans="1:28" x14ac:dyDescent="0.25">
      <c r="A3193" t="s">
        <v>3197</v>
      </c>
      <c r="B3193">
        <v>0.99542014353169495</v>
      </c>
      <c r="C3193">
        <v>0.97685424185459702</v>
      </c>
      <c r="D3193">
        <v>0.92845792175811104</v>
      </c>
      <c r="E3193">
        <v>0.77840820087831897</v>
      </c>
      <c r="F3193">
        <v>0.543373807631224</v>
      </c>
      <c r="G3193">
        <v>0.20415638765712099</v>
      </c>
      <c r="H3193">
        <v>0.16247815260307899</v>
      </c>
      <c r="I3193">
        <v>0.103191481540663</v>
      </c>
      <c r="J3193">
        <v>0.100689239271174</v>
      </c>
      <c r="K3193">
        <v>0.11221690702648</v>
      </c>
      <c r="L3193">
        <v>941.27197420912603</v>
      </c>
      <c r="M3193">
        <v>18.9588276743069</v>
      </c>
      <c r="N3193">
        <v>50.148384979444202</v>
      </c>
      <c r="O3193">
        <v>49.105744302617403</v>
      </c>
      <c r="P3193">
        <v>-8.8209284415183997E-2</v>
      </c>
      <c r="Q3193">
        <v>8.6144347697303003E-2</v>
      </c>
      <c r="R3193">
        <v>0.99510067486450904</v>
      </c>
      <c r="S3193" t="s">
        <v>9595</v>
      </c>
      <c r="T3193" t="s">
        <v>12802</v>
      </c>
      <c r="U3193" t="s">
        <v>12802</v>
      </c>
      <c r="V3193" t="s">
        <v>12802</v>
      </c>
      <c r="W3193" t="s">
        <v>15945</v>
      </c>
      <c r="X3193">
        <v>14</v>
      </c>
      <c r="Y3193" t="s">
        <v>22196</v>
      </c>
      <c r="Z3193" t="s">
        <v>28511</v>
      </c>
      <c r="AA3193">
        <v>0.48465916253252123</v>
      </c>
      <c r="AB3193" t="str">
        <f>HYPERLINK("Melting_Curves/meltCurve_Q09472_EP300.pdf", "Melting_Curves/meltCurve_Q09472_EP300.pdf")</f>
        <v>Melting_Curves/meltCurve_Q09472_EP300.pdf</v>
      </c>
    </row>
    <row r="3194" spans="1:28" x14ac:dyDescent="0.25">
      <c r="A3194" t="s">
        <v>3198</v>
      </c>
      <c r="B3194">
        <v>0.99542014353169495</v>
      </c>
      <c r="C3194">
        <v>1.0094180453652499</v>
      </c>
      <c r="D3194">
        <v>0.92281434490387204</v>
      </c>
      <c r="E3194">
        <v>0.72936121125275999</v>
      </c>
      <c r="F3194">
        <v>0.48350178577998698</v>
      </c>
      <c r="G3194">
        <v>0.31106628233454597</v>
      </c>
      <c r="H3194">
        <v>0.26857736234935697</v>
      </c>
      <c r="I3194">
        <v>0.27415579574075599</v>
      </c>
      <c r="J3194">
        <v>0.50812726626383098</v>
      </c>
      <c r="K3194">
        <v>0.60874698204824496</v>
      </c>
      <c r="L3194">
        <v>1434.5960909355399</v>
      </c>
      <c r="M3194">
        <v>30.643372502532799</v>
      </c>
      <c r="N3194">
        <v>49.340567107061297</v>
      </c>
      <c r="O3194">
        <v>46.617847695137101</v>
      </c>
      <c r="P3194">
        <v>-9.9295737343198104E-2</v>
      </c>
      <c r="Q3194">
        <v>0.395768096397146</v>
      </c>
      <c r="R3194">
        <v>0.86804400366566703</v>
      </c>
      <c r="S3194" t="s">
        <v>9596</v>
      </c>
      <c r="T3194" t="s">
        <v>12802</v>
      </c>
      <c r="U3194" t="s">
        <v>12802</v>
      </c>
      <c r="V3194" t="s">
        <v>12802</v>
      </c>
      <c r="W3194" t="s">
        <v>15946</v>
      </c>
      <c r="X3194">
        <v>212</v>
      </c>
      <c r="Y3194" t="s">
        <v>22197</v>
      </c>
      <c r="Z3194" t="s">
        <v>28512</v>
      </c>
      <c r="AA3194">
        <v>0.59682255257702232</v>
      </c>
      <c r="AB3194" t="str">
        <f>HYPERLINK("Melting_Curves/meltCurve_Q09666_AHNAK.pdf", "Melting_Curves/meltCurve_Q09666_AHNAK.pdf")</f>
        <v>Melting_Curves/meltCurve_Q09666_AHNAK.pdf</v>
      </c>
    </row>
    <row r="3195" spans="1:28" x14ac:dyDescent="0.25">
      <c r="A3195" t="s">
        <v>3199</v>
      </c>
      <c r="B3195">
        <v>0.99542014353169495</v>
      </c>
      <c r="C3195">
        <v>0.97138834963933596</v>
      </c>
      <c r="D3195">
        <v>0.95605139336212397</v>
      </c>
      <c r="E3195">
        <v>0.75831628989772903</v>
      </c>
      <c r="F3195">
        <v>0.60590595541235803</v>
      </c>
      <c r="G3195">
        <v>0.38924221879205301</v>
      </c>
      <c r="H3195">
        <v>0.37487155345016998</v>
      </c>
      <c r="I3195">
        <v>0.31815814601550801</v>
      </c>
      <c r="J3195">
        <v>0.411443621028871</v>
      </c>
      <c r="K3195">
        <v>0.42802062018249498</v>
      </c>
      <c r="L3195">
        <v>983.08976832685596</v>
      </c>
      <c r="M3195">
        <v>20.457176995111201</v>
      </c>
      <c r="N3195">
        <v>51.465073696153297</v>
      </c>
      <c r="O3195">
        <v>47.603839816652197</v>
      </c>
      <c r="P3195">
        <v>-6.7574067967562199E-2</v>
      </c>
      <c r="Q3195">
        <v>0.37103933013247897</v>
      </c>
      <c r="R3195">
        <v>0.97948328593230305</v>
      </c>
      <c r="S3195" t="s">
        <v>9597</v>
      </c>
      <c r="T3195" t="s">
        <v>12802</v>
      </c>
      <c r="U3195" t="s">
        <v>12802</v>
      </c>
      <c r="V3195" t="s">
        <v>12802</v>
      </c>
      <c r="W3195" t="s">
        <v>15947</v>
      </c>
      <c r="X3195">
        <v>5</v>
      </c>
      <c r="Y3195" t="s">
        <v>22198</v>
      </c>
      <c r="Z3195" t="s">
        <v>28513</v>
      </c>
      <c r="AA3195">
        <v>0.61075092780876516</v>
      </c>
      <c r="AB3195" t="str">
        <f>HYPERLINK("Melting_Curves/meltCurve_Q0PNE2_ELP6.pdf", "Melting_Curves/meltCurve_Q0PNE2_ELP6.pdf")</f>
        <v>Melting_Curves/meltCurve_Q0PNE2_ELP6.pdf</v>
      </c>
    </row>
    <row r="3196" spans="1:28" x14ac:dyDescent="0.25">
      <c r="A3196" t="s">
        <v>3200</v>
      </c>
      <c r="B3196">
        <v>0.99542014353169495</v>
      </c>
      <c r="C3196">
        <v>1.0026392133101301</v>
      </c>
      <c r="D3196">
        <v>0.72152117987698505</v>
      </c>
      <c r="E3196">
        <v>0.33819067045918999</v>
      </c>
      <c r="F3196">
        <v>0.15385586308258001</v>
      </c>
      <c r="G3196">
        <v>9.2914500564931404E-2</v>
      </c>
      <c r="H3196">
        <v>6.2700311068900505E-2</v>
      </c>
      <c r="I3196">
        <v>4.5819395222598702E-2</v>
      </c>
      <c r="J3196">
        <v>6.4937836956968101E-2</v>
      </c>
      <c r="K3196">
        <v>4.5145141395465001E-2</v>
      </c>
      <c r="L3196">
        <v>1023.7149915433999</v>
      </c>
      <c r="M3196">
        <v>22.825818819854302</v>
      </c>
      <c r="N3196">
        <v>45.096603639506398</v>
      </c>
      <c r="O3196">
        <v>44.509017695399599</v>
      </c>
      <c r="P3196">
        <v>-0.12066045136352301</v>
      </c>
      <c r="Q3196">
        <v>5.8894755913146399E-2</v>
      </c>
      <c r="R3196">
        <v>0.99684347175138099</v>
      </c>
      <c r="S3196" t="s">
        <v>9598</v>
      </c>
      <c r="T3196" t="s">
        <v>12802</v>
      </c>
      <c r="U3196" t="s">
        <v>12802</v>
      </c>
      <c r="V3196" t="s">
        <v>12802</v>
      </c>
      <c r="W3196" t="s">
        <v>15948</v>
      </c>
      <c r="X3196">
        <v>20</v>
      </c>
      <c r="Y3196" t="s">
        <v>22199</v>
      </c>
      <c r="Z3196" t="s">
        <v>28514</v>
      </c>
      <c r="AA3196">
        <v>0.31447773142234758</v>
      </c>
      <c r="AB3196" t="str">
        <f>HYPERLINK("Melting_Curves/meltCurve_Q0VDF9_HSPA14.pdf", "Melting_Curves/meltCurve_Q0VDF9_HSPA14.pdf")</f>
        <v>Melting_Curves/meltCurve_Q0VDF9_HSPA14.pdf</v>
      </c>
    </row>
    <row r="3197" spans="1:28" x14ac:dyDescent="0.25">
      <c r="A3197" t="s">
        <v>3201</v>
      </c>
      <c r="B3197">
        <v>0.99542014353169495</v>
      </c>
      <c r="C3197">
        <v>1.1101391121298401</v>
      </c>
      <c r="D3197">
        <v>0.982103915066735</v>
      </c>
      <c r="E3197">
        <v>0.88793460308744998</v>
      </c>
      <c r="F3197">
        <v>0.47467716247319103</v>
      </c>
      <c r="G3197">
        <v>0.22117696228033101</v>
      </c>
      <c r="H3197">
        <v>0.10937777836809</v>
      </c>
      <c r="I3197">
        <v>6.9322660050471593E-2</v>
      </c>
      <c r="J3197">
        <v>7.8203348907996198E-2</v>
      </c>
      <c r="K3197">
        <v>7.7613812170790594E-2</v>
      </c>
      <c r="L3197">
        <v>1304.81197262194</v>
      </c>
      <c r="M3197">
        <v>26.1817463491148</v>
      </c>
      <c r="N3197">
        <v>50.1586302459908</v>
      </c>
      <c r="O3197">
        <v>49.548690239900999</v>
      </c>
      <c r="P3197">
        <v>-0.121886137459083</v>
      </c>
      <c r="Q3197">
        <v>7.7337196302024402E-2</v>
      </c>
      <c r="R3197">
        <v>0.99202643981944305</v>
      </c>
      <c r="S3197" t="s">
        <v>9599</v>
      </c>
      <c r="T3197" t="s">
        <v>12802</v>
      </c>
      <c r="U3197" t="s">
        <v>12802</v>
      </c>
      <c r="V3197" t="s">
        <v>12802</v>
      </c>
      <c r="W3197" t="s">
        <v>15949</v>
      </c>
      <c r="X3197">
        <v>6</v>
      </c>
      <c r="Y3197" t="s">
        <v>22200</v>
      </c>
      <c r="Z3197" t="s">
        <v>28515</v>
      </c>
      <c r="AA3197">
        <v>0.47950570740804671</v>
      </c>
      <c r="AB3197" t="str">
        <f>HYPERLINK("Melting_Curves/meltCurve_Q0VDG4_SCRN3.pdf", "Melting_Curves/meltCurve_Q0VDG4_SCRN3.pdf")</f>
        <v>Melting_Curves/meltCurve_Q0VDG4_SCRN3.pdf</v>
      </c>
    </row>
    <row r="3198" spans="1:28" x14ac:dyDescent="0.25">
      <c r="A3198" t="s">
        <v>3202</v>
      </c>
      <c r="B3198">
        <v>0.99542014353169495</v>
      </c>
      <c r="C3198">
        <v>0.93519048990859299</v>
      </c>
      <c r="D3198">
        <v>0.94116690656297797</v>
      </c>
      <c r="E3198">
        <v>0.69203820200661803</v>
      </c>
      <c r="F3198">
        <v>0.585553334741725</v>
      </c>
      <c r="G3198">
        <v>0.38277606925303598</v>
      </c>
      <c r="H3198">
        <v>0.289465819855177</v>
      </c>
      <c r="I3198">
        <v>0.146122556012382</v>
      </c>
      <c r="J3198">
        <v>6.3461932341518298E-2</v>
      </c>
      <c r="K3198">
        <v>6.8248988870806396E-2</v>
      </c>
      <c r="L3198">
        <v>552.87607846561195</v>
      </c>
      <c r="M3198">
        <v>10.7526553502637</v>
      </c>
      <c r="N3198">
        <v>51.417632114659902</v>
      </c>
      <c r="O3198">
        <v>49.7349823134427</v>
      </c>
      <c r="P3198">
        <v>-5.4069661403392102E-2</v>
      </c>
      <c r="Q3198">
        <v>0</v>
      </c>
      <c r="R3198">
        <v>0.99104510404592405</v>
      </c>
      <c r="S3198" t="s">
        <v>9600</v>
      </c>
      <c r="T3198" t="s">
        <v>12802</v>
      </c>
      <c r="U3198" t="s">
        <v>12802</v>
      </c>
      <c r="V3198" t="s">
        <v>12802</v>
      </c>
      <c r="W3198" t="s">
        <v>15950</v>
      </c>
      <c r="X3198">
        <v>5</v>
      </c>
      <c r="Y3198" t="s">
        <v>22201</v>
      </c>
      <c r="Z3198" t="s">
        <v>28516</v>
      </c>
      <c r="AA3198">
        <v>0.50810300958968091</v>
      </c>
      <c r="AB3198" t="str">
        <f>HYPERLINK("Melting_Curves/meltCurve_Q0VG06_3_FAAP100.pdf", "Melting_Curves/meltCurve_Q0VG06_3_FAAP100.pdf")</f>
        <v>Melting_Curves/meltCurve_Q0VG06_3_FAAP100.pdf</v>
      </c>
    </row>
    <row r="3199" spans="1:28" x14ac:dyDescent="0.25">
      <c r="A3199" t="s">
        <v>3203</v>
      </c>
      <c r="B3199">
        <v>0.99542014353169495</v>
      </c>
      <c r="C3199">
        <v>0.86216813985732599</v>
      </c>
      <c r="D3199">
        <v>0.88174210034086098</v>
      </c>
      <c r="E3199">
        <v>0.72417740160241995</v>
      </c>
      <c r="F3199">
        <v>0.63033497498742397</v>
      </c>
      <c r="G3199">
        <v>0.295564975457067</v>
      </c>
      <c r="H3199">
        <v>0.114695725624213</v>
      </c>
      <c r="I3199">
        <v>6.0442081171079597E-2</v>
      </c>
      <c r="J3199">
        <v>3.5380156328818503E-2</v>
      </c>
      <c r="K3199">
        <v>4.7886340557240503E-2</v>
      </c>
      <c r="L3199">
        <v>683.79947836321901</v>
      </c>
      <c r="M3199">
        <v>13.5129402680497</v>
      </c>
      <c r="N3199">
        <v>50.603310201914198</v>
      </c>
      <c r="O3199">
        <v>49.533662392346798</v>
      </c>
      <c r="P3199">
        <v>-6.8211184751012399E-2</v>
      </c>
      <c r="Q3199">
        <v>0</v>
      </c>
      <c r="R3199">
        <v>0.97810341888913799</v>
      </c>
      <c r="S3199" t="s">
        <v>9601</v>
      </c>
      <c r="T3199" t="s">
        <v>12802</v>
      </c>
      <c r="U3199" t="s">
        <v>12802</v>
      </c>
      <c r="V3199" t="s">
        <v>12802</v>
      </c>
      <c r="W3199" t="s">
        <v>15951</v>
      </c>
      <c r="X3199">
        <v>9</v>
      </c>
      <c r="Y3199" t="s">
        <v>22202</v>
      </c>
      <c r="Z3199" t="s">
        <v>28517</v>
      </c>
      <c r="AA3199">
        <v>0.47687088208567141</v>
      </c>
      <c r="AB3199" t="str">
        <f>HYPERLINK("Melting_Curves/meltCurve_Q10469_MGAT2.pdf", "Melting_Curves/meltCurve_Q10469_MGAT2.pdf")</f>
        <v>Melting_Curves/meltCurve_Q10469_MGAT2.pdf</v>
      </c>
    </row>
    <row r="3200" spans="1:28" x14ac:dyDescent="0.25">
      <c r="A3200" t="s">
        <v>3204</v>
      </c>
      <c r="B3200">
        <v>0.99542014353169495</v>
      </c>
      <c r="C3200">
        <v>0.89609024174016405</v>
      </c>
      <c r="D3200">
        <v>0.98498049579392</v>
      </c>
      <c r="E3200">
        <v>0.76691697343729304</v>
      </c>
      <c r="F3200">
        <v>0.41049818757499701</v>
      </c>
      <c r="G3200">
        <v>0.15386579446395601</v>
      </c>
      <c r="H3200">
        <v>8.95781840147548E-2</v>
      </c>
      <c r="I3200">
        <v>6.05257883226369E-2</v>
      </c>
      <c r="J3200">
        <v>6.5313742421785101E-2</v>
      </c>
      <c r="K3200">
        <v>7.4600081887991998E-2</v>
      </c>
      <c r="L3200">
        <v>1115.8989969987099</v>
      </c>
      <c r="M3200">
        <v>22.792263711300201</v>
      </c>
      <c r="N3200">
        <v>49.230421850932302</v>
      </c>
      <c r="O3200">
        <v>48.5873347836446</v>
      </c>
      <c r="P3200">
        <v>-0.110365858741708</v>
      </c>
      <c r="Q3200">
        <v>5.8930003450497197E-2</v>
      </c>
      <c r="R3200">
        <v>0.99295833862433402</v>
      </c>
      <c r="S3200" t="s">
        <v>9602</v>
      </c>
      <c r="T3200" t="s">
        <v>12802</v>
      </c>
      <c r="U3200" t="s">
        <v>12802</v>
      </c>
      <c r="V3200" t="s">
        <v>12802</v>
      </c>
      <c r="W3200" t="s">
        <v>15952</v>
      </c>
      <c r="X3200">
        <v>13</v>
      </c>
      <c r="Y3200" t="s">
        <v>22203</v>
      </c>
      <c r="Z3200" t="s">
        <v>28518</v>
      </c>
      <c r="AA3200">
        <v>0.44380130870039097</v>
      </c>
      <c r="AB3200" t="str">
        <f>HYPERLINK("Melting_Curves/meltCurve_Q10471_GALNT2.pdf", "Melting_Curves/meltCurve_Q10471_GALNT2.pdf")</f>
        <v>Melting_Curves/meltCurve_Q10471_GALNT2.pdf</v>
      </c>
    </row>
    <row r="3201" spans="1:28" x14ac:dyDescent="0.25">
      <c r="A3201" t="s">
        <v>3205</v>
      </c>
      <c r="B3201">
        <v>0.99542014353169495</v>
      </c>
      <c r="C3201">
        <v>0.95483968660821406</v>
      </c>
      <c r="D3201">
        <v>1.02896791461985</v>
      </c>
      <c r="E3201">
        <v>0.65752338797986498</v>
      </c>
      <c r="F3201">
        <v>0.33359259949884801</v>
      </c>
      <c r="G3201">
        <v>0.25299518135841198</v>
      </c>
      <c r="H3201">
        <v>0.165742085445065</v>
      </c>
      <c r="I3201">
        <v>4.8543902444665603E-2</v>
      </c>
      <c r="J3201">
        <v>4.3878428413753098E-2</v>
      </c>
      <c r="K3201">
        <v>3.2216848753307901E-2</v>
      </c>
      <c r="L3201">
        <v>909.58386035262299</v>
      </c>
      <c r="M3201">
        <v>18.787919332689601</v>
      </c>
      <c r="N3201">
        <v>48.738683319293301</v>
      </c>
      <c r="O3201">
        <v>47.874755430390898</v>
      </c>
      <c r="P3201">
        <v>-9.23298039552643E-2</v>
      </c>
      <c r="Q3201">
        <v>5.8952148232488698E-2</v>
      </c>
      <c r="R3201">
        <v>0.98272105272863597</v>
      </c>
      <c r="S3201" t="s">
        <v>9603</v>
      </c>
      <c r="T3201" t="s">
        <v>12802</v>
      </c>
      <c r="U3201" t="s">
        <v>12802</v>
      </c>
      <c r="V3201" t="s">
        <v>12802</v>
      </c>
      <c r="W3201" t="s">
        <v>15953</v>
      </c>
      <c r="X3201">
        <v>32</v>
      </c>
      <c r="Y3201" t="s">
        <v>22204</v>
      </c>
      <c r="Z3201" t="s">
        <v>28519</v>
      </c>
      <c r="AA3201">
        <v>0.43085922747545008</v>
      </c>
      <c r="AB3201" t="str">
        <f>HYPERLINK("Melting_Curves/meltCurve_Q10567_2_AP1B1.pdf", "Melting_Curves/meltCurve_Q10567_2_AP1B1.pdf")</f>
        <v>Melting_Curves/meltCurve_Q10567_2_AP1B1.pdf</v>
      </c>
    </row>
    <row r="3202" spans="1:28" x14ac:dyDescent="0.25">
      <c r="A3202" t="s">
        <v>3206</v>
      </c>
      <c r="B3202">
        <v>0.99542014353169495</v>
      </c>
      <c r="C3202">
        <v>1.07773761612342</v>
      </c>
      <c r="D3202">
        <v>0.96002949719734498</v>
      </c>
      <c r="E3202">
        <v>0.63836010764145601</v>
      </c>
      <c r="F3202">
        <v>0.33728296415673897</v>
      </c>
      <c r="G3202">
        <v>0.284724659985644</v>
      </c>
      <c r="H3202">
        <v>0.178798570309885</v>
      </c>
      <c r="I3202">
        <v>0.12841632895484001</v>
      </c>
      <c r="J3202">
        <v>0.109728979310312</v>
      </c>
      <c r="K3202">
        <v>0.10434746873857501</v>
      </c>
      <c r="L3202">
        <v>993.95392475314497</v>
      </c>
      <c r="M3202">
        <v>20.844599223062399</v>
      </c>
      <c r="N3202">
        <v>48.399327996012801</v>
      </c>
      <c r="O3202">
        <v>47.2516196445793</v>
      </c>
      <c r="P3202">
        <v>-9.56675738616483E-2</v>
      </c>
      <c r="Q3202">
        <v>0.13256670225630399</v>
      </c>
      <c r="R3202">
        <v>0.98600462867502103</v>
      </c>
      <c r="S3202" t="s">
        <v>9604</v>
      </c>
      <c r="T3202" t="s">
        <v>12802</v>
      </c>
      <c r="U3202" t="s">
        <v>12802</v>
      </c>
      <c r="V3202" t="s">
        <v>12802</v>
      </c>
      <c r="W3202" t="s">
        <v>15954</v>
      </c>
      <c r="X3202">
        <v>32</v>
      </c>
      <c r="Y3202" t="s">
        <v>22204</v>
      </c>
      <c r="Z3202" t="s">
        <v>28520</v>
      </c>
      <c r="AA3202">
        <v>0.4520023230458578</v>
      </c>
      <c r="AB3202" t="str">
        <f>HYPERLINK("Melting_Curves/meltCurve_Q10567_3_AP1B1.pdf", "Melting_Curves/meltCurve_Q10567_3_AP1B1.pdf")</f>
        <v>Melting_Curves/meltCurve_Q10567_3_AP1B1.pdf</v>
      </c>
    </row>
    <row r="3203" spans="1:28" x14ac:dyDescent="0.25">
      <c r="A3203" t="s">
        <v>3207</v>
      </c>
      <c r="B3203">
        <v>0.99542014353169495</v>
      </c>
      <c r="C3203">
        <v>0.853648899865181</v>
      </c>
      <c r="D3203">
        <v>0.836268960870588</v>
      </c>
      <c r="E3203">
        <v>0.58928933372491599</v>
      </c>
      <c r="F3203">
        <v>0.46166919534274498</v>
      </c>
      <c r="G3203">
        <v>0.12587707168225001</v>
      </c>
      <c r="H3203">
        <v>7.6314581009951699E-2</v>
      </c>
      <c r="I3203">
        <v>4.8760624632781198E-2</v>
      </c>
      <c r="J3203">
        <v>4.9337454269660401E-2</v>
      </c>
      <c r="K3203">
        <v>3.8804374025692201E-2</v>
      </c>
      <c r="L3203">
        <v>625.53959370721304</v>
      </c>
      <c r="M3203">
        <v>13.0011796760874</v>
      </c>
      <c r="N3203">
        <v>48.114064291167203</v>
      </c>
      <c r="O3203">
        <v>47.018437004430901</v>
      </c>
      <c r="P3203">
        <v>-6.9140302032680595E-2</v>
      </c>
      <c r="Q3203">
        <v>0</v>
      </c>
      <c r="R3203">
        <v>0.98264735712610995</v>
      </c>
      <c r="S3203" t="s">
        <v>9605</v>
      </c>
      <c r="T3203" t="s">
        <v>12802</v>
      </c>
      <c r="U3203" t="s">
        <v>12802</v>
      </c>
      <c r="V3203" t="s">
        <v>12802</v>
      </c>
      <c r="W3203" t="s">
        <v>15955</v>
      </c>
      <c r="X3203">
        <v>19</v>
      </c>
      <c r="Y3203" t="s">
        <v>22205</v>
      </c>
      <c r="Z3203" t="s">
        <v>28521</v>
      </c>
      <c r="AA3203">
        <v>0.39809511327707392</v>
      </c>
      <c r="AB3203" t="str">
        <f>HYPERLINK("Melting_Curves/meltCurve_Q10570_CPSF1.pdf", "Melting_Curves/meltCurve_Q10570_CPSF1.pdf")</f>
        <v>Melting_Curves/meltCurve_Q10570_CPSF1.pdf</v>
      </c>
    </row>
    <row r="3204" spans="1:28" x14ac:dyDescent="0.25">
      <c r="A3204" t="s">
        <v>3208</v>
      </c>
      <c r="B3204">
        <v>0.99542014353169495</v>
      </c>
      <c r="C3204">
        <v>0.94276599018914697</v>
      </c>
      <c r="D3204">
        <v>1.0616459768784201</v>
      </c>
      <c r="E3204">
        <v>0.90429893534538097</v>
      </c>
      <c r="F3204">
        <v>0.94101387576120699</v>
      </c>
      <c r="G3204">
        <v>0.54603439809050403</v>
      </c>
      <c r="H3204">
        <v>0.44370465920915397</v>
      </c>
      <c r="I3204">
        <v>0.33726222931068101</v>
      </c>
      <c r="J3204">
        <v>0.440254641481237</v>
      </c>
      <c r="K3204">
        <v>0.54201224567186002</v>
      </c>
      <c r="L3204">
        <v>2649.2770969604999</v>
      </c>
      <c r="M3204">
        <v>50.689331922348899</v>
      </c>
      <c r="N3204">
        <v>54.5325584877951</v>
      </c>
      <c r="O3204">
        <v>52.183825762839398</v>
      </c>
      <c r="P3204">
        <v>-0.13617358327232101</v>
      </c>
      <c r="Q3204">
        <v>0.43924664281766002</v>
      </c>
      <c r="R3204">
        <v>0.94608420275081995</v>
      </c>
      <c r="S3204" t="s">
        <v>9606</v>
      </c>
      <c r="T3204" t="s">
        <v>12802</v>
      </c>
      <c r="U3204" t="s">
        <v>12802</v>
      </c>
      <c r="V3204" t="s">
        <v>12802</v>
      </c>
      <c r="W3204" t="s">
        <v>15956</v>
      </c>
      <c r="X3204">
        <v>2</v>
      </c>
      <c r="Y3204" t="s">
        <v>22206</v>
      </c>
      <c r="Z3204" t="s">
        <v>28522</v>
      </c>
      <c r="AA3204">
        <v>0.72583351800100615</v>
      </c>
      <c r="AB3204" t="str">
        <f>HYPERLINK("Melting_Curves/meltCurve_Q10589_BST2.pdf", "Melting_Curves/meltCurve_Q10589_BST2.pdf")</f>
        <v>Melting_Curves/meltCurve_Q10589_BST2.pdf</v>
      </c>
    </row>
    <row r="3205" spans="1:28" x14ac:dyDescent="0.25">
      <c r="A3205" t="s">
        <v>3209</v>
      </c>
      <c r="B3205">
        <v>0.99542014353169495</v>
      </c>
      <c r="C3205">
        <v>0.993548022760112</v>
      </c>
      <c r="D3205">
        <v>0.98658010612653102</v>
      </c>
      <c r="E3205">
        <v>0.88474474326145502</v>
      </c>
      <c r="F3205">
        <v>0.63875819403828804</v>
      </c>
      <c r="G3205">
        <v>0.22939808001061501</v>
      </c>
      <c r="H3205">
        <v>8.7045226618613802E-2</v>
      </c>
      <c r="I3205">
        <v>5.7018678209173099E-2</v>
      </c>
      <c r="J3205">
        <v>4.9463748409645597E-2</v>
      </c>
      <c r="K3205">
        <v>5.5442600671169601E-2</v>
      </c>
      <c r="L3205">
        <v>1288.67802072161</v>
      </c>
      <c r="M3205">
        <v>25.2709799995278</v>
      </c>
      <c r="N3205">
        <v>51.171577924392302</v>
      </c>
      <c r="O3205">
        <v>50.678274300654003</v>
      </c>
      <c r="P3205">
        <v>-0.119442643268687</v>
      </c>
      <c r="Q3205">
        <v>4.1894043133479698E-2</v>
      </c>
      <c r="R3205">
        <v>0.99871828666978901</v>
      </c>
      <c r="S3205" t="s">
        <v>9607</v>
      </c>
      <c r="T3205" t="s">
        <v>12802</v>
      </c>
      <c r="U3205" t="s">
        <v>12802</v>
      </c>
      <c r="V3205" t="s">
        <v>12802</v>
      </c>
      <c r="W3205" t="s">
        <v>15957</v>
      </c>
      <c r="X3205">
        <v>23</v>
      </c>
      <c r="Y3205" t="s">
        <v>22207</v>
      </c>
      <c r="Z3205" t="s">
        <v>28523</v>
      </c>
      <c r="AA3205">
        <v>0.49711549034854652</v>
      </c>
      <c r="AB3205" t="str">
        <f>HYPERLINK("Melting_Curves/meltCurve_Q10713_PMPCA.pdf", "Melting_Curves/meltCurve_Q10713_PMPCA.pdf")</f>
        <v>Melting_Curves/meltCurve_Q10713_PMPCA.pdf</v>
      </c>
    </row>
    <row r="3206" spans="1:28" x14ac:dyDescent="0.25">
      <c r="A3206" t="s">
        <v>3210</v>
      </c>
      <c r="B3206">
        <v>0.99542014353169495</v>
      </c>
      <c r="C3206">
        <v>0.91107752356981897</v>
      </c>
      <c r="D3206">
        <v>0.92918366886437898</v>
      </c>
      <c r="E3206">
        <v>0.66272640469502797</v>
      </c>
      <c r="F3206">
        <v>0.459941493114702</v>
      </c>
      <c r="G3206">
        <v>0.21294719232595</v>
      </c>
      <c r="H3206">
        <v>8.5217726865159299E-2</v>
      </c>
      <c r="I3206">
        <v>5.34718635759222E-2</v>
      </c>
      <c r="J3206">
        <v>4.5878971727793302E-2</v>
      </c>
      <c r="K3206">
        <v>4.3930900153490701E-2</v>
      </c>
      <c r="L3206">
        <v>728.59044662698204</v>
      </c>
      <c r="M3206">
        <v>14.8341610561074</v>
      </c>
      <c r="N3206">
        <v>49.169205423838498</v>
      </c>
      <c r="O3206">
        <v>48.249029509764597</v>
      </c>
      <c r="P3206">
        <v>-7.62550839112527E-2</v>
      </c>
      <c r="Q3206">
        <v>8.0066094954721004E-3</v>
      </c>
      <c r="R3206">
        <v>0.99452136521116596</v>
      </c>
      <c r="S3206" t="s">
        <v>9608</v>
      </c>
      <c r="T3206" t="s">
        <v>12802</v>
      </c>
      <c r="U3206" t="s">
        <v>12802</v>
      </c>
      <c r="V3206" t="s">
        <v>12802</v>
      </c>
      <c r="W3206" t="s">
        <v>15958</v>
      </c>
      <c r="X3206">
        <v>9</v>
      </c>
      <c r="Y3206" t="s">
        <v>22208</v>
      </c>
      <c r="Z3206" t="s">
        <v>28524</v>
      </c>
      <c r="AA3206">
        <v>0.43027630160146563</v>
      </c>
      <c r="AB3206" t="str">
        <f>HYPERLINK("Melting_Curves/meltCurve_Q12769_NUP160.pdf", "Melting_Curves/meltCurve_Q12769_NUP160.pdf")</f>
        <v>Melting_Curves/meltCurve_Q12769_NUP160.pdf</v>
      </c>
    </row>
    <row r="3207" spans="1:28" x14ac:dyDescent="0.25">
      <c r="A3207" t="s">
        <v>3211</v>
      </c>
      <c r="B3207">
        <v>0.99542014353169495</v>
      </c>
      <c r="C3207">
        <v>0.95499312590165897</v>
      </c>
      <c r="D3207">
        <v>0.87753292485510204</v>
      </c>
      <c r="E3207">
        <v>0.73695897119220899</v>
      </c>
      <c r="F3207">
        <v>0.61100716779678799</v>
      </c>
      <c r="G3207">
        <v>0.31458895002559101</v>
      </c>
      <c r="H3207">
        <v>0.21674431452326701</v>
      </c>
      <c r="I3207">
        <v>0.16637836037140699</v>
      </c>
      <c r="J3207">
        <v>0.17423769860564101</v>
      </c>
      <c r="K3207">
        <v>0.17868585757175701</v>
      </c>
      <c r="L3207">
        <v>679.98148215230697</v>
      </c>
      <c r="M3207">
        <v>13.6486089041247</v>
      </c>
      <c r="N3207">
        <v>50.850754583264198</v>
      </c>
      <c r="O3207">
        <v>48.787569804769099</v>
      </c>
      <c r="P3207">
        <v>-6.1500335596128199E-2</v>
      </c>
      <c r="Q3207">
        <v>0.120785565752152</v>
      </c>
      <c r="R3207">
        <v>0.98985681202282405</v>
      </c>
      <c r="S3207" t="s">
        <v>9609</v>
      </c>
      <c r="T3207" t="s">
        <v>12802</v>
      </c>
      <c r="U3207" t="s">
        <v>12802</v>
      </c>
      <c r="V3207" t="s">
        <v>12802</v>
      </c>
      <c r="W3207" t="s">
        <v>15959</v>
      </c>
      <c r="X3207">
        <v>5</v>
      </c>
      <c r="Y3207" t="s">
        <v>22209</v>
      </c>
      <c r="Z3207" t="s">
        <v>28525</v>
      </c>
      <c r="AA3207">
        <v>0.51764106741949589</v>
      </c>
      <c r="AB3207" t="str">
        <f>HYPERLINK("Melting_Curves/meltCurve_Q12770_SCAP.pdf", "Melting_Curves/meltCurve_Q12770_SCAP.pdf")</f>
        <v>Melting_Curves/meltCurve_Q12770_SCAP.pdf</v>
      </c>
    </row>
    <row r="3208" spans="1:28" x14ac:dyDescent="0.25">
      <c r="A3208" t="s">
        <v>3212</v>
      </c>
      <c r="B3208">
        <v>0.99542014353169495</v>
      </c>
      <c r="C3208">
        <v>0.92963153203534299</v>
      </c>
      <c r="D3208">
        <v>0.95703802028054896</v>
      </c>
      <c r="E3208">
        <v>0.70946774970639204</v>
      </c>
      <c r="F3208">
        <v>0.33321805094321</v>
      </c>
      <c r="G3208">
        <v>0.17182122297277</v>
      </c>
      <c r="H3208">
        <v>9.9067403805493295E-2</v>
      </c>
      <c r="I3208">
        <v>5.8135479407928799E-2</v>
      </c>
      <c r="J3208">
        <v>5.9059228979656202E-2</v>
      </c>
      <c r="K3208">
        <v>6.1430317325052802E-2</v>
      </c>
      <c r="L3208">
        <v>1033.8306803021401</v>
      </c>
      <c r="M3208">
        <v>21.403083310607599</v>
      </c>
      <c r="N3208">
        <v>48.588185989821902</v>
      </c>
      <c r="O3208">
        <v>47.8871683195201</v>
      </c>
      <c r="P3208">
        <v>-0.10514200757909101</v>
      </c>
      <c r="Q3208">
        <v>5.9046687709287497E-2</v>
      </c>
      <c r="R3208">
        <v>0.99681318712037603</v>
      </c>
      <c r="S3208" t="s">
        <v>9610</v>
      </c>
      <c r="T3208" t="s">
        <v>12802</v>
      </c>
      <c r="U3208" t="s">
        <v>12802</v>
      </c>
      <c r="V3208" t="s">
        <v>12802</v>
      </c>
      <c r="W3208" t="s">
        <v>15960</v>
      </c>
      <c r="X3208">
        <v>20</v>
      </c>
      <c r="Y3208" t="s">
        <v>22210</v>
      </c>
      <c r="Z3208" t="s">
        <v>28526</v>
      </c>
      <c r="AA3208">
        <v>0.42444993172558371</v>
      </c>
      <c r="AB3208" t="str">
        <f>HYPERLINK("Melting_Curves/meltCurve_Q12788_TBL3.pdf", "Melting_Curves/meltCurve_Q12788_TBL3.pdf")</f>
        <v>Melting_Curves/meltCurve_Q12788_TBL3.pdf</v>
      </c>
    </row>
    <row r="3209" spans="1:28" x14ac:dyDescent="0.25">
      <c r="A3209" t="s">
        <v>3213</v>
      </c>
      <c r="B3209">
        <v>0.99542014353169495</v>
      </c>
      <c r="C3209">
        <v>0.87812157124428303</v>
      </c>
      <c r="D3209">
        <v>0.87972240865803797</v>
      </c>
      <c r="E3209">
        <v>0.71212874977578</v>
      </c>
      <c r="F3209">
        <v>0.50685407838670804</v>
      </c>
      <c r="G3209">
        <v>0.246175225095706</v>
      </c>
      <c r="H3209">
        <v>0.148970381939871</v>
      </c>
      <c r="I3209">
        <v>0.105550546784834</v>
      </c>
      <c r="J3209">
        <v>9.1765480419429502E-2</v>
      </c>
      <c r="K3209">
        <v>9.6485380332496803E-2</v>
      </c>
      <c r="L3209">
        <v>652.38465621595105</v>
      </c>
      <c r="M3209">
        <v>13.2166787353017</v>
      </c>
      <c r="N3209">
        <v>49.6869930448578</v>
      </c>
      <c r="O3209">
        <v>48.271729429772599</v>
      </c>
      <c r="P3209">
        <v>-6.5615109857106696E-2</v>
      </c>
      <c r="Q3209">
        <v>4.1565496819539499E-2</v>
      </c>
      <c r="R3209">
        <v>0.99108129350102103</v>
      </c>
      <c r="S3209" t="s">
        <v>9611</v>
      </c>
      <c r="T3209" t="s">
        <v>12802</v>
      </c>
      <c r="U3209" t="s">
        <v>12802</v>
      </c>
      <c r="V3209" t="s">
        <v>12802</v>
      </c>
      <c r="W3209" t="s">
        <v>15961</v>
      </c>
      <c r="X3209">
        <v>8</v>
      </c>
      <c r="Y3209" t="s">
        <v>22211</v>
      </c>
      <c r="Z3209" t="s">
        <v>28527</v>
      </c>
      <c r="AA3209">
        <v>0.4610146413494533</v>
      </c>
      <c r="AB3209" t="str">
        <f>HYPERLINK("Melting_Curves/meltCurve_Q12792_TWF1.pdf", "Melting_Curves/meltCurve_Q12792_TWF1.pdf")</f>
        <v>Melting_Curves/meltCurve_Q12792_TWF1.pdf</v>
      </c>
    </row>
    <row r="3210" spans="1:28" x14ac:dyDescent="0.25">
      <c r="A3210" t="s">
        <v>3214</v>
      </c>
      <c r="B3210">
        <v>0.99542014353169495</v>
      </c>
      <c r="C3210">
        <v>0.949660901648398</v>
      </c>
      <c r="D3210">
        <v>1.0309952548669099</v>
      </c>
      <c r="E3210">
        <v>0.884349962982105</v>
      </c>
      <c r="F3210">
        <v>0.50085419947786403</v>
      </c>
      <c r="G3210">
        <v>0.15712752726940499</v>
      </c>
      <c r="H3210">
        <v>8.8379356027452199E-2</v>
      </c>
      <c r="I3210">
        <v>6.1057380218391501E-2</v>
      </c>
      <c r="J3210">
        <v>7.2096309014816104E-2</v>
      </c>
      <c r="K3210">
        <v>7.2042994647123507E-2</v>
      </c>
      <c r="L3210">
        <v>1468.74834683431</v>
      </c>
      <c r="M3210">
        <v>29.425104352493999</v>
      </c>
      <c r="N3210">
        <v>50.154898538912398</v>
      </c>
      <c r="O3210">
        <v>49.685992817105998</v>
      </c>
      <c r="P3210">
        <v>-0.13832999006618199</v>
      </c>
      <c r="Q3210">
        <v>6.5694240603453302E-2</v>
      </c>
      <c r="R3210">
        <v>0.99740184742659199</v>
      </c>
      <c r="S3210" t="s">
        <v>9612</v>
      </c>
      <c r="T3210" t="s">
        <v>12802</v>
      </c>
      <c r="U3210" t="s">
        <v>12802</v>
      </c>
      <c r="V3210" t="s">
        <v>12802</v>
      </c>
      <c r="W3210" t="s">
        <v>15962</v>
      </c>
      <c r="X3210">
        <v>10</v>
      </c>
      <c r="Y3210" t="s">
        <v>22212</v>
      </c>
      <c r="Z3210" t="s">
        <v>28528</v>
      </c>
      <c r="AA3210">
        <v>0.47385424712676039</v>
      </c>
      <c r="AB3210" t="str">
        <f>HYPERLINK("Melting_Curves/meltCurve_Q12797_10_ASPH.pdf", "Melting_Curves/meltCurve_Q12797_10_ASPH.pdf")</f>
        <v>Melting_Curves/meltCurve_Q12797_10_ASPH.pdf</v>
      </c>
    </row>
    <row r="3211" spans="1:28" x14ac:dyDescent="0.25">
      <c r="A3211" t="s">
        <v>3215</v>
      </c>
      <c r="B3211">
        <v>0.99542014353169495</v>
      </c>
      <c r="C3211">
        <v>0.936181298032839</v>
      </c>
      <c r="D3211">
        <v>0.76737872307037902</v>
      </c>
      <c r="E3211">
        <v>0.39096372776077898</v>
      </c>
      <c r="F3211">
        <v>0.253605254189882</v>
      </c>
      <c r="G3211">
        <v>0.16554315797642599</v>
      </c>
      <c r="H3211">
        <v>0.10234381683044699</v>
      </c>
      <c r="I3211">
        <v>5.8435721563005E-2</v>
      </c>
      <c r="J3211">
        <v>5.6135673408074897E-2</v>
      </c>
      <c r="K3211">
        <v>5.3068144574310999E-2</v>
      </c>
      <c r="L3211">
        <v>775.38965581842695</v>
      </c>
      <c r="M3211">
        <v>17.037736948503198</v>
      </c>
      <c r="N3211">
        <v>45.883074823683899</v>
      </c>
      <c r="O3211">
        <v>44.897053245953799</v>
      </c>
      <c r="P3211">
        <v>-8.8742039920701898E-2</v>
      </c>
      <c r="Q3211">
        <v>6.4661700015303997E-2</v>
      </c>
      <c r="R3211">
        <v>0.994948926258583</v>
      </c>
      <c r="S3211" t="s">
        <v>9613</v>
      </c>
      <c r="T3211" t="s">
        <v>12802</v>
      </c>
      <c r="U3211" t="s">
        <v>12802</v>
      </c>
      <c r="V3211" t="s">
        <v>12802</v>
      </c>
      <c r="W3211" t="s">
        <v>15963</v>
      </c>
      <c r="X3211">
        <v>7</v>
      </c>
      <c r="Y3211" t="s">
        <v>22213</v>
      </c>
      <c r="Z3211" t="s">
        <v>28529</v>
      </c>
      <c r="AA3211">
        <v>0.34698309609312111</v>
      </c>
      <c r="AB3211" t="str">
        <f>HYPERLINK("Melting_Curves/meltCurve_Q12800_2_TFCP2.pdf", "Melting_Curves/meltCurve_Q12800_2_TFCP2.pdf")</f>
        <v>Melting_Curves/meltCurve_Q12800_2_TFCP2.pdf</v>
      </c>
    </row>
    <row r="3212" spans="1:28" x14ac:dyDescent="0.25">
      <c r="A3212" t="s">
        <v>3216</v>
      </c>
      <c r="B3212">
        <v>0.99542014353169495</v>
      </c>
      <c r="C3212">
        <v>0.85158137884243801</v>
      </c>
      <c r="D3212">
        <v>0.87546477407476797</v>
      </c>
      <c r="E3212">
        <v>0.37616542609479298</v>
      </c>
      <c r="F3212">
        <v>0.18556294449521701</v>
      </c>
      <c r="G3212">
        <v>0.10055900794379299</v>
      </c>
      <c r="H3212">
        <v>8.1087084696142106E-2</v>
      </c>
      <c r="I3212">
        <v>6.4644455943454304E-2</v>
      </c>
      <c r="J3212">
        <v>6.4362555669654195E-2</v>
      </c>
      <c r="K3212">
        <v>6.9094533698564206E-2</v>
      </c>
      <c r="L3212">
        <v>1077.7374691784401</v>
      </c>
      <c r="M3212">
        <v>23.674998412635901</v>
      </c>
      <c r="N3212">
        <v>45.815867521784803</v>
      </c>
      <c r="O3212">
        <v>45.201110162891197</v>
      </c>
      <c r="P3212">
        <v>-0.121725726538695</v>
      </c>
      <c r="Q3212">
        <v>7.0403689845702597E-2</v>
      </c>
      <c r="R3212">
        <v>0.98572726093584895</v>
      </c>
      <c r="S3212" t="s">
        <v>9614</v>
      </c>
      <c r="T3212" t="s">
        <v>12802</v>
      </c>
      <c r="U3212" t="s">
        <v>12802</v>
      </c>
      <c r="V3212" t="s">
        <v>12802</v>
      </c>
      <c r="W3212" t="s">
        <v>15964</v>
      </c>
      <c r="X3212">
        <v>15</v>
      </c>
      <c r="Y3212" t="s">
        <v>22214</v>
      </c>
      <c r="Z3212" t="s">
        <v>28530</v>
      </c>
      <c r="AA3212">
        <v>0.34305493855088998</v>
      </c>
      <c r="AB3212" t="str">
        <f>HYPERLINK("Melting_Curves/meltCurve_Q12830_4_BPTF.pdf", "Melting_Curves/meltCurve_Q12830_4_BPTF.pdf")</f>
        <v>Melting_Curves/meltCurve_Q12830_4_BPTF.pdf</v>
      </c>
    </row>
    <row r="3213" spans="1:28" x14ac:dyDescent="0.25">
      <c r="A3213" t="s">
        <v>3217</v>
      </c>
      <c r="B3213">
        <v>0.99542014353169495</v>
      </c>
      <c r="C3213">
        <v>0.83718972733834496</v>
      </c>
      <c r="D3213">
        <v>0.92755156552205997</v>
      </c>
      <c r="E3213">
        <v>0.59612763246533296</v>
      </c>
      <c r="F3213">
        <v>0.25625101107736098</v>
      </c>
      <c r="G3213">
        <v>0.110984034910851</v>
      </c>
      <c r="H3213">
        <v>5.1411398002364397E-2</v>
      </c>
      <c r="I3213">
        <v>3.8091007667809998E-2</v>
      </c>
      <c r="J3213">
        <v>3.1511266068085998E-2</v>
      </c>
      <c r="K3213">
        <v>4.0734323541317001E-2</v>
      </c>
      <c r="L3213">
        <v>932.88988935078896</v>
      </c>
      <c r="M3213">
        <v>19.693455561651099</v>
      </c>
      <c r="N3213">
        <v>47.501953873524002</v>
      </c>
      <c r="O3213">
        <v>46.890221076027103</v>
      </c>
      <c r="P3213">
        <v>-0.10221776991114601</v>
      </c>
      <c r="Q3213">
        <v>2.6509490474541399E-2</v>
      </c>
      <c r="R3213">
        <v>0.98548454253996598</v>
      </c>
      <c r="S3213" t="s">
        <v>9615</v>
      </c>
      <c r="T3213" t="s">
        <v>12802</v>
      </c>
      <c r="U3213" t="s">
        <v>12802</v>
      </c>
      <c r="V3213" t="s">
        <v>12802</v>
      </c>
      <c r="W3213" t="s">
        <v>15965</v>
      </c>
      <c r="X3213">
        <v>2</v>
      </c>
      <c r="Y3213" t="s">
        <v>22215</v>
      </c>
      <c r="Z3213" t="s">
        <v>28531</v>
      </c>
      <c r="AA3213">
        <v>0.37617734678676462</v>
      </c>
      <c r="AB3213" t="str">
        <f>HYPERLINK("Melting_Curves/meltCurve_Q12834_CDC20.pdf", "Melting_Curves/meltCurve_Q12834_CDC20.pdf")</f>
        <v>Melting_Curves/meltCurve_Q12834_CDC20.pdf</v>
      </c>
    </row>
    <row r="3214" spans="1:28" x14ac:dyDescent="0.25">
      <c r="A3214" t="s">
        <v>3218</v>
      </c>
      <c r="B3214">
        <v>0.99542014353169495</v>
      </c>
      <c r="C3214">
        <v>0.93819485688480297</v>
      </c>
      <c r="D3214">
        <v>0.94041027665587695</v>
      </c>
      <c r="E3214">
        <v>0.73470821423611898</v>
      </c>
      <c r="F3214">
        <v>0.37576740187267499</v>
      </c>
      <c r="G3214">
        <v>0.12677209133414799</v>
      </c>
      <c r="H3214">
        <v>8.43353586641446E-2</v>
      </c>
      <c r="I3214">
        <v>6.1537570298687498E-2</v>
      </c>
      <c r="J3214">
        <v>6.3445486966448E-2</v>
      </c>
      <c r="K3214">
        <v>8.7213561181175098E-2</v>
      </c>
      <c r="L3214">
        <v>1089.8986586916001</v>
      </c>
      <c r="M3214">
        <v>22.461125382812899</v>
      </c>
      <c r="N3214">
        <v>48.799666341555998</v>
      </c>
      <c r="O3214">
        <v>48.1440596175932</v>
      </c>
      <c r="P3214">
        <v>-0.109682987220535</v>
      </c>
      <c r="Q3214">
        <v>5.9624021153202603E-2</v>
      </c>
      <c r="R3214">
        <v>0.99691827184911996</v>
      </c>
      <c r="S3214" t="s">
        <v>9616</v>
      </c>
      <c r="T3214" t="s">
        <v>12802</v>
      </c>
      <c r="U3214" t="s">
        <v>12802</v>
      </c>
      <c r="V3214" t="s">
        <v>12802</v>
      </c>
      <c r="W3214" t="s">
        <v>15966</v>
      </c>
      <c r="X3214">
        <v>24</v>
      </c>
      <c r="Y3214" t="s">
        <v>22216</v>
      </c>
      <c r="Z3214" t="s">
        <v>28532</v>
      </c>
      <c r="AA3214">
        <v>0.43078613358795592</v>
      </c>
      <c r="AB3214" t="str">
        <f>HYPERLINK("Melting_Curves/meltCurve_Q12840_KIF5A.pdf", "Melting_Curves/meltCurve_Q12840_KIF5A.pdf")</f>
        <v>Melting_Curves/meltCurve_Q12840_KIF5A.pdf</v>
      </c>
    </row>
    <row r="3215" spans="1:28" x14ac:dyDescent="0.25">
      <c r="A3215" t="s">
        <v>3219</v>
      </c>
      <c r="B3215">
        <v>0.99542014353169495</v>
      </c>
      <c r="C3215">
        <v>0.94491823719244905</v>
      </c>
      <c r="D3215">
        <v>1.03924744150995</v>
      </c>
      <c r="E3215">
        <v>0.77526600390028999</v>
      </c>
      <c r="F3215">
        <v>0.51713397071116796</v>
      </c>
      <c r="G3215">
        <v>0.28127430519403401</v>
      </c>
      <c r="H3215">
        <v>0.15422194647224799</v>
      </c>
      <c r="I3215">
        <v>8.3634760883934997E-2</v>
      </c>
      <c r="J3215">
        <v>0.10139012579277901</v>
      </c>
      <c r="K3215">
        <v>9.6199739260767206E-2</v>
      </c>
      <c r="L3215">
        <v>942.18358498694499</v>
      </c>
      <c r="M3215">
        <v>18.880514984391699</v>
      </c>
      <c r="N3215">
        <v>50.372190661734201</v>
      </c>
      <c r="O3215">
        <v>49.352725407886098</v>
      </c>
      <c r="P3215">
        <v>-8.7923907516248206E-2</v>
      </c>
      <c r="Q3215">
        <v>8.0722707947735506E-2</v>
      </c>
      <c r="R3215">
        <v>0.99253374492853996</v>
      </c>
      <c r="S3215" t="s">
        <v>9617</v>
      </c>
      <c r="T3215" t="s">
        <v>12802</v>
      </c>
      <c r="U3215" t="s">
        <v>12802</v>
      </c>
      <c r="V3215" t="s">
        <v>12802</v>
      </c>
      <c r="W3215" t="s">
        <v>15967</v>
      </c>
      <c r="X3215">
        <v>10</v>
      </c>
      <c r="Y3215" t="s">
        <v>22217</v>
      </c>
      <c r="Z3215" t="s">
        <v>28533</v>
      </c>
      <c r="AA3215">
        <v>0.48946587859887758</v>
      </c>
      <c r="AB3215" t="str">
        <f>HYPERLINK("Melting_Curves/meltCurve_Q12846_STX4.pdf", "Melting_Curves/meltCurve_Q12846_STX4.pdf")</f>
        <v>Melting_Curves/meltCurve_Q12846_STX4.pdf</v>
      </c>
    </row>
    <row r="3216" spans="1:28" x14ac:dyDescent="0.25">
      <c r="A3216" t="s">
        <v>3220</v>
      </c>
      <c r="B3216">
        <v>0.99542014353169495</v>
      </c>
      <c r="C3216">
        <v>1.0046088264884001</v>
      </c>
      <c r="D3216">
        <v>0.87918930081242097</v>
      </c>
      <c r="E3216">
        <v>0.66663317671150402</v>
      </c>
      <c r="F3216">
        <v>0.33149723347094301</v>
      </c>
      <c r="G3216">
        <v>0.18143192039943901</v>
      </c>
      <c r="H3216">
        <v>0.12861484631207701</v>
      </c>
      <c r="I3216">
        <v>7.2013989600644798E-2</v>
      </c>
      <c r="J3216">
        <v>5.8668743097579697E-2</v>
      </c>
      <c r="K3216">
        <v>7.0890345295135701E-2</v>
      </c>
      <c r="L3216">
        <v>879.38644507370702</v>
      </c>
      <c r="M3216">
        <v>18.343806442462299</v>
      </c>
      <c r="N3216">
        <v>48.293467812118898</v>
      </c>
      <c r="O3216">
        <v>47.380323218780397</v>
      </c>
      <c r="P3216">
        <v>-9.0700143144276907E-2</v>
      </c>
      <c r="Q3216">
        <v>6.2963246593245994E-2</v>
      </c>
      <c r="R3216">
        <v>0.99835365961489997</v>
      </c>
      <c r="S3216" t="s">
        <v>9618</v>
      </c>
      <c r="T3216" t="s">
        <v>12802</v>
      </c>
      <c r="U3216" t="s">
        <v>12802</v>
      </c>
      <c r="V3216" t="s">
        <v>12802</v>
      </c>
      <c r="W3216" t="s">
        <v>15968</v>
      </c>
      <c r="X3216">
        <v>7</v>
      </c>
      <c r="Y3216" t="s">
        <v>22218</v>
      </c>
      <c r="Z3216" t="s">
        <v>28534</v>
      </c>
      <c r="AA3216">
        <v>0.41911188551698209</v>
      </c>
      <c r="AB3216" t="str">
        <f>HYPERLINK("Melting_Curves/meltCurve_Q12872_SFSWAP.pdf", "Melting_Curves/meltCurve_Q12872_SFSWAP.pdf")</f>
        <v>Melting_Curves/meltCurve_Q12872_SFSWAP.pdf</v>
      </c>
    </row>
    <row r="3217" spans="1:28" x14ac:dyDescent="0.25">
      <c r="A3217" t="s">
        <v>3221</v>
      </c>
      <c r="B3217">
        <v>0.99542014353169495</v>
      </c>
      <c r="C3217">
        <v>0.941442398421374</v>
      </c>
      <c r="D3217">
        <v>0.90974176704465903</v>
      </c>
      <c r="E3217">
        <v>0.38796450391741599</v>
      </c>
      <c r="F3217">
        <v>0.15233841821362101</v>
      </c>
      <c r="G3217">
        <v>8.4111908397308296E-2</v>
      </c>
      <c r="H3217">
        <v>5.2954086535336203E-2</v>
      </c>
      <c r="I3217">
        <v>6.5508325809721393E-2</v>
      </c>
      <c r="J3217">
        <v>5.61746775665702E-2</v>
      </c>
      <c r="K3217">
        <v>8.5167723699220696E-2</v>
      </c>
      <c r="L3217">
        <v>1433.4680988902401</v>
      </c>
      <c r="M3217">
        <v>31.348672578626601</v>
      </c>
      <c r="N3217">
        <v>45.9495469182188</v>
      </c>
      <c r="O3217">
        <v>45.541730278816999</v>
      </c>
      <c r="P3217">
        <v>-0.15994740664028101</v>
      </c>
      <c r="Q3217">
        <v>7.0551801346634399E-2</v>
      </c>
      <c r="R3217">
        <v>0.99685491520696701</v>
      </c>
      <c r="S3217" t="s">
        <v>9619</v>
      </c>
      <c r="T3217" t="s">
        <v>12802</v>
      </c>
      <c r="U3217" t="s">
        <v>12802</v>
      </c>
      <c r="V3217" t="s">
        <v>12802</v>
      </c>
      <c r="W3217" t="s">
        <v>15969</v>
      </c>
      <c r="X3217">
        <v>19</v>
      </c>
      <c r="Y3217" t="s">
        <v>22219</v>
      </c>
      <c r="Z3217" t="s">
        <v>28535</v>
      </c>
      <c r="AA3217">
        <v>0.34573947516355857</v>
      </c>
      <c r="AB3217" t="str">
        <f>HYPERLINK("Melting_Curves/meltCurve_Q12874_SF3A3.pdf", "Melting_Curves/meltCurve_Q12874_SF3A3.pdf")</f>
        <v>Melting_Curves/meltCurve_Q12874_SF3A3.pdf</v>
      </c>
    </row>
    <row r="3218" spans="1:28" x14ac:dyDescent="0.25">
      <c r="A3218" t="s">
        <v>3222</v>
      </c>
      <c r="B3218">
        <v>0.99542014353169495</v>
      </c>
      <c r="C3218">
        <v>0.92573442408442796</v>
      </c>
      <c r="D3218">
        <v>0.841753733138764</v>
      </c>
      <c r="E3218">
        <v>0.46595667096146298</v>
      </c>
      <c r="F3218">
        <v>0.180813442288631</v>
      </c>
      <c r="G3218">
        <v>0.106748151861847</v>
      </c>
      <c r="H3218">
        <v>7.3598443317544199E-2</v>
      </c>
      <c r="I3218">
        <v>6.1511255313660002E-2</v>
      </c>
      <c r="J3218">
        <v>6.8536031610853795E-2</v>
      </c>
      <c r="K3218">
        <v>7.5330014174942506E-2</v>
      </c>
      <c r="L3218">
        <v>1002.0924255869199</v>
      </c>
      <c r="M3218">
        <v>21.803323437783298</v>
      </c>
      <c r="N3218">
        <v>46.252591630127597</v>
      </c>
      <c r="O3218">
        <v>45.579150249959497</v>
      </c>
      <c r="P3218">
        <v>-0.111902343316662</v>
      </c>
      <c r="Q3218">
        <v>6.4308568530991206E-2</v>
      </c>
      <c r="R3218">
        <v>0.99842862379788799</v>
      </c>
      <c r="S3218" t="s">
        <v>9620</v>
      </c>
      <c r="T3218" t="s">
        <v>12802</v>
      </c>
      <c r="U3218" t="s">
        <v>12802</v>
      </c>
      <c r="V3218" t="s">
        <v>12802</v>
      </c>
      <c r="W3218" t="s">
        <v>15970</v>
      </c>
      <c r="X3218">
        <v>34</v>
      </c>
      <c r="Y3218" t="s">
        <v>22220</v>
      </c>
      <c r="Z3218" t="s">
        <v>28536</v>
      </c>
      <c r="AA3218">
        <v>0.35404363516510001</v>
      </c>
      <c r="AB3218" t="str">
        <f>HYPERLINK("Melting_Curves/meltCurve_Q12888_TP53BP1.pdf", "Melting_Curves/meltCurve_Q12888_TP53BP1.pdf")</f>
        <v>Melting_Curves/meltCurve_Q12888_TP53BP1.pdf</v>
      </c>
    </row>
    <row r="3219" spans="1:28" x14ac:dyDescent="0.25">
      <c r="A3219" t="s">
        <v>3223</v>
      </c>
      <c r="B3219">
        <v>0.99542014353169495</v>
      </c>
      <c r="C3219">
        <v>0.91443004821880902</v>
      </c>
      <c r="D3219">
        <v>0.89044946583428497</v>
      </c>
      <c r="E3219">
        <v>0.90528010083766097</v>
      </c>
      <c r="F3219">
        <v>0.85200091174233605</v>
      </c>
      <c r="G3219">
        <v>0.49675589230530898</v>
      </c>
      <c r="H3219">
        <v>0.34486835872084398</v>
      </c>
      <c r="I3219">
        <v>0.12204738326509799</v>
      </c>
      <c r="J3219">
        <v>5.7274767856026199E-2</v>
      </c>
      <c r="K3219">
        <v>5.3618620773074298E-2</v>
      </c>
      <c r="L3219">
        <v>875.27610813297099</v>
      </c>
      <c r="M3219">
        <v>16.0983502800511</v>
      </c>
      <c r="N3219">
        <v>54.370547306615201</v>
      </c>
      <c r="O3219">
        <v>53.552323201971298</v>
      </c>
      <c r="P3219">
        <v>-7.5158190729648397E-2</v>
      </c>
      <c r="Q3219">
        <v>0</v>
      </c>
      <c r="R3219">
        <v>0.981206036017505</v>
      </c>
      <c r="S3219" t="s">
        <v>9621</v>
      </c>
      <c r="T3219" t="s">
        <v>12802</v>
      </c>
      <c r="U3219" t="s">
        <v>12802</v>
      </c>
      <c r="V3219" t="s">
        <v>12802</v>
      </c>
      <c r="W3219" t="s">
        <v>15971</v>
      </c>
      <c r="X3219">
        <v>1</v>
      </c>
      <c r="Y3219" t="s">
        <v>22221</v>
      </c>
      <c r="Z3219" t="s">
        <v>28537</v>
      </c>
      <c r="AA3219">
        <v>0.59375515751121877</v>
      </c>
      <c r="AB3219" t="str">
        <f>HYPERLINK("Melting_Curves/meltCurve_Q12893_TMEM115.pdf", "Melting_Curves/meltCurve_Q12893_TMEM115.pdf")</f>
        <v>Melting_Curves/meltCurve_Q12893_TMEM115.pdf</v>
      </c>
    </row>
    <row r="3220" spans="1:28" x14ac:dyDescent="0.25">
      <c r="A3220" t="s">
        <v>3224</v>
      </c>
      <c r="B3220">
        <v>0.99542014353169495</v>
      </c>
      <c r="C3220">
        <v>1.34541183430631</v>
      </c>
      <c r="D3220">
        <v>0.94268832237982703</v>
      </c>
      <c r="E3220">
        <v>0.79666146910231095</v>
      </c>
      <c r="F3220">
        <v>0.61817252590088401</v>
      </c>
      <c r="G3220">
        <v>0.555146585227145</v>
      </c>
      <c r="H3220">
        <v>0.16571135673301801</v>
      </c>
      <c r="I3220">
        <v>9.4347864700139394E-2</v>
      </c>
      <c r="J3220">
        <v>6.2183098426076902E-2</v>
      </c>
      <c r="K3220">
        <v>7.2787279740599606E-2</v>
      </c>
      <c r="L3220">
        <v>755.88634171414196</v>
      </c>
      <c r="M3220">
        <v>14.350314911065601</v>
      </c>
      <c r="N3220">
        <v>52.673852953205198</v>
      </c>
      <c r="O3220">
        <v>51.682673249742102</v>
      </c>
      <c r="P3220">
        <v>-6.9423871827548306E-2</v>
      </c>
      <c r="Q3220">
        <v>0</v>
      </c>
      <c r="R3220">
        <v>0.91571357807224196</v>
      </c>
      <c r="S3220" t="s">
        <v>9622</v>
      </c>
      <c r="T3220" t="s">
        <v>12802</v>
      </c>
      <c r="U3220" t="s">
        <v>12802</v>
      </c>
      <c r="V3220" t="s">
        <v>12802</v>
      </c>
      <c r="W3220" t="s">
        <v>15972</v>
      </c>
      <c r="X3220">
        <v>1</v>
      </c>
      <c r="Y3220" t="s">
        <v>22222</v>
      </c>
      <c r="Z3220" t="s">
        <v>28538</v>
      </c>
      <c r="AA3220">
        <v>0.54158469376366092</v>
      </c>
      <c r="AB3220" t="str">
        <f>HYPERLINK("Melting_Curves/meltCurve_Q12894_IFRD2.pdf", "Melting_Curves/meltCurve_Q12894_IFRD2.pdf")</f>
        <v>Melting_Curves/meltCurve_Q12894_IFRD2.pdf</v>
      </c>
    </row>
    <row r="3221" spans="1:28" x14ac:dyDescent="0.25">
      <c r="A3221" t="s">
        <v>3225</v>
      </c>
      <c r="B3221">
        <v>0.99542014353169495</v>
      </c>
      <c r="C3221">
        <v>0.85027843033809403</v>
      </c>
      <c r="D3221">
        <v>0.82755023554599105</v>
      </c>
      <c r="E3221">
        <v>0.40061904745183102</v>
      </c>
      <c r="F3221">
        <v>0.191112444758892</v>
      </c>
      <c r="G3221">
        <v>0.101426401355734</v>
      </c>
      <c r="H3221">
        <v>6.9233115268275802E-2</v>
      </c>
      <c r="I3221">
        <v>4.7285693200509002E-2</v>
      </c>
      <c r="J3221">
        <v>5.1021924618410201E-2</v>
      </c>
      <c r="K3221">
        <v>4.7752313453033601E-2</v>
      </c>
      <c r="L3221">
        <v>857.14234646191596</v>
      </c>
      <c r="M3221">
        <v>18.799182059487698</v>
      </c>
      <c r="N3221">
        <v>45.824813928909599</v>
      </c>
      <c r="O3221">
        <v>45.088130602452502</v>
      </c>
      <c r="P3221">
        <v>-9.9544204975594894E-2</v>
      </c>
      <c r="Q3221">
        <v>4.5048676707289598E-2</v>
      </c>
      <c r="R3221">
        <v>0.99079703466245805</v>
      </c>
      <c r="S3221" t="s">
        <v>9623</v>
      </c>
      <c r="T3221" t="s">
        <v>12802</v>
      </c>
      <c r="U3221" t="s">
        <v>12802</v>
      </c>
      <c r="V3221" t="s">
        <v>12802</v>
      </c>
      <c r="W3221" t="s">
        <v>15973</v>
      </c>
      <c r="X3221">
        <v>10</v>
      </c>
      <c r="Y3221" t="s">
        <v>22223</v>
      </c>
      <c r="Z3221" t="s">
        <v>28539</v>
      </c>
      <c r="AA3221">
        <v>0.33282137535920869</v>
      </c>
      <c r="AB3221" t="str">
        <f>HYPERLINK("Melting_Curves/meltCurve_Q12904_AIMP1.pdf", "Melting_Curves/meltCurve_Q12904_AIMP1.pdf")</f>
        <v>Melting_Curves/meltCurve_Q12904_AIMP1.pdf</v>
      </c>
    </row>
    <row r="3222" spans="1:28" x14ac:dyDescent="0.25">
      <c r="A3222" t="s">
        <v>3226</v>
      </c>
      <c r="B3222">
        <v>0.99542014353169495</v>
      </c>
      <c r="C3222">
        <v>0.933245804191422</v>
      </c>
      <c r="D3222">
        <v>0.72019137252342702</v>
      </c>
      <c r="E3222">
        <v>0.60435907649022502</v>
      </c>
      <c r="F3222">
        <v>0.51244033345247297</v>
      </c>
      <c r="G3222">
        <v>0.41967083759891299</v>
      </c>
      <c r="H3222">
        <v>0.217450686714729</v>
      </c>
      <c r="I3222">
        <v>9.8796603065580704E-2</v>
      </c>
      <c r="J3222">
        <v>5.0127530659584897E-2</v>
      </c>
      <c r="K3222">
        <v>2.8392323082277501E-2</v>
      </c>
      <c r="L3222">
        <v>462.44220482629498</v>
      </c>
      <c r="M3222">
        <v>9.3431952991634493</v>
      </c>
      <c r="N3222">
        <v>49.495075520651099</v>
      </c>
      <c r="O3222">
        <v>47.386411603443797</v>
      </c>
      <c r="P3222">
        <v>-4.9323648465047103E-2</v>
      </c>
      <c r="Q3222">
        <v>0</v>
      </c>
      <c r="R3222">
        <v>0.97354509465791805</v>
      </c>
      <c r="S3222" t="s">
        <v>9624</v>
      </c>
      <c r="T3222" t="s">
        <v>12802</v>
      </c>
      <c r="U3222" t="s">
        <v>12802</v>
      </c>
      <c r="V3222" t="s">
        <v>12802</v>
      </c>
      <c r="W3222" t="s">
        <v>15974</v>
      </c>
      <c r="X3222">
        <v>4</v>
      </c>
      <c r="Y3222" t="s">
        <v>22224</v>
      </c>
      <c r="Z3222" t="s">
        <v>28540</v>
      </c>
      <c r="AA3222">
        <v>0.45457326795165798</v>
      </c>
      <c r="AB3222" t="str">
        <f>HYPERLINK("Melting_Curves/meltCurve_Q12905_ILF2.pdf", "Melting_Curves/meltCurve_Q12905_ILF2.pdf")</f>
        <v>Melting_Curves/meltCurve_Q12905_ILF2.pdf</v>
      </c>
    </row>
    <row r="3223" spans="1:28" x14ac:dyDescent="0.25">
      <c r="A3223" t="s">
        <v>3227</v>
      </c>
      <c r="B3223">
        <v>0.99542014353169495</v>
      </c>
      <c r="C3223">
        <v>0.96624340779561402</v>
      </c>
      <c r="D3223">
        <v>0.91615884978045703</v>
      </c>
      <c r="E3223">
        <v>0.78373404436717597</v>
      </c>
      <c r="F3223">
        <v>0.61608324782823098</v>
      </c>
      <c r="G3223">
        <v>0.37364372924288902</v>
      </c>
      <c r="H3223">
        <v>0.204216216352816</v>
      </c>
      <c r="I3223">
        <v>9.2847325986372103E-2</v>
      </c>
      <c r="J3223">
        <v>9.0618570773810997E-2</v>
      </c>
      <c r="K3223">
        <v>0.122249864836247</v>
      </c>
      <c r="L3223">
        <v>701.496636634428</v>
      </c>
      <c r="M3223">
        <v>13.702003055553501</v>
      </c>
      <c r="N3223">
        <v>51.512223206555703</v>
      </c>
      <c r="O3223">
        <v>50.143097218110498</v>
      </c>
      <c r="P3223">
        <v>-6.5573803718718099E-2</v>
      </c>
      <c r="Q3223">
        <v>4.0257075249121803E-2</v>
      </c>
      <c r="R3223">
        <v>0.99535474148730596</v>
      </c>
      <c r="S3223" t="s">
        <v>9625</v>
      </c>
      <c r="T3223" t="s">
        <v>12802</v>
      </c>
      <c r="U3223" t="s">
        <v>12802</v>
      </c>
      <c r="V3223" t="s">
        <v>12802</v>
      </c>
      <c r="W3223" t="s">
        <v>15975</v>
      </c>
      <c r="X3223">
        <v>17</v>
      </c>
      <c r="Y3223" t="s">
        <v>22225</v>
      </c>
      <c r="Z3223" t="s">
        <v>28541</v>
      </c>
      <c r="AA3223">
        <v>0.51580747853565267</v>
      </c>
      <c r="AB3223" t="str">
        <f>HYPERLINK("Melting_Curves/meltCurve_Q12906_ILF3.pdf", "Melting_Curves/meltCurve_Q12906_ILF3.pdf")</f>
        <v>Melting_Curves/meltCurve_Q12906_ILF3.pdf</v>
      </c>
    </row>
    <row r="3224" spans="1:28" x14ac:dyDescent="0.25">
      <c r="A3224" t="s">
        <v>3228</v>
      </c>
      <c r="B3224">
        <v>0.99542014353169495</v>
      </c>
      <c r="C3224">
        <v>1.02020778174494</v>
      </c>
      <c r="D3224">
        <v>0.99584279361007699</v>
      </c>
      <c r="E3224">
        <v>0.91984721765472899</v>
      </c>
      <c r="F3224">
        <v>0.70790507204441</v>
      </c>
      <c r="G3224">
        <v>0.22638952586146699</v>
      </c>
      <c r="H3224">
        <v>0.10884903746649199</v>
      </c>
      <c r="I3224">
        <v>7.4424043324476996E-2</v>
      </c>
      <c r="J3224">
        <v>6.5972138445335199E-2</v>
      </c>
      <c r="K3224">
        <v>6.7222583292062599E-2</v>
      </c>
      <c r="L3224">
        <v>1618.3193420960599</v>
      </c>
      <c r="M3224">
        <v>31.536207804314699</v>
      </c>
      <c r="N3224">
        <v>51.549747322959199</v>
      </c>
      <c r="O3224">
        <v>51.111215794616697</v>
      </c>
      <c r="P3224">
        <v>-0.143986417493353</v>
      </c>
      <c r="Q3224">
        <v>6.6561088139160896E-2</v>
      </c>
      <c r="R3224">
        <v>0.99829255384035398</v>
      </c>
      <c r="S3224" t="s">
        <v>9626</v>
      </c>
      <c r="T3224" t="s">
        <v>12802</v>
      </c>
      <c r="U3224" t="s">
        <v>12802</v>
      </c>
      <c r="V3224" t="s">
        <v>12802</v>
      </c>
      <c r="W3224" t="s">
        <v>15976</v>
      </c>
      <c r="X3224">
        <v>16</v>
      </c>
      <c r="Y3224" t="s">
        <v>22226</v>
      </c>
      <c r="Z3224" t="s">
        <v>28542</v>
      </c>
      <c r="AA3224">
        <v>0.51730425909063771</v>
      </c>
      <c r="AB3224" t="str">
        <f>HYPERLINK("Melting_Curves/meltCurve_Q12907_LMAN2.pdf", "Melting_Curves/meltCurve_Q12907_LMAN2.pdf")</f>
        <v>Melting_Curves/meltCurve_Q12907_LMAN2.pdf</v>
      </c>
    </row>
    <row r="3225" spans="1:28" x14ac:dyDescent="0.25">
      <c r="A3225" t="s">
        <v>3229</v>
      </c>
      <c r="B3225">
        <v>0.99542014353169495</v>
      </c>
      <c r="C3225">
        <v>0.93675622303441997</v>
      </c>
      <c r="D3225">
        <v>0.960533145149574</v>
      </c>
      <c r="E3225">
        <v>0.81738145616036595</v>
      </c>
      <c r="F3225">
        <v>0.67533628267827095</v>
      </c>
      <c r="G3225">
        <v>0.38720984739793601</v>
      </c>
      <c r="H3225">
        <v>0.131876117387839</v>
      </c>
      <c r="I3225">
        <v>9.1285770652694997E-2</v>
      </c>
      <c r="J3225">
        <v>7.8494936112814204E-2</v>
      </c>
      <c r="K3225">
        <v>7.8621149001341303E-2</v>
      </c>
      <c r="L3225">
        <v>851.35824258712501</v>
      </c>
      <c r="M3225">
        <v>16.450128487335402</v>
      </c>
      <c r="N3225">
        <v>51.939045284029703</v>
      </c>
      <c r="O3225">
        <v>51.007222809861197</v>
      </c>
      <c r="P3225">
        <v>-7.8335976690712697E-2</v>
      </c>
      <c r="Q3225">
        <v>2.8477066981089399E-2</v>
      </c>
      <c r="R3225">
        <v>0.99191199302992294</v>
      </c>
      <c r="S3225" t="s">
        <v>9627</v>
      </c>
      <c r="T3225" t="s">
        <v>12802</v>
      </c>
      <c r="U3225" t="s">
        <v>12802</v>
      </c>
      <c r="V3225" t="s">
        <v>12802</v>
      </c>
      <c r="W3225" t="s">
        <v>15977</v>
      </c>
      <c r="X3225">
        <v>13</v>
      </c>
      <c r="Y3225" t="s">
        <v>22227</v>
      </c>
      <c r="Z3225" t="s">
        <v>28543</v>
      </c>
      <c r="AA3225">
        <v>0.52304765557142663</v>
      </c>
      <c r="AB3225" t="str">
        <f>HYPERLINK("Melting_Curves/meltCurve_Q12933_3_TRAF2.pdf", "Melting_Curves/meltCurve_Q12933_3_TRAF2.pdf")</f>
        <v>Melting_Curves/meltCurve_Q12933_3_TRAF2.pdf</v>
      </c>
    </row>
    <row r="3226" spans="1:28" x14ac:dyDescent="0.25">
      <c r="A3226" t="s">
        <v>3230</v>
      </c>
      <c r="B3226">
        <v>0.99542014353169495</v>
      </c>
      <c r="C3226">
        <v>0.91534167218334195</v>
      </c>
      <c r="D3226">
        <v>0.88686729968436795</v>
      </c>
      <c r="E3226">
        <v>0.67765219958860501</v>
      </c>
      <c r="F3226">
        <v>0.39576073292637598</v>
      </c>
      <c r="G3226">
        <v>0.203282146066182</v>
      </c>
      <c r="H3226">
        <v>0.23762884504094001</v>
      </c>
      <c r="I3226">
        <v>0.24120345600465201</v>
      </c>
      <c r="J3226">
        <v>0.13742629135769999</v>
      </c>
      <c r="K3226">
        <v>9.2480416275742397E-2</v>
      </c>
      <c r="L3226">
        <v>788.78117686646897</v>
      </c>
      <c r="M3226">
        <v>16.529162299089101</v>
      </c>
      <c r="N3226">
        <v>48.704591626502598</v>
      </c>
      <c r="O3226">
        <v>47.038505186477998</v>
      </c>
      <c r="P3226">
        <v>-7.5383777058058696E-2</v>
      </c>
      <c r="Q3226">
        <v>0.14195401259777299</v>
      </c>
      <c r="R3226">
        <v>0.98429308632477597</v>
      </c>
      <c r="S3226" t="s">
        <v>9628</v>
      </c>
      <c r="T3226" t="s">
        <v>12802</v>
      </c>
      <c r="U3226" t="s">
        <v>12802</v>
      </c>
      <c r="V3226" t="s">
        <v>12802</v>
      </c>
      <c r="W3226" t="s">
        <v>15978</v>
      </c>
      <c r="X3226">
        <v>10</v>
      </c>
      <c r="Y3226" t="s">
        <v>22228</v>
      </c>
      <c r="Z3226" t="s">
        <v>28544</v>
      </c>
      <c r="AA3226">
        <v>0.46461705725724167</v>
      </c>
      <c r="AB3226" t="str">
        <f>HYPERLINK("Melting_Curves/meltCurve_Q12955_ANK3.pdf", "Melting_Curves/meltCurve_Q12955_ANK3.pdf")</f>
        <v>Melting_Curves/meltCurve_Q12955_ANK3.pdf</v>
      </c>
    </row>
    <row r="3227" spans="1:28" x14ac:dyDescent="0.25">
      <c r="A3227" t="s">
        <v>3231</v>
      </c>
      <c r="B3227">
        <v>0.99542014353169495</v>
      </c>
      <c r="C3227">
        <v>0.89736428374932897</v>
      </c>
      <c r="D3227">
        <v>0.89253432485155104</v>
      </c>
      <c r="E3227">
        <v>0.71424326145341399</v>
      </c>
      <c r="F3227">
        <v>0.38106157796521001</v>
      </c>
      <c r="G3227">
        <v>0.14446879758185999</v>
      </c>
      <c r="H3227">
        <v>7.3700759603535906E-2</v>
      </c>
      <c r="I3227">
        <v>4.4818010483779903E-2</v>
      </c>
      <c r="J3227">
        <v>5.39826330472555E-2</v>
      </c>
      <c r="K3227">
        <v>6.9312037376425301E-2</v>
      </c>
      <c r="L3227">
        <v>885.70071951155103</v>
      </c>
      <c r="M3227">
        <v>18.260103359152399</v>
      </c>
      <c r="N3227">
        <v>48.692195507917901</v>
      </c>
      <c r="O3227">
        <v>47.934180316385799</v>
      </c>
      <c r="P3227">
        <v>-9.2006354977515803E-2</v>
      </c>
      <c r="Q3227">
        <v>3.3949900868126999E-2</v>
      </c>
      <c r="R3227">
        <v>0.99298872941995298</v>
      </c>
      <c r="S3227" t="s">
        <v>9629</v>
      </c>
      <c r="T3227" t="s">
        <v>12802</v>
      </c>
      <c r="U3227" t="s">
        <v>12802</v>
      </c>
      <c r="V3227" t="s">
        <v>12802</v>
      </c>
      <c r="W3227" t="s">
        <v>15979</v>
      </c>
      <c r="X3227">
        <v>13</v>
      </c>
      <c r="Y3227" t="s">
        <v>22229</v>
      </c>
      <c r="Z3227" t="s">
        <v>28545</v>
      </c>
      <c r="AA3227">
        <v>0.4194342860774955</v>
      </c>
      <c r="AB3227" t="str">
        <f>HYPERLINK("Melting_Curves/meltCurve_Q12959_5_DLG1.pdf", "Melting_Curves/meltCurve_Q12959_5_DLG1.pdf")</f>
        <v>Melting_Curves/meltCurve_Q12959_5_DLG1.pdf</v>
      </c>
    </row>
    <row r="3228" spans="1:28" x14ac:dyDescent="0.25">
      <c r="A3228" t="s">
        <v>3232</v>
      </c>
      <c r="B3228">
        <v>0.99542014353169495</v>
      </c>
      <c r="C3228">
        <v>1.1044740157484201</v>
      </c>
      <c r="D3228">
        <v>0.98474005252679198</v>
      </c>
      <c r="E3228">
        <v>0.93084175817780102</v>
      </c>
      <c r="F3228">
        <v>0.80083770710393398</v>
      </c>
      <c r="G3228">
        <v>0.63024381359665904</v>
      </c>
      <c r="H3228">
        <v>0.415624933057127</v>
      </c>
      <c r="I3228">
        <v>0.30855877016325001</v>
      </c>
      <c r="J3228">
        <v>0.35255344939572603</v>
      </c>
      <c r="K3228">
        <v>0.40982398988116098</v>
      </c>
      <c r="L3228">
        <v>1086.2785130182399</v>
      </c>
      <c r="M3228">
        <v>20.689697431602099</v>
      </c>
      <c r="N3228">
        <v>55.554395764267397</v>
      </c>
      <c r="O3228">
        <v>52.020245163566301</v>
      </c>
      <c r="P3228">
        <v>-6.5676711081289196E-2</v>
      </c>
      <c r="Q3228">
        <v>0.339493185860478</v>
      </c>
      <c r="R3228">
        <v>0.97323660754610197</v>
      </c>
      <c r="S3228" t="s">
        <v>9630</v>
      </c>
      <c r="T3228" t="s">
        <v>12802</v>
      </c>
      <c r="U3228" t="s">
        <v>12802</v>
      </c>
      <c r="V3228" t="s">
        <v>12802</v>
      </c>
      <c r="W3228" t="s">
        <v>15980</v>
      </c>
      <c r="X3228">
        <v>4</v>
      </c>
      <c r="Y3228" t="s">
        <v>22230</v>
      </c>
      <c r="Z3228" t="s">
        <v>28546</v>
      </c>
      <c r="AA3228">
        <v>0.68884018199953156</v>
      </c>
      <c r="AB3228" t="str">
        <f>HYPERLINK("Melting_Curves/meltCurve_Q12962_TAF10.pdf", "Melting_Curves/meltCurve_Q12962_TAF10.pdf")</f>
        <v>Melting_Curves/meltCurve_Q12962_TAF10.pdf</v>
      </c>
    </row>
    <row r="3229" spans="1:28" x14ac:dyDescent="0.25">
      <c r="A3229" t="s">
        <v>3233</v>
      </c>
      <c r="B3229">
        <v>0.99542014353169495</v>
      </c>
      <c r="C3229">
        <v>1.06781975038114</v>
      </c>
      <c r="D3229">
        <v>1.0407578898519001</v>
      </c>
      <c r="E3229">
        <v>0.94629420829500899</v>
      </c>
      <c r="F3229">
        <v>0.74342132548692097</v>
      </c>
      <c r="G3229">
        <v>0.36256599357636399</v>
      </c>
      <c r="H3229">
        <v>0.152788896588371</v>
      </c>
      <c r="I3229">
        <v>0.110957945973594</v>
      </c>
      <c r="J3229">
        <v>0.13140539209141999</v>
      </c>
      <c r="K3229">
        <v>0.150267914874539</v>
      </c>
      <c r="L3229">
        <v>1457.46012509601</v>
      </c>
      <c r="M3229">
        <v>28.134583927544799</v>
      </c>
      <c r="N3229">
        <v>52.318502033737403</v>
      </c>
      <c r="O3229">
        <v>51.543541702881598</v>
      </c>
      <c r="P3229">
        <v>-0.119946378136971</v>
      </c>
      <c r="Q3229">
        <v>0.12102330519453899</v>
      </c>
      <c r="R3229">
        <v>0.99457289889106704</v>
      </c>
      <c r="S3229" t="s">
        <v>9631</v>
      </c>
      <c r="T3229" t="s">
        <v>12802</v>
      </c>
      <c r="U3229" t="s">
        <v>12802</v>
      </c>
      <c r="V3229" t="s">
        <v>12802</v>
      </c>
      <c r="W3229" t="s">
        <v>15981</v>
      </c>
      <c r="X3229">
        <v>17</v>
      </c>
      <c r="Y3229" t="s">
        <v>22231</v>
      </c>
      <c r="Z3229" t="s">
        <v>28547</v>
      </c>
      <c r="AA3229">
        <v>0.56099850496441783</v>
      </c>
      <c r="AB3229" t="str">
        <f>HYPERLINK("Melting_Curves/meltCurve_Q12972_PPP1R8.pdf", "Melting_Curves/meltCurve_Q12972_PPP1R8.pdf")</f>
        <v>Melting_Curves/meltCurve_Q12972_PPP1R8.pdf</v>
      </c>
    </row>
    <row r="3230" spans="1:28" x14ac:dyDescent="0.25">
      <c r="A3230" t="s">
        <v>3234</v>
      </c>
      <c r="B3230">
        <v>0.99542014353169495</v>
      </c>
      <c r="C3230">
        <v>1.0005063354102699</v>
      </c>
      <c r="D3230">
        <v>1.0448516327889299</v>
      </c>
      <c r="E3230">
        <v>0.89490648640256099</v>
      </c>
      <c r="F3230">
        <v>0.71086949999953097</v>
      </c>
      <c r="G3230">
        <v>0.48488704643733099</v>
      </c>
      <c r="H3230">
        <v>0.27885250579437698</v>
      </c>
      <c r="I3230">
        <v>0.23061025652981701</v>
      </c>
      <c r="J3230">
        <v>0.253783781882505</v>
      </c>
      <c r="K3230">
        <v>0.25462758007492797</v>
      </c>
      <c r="L3230">
        <v>1063.42719079783</v>
      </c>
      <c r="M3230">
        <v>20.638169222217702</v>
      </c>
      <c r="N3230">
        <v>53.078861246091897</v>
      </c>
      <c r="O3230">
        <v>51.050747380771</v>
      </c>
      <c r="P3230">
        <v>-7.8177252923936597E-2</v>
      </c>
      <c r="Q3230">
        <v>0.22650262306462801</v>
      </c>
      <c r="R3230">
        <v>0.99337772237206101</v>
      </c>
      <c r="S3230" t="s">
        <v>9632</v>
      </c>
      <c r="T3230" t="s">
        <v>12802</v>
      </c>
      <c r="U3230" t="s">
        <v>12802</v>
      </c>
      <c r="V3230" t="s">
        <v>12802</v>
      </c>
      <c r="W3230" t="s">
        <v>15982</v>
      </c>
      <c r="X3230">
        <v>6</v>
      </c>
      <c r="Y3230" t="s">
        <v>22232</v>
      </c>
      <c r="Z3230" t="s">
        <v>28548</v>
      </c>
      <c r="AA3230">
        <v>0.61062379047547555</v>
      </c>
      <c r="AB3230" t="str">
        <f>HYPERLINK("Melting_Curves/meltCurve_Q12974_PTP4A2.pdf", "Melting_Curves/meltCurve_Q12974_PTP4A2.pdf")</f>
        <v>Melting_Curves/meltCurve_Q12974_PTP4A2.pdf</v>
      </c>
    </row>
    <row r="3231" spans="1:28" x14ac:dyDescent="0.25">
      <c r="A3231" t="s">
        <v>3235</v>
      </c>
      <c r="B3231">
        <v>0.99542014353169495</v>
      </c>
      <c r="C3231">
        <v>0.81784783210632905</v>
      </c>
      <c r="D3231">
        <v>0.80022630714074905</v>
      </c>
      <c r="E3231">
        <v>0.71610421093587795</v>
      </c>
      <c r="F3231">
        <v>0.57452240272627098</v>
      </c>
      <c r="G3231">
        <v>0.398740611893316</v>
      </c>
      <c r="H3231">
        <v>0.12739620172285199</v>
      </c>
      <c r="I3231">
        <v>7.6647805395174906E-2</v>
      </c>
      <c r="J3231">
        <v>7.4450469702598499E-2</v>
      </c>
      <c r="K3231">
        <v>7.6177326623228001E-2</v>
      </c>
      <c r="L3231">
        <v>525.08519278351901</v>
      </c>
      <c r="M3231">
        <v>10.4454304371275</v>
      </c>
      <c r="N3231">
        <v>50.269366662901703</v>
      </c>
      <c r="O3231">
        <v>48.531662964444401</v>
      </c>
      <c r="P3231">
        <v>-5.3829443020277097E-2</v>
      </c>
      <c r="Q3231">
        <v>0</v>
      </c>
      <c r="R3231">
        <v>0.96660683599395603</v>
      </c>
      <c r="S3231" t="s">
        <v>9633</v>
      </c>
      <c r="T3231" t="s">
        <v>12802</v>
      </c>
      <c r="U3231" t="s">
        <v>12802</v>
      </c>
      <c r="V3231" t="s">
        <v>12802</v>
      </c>
      <c r="W3231" t="s">
        <v>15983</v>
      </c>
      <c r="X3231">
        <v>10</v>
      </c>
      <c r="Y3231" t="s">
        <v>22233</v>
      </c>
      <c r="Z3231" t="s">
        <v>28549</v>
      </c>
      <c r="AA3231">
        <v>0.4740486736952173</v>
      </c>
      <c r="AB3231" t="str">
        <f>HYPERLINK("Melting_Curves/meltCurve_Q12981_BNIP1.pdf", "Melting_Curves/meltCurve_Q12981_BNIP1.pdf")</f>
        <v>Melting_Curves/meltCurve_Q12981_BNIP1.pdf</v>
      </c>
    </row>
    <row r="3232" spans="1:28" x14ac:dyDescent="0.25">
      <c r="A3232" t="s">
        <v>3236</v>
      </c>
      <c r="B3232">
        <v>0.99542014353169495</v>
      </c>
      <c r="C3232">
        <v>0.96313928411845695</v>
      </c>
      <c r="D3232">
        <v>0.96021225315574299</v>
      </c>
      <c r="E3232">
        <v>0.76430399608101995</v>
      </c>
      <c r="F3232">
        <v>0.49203930746747598</v>
      </c>
      <c r="G3232">
        <v>0.28602348985590598</v>
      </c>
      <c r="H3232">
        <v>9.5351888983029806E-2</v>
      </c>
      <c r="I3232">
        <v>5.6645261749481403E-2</v>
      </c>
      <c r="J3232">
        <v>6.38840054113404E-2</v>
      </c>
      <c r="K3232">
        <v>5.7326463013650603E-2</v>
      </c>
      <c r="L3232">
        <v>833.72245550244202</v>
      </c>
      <c r="M3232">
        <v>16.684070835148301</v>
      </c>
      <c r="N3232">
        <v>50.146150223127698</v>
      </c>
      <c r="O3232">
        <v>49.269817841698</v>
      </c>
      <c r="P3232">
        <v>-8.2268290083937406E-2</v>
      </c>
      <c r="Q3232">
        <v>2.8276961262540899E-2</v>
      </c>
      <c r="R3232">
        <v>0.99748846707070604</v>
      </c>
      <c r="S3232" t="s">
        <v>9634</v>
      </c>
      <c r="T3232" t="s">
        <v>12802</v>
      </c>
      <c r="U3232" t="s">
        <v>12802</v>
      </c>
      <c r="V3232" t="s">
        <v>12802</v>
      </c>
      <c r="W3232" t="s">
        <v>15984</v>
      </c>
      <c r="X3232">
        <v>9</v>
      </c>
      <c r="Y3232" t="s">
        <v>22234</v>
      </c>
      <c r="Z3232" t="s">
        <v>28550</v>
      </c>
      <c r="AA3232">
        <v>0.46573250726793491</v>
      </c>
      <c r="AB3232" t="str">
        <f>HYPERLINK("Melting_Curves/meltCurve_Q12986_NFX1.pdf", "Melting_Curves/meltCurve_Q12986_NFX1.pdf")</f>
        <v>Melting_Curves/meltCurve_Q12986_NFX1.pdf</v>
      </c>
    </row>
    <row r="3233" spans="1:28" x14ac:dyDescent="0.25">
      <c r="A3233" t="s">
        <v>3237</v>
      </c>
      <c r="B3233">
        <v>0.99542014353169495</v>
      </c>
      <c r="C3233">
        <v>0.89922402454262995</v>
      </c>
      <c r="D3233">
        <v>0.94606793941294398</v>
      </c>
      <c r="E3233">
        <v>0.78700555716209897</v>
      </c>
      <c r="F3233">
        <v>0.62339665007240896</v>
      </c>
      <c r="G3233">
        <v>0.211770431549478</v>
      </c>
      <c r="H3233">
        <v>0.113935334514996</v>
      </c>
      <c r="I3233">
        <v>8.1210690323394105E-2</v>
      </c>
      <c r="J3233">
        <v>9.4353043329560501E-2</v>
      </c>
      <c r="K3233">
        <v>0.101382516862405</v>
      </c>
      <c r="L3233">
        <v>988.04215970236601</v>
      </c>
      <c r="M3233">
        <v>19.6329989187922</v>
      </c>
      <c r="N3233">
        <v>50.671844962212298</v>
      </c>
      <c r="O3233">
        <v>49.812195047680198</v>
      </c>
      <c r="P3233">
        <v>-9.2352727470111307E-2</v>
      </c>
      <c r="Q3233">
        <v>6.2775690749954802E-2</v>
      </c>
      <c r="R3233">
        <v>0.98320290572354896</v>
      </c>
      <c r="S3233" t="s">
        <v>9635</v>
      </c>
      <c r="T3233" t="s">
        <v>12802</v>
      </c>
      <c r="U3233" t="s">
        <v>12802</v>
      </c>
      <c r="V3233" t="s">
        <v>12802</v>
      </c>
      <c r="W3233" t="s">
        <v>15985</v>
      </c>
      <c r="X3233">
        <v>16</v>
      </c>
      <c r="Y3233" t="s">
        <v>22235</v>
      </c>
      <c r="Z3233" t="s">
        <v>28551</v>
      </c>
      <c r="AA3233">
        <v>0.49180335940398062</v>
      </c>
      <c r="AB3233" t="str">
        <f>HYPERLINK("Melting_Curves/meltCurve_Q12996_CSTF3.pdf", "Melting_Curves/meltCurve_Q12996_CSTF3.pdf")</f>
        <v>Melting_Curves/meltCurve_Q12996_CSTF3.pdf</v>
      </c>
    </row>
    <row r="3234" spans="1:28" x14ac:dyDescent="0.25">
      <c r="A3234" t="s">
        <v>3238</v>
      </c>
      <c r="B3234">
        <v>0.99542014353169495</v>
      </c>
      <c r="C3234">
        <v>0.85252070152728499</v>
      </c>
      <c r="D3234">
        <v>0.89230184403103796</v>
      </c>
      <c r="E3234">
        <v>0.70290937267380205</v>
      </c>
      <c r="F3234">
        <v>0.54843748779371704</v>
      </c>
      <c r="G3234">
        <v>0.30777657917809298</v>
      </c>
      <c r="H3234">
        <v>6.9973477274786505E-2</v>
      </c>
      <c r="I3234">
        <v>4.55060988697467E-2</v>
      </c>
      <c r="J3234">
        <v>4.3304390461667702E-2</v>
      </c>
      <c r="K3234">
        <v>4.6110193237345401E-2</v>
      </c>
      <c r="L3234">
        <v>668.62146178965202</v>
      </c>
      <c r="M3234">
        <v>13.377334416598201</v>
      </c>
      <c r="N3234">
        <v>49.981676042674799</v>
      </c>
      <c r="O3234">
        <v>48.904376624640598</v>
      </c>
      <c r="P3234">
        <v>-6.8395967302974606E-2</v>
      </c>
      <c r="Q3234">
        <v>0</v>
      </c>
      <c r="R3234">
        <v>0.98083938655954594</v>
      </c>
      <c r="S3234" t="s">
        <v>9636</v>
      </c>
      <c r="T3234" t="s">
        <v>12802</v>
      </c>
      <c r="U3234" t="s">
        <v>12802</v>
      </c>
      <c r="V3234" t="s">
        <v>12802</v>
      </c>
      <c r="W3234" t="s">
        <v>15986</v>
      </c>
      <c r="X3234">
        <v>12</v>
      </c>
      <c r="Y3234" t="s">
        <v>22236</v>
      </c>
      <c r="Z3234" t="s">
        <v>28552</v>
      </c>
      <c r="AA3234">
        <v>0.45721448424123912</v>
      </c>
      <c r="AB3234" t="str">
        <f>HYPERLINK("Melting_Curves/meltCurve_Q13011_ECH1.pdf", "Melting_Curves/meltCurve_Q13011_ECH1.pdf")</f>
        <v>Melting_Curves/meltCurve_Q13011_ECH1.pdf</v>
      </c>
    </row>
    <row r="3235" spans="1:28" x14ac:dyDescent="0.25">
      <c r="A3235" t="s">
        <v>3239</v>
      </c>
      <c r="B3235">
        <v>0.99542014353169495</v>
      </c>
      <c r="C3235">
        <v>0.81318132449928204</v>
      </c>
      <c r="D3235">
        <v>0.68845300556058198</v>
      </c>
      <c r="E3235">
        <v>0.50681743289932901</v>
      </c>
      <c r="F3235">
        <v>0.267962492069937</v>
      </c>
      <c r="G3235">
        <v>0.16540040264973199</v>
      </c>
      <c r="H3235">
        <v>7.5524127863885807E-2</v>
      </c>
      <c r="I3235">
        <v>6.1439601095832803E-2</v>
      </c>
      <c r="J3235">
        <v>7.5031662941328001E-2</v>
      </c>
      <c r="K3235">
        <v>0.15216220766658001</v>
      </c>
      <c r="L3235">
        <v>582.78884406194197</v>
      </c>
      <c r="M3235">
        <v>12.8101993131326</v>
      </c>
      <c r="N3235">
        <v>45.949186431742802</v>
      </c>
      <c r="O3235">
        <v>44.4282416917017</v>
      </c>
      <c r="P3235">
        <v>-6.7802007350743307E-2</v>
      </c>
      <c r="Q3235">
        <v>5.9574175894055899E-2</v>
      </c>
      <c r="R3235">
        <v>0.98477800035088203</v>
      </c>
      <c r="S3235" t="s">
        <v>9637</v>
      </c>
      <c r="T3235" t="s">
        <v>12802</v>
      </c>
      <c r="U3235" t="s">
        <v>12802</v>
      </c>
      <c r="V3235" t="s">
        <v>12802</v>
      </c>
      <c r="W3235" t="s">
        <v>15987</v>
      </c>
      <c r="X3235">
        <v>2</v>
      </c>
      <c r="Y3235" t="s">
        <v>22237</v>
      </c>
      <c r="Z3235" t="s">
        <v>28553</v>
      </c>
      <c r="AA3235">
        <v>0.35547099980932167</v>
      </c>
      <c r="AB3235" t="str">
        <f>HYPERLINK("Melting_Curves/meltCurve_Q13015_MLLT11.pdf", "Melting_Curves/meltCurve_Q13015_MLLT11.pdf")</f>
        <v>Melting_Curves/meltCurve_Q13015_MLLT11.pdf</v>
      </c>
    </row>
    <row r="3236" spans="1:28" x14ac:dyDescent="0.25">
      <c r="A3236" t="s">
        <v>3240</v>
      </c>
      <c r="B3236">
        <v>0.99542014353169495</v>
      </c>
      <c r="C3236">
        <v>1.01156802926274</v>
      </c>
      <c r="D3236">
        <v>0.89488949440577303</v>
      </c>
      <c r="E3236">
        <v>0.56404727169255298</v>
      </c>
      <c r="F3236">
        <v>0.17719757304387501</v>
      </c>
      <c r="G3236">
        <v>0.115964598533926</v>
      </c>
      <c r="H3236">
        <v>6.1296539338116102E-2</v>
      </c>
      <c r="I3236">
        <v>4.7972774161922999E-2</v>
      </c>
      <c r="J3236">
        <v>4.3450326252303002E-2</v>
      </c>
      <c r="K3236">
        <v>4.84910201300063E-2</v>
      </c>
      <c r="L3236">
        <v>1181.07222873501</v>
      </c>
      <c r="M3236">
        <v>25.2254184568718</v>
      </c>
      <c r="N3236">
        <v>47.020924707429998</v>
      </c>
      <c r="O3236">
        <v>46.529453374224701</v>
      </c>
      <c r="P3236">
        <v>-0.12863509935108899</v>
      </c>
      <c r="Q3236">
        <v>5.09188822585325E-2</v>
      </c>
      <c r="R3236">
        <v>0.99856995119340897</v>
      </c>
      <c r="S3236" t="s">
        <v>9638</v>
      </c>
      <c r="T3236" t="s">
        <v>12802</v>
      </c>
      <c r="U3236" t="s">
        <v>12802</v>
      </c>
      <c r="V3236" t="s">
        <v>12802</v>
      </c>
      <c r="W3236" t="s">
        <v>15988</v>
      </c>
      <c r="X3236">
        <v>9</v>
      </c>
      <c r="Y3236" t="s">
        <v>22238</v>
      </c>
      <c r="Z3236" t="s">
        <v>28554</v>
      </c>
      <c r="AA3236">
        <v>0.36941494787692969</v>
      </c>
      <c r="AB3236" t="str">
        <f>HYPERLINK("Melting_Curves/meltCurve_Q13017_2_ARHGAP5.pdf", "Melting_Curves/meltCurve_Q13017_2_ARHGAP5.pdf")</f>
        <v>Melting_Curves/meltCurve_Q13017_2_ARHGAP5.pdf</v>
      </c>
    </row>
    <row r="3237" spans="1:28" x14ac:dyDescent="0.25">
      <c r="A3237" t="s">
        <v>3241</v>
      </c>
      <c r="B3237">
        <v>0.99542014353169495</v>
      </c>
      <c r="C3237">
        <v>0.83620936452293904</v>
      </c>
      <c r="D3237">
        <v>0.87067621078976198</v>
      </c>
      <c r="E3237">
        <v>0.64967720209154201</v>
      </c>
      <c r="F3237">
        <v>0.47425008585371198</v>
      </c>
      <c r="G3237">
        <v>0.22924943787618701</v>
      </c>
      <c r="H3237">
        <v>0.113857368190405</v>
      </c>
      <c r="I3237">
        <v>6.0378587570916097E-2</v>
      </c>
      <c r="J3237">
        <v>5.07675894407668E-2</v>
      </c>
      <c r="K3237">
        <v>6.4718044008118897E-2</v>
      </c>
      <c r="L3237">
        <v>595.67113650399995</v>
      </c>
      <c r="M3237">
        <v>12.158790768915701</v>
      </c>
      <c r="N3237">
        <v>48.990985040703599</v>
      </c>
      <c r="O3237">
        <v>47.722270473974</v>
      </c>
      <c r="P3237">
        <v>-6.3710172157332906E-2</v>
      </c>
      <c r="Q3237">
        <v>0</v>
      </c>
      <c r="R3237">
        <v>0.98685810171501498</v>
      </c>
      <c r="S3237" t="s">
        <v>9639</v>
      </c>
      <c r="T3237" t="s">
        <v>12802</v>
      </c>
      <c r="U3237" t="s">
        <v>12802</v>
      </c>
      <c r="V3237" t="s">
        <v>12802</v>
      </c>
      <c r="W3237" t="s">
        <v>15989</v>
      </c>
      <c r="X3237">
        <v>9</v>
      </c>
      <c r="Y3237" t="s">
        <v>22239</v>
      </c>
      <c r="Z3237" t="s">
        <v>28555</v>
      </c>
      <c r="AA3237">
        <v>0.42891749262653239</v>
      </c>
      <c r="AB3237" t="str">
        <f>HYPERLINK("Melting_Curves/meltCurve_Q13033_2_STRN3.pdf", "Melting_Curves/meltCurve_Q13033_2_STRN3.pdf")</f>
        <v>Melting_Curves/meltCurve_Q13033_2_STRN3.pdf</v>
      </c>
    </row>
    <row r="3238" spans="1:28" x14ac:dyDescent="0.25">
      <c r="A3238" t="s">
        <v>3242</v>
      </c>
      <c r="B3238">
        <v>0.99542014353169495</v>
      </c>
      <c r="C3238">
        <v>0.90117043014925502</v>
      </c>
      <c r="D3238">
        <v>1.05297291248693</v>
      </c>
      <c r="E3238">
        <v>0.78324650342868196</v>
      </c>
      <c r="F3238">
        <v>0.49364527509044198</v>
      </c>
      <c r="G3238">
        <v>0.271050093053671</v>
      </c>
      <c r="H3238">
        <v>0.15171282172763001</v>
      </c>
      <c r="I3238">
        <v>8.3548415090646894E-2</v>
      </c>
      <c r="J3238">
        <v>7.8680641840947002E-2</v>
      </c>
      <c r="K3238">
        <v>8.2531982215646907E-2</v>
      </c>
      <c r="L3238">
        <v>957.35588058436099</v>
      </c>
      <c r="M3238">
        <v>19.2105927613913</v>
      </c>
      <c r="N3238">
        <v>50.243022205770501</v>
      </c>
      <c r="O3238">
        <v>49.304207129520101</v>
      </c>
      <c r="P3238">
        <v>-9.0373373317116895E-2</v>
      </c>
      <c r="Q3238">
        <v>7.2258256867915094E-2</v>
      </c>
      <c r="R3238">
        <v>0.98747291772321599</v>
      </c>
      <c r="S3238" t="s">
        <v>9640</v>
      </c>
      <c r="T3238" t="s">
        <v>12802</v>
      </c>
      <c r="U3238" t="s">
        <v>12802</v>
      </c>
      <c r="V3238" t="s">
        <v>12802</v>
      </c>
      <c r="W3238" t="s">
        <v>15990</v>
      </c>
      <c r="X3238">
        <v>5</v>
      </c>
      <c r="Y3238" t="s">
        <v>22240</v>
      </c>
      <c r="Z3238" t="s">
        <v>28556</v>
      </c>
      <c r="AA3238">
        <v>0.48228277659235053</v>
      </c>
      <c r="AB3238" t="str">
        <f>HYPERLINK("Melting_Curves/meltCurve_Q13042_3_CDC16.pdf", "Melting_Curves/meltCurve_Q13042_3_CDC16.pdf")</f>
        <v>Melting_Curves/meltCurve_Q13042_3_CDC16.pdf</v>
      </c>
    </row>
    <row r="3239" spans="1:28" x14ac:dyDescent="0.25">
      <c r="A3239" t="s">
        <v>3243</v>
      </c>
      <c r="B3239">
        <v>0.99542014353169495</v>
      </c>
      <c r="C3239">
        <v>0.996317215584268</v>
      </c>
      <c r="D3239">
        <v>0.89676011670409095</v>
      </c>
      <c r="E3239">
        <v>0.81818003852242105</v>
      </c>
      <c r="F3239">
        <v>0.65699354749856798</v>
      </c>
      <c r="G3239">
        <v>0.441221638845889</v>
      </c>
      <c r="H3239">
        <v>0.18988545131887799</v>
      </c>
      <c r="I3239">
        <v>0.11340829282885199</v>
      </c>
      <c r="J3239">
        <v>0.10876521660695899</v>
      </c>
      <c r="K3239">
        <v>0.10567390824725301</v>
      </c>
      <c r="L3239">
        <v>711.15483262477005</v>
      </c>
      <c r="M3239">
        <v>13.676934150448901</v>
      </c>
      <c r="N3239">
        <v>52.234983224735402</v>
      </c>
      <c r="O3239">
        <v>50.922842720596599</v>
      </c>
      <c r="P3239">
        <v>-6.5123825276864097E-2</v>
      </c>
      <c r="Q3239">
        <v>3.0247661842720701E-2</v>
      </c>
      <c r="R3239">
        <v>0.99283731914988804</v>
      </c>
      <c r="S3239" t="s">
        <v>9641</v>
      </c>
      <c r="T3239" t="s">
        <v>12802</v>
      </c>
      <c r="U3239" t="s">
        <v>12802</v>
      </c>
      <c r="V3239" t="s">
        <v>12802</v>
      </c>
      <c r="W3239" t="s">
        <v>15991</v>
      </c>
      <c r="X3239">
        <v>17</v>
      </c>
      <c r="Y3239" t="s">
        <v>22241</v>
      </c>
      <c r="Z3239" t="s">
        <v>28557</v>
      </c>
      <c r="AA3239">
        <v>0.53551795307513639</v>
      </c>
      <c r="AB3239" t="str">
        <f>HYPERLINK("Melting_Curves/meltCurve_Q13043_STK4.pdf", "Melting_Curves/meltCurve_Q13043_STK4.pdf")</f>
        <v>Melting_Curves/meltCurve_Q13043_STK4.pdf</v>
      </c>
    </row>
    <row r="3240" spans="1:28" x14ac:dyDescent="0.25">
      <c r="A3240" t="s">
        <v>3244</v>
      </c>
      <c r="B3240">
        <v>0.99542014353169495</v>
      </c>
      <c r="C3240">
        <v>0.94827925275513003</v>
      </c>
      <c r="D3240">
        <v>0.92241935965993904</v>
      </c>
      <c r="E3240">
        <v>0.61933248261965002</v>
      </c>
      <c r="F3240">
        <v>0.18961750184387599</v>
      </c>
      <c r="G3240">
        <v>0.102419738568957</v>
      </c>
      <c r="H3240">
        <v>5.9996343142890297E-2</v>
      </c>
      <c r="I3240">
        <v>4.1180130136351599E-2</v>
      </c>
      <c r="J3240">
        <v>4.7551875734975199E-2</v>
      </c>
      <c r="K3240">
        <v>4.4827324342806903E-2</v>
      </c>
      <c r="L3240">
        <v>1247.1630247349599</v>
      </c>
      <c r="M3240">
        <v>26.414834152031801</v>
      </c>
      <c r="N3240">
        <v>47.390568932269197</v>
      </c>
      <c r="O3240">
        <v>46.946388501134798</v>
      </c>
      <c r="P3240">
        <v>-0.13409172405401901</v>
      </c>
      <c r="Q3240">
        <v>4.6739681397882399E-2</v>
      </c>
      <c r="R3240">
        <v>0.99800200810874495</v>
      </c>
      <c r="S3240" t="s">
        <v>9642</v>
      </c>
      <c r="T3240" t="s">
        <v>12802</v>
      </c>
      <c r="U3240" t="s">
        <v>12802</v>
      </c>
      <c r="V3240" t="s">
        <v>12802</v>
      </c>
      <c r="W3240" t="s">
        <v>15992</v>
      </c>
      <c r="X3240">
        <v>24</v>
      </c>
      <c r="Y3240" t="s">
        <v>22242</v>
      </c>
      <c r="Z3240" t="s">
        <v>28558</v>
      </c>
      <c r="AA3240">
        <v>0.37849892520498202</v>
      </c>
      <c r="AB3240" t="str">
        <f>HYPERLINK("Melting_Curves/meltCurve_Q13045_FLII.pdf", "Melting_Curves/meltCurve_Q13045_FLII.pdf")</f>
        <v>Melting_Curves/meltCurve_Q13045_FLII.pdf</v>
      </c>
    </row>
    <row r="3241" spans="1:28" x14ac:dyDescent="0.25">
      <c r="A3241" t="s">
        <v>3245</v>
      </c>
      <c r="B3241">
        <v>0.99542014353169495</v>
      </c>
      <c r="C3241">
        <v>1.1357124266946701</v>
      </c>
      <c r="D3241">
        <v>1.34823498397291</v>
      </c>
      <c r="E3241">
        <v>0.80281384487813801</v>
      </c>
      <c r="F3241">
        <v>0.53689032361418398</v>
      </c>
      <c r="G3241">
        <v>0.21123506760550601</v>
      </c>
      <c r="H3241">
        <v>0.121194461953761</v>
      </c>
      <c r="I3241">
        <v>7.90079412350463E-2</v>
      </c>
      <c r="J3241">
        <v>0.10522174764773</v>
      </c>
      <c r="K3241">
        <v>7.1262779698275797E-2</v>
      </c>
      <c r="L3241">
        <v>1347.0633837530099</v>
      </c>
      <c r="M3241">
        <v>26.931469854042401</v>
      </c>
      <c r="N3241">
        <v>50.372697974873702</v>
      </c>
      <c r="O3241">
        <v>49.744856612288899</v>
      </c>
      <c r="P3241">
        <v>-0.123664681672147</v>
      </c>
      <c r="Q3241">
        <v>8.6329884479904903E-2</v>
      </c>
      <c r="R3241">
        <v>0.92860906120404596</v>
      </c>
      <c r="S3241" t="s">
        <v>9643</v>
      </c>
      <c r="T3241" t="s">
        <v>12802</v>
      </c>
      <c r="U3241" t="s">
        <v>12802</v>
      </c>
      <c r="V3241" t="s">
        <v>12802</v>
      </c>
      <c r="W3241" t="s">
        <v>15993</v>
      </c>
      <c r="X3241">
        <v>24</v>
      </c>
      <c r="Y3241" t="s">
        <v>22242</v>
      </c>
      <c r="Z3241" t="s">
        <v>28559</v>
      </c>
      <c r="AA3241">
        <v>0.48973418157223231</v>
      </c>
      <c r="AB3241" t="str">
        <f>HYPERLINK("Melting_Curves/meltCurve_Q13045_2_FLII.pdf", "Melting_Curves/meltCurve_Q13045_2_FLII.pdf")</f>
        <v>Melting_Curves/meltCurve_Q13045_2_FLII.pdf</v>
      </c>
    </row>
    <row r="3242" spans="1:28" x14ac:dyDescent="0.25">
      <c r="A3242" t="s">
        <v>3246</v>
      </c>
      <c r="B3242">
        <v>0.99542014353169495</v>
      </c>
      <c r="C3242">
        <v>1.0926924770644899</v>
      </c>
      <c r="D3242">
        <v>0.99089971859344095</v>
      </c>
      <c r="E3242">
        <v>0.94154572482740895</v>
      </c>
      <c r="F3242">
        <v>0.32162453586434597</v>
      </c>
      <c r="G3242">
        <v>0.14229705701508299</v>
      </c>
      <c r="H3242">
        <v>8.6760006045662003E-2</v>
      </c>
      <c r="I3242">
        <v>4.5303097276988599E-2</v>
      </c>
      <c r="J3242">
        <v>4.3852939691048302E-2</v>
      </c>
      <c r="K3242">
        <v>3.8520235791997599E-2</v>
      </c>
      <c r="L3242">
        <v>2194.6319347379899</v>
      </c>
      <c r="M3242">
        <v>44.632479011260401</v>
      </c>
      <c r="N3242">
        <v>49.326260981884097</v>
      </c>
      <c r="O3242">
        <v>49.072781557268499</v>
      </c>
      <c r="P3242">
        <v>-0.21249539729210101</v>
      </c>
      <c r="Q3242">
        <v>6.5458486260429896E-2</v>
      </c>
      <c r="R3242">
        <v>0.99279062171366395</v>
      </c>
      <c r="S3242" t="s">
        <v>9644</v>
      </c>
      <c r="T3242" t="s">
        <v>12802</v>
      </c>
      <c r="U3242" t="s">
        <v>12802</v>
      </c>
      <c r="V3242" t="s">
        <v>12802</v>
      </c>
      <c r="W3242" t="s">
        <v>15994</v>
      </c>
      <c r="X3242">
        <v>15</v>
      </c>
      <c r="Y3242" t="s">
        <v>22243</v>
      </c>
      <c r="Z3242" t="s">
        <v>28560</v>
      </c>
      <c r="AA3242">
        <v>0.44715481641419619</v>
      </c>
      <c r="AB3242" t="str">
        <f>HYPERLINK("Melting_Curves/meltCurve_Q13057_COASY.pdf", "Melting_Curves/meltCurve_Q13057_COASY.pdf")</f>
        <v>Melting_Curves/meltCurve_Q13057_COASY.pdf</v>
      </c>
    </row>
    <row r="3243" spans="1:28" x14ac:dyDescent="0.25">
      <c r="A3243" t="s">
        <v>3247</v>
      </c>
      <c r="B3243">
        <v>0.99542014353169495</v>
      </c>
      <c r="C3243">
        <v>0.88417537501347299</v>
      </c>
      <c r="D3243">
        <v>0.81559759549136002</v>
      </c>
      <c r="E3243">
        <v>0.76846016472318401</v>
      </c>
      <c r="F3243">
        <v>0.39987685550277402</v>
      </c>
      <c r="G3243">
        <v>0.22933397156174501</v>
      </c>
      <c r="H3243">
        <v>0.19305807199393801</v>
      </c>
      <c r="I3243">
        <v>0.325726447455706</v>
      </c>
      <c r="J3243">
        <v>0.84880724680568598</v>
      </c>
      <c r="K3243">
        <v>1.4824405433800301</v>
      </c>
      <c r="L3243">
        <v>1061.17447913605</v>
      </c>
      <c r="M3243">
        <v>24.611810595398602</v>
      </c>
      <c r="O3243">
        <v>42.834849307816398</v>
      </c>
      <c r="P3243">
        <v>-5.8140575860900899E-2</v>
      </c>
      <c r="Q3243">
        <v>0.59525006916459999</v>
      </c>
      <c r="R3243">
        <v>0.133462329409548</v>
      </c>
      <c r="S3243" t="s">
        <v>9645</v>
      </c>
      <c r="T3243" t="s">
        <v>12802</v>
      </c>
      <c r="U3243" t="s">
        <v>12802</v>
      </c>
      <c r="V3243" t="s">
        <v>12802</v>
      </c>
      <c r="W3243" t="s">
        <v>15995</v>
      </c>
      <c r="X3243">
        <v>4</v>
      </c>
      <c r="Y3243" t="s">
        <v>22244</v>
      </c>
      <c r="Z3243" t="s">
        <v>28561</v>
      </c>
      <c r="AA3243">
        <v>0.68127318027742667</v>
      </c>
      <c r="AB3243" t="str">
        <f>HYPERLINK("Melting_Curves/meltCurve_Q13068_GAGE4.pdf", "Melting_Curves/meltCurve_Q13068_GAGE4.pdf")</f>
        <v>Melting_Curves/meltCurve_Q13068_GAGE4.pdf</v>
      </c>
    </row>
    <row r="3244" spans="1:28" x14ac:dyDescent="0.25">
      <c r="A3244" t="s">
        <v>3248</v>
      </c>
      <c r="B3244">
        <v>0.99542014353169495</v>
      </c>
      <c r="C3244">
        <v>1.0809014413250999</v>
      </c>
      <c r="D3244">
        <v>1.07677788460173</v>
      </c>
      <c r="E3244">
        <v>0.85469373068678001</v>
      </c>
      <c r="F3244">
        <v>0.83195632879538195</v>
      </c>
      <c r="G3244">
        <v>0.60289352968343202</v>
      </c>
      <c r="H3244">
        <v>0.46515239155188198</v>
      </c>
      <c r="I3244">
        <v>0.299859505002463</v>
      </c>
      <c r="J3244">
        <v>0.40284252113096702</v>
      </c>
      <c r="K3244">
        <v>0.59274154439141902</v>
      </c>
      <c r="L3244">
        <v>1200.70308530339</v>
      </c>
      <c r="M3244">
        <v>23.283448294468499</v>
      </c>
      <c r="N3244">
        <v>56.217503074413997</v>
      </c>
      <c r="O3244">
        <v>51.193069902558499</v>
      </c>
      <c r="P3244">
        <v>-6.51442859953998E-2</v>
      </c>
      <c r="Q3244">
        <v>0.42708203145617801</v>
      </c>
      <c r="R3244">
        <v>0.90108562500002898</v>
      </c>
      <c r="S3244" t="s">
        <v>9646</v>
      </c>
      <c r="T3244" t="s">
        <v>12802</v>
      </c>
      <c r="U3244" t="s">
        <v>12802</v>
      </c>
      <c r="V3244" t="s">
        <v>12802</v>
      </c>
      <c r="W3244" t="s">
        <v>15996</v>
      </c>
      <c r="X3244">
        <v>3</v>
      </c>
      <c r="Y3244" t="s">
        <v>22245</v>
      </c>
      <c r="Z3244" t="s">
        <v>28562</v>
      </c>
      <c r="AA3244">
        <v>0.71107044670509767</v>
      </c>
      <c r="AB3244" t="str">
        <f>HYPERLINK("Melting_Curves/meltCurve_Q13070_GAGE6.pdf", "Melting_Curves/meltCurve_Q13070_GAGE6.pdf")</f>
        <v>Melting_Curves/meltCurve_Q13070_GAGE6.pdf</v>
      </c>
    </row>
    <row r="3245" spans="1:28" x14ac:dyDescent="0.25">
      <c r="A3245" t="s">
        <v>3249</v>
      </c>
      <c r="B3245">
        <v>0.99542014353169495</v>
      </c>
      <c r="C3245">
        <v>0.80049509174709899</v>
      </c>
      <c r="D3245">
        <v>0.83169261329924105</v>
      </c>
      <c r="E3245">
        <v>0.36213083573364702</v>
      </c>
      <c r="F3245">
        <v>0.144300997081103</v>
      </c>
      <c r="G3245">
        <v>8.0723528184170501E-2</v>
      </c>
      <c r="H3245">
        <v>5.7672458116558703E-2</v>
      </c>
      <c r="I3245">
        <v>3.8468409827953597E-2</v>
      </c>
      <c r="J3245">
        <v>3.7598156070659201E-2</v>
      </c>
      <c r="K3245">
        <v>3.5844683336376103E-2</v>
      </c>
      <c r="L3245">
        <v>883.85691254063101</v>
      </c>
      <c r="M3245">
        <v>19.504955904310599</v>
      </c>
      <c r="N3245">
        <v>45.471831758867502</v>
      </c>
      <c r="O3245">
        <v>44.846224160265997</v>
      </c>
      <c r="P3245">
        <v>-0.105187815226058</v>
      </c>
      <c r="Q3245">
        <v>3.2634204973240599E-2</v>
      </c>
      <c r="R3245">
        <v>0.98044752249154998</v>
      </c>
      <c r="S3245" t="s">
        <v>9647</v>
      </c>
      <c r="T3245" t="s">
        <v>12802</v>
      </c>
      <c r="U3245" t="s">
        <v>12802</v>
      </c>
      <c r="V3245" t="s">
        <v>12802</v>
      </c>
      <c r="W3245" t="s">
        <v>15997</v>
      </c>
      <c r="X3245">
        <v>53</v>
      </c>
      <c r="Y3245" t="s">
        <v>22246</v>
      </c>
      <c r="Z3245" t="s">
        <v>28563</v>
      </c>
      <c r="AA3245">
        <v>0.31409494981034519</v>
      </c>
      <c r="AB3245" t="str">
        <f>HYPERLINK("Melting_Curves/meltCurve_Q13085_3_ACACA.pdf", "Melting_Curves/meltCurve_Q13085_3_ACACA.pdf")</f>
        <v>Melting_Curves/meltCurve_Q13085_3_ACACA.pdf</v>
      </c>
    </row>
    <row r="3246" spans="1:28" x14ac:dyDescent="0.25">
      <c r="A3246" t="s">
        <v>3250</v>
      </c>
      <c r="B3246">
        <v>0.99542014353169495</v>
      </c>
      <c r="C3246">
        <v>1.0091421718772899</v>
      </c>
      <c r="D3246">
        <v>0.95809535449070304</v>
      </c>
      <c r="E3246">
        <v>0.67043041750292398</v>
      </c>
      <c r="F3246">
        <v>0.25253453290111</v>
      </c>
      <c r="G3246">
        <v>0.137620780266269</v>
      </c>
      <c r="H3246">
        <v>7.6408813105928106E-2</v>
      </c>
      <c r="I3246">
        <v>4.6262352432318098E-2</v>
      </c>
      <c r="J3246">
        <v>4.9456922435241198E-2</v>
      </c>
      <c r="K3246">
        <v>4.6779939024912898E-2</v>
      </c>
      <c r="L3246">
        <v>1222.74283766708</v>
      </c>
      <c r="M3246">
        <v>25.611914053825799</v>
      </c>
      <c r="N3246">
        <v>47.961409981222303</v>
      </c>
      <c r="O3246">
        <v>47.452978890010002</v>
      </c>
      <c r="P3246">
        <v>-0.12744892406499</v>
      </c>
      <c r="Q3246">
        <v>5.5477481798336697E-2</v>
      </c>
      <c r="R3246">
        <v>0.99884111054556601</v>
      </c>
      <c r="S3246" t="s">
        <v>9648</v>
      </c>
      <c r="T3246" t="s">
        <v>12802</v>
      </c>
      <c r="U3246" t="s">
        <v>12802</v>
      </c>
      <c r="V3246" t="s">
        <v>12802</v>
      </c>
      <c r="W3246" t="s">
        <v>15998</v>
      </c>
      <c r="X3246">
        <v>12</v>
      </c>
      <c r="Y3246" t="s">
        <v>22247</v>
      </c>
      <c r="Z3246" t="s">
        <v>28564</v>
      </c>
      <c r="AA3246">
        <v>0.4012954981729307</v>
      </c>
      <c r="AB3246" t="str">
        <f>HYPERLINK("Melting_Curves/meltCurve_Q13094_LCP2.pdf", "Melting_Curves/meltCurve_Q13094_LCP2.pdf")</f>
        <v>Melting_Curves/meltCurve_Q13094_LCP2.pdf</v>
      </c>
    </row>
    <row r="3247" spans="1:28" x14ac:dyDescent="0.25">
      <c r="A3247" t="s">
        <v>3251</v>
      </c>
      <c r="B3247">
        <v>0.99542014353169495</v>
      </c>
      <c r="C3247">
        <v>1.0543948906990599</v>
      </c>
      <c r="D3247">
        <v>0.78681384390023501</v>
      </c>
      <c r="E3247">
        <v>0.80209852038432705</v>
      </c>
      <c r="F3247">
        <v>0.69634847268847899</v>
      </c>
      <c r="G3247">
        <v>0.34685863718162202</v>
      </c>
      <c r="H3247">
        <v>0.309520785304705</v>
      </c>
      <c r="I3247">
        <v>0.231097278306334</v>
      </c>
      <c r="J3247">
        <v>0.28278838233570702</v>
      </c>
      <c r="K3247">
        <v>0.17687159415008599</v>
      </c>
      <c r="L3247">
        <v>635.942233531738</v>
      </c>
      <c r="M3247">
        <v>12.573908076066701</v>
      </c>
      <c r="N3247">
        <v>52.207558101860698</v>
      </c>
      <c r="O3247">
        <v>49.348240056350001</v>
      </c>
      <c r="P3247">
        <v>-5.3363116124683703E-2</v>
      </c>
      <c r="Q3247">
        <v>0.162441616850415</v>
      </c>
      <c r="R3247">
        <v>0.95469092254124299</v>
      </c>
      <c r="S3247" t="s">
        <v>9649</v>
      </c>
      <c r="T3247" t="s">
        <v>12802</v>
      </c>
      <c r="U3247" t="s">
        <v>12802</v>
      </c>
      <c r="V3247" t="s">
        <v>12802</v>
      </c>
      <c r="W3247" t="s">
        <v>15999</v>
      </c>
      <c r="X3247">
        <v>4</v>
      </c>
      <c r="Y3247" t="s">
        <v>22248</v>
      </c>
      <c r="Z3247" t="s">
        <v>28565</v>
      </c>
      <c r="AA3247">
        <v>0.56287125312594244</v>
      </c>
      <c r="AB3247" t="str">
        <f>HYPERLINK("Melting_Curves/meltCurve_Q13107_2_USP4.pdf", "Melting_Curves/meltCurve_Q13107_2_USP4.pdf")</f>
        <v>Melting_Curves/meltCurve_Q13107_2_USP4.pdf</v>
      </c>
    </row>
    <row r="3248" spans="1:28" x14ac:dyDescent="0.25">
      <c r="A3248" t="s">
        <v>3252</v>
      </c>
      <c r="B3248">
        <v>0.99542014353169495</v>
      </c>
      <c r="C3248">
        <v>0.90962613119664903</v>
      </c>
      <c r="D3248">
        <v>0.86822773212505</v>
      </c>
      <c r="E3248">
        <v>0.39261507168036103</v>
      </c>
      <c r="F3248">
        <v>0.21324255603549899</v>
      </c>
      <c r="G3248">
        <v>0.100140768743398</v>
      </c>
      <c r="H3248">
        <v>7.3357088375166704E-2</v>
      </c>
      <c r="I3248">
        <v>5.9905508474875503E-2</v>
      </c>
      <c r="J3248">
        <v>7.4270491589950596E-2</v>
      </c>
      <c r="K3248">
        <v>9.13748748210607E-2</v>
      </c>
      <c r="L3248">
        <v>1079.8951986468401</v>
      </c>
      <c r="M3248">
        <v>23.6611754038335</v>
      </c>
      <c r="N3248">
        <v>45.9635315365678</v>
      </c>
      <c r="O3248">
        <v>45.317703477184203</v>
      </c>
      <c r="P3248">
        <v>-0.120517656904759</v>
      </c>
      <c r="Q3248">
        <v>7.6716592537656406E-2</v>
      </c>
      <c r="R3248">
        <v>0.99338257527541296</v>
      </c>
      <c r="S3248" t="s">
        <v>9650</v>
      </c>
      <c r="T3248" t="s">
        <v>12802</v>
      </c>
      <c r="U3248" t="s">
        <v>12802</v>
      </c>
      <c r="V3248" t="s">
        <v>12802</v>
      </c>
      <c r="W3248" t="s">
        <v>16000</v>
      </c>
      <c r="X3248">
        <v>10</v>
      </c>
      <c r="Y3248" t="s">
        <v>22249</v>
      </c>
      <c r="Z3248" t="s">
        <v>28566</v>
      </c>
      <c r="AA3248">
        <v>0.3511587861121731</v>
      </c>
      <c r="AB3248" t="str">
        <f>HYPERLINK("Melting_Curves/meltCurve_Q13111_CHAF1A.pdf", "Melting_Curves/meltCurve_Q13111_CHAF1A.pdf")</f>
        <v>Melting_Curves/meltCurve_Q13111_CHAF1A.pdf</v>
      </c>
    </row>
    <row r="3249" spans="1:28" x14ac:dyDescent="0.25">
      <c r="A3249" t="s">
        <v>3253</v>
      </c>
      <c r="B3249">
        <v>0.99542014353169495</v>
      </c>
      <c r="C3249">
        <v>1.05656891369784</v>
      </c>
      <c r="D3249">
        <v>1.0229397988937401</v>
      </c>
      <c r="E3249">
        <v>1.0849187522624899</v>
      </c>
      <c r="F3249">
        <v>1.0978748064078101</v>
      </c>
      <c r="G3249">
        <v>1.00973212531665</v>
      </c>
      <c r="H3249">
        <v>0.67830887514871896</v>
      </c>
      <c r="I3249">
        <v>0.372396344672283</v>
      </c>
      <c r="J3249">
        <v>0.13397502944230799</v>
      </c>
      <c r="K3249">
        <v>8.3956037498201894E-2</v>
      </c>
      <c r="L3249">
        <v>1701.2643708189601</v>
      </c>
      <c r="M3249">
        <v>28.7430203211776</v>
      </c>
      <c r="N3249">
        <v>59.425883282186703</v>
      </c>
      <c r="O3249">
        <v>58.904501043528299</v>
      </c>
      <c r="P3249">
        <v>-0.11538204566785799</v>
      </c>
      <c r="Q3249">
        <v>5.4174649851941502E-2</v>
      </c>
      <c r="R3249">
        <v>0.98063214058719606</v>
      </c>
      <c r="S3249" t="s">
        <v>9651</v>
      </c>
      <c r="T3249" t="s">
        <v>12802</v>
      </c>
      <c r="U3249" t="s">
        <v>12802</v>
      </c>
      <c r="V3249" t="s">
        <v>12802</v>
      </c>
      <c r="W3249" t="s">
        <v>16001</v>
      </c>
      <c r="X3249">
        <v>10</v>
      </c>
      <c r="Y3249" t="s">
        <v>22250</v>
      </c>
      <c r="Z3249" t="s">
        <v>28567</v>
      </c>
      <c r="AA3249">
        <v>0.75816618230718014</v>
      </c>
      <c r="AB3249" t="str">
        <f>HYPERLINK("Melting_Curves/meltCurve_Q13112_CHAF1B.pdf", "Melting_Curves/meltCurve_Q13112_CHAF1B.pdf")</f>
        <v>Melting_Curves/meltCurve_Q13112_CHAF1B.pdf</v>
      </c>
    </row>
    <row r="3250" spans="1:28" x14ac:dyDescent="0.25">
      <c r="A3250" t="s">
        <v>3254</v>
      </c>
      <c r="B3250">
        <v>0.99542014353169495</v>
      </c>
      <c r="C3250">
        <v>0.97188263336355896</v>
      </c>
      <c r="D3250">
        <v>1.1166407501003599</v>
      </c>
      <c r="E3250">
        <v>0.81095878311622405</v>
      </c>
      <c r="F3250">
        <v>0.23522402412497001</v>
      </c>
      <c r="G3250">
        <v>0.13255177323015299</v>
      </c>
      <c r="H3250">
        <v>7.6507116333216801E-2</v>
      </c>
      <c r="I3250">
        <v>5.9600004079189903E-2</v>
      </c>
      <c r="J3250">
        <v>6.9917706964503307E-2</v>
      </c>
      <c r="K3250">
        <v>9.5362798167571303E-2</v>
      </c>
      <c r="L3250">
        <v>1972.09427123245</v>
      </c>
      <c r="M3250">
        <v>40.910384245877999</v>
      </c>
      <c r="N3250">
        <v>48.422274285026901</v>
      </c>
      <c r="O3250">
        <v>48.090474365012902</v>
      </c>
      <c r="P3250">
        <v>-0.19485933171214501</v>
      </c>
      <c r="Q3250">
        <v>8.3767139548349301E-2</v>
      </c>
      <c r="R3250">
        <v>0.990115787453411</v>
      </c>
      <c r="S3250" t="s">
        <v>9652</v>
      </c>
      <c r="T3250" t="s">
        <v>12802</v>
      </c>
      <c r="U3250" t="s">
        <v>12802</v>
      </c>
      <c r="V3250" t="s">
        <v>12802</v>
      </c>
      <c r="W3250" t="s">
        <v>16002</v>
      </c>
      <c r="X3250">
        <v>18</v>
      </c>
      <c r="Y3250" t="s">
        <v>22251</v>
      </c>
      <c r="Z3250" t="s">
        <v>28568</v>
      </c>
      <c r="AA3250">
        <v>0.42890458645665042</v>
      </c>
      <c r="AB3250" t="str">
        <f>HYPERLINK("Melting_Curves/meltCurve_Q13123_IK.pdf", "Melting_Curves/meltCurve_Q13123_IK.pdf")</f>
        <v>Melting_Curves/meltCurve_Q13123_IK.pdf</v>
      </c>
    </row>
    <row r="3251" spans="1:28" x14ac:dyDescent="0.25">
      <c r="A3251" t="s">
        <v>3255</v>
      </c>
      <c r="B3251">
        <v>0.99542014353169495</v>
      </c>
      <c r="C3251">
        <v>0.93387697226645106</v>
      </c>
      <c r="D3251">
        <v>0.92259281582512997</v>
      </c>
      <c r="E3251">
        <v>0.71670378927357403</v>
      </c>
      <c r="F3251">
        <v>0.49158403244878401</v>
      </c>
      <c r="G3251">
        <v>0.24048538302806399</v>
      </c>
      <c r="H3251">
        <v>9.0568988186427099E-2</v>
      </c>
      <c r="I3251">
        <v>3.8636349577639902E-2</v>
      </c>
      <c r="J3251">
        <v>5.1471116997709697E-2</v>
      </c>
      <c r="K3251">
        <v>4.3777785983865398E-2</v>
      </c>
      <c r="L3251">
        <v>751.666178506248</v>
      </c>
      <c r="M3251">
        <v>15.1252038951651</v>
      </c>
      <c r="N3251">
        <v>49.716892209988998</v>
      </c>
      <c r="O3251">
        <v>48.851846236525198</v>
      </c>
      <c r="P3251">
        <v>-7.7169051891859394E-2</v>
      </c>
      <c r="Q3251">
        <v>3.1256477425421099E-3</v>
      </c>
      <c r="R3251">
        <v>0.99673638587555302</v>
      </c>
      <c r="S3251" t="s">
        <v>9653</v>
      </c>
      <c r="T3251" t="s">
        <v>12802</v>
      </c>
      <c r="U3251" t="s">
        <v>12802</v>
      </c>
      <c r="V3251" t="s">
        <v>12802</v>
      </c>
      <c r="W3251" t="s">
        <v>16003</v>
      </c>
      <c r="X3251">
        <v>15</v>
      </c>
      <c r="Y3251" t="s">
        <v>22252</v>
      </c>
      <c r="Z3251" t="s">
        <v>28569</v>
      </c>
      <c r="AA3251">
        <v>0.44578918817806201</v>
      </c>
      <c r="AB3251" t="str">
        <f>HYPERLINK("Melting_Curves/meltCurve_Q13131_PRKAA1.pdf", "Melting_Curves/meltCurve_Q13131_PRKAA1.pdf")</f>
        <v>Melting_Curves/meltCurve_Q13131_PRKAA1.pdf</v>
      </c>
    </row>
    <row r="3252" spans="1:28" x14ac:dyDescent="0.25">
      <c r="A3252" t="s">
        <v>3256</v>
      </c>
      <c r="B3252">
        <v>0.99542014353169495</v>
      </c>
      <c r="C3252">
        <v>0.99034361774757496</v>
      </c>
      <c r="D3252">
        <v>0.82806617408084204</v>
      </c>
      <c r="E3252">
        <v>0.57824406553048502</v>
      </c>
      <c r="F3252">
        <v>0.31377755584959499</v>
      </c>
      <c r="G3252">
        <v>0.27563941217032201</v>
      </c>
      <c r="H3252">
        <v>0.15640632049723499</v>
      </c>
      <c r="I3252">
        <v>0.128779859001945</v>
      </c>
      <c r="J3252">
        <v>0.225443019675447</v>
      </c>
      <c r="K3252">
        <v>0.34973926582633802</v>
      </c>
      <c r="L3252">
        <v>980.96882439352999</v>
      </c>
      <c r="M3252">
        <v>21.320764698352701</v>
      </c>
      <c r="N3252">
        <v>47.2626561549963</v>
      </c>
      <c r="O3252">
        <v>45.610986636674902</v>
      </c>
      <c r="P3252">
        <v>-9.1640469292680896E-2</v>
      </c>
      <c r="Q3252">
        <v>0.215842834262747</v>
      </c>
      <c r="R3252">
        <v>0.96756398753782702</v>
      </c>
      <c r="S3252" t="s">
        <v>9654</v>
      </c>
      <c r="T3252" t="s">
        <v>12802</v>
      </c>
      <c r="U3252" t="s">
        <v>12802</v>
      </c>
      <c r="V3252" t="s">
        <v>12802</v>
      </c>
      <c r="W3252" t="s">
        <v>16004</v>
      </c>
      <c r="X3252">
        <v>20</v>
      </c>
      <c r="Y3252" t="s">
        <v>22253</v>
      </c>
      <c r="Z3252" t="s">
        <v>28570</v>
      </c>
      <c r="AA3252">
        <v>0.46035306867590309</v>
      </c>
      <c r="AB3252" t="str">
        <f>HYPERLINK("Melting_Curves/meltCurve_Q13136_PPFIA1.pdf", "Melting_Curves/meltCurve_Q13136_PPFIA1.pdf")</f>
        <v>Melting_Curves/meltCurve_Q13136_PPFIA1.pdf</v>
      </c>
    </row>
    <row r="3253" spans="1:28" x14ac:dyDescent="0.25">
      <c r="A3253" t="s">
        <v>3257</v>
      </c>
      <c r="B3253">
        <v>0.99542014353169495</v>
      </c>
      <c r="C3253">
        <v>0.87493519474036097</v>
      </c>
      <c r="D3253">
        <v>0.48517765882414299</v>
      </c>
      <c r="E3253">
        <v>0.206017274845123</v>
      </c>
      <c r="F3253">
        <v>0.12419692643534901</v>
      </c>
      <c r="G3253">
        <v>7.7784775362429698E-2</v>
      </c>
      <c r="H3253">
        <v>4.6920200218386297E-2</v>
      </c>
      <c r="I3253">
        <v>3.84156616141582E-2</v>
      </c>
      <c r="J3253">
        <v>4.1563233770365797E-2</v>
      </c>
      <c r="K3253">
        <v>4.5492885465559699E-2</v>
      </c>
      <c r="L3253">
        <v>961.48719673988501</v>
      </c>
      <c r="M3253">
        <v>22.419650271552499</v>
      </c>
      <c r="N3253">
        <v>43.107563412489</v>
      </c>
      <c r="O3253">
        <v>42.549074273273398</v>
      </c>
      <c r="P3253">
        <v>-0.124560017816879</v>
      </c>
      <c r="Q3253">
        <v>5.4435677030937601E-2</v>
      </c>
      <c r="R3253">
        <v>0.99654868058728696</v>
      </c>
      <c r="S3253" t="s">
        <v>9655</v>
      </c>
      <c r="T3253" t="s">
        <v>12802</v>
      </c>
      <c r="U3253" t="s">
        <v>12802</v>
      </c>
      <c r="V3253" t="s">
        <v>12802</v>
      </c>
      <c r="W3253" t="s">
        <v>16005</v>
      </c>
      <c r="X3253">
        <v>8</v>
      </c>
      <c r="Y3253" t="s">
        <v>22254</v>
      </c>
      <c r="Z3253" t="s">
        <v>28571</v>
      </c>
      <c r="AA3253">
        <v>0.25016917098258029</v>
      </c>
      <c r="AB3253" t="str">
        <f>HYPERLINK("Melting_Curves/meltCurve_Q13148_TARDBP.pdf", "Melting_Curves/meltCurve_Q13148_TARDBP.pdf")</f>
        <v>Melting_Curves/meltCurve_Q13148_TARDBP.pdf</v>
      </c>
    </row>
    <row r="3254" spans="1:28" x14ac:dyDescent="0.25">
      <c r="A3254" t="s">
        <v>3258</v>
      </c>
      <c r="B3254">
        <v>0.99542014353169495</v>
      </c>
      <c r="C3254">
        <v>0.977930571686767</v>
      </c>
      <c r="D3254">
        <v>0.99132322288029895</v>
      </c>
      <c r="E3254">
        <v>0.44947157648243602</v>
      </c>
      <c r="F3254">
        <v>0.200843645845658</v>
      </c>
      <c r="G3254">
        <v>0.100804864992624</v>
      </c>
      <c r="H3254">
        <v>6.15584821705559E-2</v>
      </c>
      <c r="I3254">
        <v>4.3750513994910499E-2</v>
      </c>
      <c r="J3254">
        <v>5.0543536483864997E-2</v>
      </c>
      <c r="K3254">
        <v>5.1588358823468697E-2</v>
      </c>
      <c r="L3254">
        <v>1518.31269243469</v>
      </c>
      <c r="M3254">
        <v>32.794957851000497</v>
      </c>
      <c r="N3254">
        <v>46.505524899475098</v>
      </c>
      <c r="O3254">
        <v>46.126014217612898</v>
      </c>
      <c r="P3254">
        <v>-0.165600541617416</v>
      </c>
      <c r="Q3254">
        <v>6.8337574113486094E-2</v>
      </c>
      <c r="R3254">
        <v>0.99314946918359004</v>
      </c>
      <c r="S3254" t="s">
        <v>9656</v>
      </c>
      <c r="T3254" t="s">
        <v>12802</v>
      </c>
      <c r="U3254" t="s">
        <v>12802</v>
      </c>
      <c r="V3254" t="s">
        <v>12802</v>
      </c>
      <c r="W3254" t="s">
        <v>16006</v>
      </c>
      <c r="X3254">
        <v>4</v>
      </c>
      <c r="Y3254" t="s">
        <v>22255</v>
      </c>
      <c r="Z3254" t="s">
        <v>28572</v>
      </c>
      <c r="AA3254">
        <v>0.36152331879600391</v>
      </c>
      <c r="AB3254" t="str">
        <f>HYPERLINK("Melting_Curves/meltCurve_Q13151_HNRNPA0.pdf", "Melting_Curves/meltCurve_Q13151_HNRNPA0.pdf")</f>
        <v>Melting_Curves/meltCurve_Q13151_HNRNPA0.pdf</v>
      </c>
    </row>
    <row r="3255" spans="1:28" x14ac:dyDescent="0.25">
      <c r="A3255" t="s">
        <v>3259</v>
      </c>
      <c r="B3255">
        <v>0.99542014353169495</v>
      </c>
      <c r="C3255">
        <v>0.920425431939493</v>
      </c>
      <c r="D3255">
        <v>0.80996764608363903</v>
      </c>
      <c r="E3255">
        <v>0.334876952413863</v>
      </c>
      <c r="F3255">
        <v>0.166953917286595</v>
      </c>
      <c r="G3255">
        <v>0.10555364472211499</v>
      </c>
      <c r="H3255">
        <v>6.5487868579861302E-2</v>
      </c>
      <c r="I3255">
        <v>5.3963627228612102E-2</v>
      </c>
      <c r="J3255">
        <v>4.9878383616339297E-2</v>
      </c>
      <c r="K3255">
        <v>4.6599502444518798E-2</v>
      </c>
      <c r="L3255">
        <v>1061.18278613452</v>
      </c>
      <c r="M3255">
        <v>23.503564739826601</v>
      </c>
      <c r="N3255">
        <v>45.396423042568998</v>
      </c>
      <c r="O3255">
        <v>44.826832476255603</v>
      </c>
      <c r="P3255">
        <v>-0.123227523781202</v>
      </c>
      <c r="Q3255">
        <v>5.9920556201802498E-2</v>
      </c>
      <c r="R3255">
        <v>0.99634313930704699</v>
      </c>
      <c r="S3255" t="s">
        <v>9657</v>
      </c>
      <c r="T3255" t="s">
        <v>12802</v>
      </c>
      <c r="U3255" t="s">
        <v>12802</v>
      </c>
      <c r="V3255" t="s">
        <v>12802</v>
      </c>
      <c r="W3255" t="s">
        <v>16007</v>
      </c>
      <c r="X3255">
        <v>6</v>
      </c>
      <c r="Y3255" t="s">
        <v>22256</v>
      </c>
      <c r="Z3255" t="s">
        <v>28573</v>
      </c>
      <c r="AA3255">
        <v>0.32409559475214539</v>
      </c>
      <c r="AB3255" t="str">
        <f>HYPERLINK("Melting_Curves/meltCurve_Q13155_AIMP2.pdf", "Melting_Curves/meltCurve_Q13155_AIMP2.pdf")</f>
        <v>Melting_Curves/meltCurve_Q13155_AIMP2.pdf</v>
      </c>
    </row>
    <row r="3256" spans="1:28" x14ac:dyDescent="0.25">
      <c r="A3256" t="s">
        <v>3260</v>
      </c>
      <c r="B3256">
        <v>0.99542014353169495</v>
      </c>
      <c r="C3256">
        <v>1.1085558680352801</v>
      </c>
      <c r="D3256">
        <v>0.92043312918514697</v>
      </c>
      <c r="E3256">
        <v>0.62913807774809305</v>
      </c>
      <c r="F3256">
        <v>0.18617454070519199</v>
      </c>
      <c r="G3256">
        <v>0.100178834384717</v>
      </c>
      <c r="H3256">
        <v>5.0377743407206403E-2</v>
      </c>
      <c r="I3256">
        <v>3.30537212510729E-2</v>
      </c>
      <c r="J3256">
        <v>4.6185894515267903E-2</v>
      </c>
      <c r="K3256">
        <v>4.6282819647029703E-2</v>
      </c>
      <c r="L3256">
        <v>1352.40491440449</v>
      </c>
      <c r="M3256">
        <v>28.601337342260901</v>
      </c>
      <c r="N3256">
        <v>47.444635279411997</v>
      </c>
      <c r="O3256">
        <v>47.055351634045202</v>
      </c>
      <c r="P3256">
        <v>-0.14497270465610401</v>
      </c>
      <c r="Q3256">
        <v>4.5962826621367303E-2</v>
      </c>
      <c r="R3256">
        <v>0.99195086237490404</v>
      </c>
      <c r="S3256" t="s">
        <v>9658</v>
      </c>
      <c r="T3256" t="s">
        <v>12802</v>
      </c>
      <c r="U3256" t="s">
        <v>12802</v>
      </c>
      <c r="V3256" t="s">
        <v>12802</v>
      </c>
      <c r="W3256" t="s">
        <v>16008</v>
      </c>
      <c r="X3256">
        <v>9</v>
      </c>
      <c r="Y3256" t="s">
        <v>22257</v>
      </c>
      <c r="Z3256" t="s">
        <v>28574</v>
      </c>
      <c r="AA3256">
        <v>0.37916664957481988</v>
      </c>
      <c r="AB3256" t="str">
        <f>HYPERLINK("Melting_Curves/meltCurve_Q13158_FADD.pdf", "Melting_Curves/meltCurve_Q13158_FADD.pdf")</f>
        <v>Melting_Curves/meltCurve_Q13158_FADD.pdf</v>
      </c>
    </row>
    <row r="3257" spans="1:28" x14ac:dyDescent="0.25">
      <c r="A3257" t="s">
        <v>3261</v>
      </c>
      <c r="B3257">
        <v>0.99542014353169495</v>
      </c>
      <c r="C3257">
        <v>0.86216104003017202</v>
      </c>
      <c r="D3257">
        <v>0.92275966492911499</v>
      </c>
      <c r="E3257">
        <v>0.787636261765012</v>
      </c>
      <c r="F3257">
        <v>0.68636679011653101</v>
      </c>
      <c r="G3257">
        <v>0.43510506640975</v>
      </c>
      <c r="H3257">
        <v>0.40422016568610197</v>
      </c>
      <c r="I3257">
        <v>0.420454965928998</v>
      </c>
      <c r="J3257">
        <v>0.60692427987200004</v>
      </c>
      <c r="K3257">
        <v>0.71399460539301296</v>
      </c>
      <c r="L3257">
        <v>962.41269106811603</v>
      </c>
      <c r="M3257">
        <v>20.539794026256398</v>
      </c>
      <c r="O3257">
        <v>46.418644314950903</v>
      </c>
      <c r="P3257">
        <v>-5.3127082503141597E-2</v>
      </c>
      <c r="Q3257">
        <v>0.51975859529179202</v>
      </c>
      <c r="R3257">
        <v>0.74457209044952</v>
      </c>
      <c r="S3257" t="s">
        <v>9659</v>
      </c>
      <c r="T3257" t="s">
        <v>12802</v>
      </c>
      <c r="U3257" t="s">
        <v>12802</v>
      </c>
      <c r="V3257" t="s">
        <v>12802</v>
      </c>
      <c r="W3257" t="s">
        <v>16009</v>
      </c>
      <c r="X3257">
        <v>13</v>
      </c>
      <c r="Y3257" t="s">
        <v>22258</v>
      </c>
      <c r="Z3257" t="s">
        <v>28575</v>
      </c>
      <c r="AA3257">
        <v>0.68349696152388617</v>
      </c>
      <c r="AB3257" t="str">
        <f>HYPERLINK("Melting_Curves/meltCurve_Q13162_PRDX4.pdf", "Melting_Curves/meltCurve_Q13162_PRDX4.pdf")</f>
        <v>Melting_Curves/meltCurve_Q13162_PRDX4.pdf</v>
      </c>
    </row>
    <row r="3258" spans="1:28" x14ac:dyDescent="0.25">
      <c r="A3258" t="s">
        <v>3262</v>
      </c>
      <c r="B3258">
        <v>0.99542014353169495</v>
      </c>
      <c r="C3258">
        <v>0.945268910421035</v>
      </c>
      <c r="D3258">
        <v>0.83857651215422901</v>
      </c>
      <c r="E3258">
        <v>0.55164403887080904</v>
      </c>
      <c r="F3258">
        <v>0.17867736587209901</v>
      </c>
      <c r="G3258">
        <v>9.5450139771627293E-2</v>
      </c>
      <c r="H3258">
        <v>0.128528716174235</v>
      </c>
      <c r="I3258">
        <v>9.1360506371240296E-2</v>
      </c>
      <c r="J3258">
        <v>5.5357647415284698E-2</v>
      </c>
      <c r="K3258">
        <v>4.9963886483967802E-2</v>
      </c>
      <c r="L3258">
        <v>1008.00337576214</v>
      </c>
      <c r="M3258">
        <v>21.708421512689998</v>
      </c>
      <c r="N3258">
        <v>46.741183815148098</v>
      </c>
      <c r="O3258">
        <v>46.045094400670202</v>
      </c>
      <c r="P3258">
        <v>-0.110026066747463</v>
      </c>
      <c r="Q3258">
        <v>6.6529509610736795E-2</v>
      </c>
      <c r="R3258">
        <v>0.99457397318811103</v>
      </c>
      <c r="S3258" t="s">
        <v>9660</v>
      </c>
      <c r="T3258" t="s">
        <v>12802</v>
      </c>
      <c r="U3258" t="s">
        <v>12802</v>
      </c>
      <c r="V3258" t="s">
        <v>12802</v>
      </c>
      <c r="W3258" t="s">
        <v>16010</v>
      </c>
      <c r="X3258">
        <v>4</v>
      </c>
      <c r="Y3258" t="s">
        <v>22259</v>
      </c>
      <c r="Z3258" t="s">
        <v>28576</v>
      </c>
      <c r="AA3258">
        <v>0.37042016572714931</v>
      </c>
      <c r="AB3258" t="str">
        <f>HYPERLINK("Melting_Curves/meltCurve_Q13164_MAPK7.pdf", "Melting_Curves/meltCurve_Q13164_MAPK7.pdf")</f>
        <v>Melting_Curves/meltCurve_Q13164_MAPK7.pdf</v>
      </c>
    </row>
    <row r="3259" spans="1:28" x14ac:dyDescent="0.25">
      <c r="A3259" t="s">
        <v>3263</v>
      </c>
      <c r="B3259">
        <v>0.99542014353169495</v>
      </c>
      <c r="C3259">
        <v>1.03595456958708</v>
      </c>
      <c r="D3259">
        <v>1.03326568267297</v>
      </c>
      <c r="E3259">
        <v>1.0342455849113801</v>
      </c>
      <c r="F3259">
        <v>0.87972458582980095</v>
      </c>
      <c r="G3259">
        <v>0.72168946453188998</v>
      </c>
      <c r="H3259">
        <v>0.27105155490916399</v>
      </c>
      <c r="I3259">
        <v>7.0654951576416394E-2</v>
      </c>
      <c r="J3259">
        <v>5.5998592327746802E-2</v>
      </c>
      <c r="K3259">
        <v>5.7450896210107003E-2</v>
      </c>
      <c r="L3259">
        <v>1585.7794669807499</v>
      </c>
      <c r="M3259">
        <v>28.7040425852651</v>
      </c>
      <c r="N3259">
        <v>55.378961522484303</v>
      </c>
      <c r="O3259">
        <v>54.979799326211399</v>
      </c>
      <c r="P3259">
        <v>-0.126171319041327</v>
      </c>
      <c r="Q3259">
        <v>3.3331991816082103E-2</v>
      </c>
      <c r="R3259">
        <v>0.99418536623852705</v>
      </c>
      <c r="S3259" t="s">
        <v>9661</v>
      </c>
      <c r="T3259" t="s">
        <v>12802</v>
      </c>
      <c r="U3259" t="s">
        <v>12802</v>
      </c>
      <c r="V3259" t="s">
        <v>12802</v>
      </c>
      <c r="W3259" t="s">
        <v>16011</v>
      </c>
      <c r="X3259">
        <v>29</v>
      </c>
      <c r="Y3259" t="s">
        <v>22260</v>
      </c>
      <c r="Z3259" t="s">
        <v>28577</v>
      </c>
      <c r="AA3259">
        <v>0.62783811867145767</v>
      </c>
      <c r="AB3259" t="str">
        <f>HYPERLINK("Melting_Curves/meltCurve_Q13177_PAK2.pdf", "Melting_Curves/meltCurve_Q13177_PAK2.pdf")</f>
        <v>Melting_Curves/meltCurve_Q13177_PAK2.pdf</v>
      </c>
    </row>
    <row r="3260" spans="1:28" x14ac:dyDescent="0.25">
      <c r="A3260" t="s">
        <v>3264</v>
      </c>
      <c r="B3260">
        <v>0.99542014353169495</v>
      </c>
      <c r="C3260">
        <v>0.99995617813189897</v>
      </c>
      <c r="D3260">
        <v>0.96142696893711199</v>
      </c>
      <c r="E3260">
        <v>0.84244435802183604</v>
      </c>
      <c r="F3260">
        <v>0.40471267345018702</v>
      </c>
      <c r="G3260">
        <v>0.14679009611716101</v>
      </c>
      <c r="H3260">
        <v>8.0827097994275995E-2</v>
      </c>
      <c r="I3260">
        <v>5.84958503940037E-2</v>
      </c>
      <c r="J3260">
        <v>6.8961427515860804E-2</v>
      </c>
      <c r="K3260">
        <v>7.5797894620486403E-2</v>
      </c>
      <c r="L3260">
        <v>1368.02985019537</v>
      </c>
      <c r="M3260">
        <v>27.803564027737401</v>
      </c>
      <c r="N3260">
        <v>49.452614114902801</v>
      </c>
      <c r="O3260">
        <v>48.950977920185103</v>
      </c>
      <c r="P3260">
        <v>-0.132715705663495</v>
      </c>
      <c r="Q3260">
        <v>6.5370760705883602E-2</v>
      </c>
      <c r="R3260">
        <v>0.99954016565856496</v>
      </c>
      <c r="S3260" t="s">
        <v>9662</v>
      </c>
      <c r="T3260" t="s">
        <v>12802</v>
      </c>
      <c r="U3260" t="s">
        <v>12802</v>
      </c>
      <c r="V3260" t="s">
        <v>12802</v>
      </c>
      <c r="W3260" t="s">
        <v>16012</v>
      </c>
      <c r="X3260">
        <v>9</v>
      </c>
      <c r="Y3260" t="s">
        <v>22261</v>
      </c>
      <c r="Z3260" t="s">
        <v>28578</v>
      </c>
      <c r="AA3260">
        <v>0.4521368838525967</v>
      </c>
      <c r="AB3260" t="str">
        <f>HYPERLINK("Melting_Curves/meltCurve_Q13185_CBX3.pdf", "Melting_Curves/meltCurve_Q13185_CBX3.pdf")</f>
        <v>Melting_Curves/meltCurve_Q13185_CBX3.pdf</v>
      </c>
    </row>
    <row r="3261" spans="1:28" x14ac:dyDescent="0.25">
      <c r="A3261" t="s">
        <v>3265</v>
      </c>
      <c r="B3261">
        <v>0.99542014353169495</v>
      </c>
      <c r="C3261">
        <v>0.94300779628585696</v>
      </c>
      <c r="D3261">
        <v>0.86893253799236003</v>
      </c>
      <c r="E3261">
        <v>0.80008658182183001</v>
      </c>
      <c r="F3261">
        <v>0.64862859281434004</v>
      </c>
      <c r="G3261">
        <v>0.56007971928880596</v>
      </c>
      <c r="H3261">
        <v>0.28859467178116299</v>
      </c>
      <c r="I3261">
        <v>0.10530843101151501</v>
      </c>
      <c r="J3261">
        <v>7.0153676123522302E-2</v>
      </c>
      <c r="K3261">
        <v>7.0023117789458494E-2</v>
      </c>
      <c r="L3261">
        <v>620.73520482166202</v>
      </c>
      <c r="M3261">
        <v>11.7204095572115</v>
      </c>
      <c r="N3261">
        <v>52.961906718981503</v>
      </c>
      <c r="O3261">
        <v>51.490609339224001</v>
      </c>
      <c r="P3261">
        <v>-5.6920597468717499E-2</v>
      </c>
      <c r="Q3261">
        <v>0</v>
      </c>
      <c r="R3261">
        <v>0.97971348091630395</v>
      </c>
      <c r="S3261" t="s">
        <v>9663</v>
      </c>
      <c r="T3261" t="s">
        <v>12802</v>
      </c>
      <c r="U3261" t="s">
        <v>12802</v>
      </c>
      <c r="V3261" t="s">
        <v>12802</v>
      </c>
      <c r="W3261" t="s">
        <v>16013</v>
      </c>
      <c r="X3261">
        <v>16</v>
      </c>
      <c r="Y3261" t="s">
        <v>22262</v>
      </c>
      <c r="Z3261" t="s">
        <v>28579</v>
      </c>
      <c r="AA3261">
        <v>0.55350842079460338</v>
      </c>
      <c r="AB3261" t="str">
        <f>HYPERLINK("Melting_Curves/meltCurve_Q13188_STK3.pdf", "Melting_Curves/meltCurve_Q13188_STK3.pdf")</f>
        <v>Melting_Curves/meltCurve_Q13188_STK3.pdf</v>
      </c>
    </row>
    <row r="3262" spans="1:28" x14ac:dyDescent="0.25">
      <c r="A3262" t="s">
        <v>3266</v>
      </c>
      <c r="B3262">
        <v>0.99542014353169495</v>
      </c>
      <c r="C3262">
        <v>0.913266801273109</v>
      </c>
      <c r="D3262">
        <v>0.89370509298953804</v>
      </c>
      <c r="E3262">
        <v>0.55225599589900298</v>
      </c>
      <c r="F3262">
        <v>0.16850663329976501</v>
      </c>
      <c r="G3262">
        <v>4.9898485532404398E-2</v>
      </c>
      <c r="H3262">
        <v>2.94583943808336E-2</v>
      </c>
      <c r="I3262">
        <v>1.7411709535507299E-2</v>
      </c>
      <c r="J3262">
        <v>1.60368533031649E-2</v>
      </c>
      <c r="K3262">
        <v>2.4073581416081801E-2</v>
      </c>
      <c r="L3262">
        <v>1102.97387835005</v>
      </c>
      <c r="M3262">
        <v>23.540679252992099</v>
      </c>
      <c r="N3262">
        <v>46.907069523113101</v>
      </c>
      <c r="O3262">
        <v>46.519771523239399</v>
      </c>
      <c r="P3262">
        <v>-0.124847243982124</v>
      </c>
      <c r="Q3262">
        <v>1.31523593090291E-2</v>
      </c>
      <c r="R3262">
        <v>0.996545071255723</v>
      </c>
      <c r="S3262" t="s">
        <v>9664</v>
      </c>
      <c r="T3262" t="s">
        <v>12802</v>
      </c>
      <c r="U3262" t="s">
        <v>12802</v>
      </c>
      <c r="V3262" t="s">
        <v>12802</v>
      </c>
      <c r="W3262" t="s">
        <v>16014</v>
      </c>
      <c r="X3262">
        <v>7</v>
      </c>
      <c r="Y3262" t="s">
        <v>22263</v>
      </c>
      <c r="Z3262" t="s">
        <v>28580</v>
      </c>
      <c r="AA3262">
        <v>0.34663239924469541</v>
      </c>
      <c r="AB3262" t="str">
        <f>HYPERLINK("Melting_Curves/meltCurve_Q13190_3_STX5.pdf", "Melting_Curves/meltCurve_Q13190_3_STX5.pdf")</f>
        <v>Melting_Curves/meltCurve_Q13190_3_STX5.pdf</v>
      </c>
    </row>
    <row r="3263" spans="1:28" x14ac:dyDescent="0.25">
      <c r="A3263" t="s">
        <v>3267</v>
      </c>
      <c r="B3263">
        <v>0.99542014353169495</v>
      </c>
      <c r="C3263">
        <v>0.915924160640461</v>
      </c>
      <c r="D3263">
        <v>1.00677212707846</v>
      </c>
      <c r="E3263">
        <v>0.79430510199764004</v>
      </c>
      <c r="F3263">
        <v>0.50390016422016504</v>
      </c>
      <c r="G3263">
        <v>0.22906964010535799</v>
      </c>
      <c r="H3263">
        <v>0.12254823951275</v>
      </c>
      <c r="I3263">
        <v>5.8470584691200499E-2</v>
      </c>
      <c r="J3263">
        <v>6.5518135757973606E-2</v>
      </c>
      <c r="K3263">
        <v>6.7594009804484101E-2</v>
      </c>
      <c r="L3263">
        <v>986.30006259247398</v>
      </c>
      <c r="M3263">
        <v>19.773500853234999</v>
      </c>
      <c r="N3263">
        <v>50.153447823880001</v>
      </c>
      <c r="O3263">
        <v>49.378127408555798</v>
      </c>
      <c r="P3263">
        <v>-9.4998247997620994E-2</v>
      </c>
      <c r="Q3263">
        <v>5.1118684389549099E-2</v>
      </c>
      <c r="R3263">
        <v>0.99425086476004498</v>
      </c>
      <c r="S3263" t="s">
        <v>9665</v>
      </c>
      <c r="T3263" t="s">
        <v>12802</v>
      </c>
      <c r="U3263" t="s">
        <v>12802</v>
      </c>
      <c r="V3263" t="s">
        <v>12802</v>
      </c>
      <c r="W3263" t="s">
        <v>16015</v>
      </c>
      <c r="X3263">
        <v>42</v>
      </c>
      <c r="Y3263" t="s">
        <v>22264</v>
      </c>
      <c r="Z3263" t="s">
        <v>28581</v>
      </c>
      <c r="AA3263">
        <v>0.47125338030532288</v>
      </c>
      <c r="AB3263" t="str">
        <f>HYPERLINK("Melting_Curves/meltCurve_Q13200_PSMD2.pdf", "Melting_Curves/meltCurve_Q13200_PSMD2.pdf")</f>
        <v>Melting_Curves/meltCurve_Q13200_PSMD2.pdf</v>
      </c>
    </row>
    <row r="3264" spans="1:28" x14ac:dyDescent="0.25">
      <c r="A3264" t="s">
        <v>3268</v>
      </c>
      <c r="B3264">
        <v>0.99542014353169495</v>
      </c>
      <c r="C3264">
        <v>1.1294007469273599</v>
      </c>
      <c r="D3264">
        <v>1.2172912582923201</v>
      </c>
      <c r="E3264">
        <v>0.81718994613020901</v>
      </c>
      <c r="F3264">
        <v>0.87283490996250601</v>
      </c>
      <c r="G3264">
        <v>0.48666882712423098</v>
      </c>
      <c r="H3264">
        <v>0.17616680108595401</v>
      </c>
      <c r="I3264">
        <v>0.235046104639588</v>
      </c>
      <c r="J3264">
        <v>0.42522780146769701</v>
      </c>
      <c r="K3264">
        <v>0</v>
      </c>
      <c r="L3264">
        <v>1606.1773663230099</v>
      </c>
      <c r="M3264">
        <v>30.509546873963199</v>
      </c>
      <c r="N3264">
        <v>53.507569082009702</v>
      </c>
      <c r="O3264">
        <v>52.420457985309604</v>
      </c>
      <c r="P3264">
        <v>-0.117242898200401</v>
      </c>
      <c r="Q3264">
        <v>0.19423405709229899</v>
      </c>
      <c r="R3264">
        <v>0.88431436784015804</v>
      </c>
      <c r="S3264" t="s">
        <v>9666</v>
      </c>
      <c r="T3264" t="s">
        <v>12802</v>
      </c>
      <c r="U3264" t="s">
        <v>12802</v>
      </c>
      <c r="V3264" t="s">
        <v>12802</v>
      </c>
      <c r="W3264" t="s">
        <v>16016</v>
      </c>
      <c r="X3264">
        <v>2</v>
      </c>
      <c r="Y3264" t="s">
        <v>22265</v>
      </c>
      <c r="Z3264" t="s">
        <v>28582</v>
      </c>
      <c r="AA3264">
        <v>0.61939822824860757</v>
      </c>
      <c r="AB3264" t="str">
        <f>HYPERLINK("Melting_Curves/meltCurve_Q13206_DDX10.pdf", "Melting_Curves/meltCurve_Q13206_DDX10.pdf")</f>
        <v>Melting_Curves/meltCurve_Q13206_DDX10.pdf</v>
      </c>
    </row>
    <row r="3265" spans="1:28" x14ac:dyDescent="0.25">
      <c r="A3265" t="s">
        <v>3269</v>
      </c>
      <c r="B3265">
        <v>0.99542014353169495</v>
      </c>
      <c r="C3265">
        <v>0.98579218904668897</v>
      </c>
      <c r="D3265">
        <v>1.0419290956015199</v>
      </c>
      <c r="E3265">
        <v>0.87811026298350303</v>
      </c>
      <c r="F3265">
        <v>0.40676191336480499</v>
      </c>
      <c r="G3265">
        <v>0.123284808976533</v>
      </c>
      <c r="H3265">
        <v>7.6563090332110798E-2</v>
      </c>
      <c r="I3265">
        <v>5.14434478579055E-2</v>
      </c>
      <c r="J3265">
        <v>5.1257388022048198E-2</v>
      </c>
      <c r="K3265">
        <v>5.39854715083578E-2</v>
      </c>
      <c r="L3265">
        <v>1600.72946969997</v>
      </c>
      <c r="M3265">
        <v>32.405169279330799</v>
      </c>
      <c r="N3265">
        <v>49.5790131947102</v>
      </c>
      <c r="O3265">
        <v>49.210379493893903</v>
      </c>
      <c r="P3265">
        <v>-0.15541084027076399</v>
      </c>
      <c r="Q3265">
        <v>5.5979181865113199E-2</v>
      </c>
      <c r="R3265">
        <v>0.99843046615865005</v>
      </c>
      <c r="S3265" t="s">
        <v>9667</v>
      </c>
      <c r="T3265" t="s">
        <v>12802</v>
      </c>
      <c r="U3265" t="s">
        <v>12802</v>
      </c>
      <c r="V3265" t="s">
        <v>12802</v>
      </c>
      <c r="W3265" t="s">
        <v>16017</v>
      </c>
      <c r="X3265">
        <v>18</v>
      </c>
      <c r="Y3265" t="s">
        <v>22266</v>
      </c>
      <c r="Z3265" t="s">
        <v>28583</v>
      </c>
      <c r="AA3265">
        <v>0.45100805132461358</v>
      </c>
      <c r="AB3265" t="str">
        <f>HYPERLINK("Melting_Curves/meltCurve_Q13217_DNAJC3.pdf", "Melting_Curves/meltCurve_Q13217_DNAJC3.pdf")</f>
        <v>Melting_Curves/meltCurve_Q13217_DNAJC3.pdf</v>
      </c>
    </row>
    <row r="3266" spans="1:28" x14ac:dyDescent="0.25">
      <c r="A3266" t="s">
        <v>3270</v>
      </c>
      <c r="B3266">
        <v>0.99542014353169495</v>
      </c>
      <c r="C3266">
        <v>0.98044716762427397</v>
      </c>
      <c r="D3266">
        <v>0.91333508590029999</v>
      </c>
      <c r="E3266">
        <v>0.903740301792052</v>
      </c>
      <c r="F3266">
        <v>0.73495485276199202</v>
      </c>
      <c r="G3266">
        <v>0.60216248966919095</v>
      </c>
      <c r="H3266">
        <v>0.42156227983203398</v>
      </c>
      <c r="I3266">
        <v>0.37717955737526898</v>
      </c>
      <c r="J3266">
        <v>0.54433491514444998</v>
      </c>
      <c r="K3266">
        <v>0.57330488451066397</v>
      </c>
      <c r="L3266">
        <v>1074.94298327721</v>
      </c>
      <c r="M3266">
        <v>21.5453468212852</v>
      </c>
      <c r="N3266">
        <v>58.256816849794603</v>
      </c>
      <c r="O3266">
        <v>49.468259936394297</v>
      </c>
      <c r="P3266">
        <v>-5.6912168983344003E-2</v>
      </c>
      <c r="Q3266">
        <v>0.47732964296448799</v>
      </c>
      <c r="R3266">
        <v>0.92001517576663305</v>
      </c>
      <c r="S3266" t="s">
        <v>9668</v>
      </c>
      <c r="T3266" t="s">
        <v>12802</v>
      </c>
      <c r="U3266" t="s">
        <v>12802</v>
      </c>
      <c r="V3266" t="s">
        <v>12802</v>
      </c>
      <c r="W3266" t="s">
        <v>16018</v>
      </c>
      <c r="X3266">
        <v>23</v>
      </c>
      <c r="Y3266" t="s">
        <v>22267</v>
      </c>
      <c r="Z3266" t="s">
        <v>28584</v>
      </c>
      <c r="AA3266">
        <v>0.70796718480325227</v>
      </c>
      <c r="AB3266" t="str">
        <f>HYPERLINK("Melting_Curves/meltCurve_Q13228_SELENBP1.pdf", "Melting_Curves/meltCurve_Q13228_SELENBP1.pdf")</f>
        <v>Melting_Curves/meltCurve_Q13228_SELENBP1.pdf</v>
      </c>
    </row>
    <row r="3267" spans="1:28" x14ac:dyDescent="0.25">
      <c r="A3267" t="s">
        <v>3271</v>
      </c>
      <c r="B3267">
        <v>0.99542014353169495</v>
      </c>
      <c r="C3267">
        <v>0.93754180024693301</v>
      </c>
      <c r="D3267">
        <v>0.91471877399513102</v>
      </c>
      <c r="E3267">
        <v>0.82630573018706999</v>
      </c>
      <c r="F3267">
        <v>0.78245429969602498</v>
      </c>
      <c r="G3267">
        <v>0.63379107021565895</v>
      </c>
      <c r="H3267">
        <v>0.53744795990073202</v>
      </c>
      <c r="I3267">
        <v>0.47922960772726297</v>
      </c>
      <c r="J3267">
        <v>0.63661845966987596</v>
      </c>
      <c r="K3267">
        <v>0.48965313578219599</v>
      </c>
      <c r="L3267">
        <v>553.91900609340803</v>
      </c>
      <c r="M3267">
        <v>11.1405444332865</v>
      </c>
      <c r="O3267">
        <v>48.199629632331899</v>
      </c>
      <c r="P3267">
        <v>-2.9633964999270498E-2</v>
      </c>
      <c r="Q3267">
        <v>0.48731873496446398</v>
      </c>
      <c r="R3267">
        <v>0.93100146830290198</v>
      </c>
      <c r="S3267" t="s">
        <v>9669</v>
      </c>
      <c r="T3267" t="s">
        <v>12802</v>
      </c>
      <c r="U3267" t="s">
        <v>12802</v>
      </c>
      <c r="V3267" t="s">
        <v>12802</v>
      </c>
      <c r="W3267" t="s">
        <v>16019</v>
      </c>
      <c r="X3267">
        <v>8</v>
      </c>
      <c r="Y3267" t="s">
        <v>22268</v>
      </c>
      <c r="Z3267" t="s">
        <v>28585</v>
      </c>
      <c r="AA3267">
        <v>0.72064676055047627</v>
      </c>
      <c r="AB3267" t="str">
        <f>HYPERLINK("Melting_Curves/meltCurve_Q13232_NME3.pdf", "Melting_Curves/meltCurve_Q13232_NME3.pdf")</f>
        <v>Melting_Curves/meltCurve_Q13232_NME3.pdf</v>
      </c>
    </row>
    <row r="3268" spans="1:28" x14ac:dyDescent="0.25">
      <c r="A3268" t="s">
        <v>3272</v>
      </c>
      <c r="B3268">
        <v>0.99542014353169495</v>
      </c>
      <c r="C3268">
        <v>1.03851160307538</v>
      </c>
      <c r="D3268">
        <v>0.96657385235130799</v>
      </c>
      <c r="E3268">
        <v>0.56468340116228499</v>
      </c>
      <c r="F3268">
        <v>0.38829645510920402</v>
      </c>
      <c r="G3268">
        <v>0.222961228420996</v>
      </c>
      <c r="H3268">
        <v>0.103649019514339</v>
      </c>
      <c r="I3268">
        <v>6.13654511806642E-2</v>
      </c>
      <c r="J3268">
        <v>7.6615554723490006E-2</v>
      </c>
      <c r="K3268">
        <v>0.103080374129007</v>
      </c>
      <c r="L3268">
        <v>881.89478334469698</v>
      </c>
      <c r="M3268">
        <v>18.449507278281601</v>
      </c>
      <c r="N3268">
        <v>48.251680023049097</v>
      </c>
      <c r="O3268">
        <v>47.249510474494201</v>
      </c>
      <c r="P3268">
        <v>-8.9886888135114695E-2</v>
      </c>
      <c r="Q3268">
        <v>7.9234097481418103E-2</v>
      </c>
      <c r="R3268">
        <v>0.98633357201713601</v>
      </c>
      <c r="S3268" t="s">
        <v>9670</v>
      </c>
      <c r="T3268" t="s">
        <v>12802</v>
      </c>
      <c r="U3268" t="s">
        <v>12802</v>
      </c>
      <c r="V3268" t="s">
        <v>12802</v>
      </c>
      <c r="W3268" t="s">
        <v>16020</v>
      </c>
      <c r="X3268">
        <v>2</v>
      </c>
      <c r="Y3268" t="s">
        <v>22269</v>
      </c>
      <c r="Z3268" t="s">
        <v>28586</v>
      </c>
      <c r="AA3268">
        <v>0.4247958769027757</v>
      </c>
      <c r="AB3268" t="str">
        <f>HYPERLINK("Melting_Curves/meltCurve_Q13233_MAP3K1.pdf", "Melting_Curves/meltCurve_Q13233_MAP3K1.pdf")</f>
        <v>Melting_Curves/meltCurve_Q13233_MAP3K1.pdf</v>
      </c>
    </row>
    <row r="3269" spans="1:28" x14ac:dyDescent="0.25">
      <c r="A3269" t="s">
        <v>3273</v>
      </c>
      <c r="B3269">
        <v>0.99542014353169495</v>
      </c>
      <c r="C3269">
        <v>0.97500952396727603</v>
      </c>
      <c r="D3269">
        <v>0.91938376531441801</v>
      </c>
      <c r="E3269">
        <v>0.81549129080739802</v>
      </c>
      <c r="F3269">
        <v>0.48508432355444803</v>
      </c>
      <c r="G3269">
        <v>0.28450345161370399</v>
      </c>
      <c r="H3269">
        <v>0.15185450507750001</v>
      </c>
      <c r="I3269">
        <v>0.14737032727861099</v>
      </c>
      <c r="J3269">
        <v>0.247447710436282</v>
      </c>
      <c r="K3269">
        <v>0.92304778281391497</v>
      </c>
      <c r="L3269">
        <v>1647.2228247472699</v>
      </c>
      <c r="M3269">
        <v>34.436502589171397</v>
      </c>
      <c r="N3269">
        <v>49.588648090734601</v>
      </c>
      <c r="O3269">
        <v>47.673189980676803</v>
      </c>
      <c r="P3269">
        <v>-0.116983903041201</v>
      </c>
      <c r="Q3269">
        <v>0.35220203329948802</v>
      </c>
      <c r="R3269">
        <v>0.63731022583355901</v>
      </c>
      <c r="S3269" t="s">
        <v>9671</v>
      </c>
      <c r="T3269" t="s">
        <v>12802</v>
      </c>
      <c r="U3269" t="s">
        <v>12802</v>
      </c>
      <c r="V3269" t="s">
        <v>12802</v>
      </c>
      <c r="W3269" t="s">
        <v>16021</v>
      </c>
      <c r="X3269">
        <v>8</v>
      </c>
      <c r="Y3269" t="s">
        <v>22270</v>
      </c>
      <c r="Z3269" t="s">
        <v>28587</v>
      </c>
      <c r="AA3269">
        <v>0.58903250608970514</v>
      </c>
      <c r="AB3269" t="str">
        <f>HYPERLINK("Melting_Curves/meltCurve_Q13242_SRSF9.pdf", "Melting_Curves/meltCurve_Q13242_SRSF9.pdf")</f>
        <v>Melting_Curves/meltCurve_Q13242_SRSF9.pdf</v>
      </c>
    </row>
    <row r="3270" spans="1:28" x14ac:dyDescent="0.25">
      <c r="A3270" t="s">
        <v>3274</v>
      </c>
      <c r="B3270">
        <v>0.99542014353169495</v>
      </c>
      <c r="C3270">
        <v>0.96615835285546803</v>
      </c>
      <c r="D3270">
        <v>0.91448669441344599</v>
      </c>
      <c r="E3270">
        <v>0.76014159509662704</v>
      </c>
      <c r="F3270">
        <v>0.56123611957965402</v>
      </c>
      <c r="G3270">
        <v>0.39222155383560903</v>
      </c>
      <c r="H3270">
        <v>0.30506554087444598</v>
      </c>
      <c r="I3270">
        <v>0.29624855049443399</v>
      </c>
      <c r="J3270">
        <v>0.56143250528208499</v>
      </c>
      <c r="K3270">
        <v>1.12357543726835</v>
      </c>
      <c r="L3270">
        <v>1486.1083506628099</v>
      </c>
      <c r="M3270">
        <v>32.179690597135</v>
      </c>
      <c r="O3270">
        <v>46.004315399134398</v>
      </c>
      <c r="P3270">
        <v>-8.1197286744809194E-2</v>
      </c>
      <c r="Q3270">
        <v>0.53568142412719699</v>
      </c>
      <c r="R3270">
        <v>0.42340586693613902</v>
      </c>
      <c r="S3270" t="s">
        <v>9672</v>
      </c>
      <c r="T3270" t="s">
        <v>12802</v>
      </c>
      <c r="U3270" t="s">
        <v>12802</v>
      </c>
      <c r="V3270" t="s">
        <v>12802</v>
      </c>
      <c r="W3270" t="s">
        <v>16022</v>
      </c>
      <c r="X3270">
        <v>6</v>
      </c>
      <c r="Y3270" t="s">
        <v>22271</v>
      </c>
      <c r="Z3270" t="s">
        <v>28588</v>
      </c>
      <c r="AA3270">
        <v>0.68009141514351579</v>
      </c>
      <c r="AB3270" t="str">
        <f>HYPERLINK("Melting_Curves/meltCurve_Q13243_SRSF5.pdf", "Melting_Curves/meltCurve_Q13243_SRSF5.pdf")</f>
        <v>Melting_Curves/meltCurve_Q13243_SRSF5.pdf</v>
      </c>
    </row>
    <row r="3271" spans="1:28" x14ac:dyDescent="0.25">
      <c r="A3271" t="s">
        <v>3275</v>
      </c>
      <c r="B3271">
        <v>0.99542014353169495</v>
      </c>
      <c r="C3271">
        <v>0.96123316657522195</v>
      </c>
      <c r="D3271">
        <v>0.84818172436898298</v>
      </c>
      <c r="E3271">
        <v>0.66021101860334097</v>
      </c>
      <c r="F3271">
        <v>0.44653906640810598</v>
      </c>
      <c r="G3271">
        <v>0.23287838942269701</v>
      </c>
      <c r="H3271">
        <v>0.111048865104848</v>
      </c>
      <c r="I3271">
        <v>7.5765915534163605E-2</v>
      </c>
      <c r="J3271">
        <v>0.12856691258091801</v>
      </c>
      <c r="K3271">
        <v>0.16254241291816299</v>
      </c>
      <c r="L3271">
        <v>739.83102237686103</v>
      </c>
      <c r="M3271">
        <v>15.3578506102423</v>
      </c>
      <c r="N3271">
        <v>48.8011259264619</v>
      </c>
      <c r="O3271">
        <v>47.378228636498399</v>
      </c>
      <c r="P3271">
        <v>-7.3775976082860906E-2</v>
      </c>
      <c r="Q3271">
        <v>8.9702561008795798E-2</v>
      </c>
      <c r="R3271">
        <v>0.99097354011083605</v>
      </c>
      <c r="S3271" t="s">
        <v>9673</v>
      </c>
      <c r="T3271" t="s">
        <v>12802</v>
      </c>
      <c r="U3271" t="s">
        <v>12802</v>
      </c>
      <c r="V3271" t="s">
        <v>12802</v>
      </c>
      <c r="W3271" t="s">
        <v>16023</v>
      </c>
      <c r="X3271">
        <v>10</v>
      </c>
      <c r="Y3271" t="s">
        <v>22272</v>
      </c>
      <c r="Z3271" t="s">
        <v>28589</v>
      </c>
      <c r="AA3271">
        <v>0.44792125714718689</v>
      </c>
      <c r="AB3271" t="str">
        <f>HYPERLINK("Melting_Curves/meltCurve_Q13247_3_SRSF6.pdf", "Melting_Curves/meltCurve_Q13247_3_SRSF6.pdf")</f>
        <v>Melting_Curves/meltCurve_Q13247_3_SRSF6.pdf</v>
      </c>
    </row>
    <row r="3272" spans="1:28" x14ac:dyDescent="0.25">
      <c r="A3272" t="s">
        <v>3276</v>
      </c>
      <c r="B3272">
        <v>0.99542014353169495</v>
      </c>
      <c r="C3272">
        <v>0.99155600983630299</v>
      </c>
      <c r="D3272">
        <v>0.95789490641427499</v>
      </c>
      <c r="E3272">
        <v>0.66376889422499596</v>
      </c>
      <c r="F3272">
        <v>0.29577280994612198</v>
      </c>
      <c r="G3272">
        <v>0.143779782497967</v>
      </c>
      <c r="H3272">
        <v>0.101682923016979</v>
      </c>
      <c r="I3272">
        <v>8.6656288007381302E-2</v>
      </c>
      <c r="J3272">
        <v>9.7589942855512701E-2</v>
      </c>
      <c r="K3272">
        <v>9.1465765716628095E-2</v>
      </c>
      <c r="L3272">
        <v>1191.2820667521901</v>
      </c>
      <c r="M3272">
        <v>24.9948987240248</v>
      </c>
      <c r="N3272">
        <v>48.046542397670699</v>
      </c>
      <c r="O3272">
        <v>47.359070911897497</v>
      </c>
      <c r="P3272">
        <v>-0.11995611829945201</v>
      </c>
      <c r="Q3272">
        <v>9.0865093940021999E-2</v>
      </c>
      <c r="R3272">
        <v>0.99972381957048495</v>
      </c>
      <c r="S3272" t="s">
        <v>9674</v>
      </c>
      <c r="T3272" t="s">
        <v>12802</v>
      </c>
      <c r="U3272" t="s">
        <v>12802</v>
      </c>
      <c r="V3272" t="s">
        <v>12802</v>
      </c>
      <c r="W3272" t="s">
        <v>16024</v>
      </c>
      <c r="X3272">
        <v>8</v>
      </c>
      <c r="Y3272" t="s">
        <v>22273</v>
      </c>
      <c r="Z3272" t="s">
        <v>28590</v>
      </c>
      <c r="AA3272">
        <v>0.4216538330759681</v>
      </c>
      <c r="AB3272" t="str">
        <f>HYPERLINK("Melting_Curves/meltCurve_Q13257_MAD2L1.pdf", "Melting_Curves/meltCurve_Q13257_MAD2L1.pdf")</f>
        <v>Melting_Curves/meltCurve_Q13257_MAD2L1.pdf</v>
      </c>
    </row>
    <row r="3273" spans="1:28" x14ac:dyDescent="0.25">
      <c r="A3273" t="s">
        <v>3277</v>
      </c>
      <c r="B3273">
        <v>0.99542014353169495</v>
      </c>
      <c r="C3273">
        <v>1.0003046610084301</v>
      </c>
      <c r="D3273">
        <v>0.98623796622235504</v>
      </c>
      <c r="E3273">
        <v>0.695461472737405</v>
      </c>
      <c r="F3273">
        <v>0.23288587445285</v>
      </c>
      <c r="G3273">
        <v>0.111980577106914</v>
      </c>
      <c r="H3273">
        <v>6.6067718095878802E-2</v>
      </c>
      <c r="I3273">
        <v>4.79469332361427E-2</v>
      </c>
      <c r="J3273">
        <v>5.4030157110282299E-2</v>
      </c>
      <c r="K3273">
        <v>5.2873730604384897E-2</v>
      </c>
      <c r="L3273">
        <v>1433.7382916225399</v>
      </c>
      <c r="M3273">
        <v>30.010771063886001</v>
      </c>
      <c r="N3273">
        <v>47.970368387536901</v>
      </c>
      <c r="O3273">
        <v>47.563506609210698</v>
      </c>
      <c r="P3273">
        <v>-0.14862967939788199</v>
      </c>
      <c r="Q3273">
        <v>5.77646475400663E-2</v>
      </c>
      <c r="R3273">
        <v>0.99936759981568601</v>
      </c>
      <c r="S3273" t="s">
        <v>9675</v>
      </c>
      <c r="T3273" t="s">
        <v>12802</v>
      </c>
      <c r="U3273" t="s">
        <v>12802</v>
      </c>
      <c r="V3273" t="s">
        <v>12802</v>
      </c>
      <c r="W3273" t="s">
        <v>16025</v>
      </c>
      <c r="X3273">
        <v>34</v>
      </c>
      <c r="Y3273" t="s">
        <v>22274</v>
      </c>
      <c r="Z3273" t="s">
        <v>28591</v>
      </c>
      <c r="AA3273">
        <v>0.40170952159100509</v>
      </c>
      <c r="AB3273" t="str">
        <f>HYPERLINK("Melting_Curves/meltCurve_Q13263_TRIM28.pdf", "Melting_Curves/meltCurve_Q13263_TRIM28.pdf")</f>
        <v>Melting_Curves/meltCurve_Q13263_TRIM28.pdf</v>
      </c>
    </row>
    <row r="3274" spans="1:28" x14ac:dyDescent="0.25">
      <c r="A3274" t="s">
        <v>3278</v>
      </c>
      <c r="B3274">
        <v>0.99542014353169495</v>
      </c>
      <c r="C3274">
        <v>1.0037863915688601</v>
      </c>
      <c r="D3274">
        <v>0.89728331493931801</v>
      </c>
      <c r="E3274">
        <v>0.68577917275418998</v>
      </c>
      <c r="F3274">
        <v>0.62032903416840901</v>
      </c>
      <c r="G3274">
        <v>0.478953201370375</v>
      </c>
      <c r="H3274">
        <v>0.31217795115657798</v>
      </c>
      <c r="I3274">
        <v>0.208095583614226</v>
      </c>
      <c r="J3274">
        <v>0.24134285918433801</v>
      </c>
      <c r="K3274">
        <v>0.25908534682392398</v>
      </c>
      <c r="L3274">
        <v>569.43498744073304</v>
      </c>
      <c r="M3274">
        <v>11.358971895397</v>
      </c>
      <c r="N3274">
        <v>52.097921804218203</v>
      </c>
      <c r="O3274">
        <v>48.652533315909501</v>
      </c>
      <c r="P3274">
        <v>-4.8203954065599797E-2</v>
      </c>
      <c r="Q3274">
        <v>0.17438105584445701</v>
      </c>
      <c r="R3274">
        <v>0.98200399834718499</v>
      </c>
      <c r="S3274" t="s">
        <v>9676</v>
      </c>
      <c r="T3274" t="s">
        <v>12802</v>
      </c>
      <c r="U3274" t="s">
        <v>12802</v>
      </c>
      <c r="V3274" t="s">
        <v>12802</v>
      </c>
      <c r="W3274" t="s">
        <v>16026</v>
      </c>
      <c r="X3274">
        <v>9</v>
      </c>
      <c r="Y3274" t="s">
        <v>22275</v>
      </c>
      <c r="Z3274" t="s">
        <v>28592</v>
      </c>
      <c r="AA3274">
        <v>0.56010522653677486</v>
      </c>
      <c r="AB3274" t="str">
        <f>HYPERLINK("Melting_Curves/meltCurve_Q13277_2_STX3.pdf", "Melting_Curves/meltCurve_Q13277_2_STX3.pdf")</f>
        <v>Melting_Curves/meltCurve_Q13277_2_STX3.pdf</v>
      </c>
    </row>
    <row r="3275" spans="1:28" x14ac:dyDescent="0.25">
      <c r="A3275" t="s">
        <v>3279</v>
      </c>
      <c r="B3275">
        <v>0.99542014353169495</v>
      </c>
      <c r="C3275">
        <v>1.01831922444705</v>
      </c>
      <c r="D3275">
        <v>0.97983173127626999</v>
      </c>
      <c r="E3275">
        <v>0.81326470769620096</v>
      </c>
      <c r="F3275">
        <v>0.44340119652710902</v>
      </c>
      <c r="G3275">
        <v>0.20934557349393099</v>
      </c>
      <c r="H3275">
        <v>9.1061135790353603E-2</v>
      </c>
      <c r="I3275">
        <v>6.4644223093922606E-2</v>
      </c>
      <c r="J3275">
        <v>7.4545762049756006E-2</v>
      </c>
      <c r="K3275">
        <v>7.6956530756326996E-2</v>
      </c>
      <c r="L3275">
        <v>1133.1949582833099</v>
      </c>
      <c r="M3275">
        <v>22.927808739665199</v>
      </c>
      <c r="N3275">
        <v>49.730581065228598</v>
      </c>
      <c r="O3275">
        <v>49.053100968010099</v>
      </c>
      <c r="P3275">
        <v>-0.109164007566387</v>
      </c>
      <c r="Q3275">
        <v>6.5810147402650898E-2</v>
      </c>
      <c r="R3275">
        <v>0.99915235003026004</v>
      </c>
      <c r="S3275" t="s">
        <v>9677</v>
      </c>
      <c r="T3275" t="s">
        <v>12802</v>
      </c>
      <c r="U3275" t="s">
        <v>12802</v>
      </c>
      <c r="V3275" t="s">
        <v>12802</v>
      </c>
      <c r="W3275" t="s">
        <v>16027</v>
      </c>
      <c r="X3275">
        <v>17</v>
      </c>
      <c r="Y3275" t="s">
        <v>22276</v>
      </c>
      <c r="Z3275" t="s">
        <v>28593</v>
      </c>
      <c r="AA3275">
        <v>0.46227707054211609</v>
      </c>
      <c r="AB3275" t="str">
        <f>HYPERLINK("Melting_Curves/meltCurve_Q13283_G3BP1.pdf", "Melting_Curves/meltCurve_Q13283_G3BP1.pdf")</f>
        <v>Melting_Curves/meltCurve_Q13283_G3BP1.pdf</v>
      </c>
    </row>
    <row r="3276" spans="1:28" x14ac:dyDescent="0.25">
      <c r="A3276" t="s">
        <v>3280</v>
      </c>
      <c r="B3276">
        <v>0.99542014353169495</v>
      </c>
      <c r="C3276">
        <v>0.97722397804922201</v>
      </c>
      <c r="D3276">
        <v>0.92715348855970003</v>
      </c>
      <c r="E3276">
        <v>0.85330042897912095</v>
      </c>
      <c r="F3276">
        <v>0.70134586821295697</v>
      </c>
      <c r="G3276">
        <v>0.52868735955498003</v>
      </c>
      <c r="H3276">
        <v>0.36979854985190203</v>
      </c>
      <c r="I3276">
        <v>0.17536869121021201</v>
      </c>
      <c r="J3276">
        <v>0.10578534783085899</v>
      </c>
      <c r="K3276">
        <v>8.3642087182863797E-2</v>
      </c>
      <c r="L3276">
        <v>637.71874718233698</v>
      </c>
      <c r="M3276">
        <v>11.812565207945401</v>
      </c>
      <c r="N3276">
        <v>53.9864709581339</v>
      </c>
      <c r="O3276">
        <v>52.508977754574303</v>
      </c>
      <c r="P3276">
        <v>-5.6255103170479097E-2</v>
      </c>
      <c r="Q3276">
        <v>0</v>
      </c>
      <c r="R3276">
        <v>0.99628567948765301</v>
      </c>
      <c r="S3276" t="s">
        <v>9678</v>
      </c>
      <c r="T3276" t="s">
        <v>12802</v>
      </c>
      <c r="U3276" t="s">
        <v>12802</v>
      </c>
      <c r="V3276" t="s">
        <v>12802</v>
      </c>
      <c r="W3276" t="s">
        <v>16028</v>
      </c>
      <c r="X3276">
        <v>11</v>
      </c>
      <c r="Y3276" t="s">
        <v>22277</v>
      </c>
      <c r="Z3276" t="s">
        <v>28594</v>
      </c>
      <c r="AA3276">
        <v>0.58422111723099546</v>
      </c>
      <c r="AB3276" t="str">
        <f>HYPERLINK("Melting_Curves/meltCurve_Q13287_NMI.pdf", "Melting_Curves/meltCurve_Q13287_NMI.pdf")</f>
        <v>Melting_Curves/meltCurve_Q13287_NMI.pdf</v>
      </c>
    </row>
    <row r="3277" spans="1:28" x14ac:dyDescent="0.25">
      <c r="A3277" t="s">
        <v>3281</v>
      </c>
      <c r="B3277">
        <v>0.99542014353169495</v>
      </c>
      <c r="C3277">
        <v>1.3947451818202099</v>
      </c>
      <c r="D3277">
        <v>1.17643713056813</v>
      </c>
      <c r="E3277">
        <v>1.0389693757451299</v>
      </c>
      <c r="F3277">
        <v>0.87608947615547506</v>
      </c>
      <c r="G3277">
        <v>0.52054848365787498</v>
      </c>
      <c r="H3277">
        <v>0.27615288823847201</v>
      </c>
      <c r="I3277">
        <v>0.13927036192067499</v>
      </c>
      <c r="J3277">
        <v>0.17548077236280801</v>
      </c>
      <c r="K3277">
        <v>5.3061899003415999E-2</v>
      </c>
      <c r="L3277">
        <v>1400.29620250121</v>
      </c>
      <c r="M3277">
        <v>26.084212863494301</v>
      </c>
      <c r="N3277">
        <v>54.194630529744003</v>
      </c>
      <c r="O3277">
        <v>53.371118221962298</v>
      </c>
      <c r="P3277">
        <v>-0.10886505545406799</v>
      </c>
      <c r="Q3277">
        <v>0.10901145391599</v>
      </c>
      <c r="R3277">
        <v>0.90766582436486398</v>
      </c>
      <c r="S3277" t="s">
        <v>9679</v>
      </c>
      <c r="T3277" t="s">
        <v>12802</v>
      </c>
      <c r="U3277" t="s">
        <v>12802</v>
      </c>
      <c r="V3277" t="s">
        <v>12802</v>
      </c>
      <c r="W3277" t="s">
        <v>16029</v>
      </c>
      <c r="X3277">
        <v>3</v>
      </c>
      <c r="Y3277" t="s">
        <v>22278</v>
      </c>
      <c r="Z3277" t="s">
        <v>28595</v>
      </c>
      <c r="AA3277">
        <v>0.61179171265365362</v>
      </c>
      <c r="AB3277" t="str">
        <f>HYPERLINK("Melting_Curves/meltCurve_Q13308_3_PTK7.pdf", "Melting_Curves/meltCurve_Q13308_3_PTK7.pdf")</f>
        <v>Melting_Curves/meltCurve_Q13308_3_PTK7.pdf</v>
      </c>
    </row>
    <row r="3278" spans="1:28" x14ac:dyDescent="0.25">
      <c r="A3278" t="s">
        <v>3282</v>
      </c>
      <c r="B3278">
        <v>0.99542014353169495</v>
      </c>
      <c r="C3278">
        <v>0.94442838735788903</v>
      </c>
      <c r="D3278">
        <v>0.74211090906487198</v>
      </c>
      <c r="E3278">
        <v>0.38185579932353497</v>
      </c>
      <c r="F3278">
        <v>0.19314621533668899</v>
      </c>
      <c r="G3278">
        <v>0.10856974562281101</v>
      </c>
      <c r="H3278">
        <v>6.8631441420395803E-2</v>
      </c>
      <c r="I3278">
        <v>3.44780004097794E-2</v>
      </c>
      <c r="J3278">
        <v>3.5510609099975297E-2</v>
      </c>
      <c r="K3278">
        <v>2.2928311873720301E-2</v>
      </c>
      <c r="L3278">
        <v>829.31096701854506</v>
      </c>
      <c r="M3278">
        <v>18.2885916810081</v>
      </c>
      <c r="N3278">
        <v>45.536417567054997</v>
      </c>
      <c r="O3278">
        <v>44.8140802884732</v>
      </c>
      <c r="P3278">
        <v>-9.8269914089148494E-2</v>
      </c>
      <c r="Q3278">
        <v>3.6848403219095598E-2</v>
      </c>
      <c r="R3278">
        <v>0.99850899184392805</v>
      </c>
      <c r="S3278" t="s">
        <v>9680</v>
      </c>
      <c r="T3278" t="s">
        <v>12802</v>
      </c>
      <c r="U3278" t="s">
        <v>12802</v>
      </c>
      <c r="V3278" t="s">
        <v>12802</v>
      </c>
      <c r="W3278" t="s">
        <v>16030</v>
      </c>
      <c r="X3278">
        <v>5</v>
      </c>
      <c r="Y3278" t="s">
        <v>22279</v>
      </c>
      <c r="Z3278" t="s">
        <v>28596</v>
      </c>
      <c r="AA3278">
        <v>0.31997717140813081</v>
      </c>
      <c r="AB3278" t="str">
        <f>HYPERLINK("Melting_Curves/meltCurve_Q13309_SKP2.pdf", "Melting_Curves/meltCurve_Q13309_SKP2.pdf")</f>
        <v>Melting_Curves/meltCurve_Q13309_SKP2.pdf</v>
      </c>
    </row>
    <row r="3279" spans="1:28" x14ac:dyDescent="0.25">
      <c r="A3279" t="s">
        <v>3283</v>
      </c>
      <c r="B3279">
        <v>0.99542014353169495</v>
      </c>
      <c r="C3279">
        <v>0.95217663119600704</v>
      </c>
      <c r="D3279">
        <v>0.90885594434911299</v>
      </c>
      <c r="E3279">
        <v>0.65813901561536603</v>
      </c>
      <c r="F3279">
        <v>0.217803622628581</v>
      </c>
      <c r="G3279">
        <v>8.0727994807605494E-2</v>
      </c>
      <c r="H3279">
        <v>5.6951648347522803E-2</v>
      </c>
      <c r="I3279">
        <v>3.50091458640601E-2</v>
      </c>
      <c r="J3279">
        <v>4.8861217157026703E-2</v>
      </c>
      <c r="K3279">
        <v>3.4601672031991298E-2</v>
      </c>
      <c r="L3279">
        <v>1207.2329038914099</v>
      </c>
      <c r="M3279">
        <v>25.401402056085601</v>
      </c>
      <c r="N3279">
        <v>47.669409645226601</v>
      </c>
      <c r="O3279">
        <v>47.2346050876452</v>
      </c>
      <c r="P3279">
        <v>-0.129506548227278</v>
      </c>
      <c r="Q3279">
        <v>3.6728143666941201E-2</v>
      </c>
      <c r="R3279">
        <v>0.99789627194793395</v>
      </c>
      <c r="S3279" t="s">
        <v>9681</v>
      </c>
      <c r="T3279" t="s">
        <v>12802</v>
      </c>
      <c r="U3279" t="s">
        <v>12802</v>
      </c>
      <c r="V3279" t="s">
        <v>12802</v>
      </c>
      <c r="W3279" t="s">
        <v>16031</v>
      </c>
      <c r="X3279">
        <v>26</v>
      </c>
      <c r="Y3279" t="s">
        <v>22280</v>
      </c>
      <c r="Z3279" t="s">
        <v>28597</v>
      </c>
      <c r="AA3279">
        <v>0.38261258483060262</v>
      </c>
      <c r="AB3279" t="str">
        <f>HYPERLINK("Melting_Curves/meltCurve_Q13310_3_PABPC4.pdf", "Melting_Curves/meltCurve_Q13310_3_PABPC4.pdf")</f>
        <v>Melting_Curves/meltCurve_Q13310_3_PABPC4.pdf</v>
      </c>
    </row>
    <row r="3280" spans="1:28" x14ac:dyDescent="0.25">
      <c r="A3280" t="s">
        <v>3284</v>
      </c>
      <c r="B3280">
        <v>0.99542014353169495</v>
      </c>
      <c r="C3280">
        <v>0.770826687868156</v>
      </c>
      <c r="D3280">
        <v>0.90068839197597195</v>
      </c>
      <c r="E3280">
        <v>0.55349404929875001</v>
      </c>
      <c r="F3280">
        <v>0.50216114134372103</v>
      </c>
      <c r="G3280">
        <v>0.13896110508894099</v>
      </c>
      <c r="H3280">
        <v>8.5392713152545693E-2</v>
      </c>
      <c r="I3280">
        <v>5.4940287067500697E-2</v>
      </c>
      <c r="J3280">
        <v>2.6787817110868101E-2</v>
      </c>
      <c r="K3280">
        <v>4.6247180007496599E-2</v>
      </c>
      <c r="L3280">
        <v>601.15657922609796</v>
      </c>
      <c r="M3280">
        <v>12.463409128104299</v>
      </c>
      <c r="N3280">
        <v>48.233719508336101</v>
      </c>
      <c r="O3280">
        <v>47.042491381592797</v>
      </c>
      <c r="P3280">
        <v>-6.6248653019377698E-2</v>
      </c>
      <c r="Q3280">
        <v>0</v>
      </c>
      <c r="R3280">
        <v>0.95618054925609497</v>
      </c>
      <c r="S3280" t="s">
        <v>9682</v>
      </c>
      <c r="T3280" t="s">
        <v>12802</v>
      </c>
      <c r="U3280" t="s">
        <v>12802</v>
      </c>
      <c r="V3280" t="s">
        <v>12802</v>
      </c>
      <c r="W3280" t="s">
        <v>16032</v>
      </c>
      <c r="X3280">
        <v>2</v>
      </c>
      <c r="Y3280" t="s">
        <v>22281</v>
      </c>
      <c r="Z3280" t="s">
        <v>28598</v>
      </c>
      <c r="AA3280">
        <v>0.4037442935015943</v>
      </c>
      <c r="AB3280" t="str">
        <f>HYPERLINK("Melting_Curves/meltCurve_Q13315_ATM.pdf", "Melting_Curves/meltCurve_Q13315_ATM.pdf")</f>
        <v>Melting_Curves/meltCurve_Q13315_ATM.pdf</v>
      </c>
    </row>
    <row r="3281" spans="1:28" x14ac:dyDescent="0.25">
      <c r="A3281" t="s">
        <v>3285</v>
      </c>
      <c r="B3281">
        <v>0.99542014353169495</v>
      </c>
      <c r="C3281">
        <v>1.07326821617553</v>
      </c>
      <c r="D3281">
        <v>0.91217075336594899</v>
      </c>
      <c r="E3281">
        <v>0.38717895843998701</v>
      </c>
      <c r="F3281">
        <v>0.14719606938642699</v>
      </c>
      <c r="G3281">
        <v>9.5246251187097702E-2</v>
      </c>
      <c r="H3281">
        <v>5.4374282870493902E-2</v>
      </c>
      <c r="I3281">
        <v>4.6065807390159398E-2</v>
      </c>
      <c r="J3281">
        <v>6.6251489501354996E-2</v>
      </c>
      <c r="K3281">
        <v>9.1773583348239901E-2</v>
      </c>
      <c r="L3281">
        <v>1583.8482195970801</v>
      </c>
      <c r="M3281">
        <v>34.615294863185397</v>
      </c>
      <c r="N3281">
        <v>45.9697407415279</v>
      </c>
      <c r="O3281">
        <v>45.6038326673836</v>
      </c>
      <c r="P3281">
        <v>-0.17563997722598401</v>
      </c>
      <c r="Q3281">
        <v>7.4417640295219203E-2</v>
      </c>
      <c r="R3281">
        <v>0.99450628257356199</v>
      </c>
      <c r="S3281" t="s">
        <v>9683</v>
      </c>
      <c r="T3281" t="s">
        <v>12802</v>
      </c>
      <c r="U3281" t="s">
        <v>12802</v>
      </c>
      <c r="V3281" t="s">
        <v>12802</v>
      </c>
      <c r="W3281" t="s">
        <v>16033</v>
      </c>
      <c r="X3281">
        <v>8</v>
      </c>
      <c r="Y3281" t="s">
        <v>22282</v>
      </c>
      <c r="Z3281" t="s">
        <v>28599</v>
      </c>
      <c r="AA3281">
        <v>0.34848339145188889</v>
      </c>
      <c r="AB3281" t="str">
        <f>HYPERLINK("Melting_Curves/meltCurve_Q13322_2_GRB10.pdf", "Melting_Curves/meltCurve_Q13322_2_GRB10.pdf")</f>
        <v>Melting_Curves/meltCurve_Q13322_2_GRB10.pdf</v>
      </c>
    </row>
    <row r="3282" spans="1:28" x14ac:dyDescent="0.25">
      <c r="A3282" t="s">
        <v>3286</v>
      </c>
      <c r="B3282">
        <v>0.99542014353169495</v>
      </c>
      <c r="C3282">
        <v>0.82642819334368101</v>
      </c>
      <c r="D3282">
        <v>0.83600511470683903</v>
      </c>
      <c r="E3282">
        <v>0.34645149609561998</v>
      </c>
      <c r="F3282">
        <v>0.15071858059913501</v>
      </c>
      <c r="G3282">
        <v>9.5060050694770595E-2</v>
      </c>
      <c r="H3282">
        <v>5.5620585671492299E-2</v>
      </c>
      <c r="I3282">
        <v>3.8398573060911302E-2</v>
      </c>
      <c r="J3282">
        <v>4.20853811393865E-2</v>
      </c>
      <c r="K3282">
        <v>3.7942515031431E-2</v>
      </c>
      <c r="L3282">
        <v>948.549391558146</v>
      </c>
      <c r="M3282">
        <v>20.9490700565729</v>
      </c>
      <c r="N3282">
        <v>45.464722818981002</v>
      </c>
      <c r="O3282">
        <v>44.872301823493402</v>
      </c>
      <c r="P3282">
        <v>-0.11192746265043101</v>
      </c>
      <c r="Q3282">
        <v>4.1044476001808002E-2</v>
      </c>
      <c r="R3282">
        <v>0.98413178050790695</v>
      </c>
      <c r="S3282" t="s">
        <v>9684</v>
      </c>
      <c r="T3282" t="s">
        <v>12802</v>
      </c>
      <c r="U3282" t="s">
        <v>12802</v>
      </c>
      <c r="V3282" t="s">
        <v>12802</v>
      </c>
      <c r="W3282" t="s">
        <v>16034</v>
      </c>
      <c r="X3282">
        <v>10</v>
      </c>
      <c r="Y3282" t="s">
        <v>22283</v>
      </c>
      <c r="Z3282" t="s">
        <v>28600</v>
      </c>
      <c r="AA3282">
        <v>0.31709058923199201</v>
      </c>
      <c r="AB3282" t="str">
        <f>HYPERLINK("Melting_Curves/meltCurve_Q13330_3_MTA1.pdf", "Melting_Curves/meltCurve_Q13330_3_MTA1.pdf")</f>
        <v>Melting_Curves/meltCurve_Q13330_3_MTA1.pdf</v>
      </c>
    </row>
    <row r="3283" spans="1:28" x14ac:dyDescent="0.25">
      <c r="A3283" t="s">
        <v>3287</v>
      </c>
      <c r="B3283">
        <v>0.99542014353169495</v>
      </c>
      <c r="C3283">
        <v>0.91571582147294095</v>
      </c>
      <c r="D3283">
        <v>0.83803221568951303</v>
      </c>
      <c r="E3283">
        <v>0.55119275149903202</v>
      </c>
      <c r="F3283">
        <v>0.251067560648079</v>
      </c>
      <c r="G3283">
        <v>0.116890377831465</v>
      </c>
      <c r="H3283">
        <v>7.84205504302741E-2</v>
      </c>
      <c r="I3283">
        <v>5.34999960631133E-2</v>
      </c>
      <c r="J3283">
        <v>6.7715169550229007E-2</v>
      </c>
      <c r="K3283">
        <v>6.8136001267302404E-2</v>
      </c>
      <c r="L3283">
        <v>845.29156947504703</v>
      </c>
      <c r="M3283">
        <v>18.0964446250889</v>
      </c>
      <c r="N3283">
        <v>46.982983151683101</v>
      </c>
      <c r="O3283">
        <v>46.151162342172803</v>
      </c>
      <c r="P3283">
        <v>-9.3146927910327304E-2</v>
      </c>
      <c r="Q3283">
        <v>4.9839326093680102E-2</v>
      </c>
      <c r="R3283">
        <v>0.99797017109402897</v>
      </c>
      <c r="S3283" t="s">
        <v>9685</v>
      </c>
      <c r="T3283" t="s">
        <v>12802</v>
      </c>
      <c r="U3283" t="s">
        <v>12802</v>
      </c>
      <c r="V3283" t="s">
        <v>12802</v>
      </c>
      <c r="W3283" t="s">
        <v>16035</v>
      </c>
      <c r="X3283">
        <v>19</v>
      </c>
      <c r="Y3283" t="s">
        <v>22284</v>
      </c>
      <c r="Z3283" t="s">
        <v>28601</v>
      </c>
      <c r="AA3283">
        <v>0.37250560995244097</v>
      </c>
      <c r="AB3283" t="str">
        <f>HYPERLINK("Melting_Curves/meltCurve_Q13347_EIF3I.pdf", "Melting_Curves/meltCurve_Q13347_EIF3I.pdf")</f>
        <v>Melting_Curves/meltCurve_Q13347_EIF3I.pdf</v>
      </c>
    </row>
    <row r="3284" spans="1:28" x14ac:dyDescent="0.25">
      <c r="A3284" t="s">
        <v>3288</v>
      </c>
      <c r="B3284">
        <v>0.99542014353169495</v>
      </c>
      <c r="C3284">
        <v>0.914715656908486</v>
      </c>
      <c r="D3284">
        <v>0.93763153522001697</v>
      </c>
      <c r="E3284">
        <v>0.67816486180453694</v>
      </c>
      <c r="F3284">
        <v>0.16467945563141501</v>
      </c>
      <c r="G3284">
        <v>7.7840897955673699E-2</v>
      </c>
      <c r="H3284">
        <v>4.1979113549099598E-2</v>
      </c>
      <c r="I3284">
        <v>2.9666232386108701E-2</v>
      </c>
      <c r="J3284">
        <v>3.3341134474996099E-2</v>
      </c>
      <c r="K3284">
        <v>3.0637366978880799E-2</v>
      </c>
      <c r="L3284">
        <v>1513.2362264261899</v>
      </c>
      <c r="M3284">
        <v>31.843919920254201</v>
      </c>
      <c r="N3284">
        <v>47.627329301533699</v>
      </c>
      <c r="O3284">
        <v>47.334185398462601</v>
      </c>
      <c r="P3284">
        <v>-0.162386601116916</v>
      </c>
      <c r="Q3284">
        <v>3.4490978750977098E-2</v>
      </c>
      <c r="R3284">
        <v>0.994744786242162</v>
      </c>
      <c r="S3284" t="s">
        <v>9686</v>
      </c>
      <c r="T3284" t="s">
        <v>12802</v>
      </c>
      <c r="U3284" t="s">
        <v>12802</v>
      </c>
      <c r="V3284" t="s">
        <v>12802</v>
      </c>
      <c r="W3284" t="s">
        <v>16036</v>
      </c>
      <c r="X3284">
        <v>28</v>
      </c>
      <c r="Y3284" t="s">
        <v>22285</v>
      </c>
      <c r="Z3284" t="s">
        <v>28602</v>
      </c>
      <c r="AA3284">
        <v>0.3781009486542935</v>
      </c>
      <c r="AB3284" t="str">
        <f>HYPERLINK("Melting_Curves/meltCurve_Q13356_PPIL2.pdf", "Melting_Curves/meltCurve_Q13356_PPIL2.pdf")</f>
        <v>Melting_Curves/meltCurve_Q13356_PPIL2.pdf</v>
      </c>
    </row>
    <row r="3285" spans="1:28" x14ac:dyDescent="0.25">
      <c r="A3285" t="s">
        <v>3289</v>
      </c>
      <c r="B3285">
        <v>0.99542014353169495</v>
      </c>
      <c r="C3285">
        <v>0.96188739686535496</v>
      </c>
      <c r="D3285">
        <v>0.94783118020825097</v>
      </c>
      <c r="E3285">
        <v>0.82187970059400595</v>
      </c>
      <c r="F3285">
        <v>0.46794164140254801</v>
      </c>
      <c r="G3285">
        <v>0.14561730398254399</v>
      </c>
      <c r="H3285">
        <v>7.9591340092202201E-2</v>
      </c>
      <c r="I3285">
        <v>5.7726552070135002E-2</v>
      </c>
      <c r="J3285">
        <v>6.5311028481957495E-2</v>
      </c>
      <c r="K3285">
        <v>7.1591744406203903E-2</v>
      </c>
      <c r="L3285">
        <v>1199.6109618119399</v>
      </c>
      <c r="M3285">
        <v>24.233852652585199</v>
      </c>
      <c r="N3285">
        <v>49.732515812308797</v>
      </c>
      <c r="O3285">
        <v>49.168061891777697</v>
      </c>
      <c r="P3285">
        <v>-0.116660746786824</v>
      </c>
      <c r="Q3285">
        <v>5.3242226916645902E-2</v>
      </c>
      <c r="R3285">
        <v>0.99772725895965297</v>
      </c>
      <c r="S3285" t="s">
        <v>9687</v>
      </c>
      <c r="T3285" t="s">
        <v>12802</v>
      </c>
      <c r="U3285" t="s">
        <v>12802</v>
      </c>
      <c r="V3285" t="s">
        <v>12802</v>
      </c>
      <c r="W3285" t="s">
        <v>16037</v>
      </c>
      <c r="X3285">
        <v>16</v>
      </c>
      <c r="Y3285" t="s">
        <v>20099</v>
      </c>
      <c r="Z3285" t="s">
        <v>28603</v>
      </c>
      <c r="AA3285">
        <v>0.45651017913927339</v>
      </c>
      <c r="AB3285" t="str">
        <f>HYPERLINK("Melting_Curves/meltCurve_Q13362_4_PPP2R5C.pdf", "Melting_Curves/meltCurve_Q13362_4_PPP2R5C.pdf")</f>
        <v>Melting_Curves/meltCurve_Q13362_4_PPP2R5C.pdf</v>
      </c>
    </row>
    <row r="3286" spans="1:28" x14ac:dyDescent="0.25">
      <c r="A3286" t="s">
        <v>3290</v>
      </c>
      <c r="B3286">
        <v>0.99542014353169495</v>
      </c>
      <c r="C3286">
        <v>0.98027372530337498</v>
      </c>
      <c r="D3286">
        <v>0.96861848759362301</v>
      </c>
      <c r="E3286">
        <v>0.82475648999846296</v>
      </c>
      <c r="F3286">
        <v>0.67166862453550102</v>
      </c>
      <c r="G3286">
        <v>0.54519995179436298</v>
      </c>
      <c r="H3286">
        <v>0.39287592549789901</v>
      </c>
      <c r="I3286">
        <v>0.37715324612207002</v>
      </c>
      <c r="J3286">
        <v>0.40052418524262001</v>
      </c>
      <c r="K3286">
        <v>0.25159506863306302</v>
      </c>
      <c r="L3286">
        <v>652.11437307909296</v>
      </c>
      <c r="M3286">
        <v>12.7675132324961</v>
      </c>
      <c r="N3286">
        <v>54.620913673055902</v>
      </c>
      <c r="O3286">
        <v>49.871715251962698</v>
      </c>
      <c r="P3286">
        <v>-4.5983135580324297E-2</v>
      </c>
      <c r="Q3286">
        <v>0.28166981283092202</v>
      </c>
      <c r="R3286">
        <v>0.98472288448489897</v>
      </c>
      <c r="S3286" t="s">
        <v>9688</v>
      </c>
      <c r="T3286" t="s">
        <v>12802</v>
      </c>
      <c r="U3286" t="s">
        <v>12802</v>
      </c>
      <c r="V3286" t="s">
        <v>12802</v>
      </c>
      <c r="W3286" t="s">
        <v>16038</v>
      </c>
      <c r="X3286">
        <v>14</v>
      </c>
      <c r="Y3286" t="s">
        <v>19616</v>
      </c>
      <c r="Z3286" t="s">
        <v>28604</v>
      </c>
      <c r="AA3286">
        <v>0.63615438274380309</v>
      </c>
      <c r="AB3286" t="str">
        <f>HYPERLINK("Melting_Curves/meltCurve_Q13363_2_CTBP1.pdf", "Melting_Curves/meltCurve_Q13363_2_CTBP1.pdf")</f>
        <v>Melting_Curves/meltCurve_Q13363_2_CTBP1.pdf</v>
      </c>
    </row>
    <row r="3287" spans="1:28" x14ac:dyDescent="0.25">
      <c r="A3287" t="s">
        <v>3291</v>
      </c>
      <c r="B3287">
        <v>0.99542014353169495</v>
      </c>
      <c r="C3287">
        <v>1.03918673868498</v>
      </c>
      <c r="D3287">
        <v>1.04869605013329</v>
      </c>
      <c r="E3287">
        <v>0.77375437802990199</v>
      </c>
      <c r="F3287">
        <v>0.42945039473447999</v>
      </c>
      <c r="G3287">
        <v>0.16697262679157199</v>
      </c>
      <c r="H3287">
        <v>0.10534753214046701</v>
      </c>
      <c r="I3287">
        <v>7.0947796843805297E-2</v>
      </c>
      <c r="J3287">
        <v>7.8329911738818994E-2</v>
      </c>
      <c r="K3287">
        <v>0.12060613574409999</v>
      </c>
      <c r="L3287">
        <v>1244.7221650203801</v>
      </c>
      <c r="M3287">
        <v>25.390536579835601</v>
      </c>
      <c r="N3287">
        <v>49.391798323336197</v>
      </c>
      <c r="O3287">
        <v>48.722013041636401</v>
      </c>
      <c r="P3287">
        <v>-0.11903575976431401</v>
      </c>
      <c r="Q3287">
        <v>8.6338575048153607E-2</v>
      </c>
      <c r="R3287">
        <v>0.99380056174098197</v>
      </c>
      <c r="S3287" t="s">
        <v>9689</v>
      </c>
      <c r="T3287" t="s">
        <v>12802</v>
      </c>
      <c r="U3287" t="s">
        <v>12802</v>
      </c>
      <c r="V3287" t="s">
        <v>12802</v>
      </c>
      <c r="W3287" t="s">
        <v>16039</v>
      </c>
      <c r="X3287">
        <v>9</v>
      </c>
      <c r="Y3287" t="s">
        <v>22286</v>
      </c>
      <c r="Z3287" t="s">
        <v>28605</v>
      </c>
      <c r="AA3287">
        <v>0.46016872715858109</v>
      </c>
      <c r="AB3287" t="str">
        <f>HYPERLINK("Melting_Curves/meltCurve_Q13371_PDCL.pdf", "Melting_Curves/meltCurve_Q13371_PDCL.pdf")</f>
        <v>Melting_Curves/meltCurve_Q13371_PDCL.pdf</v>
      </c>
    </row>
    <row r="3288" spans="1:28" x14ac:dyDescent="0.25">
      <c r="A3288" t="s">
        <v>3292</v>
      </c>
      <c r="B3288">
        <v>0.99542014353169495</v>
      </c>
      <c r="C3288">
        <v>0.90681396851465901</v>
      </c>
      <c r="D3288">
        <v>0.90441732631782301</v>
      </c>
      <c r="E3288">
        <v>0.68195589886805297</v>
      </c>
      <c r="F3288">
        <v>0.49633401915021702</v>
      </c>
      <c r="G3288">
        <v>0.25645198563212701</v>
      </c>
      <c r="H3288">
        <v>0.11698149218265901</v>
      </c>
      <c r="I3288">
        <v>8.72734505680684E-2</v>
      </c>
      <c r="J3288">
        <v>9.8329155846342206E-2</v>
      </c>
      <c r="K3288">
        <v>0.12912962534226499</v>
      </c>
      <c r="L3288">
        <v>712.79398918721301</v>
      </c>
      <c r="M3288">
        <v>14.540145672428499</v>
      </c>
      <c r="N3288">
        <v>49.477234097127997</v>
      </c>
      <c r="O3288">
        <v>48.123195692757697</v>
      </c>
      <c r="P3288">
        <v>-7.0819507572287596E-2</v>
      </c>
      <c r="Q3288">
        <v>6.2548011211250296E-2</v>
      </c>
      <c r="R3288">
        <v>0.99108024249508297</v>
      </c>
      <c r="S3288" t="s">
        <v>9690</v>
      </c>
      <c r="T3288" t="s">
        <v>12802</v>
      </c>
      <c r="U3288" t="s">
        <v>12802</v>
      </c>
      <c r="V3288" t="s">
        <v>12802</v>
      </c>
      <c r="W3288" t="s">
        <v>16040</v>
      </c>
      <c r="X3288">
        <v>6</v>
      </c>
      <c r="Y3288" t="s">
        <v>22287</v>
      </c>
      <c r="Z3288" t="s">
        <v>28606</v>
      </c>
      <c r="AA3288">
        <v>0.45938303157636973</v>
      </c>
      <c r="AB3288" t="str">
        <f>HYPERLINK("Melting_Curves/meltCurve_Q13393_2_PLD1.pdf", "Melting_Curves/meltCurve_Q13393_2_PLD1.pdf")</f>
        <v>Melting_Curves/meltCurve_Q13393_2_PLD1.pdf</v>
      </c>
    </row>
    <row r="3289" spans="1:28" x14ac:dyDescent="0.25">
      <c r="A3289" t="s">
        <v>3293</v>
      </c>
      <c r="B3289">
        <v>0.99542014353169495</v>
      </c>
      <c r="C3289">
        <v>0.78886636889228301</v>
      </c>
      <c r="D3289">
        <v>0.68922667209371102</v>
      </c>
      <c r="E3289">
        <v>0.51794945076911403</v>
      </c>
      <c r="F3289">
        <v>0.52959827566695805</v>
      </c>
      <c r="G3289">
        <v>0.21587633462870501</v>
      </c>
      <c r="H3289">
        <v>7.1882721025015597E-2</v>
      </c>
      <c r="I3289">
        <v>6.3022008495297099E-2</v>
      </c>
      <c r="J3289">
        <v>0</v>
      </c>
      <c r="K3289">
        <v>0</v>
      </c>
      <c r="L3289">
        <v>478.422067961442</v>
      </c>
      <c r="M3289">
        <v>10.115888012680401</v>
      </c>
      <c r="N3289">
        <v>47.294124581835703</v>
      </c>
      <c r="O3289">
        <v>45.557525001898199</v>
      </c>
      <c r="P3289">
        <v>-5.5537457693314599E-2</v>
      </c>
      <c r="Q3289">
        <v>0</v>
      </c>
      <c r="R3289">
        <v>0.95504864126505296</v>
      </c>
      <c r="S3289" t="s">
        <v>9691</v>
      </c>
      <c r="T3289" t="s">
        <v>12802</v>
      </c>
      <c r="U3289" t="s">
        <v>12802</v>
      </c>
      <c r="V3289" t="s">
        <v>12802</v>
      </c>
      <c r="W3289" t="s">
        <v>16041</v>
      </c>
      <c r="X3289">
        <v>2</v>
      </c>
      <c r="Y3289" t="s">
        <v>22288</v>
      </c>
      <c r="Z3289" t="s">
        <v>28607</v>
      </c>
      <c r="AA3289">
        <v>0.38474803646868411</v>
      </c>
      <c r="AB3289" t="str">
        <f>HYPERLINK("Melting_Curves/meltCurve_Q13395_TARBP1.pdf", "Melting_Curves/meltCurve_Q13395_TARBP1.pdf")</f>
        <v>Melting_Curves/meltCurve_Q13395_TARBP1.pdf</v>
      </c>
    </row>
    <row r="3290" spans="1:28" x14ac:dyDescent="0.25">
      <c r="A3290" t="s">
        <v>3294</v>
      </c>
      <c r="B3290">
        <v>0.99542014353169495</v>
      </c>
      <c r="C3290">
        <v>0.92340754010256298</v>
      </c>
      <c r="D3290">
        <v>0.96216683351590304</v>
      </c>
      <c r="E3290">
        <v>0.79792001210702901</v>
      </c>
      <c r="F3290">
        <v>0.58259451994665901</v>
      </c>
      <c r="G3290">
        <v>0.65270994886248301</v>
      </c>
      <c r="H3290">
        <v>0.44024713060117099</v>
      </c>
      <c r="I3290">
        <v>0.19640288413919901</v>
      </c>
      <c r="J3290">
        <v>0.107180558303035</v>
      </c>
      <c r="K3290">
        <v>0.11640719720385</v>
      </c>
      <c r="L3290">
        <v>533.83395389227996</v>
      </c>
      <c r="M3290">
        <v>9.8417061592579707</v>
      </c>
      <c r="N3290">
        <v>54.242013045538698</v>
      </c>
      <c r="O3290">
        <v>52.144887925819603</v>
      </c>
      <c r="P3290">
        <v>-4.7208821436337901E-2</v>
      </c>
      <c r="Q3290">
        <v>0</v>
      </c>
      <c r="R3290">
        <v>0.95666638491826295</v>
      </c>
      <c r="S3290" t="s">
        <v>9692</v>
      </c>
      <c r="T3290" t="s">
        <v>12802</v>
      </c>
      <c r="U3290" t="s">
        <v>12802</v>
      </c>
      <c r="V3290" t="s">
        <v>12802</v>
      </c>
      <c r="W3290" t="s">
        <v>16042</v>
      </c>
      <c r="X3290">
        <v>16</v>
      </c>
      <c r="Y3290" t="s">
        <v>22289</v>
      </c>
      <c r="Z3290" t="s">
        <v>28608</v>
      </c>
      <c r="AA3290">
        <v>0.59091588535727879</v>
      </c>
      <c r="AB3290" t="str">
        <f>HYPERLINK("Melting_Curves/meltCurve_Q13409_6_DYNC1I2.pdf", "Melting_Curves/meltCurve_Q13409_6_DYNC1I2.pdf")</f>
        <v>Melting_Curves/meltCurve_Q13409_6_DYNC1I2.pdf</v>
      </c>
    </row>
    <row r="3291" spans="1:28" x14ac:dyDescent="0.25">
      <c r="A3291" t="s">
        <v>3295</v>
      </c>
      <c r="B3291">
        <v>0.99542014353169495</v>
      </c>
      <c r="C3291">
        <v>0.95697351471123904</v>
      </c>
      <c r="D3291">
        <v>1.0730504722329901</v>
      </c>
      <c r="E3291">
        <v>0.42737191132970098</v>
      </c>
      <c r="F3291">
        <v>0.14044576236974499</v>
      </c>
      <c r="G3291">
        <v>7.1162425751729305E-2</v>
      </c>
      <c r="H3291">
        <v>4.60396151513007E-2</v>
      </c>
      <c r="I3291">
        <v>4.2499134432514497E-2</v>
      </c>
      <c r="J3291">
        <v>5.0908939667133703E-2</v>
      </c>
      <c r="K3291">
        <v>5.8893599101296303E-2</v>
      </c>
      <c r="L3291">
        <v>4317.0461594685303</v>
      </c>
      <c r="M3291">
        <v>93.104694639493303</v>
      </c>
      <c r="N3291">
        <v>46.4407422181472</v>
      </c>
      <c r="O3291">
        <v>46.346277483045696</v>
      </c>
      <c r="P3291">
        <v>-0.46799713298241602</v>
      </c>
      <c r="Q3291">
        <v>6.8149180471935702E-2</v>
      </c>
      <c r="R3291">
        <v>0.992173615541451</v>
      </c>
      <c r="S3291" t="s">
        <v>9693</v>
      </c>
      <c r="T3291" t="s">
        <v>12802</v>
      </c>
      <c r="U3291" t="s">
        <v>12802</v>
      </c>
      <c r="V3291" t="s">
        <v>12802</v>
      </c>
      <c r="W3291" t="s">
        <v>16043</v>
      </c>
      <c r="X3291">
        <v>9</v>
      </c>
      <c r="Y3291" t="s">
        <v>22290</v>
      </c>
      <c r="Z3291" t="s">
        <v>28609</v>
      </c>
      <c r="AA3291">
        <v>0.35967182849147977</v>
      </c>
      <c r="AB3291" t="str">
        <f>HYPERLINK("Melting_Curves/meltCurve_Q13416_ORC2.pdf", "Melting_Curves/meltCurve_Q13416_ORC2.pdf")</f>
        <v>Melting_Curves/meltCurve_Q13416_ORC2.pdf</v>
      </c>
    </row>
    <row r="3292" spans="1:28" x14ac:dyDescent="0.25">
      <c r="A3292" t="s">
        <v>3296</v>
      </c>
      <c r="B3292">
        <v>0.99542014353169495</v>
      </c>
      <c r="C3292">
        <v>0.94061802869690603</v>
      </c>
      <c r="D3292">
        <v>0.88472350733935201</v>
      </c>
      <c r="E3292">
        <v>0.59867865531595799</v>
      </c>
      <c r="F3292">
        <v>0.277663054906989</v>
      </c>
      <c r="G3292">
        <v>0.101218103536797</v>
      </c>
      <c r="H3292">
        <v>5.2260393688531297E-2</v>
      </c>
      <c r="I3292">
        <v>3.8715007125317898E-2</v>
      </c>
      <c r="J3292">
        <v>3.7613702006784301E-2</v>
      </c>
      <c r="K3292">
        <v>3.6653340908383902E-2</v>
      </c>
      <c r="L3292">
        <v>915.12363024061597</v>
      </c>
      <c r="M3292">
        <v>19.300822684403901</v>
      </c>
      <c r="N3292">
        <v>47.541868542609699</v>
      </c>
      <c r="O3292">
        <v>46.913527401272901</v>
      </c>
      <c r="P3292">
        <v>-0.100249692543842</v>
      </c>
      <c r="Q3292">
        <v>2.5349209900189799E-2</v>
      </c>
      <c r="R3292">
        <v>0.99900095001588496</v>
      </c>
      <c r="S3292" t="s">
        <v>9694</v>
      </c>
      <c r="T3292" t="s">
        <v>12802</v>
      </c>
      <c r="U3292" t="s">
        <v>12802</v>
      </c>
      <c r="V3292" t="s">
        <v>12802</v>
      </c>
      <c r="W3292" t="s">
        <v>16044</v>
      </c>
      <c r="X3292">
        <v>13</v>
      </c>
      <c r="Y3292" t="s">
        <v>22291</v>
      </c>
      <c r="Z3292" t="s">
        <v>28610</v>
      </c>
      <c r="AA3292">
        <v>0.37735595636244079</v>
      </c>
      <c r="AB3292" t="str">
        <f>HYPERLINK("Melting_Curves/meltCurve_Q13418_ILK.pdf", "Melting_Curves/meltCurve_Q13418_ILK.pdf")</f>
        <v>Melting_Curves/meltCurve_Q13418_ILK.pdf</v>
      </c>
    </row>
    <row r="3293" spans="1:28" x14ac:dyDescent="0.25">
      <c r="A3293" t="s">
        <v>3297</v>
      </c>
      <c r="B3293">
        <v>0.99542014353169495</v>
      </c>
      <c r="C3293">
        <v>0.90443154162686501</v>
      </c>
      <c r="D3293">
        <v>0.79825539914449595</v>
      </c>
      <c r="E3293">
        <v>0.63298921641533701</v>
      </c>
      <c r="F3293">
        <v>0.36634765237021999</v>
      </c>
      <c r="G3293">
        <v>0.177852153308904</v>
      </c>
      <c r="H3293">
        <v>0.101334911329942</v>
      </c>
      <c r="I3293">
        <v>6.6979791951411405E-2</v>
      </c>
      <c r="J3293">
        <v>8.7608175404621805E-2</v>
      </c>
      <c r="K3293">
        <v>0.12569755074842501</v>
      </c>
      <c r="L3293">
        <v>680.38551238487696</v>
      </c>
      <c r="M3293">
        <v>14.326820122684101</v>
      </c>
      <c r="N3293">
        <v>47.899282305958401</v>
      </c>
      <c r="O3293">
        <v>46.593837381810197</v>
      </c>
      <c r="P3293">
        <v>-7.2454404845605197E-2</v>
      </c>
      <c r="Q3293">
        <v>5.7566004043204798E-2</v>
      </c>
      <c r="R3293">
        <v>0.99229887713881804</v>
      </c>
      <c r="S3293" t="s">
        <v>9695</v>
      </c>
      <c r="T3293" t="s">
        <v>12802</v>
      </c>
      <c r="U3293" t="s">
        <v>12802</v>
      </c>
      <c r="V3293" t="s">
        <v>12802</v>
      </c>
      <c r="W3293" t="s">
        <v>16045</v>
      </c>
      <c r="X3293">
        <v>5</v>
      </c>
      <c r="Y3293" t="s">
        <v>22292</v>
      </c>
      <c r="Z3293" t="s">
        <v>28611</v>
      </c>
      <c r="AA3293">
        <v>0.4098275612474524</v>
      </c>
      <c r="AB3293" t="str">
        <f>HYPERLINK("Melting_Curves/meltCurve_Q13422_7_IKZF1.pdf", "Melting_Curves/meltCurve_Q13422_7_IKZF1.pdf")</f>
        <v>Melting_Curves/meltCurve_Q13422_7_IKZF1.pdf</v>
      </c>
    </row>
    <row r="3294" spans="1:28" x14ac:dyDescent="0.25">
      <c r="A3294" t="s">
        <v>3298</v>
      </c>
      <c r="B3294">
        <v>0.99542014353169495</v>
      </c>
      <c r="C3294">
        <v>0.80225703852302599</v>
      </c>
      <c r="D3294">
        <v>0.86974540508322795</v>
      </c>
      <c r="E3294">
        <v>0.59868960533614801</v>
      </c>
      <c r="F3294">
        <v>0.53887559617018999</v>
      </c>
      <c r="G3294">
        <v>0.24884161538507099</v>
      </c>
      <c r="H3294">
        <v>8.6459240746381796E-2</v>
      </c>
      <c r="I3294">
        <v>4.13717744210816E-2</v>
      </c>
      <c r="J3294">
        <v>4.1357861383468399E-2</v>
      </c>
      <c r="K3294">
        <v>4.7188665327639698E-2</v>
      </c>
      <c r="L3294">
        <v>575.239885638126</v>
      </c>
      <c r="M3294">
        <v>11.7542806840141</v>
      </c>
      <c r="N3294">
        <v>48.9387569745072</v>
      </c>
      <c r="O3294">
        <v>47.586695016968903</v>
      </c>
      <c r="P3294">
        <v>-6.1768056030149801E-2</v>
      </c>
      <c r="Q3294">
        <v>0</v>
      </c>
      <c r="R3294">
        <v>0.96872216269719802</v>
      </c>
      <c r="S3294" t="s">
        <v>9696</v>
      </c>
      <c r="T3294" t="s">
        <v>12802</v>
      </c>
      <c r="U3294" t="s">
        <v>12802</v>
      </c>
      <c r="V3294" t="s">
        <v>12802</v>
      </c>
      <c r="W3294" t="s">
        <v>16046</v>
      </c>
      <c r="X3294">
        <v>36</v>
      </c>
      <c r="Y3294" t="s">
        <v>22293</v>
      </c>
      <c r="Z3294" t="s">
        <v>28612</v>
      </c>
      <c r="AA3294">
        <v>0.42860484365584228</v>
      </c>
      <c r="AB3294" t="str">
        <f>HYPERLINK("Melting_Curves/meltCurve_Q13423_NNT.pdf", "Melting_Curves/meltCurve_Q13423_NNT.pdf")</f>
        <v>Melting_Curves/meltCurve_Q13423_NNT.pdf</v>
      </c>
    </row>
    <row r="3295" spans="1:28" x14ac:dyDescent="0.25">
      <c r="A3295" t="s">
        <v>3299</v>
      </c>
      <c r="B3295">
        <v>0.99542014353169495</v>
      </c>
      <c r="C3295">
        <v>0.82351279071143102</v>
      </c>
      <c r="D3295">
        <v>0.73543439209841399</v>
      </c>
      <c r="E3295">
        <v>0.49604362366079202</v>
      </c>
      <c r="F3295">
        <v>0.301078323814297</v>
      </c>
      <c r="G3295">
        <v>0.117620180982489</v>
      </c>
      <c r="H3295">
        <v>7.4478188730726702E-2</v>
      </c>
      <c r="I3295">
        <v>5.5534619228176998E-2</v>
      </c>
      <c r="J3295">
        <v>6.9968274977454101E-2</v>
      </c>
      <c r="K3295">
        <v>6.7495803259228104E-2</v>
      </c>
      <c r="L3295">
        <v>589.716121233276</v>
      </c>
      <c r="M3295">
        <v>12.78871875696</v>
      </c>
      <c r="N3295">
        <v>46.292868265356603</v>
      </c>
      <c r="O3295">
        <v>45.028370830169997</v>
      </c>
      <c r="P3295">
        <v>-6.9288428884367897E-2</v>
      </c>
      <c r="Q3295">
        <v>2.43411871949442E-2</v>
      </c>
      <c r="R3295">
        <v>0.99231116193336799</v>
      </c>
      <c r="S3295" t="s">
        <v>9697</v>
      </c>
      <c r="T3295" t="s">
        <v>12802</v>
      </c>
      <c r="U3295" t="s">
        <v>12802</v>
      </c>
      <c r="V3295" t="s">
        <v>12802</v>
      </c>
      <c r="W3295" t="s">
        <v>16047</v>
      </c>
      <c r="X3295">
        <v>1</v>
      </c>
      <c r="Y3295" t="s">
        <v>22294</v>
      </c>
      <c r="Z3295" t="s">
        <v>28613</v>
      </c>
      <c r="AA3295">
        <v>0.35068280500583182</v>
      </c>
      <c r="AB3295" t="str">
        <f>HYPERLINK("Melting_Curves/meltCurve_Q13424_SNTA1.pdf", "Melting_Curves/meltCurve_Q13424_SNTA1.pdf")</f>
        <v>Melting_Curves/meltCurve_Q13424_SNTA1.pdf</v>
      </c>
    </row>
    <row r="3296" spans="1:28" x14ac:dyDescent="0.25">
      <c r="A3296" t="s">
        <v>3300</v>
      </c>
      <c r="B3296">
        <v>0.99542014353169495</v>
      </c>
      <c r="C3296">
        <v>1.0144676668133401</v>
      </c>
      <c r="D3296">
        <v>0.83917968167846102</v>
      </c>
      <c r="E3296">
        <v>0.60424491042884798</v>
      </c>
      <c r="F3296">
        <v>0.32018095557234399</v>
      </c>
      <c r="G3296">
        <v>0.13418199818202201</v>
      </c>
      <c r="H3296">
        <v>0.108636517377215</v>
      </c>
      <c r="I3296">
        <v>5.9359253005207897E-2</v>
      </c>
      <c r="J3296">
        <v>0.14664286807598401</v>
      </c>
      <c r="K3296">
        <v>0.14090948438863901</v>
      </c>
      <c r="L3296">
        <v>930.75295303003497</v>
      </c>
      <c r="M3296">
        <v>19.788873041948001</v>
      </c>
      <c r="N3296">
        <v>47.570140496439599</v>
      </c>
      <c r="O3296">
        <v>46.561747178137502</v>
      </c>
      <c r="P3296">
        <v>-9.5636512579285501E-2</v>
      </c>
      <c r="Q3296">
        <v>9.9928134948782096E-2</v>
      </c>
      <c r="R3296">
        <v>0.99199685965429396</v>
      </c>
      <c r="S3296" t="s">
        <v>9698</v>
      </c>
      <c r="T3296" t="s">
        <v>12802</v>
      </c>
      <c r="U3296" t="s">
        <v>12802</v>
      </c>
      <c r="V3296" t="s">
        <v>12802</v>
      </c>
      <c r="W3296" t="s">
        <v>16048</v>
      </c>
      <c r="X3296">
        <v>3</v>
      </c>
      <c r="Y3296" t="s">
        <v>22295</v>
      </c>
      <c r="Z3296" t="s">
        <v>28614</v>
      </c>
      <c r="AA3296">
        <v>0.41300849390308131</v>
      </c>
      <c r="AB3296" t="str">
        <f>HYPERLINK("Melting_Curves/meltCurve_Q13425_SNTB2.pdf", "Melting_Curves/meltCurve_Q13425_SNTB2.pdf")</f>
        <v>Melting_Curves/meltCurve_Q13425_SNTB2.pdf</v>
      </c>
    </row>
    <row r="3297" spans="1:28" x14ac:dyDescent="0.25">
      <c r="A3297" t="s">
        <v>3301</v>
      </c>
      <c r="B3297">
        <v>0.99542014353169495</v>
      </c>
      <c r="C3297">
        <v>0.94606629077888704</v>
      </c>
      <c r="D3297">
        <v>0.86370772124495598</v>
      </c>
      <c r="E3297">
        <v>0.72482652078726695</v>
      </c>
      <c r="F3297">
        <v>0.65660694874654701</v>
      </c>
      <c r="G3297">
        <v>0.49714528042948902</v>
      </c>
      <c r="H3297">
        <v>0.33720505132735701</v>
      </c>
      <c r="I3297">
        <v>0.26840352087601999</v>
      </c>
      <c r="J3297">
        <v>0.38771722906428602</v>
      </c>
      <c r="K3297">
        <v>0.358863081691774</v>
      </c>
      <c r="L3297">
        <v>568.27748344521501</v>
      </c>
      <c r="M3297">
        <v>11.585187361855899</v>
      </c>
      <c r="N3297">
        <v>52.959504273777803</v>
      </c>
      <c r="O3297">
        <v>47.658893852619897</v>
      </c>
      <c r="P3297">
        <v>-4.3323126006509401E-2</v>
      </c>
      <c r="Q3297">
        <v>0.28730989837944798</v>
      </c>
      <c r="R3297">
        <v>0.96776937210744596</v>
      </c>
      <c r="S3297" t="s">
        <v>9699</v>
      </c>
      <c r="T3297" t="s">
        <v>12802</v>
      </c>
      <c r="U3297" t="s">
        <v>12802</v>
      </c>
      <c r="V3297" t="s">
        <v>12802</v>
      </c>
      <c r="W3297" t="s">
        <v>16049</v>
      </c>
      <c r="X3297">
        <v>10</v>
      </c>
      <c r="Y3297" t="s">
        <v>22296</v>
      </c>
      <c r="Z3297" t="s">
        <v>28615</v>
      </c>
      <c r="AA3297">
        <v>0.59572830291133672</v>
      </c>
      <c r="AB3297" t="str">
        <f>HYPERLINK("Melting_Curves/meltCurve_Q13426_3_XRCC4.pdf", "Melting_Curves/meltCurve_Q13426_3_XRCC4.pdf")</f>
        <v>Melting_Curves/meltCurve_Q13426_3_XRCC4.pdf</v>
      </c>
    </row>
    <row r="3298" spans="1:28" x14ac:dyDescent="0.25">
      <c r="A3298" t="s">
        <v>3302</v>
      </c>
      <c r="B3298">
        <v>0.99542014353169495</v>
      </c>
      <c r="C3298">
        <v>0.90611917113403595</v>
      </c>
      <c r="D3298">
        <v>0.78111303917289499</v>
      </c>
      <c r="E3298">
        <v>0.36729221552566998</v>
      </c>
      <c r="F3298">
        <v>0.17568411665328401</v>
      </c>
      <c r="G3298">
        <v>9.4966962079956904E-2</v>
      </c>
      <c r="H3298">
        <v>6.3443022292377194E-2</v>
      </c>
      <c r="I3298">
        <v>5.1325926480299301E-2</v>
      </c>
      <c r="J3298">
        <v>7.1603944109842194E-2</v>
      </c>
      <c r="K3298">
        <v>9.0212214220447798E-2</v>
      </c>
      <c r="L3298">
        <v>953.64006839794797</v>
      </c>
      <c r="M3298">
        <v>21.132586106889601</v>
      </c>
      <c r="N3298">
        <v>45.430050256963902</v>
      </c>
      <c r="O3298">
        <v>44.728259962621699</v>
      </c>
      <c r="P3298">
        <v>-0.11034323184169199</v>
      </c>
      <c r="Q3298">
        <v>6.5834793224236104E-2</v>
      </c>
      <c r="R3298">
        <v>0.99734680655423502</v>
      </c>
      <c r="S3298" t="s">
        <v>9700</v>
      </c>
      <c r="T3298" t="s">
        <v>12802</v>
      </c>
      <c r="U3298" t="s">
        <v>12802</v>
      </c>
      <c r="V3298" t="s">
        <v>12802</v>
      </c>
      <c r="W3298" t="s">
        <v>16050</v>
      </c>
      <c r="X3298">
        <v>9</v>
      </c>
      <c r="Y3298" t="s">
        <v>22297</v>
      </c>
      <c r="Z3298" t="s">
        <v>28616</v>
      </c>
      <c r="AA3298">
        <v>0.32980722102009707</v>
      </c>
      <c r="AB3298" t="str">
        <f>HYPERLINK("Melting_Curves/meltCurve_Q13427_PPIG.pdf", "Melting_Curves/meltCurve_Q13427_PPIG.pdf")</f>
        <v>Melting_Curves/meltCurve_Q13427_PPIG.pdf</v>
      </c>
    </row>
    <row r="3299" spans="1:28" x14ac:dyDescent="0.25">
      <c r="A3299" t="s">
        <v>3303</v>
      </c>
      <c r="B3299">
        <v>0.99542014353169495</v>
      </c>
      <c r="C3299">
        <v>0.99284114173381199</v>
      </c>
      <c r="D3299">
        <v>1.0127261955255999</v>
      </c>
      <c r="E3299">
        <v>0.870167150509224</v>
      </c>
      <c r="F3299">
        <v>0.69792010804237103</v>
      </c>
      <c r="G3299">
        <v>0.40844868111698701</v>
      </c>
      <c r="H3299">
        <v>0.235641319533023</v>
      </c>
      <c r="I3299">
        <v>0.13785346665776199</v>
      </c>
      <c r="J3299">
        <v>0.15737161000081801</v>
      </c>
      <c r="K3299">
        <v>0.18011155071045901</v>
      </c>
      <c r="L3299">
        <v>1016.0930361867</v>
      </c>
      <c r="M3299">
        <v>19.698920699706498</v>
      </c>
      <c r="N3299">
        <v>52.436453477088897</v>
      </c>
      <c r="O3299">
        <v>51.058389171103599</v>
      </c>
      <c r="P3299">
        <v>-8.3203193820914303E-2</v>
      </c>
      <c r="Q3299">
        <v>0.13739923200326701</v>
      </c>
      <c r="R3299">
        <v>0.99607803747102297</v>
      </c>
      <c r="S3299" t="s">
        <v>9701</v>
      </c>
      <c r="T3299" t="s">
        <v>12802</v>
      </c>
      <c r="U3299" t="s">
        <v>12802</v>
      </c>
      <c r="V3299" t="s">
        <v>12802</v>
      </c>
      <c r="W3299" t="s">
        <v>16051</v>
      </c>
      <c r="X3299">
        <v>48</v>
      </c>
      <c r="Y3299" t="s">
        <v>22298</v>
      </c>
      <c r="Z3299" t="s">
        <v>28617</v>
      </c>
      <c r="AA3299">
        <v>0.56814898460601593</v>
      </c>
      <c r="AB3299" t="str">
        <f>HYPERLINK("Melting_Curves/meltCurve_Q13428_3_TCOF1.pdf", "Melting_Curves/meltCurve_Q13428_3_TCOF1.pdf")</f>
        <v>Melting_Curves/meltCurve_Q13428_3_TCOF1.pdf</v>
      </c>
    </row>
    <row r="3300" spans="1:28" x14ac:dyDescent="0.25">
      <c r="A3300" t="s">
        <v>3304</v>
      </c>
      <c r="B3300">
        <v>0.99542014353169495</v>
      </c>
      <c r="C3300">
        <v>0.95904405610715304</v>
      </c>
      <c r="D3300">
        <v>0.73896314413898101</v>
      </c>
      <c r="E3300">
        <v>0.59583402223951898</v>
      </c>
      <c r="F3300">
        <v>0.480168865161476</v>
      </c>
      <c r="G3300">
        <v>0.32197753509722699</v>
      </c>
      <c r="H3300">
        <v>0.25158257461435102</v>
      </c>
      <c r="I3300">
        <v>0.27480742201143799</v>
      </c>
      <c r="J3300">
        <v>0.30694963120858298</v>
      </c>
      <c r="K3300">
        <v>0.31729741729538302</v>
      </c>
      <c r="L3300">
        <v>660.27155029220603</v>
      </c>
      <c r="M3300">
        <v>14.449798076685999</v>
      </c>
      <c r="N3300">
        <v>48.337955054142597</v>
      </c>
      <c r="O3300">
        <v>44.845750990051798</v>
      </c>
      <c r="P3300">
        <v>-5.8556769266491802E-2</v>
      </c>
      <c r="Q3300">
        <v>0.27314825665987302</v>
      </c>
      <c r="R3300">
        <v>0.98174746388456502</v>
      </c>
      <c r="S3300" t="s">
        <v>9702</v>
      </c>
      <c r="T3300" t="s">
        <v>12802</v>
      </c>
      <c r="U3300" t="s">
        <v>12802</v>
      </c>
      <c r="V3300" t="s">
        <v>12802</v>
      </c>
      <c r="W3300" t="s">
        <v>16052</v>
      </c>
      <c r="X3300">
        <v>1</v>
      </c>
      <c r="Y3300" t="s">
        <v>22299</v>
      </c>
      <c r="Z3300" t="s">
        <v>28618</v>
      </c>
      <c r="AA3300">
        <v>0.50195233132045158</v>
      </c>
      <c r="AB3300" t="str">
        <f>HYPERLINK("Melting_Curves/meltCurve_Q13429_IGF_I.pdf", "Melting_Curves/meltCurve_Q13429_IGF_I.pdf")</f>
        <v>Melting_Curves/meltCurve_Q13429_IGF_I.pdf</v>
      </c>
    </row>
    <row r="3301" spans="1:28" x14ac:dyDescent="0.25">
      <c r="A3301" t="s">
        <v>3305</v>
      </c>
      <c r="B3301">
        <v>0.99542014353169495</v>
      </c>
      <c r="C3301">
        <v>1.0408796004615199</v>
      </c>
      <c r="D3301">
        <v>0.91913322310970103</v>
      </c>
      <c r="E3301">
        <v>0.59382636381396403</v>
      </c>
      <c r="F3301">
        <v>0.25799552056328101</v>
      </c>
      <c r="G3301">
        <v>0.16377328549395301</v>
      </c>
      <c r="H3301">
        <v>0.16793917258416399</v>
      </c>
      <c r="I3301">
        <v>9.3635522776971694E-2</v>
      </c>
      <c r="J3301">
        <v>0.136686826774744</v>
      </c>
      <c r="K3301">
        <v>0.11767148281277701</v>
      </c>
      <c r="L3301">
        <v>1222.35150449709</v>
      </c>
      <c r="M3301">
        <v>26.0838063483368</v>
      </c>
      <c r="N3301">
        <v>47.398281518662003</v>
      </c>
      <c r="O3301">
        <v>46.589626281702401</v>
      </c>
      <c r="P3301">
        <v>-0.122095764200675</v>
      </c>
      <c r="Q3301">
        <v>0.127683918785611</v>
      </c>
      <c r="R3301">
        <v>0.99637267635651305</v>
      </c>
      <c r="S3301" t="s">
        <v>9703</v>
      </c>
      <c r="T3301" t="s">
        <v>12802</v>
      </c>
      <c r="U3301" t="s">
        <v>12802</v>
      </c>
      <c r="V3301" t="s">
        <v>12802</v>
      </c>
      <c r="W3301" t="s">
        <v>16053</v>
      </c>
      <c r="X3301">
        <v>2</v>
      </c>
      <c r="Y3301" t="s">
        <v>22300</v>
      </c>
      <c r="Z3301" t="s">
        <v>28619</v>
      </c>
      <c r="AA3301">
        <v>0.42116807602268602</v>
      </c>
      <c r="AB3301" t="str">
        <f>HYPERLINK("Melting_Curves/meltCurve_Q13432_2_UNC119.pdf", "Melting_Curves/meltCurve_Q13432_2_UNC119.pdf")</f>
        <v>Melting_Curves/meltCurve_Q13432_2_UNC119.pdf</v>
      </c>
    </row>
    <row r="3302" spans="1:28" x14ac:dyDescent="0.25">
      <c r="A3302" t="s">
        <v>3306</v>
      </c>
      <c r="B3302">
        <v>0.99542014353169495</v>
      </c>
      <c r="C3302">
        <v>0.89181753460055202</v>
      </c>
      <c r="D3302">
        <v>0.92163563103514501</v>
      </c>
      <c r="E3302">
        <v>0.66809240080155197</v>
      </c>
      <c r="F3302">
        <v>0.491648731606464</v>
      </c>
      <c r="G3302">
        <v>0.291488160965646</v>
      </c>
      <c r="H3302">
        <v>0.17461168768266699</v>
      </c>
      <c r="I3302">
        <v>0.14373824609699401</v>
      </c>
      <c r="J3302">
        <v>0.19051813311451901</v>
      </c>
      <c r="K3302">
        <v>0.36228152936344399</v>
      </c>
      <c r="L3302">
        <v>838.076929009948</v>
      </c>
      <c r="M3302">
        <v>17.550298015633601</v>
      </c>
      <c r="N3302">
        <v>49.2382060142589</v>
      </c>
      <c r="O3302">
        <v>47.145815758278097</v>
      </c>
      <c r="P3302">
        <v>-7.3940509240022101E-2</v>
      </c>
      <c r="Q3302">
        <v>0.20553016288023801</v>
      </c>
      <c r="R3302">
        <v>0.95456076548667401</v>
      </c>
      <c r="S3302" t="s">
        <v>9704</v>
      </c>
      <c r="T3302" t="s">
        <v>12802</v>
      </c>
      <c r="U3302" t="s">
        <v>12802</v>
      </c>
      <c r="V3302" t="s">
        <v>12802</v>
      </c>
      <c r="W3302" t="s">
        <v>16054</v>
      </c>
      <c r="X3302">
        <v>27</v>
      </c>
      <c r="Y3302" t="s">
        <v>22301</v>
      </c>
      <c r="Z3302" t="s">
        <v>28620</v>
      </c>
      <c r="AA3302">
        <v>0.50360853382419024</v>
      </c>
      <c r="AB3302" t="str">
        <f>HYPERLINK("Melting_Curves/meltCurve_Q13435_SF3B2.pdf", "Melting_Curves/meltCurve_Q13435_SF3B2.pdf")</f>
        <v>Melting_Curves/meltCurve_Q13435_SF3B2.pdf</v>
      </c>
    </row>
    <row r="3303" spans="1:28" x14ac:dyDescent="0.25">
      <c r="A3303" t="s">
        <v>3307</v>
      </c>
      <c r="B3303">
        <v>0.99542014353169495</v>
      </c>
      <c r="C3303">
        <v>1.0168375646352601</v>
      </c>
      <c r="D3303">
        <v>1.1310922971611801</v>
      </c>
      <c r="E3303">
        <v>0.85662062573345799</v>
      </c>
      <c r="F3303">
        <v>0.73567538390778198</v>
      </c>
      <c r="G3303">
        <v>0.27928637900951903</v>
      </c>
      <c r="H3303">
        <v>0.14716269642582</v>
      </c>
      <c r="I3303">
        <v>0.104419475619345</v>
      </c>
      <c r="J3303">
        <v>8.2208156550446096E-2</v>
      </c>
      <c r="K3303">
        <v>0.10875974306814599</v>
      </c>
      <c r="L3303">
        <v>1406.71335082885</v>
      </c>
      <c r="M3303">
        <v>27.32507819676</v>
      </c>
      <c r="N3303">
        <v>51.859003951668001</v>
      </c>
      <c r="O3303">
        <v>51.207316718980699</v>
      </c>
      <c r="P3303">
        <v>-0.121349876123933</v>
      </c>
      <c r="Q3303">
        <v>9.0367793912828107E-2</v>
      </c>
      <c r="R3303">
        <v>0.98264258122883297</v>
      </c>
      <c r="S3303" t="s">
        <v>9705</v>
      </c>
      <c r="T3303" t="s">
        <v>12802</v>
      </c>
      <c r="U3303" t="s">
        <v>12802</v>
      </c>
      <c r="V3303" t="s">
        <v>12802</v>
      </c>
      <c r="W3303" t="s">
        <v>16055</v>
      </c>
      <c r="X3303">
        <v>7</v>
      </c>
      <c r="Y3303" t="s">
        <v>22302</v>
      </c>
      <c r="Z3303" t="s">
        <v>28621</v>
      </c>
      <c r="AA3303">
        <v>0.5362569296062728</v>
      </c>
      <c r="AB3303" t="str">
        <f>HYPERLINK("Melting_Curves/meltCurve_Q13438_4_OS9.pdf", "Melting_Curves/meltCurve_Q13438_4_OS9.pdf")</f>
        <v>Melting_Curves/meltCurve_Q13438_4_OS9.pdf</v>
      </c>
    </row>
    <row r="3304" spans="1:28" x14ac:dyDescent="0.25">
      <c r="A3304" t="s">
        <v>3308</v>
      </c>
      <c r="B3304">
        <v>0.99542014353169495</v>
      </c>
      <c r="C3304">
        <v>0.94696567775409901</v>
      </c>
      <c r="D3304">
        <v>0.84414912033877598</v>
      </c>
      <c r="E3304">
        <v>0.31223711218161998</v>
      </c>
      <c r="F3304">
        <v>0.17615474513555801</v>
      </c>
      <c r="G3304">
        <v>9.4991378465718895E-2</v>
      </c>
      <c r="H3304">
        <v>6.6674842194882802E-2</v>
      </c>
      <c r="I3304">
        <v>4.7250902050565903E-2</v>
      </c>
      <c r="J3304">
        <v>4.5703427236197497E-2</v>
      </c>
      <c r="K3304">
        <v>5.0951865503178297E-2</v>
      </c>
      <c r="L3304">
        <v>1255.9162704626999</v>
      </c>
      <c r="M3304">
        <v>27.799141134052299</v>
      </c>
      <c r="N3304">
        <v>45.406245067671598</v>
      </c>
      <c r="O3304">
        <v>44.946398370602601</v>
      </c>
      <c r="P3304">
        <v>-0.14455241076890901</v>
      </c>
      <c r="Q3304">
        <v>6.5143463286278902E-2</v>
      </c>
      <c r="R3304">
        <v>0.995042035389194</v>
      </c>
      <c r="S3304" t="s">
        <v>9706</v>
      </c>
      <c r="T3304" t="s">
        <v>12802</v>
      </c>
      <c r="U3304" t="s">
        <v>12802</v>
      </c>
      <c r="V3304" t="s">
        <v>12802</v>
      </c>
      <c r="W3304" t="s">
        <v>16056</v>
      </c>
      <c r="X3304">
        <v>27</v>
      </c>
      <c r="Y3304" t="s">
        <v>22303</v>
      </c>
      <c r="Z3304" t="s">
        <v>28622</v>
      </c>
      <c r="AA3304">
        <v>0.3261521626766945</v>
      </c>
      <c r="AB3304" t="str">
        <f>HYPERLINK("Melting_Curves/meltCurve_Q13439_3_GOLGA4.pdf", "Melting_Curves/meltCurve_Q13439_3_GOLGA4.pdf")</f>
        <v>Melting_Curves/meltCurve_Q13439_3_GOLGA4.pdf</v>
      </c>
    </row>
    <row r="3305" spans="1:28" x14ac:dyDescent="0.25">
      <c r="A3305" t="s">
        <v>3309</v>
      </c>
      <c r="B3305">
        <v>0.99542014353169495</v>
      </c>
      <c r="C3305">
        <v>1.1316587310181501</v>
      </c>
      <c r="D3305">
        <v>1.0285944535723399</v>
      </c>
      <c r="E3305">
        <v>0.94287101237911697</v>
      </c>
      <c r="F3305">
        <v>0.82959354131969099</v>
      </c>
      <c r="G3305">
        <v>1.0232965550574</v>
      </c>
      <c r="H3305">
        <v>1.4101033416070201</v>
      </c>
      <c r="I3305">
        <v>1.6448574543622501</v>
      </c>
      <c r="J3305">
        <v>2.6220388552332099</v>
      </c>
      <c r="K3305">
        <v>3.7806992134377602</v>
      </c>
      <c r="L3305">
        <v>4893.06335611543</v>
      </c>
      <c r="M3305">
        <v>86.807640245274996</v>
      </c>
      <c r="O3305">
        <v>56.336842259151403</v>
      </c>
      <c r="P3305">
        <v>0.19260852427512701</v>
      </c>
      <c r="Q3305">
        <v>1.5</v>
      </c>
      <c r="R3305">
        <v>0.19076741029236299</v>
      </c>
      <c r="S3305" t="s">
        <v>9707</v>
      </c>
      <c r="T3305" t="s">
        <v>12802</v>
      </c>
      <c r="U3305" t="s">
        <v>12802</v>
      </c>
      <c r="V3305" t="s">
        <v>12802</v>
      </c>
      <c r="W3305" t="s">
        <v>16057</v>
      </c>
      <c r="X3305">
        <v>17</v>
      </c>
      <c r="Y3305" t="s">
        <v>22304</v>
      </c>
      <c r="Z3305" t="s">
        <v>28623</v>
      </c>
      <c r="AA3305">
        <v>1.1768101828416959</v>
      </c>
      <c r="AB3305" t="str">
        <f>HYPERLINK("Melting_Curves/meltCurve_Q13442_PDAP1.pdf", "Melting_Curves/meltCurve_Q13442_PDAP1.pdf")</f>
        <v>Melting_Curves/meltCurve_Q13442_PDAP1.pdf</v>
      </c>
    </row>
    <row r="3306" spans="1:28" x14ac:dyDescent="0.25">
      <c r="A3306" t="s">
        <v>3310</v>
      </c>
      <c r="B3306">
        <v>0.99542014353169495</v>
      </c>
      <c r="C3306">
        <v>0.911645003320398</v>
      </c>
      <c r="D3306">
        <v>0.99004966539166706</v>
      </c>
      <c r="E3306">
        <v>0.87982770355095397</v>
      </c>
      <c r="F3306">
        <v>0.65135499874634895</v>
      </c>
      <c r="G3306">
        <v>0.412696882099853</v>
      </c>
      <c r="H3306">
        <v>0.2477231674591</v>
      </c>
      <c r="I3306">
        <v>0.158613620570802</v>
      </c>
      <c r="J3306">
        <v>0.153858225097037</v>
      </c>
      <c r="K3306">
        <v>0.15924913381866099</v>
      </c>
      <c r="L3306">
        <v>901.25206271472302</v>
      </c>
      <c r="M3306">
        <v>17.523463131743199</v>
      </c>
      <c r="N3306">
        <v>52.310674249639803</v>
      </c>
      <c r="O3306">
        <v>50.775394302151298</v>
      </c>
      <c r="P3306">
        <v>-7.5274613947616004E-2</v>
      </c>
      <c r="Q3306">
        <v>0.12759511120110401</v>
      </c>
      <c r="R3306">
        <v>0.99337639555583901</v>
      </c>
      <c r="S3306" t="s">
        <v>9708</v>
      </c>
      <c r="T3306" t="s">
        <v>12802</v>
      </c>
      <c r="U3306" t="s">
        <v>12802</v>
      </c>
      <c r="V3306" t="s">
        <v>12802</v>
      </c>
      <c r="W3306" t="s">
        <v>16058</v>
      </c>
      <c r="X3306">
        <v>11</v>
      </c>
      <c r="Y3306" t="s">
        <v>22305</v>
      </c>
      <c r="Z3306" t="s">
        <v>28624</v>
      </c>
      <c r="AA3306">
        <v>0.56120015059342665</v>
      </c>
      <c r="AB3306" t="str">
        <f>HYPERLINK("Melting_Curves/meltCurve_Q13443_ADAM9.pdf", "Melting_Curves/meltCurve_Q13443_ADAM9.pdf")</f>
        <v>Melting_Curves/meltCurve_Q13443_ADAM9.pdf</v>
      </c>
    </row>
    <row r="3307" spans="1:28" x14ac:dyDescent="0.25">
      <c r="A3307" t="s">
        <v>3311</v>
      </c>
      <c r="B3307">
        <v>0.99542014353169495</v>
      </c>
      <c r="C3307">
        <v>0.94655690351883304</v>
      </c>
      <c r="D3307">
        <v>0.89136555237455695</v>
      </c>
      <c r="E3307">
        <v>0.68267839311689404</v>
      </c>
      <c r="F3307">
        <v>0.57259375027562398</v>
      </c>
      <c r="G3307">
        <v>0.27394369300327098</v>
      </c>
      <c r="H3307">
        <v>0.181754118763232</v>
      </c>
      <c r="I3307">
        <v>0.11376173990671</v>
      </c>
      <c r="J3307">
        <v>0.10801697460734</v>
      </c>
      <c r="K3307">
        <v>8.7354741847735798E-2</v>
      </c>
      <c r="L3307">
        <v>629.06933592541895</v>
      </c>
      <c r="M3307">
        <v>12.6040375683382</v>
      </c>
      <c r="N3307">
        <v>50.227211141022202</v>
      </c>
      <c r="O3307">
        <v>48.703763796795002</v>
      </c>
      <c r="P3307">
        <v>-6.2235728708412701E-2</v>
      </c>
      <c r="Q3307">
        <v>3.8241392771794003E-2</v>
      </c>
      <c r="R3307">
        <v>0.99282614201777097</v>
      </c>
      <c r="S3307" t="s">
        <v>9709</v>
      </c>
      <c r="T3307" t="s">
        <v>12802</v>
      </c>
      <c r="U3307" t="s">
        <v>12802</v>
      </c>
      <c r="V3307" t="s">
        <v>12802</v>
      </c>
      <c r="W3307" t="s">
        <v>16059</v>
      </c>
      <c r="X3307">
        <v>4</v>
      </c>
      <c r="Y3307" t="s">
        <v>22306</v>
      </c>
      <c r="Z3307" t="s">
        <v>28625</v>
      </c>
      <c r="AA3307">
        <v>0.47763400112254589</v>
      </c>
      <c r="AB3307" t="str">
        <f>HYPERLINK("Melting_Curves/meltCurve_Q13444_8_ADAM15.pdf", "Melting_Curves/meltCurve_Q13444_8_ADAM15.pdf")</f>
        <v>Melting_Curves/meltCurve_Q13444_8_ADAM15.pdf</v>
      </c>
    </row>
    <row r="3308" spans="1:28" x14ac:dyDescent="0.25">
      <c r="A3308" t="s">
        <v>3312</v>
      </c>
      <c r="B3308">
        <v>0.99542014353169495</v>
      </c>
      <c r="C3308">
        <v>0.96028215802153605</v>
      </c>
      <c r="D3308">
        <v>0.94349550306115004</v>
      </c>
      <c r="E3308">
        <v>0.80970881581304099</v>
      </c>
      <c r="F3308">
        <v>0.72266000020802301</v>
      </c>
      <c r="G3308">
        <v>0.33064062561180202</v>
      </c>
      <c r="H3308">
        <v>0.227989914849593</v>
      </c>
      <c r="I3308">
        <v>9.7518962192007397E-2</v>
      </c>
      <c r="J3308">
        <v>9.0417393655265604E-2</v>
      </c>
      <c r="K3308">
        <v>9.9309769163178505E-2</v>
      </c>
      <c r="L3308">
        <v>839.34477250145005</v>
      </c>
      <c r="M3308">
        <v>16.216883814856601</v>
      </c>
      <c r="N3308">
        <v>52.1005162946295</v>
      </c>
      <c r="O3308">
        <v>50.989629526883</v>
      </c>
      <c r="P3308">
        <v>-7.5490060413769405E-2</v>
      </c>
      <c r="Q3308">
        <v>5.0637839099003101E-2</v>
      </c>
      <c r="R3308">
        <v>0.98874139289502805</v>
      </c>
      <c r="S3308" t="s">
        <v>9710</v>
      </c>
      <c r="T3308" t="s">
        <v>12802</v>
      </c>
      <c r="U3308" t="s">
        <v>12802</v>
      </c>
      <c r="V3308" t="s">
        <v>12802</v>
      </c>
      <c r="W3308" t="s">
        <v>16060</v>
      </c>
      <c r="X3308">
        <v>2</v>
      </c>
      <c r="Y3308" t="s">
        <v>22307</v>
      </c>
      <c r="Z3308" t="s">
        <v>28626</v>
      </c>
      <c r="AA3308">
        <v>0.53434962663135221</v>
      </c>
      <c r="AB3308" t="str">
        <f>HYPERLINK("Melting_Curves/meltCurve_Q13445_TMED1.pdf", "Melting_Curves/meltCurve_Q13445_TMED1.pdf")</f>
        <v>Melting_Curves/meltCurve_Q13445_TMED1.pdf</v>
      </c>
    </row>
    <row r="3309" spans="1:28" x14ac:dyDescent="0.25">
      <c r="A3309" t="s">
        <v>3313</v>
      </c>
      <c r="B3309">
        <v>0.99542014353169495</v>
      </c>
      <c r="C3309">
        <v>0.96205644956833802</v>
      </c>
      <c r="D3309">
        <v>0.93007596082987398</v>
      </c>
      <c r="E3309">
        <v>0.29737228172679098</v>
      </c>
      <c r="F3309">
        <v>0.15404828272167401</v>
      </c>
      <c r="G3309">
        <v>9.5490040123671294E-2</v>
      </c>
      <c r="H3309">
        <v>6.4593043364286298E-2</v>
      </c>
      <c r="I3309">
        <v>4.5653294274469597E-2</v>
      </c>
      <c r="J3309">
        <v>4.8576987921923699E-2</v>
      </c>
      <c r="K3309">
        <v>5.0365985042835598E-2</v>
      </c>
      <c r="L3309">
        <v>1860.5367871957501</v>
      </c>
      <c r="M3309">
        <v>40.986074684182</v>
      </c>
      <c r="N3309">
        <v>45.566094910539498</v>
      </c>
      <c r="O3309">
        <v>45.286708387476899</v>
      </c>
      <c r="P3309">
        <v>-0.210066922857405</v>
      </c>
      <c r="Q3309">
        <v>7.1565657538622707E-2</v>
      </c>
      <c r="R3309">
        <v>0.99494980871255101</v>
      </c>
      <c r="S3309" t="s">
        <v>9711</v>
      </c>
      <c r="T3309" t="s">
        <v>12802</v>
      </c>
      <c r="U3309" t="s">
        <v>12802</v>
      </c>
      <c r="V3309" t="s">
        <v>12802</v>
      </c>
      <c r="W3309" t="s">
        <v>16061</v>
      </c>
      <c r="X3309">
        <v>31</v>
      </c>
      <c r="Y3309" t="s">
        <v>22308</v>
      </c>
      <c r="Z3309" t="s">
        <v>28627</v>
      </c>
      <c r="AA3309">
        <v>0.33412907086479682</v>
      </c>
      <c r="AB3309" t="str">
        <f>HYPERLINK("Melting_Curves/meltCurve_Q13451_FKBP5.pdf", "Melting_Curves/meltCurve_Q13451_FKBP5.pdf")</f>
        <v>Melting_Curves/meltCurve_Q13451_FKBP5.pdf</v>
      </c>
    </row>
    <row r="3310" spans="1:28" x14ac:dyDescent="0.25">
      <c r="A3310" t="s">
        <v>3314</v>
      </c>
      <c r="B3310">
        <v>0.99542014353169495</v>
      </c>
      <c r="C3310">
        <v>0.93854698379282597</v>
      </c>
      <c r="D3310">
        <v>0.99912900920118797</v>
      </c>
      <c r="E3310">
        <v>0.79363103112336597</v>
      </c>
      <c r="F3310">
        <v>0.32295941879714302</v>
      </c>
      <c r="G3310">
        <v>0.128929455746187</v>
      </c>
      <c r="H3310">
        <v>7.1044825001814998E-2</v>
      </c>
      <c r="I3310">
        <v>4.9964013780635599E-2</v>
      </c>
      <c r="J3310">
        <v>5.7550909974213603E-2</v>
      </c>
      <c r="K3310">
        <v>5.8743492403898902E-2</v>
      </c>
      <c r="L3310">
        <v>1410.83488474419</v>
      </c>
      <c r="M3310">
        <v>29.010086408156099</v>
      </c>
      <c r="N3310">
        <v>48.841454623885802</v>
      </c>
      <c r="O3310">
        <v>48.4032316805934</v>
      </c>
      <c r="P3310">
        <v>-0.14109557320528501</v>
      </c>
      <c r="Q3310">
        <v>5.8337063679627398E-2</v>
      </c>
      <c r="R3310">
        <v>0.99738379087973295</v>
      </c>
      <c r="S3310" t="s">
        <v>9712</v>
      </c>
      <c r="T3310" t="s">
        <v>12802</v>
      </c>
      <c r="U3310" t="s">
        <v>12802</v>
      </c>
      <c r="V3310" t="s">
        <v>12802</v>
      </c>
      <c r="W3310" t="s">
        <v>16062</v>
      </c>
      <c r="X3310">
        <v>40</v>
      </c>
      <c r="Y3310" t="s">
        <v>22309</v>
      </c>
      <c r="Z3310" t="s">
        <v>28628</v>
      </c>
      <c r="AA3310">
        <v>0.42950223863769138</v>
      </c>
      <c r="AB3310" t="str">
        <f>HYPERLINK("Melting_Curves/meltCurve_Q13464_ROCK1.pdf", "Melting_Curves/meltCurve_Q13464_ROCK1.pdf")</f>
        <v>Melting_Curves/meltCurve_Q13464_ROCK1.pdf</v>
      </c>
    </row>
    <row r="3311" spans="1:28" x14ac:dyDescent="0.25">
      <c r="A3311" t="s">
        <v>3315</v>
      </c>
      <c r="B3311">
        <v>0.99542014353169495</v>
      </c>
      <c r="C3311">
        <v>0.97325576041183304</v>
      </c>
      <c r="D3311">
        <v>1.1949653412763901</v>
      </c>
      <c r="E3311">
        <v>0.89040142853543802</v>
      </c>
      <c r="F3311">
        <v>0.72414103015289</v>
      </c>
      <c r="G3311">
        <v>0.498942742182448</v>
      </c>
      <c r="H3311">
        <v>0.37221333291041497</v>
      </c>
      <c r="I3311">
        <v>0.33220970688349499</v>
      </c>
      <c r="J3311">
        <v>0.403889588895681</v>
      </c>
      <c r="K3311">
        <v>0.41816920938264501</v>
      </c>
      <c r="L3311">
        <v>1347.6677358280899</v>
      </c>
      <c r="M3311">
        <v>26.657738888176102</v>
      </c>
      <c r="N3311">
        <v>53.363696087108103</v>
      </c>
      <c r="O3311">
        <v>50.272552035539597</v>
      </c>
      <c r="P3311">
        <v>-8.2574529139528299E-2</v>
      </c>
      <c r="Q3311">
        <v>0.37711316713056597</v>
      </c>
      <c r="R3311">
        <v>0.94420840057445499</v>
      </c>
      <c r="S3311" t="s">
        <v>9713</v>
      </c>
      <c r="T3311" t="s">
        <v>12802</v>
      </c>
      <c r="U3311" t="s">
        <v>12802</v>
      </c>
      <c r="V3311" t="s">
        <v>12802</v>
      </c>
      <c r="W3311" t="s">
        <v>16063</v>
      </c>
      <c r="X3311">
        <v>1</v>
      </c>
      <c r="Y3311" t="s">
        <v>22310</v>
      </c>
      <c r="Z3311" t="s">
        <v>28629</v>
      </c>
      <c r="AA3311">
        <v>0.66339135385088288</v>
      </c>
      <c r="AB3311" t="str">
        <f>HYPERLINK("Melting_Curves/meltCurve_Q13467_FZD5.pdf", "Melting_Curves/meltCurve_Q13467_FZD5.pdf")</f>
        <v>Melting_Curves/meltCurve_Q13467_FZD5.pdf</v>
      </c>
    </row>
    <row r="3312" spans="1:28" x14ac:dyDescent="0.25">
      <c r="A3312" t="s">
        <v>3316</v>
      </c>
      <c r="B3312">
        <v>0.99542014353169495</v>
      </c>
      <c r="C3312">
        <v>0.94953714480927798</v>
      </c>
      <c r="D3312">
        <v>0.87464282193129295</v>
      </c>
      <c r="E3312">
        <v>0.56186016457248</v>
      </c>
      <c r="F3312">
        <v>0.22249732158035199</v>
      </c>
      <c r="G3312">
        <v>0.13138644297266999</v>
      </c>
      <c r="H3312">
        <v>0.102351695681134</v>
      </c>
      <c r="I3312">
        <v>6.5851468586413997E-2</v>
      </c>
      <c r="J3312">
        <v>5.9739735085512301E-2</v>
      </c>
      <c r="K3312">
        <v>5.8169462776128701E-2</v>
      </c>
      <c r="L3312">
        <v>984.58716509470298</v>
      </c>
      <c r="M3312">
        <v>21.047231391829499</v>
      </c>
      <c r="N3312">
        <v>47.083615608068399</v>
      </c>
      <c r="O3312">
        <v>46.363733485213501</v>
      </c>
      <c r="P3312">
        <v>-0.106288402360061</v>
      </c>
      <c r="Q3312">
        <v>6.3478522168339505E-2</v>
      </c>
      <c r="R3312">
        <v>0.99866875350112305</v>
      </c>
      <c r="S3312" t="s">
        <v>9714</v>
      </c>
      <c r="T3312" t="s">
        <v>12802</v>
      </c>
      <c r="U3312" t="s">
        <v>12802</v>
      </c>
      <c r="V3312" t="s">
        <v>12802</v>
      </c>
      <c r="W3312" t="s">
        <v>16064</v>
      </c>
      <c r="X3312">
        <v>10</v>
      </c>
      <c r="Y3312" t="s">
        <v>22311</v>
      </c>
      <c r="Z3312" t="s">
        <v>28630</v>
      </c>
      <c r="AA3312">
        <v>0.3798558480105621</v>
      </c>
      <c r="AB3312" t="str">
        <f>HYPERLINK("Melting_Curves/meltCurve_Q13469_3_NFATC2.pdf", "Melting_Curves/meltCurve_Q13469_3_NFATC2.pdf")</f>
        <v>Melting_Curves/meltCurve_Q13469_3_NFATC2.pdf</v>
      </c>
    </row>
    <row r="3313" spans="1:28" x14ac:dyDescent="0.25">
      <c r="A3313" t="s">
        <v>3317</v>
      </c>
      <c r="B3313">
        <v>0.99542014353169495</v>
      </c>
      <c r="C3313">
        <v>0.84750901471963203</v>
      </c>
      <c r="D3313">
        <v>0.68780091749401495</v>
      </c>
      <c r="E3313">
        <v>0.449693399168967</v>
      </c>
      <c r="F3313">
        <v>0.312763729500594</v>
      </c>
      <c r="G3313">
        <v>0.23213491731900801</v>
      </c>
      <c r="H3313">
        <v>0.16129753557766299</v>
      </c>
      <c r="I3313">
        <v>0.15907498607572401</v>
      </c>
      <c r="J3313">
        <v>0.226669838887151</v>
      </c>
      <c r="K3313">
        <v>0.29329246702357298</v>
      </c>
      <c r="L3313">
        <v>713.60113974010198</v>
      </c>
      <c r="M3313">
        <v>16.180594686394699</v>
      </c>
      <c r="N3313">
        <v>45.568974379380599</v>
      </c>
      <c r="O3313">
        <v>43.445142461598898</v>
      </c>
      <c r="P3313">
        <v>-7.4216023826486302E-2</v>
      </c>
      <c r="Q3313">
        <v>0.20297509032625499</v>
      </c>
      <c r="R3313">
        <v>0.979826492244949</v>
      </c>
      <c r="S3313" t="s">
        <v>9715</v>
      </c>
      <c r="T3313" t="s">
        <v>12802</v>
      </c>
      <c r="U3313" t="s">
        <v>12802</v>
      </c>
      <c r="V3313" t="s">
        <v>12802</v>
      </c>
      <c r="W3313" t="s">
        <v>16065</v>
      </c>
      <c r="X3313">
        <v>7</v>
      </c>
      <c r="Y3313" t="s">
        <v>22312</v>
      </c>
      <c r="Z3313" t="s">
        <v>28631</v>
      </c>
      <c r="AA3313">
        <v>0.40847056820881761</v>
      </c>
      <c r="AB3313" t="str">
        <f>HYPERLINK("Melting_Curves/meltCurve_Q13480_2_GAB1.pdf", "Melting_Curves/meltCurve_Q13480_2_GAB1.pdf")</f>
        <v>Melting_Curves/meltCurve_Q13480_2_GAB1.pdf</v>
      </c>
    </row>
    <row r="3314" spans="1:28" x14ac:dyDescent="0.25">
      <c r="A3314" t="s">
        <v>3318</v>
      </c>
      <c r="B3314">
        <v>0.99542014353169495</v>
      </c>
      <c r="C3314">
        <v>0.84589556798968701</v>
      </c>
      <c r="D3314">
        <v>0.85894069635437997</v>
      </c>
      <c r="E3314">
        <v>0.62914505929404496</v>
      </c>
      <c r="F3314">
        <v>0.54974508929015997</v>
      </c>
      <c r="G3314">
        <v>0.33624221832356699</v>
      </c>
      <c r="H3314">
        <v>0.20495989416802901</v>
      </c>
      <c r="I3314">
        <v>9.4720083549447207E-2</v>
      </c>
      <c r="J3314">
        <v>0.13866866479467699</v>
      </c>
      <c r="K3314">
        <v>0.130668999254824</v>
      </c>
      <c r="L3314">
        <v>481.28302541502302</v>
      </c>
      <c r="M3314">
        <v>9.6673282135808805</v>
      </c>
      <c r="N3314">
        <v>49.954754659369598</v>
      </c>
      <c r="O3314">
        <v>47.794229736119803</v>
      </c>
      <c r="P3314">
        <v>-4.97754563626365E-2</v>
      </c>
      <c r="Q3314">
        <v>1.6206837423991802E-2</v>
      </c>
      <c r="R3314">
        <v>0.98208764872026899</v>
      </c>
      <c r="S3314" t="s">
        <v>9716</v>
      </c>
      <c r="T3314" t="s">
        <v>12802</v>
      </c>
      <c r="U3314" t="s">
        <v>12802</v>
      </c>
      <c r="V3314" t="s">
        <v>12802</v>
      </c>
      <c r="W3314" t="s">
        <v>16066</v>
      </c>
      <c r="X3314">
        <v>3</v>
      </c>
      <c r="Y3314" t="s">
        <v>22313</v>
      </c>
      <c r="Z3314" t="s">
        <v>28632</v>
      </c>
      <c r="AA3314">
        <v>0.47066345558854839</v>
      </c>
      <c r="AB3314" t="str">
        <f>HYPERLINK("Melting_Curves/meltCurve_Q13488_TCIRG1.pdf", "Melting_Curves/meltCurve_Q13488_TCIRG1.pdf")</f>
        <v>Melting_Curves/meltCurve_Q13488_TCIRG1.pdf</v>
      </c>
    </row>
    <row r="3315" spans="1:28" x14ac:dyDescent="0.25">
      <c r="A3315" t="s">
        <v>3319</v>
      </c>
      <c r="B3315">
        <v>0.99542014353169495</v>
      </c>
      <c r="C3315">
        <v>1.0366512039575599</v>
      </c>
      <c r="D3315">
        <v>1.0144181220684001</v>
      </c>
      <c r="E3315">
        <v>0.93164447053701904</v>
      </c>
      <c r="F3315">
        <v>0.92830170541500301</v>
      </c>
      <c r="G3315">
        <v>0.66441846590252795</v>
      </c>
      <c r="H3315">
        <v>0.118839367706621</v>
      </c>
      <c r="I3315">
        <v>6.2775860965474203E-2</v>
      </c>
      <c r="J3315">
        <v>0.115811916926839</v>
      </c>
      <c r="K3315">
        <v>6.8936343884076406E-2</v>
      </c>
      <c r="L3315">
        <v>2781.8793528669999</v>
      </c>
      <c r="M3315">
        <v>51.183591810403499</v>
      </c>
      <c r="N3315">
        <v>54.529377032051698</v>
      </c>
      <c r="O3315">
        <v>54.268201563981101</v>
      </c>
      <c r="P3315">
        <v>-0.21761475291657101</v>
      </c>
      <c r="Q3315">
        <v>7.7082598023856599E-2</v>
      </c>
      <c r="R3315">
        <v>0.99336591021140397</v>
      </c>
      <c r="S3315" t="s">
        <v>9717</v>
      </c>
      <c r="T3315" t="s">
        <v>12802</v>
      </c>
      <c r="U3315" t="s">
        <v>12802</v>
      </c>
      <c r="V3315" t="s">
        <v>12802</v>
      </c>
      <c r="W3315" t="s">
        <v>16067</v>
      </c>
      <c r="X3315">
        <v>16</v>
      </c>
      <c r="Y3315" t="s">
        <v>22314</v>
      </c>
      <c r="Z3315" t="s">
        <v>28633</v>
      </c>
      <c r="AA3315">
        <v>0.61297486328210882</v>
      </c>
      <c r="AB3315" t="str">
        <f>HYPERLINK("Melting_Curves/meltCurve_Q13492_3_PICALM.pdf", "Melting_Curves/meltCurve_Q13492_3_PICALM.pdf")</f>
        <v>Melting_Curves/meltCurve_Q13492_3_PICALM.pdf</v>
      </c>
    </row>
    <row r="3316" spans="1:28" x14ac:dyDescent="0.25">
      <c r="A3316" t="s">
        <v>3320</v>
      </c>
      <c r="B3316">
        <v>0.99542014353169495</v>
      </c>
      <c r="C3316">
        <v>0.91551054137625498</v>
      </c>
      <c r="D3316">
        <v>0.94986655400761499</v>
      </c>
      <c r="E3316">
        <v>0.86860045231601302</v>
      </c>
      <c r="F3316">
        <v>0.610755294761263</v>
      </c>
      <c r="G3316">
        <v>0.36064085476062602</v>
      </c>
      <c r="H3316">
        <v>0.24966271869033599</v>
      </c>
      <c r="I3316">
        <v>0.12887885979358399</v>
      </c>
      <c r="J3316">
        <v>4.1351684159651299E-2</v>
      </c>
      <c r="K3316">
        <v>4.2611135449478199E-2</v>
      </c>
      <c r="L3316">
        <v>718.55293855180798</v>
      </c>
      <c r="M3316">
        <v>13.811859645076501</v>
      </c>
      <c r="N3316">
        <v>52.024325364131599</v>
      </c>
      <c r="O3316">
        <v>50.970151170425602</v>
      </c>
      <c r="P3316">
        <v>-6.77542951694384E-2</v>
      </c>
      <c r="Q3316">
        <v>0</v>
      </c>
      <c r="R3316">
        <v>0.99350039987651195</v>
      </c>
      <c r="S3316" t="s">
        <v>9718</v>
      </c>
      <c r="T3316" t="s">
        <v>12802</v>
      </c>
      <c r="U3316" t="s">
        <v>12802</v>
      </c>
      <c r="V3316" t="s">
        <v>12802</v>
      </c>
      <c r="W3316" t="s">
        <v>16068</v>
      </c>
      <c r="X3316">
        <v>9</v>
      </c>
      <c r="Y3316" t="s">
        <v>22315</v>
      </c>
      <c r="Z3316" t="s">
        <v>28634</v>
      </c>
      <c r="AA3316">
        <v>0.52170149163330626</v>
      </c>
      <c r="AB3316" t="str">
        <f>HYPERLINK("Melting_Curves/meltCurve_Q13496_MTM1.pdf", "Melting_Curves/meltCurve_Q13496_MTM1.pdf")</f>
        <v>Melting_Curves/meltCurve_Q13496_MTM1.pdf</v>
      </c>
    </row>
    <row r="3317" spans="1:28" x14ac:dyDescent="0.25">
      <c r="A3317" t="s">
        <v>3321</v>
      </c>
      <c r="B3317">
        <v>0.99542014353169495</v>
      </c>
      <c r="C3317">
        <v>0.79636387839471301</v>
      </c>
      <c r="D3317">
        <v>0.92252207980017198</v>
      </c>
      <c r="E3317">
        <v>0.70086700022917703</v>
      </c>
      <c r="F3317">
        <v>0.50350360673086403</v>
      </c>
      <c r="G3317">
        <v>0.17488401757595601</v>
      </c>
      <c r="H3317">
        <v>8.6657059877783493E-2</v>
      </c>
      <c r="I3317">
        <v>5.75915048875646E-2</v>
      </c>
      <c r="J3317">
        <v>6.4796528183830096E-2</v>
      </c>
      <c r="K3317">
        <v>6.44464587973895E-2</v>
      </c>
      <c r="L3317">
        <v>721.08160100617295</v>
      </c>
      <c r="M3317">
        <v>14.6360127061632</v>
      </c>
      <c r="N3317">
        <v>49.345495681694999</v>
      </c>
      <c r="O3317">
        <v>48.375292718522601</v>
      </c>
      <c r="P3317">
        <v>-7.4782431742987598E-2</v>
      </c>
      <c r="Q3317">
        <v>1.1419349139654599E-2</v>
      </c>
      <c r="R3317">
        <v>0.96978886821736299</v>
      </c>
      <c r="S3317" t="s">
        <v>9719</v>
      </c>
      <c r="T3317" t="s">
        <v>12802</v>
      </c>
      <c r="U3317" t="s">
        <v>12802</v>
      </c>
      <c r="V3317" t="s">
        <v>12802</v>
      </c>
      <c r="W3317" t="s">
        <v>16069</v>
      </c>
      <c r="X3317">
        <v>9</v>
      </c>
      <c r="Y3317" t="s">
        <v>22316</v>
      </c>
      <c r="Z3317" t="s">
        <v>28635</v>
      </c>
      <c r="AA3317">
        <v>0.4375936846529731</v>
      </c>
      <c r="AB3317" t="str">
        <f>HYPERLINK("Melting_Curves/meltCurve_Q13501_SQSTM1.pdf", "Melting_Curves/meltCurve_Q13501_SQSTM1.pdf")</f>
        <v>Melting_Curves/meltCurve_Q13501_SQSTM1.pdf</v>
      </c>
    </row>
    <row r="3318" spans="1:28" x14ac:dyDescent="0.25">
      <c r="A3318" t="s">
        <v>3322</v>
      </c>
      <c r="B3318">
        <v>0.99542014353169495</v>
      </c>
      <c r="C3318">
        <v>1.0071361200896001</v>
      </c>
      <c r="D3318">
        <v>0.93403951840315802</v>
      </c>
      <c r="E3318">
        <v>0.88248194715528105</v>
      </c>
      <c r="F3318">
        <v>0.70099206598909602</v>
      </c>
      <c r="G3318">
        <v>0.50682019841344805</v>
      </c>
      <c r="H3318">
        <v>0.14188884383787101</v>
      </c>
      <c r="I3318">
        <v>6.9847343065354603E-2</v>
      </c>
      <c r="J3318">
        <v>5.9062899712352603E-2</v>
      </c>
      <c r="K3318">
        <v>5.7023415039872002E-2</v>
      </c>
      <c r="L3318">
        <v>897.16850556736199</v>
      </c>
      <c r="M3318">
        <v>16.950782054392999</v>
      </c>
      <c r="N3318">
        <v>52.927853279120399</v>
      </c>
      <c r="O3318">
        <v>52.207679282997098</v>
      </c>
      <c r="P3318">
        <v>-8.1175039139597699E-2</v>
      </c>
      <c r="Q3318">
        <v>0</v>
      </c>
      <c r="R3318">
        <v>0.99030880651101105</v>
      </c>
      <c r="S3318" t="s">
        <v>9720</v>
      </c>
      <c r="T3318" t="s">
        <v>12802</v>
      </c>
      <c r="U3318" t="s">
        <v>12802</v>
      </c>
      <c r="V3318" t="s">
        <v>12802</v>
      </c>
      <c r="W3318" t="s">
        <v>16070</v>
      </c>
      <c r="X3318">
        <v>13</v>
      </c>
      <c r="Y3318" t="s">
        <v>22317</v>
      </c>
      <c r="Z3318" t="s">
        <v>28636</v>
      </c>
      <c r="AA3318">
        <v>0.54664908814862789</v>
      </c>
      <c r="AB3318" t="str">
        <f>HYPERLINK("Melting_Curves/meltCurve_Q13505_3_MTX1.pdf", "Melting_Curves/meltCurve_Q13505_3_MTX1.pdf")</f>
        <v>Melting_Curves/meltCurve_Q13505_3_MTX1.pdf</v>
      </c>
    </row>
    <row r="3319" spans="1:28" x14ac:dyDescent="0.25">
      <c r="A3319" t="s">
        <v>3323</v>
      </c>
      <c r="B3319">
        <v>0.99542014353169495</v>
      </c>
      <c r="C3319">
        <v>0.87775234829931204</v>
      </c>
      <c r="D3319">
        <v>0.561728326813141</v>
      </c>
      <c r="E3319">
        <v>0.37958425123918599</v>
      </c>
      <c r="F3319">
        <v>0.24437106261625899</v>
      </c>
      <c r="G3319">
        <v>0.200996893903817</v>
      </c>
      <c r="H3319">
        <v>0.105859535295543</v>
      </c>
      <c r="I3319">
        <v>8.3339773777325293E-2</v>
      </c>
      <c r="J3319">
        <v>3.49175792145619E-2</v>
      </c>
      <c r="K3319">
        <v>3.0943958244420901E-2</v>
      </c>
      <c r="L3319">
        <v>586.65516817007494</v>
      </c>
      <c r="M3319">
        <v>13.190931706906101</v>
      </c>
      <c r="N3319">
        <v>44.848142217563797</v>
      </c>
      <c r="O3319">
        <v>43.489264065167603</v>
      </c>
      <c r="P3319">
        <v>-7.1891048713522407E-2</v>
      </c>
      <c r="Q3319">
        <v>5.20861958852087E-2</v>
      </c>
      <c r="R3319">
        <v>0.98461602188531805</v>
      </c>
      <c r="S3319" t="s">
        <v>9721</v>
      </c>
      <c r="T3319" t="s">
        <v>12802</v>
      </c>
      <c r="U3319" t="s">
        <v>12802</v>
      </c>
      <c r="V3319" t="s">
        <v>12802</v>
      </c>
      <c r="W3319" t="s">
        <v>16071</v>
      </c>
      <c r="X3319">
        <v>4</v>
      </c>
      <c r="Y3319" t="s">
        <v>22318</v>
      </c>
      <c r="Z3319" t="s">
        <v>28637</v>
      </c>
      <c r="AA3319">
        <v>0.31797743589570199</v>
      </c>
      <c r="AB3319" t="str">
        <f>HYPERLINK("Melting_Curves/meltCurve_Q13506_NAB1.pdf", "Melting_Curves/meltCurve_Q13506_NAB1.pdf")</f>
        <v>Melting_Curves/meltCurve_Q13506_NAB1.pdf</v>
      </c>
    </row>
    <row r="3320" spans="1:28" x14ac:dyDescent="0.25">
      <c r="A3320" t="s">
        <v>3324</v>
      </c>
      <c r="B3320">
        <v>0.99542014353169495</v>
      </c>
      <c r="C3320">
        <v>1.0216026494974899</v>
      </c>
      <c r="D3320">
        <v>0.99220744955729001</v>
      </c>
      <c r="E3320">
        <v>0.88832899455848102</v>
      </c>
      <c r="F3320">
        <v>0.727199425096274</v>
      </c>
      <c r="G3320">
        <v>0.51793749405844003</v>
      </c>
      <c r="H3320">
        <v>0.32600439755544303</v>
      </c>
      <c r="I3320">
        <v>0.18703612585413601</v>
      </c>
      <c r="J3320">
        <v>0.13396442246064399</v>
      </c>
      <c r="K3320">
        <v>0.122345753677658</v>
      </c>
      <c r="L3320">
        <v>767.27740152387503</v>
      </c>
      <c r="M3320">
        <v>14.350544972616699</v>
      </c>
      <c r="N3320">
        <v>53.969928791721202</v>
      </c>
      <c r="O3320">
        <v>52.460710795198203</v>
      </c>
      <c r="P3320">
        <v>-6.4112994567539203E-2</v>
      </c>
      <c r="Q3320">
        <v>6.2611810258113201E-2</v>
      </c>
      <c r="R3320">
        <v>0.99855800368327297</v>
      </c>
      <c r="S3320" t="s">
        <v>9722</v>
      </c>
      <c r="T3320" t="s">
        <v>12802</v>
      </c>
      <c r="U3320" t="s">
        <v>12802</v>
      </c>
      <c r="V3320" t="s">
        <v>12802</v>
      </c>
      <c r="W3320" t="s">
        <v>16072</v>
      </c>
      <c r="X3320">
        <v>23</v>
      </c>
      <c r="Y3320" t="s">
        <v>22319</v>
      </c>
      <c r="Z3320" t="s">
        <v>28638</v>
      </c>
      <c r="AA3320">
        <v>0.59377909013475383</v>
      </c>
      <c r="AB3320" t="str">
        <f>HYPERLINK("Melting_Curves/meltCurve_Q13509_TUBB3.pdf", "Melting_Curves/meltCurve_Q13509_TUBB3.pdf")</f>
        <v>Melting_Curves/meltCurve_Q13509_TUBB3.pdf</v>
      </c>
    </row>
    <row r="3321" spans="1:28" x14ac:dyDescent="0.25">
      <c r="A3321" t="s">
        <v>3325</v>
      </c>
      <c r="B3321">
        <v>0.99542014353169495</v>
      </c>
      <c r="C3321">
        <v>1.0658037493819099</v>
      </c>
      <c r="D3321">
        <v>1.01210539018429</v>
      </c>
      <c r="E3321">
        <v>0.99655731489851795</v>
      </c>
      <c r="F3321">
        <v>0.54631851144656296</v>
      </c>
      <c r="G3321">
        <v>0.25251649004022397</v>
      </c>
      <c r="H3321">
        <v>0.12338227331611901</v>
      </c>
      <c r="I3321">
        <v>9.8328823031302803E-2</v>
      </c>
      <c r="J3321">
        <v>0.13670430475159001</v>
      </c>
      <c r="K3321">
        <v>0.16408229491545401</v>
      </c>
      <c r="L3321">
        <v>1830.8001169859201</v>
      </c>
      <c r="M3321">
        <v>36.468334230233502</v>
      </c>
      <c r="N3321">
        <v>50.645663667409501</v>
      </c>
      <c r="O3321">
        <v>50.052215767591399</v>
      </c>
      <c r="P3321">
        <v>-0.157267866332027</v>
      </c>
      <c r="Q3321">
        <v>0.136611782418848</v>
      </c>
      <c r="R3321">
        <v>0.99277136428848201</v>
      </c>
      <c r="S3321" t="s">
        <v>9723</v>
      </c>
      <c r="T3321" t="s">
        <v>12802</v>
      </c>
      <c r="U3321" t="s">
        <v>12802</v>
      </c>
      <c r="V3321" t="s">
        <v>12802</v>
      </c>
      <c r="W3321" t="s">
        <v>16073</v>
      </c>
      <c r="X3321">
        <v>8</v>
      </c>
      <c r="Y3321" t="s">
        <v>22320</v>
      </c>
      <c r="Z3321" t="s">
        <v>28639</v>
      </c>
      <c r="AA3321">
        <v>0.52017735101917395</v>
      </c>
      <c r="AB3321" t="str">
        <f>HYPERLINK("Melting_Curves/meltCurve_Q13526_PIN1.pdf", "Melting_Curves/meltCurve_Q13526_PIN1.pdf")</f>
        <v>Melting_Curves/meltCurve_Q13526_PIN1.pdf</v>
      </c>
    </row>
    <row r="3322" spans="1:28" x14ac:dyDescent="0.25">
      <c r="A3322" t="s">
        <v>3326</v>
      </c>
      <c r="B3322">
        <v>0.99542014353169495</v>
      </c>
      <c r="C3322">
        <v>0.87724202305162202</v>
      </c>
      <c r="D3322">
        <v>0.93360059085596903</v>
      </c>
      <c r="E3322">
        <v>0.67627429647558601</v>
      </c>
      <c r="F3322">
        <v>0.40250617747718498</v>
      </c>
      <c r="G3322">
        <v>0.14007486537313199</v>
      </c>
      <c r="H3322">
        <v>8.8161128470186395E-2</v>
      </c>
      <c r="I3322">
        <v>7.2054408135822895E-2</v>
      </c>
      <c r="J3322">
        <v>5.98665522497848E-2</v>
      </c>
      <c r="K3322">
        <v>5.9489847323184103E-2</v>
      </c>
      <c r="L3322">
        <v>865.98800210629804</v>
      </c>
      <c r="M3322">
        <v>17.880773724421498</v>
      </c>
      <c r="N3322">
        <v>48.6658859394309</v>
      </c>
      <c r="O3322">
        <v>47.8376584694741</v>
      </c>
      <c r="P3322">
        <v>-8.9590238191626898E-2</v>
      </c>
      <c r="Q3322">
        <v>4.1300943600845602E-2</v>
      </c>
      <c r="R3322">
        <v>0.99047574958719098</v>
      </c>
      <c r="S3322" t="s">
        <v>9724</v>
      </c>
      <c r="T3322" t="s">
        <v>12802</v>
      </c>
      <c r="U3322" t="s">
        <v>12802</v>
      </c>
      <c r="V3322" t="s">
        <v>12802</v>
      </c>
      <c r="W3322" t="s">
        <v>16074</v>
      </c>
      <c r="X3322">
        <v>7</v>
      </c>
      <c r="Y3322" t="s">
        <v>22321</v>
      </c>
      <c r="Z3322" t="s">
        <v>28640</v>
      </c>
      <c r="AA3322">
        <v>0.42208085967687631</v>
      </c>
      <c r="AB3322" t="str">
        <f>HYPERLINK("Melting_Curves/meltCurve_Q13535_ATR.pdf", "Melting_Curves/meltCurve_Q13535_ATR.pdf")</f>
        <v>Melting_Curves/meltCurve_Q13535_ATR.pdf</v>
      </c>
    </row>
    <row r="3323" spans="1:28" x14ac:dyDescent="0.25">
      <c r="A3323" t="s">
        <v>3327</v>
      </c>
      <c r="B3323">
        <v>0.99542014353169495</v>
      </c>
      <c r="C3323">
        <v>1.01044445012363</v>
      </c>
      <c r="D3323">
        <v>0.95177696183566096</v>
      </c>
      <c r="E3323">
        <v>0.90291846277812204</v>
      </c>
      <c r="F3323">
        <v>0.59071185125127401</v>
      </c>
      <c r="G3323">
        <v>0.418039839990411</v>
      </c>
      <c r="H3323">
        <v>0.30376503265883897</v>
      </c>
      <c r="I3323">
        <v>0.31290180495361503</v>
      </c>
      <c r="J3323">
        <v>0.577131568022067</v>
      </c>
      <c r="K3323">
        <v>0.88888510154011702</v>
      </c>
      <c r="L3323">
        <v>2097.2496330323202</v>
      </c>
      <c r="M3323">
        <v>43.534170644627302</v>
      </c>
      <c r="O3323">
        <v>48.073477126565599</v>
      </c>
      <c r="P3323">
        <v>-0.112813473201841</v>
      </c>
      <c r="Q3323">
        <v>0.50169466424135001</v>
      </c>
      <c r="R3323">
        <v>0.67303662304592704</v>
      </c>
      <c r="S3323" t="s">
        <v>9725</v>
      </c>
      <c r="T3323" t="s">
        <v>12802</v>
      </c>
      <c r="U3323" t="s">
        <v>12802</v>
      </c>
      <c r="V3323" t="s">
        <v>12802</v>
      </c>
      <c r="W3323" t="s">
        <v>16075</v>
      </c>
      <c r="X3323">
        <v>10</v>
      </c>
      <c r="Y3323" t="s">
        <v>22322</v>
      </c>
      <c r="Z3323" t="s">
        <v>28641</v>
      </c>
      <c r="AA3323">
        <v>0.68870911887648134</v>
      </c>
      <c r="AB3323" t="str">
        <f>HYPERLINK("Melting_Curves/meltCurve_Q13541_EIF4EBP1.pdf", "Melting_Curves/meltCurve_Q13541_EIF4EBP1.pdf")</f>
        <v>Melting_Curves/meltCurve_Q13541_EIF4EBP1.pdf</v>
      </c>
    </row>
    <row r="3324" spans="1:28" x14ac:dyDescent="0.25">
      <c r="A3324" t="s">
        <v>3328</v>
      </c>
      <c r="B3324">
        <v>0.99542014353169495</v>
      </c>
      <c r="C3324">
        <v>1.01568821637596</v>
      </c>
      <c r="D3324">
        <v>1.0053349334666499</v>
      </c>
      <c r="E3324">
        <v>0.90455476423984504</v>
      </c>
      <c r="F3324">
        <v>0.70160372844428598</v>
      </c>
      <c r="G3324">
        <v>0.43057074223454</v>
      </c>
      <c r="H3324">
        <v>0.26541321231818299</v>
      </c>
      <c r="I3324">
        <v>0.216492867934508</v>
      </c>
      <c r="J3324">
        <v>0.33023869825935498</v>
      </c>
      <c r="K3324">
        <v>0.37172461845605098</v>
      </c>
      <c r="L3324">
        <v>1366.9774892682899</v>
      </c>
      <c r="M3324">
        <v>26.977222593908898</v>
      </c>
      <c r="N3324">
        <v>52.363937039063998</v>
      </c>
      <c r="O3324">
        <v>50.395565018208401</v>
      </c>
      <c r="P3324">
        <v>-9.4895071985989496E-2</v>
      </c>
      <c r="Q3324">
        <v>0.29092134244038997</v>
      </c>
      <c r="R3324">
        <v>0.980712660841768</v>
      </c>
      <c r="S3324" t="s">
        <v>9726</v>
      </c>
      <c r="T3324" t="s">
        <v>12802</v>
      </c>
      <c r="U3324" t="s">
        <v>12802</v>
      </c>
      <c r="V3324" t="s">
        <v>12802</v>
      </c>
      <c r="W3324" t="s">
        <v>16076</v>
      </c>
      <c r="X3324">
        <v>3</v>
      </c>
      <c r="Y3324" t="s">
        <v>22323</v>
      </c>
      <c r="Z3324" t="s">
        <v>28642</v>
      </c>
      <c r="AA3324">
        <v>0.61946318174266224</v>
      </c>
      <c r="AB3324" t="str">
        <f>HYPERLINK("Melting_Curves/meltCurve_Q13542_EIF4EBP2.pdf", "Melting_Curves/meltCurve_Q13542_EIF4EBP2.pdf")</f>
        <v>Melting_Curves/meltCurve_Q13542_EIF4EBP2.pdf</v>
      </c>
    </row>
    <row r="3325" spans="1:28" x14ac:dyDescent="0.25">
      <c r="A3325" t="s">
        <v>3329</v>
      </c>
      <c r="B3325">
        <v>0.99542014353169495</v>
      </c>
      <c r="C3325">
        <v>0.94816651821659104</v>
      </c>
      <c r="D3325">
        <v>0.90305202907845605</v>
      </c>
      <c r="E3325">
        <v>0.53917541416569803</v>
      </c>
      <c r="F3325">
        <v>0.234702988902284</v>
      </c>
      <c r="G3325">
        <v>0.13655006847557799</v>
      </c>
      <c r="H3325">
        <v>7.3413642685370498E-2</v>
      </c>
      <c r="I3325">
        <v>5.4044979950264499E-2</v>
      </c>
      <c r="J3325">
        <v>5.2690265837698598E-2</v>
      </c>
      <c r="K3325">
        <v>5.93132026447643E-2</v>
      </c>
      <c r="L3325">
        <v>1003.16084919248</v>
      </c>
      <c r="M3325">
        <v>21.429393383794899</v>
      </c>
      <c r="N3325">
        <v>47.079460996029802</v>
      </c>
      <c r="O3325">
        <v>46.410443272635099</v>
      </c>
      <c r="P3325">
        <v>-0.108829908153128</v>
      </c>
      <c r="Q3325">
        <v>5.72352557237693E-2</v>
      </c>
      <c r="R3325">
        <v>0.99836473120219504</v>
      </c>
      <c r="S3325" t="s">
        <v>9727</v>
      </c>
      <c r="T3325" t="s">
        <v>12802</v>
      </c>
      <c r="U3325" t="s">
        <v>12802</v>
      </c>
      <c r="V3325" t="s">
        <v>12802</v>
      </c>
      <c r="W3325" t="s">
        <v>16077</v>
      </c>
      <c r="X3325">
        <v>14</v>
      </c>
      <c r="Y3325" t="s">
        <v>22324</v>
      </c>
      <c r="Z3325" t="s">
        <v>28643</v>
      </c>
      <c r="AA3325">
        <v>0.37635267466703132</v>
      </c>
      <c r="AB3325" t="str">
        <f>HYPERLINK("Melting_Curves/meltCurve_Q13546_RIPK1.pdf", "Melting_Curves/meltCurve_Q13546_RIPK1.pdf")</f>
        <v>Melting_Curves/meltCurve_Q13546_RIPK1.pdf</v>
      </c>
    </row>
    <row r="3326" spans="1:28" x14ac:dyDescent="0.25">
      <c r="A3326" t="s">
        <v>3330</v>
      </c>
      <c r="B3326">
        <v>0.99542014353169495</v>
      </c>
      <c r="C3326">
        <v>0.84107090375284199</v>
      </c>
      <c r="D3326">
        <v>0.84187439277846998</v>
      </c>
      <c r="E3326">
        <v>0.52730574328114899</v>
      </c>
      <c r="F3326">
        <v>0.30771289655832601</v>
      </c>
      <c r="G3326">
        <v>0.13670214746036199</v>
      </c>
      <c r="H3326">
        <v>7.2163328437426497E-2</v>
      </c>
      <c r="I3326">
        <v>4.8143091854597198E-2</v>
      </c>
      <c r="J3326">
        <v>5.5381610359149999E-2</v>
      </c>
      <c r="K3326">
        <v>5.2401498764146397E-2</v>
      </c>
      <c r="L3326">
        <v>677.78165643950899</v>
      </c>
      <c r="M3326">
        <v>14.4476288286802</v>
      </c>
      <c r="N3326">
        <v>47.063779645892801</v>
      </c>
      <c r="O3326">
        <v>46.041696345167701</v>
      </c>
      <c r="P3326">
        <v>-7.6683445662270699E-2</v>
      </c>
      <c r="Q3326">
        <v>2.2615252558423098E-2</v>
      </c>
      <c r="R3326">
        <v>0.99114763532000405</v>
      </c>
      <c r="S3326" t="s">
        <v>9728</v>
      </c>
      <c r="T3326" t="s">
        <v>12802</v>
      </c>
      <c r="U3326" t="s">
        <v>12802</v>
      </c>
      <c r="V3326" t="s">
        <v>12802</v>
      </c>
      <c r="W3326" t="s">
        <v>16078</v>
      </c>
      <c r="X3326">
        <v>13</v>
      </c>
      <c r="Y3326" t="s">
        <v>22325</v>
      </c>
      <c r="Z3326" t="s">
        <v>28644</v>
      </c>
      <c r="AA3326">
        <v>0.36914951722698403</v>
      </c>
      <c r="AB3326" t="str">
        <f>HYPERLINK("Melting_Curves/meltCurve_Q13547_HDAC1.pdf", "Melting_Curves/meltCurve_Q13547_HDAC1.pdf")</f>
        <v>Melting_Curves/meltCurve_Q13547_HDAC1.pdf</v>
      </c>
    </row>
    <row r="3327" spans="1:28" x14ac:dyDescent="0.25">
      <c r="A3327" t="s">
        <v>3331</v>
      </c>
      <c r="B3327">
        <v>0.99542014353169495</v>
      </c>
      <c r="C3327">
        <v>0.87242331924387695</v>
      </c>
      <c r="D3327">
        <v>0.78020709310487502</v>
      </c>
      <c r="E3327">
        <v>0.61462958589595995</v>
      </c>
      <c r="F3327">
        <v>0.231826395621094</v>
      </c>
      <c r="G3327">
        <v>7.6543194107590501E-2</v>
      </c>
      <c r="H3327">
        <v>3.9426196978373802E-2</v>
      </c>
      <c r="I3327">
        <v>2.66901050062999E-2</v>
      </c>
      <c r="J3327">
        <v>4.5093271755080301E-2</v>
      </c>
      <c r="K3327">
        <v>3.3345754807236602E-2</v>
      </c>
      <c r="L3327">
        <v>750.51158510212395</v>
      </c>
      <c r="M3327">
        <v>15.975157737305301</v>
      </c>
      <c r="N3327">
        <v>46.995679955248001</v>
      </c>
      <c r="O3327">
        <v>46.262245509284497</v>
      </c>
      <c r="P3327">
        <v>-8.6105342155077494E-2</v>
      </c>
      <c r="Q3327">
        <v>2.67346820122254E-3</v>
      </c>
      <c r="R3327">
        <v>0.98766189505559099</v>
      </c>
      <c r="S3327" t="s">
        <v>9729</v>
      </c>
      <c r="T3327" t="s">
        <v>12802</v>
      </c>
      <c r="U3327" t="s">
        <v>12802</v>
      </c>
      <c r="V3327" t="s">
        <v>12802</v>
      </c>
      <c r="W3327" t="s">
        <v>16079</v>
      </c>
      <c r="X3327">
        <v>16</v>
      </c>
      <c r="Y3327" t="s">
        <v>22326</v>
      </c>
      <c r="Z3327" t="s">
        <v>28645</v>
      </c>
      <c r="AA3327">
        <v>0.35448121379798742</v>
      </c>
      <c r="AB3327" t="str">
        <f>HYPERLINK("Melting_Curves/meltCurve_Q13564_2_NAE1.pdf", "Melting_Curves/meltCurve_Q13564_2_NAE1.pdf")</f>
        <v>Melting_Curves/meltCurve_Q13564_2_NAE1.pdf</v>
      </c>
    </row>
    <row r="3328" spans="1:28" x14ac:dyDescent="0.25">
      <c r="A3328" t="s">
        <v>3332</v>
      </c>
      <c r="B3328">
        <v>0.99542014353169495</v>
      </c>
      <c r="C3328">
        <v>1.1743909457736399</v>
      </c>
      <c r="D3328">
        <v>1.0707175873473</v>
      </c>
      <c r="E3328">
        <v>0.90269795342930703</v>
      </c>
      <c r="F3328">
        <v>0.71552258704393101</v>
      </c>
      <c r="G3328">
        <v>0.44163247749350798</v>
      </c>
      <c r="H3328">
        <v>0.25766043771917602</v>
      </c>
      <c r="I3328">
        <v>0.196694891400091</v>
      </c>
      <c r="J3328">
        <v>0.22789050872264</v>
      </c>
      <c r="K3328">
        <v>0.26959391368306201</v>
      </c>
      <c r="L3328">
        <v>1224.45900807966</v>
      </c>
      <c r="M3328">
        <v>23.830576353122801</v>
      </c>
      <c r="N3328">
        <v>52.666615952870302</v>
      </c>
      <c r="O3328">
        <v>51.024138153105199</v>
      </c>
      <c r="P3328">
        <v>-9.10258490480432E-2</v>
      </c>
      <c r="Q3328">
        <v>0.220423546417193</v>
      </c>
      <c r="R3328">
        <v>0.96843921094180196</v>
      </c>
      <c r="S3328" t="s">
        <v>9730</v>
      </c>
      <c r="T3328" t="s">
        <v>12802</v>
      </c>
      <c r="U3328" t="s">
        <v>12802</v>
      </c>
      <c r="V3328" t="s">
        <v>12802</v>
      </c>
      <c r="W3328" t="s">
        <v>16080</v>
      </c>
      <c r="X3328">
        <v>4</v>
      </c>
      <c r="Y3328" t="s">
        <v>22327</v>
      </c>
      <c r="Z3328" t="s">
        <v>28646</v>
      </c>
      <c r="AA3328">
        <v>0.60166909836408655</v>
      </c>
      <c r="AB3328" t="str">
        <f>HYPERLINK("Melting_Curves/meltCurve_Q13572_ITPK1.pdf", "Melting_Curves/meltCurve_Q13572_ITPK1.pdf")</f>
        <v>Melting_Curves/meltCurve_Q13572_ITPK1.pdf</v>
      </c>
    </row>
    <row r="3329" spans="1:28" x14ac:dyDescent="0.25">
      <c r="A3329" t="s">
        <v>3333</v>
      </c>
      <c r="B3329">
        <v>0.99542014353169495</v>
      </c>
      <c r="C3329">
        <v>0.99569513904046503</v>
      </c>
      <c r="D3329">
        <v>1.0496959917992701</v>
      </c>
      <c r="E3329">
        <v>0.99879565554343097</v>
      </c>
      <c r="F3329">
        <v>0.70314818751540797</v>
      </c>
      <c r="G3329">
        <v>0.50053781787781604</v>
      </c>
      <c r="H3329">
        <v>0.30646694788031198</v>
      </c>
      <c r="I3329">
        <v>0.22967366805693801</v>
      </c>
      <c r="J3329">
        <v>0.36150528230859402</v>
      </c>
      <c r="K3329">
        <v>0.53920393114971299</v>
      </c>
      <c r="L3329">
        <v>1674.0828188135899</v>
      </c>
      <c r="M3329">
        <v>33.062457748370001</v>
      </c>
      <c r="N3329">
        <v>52.730792953822203</v>
      </c>
      <c r="O3329">
        <v>50.449797417721001</v>
      </c>
      <c r="P3329">
        <v>-0.10391884490546199</v>
      </c>
      <c r="Q3329">
        <v>0.365726433378186</v>
      </c>
      <c r="R3329">
        <v>0.933680961161373</v>
      </c>
      <c r="S3329" t="s">
        <v>9731</v>
      </c>
      <c r="T3329" t="s">
        <v>12802</v>
      </c>
      <c r="U3329" t="s">
        <v>12802</v>
      </c>
      <c r="V3329" t="s">
        <v>12802</v>
      </c>
      <c r="W3329" t="s">
        <v>16081</v>
      </c>
      <c r="X3329">
        <v>27</v>
      </c>
      <c r="Y3329" t="s">
        <v>22328</v>
      </c>
      <c r="Z3329" t="s">
        <v>28647</v>
      </c>
      <c r="AA3329">
        <v>0.6572262151039151</v>
      </c>
      <c r="AB3329" t="str">
        <f>HYPERLINK("Melting_Curves/meltCurve_Q13573_SNW1.pdf", "Melting_Curves/meltCurve_Q13573_SNW1.pdf")</f>
        <v>Melting_Curves/meltCurve_Q13573_SNW1.pdf</v>
      </c>
    </row>
    <row r="3330" spans="1:28" x14ac:dyDescent="0.25">
      <c r="A3330" t="s">
        <v>3334</v>
      </c>
      <c r="B3330">
        <v>0.99542014353169495</v>
      </c>
      <c r="C3330">
        <v>0.94412650076841298</v>
      </c>
      <c r="D3330">
        <v>0.96461202831238202</v>
      </c>
      <c r="E3330">
        <v>0.57622379896851705</v>
      </c>
      <c r="F3330">
        <v>0.19662231452594101</v>
      </c>
      <c r="G3330">
        <v>0.10758401946443499</v>
      </c>
      <c r="H3330">
        <v>7.0135546590875605E-2</v>
      </c>
      <c r="I3330">
        <v>5.1786573718413699E-2</v>
      </c>
      <c r="J3330">
        <v>5.5833087106276297E-2</v>
      </c>
      <c r="K3330">
        <v>5.9617236018862999E-2</v>
      </c>
      <c r="L3330">
        <v>1330.97927094837</v>
      </c>
      <c r="M3330">
        <v>28.3284969268596</v>
      </c>
      <c r="N3330">
        <v>47.205637044048103</v>
      </c>
      <c r="O3330">
        <v>46.751500052115198</v>
      </c>
      <c r="P3330">
        <v>-0.142043086960883</v>
      </c>
      <c r="Q3330">
        <v>6.2333159585045601E-2</v>
      </c>
      <c r="R3330">
        <v>0.99749827883802999</v>
      </c>
      <c r="S3330" t="s">
        <v>9732</v>
      </c>
      <c r="T3330" t="s">
        <v>12802</v>
      </c>
      <c r="U3330" t="s">
        <v>12802</v>
      </c>
      <c r="V3330" t="s">
        <v>12802</v>
      </c>
      <c r="W3330" t="s">
        <v>16082</v>
      </c>
      <c r="X3330">
        <v>30</v>
      </c>
      <c r="Y3330" t="s">
        <v>22329</v>
      </c>
      <c r="Z3330" t="s">
        <v>28648</v>
      </c>
      <c r="AA3330">
        <v>0.38049897652608239</v>
      </c>
      <c r="AB3330" t="str">
        <f>HYPERLINK("Melting_Curves/meltCurve_Q13576_IQGAP2.pdf", "Melting_Curves/meltCurve_Q13576_IQGAP2.pdf")</f>
        <v>Melting_Curves/meltCurve_Q13576_IQGAP2.pdf</v>
      </c>
    </row>
    <row r="3331" spans="1:28" x14ac:dyDescent="0.25">
      <c r="A3331" t="s">
        <v>3335</v>
      </c>
      <c r="B3331">
        <v>0.99542014353169495</v>
      </c>
      <c r="C3331">
        <v>0.99285143103387197</v>
      </c>
      <c r="D3331">
        <v>1.01723483936607</v>
      </c>
      <c r="E3331">
        <v>0.83898533426300903</v>
      </c>
      <c r="F3331">
        <v>0.466652264456004</v>
      </c>
      <c r="G3331">
        <v>0.18695754757560301</v>
      </c>
      <c r="H3331">
        <v>0.106228600703566</v>
      </c>
      <c r="I3331">
        <v>7.4002958718015793E-2</v>
      </c>
      <c r="J3331">
        <v>9.4968453603401101E-2</v>
      </c>
      <c r="K3331">
        <v>0.10141529197738899</v>
      </c>
      <c r="L3331">
        <v>1298.32833214787</v>
      </c>
      <c r="M3331">
        <v>26.223846126783901</v>
      </c>
      <c r="N3331">
        <v>49.869240373272198</v>
      </c>
      <c r="O3331">
        <v>49.224248306509203</v>
      </c>
      <c r="P3331">
        <v>-0.121708181547066</v>
      </c>
      <c r="Q3331">
        <v>8.6186495630123303E-2</v>
      </c>
      <c r="R3331">
        <v>0.99876927398876603</v>
      </c>
      <c r="S3331" t="s">
        <v>9733</v>
      </c>
      <c r="T3331" t="s">
        <v>12802</v>
      </c>
      <c r="U3331" t="s">
        <v>12802</v>
      </c>
      <c r="V3331" t="s">
        <v>12802</v>
      </c>
      <c r="W3331" t="s">
        <v>16083</v>
      </c>
      <c r="X3331">
        <v>19</v>
      </c>
      <c r="Y3331" t="s">
        <v>22330</v>
      </c>
      <c r="Z3331" t="s">
        <v>28649</v>
      </c>
      <c r="AA3331">
        <v>0.47447530560316931</v>
      </c>
      <c r="AB3331" t="str">
        <f>HYPERLINK("Melting_Curves/meltCurve_Q13586_STIM1.pdf", "Melting_Curves/meltCurve_Q13586_STIM1.pdf")</f>
        <v>Melting_Curves/meltCurve_Q13586_STIM1.pdf</v>
      </c>
    </row>
    <row r="3332" spans="1:28" x14ac:dyDescent="0.25">
      <c r="A3332" t="s">
        <v>3336</v>
      </c>
      <c r="B3332">
        <v>0.99542014353169495</v>
      </c>
      <c r="C3332">
        <v>1.0161369647306</v>
      </c>
      <c r="D3332">
        <v>0.97146835022103295</v>
      </c>
      <c r="E3332">
        <v>0.67431427421925805</v>
      </c>
      <c r="F3332">
        <v>0.20256472161699199</v>
      </c>
      <c r="G3332">
        <v>9.22827632529645E-2</v>
      </c>
      <c r="H3332">
        <v>5.1862992501290797E-2</v>
      </c>
      <c r="I3332">
        <v>3.7056783982380402E-2</v>
      </c>
      <c r="J3332">
        <v>4.00880039662143E-2</v>
      </c>
      <c r="K3332">
        <v>4.4356820504954902E-2</v>
      </c>
      <c r="L3332">
        <v>1463.24182879513</v>
      </c>
      <c r="M3332">
        <v>30.739249498795299</v>
      </c>
      <c r="N3332">
        <v>47.750232844529997</v>
      </c>
      <c r="O3332">
        <v>47.401656479266499</v>
      </c>
      <c r="P3332">
        <v>-0.15473281644916201</v>
      </c>
      <c r="Q3332">
        <v>4.5579003120959E-2</v>
      </c>
      <c r="R3332">
        <v>0.99946775306325897</v>
      </c>
      <c r="S3332" t="s">
        <v>9734</v>
      </c>
      <c r="T3332" t="s">
        <v>12802</v>
      </c>
      <c r="U3332" t="s">
        <v>12802</v>
      </c>
      <c r="V3332" t="s">
        <v>12802</v>
      </c>
      <c r="W3332" t="s">
        <v>16084</v>
      </c>
      <c r="X3332">
        <v>25</v>
      </c>
      <c r="Y3332" t="s">
        <v>22331</v>
      </c>
      <c r="Z3332" t="s">
        <v>28650</v>
      </c>
      <c r="AA3332">
        <v>0.38820520850084622</v>
      </c>
      <c r="AB3332" t="str">
        <f>HYPERLINK("Melting_Curves/meltCurve_Q13596_SNX1.pdf", "Melting_Curves/meltCurve_Q13596_SNX1.pdf")</f>
        <v>Melting_Curves/meltCurve_Q13596_SNX1.pdf</v>
      </c>
    </row>
    <row r="3333" spans="1:28" x14ac:dyDescent="0.25">
      <c r="A3333" t="s">
        <v>3337</v>
      </c>
      <c r="B3333">
        <v>0.99542014353169495</v>
      </c>
      <c r="C3333">
        <v>0.97645910941345404</v>
      </c>
      <c r="D3333">
        <v>0.92430997639062196</v>
      </c>
      <c r="E3333">
        <v>0.76643895983065202</v>
      </c>
      <c r="F3333">
        <v>0.54804168010666299</v>
      </c>
      <c r="G3333">
        <v>0.28305588308872198</v>
      </c>
      <c r="H3333">
        <v>0.110681523724744</v>
      </c>
      <c r="I3333">
        <v>5.7410365860814001E-2</v>
      </c>
      <c r="J3333">
        <v>9.6119949003085306E-2</v>
      </c>
      <c r="K3333">
        <v>2.6907936656050999E-2</v>
      </c>
      <c r="L3333">
        <v>781.82175297019398</v>
      </c>
      <c r="M3333">
        <v>15.5192236713131</v>
      </c>
      <c r="N3333">
        <v>50.475856314315301</v>
      </c>
      <c r="O3333">
        <v>49.563400815353198</v>
      </c>
      <c r="P3333">
        <v>-7.7122214968788294E-2</v>
      </c>
      <c r="Q3333">
        <v>1.4873050961089001E-2</v>
      </c>
      <c r="R3333">
        <v>0.99676132424767105</v>
      </c>
      <c r="S3333" t="s">
        <v>9735</v>
      </c>
      <c r="T3333" t="s">
        <v>12802</v>
      </c>
      <c r="U3333" t="s">
        <v>12802</v>
      </c>
      <c r="V3333" t="s">
        <v>12802</v>
      </c>
      <c r="W3333" t="s">
        <v>16085</v>
      </c>
      <c r="X3333">
        <v>6</v>
      </c>
      <c r="Y3333" t="s">
        <v>22332</v>
      </c>
      <c r="Z3333" t="s">
        <v>28651</v>
      </c>
      <c r="AA3333">
        <v>0.47353162239200092</v>
      </c>
      <c r="AB3333" t="str">
        <f>HYPERLINK("Melting_Curves/meltCurve_Q13608_PEX6.pdf", "Melting_Curves/meltCurve_Q13608_PEX6.pdf")</f>
        <v>Melting_Curves/meltCurve_Q13608_PEX6.pdf</v>
      </c>
    </row>
    <row r="3334" spans="1:28" x14ac:dyDescent="0.25">
      <c r="A3334" t="s">
        <v>3338</v>
      </c>
      <c r="B3334">
        <v>0.99542014353169495</v>
      </c>
      <c r="C3334">
        <v>0.99497658812047396</v>
      </c>
      <c r="D3334">
        <v>0.95882892131940101</v>
      </c>
      <c r="E3334">
        <v>0.86522373283627696</v>
      </c>
      <c r="F3334">
        <v>0.62849221476440198</v>
      </c>
      <c r="G3334">
        <v>0.31738711325230101</v>
      </c>
      <c r="H3334">
        <v>0.128977835129893</v>
      </c>
      <c r="I3334">
        <v>6.5377896502163996E-2</v>
      </c>
      <c r="J3334">
        <v>6.6775546319505399E-2</v>
      </c>
      <c r="K3334">
        <v>4.8675519447329799E-2</v>
      </c>
      <c r="L3334">
        <v>978.57092092116704</v>
      </c>
      <c r="M3334">
        <v>19.072708986984001</v>
      </c>
      <c r="N3334">
        <v>51.484322027422998</v>
      </c>
      <c r="O3334">
        <v>50.753341928044797</v>
      </c>
      <c r="P3334">
        <v>-9.0971431625619797E-2</v>
      </c>
      <c r="Q3334">
        <v>3.1721678826846102E-2</v>
      </c>
      <c r="R3334">
        <v>0.99924283909591805</v>
      </c>
      <c r="S3334" t="s">
        <v>9736</v>
      </c>
      <c r="T3334" t="s">
        <v>12802</v>
      </c>
      <c r="U3334" t="s">
        <v>12802</v>
      </c>
      <c r="V3334" t="s">
        <v>12802</v>
      </c>
      <c r="W3334" t="s">
        <v>16086</v>
      </c>
      <c r="X3334">
        <v>8</v>
      </c>
      <c r="Y3334" t="s">
        <v>22333</v>
      </c>
      <c r="Z3334" t="s">
        <v>28652</v>
      </c>
      <c r="AA3334">
        <v>0.50714617733139411</v>
      </c>
      <c r="AB3334" t="str">
        <f>HYPERLINK("Melting_Curves/meltCurve_Q13614_MTMR2.pdf", "Melting_Curves/meltCurve_Q13614_MTMR2.pdf")</f>
        <v>Melting_Curves/meltCurve_Q13614_MTMR2.pdf</v>
      </c>
    </row>
    <row r="3335" spans="1:28" x14ac:dyDescent="0.25">
      <c r="A3335" t="s">
        <v>3339</v>
      </c>
      <c r="B3335">
        <v>0.99542014353169495</v>
      </c>
      <c r="C3335">
        <v>0.91170784140194305</v>
      </c>
      <c r="D3335">
        <v>1.0062015871429899</v>
      </c>
      <c r="E3335">
        <v>0.83185165611136602</v>
      </c>
      <c r="F3335">
        <v>0.73184715539473599</v>
      </c>
      <c r="G3335">
        <v>0.47237696345437802</v>
      </c>
      <c r="H3335">
        <v>0.36527692608377099</v>
      </c>
      <c r="I3335">
        <v>0.17067863449738199</v>
      </c>
      <c r="J3335">
        <v>9.0201812521563604E-2</v>
      </c>
      <c r="K3335">
        <v>9.9838979176224196E-2</v>
      </c>
      <c r="L3335">
        <v>656.08447139695295</v>
      </c>
      <c r="M3335">
        <v>12.1935514453903</v>
      </c>
      <c r="N3335">
        <v>53.805852755965198</v>
      </c>
      <c r="O3335">
        <v>52.420048215120801</v>
      </c>
      <c r="P3335">
        <v>-5.8166267464835497E-2</v>
      </c>
      <c r="Q3335">
        <v>0</v>
      </c>
      <c r="R3335">
        <v>0.98798170787946404</v>
      </c>
      <c r="S3335" t="s">
        <v>9737</v>
      </c>
      <c r="T3335" t="s">
        <v>12802</v>
      </c>
      <c r="U3335" t="s">
        <v>12802</v>
      </c>
      <c r="V3335" t="s">
        <v>12802</v>
      </c>
      <c r="W3335" t="s">
        <v>16087</v>
      </c>
      <c r="X3335">
        <v>34</v>
      </c>
      <c r="Y3335" t="s">
        <v>22334</v>
      </c>
      <c r="Z3335" t="s">
        <v>28653</v>
      </c>
      <c r="AA3335">
        <v>0.57868791753354498</v>
      </c>
      <c r="AB3335" t="str">
        <f>HYPERLINK("Melting_Curves/meltCurve_Q13616_CUL1.pdf", "Melting_Curves/meltCurve_Q13616_CUL1.pdf")</f>
        <v>Melting_Curves/meltCurve_Q13616_CUL1.pdf</v>
      </c>
    </row>
    <row r="3336" spans="1:28" x14ac:dyDescent="0.25">
      <c r="A3336" t="s">
        <v>3340</v>
      </c>
      <c r="B3336">
        <v>0.99542014353169495</v>
      </c>
      <c r="C3336">
        <v>0.96700530728435596</v>
      </c>
      <c r="D3336">
        <v>1.0273730520003499</v>
      </c>
      <c r="E3336">
        <v>0.95825978452941396</v>
      </c>
      <c r="F3336">
        <v>0.82303180827273703</v>
      </c>
      <c r="G3336">
        <v>0.44738360052084403</v>
      </c>
      <c r="H3336">
        <v>0.111119578909952</v>
      </c>
      <c r="I3336">
        <v>6.6695781301108994E-2</v>
      </c>
      <c r="J3336">
        <v>8.43765569270786E-2</v>
      </c>
      <c r="K3336">
        <v>8.9064700292897397E-2</v>
      </c>
      <c r="L3336">
        <v>1539.6259305911001</v>
      </c>
      <c r="M3336">
        <v>29.098811841540901</v>
      </c>
      <c r="N3336">
        <v>53.1581550688555</v>
      </c>
      <c r="O3336">
        <v>52.662248760070703</v>
      </c>
      <c r="P3336">
        <v>-0.12937572012755399</v>
      </c>
      <c r="Q3336">
        <v>6.3443680514601794E-2</v>
      </c>
      <c r="R3336">
        <v>0.99646583092404195</v>
      </c>
      <c r="S3336" t="s">
        <v>9738</v>
      </c>
      <c r="T3336" t="s">
        <v>12802</v>
      </c>
      <c r="U3336" t="s">
        <v>12802</v>
      </c>
      <c r="V3336" t="s">
        <v>12802</v>
      </c>
      <c r="W3336" t="s">
        <v>16088</v>
      </c>
      <c r="X3336">
        <v>34</v>
      </c>
      <c r="Y3336" t="s">
        <v>22335</v>
      </c>
      <c r="Z3336" t="s">
        <v>28654</v>
      </c>
      <c r="AA3336">
        <v>0.56644554049426099</v>
      </c>
      <c r="AB3336" t="str">
        <f>HYPERLINK("Melting_Curves/meltCurve_Q13617_CUL2.pdf", "Melting_Curves/meltCurve_Q13617_CUL2.pdf")</f>
        <v>Melting_Curves/meltCurve_Q13617_CUL2.pdf</v>
      </c>
    </row>
    <row r="3337" spans="1:28" x14ac:dyDescent="0.25">
      <c r="A3337" t="s">
        <v>3341</v>
      </c>
      <c r="B3337">
        <v>0.99542014353169495</v>
      </c>
      <c r="C3337">
        <v>0.98601162183666702</v>
      </c>
      <c r="D3337">
        <v>1.04121457962177</v>
      </c>
      <c r="E3337">
        <v>0.92972185500495597</v>
      </c>
      <c r="F3337">
        <v>0.835048201429054</v>
      </c>
      <c r="G3337">
        <v>0.50505570263138999</v>
      </c>
      <c r="H3337">
        <v>0.119149794127254</v>
      </c>
      <c r="I3337">
        <v>7.2236705249150698E-2</v>
      </c>
      <c r="J3337">
        <v>7.4718369231038195E-2</v>
      </c>
      <c r="K3337">
        <v>7.6007263433685704E-2</v>
      </c>
      <c r="L3337">
        <v>1473.0985538795301</v>
      </c>
      <c r="M3337">
        <v>27.623799119481401</v>
      </c>
      <c r="N3337">
        <v>53.538505767857401</v>
      </c>
      <c r="O3337">
        <v>53.050032141272901</v>
      </c>
      <c r="P3337">
        <v>-0.123454517649003</v>
      </c>
      <c r="Q3337">
        <v>5.1657324992769302E-2</v>
      </c>
      <c r="R3337">
        <v>0.99432483706143704</v>
      </c>
      <c r="S3337" t="s">
        <v>9739</v>
      </c>
      <c r="T3337" t="s">
        <v>12802</v>
      </c>
      <c r="U3337" t="s">
        <v>12802</v>
      </c>
      <c r="V3337" t="s">
        <v>12802</v>
      </c>
      <c r="W3337" t="s">
        <v>16089</v>
      </c>
      <c r="X3337">
        <v>33</v>
      </c>
      <c r="Y3337" t="s">
        <v>22336</v>
      </c>
      <c r="Z3337" t="s">
        <v>28655</v>
      </c>
      <c r="AA3337">
        <v>0.57480820174383895</v>
      </c>
      <c r="AB3337" t="str">
        <f>HYPERLINK("Melting_Curves/meltCurve_Q13618_CUL3.pdf", "Melting_Curves/meltCurve_Q13618_CUL3.pdf")</f>
        <v>Melting_Curves/meltCurve_Q13618_CUL3.pdf</v>
      </c>
    </row>
    <row r="3338" spans="1:28" x14ac:dyDescent="0.25">
      <c r="A3338" t="s">
        <v>3342</v>
      </c>
      <c r="B3338">
        <v>0.99542014353169495</v>
      </c>
      <c r="C3338">
        <v>0.94642424834977701</v>
      </c>
      <c r="D3338">
        <v>0.97704083464660796</v>
      </c>
      <c r="E3338">
        <v>0.80689542245843904</v>
      </c>
      <c r="F3338">
        <v>0.482580626193851</v>
      </c>
      <c r="G3338">
        <v>0.18940404637769601</v>
      </c>
      <c r="H3338">
        <v>0.12813004943664</v>
      </c>
      <c r="I3338">
        <v>9.9926677466754599E-2</v>
      </c>
      <c r="J3338">
        <v>0.123919514744694</v>
      </c>
      <c r="K3338">
        <v>9.9410244380276694E-2</v>
      </c>
      <c r="L3338">
        <v>1150.8783235235201</v>
      </c>
      <c r="M3338">
        <v>23.311669499208399</v>
      </c>
      <c r="N3338">
        <v>49.833162405105597</v>
      </c>
      <c r="O3338">
        <v>49.010201886127298</v>
      </c>
      <c r="P3338">
        <v>-0.107314364317211</v>
      </c>
      <c r="Q3338">
        <v>9.7549766765533397E-2</v>
      </c>
      <c r="R3338">
        <v>0.99712138447615495</v>
      </c>
      <c r="S3338" t="s">
        <v>9740</v>
      </c>
      <c r="T3338" t="s">
        <v>12802</v>
      </c>
      <c r="U3338" t="s">
        <v>12802</v>
      </c>
      <c r="V3338" t="s">
        <v>12802</v>
      </c>
      <c r="W3338" t="s">
        <v>16090</v>
      </c>
      <c r="X3338">
        <v>18</v>
      </c>
      <c r="Y3338" t="s">
        <v>22337</v>
      </c>
      <c r="Z3338" t="s">
        <v>28656</v>
      </c>
      <c r="AA3338">
        <v>0.47859321440292152</v>
      </c>
      <c r="AB3338" t="str">
        <f>HYPERLINK("Melting_Curves/meltCurve_Q13619_CUL4A.pdf", "Melting_Curves/meltCurve_Q13619_CUL4A.pdf")</f>
        <v>Melting_Curves/meltCurve_Q13619_CUL4A.pdf</v>
      </c>
    </row>
    <row r="3339" spans="1:28" x14ac:dyDescent="0.25">
      <c r="A3339" t="s">
        <v>3343</v>
      </c>
      <c r="B3339">
        <v>0.99542014353169495</v>
      </c>
      <c r="C3339">
        <v>0.88768742378083099</v>
      </c>
      <c r="D3339">
        <v>0.99359634366684602</v>
      </c>
      <c r="E3339">
        <v>0.871310594429622</v>
      </c>
      <c r="F3339">
        <v>0.72241338003709199</v>
      </c>
      <c r="G3339">
        <v>0.44849852380167399</v>
      </c>
      <c r="H3339">
        <v>0.15668028960721</v>
      </c>
      <c r="I3339">
        <v>6.9101601537242499E-2</v>
      </c>
      <c r="J3339">
        <v>6.8311952553301594E-2</v>
      </c>
      <c r="K3339">
        <v>7.2817905349435802E-2</v>
      </c>
      <c r="L3339">
        <v>956.51506044994005</v>
      </c>
      <c r="M3339">
        <v>18.185145755624202</v>
      </c>
      <c r="N3339">
        <v>52.734545308996303</v>
      </c>
      <c r="O3339">
        <v>51.975025788116703</v>
      </c>
      <c r="P3339">
        <v>-8.54731334126487E-2</v>
      </c>
      <c r="Q3339">
        <v>2.2882120537666702E-2</v>
      </c>
      <c r="R3339">
        <v>0.98743745599438104</v>
      </c>
      <c r="S3339" t="s">
        <v>9741</v>
      </c>
      <c r="T3339" t="s">
        <v>12802</v>
      </c>
      <c r="U3339" t="s">
        <v>12802</v>
      </c>
      <c r="V3339" t="s">
        <v>12802</v>
      </c>
      <c r="W3339" t="s">
        <v>16091</v>
      </c>
      <c r="X3339">
        <v>31</v>
      </c>
      <c r="Y3339" t="s">
        <v>22338</v>
      </c>
      <c r="Z3339" t="s">
        <v>28657</v>
      </c>
      <c r="AA3339">
        <v>0.54520402982586913</v>
      </c>
      <c r="AB3339" t="str">
        <f>HYPERLINK("Melting_Curves/meltCurve_Q13620_1_CUL4B.pdf", "Melting_Curves/meltCurve_Q13620_1_CUL4B.pdf")</f>
        <v>Melting_Curves/meltCurve_Q13620_1_CUL4B.pdf</v>
      </c>
    </row>
    <row r="3340" spans="1:28" x14ac:dyDescent="0.25">
      <c r="A3340" t="s">
        <v>3344</v>
      </c>
      <c r="B3340">
        <v>0.99542014353169495</v>
      </c>
      <c r="C3340">
        <v>0.891783041542484</v>
      </c>
      <c r="D3340">
        <v>0.84764578074577202</v>
      </c>
      <c r="E3340">
        <v>0.483429164479379</v>
      </c>
      <c r="F3340">
        <v>0.154264298703263</v>
      </c>
      <c r="G3340">
        <v>8.4081269161051506E-2</v>
      </c>
      <c r="H3340">
        <v>6.1534787052022602E-2</v>
      </c>
      <c r="I3340">
        <v>4.3074402769027603E-2</v>
      </c>
      <c r="J3340">
        <v>4.6436537765528703E-2</v>
      </c>
      <c r="K3340">
        <v>4.6709649507650601E-2</v>
      </c>
      <c r="L3340">
        <v>987.63462509357396</v>
      </c>
      <c r="M3340">
        <v>21.412557747183801</v>
      </c>
      <c r="N3340">
        <v>46.304008364506302</v>
      </c>
      <c r="O3340">
        <v>45.727426454394298</v>
      </c>
      <c r="P3340">
        <v>-0.11239600044089799</v>
      </c>
      <c r="Q3340">
        <v>3.9917717639214499E-2</v>
      </c>
      <c r="R3340">
        <v>0.99507312925460101</v>
      </c>
      <c r="S3340" t="s">
        <v>9742</v>
      </c>
      <c r="T3340" t="s">
        <v>12802</v>
      </c>
      <c r="U3340" t="s">
        <v>12802</v>
      </c>
      <c r="V3340" t="s">
        <v>12802</v>
      </c>
      <c r="W3340" t="s">
        <v>16092</v>
      </c>
      <c r="X3340">
        <v>11</v>
      </c>
      <c r="Y3340" t="s">
        <v>22339</v>
      </c>
      <c r="Z3340" t="s">
        <v>28658</v>
      </c>
      <c r="AA3340">
        <v>0.34284296429736311</v>
      </c>
      <c r="AB3340" t="str">
        <f>HYPERLINK("Melting_Curves/meltCurve_Q13625_2_TP53BP2.pdf", "Melting_Curves/meltCurve_Q13625_2_TP53BP2.pdf")</f>
        <v>Melting_Curves/meltCurve_Q13625_2_TP53BP2.pdf</v>
      </c>
    </row>
    <row r="3341" spans="1:28" x14ac:dyDescent="0.25">
      <c r="A3341" t="s">
        <v>3345</v>
      </c>
      <c r="B3341">
        <v>0.99542014353169495</v>
      </c>
      <c r="C3341">
        <v>0.85326646046611898</v>
      </c>
      <c r="D3341">
        <v>0.80821099653337602</v>
      </c>
      <c r="E3341">
        <v>0.65742775498879502</v>
      </c>
      <c r="F3341">
        <v>0.48727652665341098</v>
      </c>
      <c r="G3341">
        <v>0.25120173559917802</v>
      </c>
      <c r="H3341">
        <v>8.5881598696114905E-2</v>
      </c>
      <c r="I3341">
        <v>5.10970195845631E-2</v>
      </c>
      <c r="J3341">
        <v>4.54173366962747E-2</v>
      </c>
      <c r="K3341">
        <v>5.0902402209893602E-2</v>
      </c>
      <c r="L3341">
        <v>579.85706971914703</v>
      </c>
      <c r="M3341">
        <v>11.8608335191444</v>
      </c>
      <c r="N3341">
        <v>48.888391273689798</v>
      </c>
      <c r="O3341">
        <v>47.560801202990497</v>
      </c>
      <c r="P3341">
        <v>-6.2361359666079502E-2</v>
      </c>
      <c r="Q3341">
        <v>0</v>
      </c>
      <c r="R3341">
        <v>0.98643719001684405</v>
      </c>
      <c r="S3341" t="s">
        <v>9743</v>
      </c>
      <c r="T3341" t="s">
        <v>12802</v>
      </c>
      <c r="U3341" t="s">
        <v>12802</v>
      </c>
      <c r="V3341" t="s">
        <v>12802</v>
      </c>
      <c r="W3341" t="s">
        <v>16093</v>
      </c>
      <c r="X3341">
        <v>10</v>
      </c>
      <c r="Y3341" t="s">
        <v>22340</v>
      </c>
      <c r="Z3341" t="s">
        <v>28659</v>
      </c>
      <c r="AA3341">
        <v>0.42665050810665311</v>
      </c>
      <c r="AB3341" t="str">
        <f>HYPERLINK("Melting_Curves/meltCurve_Q13627_2_DYRK1A.pdf", "Melting_Curves/meltCurve_Q13627_2_DYRK1A.pdf")</f>
        <v>Melting_Curves/meltCurve_Q13627_2_DYRK1A.pdf</v>
      </c>
    </row>
    <row r="3342" spans="1:28" x14ac:dyDescent="0.25">
      <c r="A3342" t="s">
        <v>3346</v>
      </c>
      <c r="B3342">
        <v>0.99542014353169495</v>
      </c>
      <c r="C3342">
        <v>1.0116707956617901</v>
      </c>
      <c r="D3342">
        <v>0.96832217104596996</v>
      </c>
      <c r="E3342">
        <v>0.93836467022071701</v>
      </c>
      <c r="F3342">
        <v>0.79614243615992097</v>
      </c>
      <c r="G3342">
        <v>0.70128030441821199</v>
      </c>
      <c r="H3342">
        <v>0.44335885881922199</v>
      </c>
      <c r="I3342">
        <v>0.214086332344711</v>
      </c>
      <c r="J3342">
        <v>6.7224792948245599E-2</v>
      </c>
      <c r="K3342">
        <v>6.24717612699172E-2</v>
      </c>
      <c r="L3342">
        <v>880.81344873225999</v>
      </c>
      <c r="M3342">
        <v>15.703234720668799</v>
      </c>
      <c r="N3342">
        <v>56.091211462560302</v>
      </c>
      <c r="O3342">
        <v>55.205220130967803</v>
      </c>
      <c r="P3342">
        <v>-7.1119021804434898E-2</v>
      </c>
      <c r="Q3342">
        <v>0</v>
      </c>
      <c r="R3342">
        <v>0.99148137588718899</v>
      </c>
      <c r="S3342" t="s">
        <v>9744</v>
      </c>
      <c r="T3342" t="s">
        <v>12802</v>
      </c>
      <c r="U3342" t="s">
        <v>12802</v>
      </c>
      <c r="V3342" t="s">
        <v>12802</v>
      </c>
      <c r="W3342" t="s">
        <v>16094</v>
      </c>
      <c r="X3342">
        <v>14</v>
      </c>
      <c r="Y3342" t="s">
        <v>22341</v>
      </c>
      <c r="Z3342" t="s">
        <v>28660</v>
      </c>
      <c r="AA3342">
        <v>0.64761575417719253</v>
      </c>
      <c r="AB3342" t="str">
        <f>HYPERLINK("Melting_Curves/meltCurve_Q13630_TSTA3.pdf", "Melting_Curves/meltCurve_Q13630_TSTA3.pdf")</f>
        <v>Melting_Curves/meltCurve_Q13630_TSTA3.pdf</v>
      </c>
    </row>
    <row r="3343" spans="1:28" x14ac:dyDescent="0.25">
      <c r="A3343" t="s">
        <v>3347</v>
      </c>
      <c r="B3343">
        <v>0.99542014353169495</v>
      </c>
      <c r="C3343">
        <v>0.98391283309680599</v>
      </c>
      <c r="D3343">
        <v>0.93882317955540695</v>
      </c>
      <c r="E3343">
        <v>0.85090603678035404</v>
      </c>
      <c r="F3343">
        <v>0.70407324960596196</v>
      </c>
      <c r="G3343">
        <v>0.51728056459302596</v>
      </c>
      <c r="H3343">
        <v>0.29941787322364299</v>
      </c>
      <c r="I3343">
        <v>0.13971307009797801</v>
      </c>
      <c r="J3343">
        <v>0.11095407167468301</v>
      </c>
      <c r="K3343">
        <v>9.2221288085331102E-2</v>
      </c>
      <c r="L3343">
        <v>675.72854201140103</v>
      </c>
      <c r="M3343">
        <v>12.608346323849</v>
      </c>
      <c r="N3343">
        <v>53.593746205200198</v>
      </c>
      <c r="O3343">
        <v>52.299165238856602</v>
      </c>
      <c r="P3343">
        <v>-6.0282278235699101E-2</v>
      </c>
      <c r="Q3343">
        <v>0</v>
      </c>
      <c r="R3343">
        <v>0.99740484023229603</v>
      </c>
      <c r="S3343" t="s">
        <v>9745</v>
      </c>
      <c r="T3343" t="s">
        <v>12802</v>
      </c>
      <c r="U3343" t="s">
        <v>12802</v>
      </c>
      <c r="V3343" t="s">
        <v>12802</v>
      </c>
      <c r="W3343" t="s">
        <v>16095</v>
      </c>
      <c r="X3343">
        <v>11</v>
      </c>
      <c r="Y3343" t="s">
        <v>22342</v>
      </c>
      <c r="Z3343" t="s">
        <v>28661</v>
      </c>
      <c r="AA3343">
        <v>0.57202533914709441</v>
      </c>
      <c r="AB3343" t="str">
        <f>HYPERLINK("Melting_Curves/meltCurve_Q13636_RAB31.pdf", "Melting_Curves/meltCurve_Q13636_RAB31.pdf")</f>
        <v>Melting_Curves/meltCurve_Q13636_RAB31.pdf</v>
      </c>
    </row>
    <row r="3344" spans="1:28" x14ac:dyDescent="0.25">
      <c r="A3344" t="s">
        <v>3348</v>
      </c>
      <c r="B3344">
        <v>0.99542014353169495</v>
      </c>
      <c r="C3344">
        <v>1.08331057168394</v>
      </c>
      <c r="D3344">
        <v>1.1775500515916799</v>
      </c>
      <c r="E3344">
        <v>1.0620790629297201</v>
      </c>
      <c r="F3344">
        <v>0.87531841523557796</v>
      </c>
      <c r="G3344">
        <v>0.57342404776703004</v>
      </c>
      <c r="H3344">
        <v>0.27839028952857903</v>
      </c>
      <c r="I3344">
        <v>0.16930886288772701</v>
      </c>
      <c r="J3344">
        <v>4.3527262444868098E-2</v>
      </c>
      <c r="K3344">
        <v>0</v>
      </c>
      <c r="L3344">
        <v>1182.5273068556701</v>
      </c>
      <c r="M3344">
        <v>21.605372242782298</v>
      </c>
      <c r="N3344">
        <v>54.809306618228298</v>
      </c>
      <c r="O3344">
        <v>54.270597402461497</v>
      </c>
      <c r="P3344">
        <v>-9.8054647698004094E-2</v>
      </c>
      <c r="Q3344">
        <v>1.48086038531254E-2</v>
      </c>
      <c r="R3344">
        <v>0.97362092854209803</v>
      </c>
      <c r="S3344" t="s">
        <v>9746</v>
      </c>
      <c r="T3344" t="s">
        <v>12802</v>
      </c>
      <c r="U3344" t="s">
        <v>12802</v>
      </c>
      <c r="V3344" t="s">
        <v>12802</v>
      </c>
      <c r="W3344" t="s">
        <v>16096</v>
      </c>
      <c r="X3344">
        <v>3</v>
      </c>
      <c r="Y3344" t="s">
        <v>22343</v>
      </c>
      <c r="Z3344" t="s">
        <v>28662</v>
      </c>
      <c r="AA3344">
        <v>0.60753461868268033</v>
      </c>
      <c r="AB3344" t="str">
        <f>HYPERLINK("Melting_Curves/meltCurve_Q13637_RAB32.pdf", "Melting_Curves/meltCurve_Q13637_RAB32.pdf")</f>
        <v>Melting_Curves/meltCurve_Q13637_RAB32.pdf</v>
      </c>
    </row>
    <row r="3345" spans="1:28" x14ac:dyDescent="0.25">
      <c r="A3345" t="s">
        <v>3349</v>
      </c>
      <c r="B3345">
        <v>0.99542014353169495</v>
      </c>
      <c r="C3345">
        <v>0.98620978209658705</v>
      </c>
      <c r="D3345">
        <v>1.0440976345145401</v>
      </c>
      <c r="E3345">
        <v>0.93053247553361795</v>
      </c>
      <c r="F3345">
        <v>0.76015411425976498</v>
      </c>
      <c r="G3345">
        <v>0.60702639214071097</v>
      </c>
      <c r="H3345">
        <v>0.46518186879255302</v>
      </c>
      <c r="I3345">
        <v>0.36396793493448898</v>
      </c>
      <c r="J3345">
        <v>0.46719810216227398</v>
      </c>
      <c r="K3345">
        <v>0.56017147053256999</v>
      </c>
      <c r="L3345">
        <v>1235.01071694964</v>
      </c>
      <c r="M3345">
        <v>24.305380378394499</v>
      </c>
      <c r="N3345">
        <v>56.6702276083778</v>
      </c>
      <c r="O3345">
        <v>50.4720161366646</v>
      </c>
      <c r="P3345">
        <v>-6.5076152821390995E-2</v>
      </c>
      <c r="Q3345">
        <v>0.45946531107393002</v>
      </c>
      <c r="R3345">
        <v>0.95629746152224504</v>
      </c>
      <c r="S3345" t="s">
        <v>9747</v>
      </c>
      <c r="T3345" t="s">
        <v>12802</v>
      </c>
      <c r="U3345" t="s">
        <v>12802</v>
      </c>
      <c r="V3345" t="s">
        <v>12802</v>
      </c>
      <c r="W3345" t="s">
        <v>16097</v>
      </c>
      <c r="X3345">
        <v>14</v>
      </c>
      <c r="Y3345" t="s">
        <v>22344</v>
      </c>
      <c r="Z3345" t="s">
        <v>28663</v>
      </c>
      <c r="AA3345">
        <v>0.71335026481493657</v>
      </c>
      <c r="AB3345" t="str">
        <f>HYPERLINK("Melting_Curves/meltCurve_Q13643_FHL3.pdf", "Melting_Curves/meltCurve_Q13643_FHL3.pdf")</f>
        <v>Melting_Curves/meltCurve_Q13643_FHL3.pdf</v>
      </c>
    </row>
    <row r="3346" spans="1:28" x14ac:dyDescent="0.25">
      <c r="A3346" t="s">
        <v>3350</v>
      </c>
      <c r="B3346">
        <v>0.99542014353169495</v>
      </c>
      <c r="C3346">
        <v>0.877924717603079</v>
      </c>
      <c r="D3346">
        <v>0.936866908688332</v>
      </c>
      <c r="E3346">
        <v>0.550231885752826</v>
      </c>
      <c r="F3346">
        <v>0.27654273069840501</v>
      </c>
      <c r="G3346">
        <v>0.15862860111264199</v>
      </c>
      <c r="H3346">
        <v>8.2435147881247395E-2</v>
      </c>
      <c r="I3346">
        <v>2.90928307349448E-2</v>
      </c>
      <c r="J3346">
        <v>1.6823687859904901E-2</v>
      </c>
      <c r="K3346">
        <v>0</v>
      </c>
      <c r="L3346">
        <v>814.06768808831202</v>
      </c>
      <c r="M3346">
        <v>17.1577729497814</v>
      </c>
      <c r="N3346">
        <v>47.5196552568515</v>
      </c>
      <c r="O3346">
        <v>46.8155576794083</v>
      </c>
      <c r="P3346">
        <v>-9.0427401229040597E-2</v>
      </c>
      <c r="Q3346">
        <v>1.31220497146821E-2</v>
      </c>
      <c r="R3346">
        <v>0.98891734765019002</v>
      </c>
      <c r="S3346" t="s">
        <v>9748</v>
      </c>
      <c r="T3346" t="s">
        <v>12802</v>
      </c>
      <c r="U3346" t="s">
        <v>12802</v>
      </c>
      <c r="V3346" t="s">
        <v>12802</v>
      </c>
      <c r="W3346" t="s">
        <v>16098</v>
      </c>
      <c r="X3346">
        <v>2</v>
      </c>
      <c r="Y3346" t="s">
        <v>22345</v>
      </c>
      <c r="Z3346" t="s">
        <v>28664</v>
      </c>
      <c r="AA3346">
        <v>0.37403653358497008</v>
      </c>
      <c r="AB3346" t="str">
        <f>HYPERLINK("Melting_Curves/meltCurve_Q13686_ALKBH1.pdf", "Melting_Curves/meltCurve_Q13686_ALKBH1.pdf")</f>
        <v>Melting_Curves/meltCurve_Q13686_ALKBH1.pdf</v>
      </c>
    </row>
    <row r="3347" spans="1:28" x14ac:dyDescent="0.25">
      <c r="A3347" t="s">
        <v>3351</v>
      </c>
      <c r="B3347">
        <v>0.99542014353169495</v>
      </c>
      <c r="C3347">
        <v>0.93008669090263796</v>
      </c>
      <c r="D3347">
        <v>0.96540382919606604</v>
      </c>
      <c r="E3347">
        <v>0.79265101584918896</v>
      </c>
      <c r="F3347">
        <v>0.53617374342035495</v>
      </c>
      <c r="G3347">
        <v>0.15323756988188</v>
      </c>
      <c r="H3347">
        <v>8.0854335575232E-2</v>
      </c>
      <c r="I3347">
        <v>4.8504744736567802E-2</v>
      </c>
      <c r="J3347">
        <v>5.6703520281530903E-2</v>
      </c>
      <c r="K3347">
        <v>6.7293136856344499E-2</v>
      </c>
      <c r="L3347">
        <v>1083.0829137066801</v>
      </c>
      <c r="M3347">
        <v>21.7198365729793</v>
      </c>
      <c r="N3347">
        <v>50.049468560658802</v>
      </c>
      <c r="O3347">
        <v>49.449133975700697</v>
      </c>
      <c r="P3347">
        <v>-0.10561106446335899</v>
      </c>
      <c r="Q3347">
        <v>3.8251875191994501E-2</v>
      </c>
      <c r="R3347">
        <v>0.99282561461471297</v>
      </c>
      <c r="S3347" t="s">
        <v>9749</v>
      </c>
      <c r="T3347" t="s">
        <v>12802</v>
      </c>
      <c r="U3347" t="s">
        <v>12802</v>
      </c>
      <c r="V3347" t="s">
        <v>12802</v>
      </c>
      <c r="W3347" t="s">
        <v>16099</v>
      </c>
      <c r="X3347">
        <v>15</v>
      </c>
      <c r="Y3347" t="s">
        <v>22346</v>
      </c>
      <c r="Z3347" t="s">
        <v>28665</v>
      </c>
      <c r="AA3347">
        <v>0.46164251524344291</v>
      </c>
      <c r="AB3347" t="str">
        <f>HYPERLINK("Melting_Curves/meltCurve_Q13724_MOGS.pdf", "Melting_Curves/meltCurve_Q13724_MOGS.pdf")</f>
        <v>Melting_Curves/meltCurve_Q13724_MOGS.pdf</v>
      </c>
    </row>
    <row r="3348" spans="1:28" x14ac:dyDescent="0.25">
      <c r="A3348" t="s">
        <v>3352</v>
      </c>
      <c r="B3348">
        <v>0.99542014353169495</v>
      </c>
      <c r="C3348">
        <v>0.92207479972923101</v>
      </c>
      <c r="D3348">
        <v>1.0483016996637899</v>
      </c>
      <c r="E3348">
        <v>1.1334943841023599</v>
      </c>
      <c r="F3348">
        <v>0.87789011518573501</v>
      </c>
      <c r="G3348">
        <v>0.15287678686424699</v>
      </c>
      <c r="H3348">
        <v>0.106115634757439</v>
      </c>
      <c r="I3348">
        <v>5.9232104070880698E-2</v>
      </c>
      <c r="J3348">
        <v>3.6706634664208197E-2</v>
      </c>
      <c r="K3348">
        <v>2.6014661401596501E-2</v>
      </c>
      <c r="L3348">
        <v>3064.9454947470499</v>
      </c>
      <c r="M3348">
        <v>59.127027851049398</v>
      </c>
      <c r="N3348">
        <v>51.940881443349802</v>
      </c>
      <c r="O3348">
        <v>51.777445571575399</v>
      </c>
      <c r="P3348">
        <v>-0.26951229288002598</v>
      </c>
      <c r="Q3348">
        <v>5.59547797519344E-2</v>
      </c>
      <c r="R3348">
        <v>0.98610506482474203</v>
      </c>
      <c r="S3348" t="s">
        <v>9750</v>
      </c>
      <c r="T3348" t="s">
        <v>12802</v>
      </c>
      <c r="U3348" t="s">
        <v>12802</v>
      </c>
      <c r="V3348" t="s">
        <v>12802</v>
      </c>
      <c r="W3348" t="s">
        <v>16100</v>
      </c>
      <c r="X3348">
        <v>9</v>
      </c>
      <c r="Y3348" t="s">
        <v>22347</v>
      </c>
      <c r="Z3348" t="s">
        <v>28666</v>
      </c>
      <c r="AA3348">
        <v>0.52437730655702497</v>
      </c>
      <c r="AB3348" t="str">
        <f>HYPERLINK("Melting_Curves/meltCurve_Q13769_THOC5.pdf", "Melting_Curves/meltCurve_Q13769_THOC5.pdf")</f>
        <v>Melting_Curves/meltCurve_Q13769_THOC5.pdf</v>
      </c>
    </row>
    <row r="3349" spans="1:28" x14ac:dyDescent="0.25">
      <c r="A3349" t="s">
        <v>3353</v>
      </c>
      <c r="B3349">
        <v>0.99542014353169495</v>
      </c>
      <c r="C3349">
        <v>1.0401668037193501</v>
      </c>
      <c r="D3349">
        <v>0.94632396953150399</v>
      </c>
      <c r="E3349">
        <v>0.70672064692847802</v>
      </c>
      <c r="F3349">
        <v>0.59943432040449096</v>
      </c>
      <c r="G3349">
        <v>0.36815533872744599</v>
      </c>
      <c r="H3349">
        <v>0.15229611363318099</v>
      </c>
      <c r="I3349">
        <v>5.5673945511714298E-2</v>
      </c>
      <c r="J3349">
        <v>4.4999667349591398E-2</v>
      </c>
      <c r="K3349">
        <v>4.4514532841547397E-2</v>
      </c>
      <c r="L3349">
        <v>705.33809782369406</v>
      </c>
      <c r="M3349">
        <v>13.8189767212532</v>
      </c>
      <c r="N3349">
        <v>51.041268788672902</v>
      </c>
      <c r="O3349">
        <v>50.008024906219298</v>
      </c>
      <c r="P3349">
        <v>-6.9093414332083894E-2</v>
      </c>
      <c r="Q3349">
        <v>0</v>
      </c>
      <c r="R3349">
        <v>0.98941234557713598</v>
      </c>
      <c r="S3349" t="s">
        <v>9751</v>
      </c>
      <c r="T3349" t="s">
        <v>12802</v>
      </c>
      <c r="U3349" t="s">
        <v>12802</v>
      </c>
      <c r="V3349" t="s">
        <v>12802</v>
      </c>
      <c r="W3349" t="s">
        <v>16101</v>
      </c>
      <c r="X3349">
        <v>6</v>
      </c>
      <c r="Y3349" t="s">
        <v>22348</v>
      </c>
      <c r="Z3349" t="s">
        <v>28667</v>
      </c>
      <c r="AA3349">
        <v>0.49029953106469459</v>
      </c>
      <c r="AB3349" t="str">
        <f>HYPERLINK("Melting_Curves/meltCurve_Q13795_ARFRP1.pdf", "Melting_Curves/meltCurve_Q13795_ARFRP1.pdf")</f>
        <v>Melting_Curves/meltCurve_Q13795_ARFRP1.pdf</v>
      </c>
    </row>
    <row r="3350" spans="1:28" x14ac:dyDescent="0.25">
      <c r="A3350" t="s">
        <v>3354</v>
      </c>
      <c r="B3350">
        <v>0.99542014353169495</v>
      </c>
      <c r="C3350">
        <v>1.065344468308</v>
      </c>
      <c r="D3350">
        <v>1.14773716247708</v>
      </c>
      <c r="E3350">
        <v>1.2213053683300601</v>
      </c>
      <c r="F3350">
        <v>1.2303871685655901</v>
      </c>
      <c r="G3350">
        <v>1.03729260683211</v>
      </c>
      <c r="H3350">
        <v>0.67256859585915496</v>
      </c>
      <c r="I3350">
        <v>0.49388614072756498</v>
      </c>
      <c r="J3350">
        <v>0.217977213068866</v>
      </c>
      <c r="K3350">
        <v>0.108387092449587</v>
      </c>
      <c r="L3350">
        <v>1480.1175621908201</v>
      </c>
      <c r="M3350">
        <v>24.635015881454599</v>
      </c>
      <c r="N3350">
        <v>60.358732877466601</v>
      </c>
      <c r="O3350">
        <v>59.690152700233</v>
      </c>
      <c r="P3350">
        <v>-9.7667642949080494E-2</v>
      </c>
      <c r="Q3350">
        <v>5.3426475950443898E-2</v>
      </c>
      <c r="R3350">
        <v>0.90281341439805796</v>
      </c>
      <c r="S3350" t="s">
        <v>9752</v>
      </c>
      <c r="T3350" t="s">
        <v>12802</v>
      </c>
      <c r="U3350" t="s">
        <v>12802</v>
      </c>
      <c r="V3350" t="s">
        <v>12802</v>
      </c>
      <c r="W3350" t="s">
        <v>16102</v>
      </c>
      <c r="X3350">
        <v>8</v>
      </c>
      <c r="Y3350" t="s">
        <v>22349</v>
      </c>
      <c r="Z3350" t="s">
        <v>28668</v>
      </c>
      <c r="AA3350">
        <v>0.78421995920940968</v>
      </c>
      <c r="AB3350" t="str">
        <f>HYPERLINK("Melting_Curves/meltCurve_Q13868_EXOSC2.pdf", "Melting_Curves/meltCurve_Q13868_EXOSC2.pdf")</f>
        <v>Melting_Curves/meltCurve_Q13868_EXOSC2.pdf</v>
      </c>
    </row>
    <row r="3351" spans="1:28" x14ac:dyDescent="0.25">
      <c r="A3351" t="s">
        <v>3355</v>
      </c>
      <c r="B3351">
        <v>0.99542014353169495</v>
      </c>
      <c r="C3351">
        <v>0.96630223210659605</v>
      </c>
      <c r="D3351">
        <v>0.91906792356351097</v>
      </c>
      <c r="E3351">
        <v>0.88638902732522495</v>
      </c>
      <c r="F3351">
        <v>0.75515947081200396</v>
      </c>
      <c r="G3351">
        <v>0.61351661898143495</v>
      </c>
      <c r="H3351">
        <v>0.356662245851737</v>
      </c>
      <c r="I3351">
        <v>0.16263774609263901</v>
      </c>
      <c r="J3351">
        <v>5.20925510240417E-2</v>
      </c>
      <c r="K3351">
        <v>3.8715334321854797E-2</v>
      </c>
      <c r="L3351">
        <v>795.76693857995804</v>
      </c>
      <c r="M3351">
        <v>14.553501720511999</v>
      </c>
      <c r="N3351">
        <v>54.6787265964578</v>
      </c>
      <c r="O3351">
        <v>53.677468970675299</v>
      </c>
      <c r="P3351">
        <v>-6.7789881781322101E-2</v>
      </c>
      <c r="Q3351">
        <v>0</v>
      </c>
      <c r="R3351">
        <v>0.98932099250540995</v>
      </c>
      <c r="S3351" t="s">
        <v>9753</v>
      </c>
      <c r="T3351" t="s">
        <v>12802</v>
      </c>
      <c r="U3351" t="s">
        <v>12802</v>
      </c>
      <c r="V3351" t="s">
        <v>12802</v>
      </c>
      <c r="W3351" t="s">
        <v>16103</v>
      </c>
      <c r="X3351">
        <v>31</v>
      </c>
      <c r="Y3351" t="s">
        <v>22350</v>
      </c>
      <c r="Z3351" t="s">
        <v>28669</v>
      </c>
      <c r="AA3351">
        <v>0.60433031388960023</v>
      </c>
      <c r="AB3351" t="str">
        <f>HYPERLINK("Melting_Curves/meltCurve_Q13885_TUBB2A.pdf", "Melting_Curves/meltCurve_Q13885_TUBB2A.pdf")</f>
        <v>Melting_Curves/meltCurve_Q13885_TUBB2A.pdf</v>
      </c>
    </row>
    <row r="3352" spans="1:28" x14ac:dyDescent="0.25">
      <c r="A3352" t="s">
        <v>3356</v>
      </c>
      <c r="B3352">
        <v>0.99542014353169495</v>
      </c>
      <c r="C3352">
        <v>1.06974230532852</v>
      </c>
      <c r="D3352">
        <v>1.16289672898537</v>
      </c>
      <c r="E3352">
        <v>1.0489544612633801</v>
      </c>
      <c r="F3352">
        <v>0.28433702585978599</v>
      </c>
      <c r="G3352">
        <v>0.169193384286732</v>
      </c>
      <c r="H3352">
        <v>9.9887074263190698E-2</v>
      </c>
      <c r="I3352">
        <v>7.5085150487770397E-2</v>
      </c>
      <c r="J3352">
        <v>7.6452716463998094E-2</v>
      </c>
      <c r="K3352">
        <v>8.4687650042657006E-2</v>
      </c>
      <c r="L3352">
        <v>12481.616708772999</v>
      </c>
      <c r="M3352">
        <v>250</v>
      </c>
      <c r="N3352">
        <v>49.971600838383402</v>
      </c>
      <c r="O3352">
        <v>49.923258688837997</v>
      </c>
      <c r="P3352">
        <v>-1.12540050885368</v>
      </c>
      <c r="Q3352">
        <v>0.101061190971731</v>
      </c>
      <c r="R3352">
        <v>0.98146760611166906</v>
      </c>
      <c r="S3352" t="s">
        <v>9754</v>
      </c>
      <c r="T3352" t="s">
        <v>12802</v>
      </c>
      <c r="U3352" t="s">
        <v>12802</v>
      </c>
      <c r="V3352" t="s">
        <v>12802</v>
      </c>
      <c r="W3352" t="s">
        <v>16104</v>
      </c>
      <c r="X3352">
        <v>14</v>
      </c>
      <c r="Y3352" t="s">
        <v>22351</v>
      </c>
      <c r="Z3352" t="s">
        <v>28670</v>
      </c>
      <c r="AA3352">
        <v>0.48847671286773708</v>
      </c>
      <c r="AB3352" t="str">
        <f>HYPERLINK("Melting_Curves/meltCurve_Q13895_BYSL.pdf", "Melting_Curves/meltCurve_Q13895_BYSL.pdf")</f>
        <v>Melting_Curves/meltCurve_Q13895_BYSL.pdf</v>
      </c>
    </row>
    <row r="3353" spans="1:28" x14ac:dyDescent="0.25">
      <c r="A3353" t="s">
        <v>3357</v>
      </c>
      <c r="B3353">
        <v>0.99542014353169495</v>
      </c>
      <c r="C3353">
        <v>1.0472761289778101</v>
      </c>
      <c r="D3353">
        <v>0.95702479682297104</v>
      </c>
      <c r="E3353">
        <v>0.93343562075310405</v>
      </c>
      <c r="F3353">
        <v>0.76146047356551205</v>
      </c>
      <c r="G3353">
        <v>0.60326078788662696</v>
      </c>
      <c r="H3353">
        <v>0.37943299237133399</v>
      </c>
      <c r="I3353">
        <v>0.29045326801026899</v>
      </c>
      <c r="J3353">
        <v>0.32638397325066298</v>
      </c>
      <c r="K3353">
        <v>0.334025212041416</v>
      </c>
      <c r="L3353">
        <v>973.25396103943297</v>
      </c>
      <c r="M3353">
        <v>18.580077768087602</v>
      </c>
      <c r="N3353">
        <v>54.937674477762798</v>
      </c>
      <c r="O3353">
        <v>51.7861163804046</v>
      </c>
      <c r="P3353">
        <v>-6.3744156844191505E-2</v>
      </c>
      <c r="Q3353">
        <v>0.28936387984995099</v>
      </c>
      <c r="R3353">
        <v>0.98864910898327996</v>
      </c>
      <c r="S3353" t="s">
        <v>9755</v>
      </c>
      <c r="T3353" t="s">
        <v>12802</v>
      </c>
      <c r="U3353" t="s">
        <v>12802</v>
      </c>
      <c r="V3353" t="s">
        <v>12802</v>
      </c>
      <c r="W3353" t="s">
        <v>16105</v>
      </c>
      <c r="X3353">
        <v>12</v>
      </c>
      <c r="Y3353" t="s">
        <v>22352</v>
      </c>
      <c r="Z3353" t="s">
        <v>28671</v>
      </c>
      <c r="AA3353">
        <v>0.66386735979378997</v>
      </c>
      <c r="AB3353" t="str">
        <f>HYPERLINK("Melting_Curves/meltCurve_Q13907_IDI1.pdf", "Melting_Curves/meltCurve_Q13907_IDI1.pdf")</f>
        <v>Melting_Curves/meltCurve_Q13907_IDI1.pdf</v>
      </c>
    </row>
    <row r="3354" spans="1:28" x14ac:dyDescent="0.25">
      <c r="A3354" t="s">
        <v>3358</v>
      </c>
      <c r="B3354">
        <v>0.99542014353169495</v>
      </c>
      <c r="C3354">
        <v>1.02458108218292</v>
      </c>
      <c r="D3354">
        <v>0.866832150898736</v>
      </c>
      <c r="E3354">
        <v>0.56839231988858596</v>
      </c>
      <c r="F3354">
        <v>0.24621742528582</v>
      </c>
      <c r="G3354">
        <v>0.14607830954263701</v>
      </c>
      <c r="H3354">
        <v>0.106184500521042</v>
      </c>
      <c r="I3354">
        <v>6.4227163313160501E-2</v>
      </c>
      <c r="J3354">
        <v>5.0532217118968499E-2</v>
      </c>
      <c r="K3354">
        <v>4.7955575324963702E-2</v>
      </c>
      <c r="L3354">
        <v>964.96514694799305</v>
      </c>
      <c r="M3354">
        <v>20.5477625382639</v>
      </c>
      <c r="N3354">
        <v>47.260099218018702</v>
      </c>
      <c r="O3354">
        <v>46.5240396298585</v>
      </c>
      <c r="P3354">
        <v>-0.10370794928977201</v>
      </c>
      <c r="Q3354">
        <v>6.0769467581558899E-2</v>
      </c>
      <c r="R3354">
        <v>0.99733856993837</v>
      </c>
      <c r="S3354" t="s">
        <v>9756</v>
      </c>
      <c r="T3354" t="s">
        <v>12802</v>
      </c>
      <c r="U3354" t="s">
        <v>12802</v>
      </c>
      <c r="V3354" t="s">
        <v>12802</v>
      </c>
      <c r="W3354" t="s">
        <v>16106</v>
      </c>
      <c r="X3354">
        <v>16</v>
      </c>
      <c r="Y3354" t="s">
        <v>22353</v>
      </c>
      <c r="Z3354" t="s">
        <v>28672</v>
      </c>
      <c r="AA3354">
        <v>0.38431720571914141</v>
      </c>
      <c r="AB3354" t="str">
        <f>HYPERLINK("Melting_Curves/meltCurve_Q13951_CBFB.pdf", "Melting_Curves/meltCurve_Q13951_CBFB.pdf")</f>
        <v>Melting_Curves/meltCurve_Q13951_CBFB.pdf</v>
      </c>
    </row>
    <row r="3355" spans="1:28" x14ac:dyDescent="0.25">
      <c r="A3355" t="s">
        <v>3359</v>
      </c>
      <c r="B3355">
        <v>0.99542014353169495</v>
      </c>
      <c r="C3355">
        <v>1.03171173503</v>
      </c>
      <c r="D3355">
        <v>0.91252082443474702</v>
      </c>
      <c r="E3355">
        <v>0.64522593505417902</v>
      </c>
      <c r="F3355">
        <v>0.23640237089910601</v>
      </c>
      <c r="G3355">
        <v>0.142105387003367</v>
      </c>
      <c r="H3355">
        <v>7.9844450846855694E-2</v>
      </c>
      <c r="I3355">
        <v>5.2246290343392003E-2</v>
      </c>
      <c r="J3355">
        <v>5.2634843861711099E-2</v>
      </c>
      <c r="K3355">
        <v>5.6278355294083003E-2</v>
      </c>
      <c r="L3355">
        <v>1151.07248820829</v>
      </c>
      <c r="M3355">
        <v>24.249634695323099</v>
      </c>
      <c r="N3355">
        <v>47.715651989036203</v>
      </c>
      <c r="O3355">
        <v>47.1483508275494</v>
      </c>
      <c r="P3355">
        <v>-0.12096939680355399</v>
      </c>
      <c r="Q3355">
        <v>5.9215353241012403E-2</v>
      </c>
      <c r="R3355">
        <v>0.99764513697391</v>
      </c>
      <c r="S3355" t="s">
        <v>9757</v>
      </c>
      <c r="T3355" t="s">
        <v>12802</v>
      </c>
      <c r="U3355" t="s">
        <v>12802</v>
      </c>
      <c r="V3355" t="s">
        <v>12802</v>
      </c>
      <c r="W3355" t="s">
        <v>16107</v>
      </c>
      <c r="X3355">
        <v>18</v>
      </c>
      <c r="Y3355" t="s">
        <v>22353</v>
      </c>
      <c r="Z3355" t="s">
        <v>28673</v>
      </c>
      <c r="AA3355">
        <v>0.39592761494907269</v>
      </c>
      <c r="AB3355" t="str">
        <f>HYPERLINK("Melting_Curves/meltCurve_Q13951_2_CBFB.pdf", "Melting_Curves/meltCurve_Q13951_2_CBFB.pdf")</f>
        <v>Melting_Curves/meltCurve_Q13951_2_CBFB.pdf</v>
      </c>
    </row>
    <row r="3356" spans="1:28" x14ac:dyDescent="0.25">
      <c r="A3356" t="s">
        <v>3360</v>
      </c>
      <c r="B3356">
        <v>0.99542014353169495</v>
      </c>
      <c r="C3356">
        <v>1.04675685651757</v>
      </c>
      <c r="D3356">
        <v>0.96377269362914197</v>
      </c>
      <c r="E3356">
        <v>0.88586045938757796</v>
      </c>
      <c r="F3356">
        <v>0.65613204505855005</v>
      </c>
      <c r="G3356">
        <v>0.49053582915795002</v>
      </c>
      <c r="H3356">
        <v>0.25950076364442598</v>
      </c>
      <c r="I3356">
        <v>8.9597713504322399E-2</v>
      </c>
      <c r="J3356">
        <v>8.0241877209837803E-2</v>
      </c>
      <c r="K3356">
        <v>6.11009235484683E-2</v>
      </c>
      <c r="L3356">
        <v>763.686055271231</v>
      </c>
      <c r="M3356">
        <v>14.393137464374799</v>
      </c>
      <c r="N3356">
        <v>53.059052698085502</v>
      </c>
      <c r="O3356">
        <v>52.066341805759897</v>
      </c>
      <c r="P3356">
        <v>-6.9117813401778902E-2</v>
      </c>
      <c r="Q3356">
        <v>0</v>
      </c>
      <c r="R3356">
        <v>0.99447032558873905</v>
      </c>
      <c r="S3356" t="s">
        <v>9758</v>
      </c>
      <c r="T3356" t="s">
        <v>12802</v>
      </c>
      <c r="U3356" t="s">
        <v>12802</v>
      </c>
      <c r="V3356" t="s">
        <v>12802</v>
      </c>
      <c r="W3356" t="s">
        <v>16108</v>
      </c>
      <c r="X3356">
        <v>12</v>
      </c>
      <c r="Y3356" t="s">
        <v>22354</v>
      </c>
      <c r="Z3356" t="s">
        <v>28674</v>
      </c>
      <c r="AA3356">
        <v>0.55374247981067848</v>
      </c>
      <c r="AB3356" t="str">
        <f>HYPERLINK("Melting_Curves/meltCurve_Q13952_3_NFYC.pdf", "Melting_Curves/meltCurve_Q13952_3_NFYC.pdf")</f>
        <v>Melting_Curves/meltCurve_Q13952_3_NFYC.pdf</v>
      </c>
    </row>
    <row r="3357" spans="1:28" x14ac:dyDescent="0.25">
      <c r="A3357" t="s">
        <v>3361</v>
      </c>
      <c r="B3357">
        <v>0.99542014353169495</v>
      </c>
      <c r="C3357">
        <v>0.89850045760447095</v>
      </c>
      <c r="D3357">
        <v>0.92440133317508899</v>
      </c>
      <c r="E3357">
        <v>0.55522653761637097</v>
      </c>
      <c r="F3357">
        <v>0.16364466484767501</v>
      </c>
      <c r="G3357">
        <v>9.5522251380204204E-2</v>
      </c>
      <c r="H3357">
        <v>6.2130655750358102E-2</v>
      </c>
      <c r="I3357">
        <v>4.01267933385464E-2</v>
      </c>
      <c r="J3357">
        <v>4.2858690360087499E-2</v>
      </c>
      <c r="K3357">
        <v>4.2484389967290002E-2</v>
      </c>
      <c r="L3357">
        <v>1223.1037455577</v>
      </c>
      <c r="M3357">
        <v>26.142041728614199</v>
      </c>
      <c r="N3357">
        <v>46.958259235358497</v>
      </c>
      <c r="O3357">
        <v>46.515661270130998</v>
      </c>
      <c r="P3357">
        <v>-0.13410905211285501</v>
      </c>
      <c r="Q3357">
        <v>4.5507017889790002E-2</v>
      </c>
      <c r="R3357">
        <v>0.99389785478652104</v>
      </c>
      <c r="S3357" t="s">
        <v>9759</v>
      </c>
      <c r="T3357" t="s">
        <v>12802</v>
      </c>
      <c r="U3357" t="s">
        <v>12802</v>
      </c>
      <c r="V3357" t="s">
        <v>12802</v>
      </c>
      <c r="W3357" t="s">
        <v>16109</v>
      </c>
      <c r="X3357">
        <v>78</v>
      </c>
      <c r="Y3357" t="s">
        <v>22355</v>
      </c>
      <c r="Z3357" t="s">
        <v>28675</v>
      </c>
      <c r="AA3357">
        <v>0.36419140937465122</v>
      </c>
      <c r="AB3357" t="str">
        <f>HYPERLINK("Melting_Curves/meltCurve_Q14008_2_CKAP5.pdf", "Melting_Curves/meltCurve_Q14008_2_CKAP5.pdf")</f>
        <v>Melting_Curves/meltCurve_Q14008_2_CKAP5.pdf</v>
      </c>
    </row>
    <row r="3358" spans="1:28" x14ac:dyDescent="0.25">
      <c r="A3358" t="s">
        <v>3362</v>
      </c>
      <c r="B3358">
        <v>0.99542014353169495</v>
      </c>
      <c r="C3358">
        <v>0.93139969071133399</v>
      </c>
      <c r="D3358">
        <v>0.915379698866706</v>
      </c>
      <c r="E3358">
        <v>0.82842907799114496</v>
      </c>
      <c r="F3358">
        <v>0.64764481818209196</v>
      </c>
      <c r="G3358">
        <v>0.42535831700995602</v>
      </c>
      <c r="H3358">
        <v>0.27027031842129601</v>
      </c>
      <c r="I3358">
        <v>0.19197291824661</v>
      </c>
      <c r="J3358">
        <v>0.21515729046463899</v>
      </c>
      <c r="K3358">
        <v>0.27302192351993798</v>
      </c>
      <c r="L3358">
        <v>790.47578588288502</v>
      </c>
      <c r="M3358">
        <v>15.633200836575799</v>
      </c>
      <c r="N3358">
        <v>52.172812476889497</v>
      </c>
      <c r="O3358">
        <v>49.758229276569203</v>
      </c>
      <c r="P3358">
        <v>-6.3528795511817296E-2</v>
      </c>
      <c r="Q3358">
        <v>0.19125740563094801</v>
      </c>
      <c r="R3358">
        <v>0.98649375857308796</v>
      </c>
      <c r="S3358" t="s">
        <v>9760</v>
      </c>
      <c r="T3358" t="s">
        <v>12802</v>
      </c>
      <c r="U3358" t="s">
        <v>12802</v>
      </c>
      <c r="V3358" t="s">
        <v>12802</v>
      </c>
      <c r="W3358" t="s">
        <v>16110</v>
      </c>
      <c r="X3358">
        <v>6</v>
      </c>
      <c r="Y3358" t="s">
        <v>22356</v>
      </c>
      <c r="Z3358" t="s">
        <v>28676</v>
      </c>
      <c r="AA3358">
        <v>0.57255652857246675</v>
      </c>
      <c r="AB3358" t="str">
        <f>HYPERLINK("Melting_Curves/meltCurve_Q14011_CIRBP.pdf", "Melting_Curves/meltCurve_Q14011_CIRBP.pdf")</f>
        <v>Melting_Curves/meltCurve_Q14011_CIRBP.pdf</v>
      </c>
    </row>
    <row r="3359" spans="1:28" x14ac:dyDescent="0.25">
      <c r="A3359" t="s">
        <v>3363</v>
      </c>
      <c r="B3359">
        <v>0.99542014353169495</v>
      </c>
      <c r="C3359">
        <v>1.1224538691752499</v>
      </c>
      <c r="D3359">
        <v>1.14195138374356</v>
      </c>
      <c r="E3359">
        <v>1.0740298624585101</v>
      </c>
      <c r="F3359">
        <v>0.74467790021098601</v>
      </c>
      <c r="G3359">
        <v>0.33205960530183898</v>
      </c>
      <c r="H3359">
        <v>0.130020760707491</v>
      </c>
      <c r="I3359">
        <v>0.118720585358953</v>
      </c>
      <c r="J3359">
        <v>0.11958770799890001</v>
      </c>
      <c r="K3359">
        <v>0.108372375914945</v>
      </c>
      <c r="L3359">
        <v>1740.6483452048601</v>
      </c>
      <c r="M3359">
        <v>33.601425779006703</v>
      </c>
      <c r="N3359">
        <v>52.198009621132201</v>
      </c>
      <c r="O3359">
        <v>51.620363461347402</v>
      </c>
      <c r="P3359">
        <v>-0.144457152806306</v>
      </c>
      <c r="Q3359">
        <v>0.112311521968862</v>
      </c>
      <c r="R3359">
        <v>0.97661718286801802</v>
      </c>
      <c r="S3359" t="s">
        <v>9761</v>
      </c>
      <c r="T3359" t="s">
        <v>12802</v>
      </c>
      <c r="U3359" t="s">
        <v>12802</v>
      </c>
      <c r="V3359" t="s">
        <v>12802</v>
      </c>
      <c r="W3359" t="s">
        <v>16111</v>
      </c>
      <c r="X3359">
        <v>8</v>
      </c>
      <c r="Y3359" t="s">
        <v>22357</v>
      </c>
      <c r="Z3359" t="s">
        <v>28677</v>
      </c>
      <c r="AA3359">
        <v>0.55480307614614699</v>
      </c>
      <c r="AB3359" t="str">
        <f>HYPERLINK("Melting_Curves/meltCurve_Q14019_COTL1.pdf", "Melting_Curves/meltCurve_Q14019_COTL1.pdf")</f>
        <v>Melting_Curves/meltCurve_Q14019_COTL1.pdf</v>
      </c>
    </row>
    <row r="3360" spans="1:28" x14ac:dyDescent="0.25">
      <c r="A3360" t="s">
        <v>3364</v>
      </c>
      <c r="B3360">
        <v>0.99542014353169495</v>
      </c>
      <c r="C3360">
        <v>0.95872799026729405</v>
      </c>
      <c r="D3360">
        <v>1.0116593201886599</v>
      </c>
      <c r="E3360">
        <v>1.02924006041873</v>
      </c>
      <c r="F3360">
        <v>0.83555150164021996</v>
      </c>
      <c r="G3360">
        <v>0.68198393913312405</v>
      </c>
      <c r="H3360">
        <v>0.53041729467819598</v>
      </c>
      <c r="I3360">
        <v>0.47894729824550297</v>
      </c>
      <c r="J3360">
        <v>0.71898624437854597</v>
      </c>
      <c r="K3360">
        <v>0.92000625805273895</v>
      </c>
      <c r="L3360">
        <v>4282.7807381581597</v>
      </c>
      <c r="M3360">
        <v>85.278444469589303</v>
      </c>
      <c r="O3360">
        <v>50.193555558808598</v>
      </c>
      <c r="P3360">
        <v>-0.14195019122720301</v>
      </c>
      <c r="Q3360">
        <v>0.66580148847962495</v>
      </c>
      <c r="R3360">
        <v>0.66582435036261001</v>
      </c>
      <c r="S3360" t="s">
        <v>9762</v>
      </c>
      <c r="T3360" t="s">
        <v>12802</v>
      </c>
      <c r="U3360" t="s">
        <v>12802</v>
      </c>
      <c r="V3360" t="s">
        <v>12802</v>
      </c>
      <c r="W3360" t="s">
        <v>16112</v>
      </c>
      <c r="X3360">
        <v>4</v>
      </c>
      <c r="Y3360" t="s">
        <v>22358</v>
      </c>
      <c r="Z3360" t="s">
        <v>28678</v>
      </c>
      <c r="AA3360">
        <v>0.81333790715526921</v>
      </c>
      <c r="AB3360" t="str">
        <f>HYPERLINK("Melting_Curves/meltCurve_Q14061_COX17.pdf", "Melting_Curves/meltCurve_Q14061_COX17.pdf")</f>
        <v>Melting_Curves/meltCurve_Q14061_COX17.pdf</v>
      </c>
    </row>
    <row r="3361" spans="1:28" x14ac:dyDescent="0.25">
      <c r="A3361" t="s">
        <v>3365</v>
      </c>
      <c r="B3361">
        <v>0.99542014353169495</v>
      </c>
      <c r="C3361">
        <v>1.0254411075022001</v>
      </c>
      <c r="D3361">
        <v>0.98675850403578003</v>
      </c>
      <c r="E3361">
        <v>1.03879142867797</v>
      </c>
      <c r="F3361">
        <v>0.83380935216603203</v>
      </c>
      <c r="G3361">
        <v>0.67156842374913805</v>
      </c>
      <c r="H3361">
        <v>0.34761591635765698</v>
      </c>
      <c r="I3361">
        <v>0.23068328470205299</v>
      </c>
      <c r="J3361">
        <v>0.27550952868017198</v>
      </c>
      <c r="K3361">
        <v>0.327241120185569</v>
      </c>
      <c r="L3361">
        <v>1428.88094334469</v>
      </c>
      <c r="M3361">
        <v>26.609243272798299</v>
      </c>
      <c r="N3361">
        <v>55.242907901830101</v>
      </c>
      <c r="O3361">
        <v>53.398134655254502</v>
      </c>
      <c r="P3361">
        <v>-9.1896549400309294E-2</v>
      </c>
      <c r="Q3361">
        <v>0.26235364987710003</v>
      </c>
      <c r="R3361">
        <v>0.98259961970014997</v>
      </c>
      <c r="S3361" t="s">
        <v>9763</v>
      </c>
      <c r="T3361" t="s">
        <v>12802</v>
      </c>
      <c r="U3361" t="s">
        <v>12802</v>
      </c>
      <c r="V3361" t="s">
        <v>12802</v>
      </c>
      <c r="W3361" t="s">
        <v>16113</v>
      </c>
      <c r="X3361">
        <v>21</v>
      </c>
      <c r="Y3361" t="s">
        <v>22359</v>
      </c>
      <c r="Z3361" t="s">
        <v>28679</v>
      </c>
      <c r="AA3361">
        <v>0.6787699781866211</v>
      </c>
      <c r="AB3361" t="str">
        <f>HYPERLINK("Melting_Curves/meltCurve_Q14103_3_HNRNPD.pdf", "Melting_Curves/meltCurve_Q14103_3_HNRNPD.pdf")</f>
        <v>Melting_Curves/meltCurve_Q14103_3_HNRNPD.pdf</v>
      </c>
    </row>
    <row r="3362" spans="1:28" x14ac:dyDescent="0.25">
      <c r="A3362" t="s">
        <v>3366</v>
      </c>
      <c r="B3362">
        <v>0.99542014353169495</v>
      </c>
      <c r="C3362">
        <v>0.98205377368971103</v>
      </c>
      <c r="D3362">
        <v>0.9933886280359</v>
      </c>
      <c r="E3362">
        <v>0.85114146266263402</v>
      </c>
      <c r="F3362">
        <v>0.74174099904431201</v>
      </c>
      <c r="G3362">
        <v>0.55766680846604899</v>
      </c>
      <c r="H3362">
        <v>0.454170614870883</v>
      </c>
      <c r="I3362">
        <v>0.38443040706001402</v>
      </c>
      <c r="J3362">
        <v>0.36366382445557499</v>
      </c>
      <c r="K3362">
        <v>0.30690099491450001</v>
      </c>
      <c r="L3362">
        <v>689.86656303543305</v>
      </c>
      <c r="M3362">
        <v>13.263506617461999</v>
      </c>
      <c r="N3362">
        <v>55.697413444041104</v>
      </c>
      <c r="O3362">
        <v>50.872695677677598</v>
      </c>
      <c r="P3362">
        <v>-4.6148593171420303E-2</v>
      </c>
      <c r="Q3362">
        <v>0.29209676389913197</v>
      </c>
      <c r="R3362">
        <v>0.99598970586074198</v>
      </c>
      <c r="S3362" t="s">
        <v>9764</v>
      </c>
      <c r="T3362" t="s">
        <v>12802</v>
      </c>
      <c r="U3362" t="s">
        <v>12802</v>
      </c>
      <c r="V3362" t="s">
        <v>12802</v>
      </c>
      <c r="W3362" t="s">
        <v>16114</v>
      </c>
      <c r="X3362">
        <v>6</v>
      </c>
      <c r="Y3362" t="s">
        <v>22360</v>
      </c>
      <c r="Z3362" t="s">
        <v>28680</v>
      </c>
      <c r="AA3362">
        <v>0.66174257714939944</v>
      </c>
      <c r="AB3362" t="str">
        <f>HYPERLINK("Melting_Curves/meltCurve_Q14108_SCARB2.pdf", "Melting_Curves/meltCurve_Q14108_SCARB2.pdf")</f>
        <v>Melting_Curves/meltCurve_Q14108_SCARB2.pdf</v>
      </c>
    </row>
    <row r="3363" spans="1:28" x14ac:dyDescent="0.25">
      <c r="A3363" t="s">
        <v>3367</v>
      </c>
      <c r="B3363">
        <v>0.99542014353169495</v>
      </c>
      <c r="C3363">
        <v>1.0459808848012999</v>
      </c>
      <c r="D3363">
        <v>0.844805643577486</v>
      </c>
      <c r="E3363">
        <v>0.71220726276032997</v>
      </c>
      <c r="F3363">
        <v>0.57539321354745798</v>
      </c>
      <c r="G3363">
        <v>0.245058982352092</v>
      </c>
      <c r="H3363">
        <v>0.14868361916564801</v>
      </c>
      <c r="I3363">
        <v>0.14601093118623301</v>
      </c>
      <c r="J3363">
        <v>0.16974799068011401</v>
      </c>
      <c r="K3363">
        <v>0.25408660135432098</v>
      </c>
      <c r="L3363">
        <v>815.096407643627</v>
      </c>
      <c r="M3363">
        <v>16.699000069332499</v>
      </c>
      <c r="N3363">
        <v>49.889872978881499</v>
      </c>
      <c r="O3363">
        <v>48.127221293916598</v>
      </c>
      <c r="P3363">
        <v>-7.3603663847807199E-2</v>
      </c>
      <c r="Q3363">
        <v>0.151540819196399</v>
      </c>
      <c r="R3363">
        <v>0.96884843379792795</v>
      </c>
      <c r="S3363" t="s">
        <v>9765</v>
      </c>
      <c r="T3363" t="s">
        <v>12802</v>
      </c>
      <c r="U3363" t="s">
        <v>12802</v>
      </c>
      <c r="V3363" t="s">
        <v>12802</v>
      </c>
      <c r="W3363" t="s">
        <v>16115</v>
      </c>
      <c r="X3363">
        <v>4</v>
      </c>
      <c r="Y3363" t="s">
        <v>22361</v>
      </c>
      <c r="Z3363" t="s">
        <v>28681</v>
      </c>
      <c r="AA3363">
        <v>0.50095601510398757</v>
      </c>
      <c r="AB3363" t="str">
        <f>HYPERLINK("Melting_Curves/meltCurve_Q14114_4_LRP8.pdf", "Melting_Curves/meltCurve_Q14114_4_LRP8.pdf")</f>
        <v>Melting_Curves/meltCurve_Q14114_4_LRP8.pdf</v>
      </c>
    </row>
    <row r="3364" spans="1:28" x14ac:dyDescent="0.25">
      <c r="A3364" t="s">
        <v>3368</v>
      </c>
      <c r="B3364">
        <v>0.99542014353169495</v>
      </c>
      <c r="C3364">
        <v>1.15146768037237</v>
      </c>
      <c r="D3364">
        <v>1.08720610831519</v>
      </c>
      <c r="E3364">
        <v>0.99979049981798396</v>
      </c>
      <c r="F3364">
        <v>0.91122834027770805</v>
      </c>
      <c r="G3364">
        <v>0.63506135719128798</v>
      </c>
      <c r="H3364">
        <v>0.45075795306199901</v>
      </c>
      <c r="I3364">
        <v>0.32846522539101902</v>
      </c>
      <c r="J3364">
        <v>0.31556632750017799</v>
      </c>
      <c r="K3364">
        <v>0.187860474050698</v>
      </c>
      <c r="L3364">
        <v>1112.34334150223</v>
      </c>
      <c r="M3364">
        <v>20.384856085968298</v>
      </c>
      <c r="N3364">
        <v>56.286763339808601</v>
      </c>
      <c r="O3364">
        <v>54.050168416312701</v>
      </c>
      <c r="P3364">
        <v>-7.2435716807578196E-2</v>
      </c>
      <c r="Q3364">
        <v>0.231774120371705</v>
      </c>
      <c r="R3364">
        <v>0.966270808995357</v>
      </c>
      <c r="S3364" t="s">
        <v>9766</v>
      </c>
      <c r="T3364" t="s">
        <v>12802</v>
      </c>
      <c r="U3364" t="s">
        <v>12802</v>
      </c>
      <c r="V3364" t="s">
        <v>12802</v>
      </c>
      <c r="W3364" t="s">
        <v>16116</v>
      </c>
      <c r="X3364">
        <v>3</v>
      </c>
      <c r="Y3364" t="s">
        <v>22362</v>
      </c>
      <c r="Z3364" t="s">
        <v>28682</v>
      </c>
      <c r="AA3364">
        <v>0.69041313657816394</v>
      </c>
      <c r="AB3364" t="str">
        <f>HYPERLINK("Melting_Curves/meltCurve_Q14116_2_IL18.pdf", "Melting_Curves/meltCurve_Q14116_2_IL18.pdf")</f>
        <v>Melting_Curves/meltCurve_Q14116_2_IL18.pdf</v>
      </c>
    </row>
    <row r="3365" spans="1:28" x14ac:dyDescent="0.25">
      <c r="A3365" t="s">
        <v>3369</v>
      </c>
      <c r="B3365">
        <v>0.99542014353169495</v>
      </c>
      <c r="C3365">
        <v>0.96504057226468698</v>
      </c>
      <c r="D3365">
        <v>1.0595230242397899</v>
      </c>
      <c r="E3365">
        <v>0.83084095103043898</v>
      </c>
      <c r="F3365">
        <v>0.43559728084287402</v>
      </c>
      <c r="G3365">
        <v>0.26673080857216702</v>
      </c>
      <c r="H3365">
        <v>0.23952085980612001</v>
      </c>
      <c r="I3365">
        <v>0.15698735852344001</v>
      </c>
      <c r="J3365">
        <v>0.21527253320623399</v>
      </c>
      <c r="K3365">
        <v>0.27856539795971003</v>
      </c>
      <c r="L3365">
        <v>1542.42975103863</v>
      </c>
      <c r="M3365">
        <v>31.722021804418599</v>
      </c>
      <c r="N3365">
        <v>49.545372287926099</v>
      </c>
      <c r="O3365">
        <v>48.431304283848299</v>
      </c>
      <c r="P3365">
        <v>-0.12724288099475001</v>
      </c>
      <c r="Q3365">
        <v>0.222936474072711</v>
      </c>
      <c r="R3365">
        <v>0.98842874771608802</v>
      </c>
      <c r="S3365" t="s">
        <v>9767</v>
      </c>
      <c r="T3365" t="s">
        <v>12802</v>
      </c>
      <c r="U3365" t="s">
        <v>12802</v>
      </c>
      <c r="V3365" t="s">
        <v>12802</v>
      </c>
      <c r="W3365" t="s">
        <v>16117</v>
      </c>
      <c r="X3365">
        <v>7</v>
      </c>
      <c r="Y3365" t="s">
        <v>22363</v>
      </c>
      <c r="Z3365" t="s">
        <v>28683</v>
      </c>
      <c r="AA3365">
        <v>0.52816800642039829</v>
      </c>
      <c r="AB3365" t="str">
        <f>HYPERLINK("Melting_Curves/meltCurve_Q14118_DAG1.pdf", "Melting_Curves/meltCurve_Q14118_DAG1.pdf")</f>
        <v>Melting_Curves/meltCurve_Q14118_DAG1.pdf</v>
      </c>
    </row>
    <row r="3366" spans="1:28" x14ac:dyDescent="0.25">
      <c r="A3366" t="s">
        <v>3370</v>
      </c>
      <c r="B3366">
        <v>0.99542014353169495</v>
      </c>
      <c r="C3366">
        <v>0.96106753388487598</v>
      </c>
      <c r="D3366">
        <v>0.98295065726291597</v>
      </c>
      <c r="E3366">
        <v>0.78416799108493096</v>
      </c>
      <c r="F3366">
        <v>0.64677367861743895</v>
      </c>
      <c r="G3366">
        <v>0.34831296345609702</v>
      </c>
      <c r="H3366">
        <v>0.19924971337289199</v>
      </c>
      <c r="I3366">
        <v>0.13033957662800399</v>
      </c>
      <c r="J3366">
        <v>0.14023797189644199</v>
      </c>
      <c r="K3366">
        <v>0.23768578657721301</v>
      </c>
      <c r="L3366">
        <v>911.36209180410401</v>
      </c>
      <c r="M3366">
        <v>18.0597364970832</v>
      </c>
      <c r="N3366">
        <v>51.424610557917198</v>
      </c>
      <c r="O3366">
        <v>49.857242498237497</v>
      </c>
      <c r="P3366">
        <v>-7.7592998894438603E-2</v>
      </c>
      <c r="Q3366">
        <v>0.14320284281510101</v>
      </c>
      <c r="R3366">
        <v>0.98456681936860801</v>
      </c>
      <c r="S3366" t="s">
        <v>9768</v>
      </c>
      <c r="T3366" t="s">
        <v>12802</v>
      </c>
      <c r="U3366" t="s">
        <v>12802</v>
      </c>
      <c r="V3366" t="s">
        <v>12802</v>
      </c>
      <c r="W3366" t="s">
        <v>16118</v>
      </c>
      <c r="X3366">
        <v>17</v>
      </c>
      <c r="Y3366" t="s">
        <v>22364</v>
      </c>
      <c r="Z3366" t="s">
        <v>28684</v>
      </c>
      <c r="AA3366">
        <v>0.54106900591136253</v>
      </c>
      <c r="AB3366" t="str">
        <f>HYPERLINK("Melting_Curves/meltCurve_Q14126_DSG2.pdf", "Melting_Curves/meltCurve_Q14126_DSG2.pdf")</f>
        <v>Melting_Curves/meltCurve_Q14126_DSG2.pdf</v>
      </c>
    </row>
    <row r="3367" spans="1:28" x14ac:dyDescent="0.25">
      <c r="A3367" t="s">
        <v>3371</v>
      </c>
      <c r="B3367">
        <v>0.99542014353169495</v>
      </c>
      <c r="C3367">
        <v>0.82588110764469902</v>
      </c>
      <c r="D3367">
        <v>0.57176708648211105</v>
      </c>
      <c r="E3367">
        <v>0.46667218017934597</v>
      </c>
      <c r="F3367">
        <v>0.30596597887464899</v>
      </c>
      <c r="G3367">
        <v>0.163107256177249</v>
      </c>
      <c r="H3367">
        <v>9.6721731865930805E-2</v>
      </c>
      <c r="I3367">
        <v>8.6092396564846893E-2</v>
      </c>
      <c r="J3367">
        <v>8.66056516058097E-2</v>
      </c>
      <c r="K3367">
        <v>8.9464238175874802E-2</v>
      </c>
      <c r="L3367">
        <v>520.44728364032198</v>
      </c>
      <c r="M3367">
        <v>11.5871255946762</v>
      </c>
      <c r="N3367">
        <v>45.364818386109</v>
      </c>
      <c r="O3367">
        <v>43.640694639989697</v>
      </c>
      <c r="P3367">
        <v>-6.2800477247371603E-2</v>
      </c>
      <c r="Q3367">
        <v>5.4157108782198003E-2</v>
      </c>
      <c r="R3367">
        <v>0.98585261519997802</v>
      </c>
      <c r="S3367" t="s">
        <v>9769</v>
      </c>
      <c r="T3367" t="s">
        <v>12802</v>
      </c>
      <c r="U3367" t="s">
        <v>12802</v>
      </c>
      <c r="V3367" t="s">
        <v>12802</v>
      </c>
      <c r="W3367" t="s">
        <v>16119</v>
      </c>
      <c r="X3367">
        <v>4</v>
      </c>
      <c r="Y3367" t="s">
        <v>22365</v>
      </c>
      <c r="Z3367" t="s">
        <v>28685</v>
      </c>
      <c r="AA3367">
        <v>0.34052762479092941</v>
      </c>
      <c r="AB3367" t="str">
        <f>HYPERLINK("Melting_Curves/meltCurve_Q14137_BOP1.pdf", "Melting_Curves/meltCurve_Q14137_BOP1.pdf")</f>
        <v>Melting_Curves/meltCurve_Q14137_BOP1.pdf</v>
      </c>
    </row>
    <row r="3368" spans="1:28" x14ac:dyDescent="0.25">
      <c r="A3368" t="s">
        <v>3372</v>
      </c>
      <c r="B3368">
        <v>0.99542014353169495</v>
      </c>
      <c r="C3368">
        <v>0.94473874334486596</v>
      </c>
      <c r="D3368">
        <v>1.0324617446700799</v>
      </c>
      <c r="E3368">
        <v>0.46381070575780797</v>
      </c>
      <c r="F3368">
        <v>0.16462987351640301</v>
      </c>
      <c r="G3368">
        <v>9.0943732839826097E-2</v>
      </c>
      <c r="H3368">
        <v>3.6715613238549799E-2</v>
      </c>
      <c r="I3368">
        <v>2.8674235173017801E-2</v>
      </c>
      <c r="J3368">
        <v>2.9451203667602299E-2</v>
      </c>
      <c r="K3368">
        <v>3.5536242065527801E-2</v>
      </c>
      <c r="L3368">
        <v>1824.67465433129</v>
      </c>
      <c r="M3368">
        <v>39.320294817938802</v>
      </c>
      <c r="N3368">
        <v>46.539635580556698</v>
      </c>
      <c r="O3368">
        <v>46.285870952153601</v>
      </c>
      <c r="P3368">
        <v>-0.20099385284798099</v>
      </c>
      <c r="Q3368">
        <v>5.3602701008513498E-2</v>
      </c>
      <c r="R3368">
        <v>0.99086026078863199</v>
      </c>
      <c r="S3368" t="s">
        <v>9770</v>
      </c>
      <c r="T3368" t="s">
        <v>12802</v>
      </c>
      <c r="U3368" t="s">
        <v>12802</v>
      </c>
      <c r="V3368" t="s">
        <v>12802</v>
      </c>
      <c r="W3368" t="s">
        <v>16120</v>
      </c>
      <c r="X3368">
        <v>13</v>
      </c>
      <c r="Y3368" t="s">
        <v>22366</v>
      </c>
      <c r="Z3368" t="s">
        <v>28686</v>
      </c>
      <c r="AA3368">
        <v>0.35345543470294249</v>
      </c>
      <c r="AB3368" t="str">
        <f>HYPERLINK("Melting_Curves/meltCurve_Q14139_UBE4A.pdf", "Melting_Curves/meltCurve_Q14139_UBE4A.pdf")</f>
        <v>Melting_Curves/meltCurve_Q14139_UBE4A.pdf</v>
      </c>
    </row>
    <row r="3369" spans="1:28" x14ac:dyDescent="0.25">
      <c r="A3369" t="s">
        <v>3373</v>
      </c>
      <c r="B3369">
        <v>0.99542014353169495</v>
      </c>
      <c r="C3369">
        <v>0.942654882662184</v>
      </c>
      <c r="D3369">
        <v>0.84115935008873999</v>
      </c>
      <c r="E3369">
        <v>0.59441394692581995</v>
      </c>
      <c r="F3369">
        <v>0.373578140634863</v>
      </c>
      <c r="G3369">
        <v>0.140662954492592</v>
      </c>
      <c r="H3369">
        <v>9.5361958072054998E-2</v>
      </c>
      <c r="I3369">
        <v>5.2882648447471398E-2</v>
      </c>
      <c r="J3369">
        <v>6.98864794711683E-2</v>
      </c>
      <c r="K3369">
        <v>3.2185373690252303E-2</v>
      </c>
      <c r="L3369">
        <v>716.05406877679297</v>
      </c>
      <c r="M3369">
        <v>14.993392080584</v>
      </c>
      <c r="N3369">
        <v>47.913302055729197</v>
      </c>
      <c r="O3369">
        <v>46.9325685652896</v>
      </c>
      <c r="P3369">
        <v>-7.7979873595605501E-2</v>
      </c>
      <c r="Q3369">
        <v>2.3723164533502102E-2</v>
      </c>
      <c r="R3369">
        <v>0.997692260098199</v>
      </c>
      <c r="S3369" t="s">
        <v>9771</v>
      </c>
      <c r="T3369" t="s">
        <v>12802</v>
      </c>
      <c r="U3369" t="s">
        <v>12802</v>
      </c>
      <c r="V3369" t="s">
        <v>12802</v>
      </c>
      <c r="W3369" t="s">
        <v>16121</v>
      </c>
      <c r="X3369">
        <v>8</v>
      </c>
      <c r="Y3369" t="s">
        <v>22367</v>
      </c>
      <c r="Z3369" t="s">
        <v>28687</v>
      </c>
      <c r="AA3369">
        <v>0.39544827640356289</v>
      </c>
      <c r="AB3369" t="str">
        <f>HYPERLINK("Melting_Curves/meltCurve_Q14145_KEAP1.pdf", "Melting_Curves/meltCurve_Q14145_KEAP1.pdf")</f>
        <v>Melting_Curves/meltCurve_Q14145_KEAP1.pdf</v>
      </c>
    </row>
    <row r="3370" spans="1:28" x14ac:dyDescent="0.25">
      <c r="A3370" t="s">
        <v>3374</v>
      </c>
      <c r="B3370">
        <v>0.99542014353169495</v>
      </c>
      <c r="C3370">
        <v>0.91541983103056201</v>
      </c>
      <c r="D3370">
        <v>0.86159258054772203</v>
      </c>
      <c r="E3370">
        <v>0.61602398473655395</v>
      </c>
      <c r="F3370">
        <v>0.32748703764173398</v>
      </c>
      <c r="G3370">
        <v>0.15243963992045401</v>
      </c>
      <c r="H3370">
        <v>0.102918781289269</v>
      </c>
      <c r="I3370">
        <v>8.9962249730838703E-2</v>
      </c>
      <c r="J3370">
        <v>9.1658426557657199E-2</v>
      </c>
      <c r="K3370">
        <v>0.13680078945669</v>
      </c>
      <c r="L3370">
        <v>847.35670741614001</v>
      </c>
      <c r="M3370">
        <v>17.938805479706001</v>
      </c>
      <c r="N3370">
        <v>47.737883104535001</v>
      </c>
      <c r="O3370">
        <v>46.6607042334036</v>
      </c>
      <c r="P3370">
        <v>-8.7856949927047998E-2</v>
      </c>
      <c r="Q3370">
        <v>8.5945512061755394E-2</v>
      </c>
      <c r="R3370">
        <v>0.99502645254815503</v>
      </c>
      <c r="S3370" t="s">
        <v>9772</v>
      </c>
      <c r="T3370" t="s">
        <v>12802</v>
      </c>
      <c r="U3370" t="s">
        <v>12802</v>
      </c>
      <c r="V3370" t="s">
        <v>12802</v>
      </c>
      <c r="W3370" t="s">
        <v>16122</v>
      </c>
      <c r="X3370">
        <v>8</v>
      </c>
      <c r="Y3370" t="s">
        <v>22368</v>
      </c>
      <c r="Z3370" t="s">
        <v>28688</v>
      </c>
      <c r="AA3370">
        <v>0.41257170034013058</v>
      </c>
      <c r="AB3370" t="str">
        <f>HYPERLINK("Melting_Curves/meltCurve_Q14147_DHX34.pdf", "Melting_Curves/meltCurve_Q14147_DHX34.pdf")</f>
        <v>Melting_Curves/meltCurve_Q14147_DHX34.pdf</v>
      </c>
    </row>
    <row r="3371" spans="1:28" x14ac:dyDescent="0.25">
      <c r="A3371" t="s">
        <v>3375</v>
      </c>
      <c r="B3371">
        <v>0.99542014353169495</v>
      </c>
      <c r="C3371">
        <v>0.96463662617372603</v>
      </c>
      <c r="D3371">
        <v>0.92287355411830596</v>
      </c>
      <c r="E3371">
        <v>0.45068815479059998</v>
      </c>
      <c r="F3371">
        <v>0.17909478063734299</v>
      </c>
      <c r="G3371">
        <v>0.11139604212231</v>
      </c>
      <c r="H3371">
        <v>6.4254095535218603E-2</v>
      </c>
      <c r="I3371">
        <v>4.0114323140137E-2</v>
      </c>
      <c r="J3371">
        <v>5.5264243557238801E-2</v>
      </c>
      <c r="K3371">
        <v>6.3007404041610399E-2</v>
      </c>
      <c r="L3371">
        <v>1278.3838113499801</v>
      </c>
      <c r="M3371">
        <v>27.689579867709</v>
      </c>
      <c r="N3371">
        <v>46.399211816808197</v>
      </c>
      <c r="O3371">
        <v>45.929617128104098</v>
      </c>
      <c r="P3371">
        <v>-0.14102240976741001</v>
      </c>
      <c r="Q3371">
        <v>6.4334341166853895E-2</v>
      </c>
      <c r="R3371">
        <v>0.99735494292323801</v>
      </c>
      <c r="S3371" t="s">
        <v>9773</v>
      </c>
      <c r="T3371" t="s">
        <v>12802</v>
      </c>
      <c r="U3371" t="s">
        <v>12802</v>
      </c>
      <c r="V3371" t="s">
        <v>12802</v>
      </c>
      <c r="W3371" t="s">
        <v>16123</v>
      </c>
      <c r="X3371">
        <v>15</v>
      </c>
      <c r="Y3371" t="s">
        <v>22369</v>
      </c>
      <c r="Z3371" t="s">
        <v>28689</v>
      </c>
      <c r="AA3371">
        <v>0.35659195301476432</v>
      </c>
      <c r="AB3371" t="str">
        <f>HYPERLINK("Melting_Curves/meltCurve_Q14149_MORC3.pdf", "Melting_Curves/meltCurve_Q14149_MORC3.pdf")</f>
        <v>Melting_Curves/meltCurve_Q14149_MORC3.pdf</v>
      </c>
    </row>
    <row r="3372" spans="1:28" x14ac:dyDescent="0.25">
      <c r="A3372" t="s">
        <v>3376</v>
      </c>
      <c r="B3372">
        <v>0.99542014353169495</v>
      </c>
      <c r="C3372">
        <v>1.0434026501568101</v>
      </c>
      <c r="D3372">
        <v>1.0441037869724299</v>
      </c>
      <c r="E3372">
        <v>1.01326931734142</v>
      </c>
      <c r="F3372">
        <v>0.86258690776819702</v>
      </c>
      <c r="G3372">
        <v>0.71052696393550796</v>
      </c>
      <c r="H3372">
        <v>0.54113026461914104</v>
      </c>
      <c r="I3372">
        <v>0.48800416419027398</v>
      </c>
      <c r="J3372">
        <v>0.838112368838135</v>
      </c>
      <c r="K3372">
        <v>1.5966757514794701</v>
      </c>
      <c r="L3372">
        <v>15000</v>
      </c>
      <c r="M3372">
        <v>228.69684751296501</v>
      </c>
      <c r="O3372">
        <v>65.583972323196605</v>
      </c>
      <c r="P3372">
        <v>0.43588539897158202</v>
      </c>
      <c r="Q3372">
        <v>1.5</v>
      </c>
      <c r="R3372">
        <v>0.30451528557886198</v>
      </c>
      <c r="S3372" t="s">
        <v>9774</v>
      </c>
      <c r="T3372" t="s">
        <v>12802</v>
      </c>
      <c r="U3372" t="s">
        <v>12802</v>
      </c>
      <c r="V3372" t="s">
        <v>12802</v>
      </c>
      <c r="W3372" t="s">
        <v>16124</v>
      </c>
      <c r="X3372">
        <v>23</v>
      </c>
      <c r="Y3372" t="s">
        <v>22370</v>
      </c>
      <c r="Z3372" t="s">
        <v>28690</v>
      </c>
      <c r="AA3372">
        <v>1.023488297098609</v>
      </c>
      <c r="AB3372" t="str">
        <f>HYPERLINK("Melting_Curves/meltCurve_Q14151_SAFB2.pdf", "Melting_Curves/meltCurve_Q14151_SAFB2.pdf")</f>
        <v>Melting_Curves/meltCurve_Q14151_SAFB2.pdf</v>
      </c>
    </row>
    <row r="3373" spans="1:28" x14ac:dyDescent="0.25">
      <c r="A3373" t="s">
        <v>3377</v>
      </c>
      <c r="B3373">
        <v>0.99542014353169495</v>
      </c>
      <c r="C3373">
        <v>0.86700344127637097</v>
      </c>
      <c r="D3373">
        <v>0.93300979971842402</v>
      </c>
      <c r="E3373">
        <v>0.62835524604229698</v>
      </c>
      <c r="F3373">
        <v>0.17730100158121101</v>
      </c>
      <c r="G3373">
        <v>9.4510256112288707E-2</v>
      </c>
      <c r="H3373">
        <v>5.9125615303702903E-2</v>
      </c>
      <c r="I3373">
        <v>4.3231325253376203E-2</v>
      </c>
      <c r="J3373">
        <v>4.2419901377471397E-2</v>
      </c>
      <c r="K3373">
        <v>4.9155269450912101E-2</v>
      </c>
      <c r="L3373">
        <v>1301.8438921460399</v>
      </c>
      <c r="M3373">
        <v>27.562390262870998</v>
      </c>
      <c r="N3373">
        <v>47.399033483975003</v>
      </c>
      <c r="O3373">
        <v>46.986098477804703</v>
      </c>
      <c r="P3373">
        <v>-0.13989001553536501</v>
      </c>
      <c r="Q3373">
        <v>4.6116967898616502E-2</v>
      </c>
      <c r="R3373">
        <v>0.98867907734451799</v>
      </c>
      <c r="S3373" t="s">
        <v>9775</v>
      </c>
      <c r="T3373" t="s">
        <v>12802</v>
      </c>
      <c r="U3373" t="s">
        <v>12802</v>
      </c>
      <c r="V3373" t="s">
        <v>12802</v>
      </c>
      <c r="W3373" t="s">
        <v>16125</v>
      </c>
      <c r="X3373">
        <v>71</v>
      </c>
      <c r="Y3373" t="s">
        <v>22371</v>
      </c>
      <c r="Z3373" t="s">
        <v>28691</v>
      </c>
      <c r="AA3373">
        <v>0.37808093289469841</v>
      </c>
      <c r="AB3373" t="str">
        <f>HYPERLINK("Melting_Curves/meltCurve_Q14152_EIF3A.pdf", "Melting_Curves/meltCurve_Q14152_EIF3A.pdf")</f>
        <v>Melting_Curves/meltCurve_Q14152_EIF3A.pdf</v>
      </c>
    </row>
    <row r="3374" spans="1:28" x14ac:dyDescent="0.25">
      <c r="A3374" t="s">
        <v>3378</v>
      </c>
      <c r="B3374">
        <v>0.99542014353169495</v>
      </c>
      <c r="C3374">
        <v>1.0231039082461799</v>
      </c>
      <c r="D3374">
        <v>1.00009104447638</v>
      </c>
      <c r="E3374">
        <v>0.81979651663383502</v>
      </c>
      <c r="F3374">
        <v>0.67379567774804106</v>
      </c>
      <c r="G3374">
        <v>0.436415631836303</v>
      </c>
      <c r="H3374">
        <v>0.23885212796755001</v>
      </c>
      <c r="I3374">
        <v>0.13522788806163599</v>
      </c>
      <c r="J3374">
        <v>5.96668816850911E-2</v>
      </c>
      <c r="K3374">
        <v>6.6824180637117106E-2</v>
      </c>
      <c r="L3374">
        <v>737.08479558739498</v>
      </c>
      <c r="M3374">
        <v>14.0009791874744</v>
      </c>
      <c r="N3374">
        <v>52.679017034843298</v>
      </c>
      <c r="O3374">
        <v>51.606149498964797</v>
      </c>
      <c r="P3374">
        <v>-6.75318955030563E-2</v>
      </c>
      <c r="Q3374">
        <v>4.46960057050562E-3</v>
      </c>
      <c r="R3374">
        <v>0.99634580752792201</v>
      </c>
      <c r="S3374" t="s">
        <v>9776</v>
      </c>
      <c r="T3374" t="s">
        <v>12802</v>
      </c>
      <c r="U3374" t="s">
        <v>12802</v>
      </c>
      <c r="V3374" t="s">
        <v>12802</v>
      </c>
      <c r="W3374" t="s">
        <v>16126</v>
      </c>
      <c r="X3374">
        <v>1</v>
      </c>
      <c r="Y3374" t="s">
        <v>22372</v>
      </c>
      <c r="Z3374" t="s">
        <v>28692</v>
      </c>
      <c r="AA3374">
        <v>0.5431722072752404</v>
      </c>
      <c r="AB3374" t="str">
        <f>HYPERLINK("Melting_Curves/meltCurve_Q14153_2_FAM53B.pdf", "Melting_Curves/meltCurve_Q14153_2_FAM53B.pdf")</f>
        <v>Melting_Curves/meltCurve_Q14153_2_FAM53B.pdf</v>
      </c>
    </row>
    <row r="3375" spans="1:28" x14ac:dyDescent="0.25">
      <c r="A3375" t="s">
        <v>3379</v>
      </c>
      <c r="B3375">
        <v>0.99542014353169495</v>
      </c>
      <c r="C3375">
        <v>0.99591202628060305</v>
      </c>
      <c r="D3375">
        <v>0.96179918315745305</v>
      </c>
      <c r="E3375">
        <v>0.88430424490720405</v>
      </c>
      <c r="F3375">
        <v>0.67511588248897203</v>
      </c>
      <c r="G3375">
        <v>0.48092920085539198</v>
      </c>
      <c r="H3375">
        <v>0.38377842073983298</v>
      </c>
      <c r="I3375">
        <v>0.41240896246342401</v>
      </c>
      <c r="J3375">
        <v>0.73857070916866197</v>
      </c>
      <c r="K3375">
        <v>1.1147747747316701</v>
      </c>
      <c r="L3375">
        <v>2131.05358545026</v>
      </c>
      <c r="M3375">
        <v>44.934529524011801</v>
      </c>
      <c r="O3375">
        <v>47.332109254727101</v>
      </c>
      <c r="P3375">
        <v>-8.8049736087420005E-2</v>
      </c>
      <c r="Q3375">
        <v>0.629009258150388</v>
      </c>
      <c r="R3375">
        <v>0.408414876988898</v>
      </c>
      <c r="S3375" t="s">
        <v>9777</v>
      </c>
      <c r="T3375" t="s">
        <v>12802</v>
      </c>
      <c r="U3375" t="s">
        <v>12802</v>
      </c>
      <c r="V3375" t="s">
        <v>12802</v>
      </c>
      <c r="W3375" t="s">
        <v>16127</v>
      </c>
      <c r="X3375">
        <v>26</v>
      </c>
      <c r="Y3375" t="s">
        <v>22373</v>
      </c>
      <c r="Z3375" t="s">
        <v>28693</v>
      </c>
      <c r="AA3375">
        <v>0.75889997462573677</v>
      </c>
      <c r="AB3375" t="str">
        <f>HYPERLINK("Melting_Curves/meltCurve_Q14157_UBAP2L.pdf", "Melting_Curves/meltCurve_Q14157_UBAP2L.pdf")</f>
        <v>Melting_Curves/meltCurve_Q14157_UBAP2L.pdf</v>
      </c>
    </row>
    <row r="3376" spans="1:28" x14ac:dyDescent="0.25">
      <c r="A3376" t="s">
        <v>3380</v>
      </c>
      <c r="B3376">
        <v>0.99542014353169495</v>
      </c>
      <c r="C3376">
        <v>0.96228081838836699</v>
      </c>
      <c r="D3376">
        <v>0.807279816254029</v>
      </c>
      <c r="E3376">
        <v>0.635343264646138</v>
      </c>
      <c r="F3376">
        <v>0.47855969946757698</v>
      </c>
      <c r="G3376">
        <v>0.332821651301898</v>
      </c>
      <c r="H3376">
        <v>0.280246419292138</v>
      </c>
      <c r="I3376">
        <v>0.27963185700527698</v>
      </c>
      <c r="J3376">
        <v>0.533980472121803</v>
      </c>
      <c r="K3376">
        <v>0.78783195996643496</v>
      </c>
      <c r="L3376">
        <v>1042.3234691154501</v>
      </c>
      <c r="M3376">
        <v>23.4053072281081</v>
      </c>
      <c r="N3376">
        <v>49.176721185662601</v>
      </c>
      <c r="O3376">
        <v>44.212363448473702</v>
      </c>
      <c r="P3376">
        <v>-7.3434645342424401E-2</v>
      </c>
      <c r="Q3376">
        <v>0.44514079754545799</v>
      </c>
      <c r="R3376">
        <v>0.69990890094802105</v>
      </c>
      <c r="S3376" t="s">
        <v>9778</v>
      </c>
      <c r="T3376" t="s">
        <v>12802</v>
      </c>
      <c r="U3376" t="s">
        <v>12802</v>
      </c>
      <c r="V3376" t="s">
        <v>12802</v>
      </c>
      <c r="W3376" t="s">
        <v>16128</v>
      </c>
      <c r="X3376">
        <v>26</v>
      </c>
      <c r="Y3376" t="s">
        <v>22373</v>
      </c>
      <c r="Z3376" t="s">
        <v>28694</v>
      </c>
      <c r="AA3376">
        <v>0.5897136097866863</v>
      </c>
      <c r="AB3376" t="str">
        <f>HYPERLINK("Melting_Curves/meltCurve_Q14157_1_UBAP2L.pdf", "Melting_Curves/meltCurve_Q14157_1_UBAP2L.pdf")</f>
        <v>Melting_Curves/meltCurve_Q14157_1_UBAP2L.pdf</v>
      </c>
    </row>
    <row r="3377" spans="1:28" x14ac:dyDescent="0.25">
      <c r="A3377" t="s">
        <v>3381</v>
      </c>
      <c r="B3377">
        <v>0.99542014353169495</v>
      </c>
      <c r="C3377">
        <v>0.97701154241148502</v>
      </c>
      <c r="D3377">
        <v>0.86411087845508405</v>
      </c>
      <c r="E3377">
        <v>0.31977719538703903</v>
      </c>
      <c r="F3377">
        <v>0.170922559645873</v>
      </c>
      <c r="G3377">
        <v>0.104236902105077</v>
      </c>
      <c r="H3377">
        <v>6.5952766682763106E-2</v>
      </c>
      <c r="I3377">
        <v>4.789964631292E-2</v>
      </c>
      <c r="J3377">
        <v>4.9768431107203602E-2</v>
      </c>
      <c r="K3377">
        <v>5.5971840094647597E-2</v>
      </c>
      <c r="L3377">
        <v>1376.5082184632899</v>
      </c>
      <c r="M3377">
        <v>30.406419366722002</v>
      </c>
      <c r="N3377">
        <v>45.497643060412997</v>
      </c>
      <c r="O3377">
        <v>45.075838657940203</v>
      </c>
      <c r="P3377">
        <v>-0.15675659161987601</v>
      </c>
      <c r="Q3377">
        <v>7.0473354977184405E-2</v>
      </c>
      <c r="R3377">
        <v>0.99595558446409305</v>
      </c>
      <c r="S3377" t="s">
        <v>9779</v>
      </c>
      <c r="T3377" t="s">
        <v>12802</v>
      </c>
      <c r="U3377" t="s">
        <v>12802</v>
      </c>
      <c r="V3377" t="s">
        <v>12802</v>
      </c>
      <c r="W3377" t="s">
        <v>16129</v>
      </c>
      <c r="X3377">
        <v>29</v>
      </c>
      <c r="Y3377" t="s">
        <v>22374</v>
      </c>
      <c r="Z3377" t="s">
        <v>28695</v>
      </c>
      <c r="AA3377">
        <v>0.33181794367383199</v>
      </c>
      <c r="AB3377" t="str">
        <f>HYPERLINK("Melting_Curves/meltCurve_Q14160_SCRIB.pdf", "Melting_Curves/meltCurve_Q14160_SCRIB.pdf")</f>
        <v>Melting_Curves/meltCurve_Q14160_SCRIB.pdf</v>
      </c>
    </row>
    <row r="3378" spans="1:28" x14ac:dyDescent="0.25">
      <c r="A3378" t="s">
        <v>3382</v>
      </c>
      <c r="B3378">
        <v>0.99542014353169495</v>
      </c>
      <c r="C3378">
        <v>0.82353141595304602</v>
      </c>
      <c r="D3378">
        <v>0.89925629468276702</v>
      </c>
      <c r="E3378">
        <v>0.74495449885612497</v>
      </c>
      <c r="F3378">
        <v>0.61806802831052599</v>
      </c>
      <c r="G3378">
        <v>0.28472973137900398</v>
      </c>
      <c r="H3378">
        <v>8.2477802900864594E-2</v>
      </c>
      <c r="I3378">
        <v>4.6781648289436498E-2</v>
      </c>
      <c r="J3378">
        <v>4.1392197075545901E-2</v>
      </c>
      <c r="K3378">
        <v>4.2717536806188498E-2</v>
      </c>
      <c r="L3378">
        <v>735.45182271536999</v>
      </c>
      <c r="M3378">
        <v>14.5441194495485</v>
      </c>
      <c r="N3378">
        <v>50.5669565538252</v>
      </c>
      <c r="O3378">
        <v>49.639850376295499</v>
      </c>
      <c r="P3378">
        <v>-7.3256584339901606E-2</v>
      </c>
      <c r="Q3378">
        <v>0</v>
      </c>
      <c r="R3378">
        <v>0.97134626155241499</v>
      </c>
      <c r="S3378" t="s">
        <v>9780</v>
      </c>
      <c r="T3378" t="s">
        <v>12802</v>
      </c>
      <c r="U3378" t="s">
        <v>12802</v>
      </c>
      <c r="V3378" t="s">
        <v>12802</v>
      </c>
      <c r="W3378" t="s">
        <v>16130</v>
      </c>
      <c r="X3378">
        <v>10</v>
      </c>
      <c r="Y3378" t="s">
        <v>22375</v>
      </c>
      <c r="Z3378" t="s">
        <v>28696</v>
      </c>
      <c r="AA3378">
        <v>0.47359357918920408</v>
      </c>
      <c r="AB3378" t="str">
        <f>HYPERLINK("Melting_Curves/meltCurve_Q14165_MLEC.pdf", "Melting_Curves/meltCurve_Q14165_MLEC.pdf")</f>
        <v>Melting_Curves/meltCurve_Q14165_MLEC.pdf</v>
      </c>
    </row>
    <row r="3379" spans="1:28" x14ac:dyDescent="0.25">
      <c r="A3379" t="s">
        <v>3383</v>
      </c>
      <c r="B3379">
        <v>0.99542014353169495</v>
      </c>
      <c r="C3379">
        <v>0.91985168249347804</v>
      </c>
      <c r="D3379">
        <v>0.70645689324924199</v>
      </c>
      <c r="E3379">
        <v>0.31337204142754499</v>
      </c>
      <c r="F3379">
        <v>0.18232330658631701</v>
      </c>
      <c r="G3379">
        <v>9.0672754618636997E-2</v>
      </c>
      <c r="H3379">
        <v>5.6833269665056599E-2</v>
      </c>
      <c r="I3379">
        <v>3.6825597112626E-2</v>
      </c>
      <c r="J3379">
        <v>3.2909255462796501E-2</v>
      </c>
      <c r="K3379">
        <v>3.6891780177958598E-2</v>
      </c>
      <c r="L3379">
        <v>862.21342768219699</v>
      </c>
      <c r="M3379">
        <v>19.2801519641387</v>
      </c>
      <c r="N3379">
        <v>44.9247242480305</v>
      </c>
      <c r="O3379">
        <v>44.247497316951197</v>
      </c>
      <c r="P3379">
        <v>-0.104361789569069</v>
      </c>
      <c r="Q3379">
        <v>4.2004592207867203E-2</v>
      </c>
      <c r="R3379">
        <v>0.99779977012818399</v>
      </c>
      <c r="S3379" t="s">
        <v>9781</v>
      </c>
      <c r="T3379" t="s">
        <v>12802</v>
      </c>
      <c r="U3379" t="s">
        <v>12802</v>
      </c>
      <c r="V3379" t="s">
        <v>12802</v>
      </c>
      <c r="W3379" t="s">
        <v>16131</v>
      </c>
      <c r="X3379">
        <v>24</v>
      </c>
      <c r="Y3379" t="s">
        <v>22376</v>
      </c>
      <c r="Z3379" t="s">
        <v>28697</v>
      </c>
      <c r="AA3379">
        <v>0.30219327377951061</v>
      </c>
      <c r="AB3379" t="str">
        <f>HYPERLINK("Melting_Curves/meltCurve_Q14166_TTLL12.pdf", "Melting_Curves/meltCurve_Q14166_TTLL12.pdf")</f>
        <v>Melting_Curves/meltCurve_Q14166_TTLL12.pdf</v>
      </c>
    </row>
    <row r="3380" spans="1:28" x14ac:dyDescent="0.25">
      <c r="A3380" t="s">
        <v>3384</v>
      </c>
      <c r="B3380">
        <v>0.99542014353169495</v>
      </c>
      <c r="C3380">
        <v>0.91829042132695005</v>
      </c>
      <c r="D3380">
        <v>0.89313623205277304</v>
      </c>
      <c r="E3380">
        <v>0.50729982304536103</v>
      </c>
      <c r="F3380">
        <v>0.24846990682185299</v>
      </c>
      <c r="G3380">
        <v>0.115622622006834</v>
      </c>
      <c r="H3380">
        <v>6.6132500958876794E-2</v>
      </c>
      <c r="I3380">
        <v>4.3702730724067197E-2</v>
      </c>
      <c r="J3380">
        <v>3.9576843507734202E-2</v>
      </c>
      <c r="K3380">
        <v>5.7227921107086299E-2</v>
      </c>
      <c r="L3380">
        <v>925.86252524468102</v>
      </c>
      <c r="M3380">
        <v>19.829383339296299</v>
      </c>
      <c r="N3380">
        <v>46.9108465083292</v>
      </c>
      <c r="O3380">
        <v>46.224375998927201</v>
      </c>
      <c r="P3380">
        <v>-0.102499308635185</v>
      </c>
      <c r="Q3380">
        <v>4.4285913098014502E-2</v>
      </c>
      <c r="R3380">
        <v>0.99643279967656795</v>
      </c>
      <c r="S3380" t="s">
        <v>9782</v>
      </c>
      <c r="T3380" t="s">
        <v>12802</v>
      </c>
      <c r="U3380" t="s">
        <v>12802</v>
      </c>
      <c r="V3380" t="s">
        <v>12802</v>
      </c>
      <c r="W3380" t="s">
        <v>16132</v>
      </c>
      <c r="X3380">
        <v>9</v>
      </c>
      <c r="Y3380" t="s">
        <v>22377</v>
      </c>
      <c r="Z3380" t="s">
        <v>28698</v>
      </c>
      <c r="AA3380">
        <v>0.36574272035606542</v>
      </c>
      <c r="AB3380" t="str">
        <f>HYPERLINK("Melting_Curves/meltCurve_Q14181_POLA2.pdf", "Melting_Curves/meltCurve_Q14181_POLA2.pdf")</f>
        <v>Melting_Curves/meltCurve_Q14181_POLA2.pdf</v>
      </c>
    </row>
    <row r="3381" spans="1:28" x14ac:dyDescent="0.25">
      <c r="A3381" t="s">
        <v>3385</v>
      </c>
      <c r="B3381">
        <v>0.99542014353169495</v>
      </c>
      <c r="C3381">
        <v>0.80943424286427901</v>
      </c>
      <c r="D3381">
        <v>0.71399715999684898</v>
      </c>
      <c r="E3381">
        <v>0.29407013182598402</v>
      </c>
      <c r="F3381">
        <v>0.24047322348153799</v>
      </c>
      <c r="G3381">
        <v>0.164141089929044</v>
      </c>
      <c r="H3381">
        <v>0.15660174267107099</v>
      </c>
      <c r="I3381">
        <v>0.12314487920110299</v>
      </c>
      <c r="J3381">
        <v>0.15433624114755701</v>
      </c>
      <c r="K3381">
        <v>0.136208418889324</v>
      </c>
      <c r="L3381">
        <v>810.10658537593895</v>
      </c>
      <c r="M3381">
        <v>18.4813698978089</v>
      </c>
      <c r="N3381">
        <v>44.609958261207296</v>
      </c>
      <c r="O3381">
        <v>43.330152851351798</v>
      </c>
      <c r="P3381">
        <v>-9.1972823030556705E-2</v>
      </c>
      <c r="Q3381">
        <v>0.137505646652505</v>
      </c>
      <c r="R3381">
        <v>0.984453902822639</v>
      </c>
      <c r="S3381" t="s">
        <v>9783</v>
      </c>
      <c r="T3381" t="s">
        <v>12802</v>
      </c>
      <c r="U3381" t="s">
        <v>12802</v>
      </c>
      <c r="V3381" t="s">
        <v>12802</v>
      </c>
      <c r="W3381" t="s">
        <v>16133</v>
      </c>
      <c r="X3381">
        <v>3</v>
      </c>
      <c r="Y3381" t="s">
        <v>22378</v>
      </c>
      <c r="Z3381" t="s">
        <v>28699</v>
      </c>
      <c r="AA3381">
        <v>0.34777460055496878</v>
      </c>
      <c r="AB3381" t="str">
        <f>HYPERLINK("Melting_Curves/meltCurve_Q14191_WRN.pdf", "Melting_Curves/meltCurve_Q14191_WRN.pdf")</f>
        <v>Melting_Curves/meltCurve_Q14191_WRN.pdf</v>
      </c>
    </row>
    <row r="3382" spans="1:28" x14ac:dyDescent="0.25">
      <c r="A3382" t="s">
        <v>3386</v>
      </c>
      <c r="B3382">
        <v>0.99542014353169495</v>
      </c>
      <c r="C3382">
        <v>0.85251971928020098</v>
      </c>
      <c r="D3382">
        <v>0.91231302058529196</v>
      </c>
      <c r="E3382">
        <v>0.66679391620801498</v>
      </c>
      <c r="F3382">
        <v>0.33083291477114601</v>
      </c>
      <c r="G3382">
        <v>0.112231231689591</v>
      </c>
      <c r="H3382">
        <v>7.5657021603015698E-2</v>
      </c>
      <c r="I3382">
        <v>5.4888565694342299E-2</v>
      </c>
      <c r="J3382">
        <v>5.8064969585993297E-2</v>
      </c>
      <c r="K3382">
        <v>5.8691185826257201E-2</v>
      </c>
      <c r="L3382">
        <v>912.08782717654401</v>
      </c>
      <c r="M3382">
        <v>19.0225647588756</v>
      </c>
      <c r="N3382">
        <v>48.153756368945501</v>
      </c>
      <c r="O3382">
        <v>47.4272380678511</v>
      </c>
      <c r="P3382">
        <v>-9.6356423577182507E-2</v>
      </c>
      <c r="Q3382">
        <v>3.9091421582225998E-2</v>
      </c>
      <c r="R3382">
        <v>0.98734089759533405</v>
      </c>
      <c r="S3382" t="s">
        <v>9784</v>
      </c>
      <c r="T3382" t="s">
        <v>12802</v>
      </c>
      <c r="U3382" t="s">
        <v>12802</v>
      </c>
      <c r="V3382" t="s">
        <v>12802</v>
      </c>
      <c r="W3382" t="s">
        <v>16134</v>
      </c>
      <c r="X3382">
        <v>144</v>
      </c>
      <c r="Y3382" t="s">
        <v>22379</v>
      </c>
      <c r="Z3382" t="s">
        <v>28700</v>
      </c>
      <c r="AA3382">
        <v>0.4036188281907826</v>
      </c>
      <c r="AB3382" t="str">
        <f>HYPERLINK("Melting_Curves/meltCurve_Q14204_DYNC1H1.pdf", "Melting_Curves/meltCurve_Q14204_DYNC1H1.pdf")</f>
        <v>Melting_Curves/meltCurve_Q14204_DYNC1H1.pdf</v>
      </c>
    </row>
    <row r="3383" spans="1:28" x14ac:dyDescent="0.25">
      <c r="A3383" t="s">
        <v>3387</v>
      </c>
      <c r="B3383">
        <v>0.99542014353169495</v>
      </c>
      <c r="C3383">
        <v>0.95772167467037705</v>
      </c>
      <c r="D3383">
        <v>0.97690401811207495</v>
      </c>
      <c r="E3383">
        <v>0.98245861754039499</v>
      </c>
      <c r="F3383">
        <v>0.81347105718388901</v>
      </c>
      <c r="G3383">
        <v>0.794448250555993</v>
      </c>
      <c r="H3383">
        <v>0.506718911203487</v>
      </c>
      <c r="I3383">
        <v>9.3740567626281399E-2</v>
      </c>
      <c r="J3383">
        <v>6.7742198678732601E-2</v>
      </c>
      <c r="K3383">
        <v>6.2403523254019197E-2</v>
      </c>
      <c r="L3383">
        <v>1236.55232117332</v>
      </c>
      <c r="M3383">
        <v>21.771195972226302</v>
      </c>
      <c r="N3383">
        <v>56.797639578420402</v>
      </c>
      <c r="O3383">
        <v>56.324964175723302</v>
      </c>
      <c r="P3383">
        <v>-9.6634373304271298E-2</v>
      </c>
      <c r="Q3383">
        <v>0</v>
      </c>
      <c r="R3383">
        <v>0.97765995559609697</v>
      </c>
      <c r="S3383" t="s">
        <v>9785</v>
      </c>
      <c r="T3383" t="s">
        <v>12802</v>
      </c>
      <c r="U3383" t="s">
        <v>12802</v>
      </c>
      <c r="V3383" t="s">
        <v>12802</v>
      </c>
      <c r="W3383" t="s">
        <v>16135</v>
      </c>
      <c r="X3383">
        <v>19</v>
      </c>
      <c r="Y3383" t="s">
        <v>22380</v>
      </c>
      <c r="Z3383" t="s">
        <v>28701</v>
      </c>
      <c r="AA3383">
        <v>0.66858331345642563</v>
      </c>
      <c r="AB3383" t="str">
        <f>HYPERLINK("Melting_Curves/meltCurve_Q14232_EIF2B1.pdf", "Melting_Curves/meltCurve_Q14232_EIF2B1.pdf")</f>
        <v>Melting_Curves/meltCurve_Q14232_EIF2B1.pdf</v>
      </c>
    </row>
    <row r="3384" spans="1:28" x14ac:dyDescent="0.25">
      <c r="A3384" t="s">
        <v>3388</v>
      </c>
      <c r="B3384">
        <v>0.99542014353169495</v>
      </c>
      <c r="C3384">
        <v>1.0232112656471599</v>
      </c>
      <c r="D3384">
        <v>1.02603789076503</v>
      </c>
      <c r="E3384">
        <v>0.92597753802229998</v>
      </c>
      <c r="F3384">
        <v>0.80051660701328098</v>
      </c>
      <c r="G3384">
        <v>0.59957280928769496</v>
      </c>
      <c r="H3384">
        <v>0.31226967551604501</v>
      </c>
      <c r="I3384">
        <v>0.134162132052143</v>
      </c>
      <c r="J3384">
        <v>0.10713701925401301</v>
      </c>
      <c r="K3384">
        <v>0.11798908115394401</v>
      </c>
      <c r="L3384">
        <v>978.15570484591296</v>
      </c>
      <c r="M3384">
        <v>18.0197011100732</v>
      </c>
      <c r="N3384">
        <v>54.650449492503299</v>
      </c>
      <c r="O3384">
        <v>53.627292720989999</v>
      </c>
      <c r="P3384">
        <v>-7.9210266454280295E-2</v>
      </c>
      <c r="Q3384">
        <v>5.7115668023750003E-2</v>
      </c>
      <c r="R3384">
        <v>0.995442988848801</v>
      </c>
      <c r="S3384" t="s">
        <v>9786</v>
      </c>
      <c r="T3384" t="s">
        <v>12802</v>
      </c>
      <c r="U3384" t="s">
        <v>12802</v>
      </c>
      <c r="V3384" t="s">
        <v>12802</v>
      </c>
      <c r="W3384" t="s">
        <v>16136</v>
      </c>
      <c r="X3384">
        <v>25</v>
      </c>
      <c r="Y3384" t="s">
        <v>22381</v>
      </c>
      <c r="Z3384" t="s">
        <v>28702</v>
      </c>
      <c r="AA3384">
        <v>0.61294260396640865</v>
      </c>
      <c r="AB3384" t="str">
        <f>HYPERLINK("Melting_Curves/meltCurve_Q14240_EIF4A2.pdf", "Melting_Curves/meltCurve_Q14240_EIF4A2.pdf")</f>
        <v>Melting_Curves/meltCurve_Q14240_EIF4A2.pdf</v>
      </c>
    </row>
    <row r="3385" spans="1:28" x14ac:dyDescent="0.25">
      <c r="A3385" t="s">
        <v>3389</v>
      </c>
      <c r="B3385">
        <v>0.99542014353169495</v>
      </c>
      <c r="C3385">
        <v>0.90440004003692298</v>
      </c>
      <c r="D3385">
        <v>0.96237483511164201</v>
      </c>
      <c r="E3385">
        <v>0.71784557336888999</v>
      </c>
      <c r="F3385">
        <v>0.23600654818458799</v>
      </c>
      <c r="G3385">
        <v>0.126361293544377</v>
      </c>
      <c r="H3385">
        <v>8.8911762041905498E-2</v>
      </c>
      <c r="I3385">
        <v>6.7721451070047498E-2</v>
      </c>
      <c r="J3385">
        <v>7.6653563248153603E-2</v>
      </c>
      <c r="K3385">
        <v>6.8248922100725196E-2</v>
      </c>
      <c r="L3385">
        <v>1458.4874776975801</v>
      </c>
      <c r="M3385">
        <v>30.520178679806801</v>
      </c>
      <c r="N3385">
        <v>48.048455008765799</v>
      </c>
      <c r="O3385">
        <v>47.583894520203501</v>
      </c>
      <c r="P3385">
        <v>-0.14811027445930799</v>
      </c>
      <c r="Q3385">
        <v>7.6333030019719E-2</v>
      </c>
      <c r="R3385">
        <v>0.99372216956196702</v>
      </c>
      <c r="S3385" t="s">
        <v>9787</v>
      </c>
      <c r="T3385" t="s">
        <v>12802</v>
      </c>
      <c r="U3385" t="s">
        <v>12802</v>
      </c>
      <c r="V3385" t="s">
        <v>12802</v>
      </c>
      <c r="W3385" t="s">
        <v>16137</v>
      </c>
      <c r="X3385">
        <v>17</v>
      </c>
      <c r="Y3385" t="s">
        <v>22382</v>
      </c>
      <c r="Z3385" t="s">
        <v>28703</v>
      </c>
      <c r="AA3385">
        <v>0.41373629606017481</v>
      </c>
      <c r="AB3385" t="str">
        <f>HYPERLINK("Melting_Curves/meltCurve_Q14241_TCEB3.pdf", "Melting_Curves/meltCurve_Q14241_TCEB3.pdf")</f>
        <v>Melting_Curves/meltCurve_Q14241_TCEB3.pdf</v>
      </c>
    </row>
    <row r="3386" spans="1:28" x14ac:dyDescent="0.25">
      <c r="A3386" t="s">
        <v>3390</v>
      </c>
      <c r="B3386">
        <v>0.99542014353169495</v>
      </c>
      <c r="C3386">
        <v>1.00836425274731</v>
      </c>
      <c r="D3386">
        <v>1.03887786685223</v>
      </c>
      <c r="E3386">
        <v>0.81125245242601096</v>
      </c>
      <c r="F3386">
        <v>0.58498123472431196</v>
      </c>
      <c r="G3386">
        <v>0.37221852616173501</v>
      </c>
      <c r="H3386">
        <v>0.26948255002181498</v>
      </c>
      <c r="I3386">
        <v>0.17452278119689199</v>
      </c>
      <c r="J3386">
        <v>0.21016284659256099</v>
      </c>
      <c r="K3386">
        <v>0.293753805401891</v>
      </c>
      <c r="L3386">
        <v>1037.6019638856001</v>
      </c>
      <c r="M3386">
        <v>20.851205002055099</v>
      </c>
      <c r="N3386">
        <v>51.206359620112998</v>
      </c>
      <c r="O3386">
        <v>49.311274607123799</v>
      </c>
      <c r="P3386">
        <v>-8.2214842017292497E-2</v>
      </c>
      <c r="Q3386">
        <v>0.22229773324003599</v>
      </c>
      <c r="R3386">
        <v>0.98648351774298904</v>
      </c>
      <c r="S3386" t="s">
        <v>9788</v>
      </c>
      <c r="T3386" t="s">
        <v>12802</v>
      </c>
      <c r="U3386" t="s">
        <v>12802</v>
      </c>
      <c r="V3386" t="s">
        <v>12802</v>
      </c>
      <c r="W3386" t="s">
        <v>16138</v>
      </c>
      <c r="X3386">
        <v>5</v>
      </c>
      <c r="Y3386" t="s">
        <v>22383</v>
      </c>
      <c r="Z3386" t="s">
        <v>28704</v>
      </c>
      <c r="AA3386">
        <v>0.56264957671931959</v>
      </c>
      <c r="AB3386" t="str">
        <f>HYPERLINK("Melting_Curves/meltCurve_Q14244_MAP7.pdf", "Melting_Curves/meltCurve_Q14244_MAP7.pdf")</f>
        <v>Melting_Curves/meltCurve_Q14244_MAP7.pdf</v>
      </c>
    </row>
    <row r="3387" spans="1:28" x14ac:dyDescent="0.25">
      <c r="A3387" t="s">
        <v>3391</v>
      </c>
      <c r="B3387">
        <v>0.99542014353169495</v>
      </c>
      <c r="C3387">
        <v>0.99149941352874904</v>
      </c>
      <c r="D3387">
        <v>1.0192464847837699</v>
      </c>
      <c r="E3387">
        <v>1.0282661259778301</v>
      </c>
      <c r="F3387">
        <v>0.89239817298939395</v>
      </c>
      <c r="G3387">
        <v>0.73421697856869494</v>
      </c>
      <c r="H3387">
        <v>0.55317602645800901</v>
      </c>
      <c r="I3387">
        <v>0.49926527119787201</v>
      </c>
      <c r="J3387">
        <v>0.79788254885502996</v>
      </c>
      <c r="K3387">
        <v>0.97700020175955105</v>
      </c>
      <c r="L3387">
        <v>3076.2488044195502</v>
      </c>
      <c r="M3387">
        <v>60.726322184260198</v>
      </c>
      <c r="O3387">
        <v>50.602737318507501</v>
      </c>
      <c r="P3387">
        <v>-8.6864023866652595E-2</v>
      </c>
      <c r="Q3387">
        <v>0.71046785755615705</v>
      </c>
      <c r="R3387">
        <v>0.56827196939888602</v>
      </c>
      <c r="S3387" t="s">
        <v>9789</v>
      </c>
      <c r="T3387" t="s">
        <v>12802</v>
      </c>
      <c r="U3387" t="s">
        <v>12802</v>
      </c>
      <c r="V3387" t="s">
        <v>12802</v>
      </c>
      <c r="W3387" t="s">
        <v>16139</v>
      </c>
      <c r="X3387">
        <v>53</v>
      </c>
      <c r="Y3387" t="s">
        <v>22384</v>
      </c>
      <c r="Z3387" t="s">
        <v>28705</v>
      </c>
      <c r="AA3387">
        <v>0.84271598359376942</v>
      </c>
      <c r="AB3387" t="str">
        <f>HYPERLINK("Melting_Curves/meltCurve_Q14247_CTTN.pdf", "Melting_Curves/meltCurve_Q14247_CTTN.pdf")</f>
        <v>Melting_Curves/meltCurve_Q14247_CTTN.pdf</v>
      </c>
    </row>
    <row r="3388" spans="1:28" x14ac:dyDescent="0.25">
      <c r="A3388" t="s">
        <v>3392</v>
      </c>
      <c r="B3388">
        <v>0.99542014353169495</v>
      </c>
      <c r="C3388">
        <v>0.84871342577087405</v>
      </c>
      <c r="D3388">
        <v>0.94027582520836295</v>
      </c>
      <c r="E3388">
        <v>0.918967473772212</v>
      </c>
      <c r="F3388">
        <v>0.69764289726266604</v>
      </c>
      <c r="G3388">
        <v>0.56804817258892704</v>
      </c>
      <c r="H3388">
        <v>0.37458941106402299</v>
      </c>
      <c r="I3388">
        <v>0.32582716637810499</v>
      </c>
      <c r="J3388">
        <v>0.39765349465231897</v>
      </c>
      <c r="K3388">
        <v>0.56728405249036695</v>
      </c>
      <c r="L3388">
        <v>1125.76586458521</v>
      </c>
      <c r="M3388">
        <v>22.447827242332899</v>
      </c>
      <c r="N3388">
        <v>54.431720292883398</v>
      </c>
      <c r="O3388">
        <v>49.757443276524498</v>
      </c>
      <c r="P3388">
        <v>-6.6041906939026507E-2</v>
      </c>
      <c r="Q3388">
        <v>0.41446320205751902</v>
      </c>
      <c r="R3388">
        <v>0.88636984830753196</v>
      </c>
      <c r="S3388" t="s">
        <v>9790</v>
      </c>
      <c r="T3388" t="s">
        <v>12802</v>
      </c>
      <c r="U3388" t="s">
        <v>12802</v>
      </c>
      <c r="V3388" t="s">
        <v>12802</v>
      </c>
      <c r="W3388" t="s">
        <v>16140</v>
      </c>
      <c r="X3388">
        <v>49</v>
      </c>
      <c r="Y3388" t="s">
        <v>22384</v>
      </c>
      <c r="Z3388" t="s">
        <v>28706</v>
      </c>
      <c r="AA3388">
        <v>0.67740047911619006</v>
      </c>
      <c r="AB3388" t="str">
        <f>HYPERLINK("Melting_Curves/meltCurve_Q14247_3_CTTN.pdf", "Melting_Curves/meltCurve_Q14247_3_CTTN.pdf")</f>
        <v>Melting_Curves/meltCurve_Q14247_3_CTTN.pdf</v>
      </c>
    </row>
    <row r="3389" spans="1:28" x14ac:dyDescent="0.25">
      <c r="A3389" t="s">
        <v>3393</v>
      </c>
      <c r="B3389">
        <v>0.99542014353169495</v>
      </c>
      <c r="C3389">
        <v>0.93978194068799004</v>
      </c>
      <c r="D3389">
        <v>0.93901905956331899</v>
      </c>
      <c r="E3389">
        <v>0.79498045941304496</v>
      </c>
      <c r="F3389">
        <v>0.662487229321163</v>
      </c>
      <c r="G3389">
        <v>0.26618842493720302</v>
      </c>
      <c r="H3389">
        <v>0.106966349429821</v>
      </c>
      <c r="I3389">
        <v>7.1217142250894094E-2</v>
      </c>
      <c r="J3389">
        <v>7.7983306943295194E-2</v>
      </c>
      <c r="K3389">
        <v>5.4148370225596799E-2</v>
      </c>
      <c r="L3389">
        <v>923.04600227351602</v>
      </c>
      <c r="M3389">
        <v>18.093566639023798</v>
      </c>
      <c r="N3389">
        <v>51.179266918843197</v>
      </c>
      <c r="O3389">
        <v>50.404214379254299</v>
      </c>
      <c r="P3389">
        <v>-8.7217160793707699E-2</v>
      </c>
      <c r="Q3389">
        <v>2.81846325535717E-2</v>
      </c>
      <c r="R3389">
        <v>0.98916002253662305</v>
      </c>
      <c r="S3389" t="s">
        <v>9791</v>
      </c>
      <c r="T3389" t="s">
        <v>12802</v>
      </c>
      <c r="U3389" t="s">
        <v>12802</v>
      </c>
      <c r="V3389" t="s">
        <v>12802</v>
      </c>
      <c r="W3389" t="s">
        <v>16141</v>
      </c>
      <c r="X3389">
        <v>7</v>
      </c>
      <c r="Y3389" t="s">
        <v>22385</v>
      </c>
      <c r="Z3389" t="s">
        <v>28707</v>
      </c>
      <c r="AA3389">
        <v>0.49713619491683481</v>
      </c>
      <c r="AB3389" t="str">
        <f>HYPERLINK("Melting_Curves/meltCurve_Q14249_ENDOG.pdf", "Melting_Curves/meltCurve_Q14249_ENDOG.pdf")</f>
        <v>Melting_Curves/meltCurve_Q14249_ENDOG.pdf</v>
      </c>
    </row>
    <row r="3390" spans="1:28" x14ac:dyDescent="0.25">
      <c r="A3390" t="s">
        <v>3394</v>
      </c>
      <c r="B3390">
        <v>0.99542014353169495</v>
      </c>
      <c r="C3390">
        <v>0.98544923148146701</v>
      </c>
      <c r="D3390">
        <v>0.96651563872920099</v>
      </c>
      <c r="E3390">
        <v>0.84636891581680795</v>
      </c>
      <c r="F3390">
        <v>0.66201008713038401</v>
      </c>
      <c r="G3390">
        <v>0.31263504446583701</v>
      </c>
      <c r="H3390">
        <v>0.17452993681322501</v>
      </c>
      <c r="I3390">
        <v>0.137990279162818</v>
      </c>
      <c r="J3390">
        <v>0.148558888121955</v>
      </c>
      <c r="K3390">
        <v>0.145205757122634</v>
      </c>
      <c r="L3390">
        <v>1072.8451970394301</v>
      </c>
      <c r="M3390">
        <v>21.0993678336275</v>
      </c>
      <c r="N3390">
        <v>51.5351473669756</v>
      </c>
      <c r="O3390">
        <v>50.397124575335702</v>
      </c>
      <c r="P3390">
        <v>-9.1823110421776793E-2</v>
      </c>
      <c r="Q3390">
        <v>0.122722706156412</v>
      </c>
      <c r="R3390">
        <v>0.99610080257540501</v>
      </c>
      <c r="S3390" t="s">
        <v>9792</v>
      </c>
      <c r="T3390" t="s">
        <v>12802</v>
      </c>
      <c r="U3390" t="s">
        <v>12802</v>
      </c>
      <c r="V3390" t="s">
        <v>12802</v>
      </c>
      <c r="W3390" t="s">
        <v>16142</v>
      </c>
      <c r="X3390">
        <v>4</v>
      </c>
      <c r="Y3390" t="s">
        <v>22386</v>
      </c>
      <c r="Z3390" t="s">
        <v>28708</v>
      </c>
      <c r="AA3390">
        <v>0.53815016740619903</v>
      </c>
      <c r="AB3390" t="str">
        <f>HYPERLINK("Melting_Curves/meltCurve_Q14257_RCN2.pdf", "Melting_Curves/meltCurve_Q14257_RCN2.pdf")</f>
        <v>Melting_Curves/meltCurve_Q14257_RCN2.pdf</v>
      </c>
    </row>
    <row r="3391" spans="1:28" x14ac:dyDescent="0.25">
      <c r="A3391" t="s">
        <v>3395</v>
      </c>
      <c r="B3391">
        <v>0.99542014353169495</v>
      </c>
      <c r="C3391">
        <v>0.95793353662339198</v>
      </c>
      <c r="D3391">
        <v>0.923353016741705</v>
      </c>
      <c r="E3391">
        <v>0.76230111224588004</v>
      </c>
      <c r="F3391">
        <v>0.28595844371349399</v>
      </c>
      <c r="G3391">
        <v>0.13379160641811499</v>
      </c>
      <c r="H3391">
        <v>8.9628570305539404E-2</v>
      </c>
      <c r="I3391">
        <v>6.6946446343425794E-2</v>
      </c>
      <c r="J3391">
        <v>8.0820276724467205E-2</v>
      </c>
      <c r="K3391">
        <v>7.7485751973740802E-2</v>
      </c>
      <c r="L3391">
        <v>1348.20739346867</v>
      </c>
      <c r="M3391">
        <v>27.982020193870799</v>
      </c>
      <c r="N3391">
        <v>48.465629080639999</v>
      </c>
      <c r="O3391">
        <v>47.937140066734003</v>
      </c>
      <c r="P3391">
        <v>-0.134881998647189</v>
      </c>
      <c r="Q3391">
        <v>7.5720535070838604E-2</v>
      </c>
      <c r="R3391">
        <v>0.99702230803731295</v>
      </c>
      <c r="S3391" t="s">
        <v>9793</v>
      </c>
      <c r="T3391" t="s">
        <v>12802</v>
      </c>
      <c r="U3391" t="s">
        <v>12802</v>
      </c>
      <c r="V3391" t="s">
        <v>12802</v>
      </c>
      <c r="W3391" t="s">
        <v>16143</v>
      </c>
      <c r="X3391">
        <v>18</v>
      </c>
      <c r="Y3391" t="s">
        <v>22387</v>
      </c>
      <c r="Z3391" t="s">
        <v>28709</v>
      </c>
      <c r="AA3391">
        <v>0.4265196570137223</v>
      </c>
      <c r="AB3391" t="str">
        <f>HYPERLINK("Melting_Curves/meltCurve_Q14258_TRIM25.pdf", "Melting_Curves/meltCurve_Q14258_TRIM25.pdf")</f>
        <v>Melting_Curves/meltCurve_Q14258_TRIM25.pdf</v>
      </c>
    </row>
    <row r="3392" spans="1:28" x14ac:dyDescent="0.25">
      <c r="A3392" t="s">
        <v>3396</v>
      </c>
      <c r="B3392">
        <v>0.99542014353169495</v>
      </c>
      <c r="C3392">
        <v>0.91602502078496195</v>
      </c>
      <c r="D3392">
        <v>0.81865617365082199</v>
      </c>
      <c r="E3392">
        <v>0.398985224913189</v>
      </c>
      <c r="F3392">
        <v>0.11723857658155599</v>
      </c>
      <c r="G3392">
        <v>7.3098308773417595E-2</v>
      </c>
      <c r="H3392">
        <v>4.40571106264687E-2</v>
      </c>
      <c r="I3392">
        <v>3.6389732693622098E-2</v>
      </c>
      <c r="J3392">
        <v>4.08075371315735E-2</v>
      </c>
      <c r="K3392">
        <v>4.6546543462802702E-2</v>
      </c>
      <c r="L3392">
        <v>1057.9096033553899</v>
      </c>
      <c r="M3392">
        <v>23.2324846648598</v>
      </c>
      <c r="N3392">
        <v>45.689694489017597</v>
      </c>
      <c r="O3392">
        <v>45.202466771412297</v>
      </c>
      <c r="P3392">
        <v>-0.12365758035124701</v>
      </c>
      <c r="Q3392">
        <v>3.7636438199223701E-2</v>
      </c>
      <c r="R3392">
        <v>0.99782347637221502</v>
      </c>
      <c r="S3392" t="s">
        <v>9794</v>
      </c>
      <c r="T3392" t="s">
        <v>12802</v>
      </c>
      <c r="U3392" t="s">
        <v>12802</v>
      </c>
      <c r="V3392" t="s">
        <v>12802</v>
      </c>
      <c r="W3392" t="s">
        <v>16144</v>
      </c>
      <c r="X3392">
        <v>12</v>
      </c>
      <c r="Y3392" t="s">
        <v>22388</v>
      </c>
      <c r="Z3392" t="s">
        <v>28710</v>
      </c>
      <c r="AA3392">
        <v>0.32069046247575211</v>
      </c>
      <c r="AB3392" t="str">
        <f>HYPERLINK("Melting_Curves/meltCurve_Q14289_2_PTK2B.pdf", "Melting_Curves/meltCurve_Q14289_2_PTK2B.pdf")</f>
        <v>Melting_Curves/meltCurve_Q14289_2_PTK2B.pdf</v>
      </c>
    </row>
    <row r="3393" spans="1:28" x14ac:dyDescent="0.25">
      <c r="A3393" t="s">
        <v>3397</v>
      </c>
      <c r="B3393">
        <v>0.99542014353169495</v>
      </c>
      <c r="C3393">
        <v>0.92365396754846296</v>
      </c>
      <c r="D3393">
        <v>0.98173567237985004</v>
      </c>
      <c r="E3393">
        <v>0.77570768952295899</v>
      </c>
      <c r="F3393">
        <v>0.45811243905786397</v>
      </c>
      <c r="G3393">
        <v>0.182783345043285</v>
      </c>
      <c r="H3393">
        <v>7.2570039292977298E-2</v>
      </c>
      <c r="I3393">
        <v>4.4786171820689599E-2</v>
      </c>
      <c r="J3393">
        <v>4.66852282769495E-2</v>
      </c>
      <c r="K3393">
        <v>4.4639520232037398E-2</v>
      </c>
      <c r="L3393">
        <v>1013.80527174886</v>
      </c>
      <c r="M3393">
        <v>20.482831511786799</v>
      </c>
      <c r="N3393">
        <v>49.647509372741901</v>
      </c>
      <c r="O3393">
        <v>49.0308232484523</v>
      </c>
      <c r="P3393">
        <v>-0.10126474521102399</v>
      </c>
      <c r="Q3393">
        <v>3.0417613138833E-2</v>
      </c>
      <c r="R3393">
        <v>0.996261267515688</v>
      </c>
      <c r="S3393" t="s">
        <v>9795</v>
      </c>
      <c r="T3393" t="s">
        <v>12802</v>
      </c>
      <c r="U3393" t="s">
        <v>12802</v>
      </c>
      <c r="V3393" t="s">
        <v>12802</v>
      </c>
      <c r="W3393" t="s">
        <v>16145</v>
      </c>
      <c r="X3393">
        <v>97</v>
      </c>
      <c r="Y3393" t="s">
        <v>22389</v>
      </c>
      <c r="Z3393" t="s">
        <v>28711</v>
      </c>
      <c r="AA3393">
        <v>0.44650221054620343</v>
      </c>
      <c r="AB3393" t="str">
        <f>HYPERLINK("Melting_Curves/meltCurve_Q14315_FLNC.pdf", "Melting_Curves/meltCurve_Q14315_FLNC.pdf")</f>
        <v>Melting_Curves/meltCurve_Q14315_FLNC.pdf</v>
      </c>
    </row>
    <row r="3394" spans="1:28" x14ac:dyDescent="0.25">
      <c r="A3394" t="s">
        <v>3398</v>
      </c>
      <c r="B3394">
        <v>0.99542014353169495</v>
      </c>
      <c r="C3394">
        <v>0.90583858483615498</v>
      </c>
      <c r="D3394">
        <v>0.84693568516872597</v>
      </c>
      <c r="E3394">
        <v>0.36476329202920499</v>
      </c>
      <c r="F3394">
        <v>0.17140570622154599</v>
      </c>
      <c r="G3394">
        <v>8.95633449286167E-2</v>
      </c>
      <c r="H3394">
        <v>6.0426921954425797E-2</v>
      </c>
      <c r="I3394">
        <v>3.5410137321313699E-2</v>
      </c>
      <c r="J3394">
        <v>3.6643461975736598E-2</v>
      </c>
      <c r="K3394">
        <v>4.3859634114670802E-2</v>
      </c>
      <c r="L3394">
        <v>1056.0756548981799</v>
      </c>
      <c r="M3394">
        <v>23.2049140798797</v>
      </c>
      <c r="N3394">
        <v>45.7068171302097</v>
      </c>
      <c r="O3394">
        <v>45.176925930894299</v>
      </c>
      <c r="P3394">
        <v>-0.12233356086889299</v>
      </c>
      <c r="Q3394">
        <v>4.7347864822986398E-2</v>
      </c>
      <c r="R3394">
        <v>0.99467766620499098</v>
      </c>
      <c r="S3394" t="s">
        <v>9796</v>
      </c>
      <c r="T3394" t="s">
        <v>12802</v>
      </c>
      <c r="U3394" t="s">
        <v>12802</v>
      </c>
      <c r="V3394" t="s">
        <v>12802</v>
      </c>
      <c r="W3394" t="s">
        <v>16146</v>
      </c>
      <c r="X3394">
        <v>13</v>
      </c>
      <c r="Y3394" t="s">
        <v>22390</v>
      </c>
      <c r="Z3394" t="s">
        <v>28712</v>
      </c>
      <c r="AA3394">
        <v>0.32677514281320458</v>
      </c>
      <c r="AB3394" t="str">
        <f>HYPERLINK("Melting_Curves/meltCurve_Q14318_2_FKBP8.pdf", "Melting_Curves/meltCurve_Q14318_2_FKBP8.pdf")</f>
        <v>Melting_Curves/meltCurve_Q14318_2_FKBP8.pdf</v>
      </c>
    </row>
    <row r="3395" spans="1:28" x14ac:dyDescent="0.25">
      <c r="A3395" t="s">
        <v>3399</v>
      </c>
      <c r="B3395">
        <v>0.99542014353169495</v>
      </c>
      <c r="C3395">
        <v>0.96696799932625999</v>
      </c>
      <c r="D3395">
        <v>0.92533216834488796</v>
      </c>
      <c r="E3395">
        <v>0.71807751587261004</v>
      </c>
      <c r="F3395">
        <v>0.30918144526300401</v>
      </c>
      <c r="G3395">
        <v>0.13396902312933801</v>
      </c>
      <c r="H3395">
        <v>9.2002501888850799E-2</v>
      </c>
      <c r="I3395">
        <v>5.9121617962158597E-2</v>
      </c>
      <c r="J3395">
        <v>9.4716469546256898E-2</v>
      </c>
      <c r="K3395">
        <v>8.1809394908479993E-2</v>
      </c>
      <c r="L3395">
        <v>1168.5452928463201</v>
      </c>
      <c r="M3395">
        <v>24.319422435424599</v>
      </c>
      <c r="N3395">
        <v>48.368850311476301</v>
      </c>
      <c r="O3395">
        <v>47.728522826689897</v>
      </c>
      <c r="P3395">
        <v>-0.117948246634356</v>
      </c>
      <c r="Q3395">
        <v>7.4088024432663005E-2</v>
      </c>
      <c r="R3395">
        <v>0.998447953672563</v>
      </c>
      <c r="S3395" t="s">
        <v>9797</v>
      </c>
      <c r="T3395" t="s">
        <v>12802</v>
      </c>
      <c r="U3395" t="s">
        <v>12802</v>
      </c>
      <c r="V3395" t="s">
        <v>12802</v>
      </c>
      <c r="W3395" t="s">
        <v>16147</v>
      </c>
      <c r="X3395">
        <v>12</v>
      </c>
      <c r="Y3395" t="s">
        <v>22391</v>
      </c>
      <c r="Z3395" t="s">
        <v>28713</v>
      </c>
      <c r="AA3395">
        <v>0.42346643480375817</v>
      </c>
      <c r="AB3395" t="str">
        <f>HYPERLINK("Melting_Curves/meltCurve_Q14320_FAM50A.pdf", "Melting_Curves/meltCurve_Q14320_FAM50A.pdf")</f>
        <v>Melting_Curves/meltCurve_Q14320_FAM50A.pdf</v>
      </c>
    </row>
    <row r="3396" spans="1:28" x14ac:dyDescent="0.25">
      <c r="A3396" t="s">
        <v>3400</v>
      </c>
      <c r="B3396">
        <v>0.99542014353169495</v>
      </c>
      <c r="C3396">
        <v>1.0326129676636999</v>
      </c>
      <c r="D3396">
        <v>0.95235374777896198</v>
      </c>
      <c r="E3396">
        <v>0.68199333154438002</v>
      </c>
      <c r="F3396">
        <v>0.460532938061471</v>
      </c>
      <c r="G3396">
        <v>0.22176096254236999</v>
      </c>
      <c r="H3396">
        <v>0.10727842319764801</v>
      </c>
      <c r="I3396">
        <v>8.0440452556738498E-2</v>
      </c>
      <c r="J3396">
        <v>9.2484733436776906E-2</v>
      </c>
      <c r="K3396">
        <v>0.100381835272648</v>
      </c>
      <c r="L3396">
        <v>881.57941877356302</v>
      </c>
      <c r="M3396">
        <v>18.0462127119409</v>
      </c>
      <c r="N3396">
        <v>49.280318052029799</v>
      </c>
      <c r="O3396">
        <v>48.263186737995099</v>
      </c>
      <c r="P3396">
        <v>-8.6685998214737894E-2</v>
      </c>
      <c r="Q3396">
        <v>7.2705326968537196E-2</v>
      </c>
      <c r="R3396">
        <v>0.99493992418414801</v>
      </c>
      <c r="S3396" t="s">
        <v>9798</v>
      </c>
      <c r="T3396" t="s">
        <v>12802</v>
      </c>
      <c r="U3396" t="s">
        <v>12802</v>
      </c>
      <c r="V3396" t="s">
        <v>12802</v>
      </c>
      <c r="W3396" t="s">
        <v>16148</v>
      </c>
      <c r="X3396">
        <v>9</v>
      </c>
      <c r="Y3396" t="s">
        <v>22392</v>
      </c>
      <c r="Z3396" t="s">
        <v>28714</v>
      </c>
      <c r="AA3396">
        <v>0.45371547825534542</v>
      </c>
      <c r="AB3396" t="str">
        <f>HYPERLINK("Melting_Curves/meltCurve_Q14331_FRG1.pdf", "Melting_Curves/meltCurve_Q14331_FRG1.pdf")</f>
        <v>Melting_Curves/meltCurve_Q14331_FRG1.pdf</v>
      </c>
    </row>
    <row r="3397" spans="1:28" x14ac:dyDescent="0.25">
      <c r="A3397" t="s">
        <v>3401</v>
      </c>
      <c r="B3397">
        <v>0.99542014353169495</v>
      </c>
      <c r="C3397">
        <v>0.95612658121208405</v>
      </c>
      <c r="D3397">
        <v>0.94059701144274799</v>
      </c>
      <c r="E3397">
        <v>0.87228912326864905</v>
      </c>
      <c r="F3397">
        <v>0.65652211907363001</v>
      </c>
      <c r="G3397">
        <v>0.47402504550266</v>
      </c>
      <c r="H3397">
        <v>0.203130957161689</v>
      </c>
      <c r="I3397">
        <v>7.2491622998535094E-2</v>
      </c>
      <c r="J3397">
        <v>7.0368315168411993E-2</v>
      </c>
      <c r="K3397">
        <v>8.2272628900434894E-2</v>
      </c>
      <c r="L3397">
        <v>775.18603403279303</v>
      </c>
      <c r="M3397">
        <v>14.7254695298085</v>
      </c>
      <c r="N3397">
        <v>52.6592339551162</v>
      </c>
      <c r="O3397">
        <v>51.700283429536597</v>
      </c>
      <c r="P3397">
        <v>-7.1047822994743201E-2</v>
      </c>
      <c r="Q3397">
        <v>2.3289424914008801E-3</v>
      </c>
      <c r="R3397">
        <v>0.99362248125528596</v>
      </c>
      <c r="S3397" t="s">
        <v>9799</v>
      </c>
      <c r="T3397" t="s">
        <v>12802</v>
      </c>
      <c r="U3397" t="s">
        <v>12802</v>
      </c>
      <c r="V3397" t="s">
        <v>12802</v>
      </c>
      <c r="W3397" t="s">
        <v>16149</v>
      </c>
      <c r="X3397">
        <v>14</v>
      </c>
      <c r="Y3397" t="s">
        <v>22393</v>
      </c>
      <c r="Z3397" t="s">
        <v>28715</v>
      </c>
      <c r="AA3397">
        <v>0.5411830628110571</v>
      </c>
      <c r="AB3397" t="str">
        <f>HYPERLINK("Melting_Curves/meltCurve_Q14344_GNA13.pdf", "Melting_Curves/meltCurve_Q14344_GNA13.pdf")</f>
        <v>Melting_Curves/meltCurve_Q14344_GNA13.pdf</v>
      </c>
    </row>
    <row r="3398" spans="1:28" x14ac:dyDescent="0.25">
      <c r="A3398" t="s">
        <v>3402</v>
      </c>
      <c r="B3398">
        <v>0.99542014353169495</v>
      </c>
      <c r="C3398">
        <v>1.08060571157622</v>
      </c>
      <c r="D3398">
        <v>1.0166118996256299</v>
      </c>
      <c r="E3398">
        <v>0.90129359563844602</v>
      </c>
      <c r="F3398">
        <v>0.43623134454738099</v>
      </c>
      <c r="G3398">
        <v>0.20297410820284301</v>
      </c>
      <c r="H3398">
        <v>0.13220171854198001</v>
      </c>
      <c r="I3398">
        <v>8.5807815843615201E-2</v>
      </c>
      <c r="J3398">
        <v>0.116160453111347</v>
      </c>
      <c r="K3398">
        <v>0.103220469455029</v>
      </c>
      <c r="L3398">
        <v>1585.75473030579</v>
      </c>
      <c r="M3398">
        <v>32.069561559106802</v>
      </c>
      <c r="N3398">
        <v>49.838196016001099</v>
      </c>
      <c r="O3398">
        <v>49.2562675430393</v>
      </c>
      <c r="P3398">
        <v>-0.14467240377273399</v>
      </c>
      <c r="Q3398">
        <v>0.11118373055417</v>
      </c>
      <c r="R3398">
        <v>0.99455082735662503</v>
      </c>
      <c r="S3398" t="s">
        <v>9800</v>
      </c>
      <c r="T3398" t="s">
        <v>12802</v>
      </c>
      <c r="U3398" t="s">
        <v>12802</v>
      </c>
      <c r="V3398" t="s">
        <v>12802</v>
      </c>
      <c r="W3398" t="s">
        <v>16150</v>
      </c>
      <c r="X3398">
        <v>5</v>
      </c>
      <c r="Y3398" t="s">
        <v>22394</v>
      </c>
      <c r="Z3398" t="s">
        <v>28716</v>
      </c>
      <c r="AA3398">
        <v>0.48469495954235797</v>
      </c>
      <c r="AB3398" t="str">
        <f>HYPERLINK("Melting_Curves/meltCurve_Q14353_GAMT.pdf", "Melting_Curves/meltCurve_Q14353_GAMT.pdf")</f>
        <v>Melting_Curves/meltCurve_Q14353_GAMT.pdf</v>
      </c>
    </row>
    <row r="3399" spans="1:28" x14ac:dyDescent="0.25">
      <c r="A3399" t="s">
        <v>3403</v>
      </c>
      <c r="B3399">
        <v>0.99542014353169495</v>
      </c>
      <c r="C3399">
        <v>1.0061146583643199</v>
      </c>
      <c r="D3399">
        <v>0.93048040268427501</v>
      </c>
      <c r="E3399">
        <v>0.92965987032698605</v>
      </c>
      <c r="F3399">
        <v>0.77882416111268005</v>
      </c>
      <c r="G3399">
        <v>0.58311516454305601</v>
      </c>
      <c r="H3399">
        <v>9.0267055069863197E-2</v>
      </c>
      <c r="I3399">
        <v>5.6463427899450899E-2</v>
      </c>
      <c r="J3399">
        <v>4.7285334775708003E-2</v>
      </c>
      <c r="K3399">
        <v>5.0738055501563302E-2</v>
      </c>
      <c r="L3399">
        <v>1266.1909418078401</v>
      </c>
      <c r="M3399">
        <v>23.5910205791285</v>
      </c>
      <c r="N3399">
        <v>53.714937964918803</v>
      </c>
      <c r="O3399">
        <v>53.291399142626197</v>
      </c>
      <c r="P3399">
        <v>-0.10965194934637799</v>
      </c>
      <c r="Q3399">
        <v>9.2154934132653993E-3</v>
      </c>
      <c r="R3399">
        <v>0.98307727234394804</v>
      </c>
      <c r="S3399" t="s">
        <v>9801</v>
      </c>
      <c r="T3399" t="s">
        <v>12802</v>
      </c>
      <c r="U3399" t="s">
        <v>12802</v>
      </c>
      <c r="V3399" t="s">
        <v>12802</v>
      </c>
      <c r="W3399" t="s">
        <v>16151</v>
      </c>
      <c r="X3399">
        <v>15</v>
      </c>
      <c r="Y3399" t="s">
        <v>22395</v>
      </c>
      <c r="Z3399" t="s">
        <v>28717</v>
      </c>
      <c r="AA3399">
        <v>0.5693978650281265</v>
      </c>
      <c r="AB3399" t="str">
        <f>HYPERLINK("Melting_Curves/meltCurve_Q14376_GALE.pdf", "Melting_Curves/meltCurve_Q14376_GALE.pdf")</f>
        <v>Melting_Curves/meltCurve_Q14376_GALE.pdf</v>
      </c>
    </row>
    <row r="3400" spans="1:28" x14ac:dyDescent="0.25">
      <c r="A3400" t="s">
        <v>3404</v>
      </c>
      <c r="B3400">
        <v>0.99542014353169495</v>
      </c>
      <c r="C3400">
        <v>0.99249638315312805</v>
      </c>
      <c r="D3400">
        <v>1.00743113974976</v>
      </c>
      <c r="E3400">
        <v>0.85632238023881901</v>
      </c>
      <c r="F3400">
        <v>0.59922720356826897</v>
      </c>
      <c r="G3400">
        <v>0.56773433234496795</v>
      </c>
      <c r="H3400">
        <v>0.40091561829487599</v>
      </c>
      <c r="I3400">
        <v>0.28531399678137898</v>
      </c>
      <c r="J3400">
        <v>0.39928870513895398</v>
      </c>
      <c r="K3400">
        <v>0.54739297403731002</v>
      </c>
      <c r="L3400">
        <v>1088.98157701737</v>
      </c>
      <c r="M3400">
        <v>22.231247482536102</v>
      </c>
      <c r="N3400">
        <v>53.202433513394801</v>
      </c>
      <c r="O3400">
        <v>48.5930920766857</v>
      </c>
      <c r="P3400">
        <v>-6.7001847455730804E-2</v>
      </c>
      <c r="Q3400">
        <v>0.41420161602105099</v>
      </c>
      <c r="R3400">
        <v>0.93201292142868997</v>
      </c>
      <c r="S3400" t="s">
        <v>9802</v>
      </c>
      <c r="T3400" t="s">
        <v>12802</v>
      </c>
      <c r="U3400" t="s">
        <v>12802</v>
      </c>
      <c r="V3400" t="s">
        <v>12802</v>
      </c>
      <c r="W3400" t="s">
        <v>16152</v>
      </c>
      <c r="X3400">
        <v>21</v>
      </c>
      <c r="Y3400" t="s">
        <v>22396</v>
      </c>
      <c r="Z3400" t="s">
        <v>28718</v>
      </c>
      <c r="AA3400">
        <v>0.65455378806724185</v>
      </c>
      <c r="AB3400" t="str">
        <f>HYPERLINK("Melting_Curves/meltCurve_Q14444_2_CAPRIN1.pdf", "Melting_Curves/meltCurve_Q14444_2_CAPRIN1.pdf")</f>
        <v>Melting_Curves/meltCurve_Q14444_2_CAPRIN1.pdf</v>
      </c>
    </row>
    <row r="3401" spans="1:28" x14ac:dyDescent="0.25">
      <c r="A3401" t="s">
        <v>3405</v>
      </c>
      <c r="B3401">
        <v>0.99542014353169495</v>
      </c>
      <c r="C3401">
        <v>0.80214973549365298</v>
      </c>
      <c r="D3401">
        <v>0.85839378099437302</v>
      </c>
      <c r="E3401">
        <v>0.65753569226679698</v>
      </c>
      <c r="F3401">
        <v>0.49994805437923301</v>
      </c>
      <c r="G3401">
        <v>0.18242173760657801</v>
      </c>
      <c r="H3401">
        <v>7.9785198115436995E-2</v>
      </c>
      <c r="I3401">
        <v>4.7425110397297403E-2</v>
      </c>
      <c r="J3401">
        <v>3.8936232076339797E-2</v>
      </c>
      <c r="K3401">
        <v>7.4462385480766599E-2</v>
      </c>
      <c r="L3401">
        <v>619.40992210011996</v>
      </c>
      <c r="M3401">
        <v>12.6805867867501</v>
      </c>
      <c r="N3401">
        <v>48.8471024857282</v>
      </c>
      <c r="O3401">
        <v>47.680069174074497</v>
      </c>
      <c r="P3401">
        <v>-6.6500818677016099E-2</v>
      </c>
      <c r="Q3401">
        <v>0</v>
      </c>
      <c r="R3401">
        <v>0.97232204791390997</v>
      </c>
      <c r="S3401" t="s">
        <v>9803</v>
      </c>
      <c r="T3401" t="s">
        <v>12802</v>
      </c>
      <c r="U3401" t="s">
        <v>12802</v>
      </c>
      <c r="V3401" t="s">
        <v>12802</v>
      </c>
      <c r="W3401" t="s">
        <v>16153</v>
      </c>
      <c r="X3401">
        <v>5</v>
      </c>
      <c r="Y3401" t="s">
        <v>22397</v>
      </c>
      <c r="Z3401" t="s">
        <v>28719</v>
      </c>
      <c r="AA3401">
        <v>0.42268023178182701</v>
      </c>
      <c r="AB3401" t="str">
        <f>HYPERLINK("Melting_Curves/meltCurve_Q14457_BECN1.pdf", "Melting_Curves/meltCurve_Q14457_BECN1.pdf")</f>
        <v>Melting_Curves/meltCurve_Q14457_BECN1.pdf</v>
      </c>
    </row>
    <row r="3402" spans="1:28" x14ac:dyDescent="0.25">
      <c r="A3402" t="s">
        <v>3406</v>
      </c>
      <c r="B3402">
        <v>0.99542014353169495</v>
      </c>
      <c r="C3402">
        <v>0.901006130378323</v>
      </c>
      <c r="D3402">
        <v>0.87078032083762003</v>
      </c>
      <c r="E3402">
        <v>0.79004099895797397</v>
      </c>
      <c r="F3402">
        <v>0.81143887566505402</v>
      </c>
      <c r="G3402">
        <v>0.575588918301988</v>
      </c>
      <c r="H3402">
        <v>0.878996255720637</v>
      </c>
      <c r="I3402">
        <v>0.96150579116586099</v>
      </c>
      <c r="J3402">
        <v>0.83926936276166597</v>
      </c>
      <c r="K3402">
        <v>0.58302173122675505</v>
      </c>
      <c r="L3402">
        <v>785.32469087739605</v>
      </c>
      <c r="M3402">
        <v>18.9802817526678</v>
      </c>
      <c r="O3402">
        <v>40.9247469795162</v>
      </c>
      <c r="P3402">
        <v>-2.6276756232376099E-2</v>
      </c>
      <c r="Q3402">
        <v>0.77338035788090698</v>
      </c>
      <c r="R3402">
        <v>0.28410871225156897</v>
      </c>
      <c r="S3402" t="s">
        <v>9804</v>
      </c>
      <c r="T3402" t="s">
        <v>12802</v>
      </c>
      <c r="U3402" t="s">
        <v>12802</v>
      </c>
      <c r="V3402" t="s">
        <v>12802</v>
      </c>
      <c r="W3402" t="s">
        <v>16154</v>
      </c>
      <c r="X3402">
        <v>1</v>
      </c>
      <c r="Y3402" t="s">
        <v>22398</v>
      </c>
      <c r="Z3402" t="s">
        <v>28720</v>
      </c>
      <c r="AA3402">
        <v>0.81058638807373284</v>
      </c>
      <c r="AB3402" t="str">
        <f>HYPERLINK("Melting_Curves/meltCurve_Q14469_HES1.pdf", "Melting_Curves/meltCurve_Q14469_HES1.pdf")</f>
        <v>Melting_Curves/meltCurve_Q14469_HES1.pdf</v>
      </c>
    </row>
    <row r="3403" spans="1:28" x14ac:dyDescent="0.25">
      <c r="A3403" t="s">
        <v>3407</v>
      </c>
      <c r="B3403">
        <v>0.99542014353169495</v>
      </c>
      <c r="C3403">
        <v>1.05611636157304</v>
      </c>
      <c r="D3403">
        <v>0.85895256445460899</v>
      </c>
      <c r="E3403">
        <v>0.58691433676788396</v>
      </c>
      <c r="F3403">
        <v>0.25626273431822799</v>
      </c>
      <c r="G3403">
        <v>0.174876914783966</v>
      </c>
      <c r="H3403">
        <v>0.124297189005607</v>
      </c>
      <c r="I3403">
        <v>8.60404079876501E-2</v>
      </c>
      <c r="J3403">
        <v>0.13498722433128499</v>
      </c>
      <c r="K3403">
        <v>0.198569821524366</v>
      </c>
      <c r="L3403">
        <v>1112.57592479544</v>
      </c>
      <c r="M3403">
        <v>23.860690395202202</v>
      </c>
      <c r="N3403">
        <v>47.240700691970503</v>
      </c>
      <c r="O3403">
        <v>46.304175608954402</v>
      </c>
      <c r="P3403">
        <v>-0.111682722043471</v>
      </c>
      <c r="Q3403">
        <v>0.13308587201078001</v>
      </c>
      <c r="R3403">
        <v>0.98963193850533504</v>
      </c>
      <c r="S3403" t="s">
        <v>9805</v>
      </c>
      <c r="T3403" t="s">
        <v>12802</v>
      </c>
      <c r="U3403" t="s">
        <v>12802</v>
      </c>
      <c r="V3403" t="s">
        <v>12802</v>
      </c>
      <c r="W3403" t="s">
        <v>16155</v>
      </c>
      <c r="X3403">
        <v>7</v>
      </c>
      <c r="Y3403" t="s">
        <v>19915</v>
      </c>
      <c r="Z3403" t="s">
        <v>28721</v>
      </c>
      <c r="AA3403">
        <v>0.41926605814751711</v>
      </c>
      <c r="AB3403" t="str">
        <f>HYPERLINK("Melting_Curves/meltCurve_Q14493_2_SLBP.pdf", "Melting_Curves/meltCurve_Q14493_2_SLBP.pdf")</f>
        <v>Melting_Curves/meltCurve_Q14493_2_SLBP.pdf</v>
      </c>
    </row>
    <row r="3404" spans="1:28" x14ac:dyDescent="0.25">
      <c r="A3404" t="s">
        <v>3408</v>
      </c>
      <c r="B3404">
        <v>0.99542014353169495</v>
      </c>
      <c r="C3404">
        <v>0.89160102303424804</v>
      </c>
      <c r="D3404">
        <v>0.74392581405216596</v>
      </c>
      <c r="E3404">
        <v>0.49404941674398301</v>
      </c>
      <c r="F3404">
        <v>0.139335756302117</v>
      </c>
      <c r="G3404">
        <v>7.6051914693998898E-2</v>
      </c>
      <c r="H3404">
        <v>4.4473772305902597E-2</v>
      </c>
      <c r="I3404">
        <v>2.8691082360161602E-2</v>
      </c>
      <c r="J3404">
        <v>2.8426745236556E-2</v>
      </c>
      <c r="K3404">
        <v>3.3136369552536203E-2</v>
      </c>
      <c r="L3404">
        <v>787.769996817314</v>
      </c>
      <c r="M3404">
        <v>17.186036189986702</v>
      </c>
      <c r="N3404">
        <v>45.908361280397401</v>
      </c>
      <c r="O3404">
        <v>45.230676953546698</v>
      </c>
      <c r="P3404">
        <v>-9.3758324038576105E-2</v>
      </c>
      <c r="Q3404">
        <v>1.30355613667298E-2</v>
      </c>
      <c r="R3404">
        <v>0.99405124419807001</v>
      </c>
      <c r="S3404" t="s">
        <v>9806</v>
      </c>
      <c r="T3404" t="s">
        <v>12802</v>
      </c>
      <c r="U3404" t="s">
        <v>12802</v>
      </c>
      <c r="V3404" t="s">
        <v>12802</v>
      </c>
      <c r="W3404" t="s">
        <v>16156</v>
      </c>
      <c r="X3404">
        <v>13</v>
      </c>
      <c r="Y3404" t="s">
        <v>22399</v>
      </c>
      <c r="Z3404" t="s">
        <v>28722</v>
      </c>
      <c r="AA3404">
        <v>0.32131552175990591</v>
      </c>
      <c r="AB3404" t="str">
        <f>HYPERLINK("Melting_Curves/meltCurve_Q14498_2_RBM39.pdf", "Melting_Curves/meltCurve_Q14498_2_RBM39.pdf")</f>
        <v>Melting_Curves/meltCurve_Q14498_2_RBM39.pdf</v>
      </c>
    </row>
    <row r="3405" spans="1:28" x14ac:dyDescent="0.25">
      <c r="A3405" t="s">
        <v>3409</v>
      </c>
      <c r="B3405">
        <v>0.99542014353169495</v>
      </c>
      <c r="C3405">
        <v>1.00237689341572</v>
      </c>
      <c r="D3405">
        <v>1.13420511268263</v>
      </c>
      <c r="E3405">
        <v>0.64356175149612505</v>
      </c>
      <c r="F3405">
        <v>0.23098940446147401</v>
      </c>
      <c r="G3405">
        <v>0.12235979048788199</v>
      </c>
      <c r="H3405">
        <v>0.11466333702692</v>
      </c>
      <c r="I3405">
        <v>8.00589073902927E-2</v>
      </c>
      <c r="J3405">
        <v>5.8747618099914099E-2</v>
      </c>
      <c r="K3405">
        <v>6.0526046303354598E-2</v>
      </c>
      <c r="L3405">
        <v>1717.7200608722101</v>
      </c>
      <c r="M3405">
        <v>36.259214334441403</v>
      </c>
      <c r="N3405">
        <v>47.631977167261901</v>
      </c>
      <c r="O3405">
        <v>47.229938198419099</v>
      </c>
      <c r="P3405">
        <v>-0.17478093787656701</v>
      </c>
      <c r="Q3405">
        <v>8.9349597468743602E-2</v>
      </c>
      <c r="R3405">
        <v>0.983538735118617</v>
      </c>
      <c r="S3405" t="s">
        <v>9807</v>
      </c>
      <c r="T3405" t="s">
        <v>12802</v>
      </c>
      <c r="U3405" t="s">
        <v>12802</v>
      </c>
      <c r="V3405" t="s">
        <v>12802</v>
      </c>
      <c r="W3405" t="s">
        <v>16157</v>
      </c>
      <c r="X3405">
        <v>1</v>
      </c>
      <c r="Y3405" t="s">
        <v>22400</v>
      </c>
      <c r="Z3405" t="s">
        <v>28723</v>
      </c>
      <c r="AA3405">
        <v>0.40786836583435598</v>
      </c>
      <c r="AB3405" t="str">
        <f>HYPERLINK("Melting_Curves/meltCurve_Q14517_FAT1.pdf", "Melting_Curves/meltCurve_Q14517_FAT1.pdf")</f>
        <v>Melting_Curves/meltCurve_Q14517_FAT1.pdf</v>
      </c>
    </row>
    <row r="3406" spans="1:28" x14ac:dyDescent="0.25">
      <c r="A3406" t="s">
        <v>3410</v>
      </c>
      <c r="B3406">
        <v>0.99542014353169495</v>
      </c>
      <c r="C3406">
        <v>1.0570493632995199</v>
      </c>
      <c r="D3406">
        <v>1.0191590201267799</v>
      </c>
      <c r="E3406">
        <v>0.97050299056996403</v>
      </c>
      <c r="F3406">
        <v>0.83226322447205003</v>
      </c>
      <c r="G3406">
        <v>0.58164941319159202</v>
      </c>
      <c r="H3406">
        <v>0.18513262956533499</v>
      </c>
      <c r="I3406">
        <v>6.9112343852207797E-2</v>
      </c>
      <c r="J3406">
        <v>6.6015487732749595E-2</v>
      </c>
      <c r="K3406">
        <v>5.54529742142768E-2</v>
      </c>
      <c r="L3406">
        <v>1331.95232220444</v>
      </c>
      <c r="M3406">
        <v>24.653791545884701</v>
      </c>
      <c r="N3406">
        <v>54.173624369475299</v>
      </c>
      <c r="O3406">
        <v>53.674570772456804</v>
      </c>
      <c r="P3406">
        <v>-0.11110747654738</v>
      </c>
      <c r="Q3406">
        <v>3.24309614140042E-2</v>
      </c>
      <c r="R3406">
        <v>0.99504152216084996</v>
      </c>
      <c r="S3406" t="s">
        <v>9808</v>
      </c>
      <c r="T3406" t="s">
        <v>12802</v>
      </c>
      <c r="U3406" t="s">
        <v>12802</v>
      </c>
      <c r="V3406" t="s">
        <v>12802</v>
      </c>
      <c r="W3406" t="s">
        <v>16158</v>
      </c>
      <c r="X3406">
        <v>1</v>
      </c>
      <c r="Y3406" t="s">
        <v>22401</v>
      </c>
      <c r="Z3406" t="s">
        <v>28724</v>
      </c>
      <c r="AA3406">
        <v>0.59020136834639547</v>
      </c>
      <c r="AB3406" t="str">
        <f>HYPERLINK("Melting_Curves/meltCurve_Q14520_2_HABP2.pdf", "Melting_Curves/meltCurve_Q14520_2_HABP2.pdf")</f>
        <v>Melting_Curves/meltCurve_Q14520_2_HABP2.pdf</v>
      </c>
    </row>
    <row r="3407" spans="1:28" x14ac:dyDescent="0.25">
      <c r="A3407" t="s">
        <v>3411</v>
      </c>
      <c r="B3407">
        <v>0.99542014353169495</v>
      </c>
      <c r="C3407">
        <v>0.95443603787516595</v>
      </c>
      <c r="D3407">
        <v>1.0385927280373</v>
      </c>
      <c r="E3407">
        <v>0.78630243282577805</v>
      </c>
      <c r="F3407">
        <v>0.38405987861238899</v>
      </c>
      <c r="G3407">
        <v>8.2188466546898695E-2</v>
      </c>
      <c r="H3407">
        <v>4.5660842747866297E-2</v>
      </c>
      <c r="I3407">
        <v>3.2190305244849698E-2</v>
      </c>
      <c r="J3407">
        <v>3.5117299924545597E-2</v>
      </c>
      <c r="K3407">
        <v>3.4768654064406997E-2</v>
      </c>
      <c r="L3407">
        <v>1339.9329948547299</v>
      </c>
      <c r="M3407">
        <v>27.329640829670801</v>
      </c>
      <c r="N3407">
        <v>49.130545075747698</v>
      </c>
      <c r="O3407">
        <v>48.7683142744321</v>
      </c>
      <c r="P3407">
        <v>-0.13623779683998999</v>
      </c>
      <c r="Q3407">
        <v>2.7572295143585002E-2</v>
      </c>
      <c r="R3407">
        <v>0.99609563090341102</v>
      </c>
      <c r="S3407" t="s">
        <v>9809</v>
      </c>
      <c r="T3407" t="s">
        <v>12802</v>
      </c>
      <c r="U3407" t="s">
        <v>12802</v>
      </c>
      <c r="V3407" t="s">
        <v>12802</v>
      </c>
      <c r="W3407" t="s">
        <v>16159</v>
      </c>
      <c r="X3407">
        <v>16</v>
      </c>
      <c r="Y3407" t="s">
        <v>22402</v>
      </c>
      <c r="Z3407" t="s">
        <v>28725</v>
      </c>
      <c r="AA3407">
        <v>0.42452930036802389</v>
      </c>
      <c r="AB3407" t="str">
        <f>HYPERLINK("Melting_Curves/meltCurve_Q14527_HLTF.pdf", "Melting_Curves/meltCurve_Q14527_HLTF.pdf")</f>
        <v>Melting_Curves/meltCurve_Q14527_HLTF.pdf</v>
      </c>
    </row>
    <row r="3408" spans="1:28" x14ac:dyDescent="0.25">
      <c r="A3408" t="s">
        <v>3412</v>
      </c>
      <c r="B3408">
        <v>0.99542014353169495</v>
      </c>
      <c r="C3408">
        <v>0.98704014781003002</v>
      </c>
      <c r="D3408">
        <v>0.85255787404847405</v>
      </c>
      <c r="E3408">
        <v>0.76646186250232595</v>
      </c>
      <c r="F3408">
        <v>0.43183009472830403</v>
      </c>
      <c r="G3408">
        <v>0.168368420167021</v>
      </c>
      <c r="H3408">
        <v>8.7702570068105098E-2</v>
      </c>
      <c r="I3408">
        <v>4.5373853446846302E-2</v>
      </c>
      <c r="J3408">
        <v>4.2689502010007901E-2</v>
      </c>
      <c r="K3408">
        <v>3.8837436318152202E-2</v>
      </c>
      <c r="L3408">
        <v>859.499720187854</v>
      </c>
      <c r="M3408">
        <v>17.473781232857501</v>
      </c>
      <c r="N3408">
        <v>49.286475216998198</v>
      </c>
      <c r="O3408">
        <v>48.557304296610297</v>
      </c>
      <c r="P3408">
        <v>-8.8425934811764903E-2</v>
      </c>
      <c r="Q3408">
        <v>1.7159055967846899E-2</v>
      </c>
      <c r="R3408">
        <v>0.99488804063288805</v>
      </c>
      <c r="S3408" t="s">
        <v>9810</v>
      </c>
      <c r="T3408" t="s">
        <v>12802</v>
      </c>
      <c r="U3408" t="s">
        <v>12802</v>
      </c>
      <c r="V3408" t="s">
        <v>12802</v>
      </c>
      <c r="W3408" t="s">
        <v>16160</v>
      </c>
      <c r="X3408">
        <v>13</v>
      </c>
      <c r="Y3408" t="s">
        <v>22403</v>
      </c>
      <c r="Z3408" t="s">
        <v>28726</v>
      </c>
      <c r="AA3408">
        <v>0.43287198428695078</v>
      </c>
      <c r="AB3408" t="str">
        <f>HYPERLINK("Melting_Curves/meltCurve_Q14534_SQLE.pdf", "Melting_Curves/meltCurve_Q14534_SQLE.pdf")</f>
        <v>Melting_Curves/meltCurve_Q14534_SQLE.pdf</v>
      </c>
    </row>
    <row r="3409" spans="1:28" x14ac:dyDescent="0.25">
      <c r="A3409" t="s">
        <v>3413</v>
      </c>
      <c r="B3409">
        <v>0.99542014353169495</v>
      </c>
      <c r="C3409">
        <v>0.85587068930684096</v>
      </c>
      <c r="D3409">
        <v>1.2201915935481</v>
      </c>
      <c r="E3409">
        <v>0.80616212976635304</v>
      </c>
      <c r="F3409">
        <v>0.69630292042007003</v>
      </c>
      <c r="G3409">
        <v>0.48351609180925298</v>
      </c>
      <c r="H3409">
        <v>0.40860677507512699</v>
      </c>
      <c r="I3409">
        <v>0.34572253635265399</v>
      </c>
      <c r="J3409">
        <v>0.37415700507109401</v>
      </c>
      <c r="K3409">
        <v>0.44462271747568399</v>
      </c>
      <c r="L3409">
        <v>1141.7618147391099</v>
      </c>
      <c r="M3409">
        <v>22.919534239853402</v>
      </c>
      <c r="N3409">
        <v>53.233699669763801</v>
      </c>
      <c r="O3409">
        <v>49.441493737962098</v>
      </c>
      <c r="P3409">
        <v>-7.1251627615180099E-2</v>
      </c>
      <c r="Q3409">
        <v>0.385201905223781</v>
      </c>
      <c r="R3409">
        <v>0.88781089997664198</v>
      </c>
      <c r="S3409" t="s">
        <v>9811</v>
      </c>
      <c r="T3409" t="s">
        <v>12802</v>
      </c>
      <c r="U3409" t="s">
        <v>12802</v>
      </c>
      <c r="V3409" t="s">
        <v>12802</v>
      </c>
      <c r="W3409" t="s">
        <v>16161</v>
      </c>
      <c r="X3409">
        <v>3</v>
      </c>
      <c r="Y3409" t="s">
        <v>22404</v>
      </c>
      <c r="Z3409" t="s">
        <v>28727</v>
      </c>
      <c r="AA3409">
        <v>0.65416910680371454</v>
      </c>
      <c r="AB3409" t="str">
        <f>HYPERLINK("Melting_Curves/meltCurve_Q14542_3_SLC29A2.pdf", "Melting_Curves/meltCurve_Q14542_3_SLC29A2.pdf")</f>
        <v>Melting_Curves/meltCurve_Q14542_3_SLC29A2.pdf</v>
      </c>
    </row>
    <row r="3410" spans="1:28" x14ac:dyDescent="0.25">
      <c r="A3410" t="s">
        <v>3414</v>
      </c>
      <c r="B3410">
        <v>0.99542014353169495</v>
      </c>
      <c r="C3410">
        <v>0.91279379235099101</v>
      </c>
      <c r="D3410">
        <v>0.98257289225191902</v>
      </c>
      <c r="E3410">
        <v>0.95725547336513395</v>
      </c>
      <c r="F3410">
        <v>0.63859088577534495</v>
      </c>
      <c r="G3410">
        <v>0.30105548003160698</v>
      </c>
      <c r="H3410">
        <v>0.112542017614263</v>
      </c>
      <c r="I3410">
        <v>7.4983258257582799E-2</v>
      </c>
      <c r="J3410">
        <v>8.0690778859601894E-2</v>
      </c>
      <c r="K3410">
        <v>0.105579472968083</v>
      </c>
      <c r="L3410">
        <v>1339.2504899125599</v>
      </c>
      <c r="M3410">
        <v>26.166711563749299</v>
      </c>
      <c r="N3410">
        <v>51.519458651863303</v>
      </c>
      <c r="O3410">
        <v>50.885336927780799</v>
      </c>
      <c r="P3410">
        <v>-0.118419069680629</v>
      </c>
      <c r="Q3410">
        <v>7.8871400405013004E-2</v>
      </c>
      <c r="R3410">
        <v>0.99360328714483104</v>
      </c>
      <c r="S3410" t="s">
        <v>9812</v>
      </c>
      <c r="T3410" t="s">
        <v>12802</v>
      </c>
      <c r="U3410" t="s">
        <v>12802</v>
      </c>
      <c r="V3410" t="s">
        <v>12802</v>
      </c>
      <c r="W3410" t="s">
        <v>16162</v>
      </c>
      <c r="X3410">
        <v>12</v>
      </c>
      <c r="Y3410" t="s">
        <v>22405</v>
      </c>
      <c r="Z3410" t="s">
        <v>28728</v>
      </c>
      <c r="AA3410">
        <v>0.52177634152904062</v>
      </c>
      <c r="AB3410" t="str">
        <f>HYPERLINK("Melting_Curves/meltCurve_Q14554_PDIA5.pdf", "Melting_Curves/meltCurve_Q14554_PDIA5.pdf")</f>
        <v>Melting_Curves/meltCurve_Q14554_PDIA5.pdf</v>
      </c>
    </row>
    <row r="3411" spans="1:28" x14ac:dyDescent="0.25">
      <c r="A3411" t="s">
        <v>3415</v>
      </c>
      <c r="B3411">
        <v>0.99542014353169495</v>
      </c>
      <c r="C3411">
        <v>1.01996464542835</v>
      </c>
      <c r="D3411">
        <v>0.97031206667543402</v>
      </c>
      <c r="E3411">
        <v>0.91648244814225999</v>
      </c>
      <c r="F3411">
        <v>0.67817193839464696</v>
      </c>
      <c r="G3411">
        <v>0.68697987253546999</v>
      </c>
      <c r="H3411">
        <v>0.35233614054503498</v>
      </c>
      <c r="I3411">
        <v>0.25833757415922798</v>
      </c>
      <c r="J3411">
        <v>0.17997744627346299</v>
      </c>
      <c r="K3411">
        <v>0.145701528908454</v>
      </c>
      <c r="L3411">
        <v>642.57149076312101</v>
      </c>
      <c r="M3411">
        <v>11.6496125410609</v>
      </c>
      <c r="N3411">
        <v>55.377957872906997</v>
      </c>
      <c r="O3411">
        <v>53.608067852038602</v>
      </c>
      <c r="P3411">
        <v>-5.3114871258287899E-2</v>
      </c>
      <c r="Q3411">
        <v>2.2588763428688201E-2</v>
      </c>
      <c r="R3411">
        <v>0.98028888490524901</v>
      </c>
      <c r="S3411" t="s">
        <v>9813</v>
      </c>
      <c r="T3411" t="s">
        <v>12802</v>
      </c>
      <c r="U3411" t="s">
        <v>12802</v>
      </c>
      <c r="V3411" t="s">
        <v>12802</v>
      </c>
      <c r="W3411" t="s">
        <v>16163</v>
      </c>
      <c r="X3411">
        <v>6</v>
      </c>
      <c r="Y3411" t="s">
        <v>22406</v>
      </c>
      <c r="Z3411" t="s">
        <v>28729</v>
      </c>
      <c r="AA3411">
        <v>0.62719568285069704</v>
      </c>
      <c r="AB3411" t="str">
        <f>HYPERLINK("Melting_Curves/meltCurve_Q14558_PRPSAP1.pdf", "Melting_Curves/meltCurve_Q14558_PRPSAP1.pdf")</f>
        <v>Melting_Curves/meltCurve_Q14558_PRPSAP1.pdf</v>
      </c>
    </row>
    <row r="3412" spans="1:28" x14ac:dyDescent="0.25">
      <c r="A3412" t="s">
        <v>3416</v>
      </c>
      <c r="B3412">
        <v>0.99542014353169495</v>
      </c>
      <c r="C3412">
        <v>1.05323425511861</v>
      </c>
      <c r="D3412">
        <v>0.90614552630173695</v>
      </c>
      <c r="E3412">
        <v>0.67816894678283302</v>
      </c>
      <c r="F3412">
        <v>0.42791880477989702</v>
      </c>
      <c r="G3412">
        <v>0.19057317216278699</v>
      </c>
      <c r="H3412">
        <v>0.105386008811899</v>
      </c>
      <c r="I3412">
        <v>6.9612582776210297E-2</v>
      </c>
      <c r="J3412">
        <v>7.6893998099855407E-2</v>
      </c>
      <c r="K3412">
        <v>7.1907426715641806E-2</v>
      </c>
      <c r="L3412">
        <v>863.87994224988495</v>
      </c>
      <c r="M3412">
        <v>17.764348544026301</v>
      </c>
      <c r="N3412">
        <v>48.9557453973474</v>
      </c>
      <c r="O3412">
        <v>48.026290263183199</v>
      </c>
      <c r="P3412">
        <v>-8.7321753096590599E-2</v>
      </c>
      <c r="Q3412">
        <v>5.5744278181377602E-2</v>
      </c>
      <c r="R3412">
        <v>0.99536107764305704</v>
      </c>
      <c r="S3412" t="s">
        <v>9814</v>
      </c>
      <c r="T3412" t="s">
        <v>12802</v>
      </c>
      <c r="U3412" t="s">
        <v>12802</v>
      </c>
      <c r="V3412" t="s">
        <v>12802</v>
      </c>
      <c r="W3412" t="s">
        <v>16164</v>
      </c>
      <c r="X3412">
        <v>10</v>
      </c>
      <c r="Y3412" t="s">
        <v>22407</v>
      </c>
      <c r="Z3412" t="s">
        <v>28730</v>
      </c>
      <c r="AA3412">
        <v>0.43720200811773008</v>
      </c>
      <c r="AB3412" t="str">
        <f>HYPERLINK("Melting_Curves/meltCurve_Q14562_DHX8.pdf", "Melting_Curves/meltCurve_Q14562_DHX8.pdf")</f>
        <v>Melting_Curves/meltCurve_Q14562_DHX8.pdf</v>
      </c>
    </row>
    <row r="3413" spans="1:28" x14ac:dyDescent="0.25">
      <c r="A3413" t="s">
        <v>3417</v>
      </c>
      <c r="B3413">
        <v>0.99542014353169495</v>
      </c>
      <c r="C3413">
        <v>0.85787697061574697</v>
      </c>
      <c r="D3413">
        <v>0.95905375004655002</v>
      </c>
      <c r="E3413">
        <v>0.723467787597733</v>
      </c>
      <c r="F3413">
        <v>0.46632711130735699</v>
      </c>
      <c r="G3413">
        <v>0.118471996942233</v>
      </c>
      <c r="H3413">
        <v>6.6405650779525094E-2</v>
      </c>
      <c r="I3413">
        <v>4.2380890529085398E-2</v>
      </c>
      <c r="J3413">
        <v>4.3341555602892302E-2</v>
      </c>
      <c r="K3413">
        <v>3.6555350463347798E-2</v>
      </c>
      <c r="L3413">
        <v>934.77274748269099</v>
      </c>
      <c r="M3413">
        <v>19.009429571868999</v>
      </c>
      <c r="N3413">
        <v>49.2576672547345</v>
      </c>
      <c r="O3413">
        <v>48.639668757805602</v>
      </c>
      <c r="P3413">
        <v>-9.6159979630699693E-2</v>
      </c>
      <c r="Q3413">
        <v>1.58561119602167E-2</v>
      </c>
      <c r="R3413">
        <v>0.98419115764883203</v>
      </c>
      <c r="S3413" t="s">
        <v>9815</v>
      </c>
      <c r="T3413" t="s">
        <v>12802</v>
      </c>
      <c r="U3413" t="s">
        <v>12802</v>
      </c>
      <c r="V3413" t="s">
        <v>12802</v>
      </c>
      <c r="W3413" t="s">
        <v>16165</v>
      </c>
      <c r="X3413">
        <v>43</v>
      </c>
      <c r="Y3413" t="s">
        <v>22408</v>
      </c>
      <c r="Z3413" t="s">
        <v>28731</v>
      </c>
      <c r="AA3413">
        <v>0.4294315954939853</v>
      </c>
      <c r="AB3413" t="str">
        <f>HYPERLINK("Melting_Curves/meltCurve_Q14566_MCM6.pdf", "Melting_Curves/meltCurve_Q14566_MCM6.pdf")</f>
        <v>Melting_Curves/meltCurve_Q14566_MCM6.pdf</v>
      </c>
    </row>
    <row r="3414" spans="1:28" x14ac:dyDescent="0.25">
      <c r="A3414" t="s">
        <v>3418</v>
      </c>
      <c r="B3414">
        <v>0.99542014353169495</v>
      </c>
      <c r="C3414">
        <v>0.96740207163589897</v>
      </c>
      <c r="D3414">
        <v>0.917997992177642</v>
      </c>
      <c r="E3414">
        <v>0.52619254204883703</v>
      </c>
      <c r="F3414">
        <v>0.33312901688881802</v>
      </c>
      <c r="G3414">
        <v>0.19362617106698099</v>
      </c>
      <c r="H3414">
        <v>0.105072699443826</v>
      </c>
      <c r="I3414">
        <v>4.2528726409182802E-2</v>
      </c>
      <c r="J3414">
        <v>4.9819389369987997E-2</v>
      </c>
      <c r="K3414">
        <v>5.0125419792410003E-2</v>
      </c>
      <c r="L3414">
        <v>803.53909921535706</v>
      </c>
      <c r="M3414">
        <v>16.960805505914099</v>
      </c>
      <c r="N3414">
        <v>47.656535239917801</v>
      </c>
      <c r="O3414">
        <v>46.7323490495558</v>
      </c>
      <c r="P3414">
        <v>-8.6431853000664194E-2</v>
      </c>
      <c r="Q3414">
        <v>4.7471835367116903E-2</v>
      </c>
      <c r="R3414">
        <v>0.99278007310596394</v>
      </c>
      <c r="S3414" t="s">
        <v>9816</v>
      </c>
      <c r="T3414" t="s">
        <v>12802</v>
      </c>
      <c r="U3414" t="s">
        <v>12802</v>
      </c>
      <c r="V3414" t="s">
        <v>12802</v>
      </c>
      <c r="W3414" t="s">
        <v>16166</v>
      </c>
      <c r="X3414">
        <v>5</v>
      </c>
      <c r="Y3414" t="s">
        <v>22409</v>
      </c>
      <c r="Z3414" t="s">
        <v>28732</v>
      </c>
      <c r="AA3414">
        <v>0.39397840069482271</v>
      </c>
      <c r="AB3414" t="str">
        <f>HYPERLINK("Melting_Curves/meltCurve_Q14573_ITPR3.pdf", "Melting_Curves/meltCurve_Q14573_ITPR3.pdf")</f>
        <v>Melting_Curves/meltCurve_Q14573_ITPR3.pdf</v>
      </c>
    </row>
    <row r="3415" spans="1:28" x14ac:dyDescent="0.25">
      <c r="A3415" t="s">
        <v>3419</v>
      </c>
      <c r="B3415">
        <v>0.99542014353169495</v>
      </c>
      <c r="C3415">
        <v>0.95889778123306202</v>
      </c>
      <c r="D3415">
        <v>0.84059854114289001</v>
      </c>
      <c r="E3415">
        <v>0.495058670435649</v>
      </c>
      <c r="F3415">
        <v>0.27448495880440399</v>
      </c>
      <c r="G3415">
        <v>0.17966787882966401</v>
      </c>
      <c r="H3415">
        <v>0.12685351848177001</v>
      </c>
      <c r="I3415">
        <v>0.11197309823091101</v>
      </c>
      <c r="J3415">
        <v>0.141128900427023</v>
      </c>
      <c r="K3415">
        <v>0.140725055497051</v>
      </c>
      <c r="L3415">
        <v>936.70290439952998</v>
      </c>
      <c r="M3415">
        <v>20.359593309811899</v>
      </c>
      <c r="N3415">
        <v>46.682037142920997</v>
      </c>
      <c r="O3415">
        <v>45.570983890694599</v>
      </c>
      <c r="P3415">
        <v>-9.7469543952542106E-2</v>
      </c>
      <c r="Q3415">
        <v>0.12736023819615699</v>
      </c>
      <c r="R3415">
        <v>0.99880340926479905</v>
      </c>
      <c r="S3415" t="s">
        <v>9817</v>
      </c>
      <c r="T3415" t="s">
        <v>12802</v>
      </c>
      <c r="U3415" t="s">
        <v>12802</v>
      </c>
      <c r="V3415" t="s">
        <v>12802</v>
      </c>
      <c r="W3415" t="s">
        <v>16167</v>
      </c>
      <c r="X3415">
        <v>5</v>
      </c>
      <c r="Y3415" t="s">
        <v>22410</v>
      </c>
      <c r="Z3415" t="s">
        <v>28733</v>
      </c>
      <c r="AA3415">
        <v>0.40038614540510797</v>
      </c>
      <c r="AB3415" t="str">
        <f>HYPERLINK("Melting_Curves/meltCurve_Q14644_RASA3.pdf", "Melting_Curves/meltCurve_Q14644_RASA3.pdf")</f>
        <v>Melting_Curves/meltCurve_Q14644_RASA3.pdf</v>
      </c>
    </row>
    <row r="3416" spans="1:28" x14ac:dyDescent="0.25">
      <c r="A3416" t="s">
        <v>3420</v>
      </c>
      <c r="B3416">
        <v>0.99542014353169495</v>
      </c>
      <c r="C3416">
        <v>1.05019580161909</v>
      </c>
      <c r="D3416">
        <v>1.00097221263358</v>
      </c>
      <c r="E3416">
        <v>0.95548376088904996</v>
      </c>
      <c r="F3416">
        <v>0.66091623377141395</v>
      </c>
      <c r="G3416">
        <v>0.22373550218912899</v>
      </c>
      <c r="H3416">
        <v>0.110292732410306</v>
      </c>
      <c r="I3416">
        <v>7.5303064875413897E-2</v>
      </c>
      <c r="J3416">
        <v>6.3599473466588605E-2</v>
      </c>
      <c r="K3416">
        <v>5.80183338778157E-2</v>
      </c>
      <c r="L3416">
        <v>1582.95908375353</v>
      </c>
      <c r="M3416">
        <v>30.9768948678512</v>
      </c>
      <c r="N3416">
        <v>51.336109714461998</v>
      </c>
      <c r="O3416">
        <v>50.889736446270803</v>
      </c>
      <c r="P3416">
        <v>-0.142124787734389</v>
      </c>
      <c r="Q3416">
        <v>6.6058601407896406E-2</v>
      </c>
      <c r="R3416">
        <v>0.99840956819985704</v>
      </c>
      <c r="S3416" t="s">
        <v>9818</v>
      </c>
      <c r="T3416" t="s">
        <v>12802</v>
      </c>
      <c r="U3416" t="s">
        <v>12802</v>
      </c>
      <c r="V3416" t="s">
        <v>12802</v>
      </c>
      <c r="W3416" t="s">
        <v>16168</v>
      </c>
      <c r="X3416">
        <v>13</v>
      </c>
      <c r="Y3416" t="s">
        <v>22411</v>
      </c>
      <c r="Z3416" t="s">
        <v>28734</v>
      </c>
      <c r="AA3416">
        <v>0.51052447334938789</v>
      </c>
      <c r="AB3416" t="str">
        <f>HYPERLINK("Melting_Curves/meltCurve_Q14651_PLS1.pdf", "Melting_Curves/meltCurve_Q14651_PLS1.pdf")</f>
        <v>Melting_Curves/meltCurve_Q14651_PLS1.pdf</v>
      </c>
    </row>
    <row r="3417" spans="1:28" x14ac:dyDescent="0.25">
      <c r="A3417" t="s">
        <v>3421</v>
      </c>
      <c r="B3417">
        <v>0.99542014353169495</v>
      </c>
      <c r="C3417">
        <v>1.04461850305745</v>
      </c>
      <c r="D3417">
        <v>0.99702150717716398</v>
      </c>
      <c r="E3417">
        <v>0.88287902386177497</v>
      </c>
      <c r="F3417">
        <v>0.54803964790624504</v>
      </c>
      <c r="G3417">
        <v>0.24787029211421099</v>
      </c>
      <c r="H3417">
        <v>0.111406576997227</v>
      </c>
      <c r="I3417">
        <v>7.4613480151626693E-2</v>
      </c>
      <c r="J3417">
        <v>8.8528772451931803E-2</v>
      </c>
      <c r="K3417">
        <v>0.123563218924399</v>
      </c>
      <c r="L3417">
        <v>1259.4918309279701</v>
      </c>
      <c r="M3417">
        <v>25.062782306095201</v>
      </c>
      <c r="N3417">
        <v>50.646120663581101</v>
      </c>
      <c r="O3417">
        <v>49.936818213761697</v>
      </c>
      <c r="P3417">
        <v>-0.114395124837549</v>
      </c>
      <c r="Q3417">
        <v>8.8297218553619994E-2</v>
      </c>
      <c r="R3417">
        <v>0.99731256444734195</v>
      </c>
      <c r="S3417" t="s">
        <v>9819</v>
      </c>
      <c r="T3417" t="s">
        <v>12802</v>
      </c>
      <c r="U3417" t="s">
        <v>12802</v>
      </c>
      <c r="V3417" t="s">
        <v>12802</v>
      </c>
      <c r="W3417" t="s">
        <v>16169</v>
      </c>
      <c r="X3417">
        <v>8</v>
      </c>
      <c r="Y3417" t="s">
        <v>22412</v>
      </c>
      <c r="Z3417" t="s">
        <v>28735</v>
      </c>
      <c r="AA3417">
        <v>0.49902733431637603</v>
      </c>
      <c r="AB3417" t="str">
        <f>HYPERLINK("Melting_Curves/meltCurve_Q14653_IRF3.pdf", "Melting_Curves/meltCurve_Q14653_IRF3.pdf")</f>
        <v>Melting_Curves/meltCurve_Q14653_IRF3.pdf</v>
      </c>
    </row>
    <row r="3418" spans="1:28" x14ac:dyDescent="0.25">
      <c r="A3418" t="s">
        <v>3422</v>
      </c>
      <c r="B3418">
        <v>0.99542014353169495</v>
      </c>
      <c r="C3418">
        <v>1.0819907228199801</v>
      </c>
      <c r="D3418">
        <v>1.03045566179334</v>
      </c>
      <c r="E3418">
        <v>0.88674691718547005</v>
      </c>
      <c r="F3418">
        <v>0.75008818553257195</v>
      </c>
      <c r="G3418">
        <v>0.59471326604147101</v>
      </c>
      <c r="H3418">
        <v>0.48429630846766603</v>
      </c>
      <c r="I3418">
        <v>0.32083932852803299</v>
      </c>
      <c r="J3418">
        <v>0.21172020321722201</v>
      </c>
      <c r="K3418">
        <v>0.20626164931538901</v>
      </c>
      <c r="L3418">
        <v>647.47293355810996</v>
      </c>
      <c r="M3418">
        <v>11.766512615220201</v>
      </c>
      <c r="N3418">
        <v>56.080719774848397</v>
      </c>
      <c r="O3418">
        <v>53.509484066005797</v>
      </c>
      <c r="P3418">
        <v>-4.9533567057148398E-2</v>
      </c>
      <c r="Q3418">
        <v>9.9197014816213194E-2</v>
      </c>
      <c r="R3418">
        <v>0.98398111674663202</v>
      </c>
      <c r="S3418" t="s">
        <v>9820</v>
      </c>
      <c r="T3418" t="s">
        <v>12802</v>
      </c>
      <c r="U3418" t="s">
        <v>12802</v>
      </c>
      <c r="V3418" t="s">
        <v>12802</v>
      </c>
      <c r="W3418" t="s">
        <v>16170</v>
      </c>
      <c r="X3418">
        <v>6</v>
      </c>
      <c r="Y3418" t="s">
        <v>22413</v>
      </c>
      <c r="Z3418" t="s">
        <v>28736</v>
      </c>
      <c r="AA3418">
        <v>0.65305044241006938</v>
      </c>
      <c r="AB3418" t="str">
        <f>HYPERLINK("Melting_Curves/meltCurve_Q14657_LAGE3.pdf", "Melting_Curves/meltCurve_Q14657_LAGE3.pdf")</f>
        <v>Melting_Curves/meltCurve_Q14657_LAGE3.pdf</v>
      </c>
    </row>
    <row r="3419" spans="1:28" x14ac:dyDescent="0.25">
      <c r="A3419" t="s">
        <v>3423</v>
      </c>
      <c r="B3419">
        <v>0.99542014353169495</v>
      </c>
      <c r="C3419">
        <v>0.91198534980588097</v>
      </c>
      <c r="D3419">
        <v>0.81370754509723198</v>
      </c>
      <c r="E3419">
        <v>0.25573292705817102</v>
      </c>
      <c r="F3419">
        <v>0.13058894386964201</v>
      </c>
      <c r="G3419">
        <v>8.3471875461925998E-2</v>
      </c>
      <c r="H3419">
        <v>5.72922667062142E-2</v>
      </c>
      <c r="I3419">
        <v>3.8072747683392499E-2</v>
      </c>
      <c r="J3419">
        <v>4.41978716436634E-2</v>
      </c>
      <c r="K3419">
        <v>3.1048829238756799E-2</v>
      </c>
      <c r="L3419">
        <v>1323.4090214334501</v>
      </c>
      <c r="M3419">
        <v>29.543954295842699</v>
      </c>
      <c r="N3419">
        <v>44.966858769125999</v>
      </c>
      <c r="O3419">
        <v>44.590853621689</v>
      </c>
      <c r="P3419">
        <v>-0.156776937662816</v>
      </c>
      <c r="Q3419">
        <v>5.35093619423299E-2</v>
      </c>
      <c r="R3419">
        <v>0.99420820322113501</v>
      </c>
      <c r="S3419" t="s">
        <v>9821</v>
      </c>
      <c r="T3419" t="s">
        <v>12802</v>
      </c>
      <c r="U3419" t="s">
        <v>12802</v>
      </c>
      <c r="V3419" t="s">
        <v>12802</v>
      </c>
      <c r="W3419" t="s">
        <v>16171</v>
      </c>
      <c r="X3419">
        <v>16</v>
      </c>
      <c r="Y3419" t="s">
        <v>22414</v>
      </c>
      <c r="Z3419" t="s">
        <v>28737</v>
      </c>
      <c r="AA3419">
        <v>0.3048947884267868</v>
      </c>
      <c r="AB3419" t="str">
        <f>HYPERLINK("Melting_Curves/meltCurve_Q14669_3_TRIP12.pdf", "Melting_Curves/meltCurve_Q14669_3_TRIP12.pdf")</f>
        <v>Melting_Curves/meltCurve_Q14669_3_TRIP12.pdf</v>
      </c>
    </row>
    <row r="3420" spans="1:28" x14ac:dyDescent="0.25">
      <c r="A3420" t="s">
        <v>3424</v>
      </c>
      <c r="B3420">
        <v>0.99542014353169495</v>
      </c>
      <c r="C3420">
        <v>0.92192025240334796</v>
      </c>
      <c r="D3420">
        <v>0.98826911229054903</v>
      </c>
      <c r="E3420">
        <v>0.76244067296583895</v>
      </c>
      <c r="F3420">
        <v>0.347546247358127</v>
      </c>
      <c r="G3420">
        <v>0.125506268062721</v>
      </c>
      <c r="H3420">
        <v>8.3681569884972801E-2</v>
      </c>
      <c r="I3420">
        <v>6.5703441549014793E-2</v>
      </c>
      <c r="J3420">
        <v>8.2003687519108096E-2</v>
      </c>
      <c r="K3420">
        <v>8.6892856892603607E-2</v>
      </c>
      <c r="L3420">
        <v>1299.51708980428</v>
      </c>
      <c r="M3420">
        <v>26.790023953808099</v>
      </c>
      <c r="N3420">
        <v>48.796093898990499</v>
      </c>
      <c r="O3420">
        <v>48.239657269984399</v>
      </c>
      <c r="P3420">
        <v>-0.12866763387871899</v>
      </c>
      <c r="Q3420">
        <v>7.3264502574438797E-2</v>
      </c>
      <c r="R3420">
        <v>0.99585183403175903</v>
      </c>
      <c r="S3420" t="s">
        <v>9822</v>
      </c>
      <c r="T3420" t="s">
        <v>12802</v>
      </c>
      <c r="U3420" t="s">
        <v>12802</v>
      </c>
      <c r="V3420" t="s">
        <v>12802</v>
      </c>
      <c r="W3420" t="s">
        <v>16172</v>
      </c>
      <c r="X3420">
        <v>19</v>
      </c>
      <c r="Y3420" t="s">
        <v>22415</v>
      </c>
      <c r="Z3420" t="s">
        <v>28738</v>
      </c>
      <c r="AA3420">
        <v>0.4356857590703021</v>
      </c>
      <c r="AB3420" t="str">
        <f>HYPERLINK("Melting_Curves/meltCurve_Q14671_PUM1.pdf", "Melting_Curves/meltCurve_Q14671_PUM1.pdf")</f>
        <v>Melting_Curves/meltCurve_Q14671_PUM1.pdf</v>
      </c>
    </row>
    <row r="3421" spans="1:28" x14ac:dyDescent="0.25">
      <c r="A3421" t="s">
        <v>3425</v>
      </c>
      <c r="B3421">
        <v>0.99542014353169495</v>
      </c>
      <c r="C3421">
        <v>1.1657988710787199</v>
      </c>
      <c r="D3421">
        <v>1.1414951959666499</v>
      </c>
      <c r="E3421">
        <v>0.56313424951902702</v>
      </c>
      <c r="F3421">
        <v>0.18518891102641699</v>
      </c>
      <c r="G3421">
        <v>0.153810089732899</v>
      </c>
      <c r="H3421">
        <v>3.4696459561164801E-2</v>
      </c>
      <c r="I3421">
        <v>2.85377970314682E-2</v>
      </c>
      <c r="J3421">
        <v>0</v>
      </c>
      <c r="K3421">
        <v>5.5535250398119601E-2</v>
      </c>
      <c r="L3421">
        <v>1951.9200937558501</v>
      </c>
      <c r="M3421">
        <v>41.616234767416302</v>
      </c>
      <c r="N3421">
        <v>47.056557860972902</v>
      </c>
      <c r="O3421">
        <v>46.794944851114899</v>
      </c>
      <c r="P3421">
        <v>-0.20820293300368101</v>
      </c>
      <c r="Q3421">
        <v>6.3555197614495504E-2</v>
      </c>
      <c r="R3421">
        <v>0.96634844981105905</v>
      </c>
      <c r="S3421" t="s">
        <v>9823</v>
      </c>
      <c r="T3421" t="s">
        <v>12802</v>
      </c>
      <c r="U3421" t="s">
        <v>12802</v>
      </c>
      <c r="V3421" t="s">
        <v>12802</v>
      </c>
      <c r="W3421" t="s">
        <v>16173</v>
      </c>
      <c r="X3421">
        <v>4</v>
      </c>
      <c r="Y3421" t="s">
        <v>22416</v>
      </c>
      <c r="Z3421" t="s">
        <v>28739</v>
      </c>
      <c r="AA3421">
        <v>0.37547469547769619</v>
      </c>
      <c r="AB3421" t="str">
        <f>HYPERLINK("Melting_Curves/meltCurve_Q14674_ESPL1.pdf", "Melting_Curves/meltCurve_Q14674_ESPL1.pdf")</f>
        <v>Melting_Curves/meltCurve_Q14674_ESPL1.pdf</v>
      </c>
    </row>
    <row r="3422" spans="1:28" x14ac:dyDescent="0.25">
      <c r="A3422" t="s">
        <v>3426</v>
      </c>
      <c r="B3422">
        <v>0.99542014353169495</v>
      </c>
      <c r="C3422">
        <v>1.0522937732879201</v>
      </c>
      <c r="D3422">
        <v>0.99466723963204795</v>
      </c>
      <c r="E3422">
        <v>0.87408794013941105</v>
      </c>
      <c r="F3422">
        <v>0.57175593222255905</v>
      </c>
      <c r="G3422">
        <v>0.23078884515739501</v>
      </c>
      <c r="H3422">
        <v>0.115949909299221</v>
      </c>
      <c r="I3422">
        <v>5.1442045987839698E-2</v>
      </c>
      <c r="J3422">
        <v>0.155435803412628</v>
      </c>
      <c r="K3422">
        <v>6.02628755054656E-2</v>
      </c>
      <c r="L3422">
        <v>1260.0639662103199</v>
      </c>
      <c r="M3422">
        <v>25.016729461612801</v>
      </c>
      <c r="N3422">
        <v>50.7275167742797</v>
      </c>
      <c r="O3422">
        <v>50.050311000582099</v>
      </c>
      <c r="P3422">
        <v>-0.114830471245447</v>
      </c>
      <c r="Q3422">
        <v>8.1059139379204406E-2</v>
      </c>
      <c r="R3422">
        <v>0.99365279115705496</v>
      </c>
      <c r="S3422" t="s">
        <v>9824</v>
      </c>
      <c r="T3422" t="s">
        <v>12802</v>
      </c>
      <c r="U3422" t="s">
        <v>12802</v>
      </c>
      <c r="V3422" t="s">
        <v>12802</v>
      </c>
      <c r="W3422" t="s">
        <v>16174</v>
      </c>
      <c r="X3422">
        <v>39</v>
      </c>
      <c r="Y3422" t="s">
        <v>22417</v>
      </c>
      <c r="Z3422" t="s">
        <v>28740</v>
      </c>
      <c r="AA3422">
        <v>0.49862124841612288</v>
      </c>
      <c r="AB3422" t="str">
        <f>HYPERLINK("Melting_Curves/meltCurve_Q14676_MDC1.pdf", "Melting_Curves/meltCurve_Q14676_MDC1.pdf")</f>
        <v>Melting_Curves/meltCurve_Q14676_MDC1.pdf</v>
      </c>
    </row>
    <row r="3423" spans="1:28" x14ac:dyDescent="0.25">
      <c r="A3423" t="s">
        <v>3427</v>
      </c>
      <c r="B3423">
        <v>0.99542014353169495</v>
      </c>
      <c r="C3423">
        <v>0.95198712899147397</v>
      </c>
      <c r="D3423">
        <v>0.85226514850378099</v>
      </c>
      <c r="E3423">
        <v>0.70476915824797803</v>
      </c>
      <c r="F3423">
        <v>0.60371695101727296</v>
      </c>
      <c r="G3423">
        <v>0.332136639179471</v>
      </c>
      <c r="H3423">
        <v>0.16197632294952399</v>
      </c>
      <c r="I3423">
        <v>0.13080190814242501</v>
      </c>
      <c r="J3423">
        <v>0.19307773866650399</v>
      </c>
      <c r="K3423">
        <v>0.26596106042530199</v>
      </c>
      <c r="L3423">
        <v>682.668248860679</v>
      </c>
      <c r="M3423">
        <v>13.891571133230499</v>
      </c>
      <c r="N3423">
        <v>50.400931516493102</v>
      </c>
      <c r="O3423">
        <v>48.157838244160402</v>
      </c>
      <c r="P3423">
        <v>-6.1556150255626399E-2</v>
      </c>
      <c r="Q3423">
        <v>0.146530793467022</v>
      </c>
      <c r="R3423">
        <v>0.96789952289889603</v>
      </c>
      <c r="S3423" t="s">
        <v>9825</v>
      </c>
      <c r="T3423" t="s">
        <v>12802</v>
      </c>
      <c r="U3423" t="s">
        <v>12802</v>
      </c>
      <c r="V3423" t="s">
        <v>12802</v>
      </c>
      <c r="W3423" t="s">
        <v>16175</v>
      </c>
      <c r="X3423">
        <v>15</v>
      </c>
      <c r="Y3423" t="s">
        <v>22418</v>
      </c>
      <c r="Z3423" t="s">
        <v>28741</v>
      </c>
      <c r="AA3423">
        <v>0.51251782148969116</v>
      </c>
      <c r="AB3423" t="str">
        <f>HYPERLINK("Melting_Curves/meltCurve_Q14677_CLINT1.pdf", "Melting_Curves/meltCurve_Q14677_CLINT1.pdf")</f>
        <v>Melting_Curves/meltCurve_Q14677_CLINT1.pdf</v>
      </c>
    </row>
    <row r="3424" spans="1:28" x14ac:dyDescent="0.25">
      <c r="A3424" t="s">
        <v>3428</v>
      </c>
      <c r="B3424">
        <v>0.99542014353169495</v>
      </c>
      <c r="C3424">
        <v>0.85960676886414</v>
      </c>
      <c r="D3424">
        <v>0.74599630360819102</v>
      </c>
      <c r="E3424">
        <v>0.53424455167950102</v>
      </c>
      <c r="F3424">
        <v>0.19357978787913499</v>
      </c>
      <c r="G3424">
        <v>8.5163066373118795E-2</v>
      </c>
      <c r="H3424">
        <v>5.5195902932879799E-2</v>
      </c>
      <c r="I3424">
        <v>5.0703363490591701E-2</v>
      </c>
      <c r="J3424">
        <v>3.1706994426487702E-2</v>
      </c>
      <c r="K3424">
        <v>3.1542349499604598E-2</v>
      </c>
      <c r="L3424">
        <v>698.78929746495805</v>
      </c>
      <c r="M3424">
        <v>15.1334253446195</v>
      </c>
      <c r="N3424">
        <v>46.237503434552103</v>
      </c>
      <c r="O3424">
        <v>45.391455649123202</v>
      </c>
      <c r="P3424">
        <v>-8.25166583176528E-2</v>
      </c>
      <c r="Q3424">
        <v>1.00890240119553E-2</v>
      </c>
      <c r="R3424">
        <v>0.99192715741944704</v>
      </c>
      <c r="S3424" t="s">
        <v>9826</v>
      </c>
      <c r="T3424" t="s">
        <v>12802</v>
      </c>
      <c r="U3424" t="s">
        <v>12802</v>
      </c>
      <c r="V3424" t="s">
        <v>12802</v>
      </c>
      <c r="W3424" t="s">
        <v>16176</v>
      </c>
      <c r="X3424">
        <v>3</v>
      </c>
      <c r="Y3424" t="s">
        <v>22419</v>
      </c>
      <c r="Z3424" t="s">
        <v>28742</v>
      </c>
      <c r="AA3424">
        <v>0.33519385180006611</v>
      </c>
      <c r="AB3424" t="str">
        <f>HYPERLINK("Melting_Curves/meltCurve_Q14680_3_MELK.pdf", "Melting_Curves/meltCurve_Q14680_3_MELK.pdf")</f>
        <v>Melting_Curves/meltCurve_Q14680_3_MELK.pdf</v>
      </c>
    </row>
    <row r="3425" spans="1:28" x14ac:dyDescent="0.25">
      <c r="A3425" t="s">
        <v>3429</v>
      </c>
      <c r="B3425">
        <v>0.99542014353169495</v>
      </c>
      <c r="C3425">
        <v>1.18535360251277</v>
      </c>
      <c r="D3425">
        <v>0.66243062545641695</v>
      </c>
      <c r="E3425">
        <v>0.52147521907830496</v>
      </c>
      <c r="F3425">
        <v>0.56082932663318597</v>
      </c>
      <c r="G3425">
        <v>0.226467486700383</v>
      </c>
      <c r="H3425">
        <v>0.132266859752075</v>
      </c>
      <c r="I3425">
        <v>0.125698788556282</v>
      </c>
      <c r="J3425">
        <v>0.15030730255955299</v>
      </c>
      <c r="K3425">
        <v>0.14024929557834401</v>
      </c>
      <c r="L3425">
        <v>621.022835715018</v>
      </c>
      <c r="M3425">
        <v>13.0918680345636</v>
      </c>
      <c r="N3425">
        <v>48.284321999746901</v>
      </c>
      <c r="O3425">
        <v>46.369948901014602</v>
      </c>
      <c r="P3425">
        <v>-6.3341216532466701E-2</v>
      </c>
      <c r="Q3425">
        <v>0.102763880614887</v>
      </c>
      <c r="R3425">
        <v>0.90442654611841999</v>
      </c>
      <c r="S3425" t="s">
        <v>9827</v>
      </c>
      <c r="T3425" t="s">
        <v>12802</v>
      </c>
      <c r="U3425" t="s">
        <v>12802</v>
      </c>
      <c r="V3425" t="s">
        <v>12802</v>
      </c>
      <c r="W3425" t="s">
        <v>16177</v>
      </c>
      <c r="X3425">
        <v>1</v>
      </c>
      <c r="Y3425" t="s">
        <v>22420</v>
      </c>
      <c r="Z3425" t="s">
        <v>28743</v>
      </c>
      <c r="AA3425">
        <v>0.44003731823207382</v>
      </c>
      <c r="AB3425" t="str">
        <f>HYPERLINK("Melting_Curves/meltCurve_Q14681_KCTD2.pdf", "Melting_Curves/meltCurve_Q14681_KCTD2.pdf")</f>
        <v>Melting_Curves/meltCurve_Q14681_KCTD2.pdf</v>
      </c>
    </row>
    <row r="3426" spans="1:28" x14ac:dyDescent="0.25">
      <c r="A3426" t="s">
        <v>3430</v>
      </c>
      <c r="B3426">
        <v>0.99542014353169495</v>
      </c>
      <c r="C3426">
        <v>0.880325294232849</v>
      </c>
      <c r="D3426">
        <v>0.96664432288755098</v>
      </c>
      <c r="E3426">
        <v>0.73361117838190204</v>
      </c>
      <c r="F3426">
        <v>0.55486581226144405</v>
      </c>
      <c r="G3426">
        <v>0.25529064887521202</v>
      </c>
      <c r="H3426">
        <v>0.109184226388402</v>
      </c>
      <c r="I3426">
        <v>5.8040315483312198E-2</v>
      </c>
      <c r="J3426">
        <v>5.8751983237344999E-2</v>
      </c>
      <c r="K3426">
        <v>6.15254270878774E-2</v>
      </c>
      <c r="L3426">
        <v>775.59993421363595</v>
      </c>
      <c r="M3426">
        <v>15.4584900741769</v>
      </c>
      <c r="N3426">
        <v>50.272879298060602</v>
      </c>
      <c r="O3426">
        <v>49.355929190110203</v>
      </c>
      <c r="P3426">
        <v>-7.7124838560111E-2</v>
      </c>
      <c r="Q3426">
        <v>1.5110354375834001E-2</v>
      </c>
      <c r="R3426">
        <v>0.987890698483466</v>
      </c>
      <c r="S3426" t="s">
        <v>9828</v>
      </c>
      <c r="T3426" t="s">
        <v>12802</v>
      </c>
      <c r="U3426" t="s">
        <v>12802</v>
      </c>
      <c r="V3426" t="s">
        <v>12802</v>
      </c>
      <c r="W3426" t="s">
        <v>16178</v>
      </c>
      <c r="X3426">
        <v>71</v>
      </c>
      <c r="Y3426" t="s">
        <v>22421</v>
      </c>
      <c r="Z3426" t="s">
        <v>28744</v>
      </c>
      <c r="AA3426">
        <v>0.46717679567242792</v>
      </c>
      <c r="AB3426" t="str">
        <f>HYPERLINK("Melting_Curves/meltCurve_Q14683_SMC1A.pdf", "Melting_Curves/meltCurve_Q14683_SMC1A.pdf")</f>
        <v>Melting_Curves/meltCurve_Q14683_SMC1A.pdf</v>
      </c>
    </row>
    <row r="3427" spans="1:28" x14ac:dyDescent="0.25">
      <c r="A3427" t="s">
        <v>3431</v>
      </c>
      <c r="B3427">
        <v>0.99542014353169495</v>
      </c>
      <c r="C3427">
        <v>0.94226512111096095</v>
      </c>
      <c r="D3427">
        <v>0.89910228537730597</v>
      </c>
      <c r="E3427">
        <v>0.58552021261124398</v>
      </c>
      <c r="F3427">
        <v>0.34387529019965601</v>
      </c>
      <c r="G3427">
        <v>0.229251516014678</v>
      </c>
      <c r="H3427">
        <v>0.18137617999837999</v>
      </c>
      <c r="I3427">
        <v>0.102223554252243</v>
      </c>
      <c r="J3427">
        <v>0.118975466778966</v>
      </c>
      <c r="K3427">
        <v>0.16374778879274299</v>
      </c>
      <c r="L3427">
        <v>853.84409482119099</v>
      </c>
      <c r="M3427">
        <v>18.138558883605899</v>
      </c>
      <c r="N3427">
        <v>47.870343319124501</v>
      </c>
      <c r="O3427">
        <v>46.512449236766599</v>
      </c>
      <c r="P3427">
        <v>-8.4792300549504596E-2</v>
      </c>
      <c r="Q3427">
        <v>0.130314859754079</v>
      </c>
      <c r="R3427">
        <v>0.99531970850517704</v>
      </c>
      <c r="S3427" t="s">
        <v>9829</v>
      </c>
      <c r="T3427" t="s">
        <v>12802</v>
      </c>
      <c r="U3427" t="s">
        <v>12802</v>
      </c>
      <c r="V3427" t="s">
        <v>12802</v>
      </c>
      <c r="W3427" t="s">
        <v>16179</v>
      </c>
      <c r="X3427">
        <v>3</v>
      </c>
      <c r="Y3427" t="s">
        <v>22422</v>
      </c>
      <c r="Z3427" t="s">
        <v>28745</v>
      </c>
      <c r="AA3427">
        <v>0.43609221128862891</v>
      </c>
      <c r="AB3427" t="str">
        <f>HYPERLINK("Melting_Curves/meltCurve_Q14684_2_RRP1B.pdf", "Melting_Curves/meltCurve_Q14684_2_RRP1B.pdf")</f>
        <v>Melting_Curves/meltCurve_Q14684_2_RRP1B.pdf</v>
      </c>
    </row>
    <row r="3428" spans="1:28" x14ac:dyDescent="0.25">
      <c r="A3428" t="s">
        <v>3432</v>
      </c>
      <c r="B3428">
        <v>0.99542014353169495</v>
      </c>
      <c r="C3428">
        <v>0.77188004513772701</v>
      </c>
      <c r="D3428">
        <v>0.65330101409531205</v>
      </c>
      <c r="E3428">
        <v>0.383834237471947</v>
      </c>
      <c r="F3428">
        <v>0.172213548710452</v>
      </c>
      <c r="G3428">
        <v>0.13631031530936</v>
      </c>
      <c r="H3428">
        <v>0.119088468683023</v>
      </c>
      <c r="I3428">
        <v>0.132915468229683</v>
      </c>
      <c r="J3428">
        <v>0.24534752889057901</v>
      </c>
      <c r="K3428">
        <v>0.37643261045487703</v>
      </c>
      <c r="L3428">
        <v>803.31783286269899</v>
      </c>
      <c r="M3428">
        <v>18.634850701303201</v>
      </c>
      <c r="N3428">
        <v>44.241946282028501</v>
      </c>
      <c r="O3428">
        <v>42.621127771714903</v>
      </c>
      <c r="P3428">
        <v>-8.8560218576266198E-2</v>
      </c>
      <c r="Q3428">
        <v>0.18982468629450699</v>
      </c>
      <c r="R3428">
        <v>0.91971983987447103</v>
      </c>
      <c r="S3428" t="s">
        <v>9830</v>
      </c>
      <c r="T3428" t="s">
        <v>12802</v>
      </c>
      <c r="U3428" t="s">
        <v>12802</v>
      </c>
      <c r="V3428" t="s">
        <v>12802</v>
      </c>
      <c r="W3428" t="s">
        <v>16180</v>
      </c>
      <c r="X3428">
        <v>4</v>
      </c>
      <c r="Y3428" t="s">
        <v>22423</v>
      </c>
      <c r="Z3428" t="s">
        <v>28746</v>
      </c>
      <c r="AA3428">
        <v>0.36796527988884981</v>
      </c>
      <c r="AB3428" t="str">
        <f>HYPERLINK("Melting_Curves/meltCurve_Q14686_NCOA6.pdf", "Melting_Curves/meltCurve_Q14686_NCOA6.pdf")</f>
        <v>Melting_Curves/meltCurve_Q14686_NCOA6.pdf</v>
      </c>
    </row>
    <row r="3429" spans="1:28" x14ac:dyDescent="0.25">
      <c r="A3429" t="s">
        <v>3433</v>
      </c>
      <c r="B3429">
        <v>0.99542014353169495</v>
      </c>
      <c r="C3429">
        <v>0.82041873587872605</v>
      </c>
      <c r="D3429">
        <v>0.79212701935625696</v>
      </c>
      <c r="E3429">
        <v>0.41543301257203002</v>
      </c>
      <c r="F3429">
        <v>0.197782904264033</v>
      </c>
      <c r="G3429">
        <v>0.12477625121133</v>
      </c>
      <c r="H3429">
        <v>9.5812619783646996E-2</v>
      </c>
      <c r="I3429">
        <v>7.47848114231391E-2</v>
      </c>
      <c r="J3429">
        <v>8.1130009390165098E-2</v>
      </c>
      <c r="K3429">
        <v>8.3971769161911902E-2</v>
      </c>
      <c r="L3429">
        <v>768.53699465796103</v>
      </c>
      <c r="M3429">
        <v>16.969109248313298</v>
      </c>
      <c r="N3429">
        <v>45.685128241652102</v>
      </c>
      <c r="O3429">
        <v>44.675412350464597</v>
      </c>
      <c r="P3429">
        <v>-8.8487695604022504E-2</v>
      </c>
      <c r="Q3429">
        <v>6.8194470614326805E-2</v>
      </c>
      <c r="R3429">
        <v>0.98868576004819897</v>
      </c>
      <c r="S3429" t="s">
        <v>9831</v>
      </c>
      <c r="T3429" t="s">
        <v>12802</v>
      </c>
      <c r="U3429" t="s">
        <v>12802</v>
      </c>
      <c r="V3429" t="s">
        <v>12802</v>
      </c>
      <c r="W3429" t="s">
        <v>16181</v>
      </c>
      <c r="X3429">
        <v>15</v>
      </c>
      <c r="Y3429" t="s">
        <v>22424</v>
      </c>
      <c r="Z3429" t="s">
        <v>28747</v>
      </c>
      <c r="AA3429">
        <v>0.34283660566328228</v>
      </c>
      <c r="AB3429" t="str">
        <f>HYPERLINK("Melting_Curves/meltCurve_Q14687_2_GSE1.pdf", "Melting_Curves/meltCurve_Q14687_2_GSE1.pdf")</f>
        <v>Melting_Curves/meltCurve_Q14687_2_GSE1.pdf</v>
      </c>
    </row>
    <row r="3430" spans="1:28" x14ac:dyDescent="0.25">
      <c r="A3430" t="s">
        <v>3434</v>
      </c>
      <c r="B3430">
        <v>0.99542014353169495</v>
      </c>
      <c r="C3430">
        <v>0.94258134642756897</v>
      </c>
      <c r="D3430">
        <v>0.73915339892267296</v>
      </c>
      <c r="E3430">
        <v>0.26503734759457598</v>
      </c>
      <c r="F3430">
        <v>0.17464582617444999</v>
      </c>
      <c r="G3430">
        <v>0.11667614543421199</v>
      </c>
      <c r="H3430">
        <v>3.67172899082953E-2</v>
      </c>
      <c r="I3430">
        <v>8.0112223299729196E-2</v>
      </c>
      <c r="J3430">
        <v>3.6569510183057499E-2</v>
      </c>
      <c r="K3430">
        <v>4.6861737274330399E-2</v>
      </c>
      <c r="L3430">
        <v>1082.69075823199</v>
      </c>
      <c r="M3430">
        <v>24.319025461912901</v>
      </c>
      <c r="N3430">
        <v>44.776580859421898</v>
      </c>
      <c r="O3430">
        <v>44.222573875348303</v>
      </c>
      <c r="P3430">
        <v>-0.12855131948464901</v>
      </c>
      <c r="Q3430">
        <v>6.4965331515928704E-2</v>
      </c>
      <c r="R3430">
        <v>0.993932687700397</v>
      </c>
      <c r="S3430" t="s">
        <v>9832</v>
      </c>
      <c r="T3430" t="s">
        <v>12802</v>
      </c>
      <c r="U3430" t="s">
        <v>12802</v>
      </c>
      <c r="V3430" t="s">
        <v>12802</v>
      </c>
      <c r="W3430" t="s">
        <v>16182</v>
      </c>
      <c r="X3430">
        <v>2</v>
      </c>
      <c r="Y3430" t="s">
        <v>22425</v>
      </c>
      <c r="Z3430" t="s">
        <v>28748</v>
      </c>
      <c r="AA3430">
        <v>0.30748706100277989</v>
      </c>
      <c r="AB3430" t="str">
        <f>HYPERLINK("Melting_Curves/meltCurve_Q14690_PDCD11.pdf", "Melting_Curves/meltCurve_Q14690_PDCD11.pdf")</f>
        <v>Melting_Curves/meltCurve_Q14690_PDCD11.pdf</v>
      </c>
    </row>
    <row r="3431" spans="1:28" x14ac:dyDescent="0.25">
      <c r="A3431" t="s">
        <v>3435</v>
      </c>
      <c r="B3431">
        <v>0.99542014353169495</v>
      </c>
      <c r="C3431">
        <v>1.00604070738471</v>
      </c>
      <c r="D3431">
        <v>0.96616145221198102</v>
      </c>
      <c r="E3431">
        <v>0.94918623807507396</v>
      </c>
      <c r="F3431">
        <v>0.62212375852912205</v>
      </c>
      <c r="G3431">
        <v>0.16080409359105499</v>
      </c>
      <c r="H3431">
        <v>7.9376665156967799E-2</v>
      </c>
      <c r="I3431">
        <v>4.63227980975544E-2</v>
      </c>
      <c r="J3431">
        <v>4.6208278420250097E-2</v>
      </c>
      <c r="K3431">
        <v>4.69381295686917E-2</v>
      </c>
      <c r="L3431">
        <v>1734.3956603372301</v>
      </c>
      <c r="M3431">
        <v>34.152282846111397</v>
      </c>
      <c r="N3431">
        <v>50.932949295474501</v>
      </c>
      <c r="O3431">
        <v>50.611012060699402</v>
      </c>
      <c r="P3431">
        <v>-0.160692103207659</v>
      </c>
      <c r="Q3431">
        <v>4.7471261433072898E-2</v>
      </c>
      <c r="R3431">
        <v>0.99920718604171199</v>
      </c>
      <c r="S3431" t="s">
        <v>9833</v>
      </c>
      <c r="T3431" t="s">
        <v>12802</v>
      </c>
      <c r="U3431" t="s">
        <v>12802</v>
      </c>
      <c r="V3431" t="s">
        <v>12802</v>
      </c>
      <c r="W3431" t="s">
        <v>16183</v>
      </c>
      <c r="X3431">
        <v>13</v>
      </c>
      <c r="Y3431" t="s">
        <v>22426</v>
      </c>
      <c r="Z3431" t="s">
        <v>28749</v>
      </c>
      <c r="AA3431">
        <v>0.48971268186291161</v>
      </c>
      <c r="AB3431" t="str">
        <f>HYPERLINK("Melting_Curves/meltCurve_Q14691_GINS1.pdf", "Melting_Curves/meltCurve_Q14691_GINS1.pdf")</f>
        <v>Melting_Curves/meltCurve_Q14691_GINS1.pdf</v>
      </c>
    </row>
    <row r="3432" spans="1:28" x14ac:dyDescent="0.25">
      <c r="A3432" t="s">
        <v>3436</v>
      </c>
      <c r="B3432">
        <v>0.99542014353169495</v>
      </c>
      <c r="C3432">
        <v>1.1286610887725901</v>
      </c>
      <c r="D3432">
        <v>1.2044974920384299</v>
      </c>
      <c r="E3432">
        <v>0.99223482956028897</v>
      </c>
      <c r="F3432">
        <v>0.72281198347517595</v>
      </c>
      <c r="G3432">
        <v>0.33980409987189703</v>
      </c>
      <c r="H3432">
        <v>0.15651816651756101</v>
      </c>
      <c r="I3432">
        <v>7.4403720060205097E-2</v>
      </c>
      <c r="J3432">
        <v>0.18530059838872101</v>
      </c>
      <c r="K3432">
        <v>0.16564889433219801</v>
      </c>
      <c r="L3432">
        <v>1640.28261414243</v>
      </c>
      <c r="M3432">
        <v>31.831044844079301</v>
      </c>
      <c r="N3432">
        <v>52.0635755710232</v>
      </c>
      <c r="O3432">
        <v>51.3288002732507</v>
      </c>
      <c r="P3432">
        <v>-0.13348919796154499</v>
      </c>
      <c r="Q3432">
        <v>0.13897829350163701</v>
      </c>
      <c r="R3432">
        <v>0.96354928160973996</v>
      </c>
      <c r="S3432" t="s">
        <v>9834</v>
      </c>
      <c r="T3432" t="s">
        <v>12802</v>
      </c>
      <c r="U3432" t="s">
        <v>12802</v>
      </c>
      <c r="V3432" t="s">
        <v>12802</v>
      </c>
      <c r="W3432" t="s">
        <v>16184</v>
      </c>
      <c r="X3432">
        <v>3</v>
      </c>
      <c r="Y3432" t="s">
        <v>22427</v>
      </c>
      <c r="Z3432" t="s">
        <v>28750</v>
      </c>
      <c r="AA3432">
        <v>0.56084049094752286</v>
      </c>
      <c r="AB3432" t="str">
        <f>HYPERLINK("Melting_Curves/meltCurve_Q14692_BMS1.pdf", "Melting_Curves/meltCurve_Q14692_BMS1.pdf")</f>
        <v>Melting_Curves/meltCurve_Q14692_BMS1.pdf</v>
      </c>
    </row>
    <row r="3433" spans="1:28" x14ac:dyDescent="0.25">
      <c r="A3433" t="s">
        <v>3437</v>
      </c>
      <c r="B3433">
        <v>0.99542014353169495</v>
      </c>
      <c r="C3433">
        <v>0.89328882216373595</v>
      </c>
      <c r="D3433">
        <v>0.70816055444246095</v>
      </c>
      <c r="E3433">
        <v>0.25105222441055602</v>
      </c>
      <c r="F3433">
        <v>0.121041416747248</v>
      </c>
      <c r="G3433">
        <v>7.2251515494584195E-2</v>
      </c>
      <c r="H3433">
        <v>5.3470901119870601E-2</v>
      </c>
      <c r="I3433">
        <v>4.73174599840041E-2</v>
      </c>
      <c r="J3433">
        <v>6.0578428551510702E-2</v>
      </c>
      <c r="K3433">
        <v>6.3122992158995805E-2</v>
      </c>
      <c r="L3433">
        <v>1052.2381725586899</v>
      </c>
      <c r="M3433">
        <v>23.7902787814063</v>
      </c>
      <c r="N3433">
        <v>44.450223387929</v>
      </c>
      <c r="O3433">
        <v>43.9208174654662</v>
      </c>
      <c r="P3433">
        <v>-0.12788205990196999</v>
      </c>
      <c r="Q3433">
        <v>5.5649578815380199E-2</v>
      </c>
      <c r="R3433">
        <v>0.99762300028730699</v>
      </c>
      <c r="S3433" t="s">
        <v>9835</v>
      </c>
      <c r="T3433" t="s">
        <v>12802</v>
      </c>
      <c r="U3433" t="s">
        <v>12802</v>
      </c>
      <c r="V3433" t="s">
        <v>12802</v>
      </c>
      <c r="W3433" t="s">
        <v>16185</v>
      </c>
      <c r="X3433">
        <v>19</v>
      </c>
      <c r="Y3433" t="s">
        <v>22428</v>
      </c>
      <c r="Z3433" t="s">
        <v>28751</v>
      </c>
      <c r="AA3433">
        <v>0.29185029742427893</v>
      </c>
      <c r="AB3433" t="str">
        <f>HYPERLINK("Melting_Curves/meltCurve_Q14694_USP10.pdf", "Melting_Curves/meltCurve_Q14694_USP10.pdf")</f>
        <v>Melting_Curves/meltCurve_Q14694_USP10.pdf</v>
      </c>
    </row>
    <row r="3434" spans="1:28" x14ac:dyDescent="0.25">
      <c r="A3434" t="s">
        <v>3438</v>
      </c>
      <c r="B3434">
        <v>0.99542014353169495</v>
      </c>
      <c r="C3434">
        <v>1.0204990707719199</v>
      </c>
      <c r="D3434">
        <v>1.04196658563418</v>
      </c>
      <c r="E3434">
        <v>1.0576816686004</v>
      </c>
      <c r="F3434">
        <v>0.83713204979259004</v>
      </c>
      <c r="G3434">
        <v>0.51564073857980897</v>
      </c>
      <c r="H3434">
        <v>0.21604430714286599</v>
      </c>
      <c r="I3434">
        <v>0.10456504831925</v>
      </c>
      <c r="J3434">
        <v>0.11015394474698199</v>
      </c>
      <c r="K3434">
        <v>0.11750106636001099</v>
      </c>
      <c r="L3434">
        <v>1468.2386407254701</v>
      </c>
      <c r="M3434">
        <v>27.4931164358693</v>
      </c>
      <c r="N3434">
        <v>53.835143754280899</v>
      </c>
      <c r="O3434">
        <v>53.123722955014898</v>
      </c>
      <c r="P3434">
        <v>-0.11659555066838</v>
      </c>
      <c r="Q3434">
        <v>9.8838772649630993E-2</v>
      </c>
      <c r="R3434">
        <v>0.99428718098539504</v>
      </c>
      <c r="S3434" t="s">
        <v>9836</v>
      </c>
      <c r="T3434" t="s">
        <v>12802</v>
      </c>
      <c r="U3434" t="s">
        <v>12802</v>
      </c>
      <c r="V3434" t="s">
        <v>12802</v>
      </c>
      <c r="W3434" t="s">
        <v>16186</v>
      </c>
      <c r="X3434">
        <v>9</v>
      </c>
      <c r="Y3434" t="s">
        <v>22429</v>
      </c>
      <c r="Z3434" t="s">
        <v>28752</v>
      </c>
      <c r="AA3434">
        <v>0.59832207564121553</v>
      </c>
      <c r="AB3434" t="str">
        <f>HYPERLINK("Melting_Curves/meltCurve_Q14696_MESDC2.pdf", "Melting_Curves/meltCurve_Q14696_MESDC2.pdf")</f>
        <v>Melting_Curves/meltCurve_Q14696_MESDC2.pdf</v>
      </c>
    </row>
    <row r="3435" spans="1:28" x14ac:dyDescent="0.25">
      <c r="A3435" t="s">
        <v>3439</v>
      </c>
      <c r="B3435">
        <v>0.99542014353169495</v>
      </c>
      <c r="C3435">
        <v>0.96764155211185898</v>
      </c>
      <c r="D3435">
        <v>0.94077153633444599</v>
      </c>
      <c r="E3435">
        <v>0.72270579538032498</v>
      </c>
      <c r="F3435">
        <v>0.31401216179513203</v>
      </c>
      <c r="G3435">
        <v>0.11191404492184</v>
      </c>
      <c r="H3435">
        <v>6.4590391883236301E-2</v>
      </c>
      <c r="I3435">
        <v>4.6224240366289103E-2</v>
      </c>
      <c r="J3435">
        <v>4.95527798037141E-2</v>
      </c>
      <c r="K3435">
        <v>5.2877514115431401E-2</v>
      </c>
      <c r="L3435">
        <v>1164.1001252031101</v>
      </c>
      <c r="M3435">
        <v>24.119266558145799</v>
      </c>
      <c r="N3435">
        <v>48.451709424809401</v>
      </c>
      <c r="O3435">
        <v>47.936216509865098</v>
      </c>
      <c r="P3435">
        <v>-0.12018906051405</v>
      </c>
      <c r="Q3435">
        <v>4.4528243342269201E-2</v>
      </c>
      <c r="R3435">
        <v>0.99938318416296201</v>
      </c>
      <c r="S3435" t="s">
        <v>9837</v>
      </c>
      <c r="T3435" t="s">
        <v>12802</v>
      </c>
      <c r="U3435" t="s">
        <v>12802</v>
      </c>
      <c r="V3435" t="s">
        <v>12802</v>
      </c>
      <c r="W3435" t="s">
        <v>16187</v>
      </c>
      <c r="X3435">
        <v>41</v>
      </c>
      <c r="Y3435" t="s">
        <v>22430</v>
      </c>
      <c r="Z3435" t="s">
        <v>28753</v>
      </c>
      <c r="AA3435">
        <v>0.41205617711254022</v>
      </c>
      <c r="AB3435" t="str">
        <f>HYPERLINK("Melting_Curves/meltCurve_Q14697_GANAB.pdf", "Melting_Curves/meltCurve_Q14697_GANAB.pdf")</f>
        <v>Melting_Curves/meltCurve_Q14697_GANAB.pdf</v>
      </c>
    </row>
    <row r="3436" spans="1:28" x14ac:dyDescent="0.25">
      <c r="A3436" t="s">
        <v>3440</v>
      </c>
      <c r="B3436">
        <v>0.99542014353169495</v>
      </c>
      <c r="C3436">
        <v>1.19164359881115</v>
      </c>
      <c r="D3436">
        <v>1.2195267387708799</v>
      </c>
      <c r="E3436">
        <v>0.81676127611111105</v>
      </c>
      <c r="F3436">
        <v>0.33432908551635299</v>
      </c>
      <c r="G3436">
        <v>7.5787733928953202E-2</v>
      </c>
      <c r="H3436">
        <v>0</v>
      </c>
      <c r="I3436">
        <v>0</v>
      </c>
      <c r="J3436">
        <v>0</v>
      </c>
      <c r="K3436">
        <v>0</v>
      </c>
      <c r="L3436">
        <v>1602.5491916112301</v>
      </c>
      <c r="M3436">
        <v>32.643309919439801</v>
      </c>
      <c r="N3436">
        <v>49.098951022452098</v>
      </c>
      <c r="O3436">
        <v>48.909591633875998</v>
      </c>
      <c r="P3436">
        <v>-0.16651174566370799</v>
      </c>
      <c r="Q3436">
        <v>2.0640295908387301E-3</v>
      </c>
      <c r="R3436">
        <v>0.96400680806647199</v>
      </c>
      <c r="S3436" t="s">
        <v>9838</v>
      </c>
      <c r="T3436" t="s">
        <v>12802</v>
      </c>
      <c r="U3436" t="s">
        <v>12802</v>
      </c>
      <c r="V3436" t="s">
        <v>12802</v>
      </c>
      <c r="W3436" t="s">
        <v>16188</v>
      </c>
      <c r="X3436">
        <v>41</v>
      </c>
      <c r="Y3436" t="s">
        <v>22430</v>
      </c>
      <c r="Z3436" t="s">
        <v>28754</v>
      </c>
      <c r="AA3436">
        <v>0.40941629993861628</v>
      </c>
      <c r="AB3436" t="str">
        <f>HYPERLINK("Melting_Curves/meltCurve_Q14697_2_GANAB.pdf", "Melting_Curves/meltCurve_Q14697_2_GANAB.pdf")</f>
        <v>Melting_Curves/meltCurve_Q14697_2_GANAB.pdf</v>
      </c>
    </row>
    <row r="3437" spans="1:28" x14ac:dyDescent="0.25">
      <c r="A3437" t="s">
        <v>3441</v>
      </c>
      <c r="B3437">
        <v>0.99542014353169495</v>
      </c>
      <c r="C3437">
        <v>0.99605560004744598</v>
      </c>
      <c r="D3437">
        <v>0.76425493287675506</v>
      </c>
      <c r="E3437">
        <v>0.48996852274914399</v>
      </c>
      <c r="F3437">
        <v>0.43466613479779298</v>
      </c>
      <c r="G3437">
        <v>0.21370921182171301</v>
      </c>
      <c r="H3437">
        <v>0.15513995615527101</v>
      </c>
      <c r="I3437">
        <v>5.1064059508461102E-2</v>
      </c>
      <c r="J3437">
        <v>4.8583280593721398E-2</v>
      </c>
      <c r="K3437">
        <v>8.3460684039259103E-2</v>
      </c>
      <c r="L3437">
        <v>583.90094522789798</v>
      </c>
      <c r="M3437">
        <v>12.310386730947901</v>
      </c>
      <c r="N3437">
        <v>47.694367661343698</v>
      </c>
      <c r="O3437">
        <v>46.232061363397101</v>
      </c>
      <c r="P3437">
        <v>-6.4399681475269394E-2</v>
      </c>
      <c r="Q3437">
        <v>3.2790894498652398E-2</v>
      </c>
      <c r="R3437">
        <v>0.98195136424725304</v>
      </c>
      <c r="S3437" t="s">
        <v>9839</v>
      </c>
      <c r="T3437" t="s">
        <v>12802</v>
      </c>
      <c r="U3437" t="s">
        <v>12802</v>
      </c>
      <c r="V3437" t="s">
        <v>12802</v>
      </c>
      <c r="W3437" t="s">
        <v>16189</v>
      </c>
      <c r="X3437">
        <v>2</v>
      </c>
      <c r="Y3437" t="s">
        <v>22431</v>
      </c>
      <c r="Z3437" t="s">
        <v>28755</v>
      </c>
      <c r="AA3437">
        <v>0.3990310812554031</v>
      </c>
      <c r="AB3437" t="str">
        <f>HYPERLINK("Melting_Curves/meltCurve_Q14703_MBTPS1.pdf", "Melting_Curves/meltCurve_Q14703_MBTPS1.pdf")</f>
        <v>Melting_Curves/meltCurve_Q14703_MBTPS1.pdf</v>
      </c>
    </row>
    <row r="3438" spans="1:28" x14ac:dyDescent="0.25">
      <c r="A3438" t="s">
        <v>3442</v>
      </c>
      <c r="B3438">
        <v>0.99542014353169495</v>
      </c>
      <c r="C3438">
        <v>0.79307827802410402</v>
      </c>
      <c r="D3438">
        <v>0.96019534138469997</v>
      </c>
      <c r="E3438">
        <v>0.60624381381780501</v>
      </c>
      <c r="F3438">
        <v>0.499601012771063</v>
      </c>
      <c r="G3438">
        <v>0.14661640882437299</v>
      </c>
      <c r="H3438">
        <v>4.8513587213289501E-2</v>
      </c>
      <c r="I3438">
        <v>3.2093433667612997E-2</v>
      </c>
      <c r="J3438">
        <v>2.9068263149084301E-2</v>
      </c>
      <c r="K3438">
        <v>3.2185550877818103E-2</v>
      </c>
      <c r="L3438">
        <v>726.24242943215404</v>
      </c>
      <c r="M3438">
        <v>14.884367486991801</v>
      </c>
      <c r="N3438">
        <v>48.792293681799798</v>
      </c>
      <c r="O3438">
        <v>47.936978740729003</v>
      </c>
      <c r="P3438">
        <v>-7.7632764458416006E-2</v>
      </c>
      <c r="Q3438">
        <v>0</v>
      </c>
      <c r="R3438">
        <v>0.96199473759800402</v>
      </c>
      <c r="S3438" t="s">
        <v>9840</v>
      </c>
      <c r="T3438" t="s">
        <v>12802</v>
      </c>
      <c r="U3438" t="s">
        <v>12802</v>
      </c>
      <c r="V3438" t="s">
        <v>12802</v>
      </c>
      <c r="W3438" t="s">
        <v>16190</v>
      </c>
      <c r="X3438">
        <v>11</v>
      </c>
      <c r="Y3438" t="s">
        <v>22432</v>
      </c>
      <c r="Z3438" t="s">
        <v>28756</v>
      </c>
      <c r="AA3438">
        <v>0.41496857605098481</v>
      </c>
      <c r="AB3438" t="str">
        <f>HYPERLINK("Melting_Curves/meltCurve_Q14739_LBR.pdf", "Melting_Curves/meltCurve_Q14739_LBR.pdf")</f>
        <v>Melting_Curves/meltCurve_Q14739_LBR.pdf</v>
      </c>
    </row>
    <row r="3439" spans="1:28" x14ac:dyDescent="0.25">
      <c r="A3439" t="s">
        <v>3443</v>
      </c>
      <c r="B3439">
        <v>0.99542014353169495</v>
      </c>
      <c r="C3439">
        <v>0.98929489454864905</v>
      </c>
      <c r="D3439">
        <v>0.86993385919699895</v>
      </c>
      <c r="E3439">
        <v>0.46138400167529198</v>
      </c>
      <c r="F3439">
        <v>0.31945323699906703</v>
      </c>
      <c r="G3439">
        <v>0.156278565745926</v>
      </c>
      <c r="H3439">
        <v>0.10824646081379399</v>
      </c>
      <c r="I3439">
        <v>4.9261223266913699E-2</v>
      </c>
      <c r="J3439">
        <v>5.0814010791779697E-2</v>
      </c>
      <c r="K3439">
        <v>1.5722849043493501E-2</v>
      </c>
      <c r="L3439">
        <v>794.25637366064802</v>
      </c>
      <c r="M3439">
        <v>16.975470163959798</v>
      </c>
      <c r="N3439">
        <v>47.042402494440203</v>
      </c>
      <c r="O3439">
        <v>46.153646804311798</v>
      </c>
      <c r="P3439">
        <v>-8.7930813787140003E-2</v>
      </c>
      <c r="Q3439">
        <v>4.3778932557276697E-2</v>
      </c>
      <c r="R3439">
        <v>0.99061822511165198</v>
      </c>
      <c r="S3439" t="s">
        <v>9841</v>
      </c>
      <c r="T3439" t="s">
        <v>12802</v>
      </c>
      <c r="U3439" t="s">
        <v>12802</v>
      </c>
      <c r="V3439" t="s">
        <v>12802</v>
      </c>
      <c r="W3439" t="s">
        <v>16191</v>
      </c>
      <c r="X3439">
        <v>4</v>
      </c>
      <c r="Y3439" t="s">
        <v>22433</v>
      </c>
      <c r="Z3439" t="s">
        <v>28757</v>
      </c>
      <c r="AA3439">
        <v>0.37296724714629731</v>
      </c>
      <c r="AB3439" t="str">
        <f>HYPERLINK("Melting_Curves/meltCurve_Q14746_2_COG2.pdf", "Melting_Curves/meltCurve_Q14746_2_COG2.pdf")</f>
        <v>Melting_Curves/meltCurve_Q14746_2_COG2.pdf</v>
      </c>
    </row>
    <row r="3440" spans="1:28" x14ac:dyDescent="0.25">
      <c r="A3440" t="s">
        <v>3444</v>
      </c>
      <c r="B3440">
        <v>0.99542014353169495</v>
      </c>
      <c r="C3440">
        <v>0.79220754785693404</v>
      </c>
      <c r="D3440">
        <v>0.61997346414656296</v>
      </c>
      <c r="E3440">
        <v>0.285766609492764</v>
      </c>
      <c r="F3440">
        <v>0.17108778205223801</v>
      </c>
      <c r="G3440">
        <v>9.3851200014906905E-2</v>
      </c>
      <c r="H3440">
        <v>7.5395287650612999E-2</v>
      </c>
      <c r="I3440">
        <v>2.16334173886778E-2</v>
      </c>
      <c r="J3440">
        <v>3.2309947501679398E-2</v>
      </c>
      <c r="K3440">
        <v>0</v>
      </c>
      <c r="L3440">
        <v>660.75667880746403</v>
      </c>
      <c r="M3440">
        <v>15.015735599173601</v>
      </c>
      <c r="N3440">
        <v>44.129898658998698</v>
      </c>
      <c r="O3440">
        <v>43.245956167415301</v>
      </c>
      <c r="P3440">
        <v>-8.4996826287554297E-2</v>
      </c>
      <c r="Q3440">
        <v>2.0920841886010198E-2</v>
      </c>
      <c r="R3440">
        <v>0.99376810052239795</v>
      </c>
      <c r="S3440" t="s">
        <v>9842</v>
      </c>
      <c r="T3440" t="s">
        <v>12802</v>
      </c>
      <c r="U3440" t="s">
        <v>12802</v>
      </c>
      <c r="V3440" t="s">
        <v>12802</v>
      </c>
      <c r="W3440" t="s">
        <v>16192</v>
      </c>
      <c r="X3440">
        <v>1</v>
      </c>
      <c r="Y3440" t="s">
        <v>22434</v>
      </c>
      <c r="Z3440" t="s">
        <v>28758</v>
      </c>
      <c r="AA3440">
        <v>0.27377289585383102</v>
      </c>
      <c r="AB3440" t="str">
        <f>HYPERLINK("Melting_Curves/meltCurve_Q14781_CBX2.pdf", "Melting_Curves/meltCurve_Q14781_CBX2.pdf")</f>
        <v>Melting_Curves/meltCurve_Q14781_CBX2.pdf</v>
      </c>
    </row>
    <row r="3441" spans="1:28" x14ac:dyDescent="0.25">
      <c r="A3441" t="s">
        <v>3445</v>
      </c>
      <c r="B3441">
        <v>0.99542014353169495</v>
      </c>
      <c r="C3441">
        <v>0.94358683983999403</v>
      </c>
      <c r="D3441">
        <v>0.86687218122191201</v>
      </c>
      <c r="E3441">
        <v>0.329483118336521</v>
      </c>
      <c r="F3441">
        <v>0.21811983526001899</v>
      </c>
      <c r="G3441">
        <v>0.11559522954830501</v>
      </c>
      <c r="H3441">
        <v>7.2794271252975107E-2</v>
      </c>
      <c r="I3441">
        <v>5.5802417597636302E-2</v>
      </c>
      <c r="J3441">
        <v>6.3134578393038696E-2</v>
      </c>
      <c r="K3441">
        <v>5.9057252261651802E-2</v>
      </c>
      <c r="L3441">
        <v>1222.67715741038</v>
      </c>
      <c r="M3441">
        <v>26.973348553355301</v>
      </c>
      <c r="N3441">
        <v>45.619441029619097</v>
      </c>
      <c r="O3441">
        <v>45.082138101883501</v>
      </c>
      <c r="P3441">
        <v>-0.13778218734242301</v>
      </c>
      <c r="Q3441">
        <v>7.8875513464277194E-2</v>
      </c>
      <c r="R3441">
        <v>0.99108587151946403</v>
      </c>
      <c r="S3441" t="s">
        <v>9843</v>
      </c>
      <c r="T3441" t="s">
        <v>12802</v>
      </c>
      <c r="U3441" t="s">
        <v>12802</v>
      </c>
      <c r="V3441" t="s">
        <v>12802</v>
      </c>
      <c r="W3441" t="s">
        <v>16193</v>
      </c>
      <c r="X3441">
        <v>48</v>
      </c>
      <c r="Y3441" t="s">
        <v>22435</v>
      </c>
      <c r="Z3441" t="s">
        <v>28759</v>
      </c>
      <c r="AA3441">
        <v>0.34108543173870592</v>
      </c>
      <c r="AB3441" t="str">
        <f>HYPERLINK("Melting_Curves/meltCurve_Q14789_2_GOLGB1.pdf", "Melting_Curves/meltCurve_Q14789_2_GOLGB1.pdf")</f>
        <v>Melting_Curves/meltCurve_Q14789_2_GOLGB1.pdf</v>
      </c>
    </row>
    <row r="3442" spans="1:28" x14ac:dyDescent="0.25">
      <c r="A3442" t="s">
        <v>3446</v>
      </c>
      <c r="B3442">
        <v>0.99542014353169495</v>
      </c>
      <c r="C3442">
        <v>0.96873300632424197</v>
      </c>
      <c r="D3442">
        <v>0.77334045500106297</v>
      </c>
      <c r="E3442">
        <v>0.46829292178375198</v>
      </c>
      <c r="F3442">
        <v>0.121526392277313</v>
      </c>
      <c r="G3442">
        <v>8.7847931940693194E-2</v>
      </c>
      <c r="H3442">
        <v>4.9887401165953901E-2</v>
      </c>
      <c r="I3442">
        <v>3.0629583518787001E-2</v>
      </c>
      <c r="J3442">
        <v>2.4649205089816301E-2</v>
      </c>
      <c r="K3442">
        <v>3.5845503714879302E-2</v>
      </c>
      <c r="L3442">
        <v>942.92002003740197</v>
      </c>
      <c r="M3442">
        <v>20.570473925747301</v>
      </c>
      <c r="N3442">
        <v>45.963140533579498</v>
      </c>
      <c r="O3442">
        <v>45.411923316723303</v>
      </c>
      <c r="P3442">
        <v>-0.11017544489518299</v>
      </c>
      <c r="Q3442">
        <v>2.7123712084695401E-2</v>
      </c>
      <c r="R3442">
        <v>0.99692274350730203</v>
      </c>
      <c r="S3442" t="s">
        <v>9844</v>
      </c>
      <c r="T3442" t="s">
        <v>12802</v>
      </c>
      <c r="U3442" t="s">
        <v>12802</v>
      </c>
      <c r="V3442" t="s">
        <v>12802</v>
      </c>
      <c r="W3442" t="s">
        <v>16194</v>
      </c>
      <c r="X3442">
        <v>8</v>
      </c>
      <c r="Y3442" t="s">
        <v>22436</v>
      </c>
      <c r="Z3442" t="s">
        <v>28760</v>
      </c>
      <c r="AA3442">
        <v>0.32576141207606391</v>
      </c>
      <c r="AB3442" t="str">
        <f>HYPERLINK("Melting_Curves/meltCurve_Q14790_CASP8.pdf", "Melting_Curves/meltCurve_Q14790_CASP8.pdf")</f>
        <v>Melting_Curves/meltCurve_Q14790_CASP8.pdf</v>
      </c>
    </row>
    <row r="3443" spans="1:28" x14ac:dyDescent="0.25">
      <c r="A3443" t="s">
        <v>3447</v>
      </c>
      <c r="B3443">
        <v>0.99542014353169495</v>
      </c>
      <c r="C3443">
        <v>1.00136165032556</v>
      </c>
      <c r="D3443">
        <v>0.9002870429998</v>
      </c>
      <c r="E3443">
        <v>0.73761799357005198</v>
      </c>
      <c r="F3443">
        <v>0.47937433400466201</v>
      </c>
      <c r="G3443">
        <v>0.13980628907600601</v>
      </c>
      <c r="H3443">
        <v>9.0895719755600193E-2</v>
      </c>
      <c r="I3443">
        <v>8.4929743774472405E-2</v>
      </c>
      <c r="J3443">
        <v>0.14200513601161899</v>
      </c>
      <c r="K3443">
        <v>0.21783211134153499</v>
      </c>
      <c r="L3443">
        <v>1066.2790608319201</v>
      </c>
      <c r="M3443">
        <v>21.924310918118401</v>
      </c>
      <c r="N3443">
        <v>49.226502369518997</v>
      </c>
      <c r="O3443">
        <v>48.235359568555502</v>
      </c>
      <c r="P3443">
        <v>-0.100467113691867</v>
      </c>
      <c r="Q3443">
        <v>0.115875030128523</v>
      </c>
      <c r="R3443">
        <v>0.979839638582921</v>
      </c>
      <c r="S3443" t="s">
        <v>9845</v>
      </c>
      <c r="T3443" t="s">
        <v>12802</v>
      </c>
      <c r="U3443" t="s">
        <v>12802</v>
      </c>
      <c r="V3443" t="s">
        <v>12802</v>
      </c>
      <c r="W3443" t="s">
        <v>16195</v>
      </c>
      <c r="X3443">
        <v>6</v>
      </c>
      <c r="Y3443" t="s">
        <v>22437</v>
      </c>
      <c r="Z3443" t="s">
        <v>28761</v>
      </c>
      <c r="AA3443">
        <v>0.4685513821357673</v>
      </c>
      <c r="AB3443" t="str">
        <f>HYPERLINK("Melting_Curves/meltCurve_Q147X3_NAA30.pdf", "Melting_Curves/meltCurve_Q147X3_NAA30.pdf")</f>
        <v>Melting_Curves/meltCurve_Q147X3_NAA30.pdf</v>
      </c>
    </row>
    <row r="3444" spans="1:28" x14ac:dyDescent="0.25">
      <c r="A3444" t="s">
        <v>3448</v>
      </c>
      <c r="B3444">
        <v>0.99542014353169495</v>
      </c>
      <c r="C3444">
        <v>0.95500330924584398</v>
      </c>
      <c r="D3444">
        <v>0.90489110419207897</v>
      </c>
      <c r="E3444">
        <v>0.396166817141415</v>
      </c>
      <c r="F3444">
        <v>0.219795252487334</v>
      </c>
      <c r="G3444">
        <v>0.13265633914331501</v>
      </c>
      <c r="H3444">
        <v>0.12823451803022801</v>
      </c>
      <c r="I3444">
        <v>7.52033457448157E-2</v>
      </c>
      <c r="J3444">
        <v>6.1564133494807098E-2</v>
      </c>
      <c r="K3444">
        <v>6.4694977643946605E-2</v>
      </c>
      <c r="L3444">
        <v>1252.3395501344501</v>
      </c>
      <c r="M3444">
        <v>27.384276780440899</v>
      </c>
      <c r="N3444">
        <v>46.0844745764363</v>
      </c>
      <c r="O3444">
        <v>45.490278780533103</v>
      </c>
      <c r="P3444">
        <v>-0.13627949273985601</v>
      </c>
      <c r="Q3444">
        <v>9.4468167940273406E-2</v>
      </c>
      <c r="R3444">
        <v>0.992617782725424</v>
      </c>
      <c r="S3444" t="s">
        <v>9846</v>
      </c>
      <c r="T3444" t="s">
        <v>12802</v>
      </c>
      <c r="U3444" t="s">
        <v>12802</v>
      </c>
      <c r="V3444" t="s">
        <v>12802</v>
      </c>
      <c r="W3444" t="s">
        <v>16196</v>
      </c>
      <c r="X3444">
        <v>11</v>
      </c>
      <c r="Y3444" t="s">
        <v>22438</v>
      </c>
      <c r="Z3444" t="s">
        <v>28762</v>
      </c>
      <c r="AA3444">
        <v>0.36424097649183002</v>
      </c>
      <c r="AB3444" t="str">
        <f>HYPERLINK("Melting_Curves/meltCurve_Q14807_KIF22.pdf", "Melting_Curves/meltCurve_Q14807_KIF22.pdf")</f>
        <v>Melting_Curves/meltCurve_Q14807_KIF22.pdf</v>
      </c>
    </row>
    <row r="3445" spans="1:28" x14ac:dyDescent="0.25">
      <c r="A3445" t="s">
        <v>3449</v>
      </c>
      <c r="B3445">
        <v>0.99542014353169495</v>
      </c>
      <c r="C3445">
        <v>1.0324990492850701</v>
      </c>
      <c r="D3445">
        <v>0.89264314548994605</v>
      </c>
      <c r="E3445">
        <v>0.86917685984506599</v>
      </c>
      <c r="F3445">
        <v>0.72601179582689102</v>
      </c>
      <c r="G3445">
        <v>0.65047820704478398</v>
      </c>
      <c r="H3445">
        <v>0.49462647159247197</v>
      </c>
      <c r="I3445">
        <v>0.46530902516168299</v>
      </c>
      <c r="J3445">
        <v>0.73874281565916</v>
      </c>
      <c r="K3445">
        <v>0.89720925294100495</v>
      </c>
      <c r="L3445">
        <v>1090.9412427340201</v>
      </c>
      <c r="M3445">
        <v>23.239631753873098</v>
      </c>
      <c r="O3445">
        <v>46.599697371408197</v>
      </c>
      <c r="P3445">
        <v>-4.3813675925027398E-2</v>
      </c>
      <c r="Q3445">
        <v>0.64858871148161801</v>
      </c>
      <c r="R3445">
        <v>0.60483899824726295</v>
      </c>
      <c r="S3445" t="s">
        <v>9847</v>
      </c>
      <c r="T3445" t="s">
        <v>12802</v>
      </c>
      <c r="U3445" t="s">
        <v>12802</v>
      </c>
      <c r="V3445" t="s">
        <v>12802</v>
      </c>
      <c r="W3445" t="s">
        <v>16197</v>
      </c>
      <c r="X3445">
        <v>24</v>
      </c>
      <c r="Y3445" t="s">
        <v>22439</v>
      </c>
      <c r="Z3445" t="s">
        <v>28763</v>
      </c>
      <c r="AA3445">
        <v>0.76847437998518464</v>
      </c>
      <c r="AB3445" t="str">
        <f>HYPERLINK("Melting_Curves/meltCurve_Q14847_LASP1.pdf", "Melting_Curves/meltCurve_Q14847_LASP1.pdf")</f>
        <v>Melting_Curves/meltCurve_Q14847_LASP1.pdf</v>
      </c>
    </row>
    <row r="3446" spans="1:28" x14ac:dyDescent="0.25">
      <c r="A3446" t="s">
        <v>3450</v>
      </c>
      <c r="B3446">
        <v>0.99542014353169495</v>
      </c>
      <c r="C3446">
        <v>1.1704943965511101</v>
      </c>
      <c r="D3446">
        <v>0.91922427601115897</v>
      </c>
      <c r="E3446">
        <v>1.0027192225832899</v>
      </c>
      <c r="F3446">
        <v>0.720475938937435</v>
      </c>
      <c r="G3446">
        <v>0.533769822427138</v>
      </c>
      <c r="H3446">
        <v>0.36296004845653801</v>
      </c>
      <c r="I3446">
        <v>0.319918429467832</v>
      </c>
      <c r="J3446">
        <v>0.354188704348878</v>
      </c>
      <c r="K3446">
        <v>0.43471301790740002</v>
      </c>
      <c r="L3446">
        <v>1379.8849818260601</v>
      </c>
      <c r="M3446">
        <v>27.038361504507499</v>
      </c>
      <c r="N3446">
        <v>53.620815673728302</v>
      </c>
      <c r="O3446">
        <v>50.757641655881599</v>
      </c>
      <c r="P3446">
        <v>-8.4658186093110405E-2</v>
      </c>
      <c r="Q3446">
        <v>0.36430959896359999</v>
      </c>
      <c r="R3446">
        <v>0.94691386637811403</v>
      </c>
      <c r="S3446" t="s">
        <v>9848</v>
      </c>
      <c r="T3446" t="s">
        <v>12802</v>
      </c>
      <c r="U3446" t="s">
        <v>12802</v>
      </c>
      <c r="V3446" t="s">
        <v>12802</v>
      </c>
      <c r="W3446" t="s">
        <v>16198</v>
      </c>
      <c r="X3446">
        <v>3</v>
      </c>
      <c r="Y3446" t="s">
        <v>22440</v>
      </c>
      <c r="Z3446" t="s">
        <v>28764</v>
      </c>
      <c r="AA3446">
        <v>0.66653389981870181</v>
      </c>
      <c r="AB3446" t="str">
        <f>HYPERLINK("Melting_Curves/meltCurve_Q14964_RAB39A.pdf", "Melting_Curves/meltCurve_Q14964_RAB39A.pdf")</f>
        <v>Melting_Curves/meltCurve_Q14964_RAB39A.pdf</v>
      </c>
    </row>
    <row r="3447" spans="1:28" x14ac:dyDescent="0.25">
      <c r="A3447" t="s">
        <v>3451</v>
      </c>
      <c r="B3447">
        <v>0.99542014353169495</v>
      </c>
      <c r="C3447">
        <v>0.87578372690295703</v>
      </c>
      <c r="D3447">
        <v>0.75933528943108197</v>
      </c>
      <c r="E3447">
        <v>0.55672048835413301</v>
      </c>
      <c r="F3447">
        <v>0.28226773994064103</v>
      </c>
      <c r="G3447">
        <v>0.12730260752751099</v>
      </c>
      <c r="H3447">
        <v>7.8932291026610105E-2</v>
      </c>
      <c r="I3447">
        <v>5.8370498331397597E-2</v>
      </c>
      <c r="J3447">
        <v>7.0409726611101994E-2</v>
      </c>
      <c r="K3447">
        <v>8.8518159499435006E-2</v>
      </c>
      <c r="L3447">
        <v>669.46862435966295</v>
      </c>
      <c r="M3447">
        <v>14.3950723221303</v>
      </c>
      <c r="N3447">
        <v>46.780628140028597</v>
      </c>
      <c r="O3447">
        <v>45.636911589187903</v>
      </c>
      <c r="P3447">
        <v>-7.5679272264875294E-2</v>
      </c>
      <c r="Q3447">
        <v>4.0405494757498599E-2</v>
      </c>
      <c r="R3447">
        <v>0.99405735856199395</v>
      </c>
      <c r="S3447" t="s">
        <v>9849</v>
      </c>
      <c r="T3447" t="s">
        <v>12802</v>
      </c>
      <c r="U3447" t="s">
        <v>12802</v>
      </c>
      <c r="V3447" t="s">
        <v>12802</v>
      </c>
      <c r="W3447" t="s">
        <v>16199</v>
      </c>
      <c r="X3447">
        <v>19</v>
      </c>
      <c r="Y3447" t="s">
        <v>22441</v>
      </c>
      <c r="Z3447" t="s">
        <v>28765</v>
      </c>
      <c r="AA3447">
        <v>0.36805067351253112</v>
      </c>
      <c r="AB3447" t="str">
        <f>HYPERLINK("Melting_Curves/meltCurve_Q14966_3_ZNF638.pdf", "Melting_Curves/meltCurve_Q14966_3_ZNF638.pdf")</f>
        <v>Melting_Curves/meltCurve_Q14966_3_ZNF638.pdf</v>
      </c>
    </row>
    <row r="3448" spans="1:28" x14ac:dyDescent="0.25">
      <c r="A3448" t="s">
        <v>3452</v>
      </c>
      <c r="B3448">
        <v>0.99542014353169495</v>
      </c>
      <c r="C3448">
        <v>0.98740640032126903</v>
      </c>
      <c r="D3448">
        <v>0.97977685779981105</v>
      </c>
      <c r="E3448">
        <v>0.60982991665071995</v>
      </c>
      <c r="F3448">
        <v>0.181054428271826</v>
      </c>
      <c r="G3448">
        <v>7.9244094979911306E-2</v>
      </c>
      <c r="H3448">
        <v>4.3353639474064697E-2</v>
      </c>
      <c r="I3448">
        <v>2.87362921134501E-2</v>
      </c>
      <c r="J3448">
        <v>2.9763139344504301E-2</v>
      </c>
      <c r="K3448">
        <v>3.10589554420523E-2</v>
      </c>
      <c r="L3448">
        <v>1423.49619852877</v>
      </c>
      <c r="M3448">
        <v>30.123837760888801</v>
      </c>
      <c r="N3448">
        <v>47.3740420056034</v>
      </c>
      <c r="O3448">
        <v>47.0480157391723</v>
      </c>
      <c r="P3448">
        <v>-0.154227151458841</v>
      </c>
      <c r="Q3448">
        <v>3.6505648980142497E-2</v>
      </c>
      <c r="R3448">
        <v>0.99920910746467795</v>
      </c>
      <c r="S3448" t="s">
        <v>9850</v>
      </c>
      <c r="T3448" t="s">
        <v>12802</v>
      </c>
      <c r="U3448" t="s">
        <v>12802</v>
      </c>
      <c r="V3448" t="s">
        <v>12802</v>
      </c>
      <c r="W3448" t="s">
        <v>16200</v>
      </c>
      <c r="X3448">
        <v>34</v>
      </c>
      <c r="Y3448" t="s">
        <v>22442</v>
      </c>
      <c r="Z3448" t="s">
        <v>28766</v>
      </c>
      <c r="AA3448">
        <v>0.37143426960958048</v>
      </c>
      <c r="AB3448" t="str">
        <f>HYPERLINK("Melting_Curves/meltCurve_Q14974_KPNB1.pdf", "Melting_Curves/meltCurve_Q14974_KPNB1.pdf")</f>
        <v>Melting_Curves/meltCurve_Q14974_KPNB1.pdf</v>
      </c>
    </row>
    <row r="3449" spans="1:28" x14ac:dyDescent="0.25">
      <c r="A3449" t="s">
        <v>3453</v>
      </c>
      <c r="B3449">
        <v>0.99542014353169495</v>
      </c>
      <c r="C3449">
        <v>1.0282237424932501</v>
      </c>
      <c r="D3449">
        <v>0.96682118270403095</v>
      </c>
      <c r="E3449">
        <v>0.81046471348016202</v>
      </c>
      <c r="F3449">
        <v>0.62760681265935303</v>
      </c>
      <c r="G3449">
        <v>0.55016363668453205</v>
      </c>
      <c r="H3449">
        <v>0.43008183243007098</v>
      </c>
      <c r="I3449">
        <v>0.44094981080492701</v>
      </c>
      <c r="J3449">
        <v>0.89264219539149003</v>
      </c>
      <c r="K3449">
        <v>1.2092679203746</v>
      </c>
      <c r="L3449">
        <v>11628.1842112215</v>
      </c>
      <c r="M3449">
        <v>250</v>
      </c>
      <c r="O3449">
        <v>46.509760352283102</v>
      </c>
      <c r="P3449">
        <v>-0.41418004280001403</v>
      </c>
      <c r="Q3449">
        <v>0.69178536792109901</v>
      </c>
      <c r="R3449">
        <v>0.28579205261538998</v>
      </c>
      <c r="S3449" t="s">
        <v>9851</v>
      </c>
      <c r="T3449" t="s">
        <v>12802</v>
      </c>
      <c r="U3449" t="s">
        <v>12802</v>
      </c>
      <c r="V3449" t="s">
        <v>12802</v>
      </c>
      <c r="W3449" t="s">
        <v>16201</v>
      </c>
      <c r="X3449">
        <v>28</v>
      </c>
      <c r="Y3449" t="s">
        <v>22443</v>
      </c>
      <c r="Z3449" t="s">
        <v>28767</v>
      </c>
      <c r="AA3449">
        <v>0.78954268343680889</v>
      </c>
      <c r="AB3449" t="str">
        <f>HYPERLINK("Melting_Curves/meltCurve_Q14978_2_NOLC1.pdf", "Melting_Curves/meltCurve_Q14978_2_NOLC1.pdf")</f>
        <v>Melting_Curves/meltCurve_Q14978_2_NOLC1.pdf</v>
      </c>
    </row>
    <row r="3450" spans="1:28" x14ac:dyDescent="0.25">
      <c r="A3450" t="s">
        <v>3454</v>
      </c>
      <c r="B3450">
        <v>0.99542014353169495</v>
      </c>
      <c r="C3450">
        <v>0.81563319007549295</v>
      </c>
      <c r="D3450">
        <v>0.60712028527201201</v>
      </c>
      <c r="E3450">
        <v>0.33323650482761802</v>
      </c>
      <c r="F3450">
        <v>0.17592166217111699</v>
      </c>
      <c r="G3450">
        <v>0.105341781256238</v>
      </c>
      <c r="H3450">
        <v>6.88676462806979E-2</v>
      </c>
      <c r="I3450">
        <v>4.9999698245083601E-2</v>
      </c>
      <c r="J3450">
        <v>5.3604445115088897E-2</v>
      </c>
      <c r="K3450">
        <v>6.1335841478170401E-2</v>
      </c>
      <c r="L3450">
        <v>678.93167856831406</v>
      </c>
      <c r="M3450">
        <v>15.4331394648726</v>
      </c>
      <c r="N3450">
        <v>44.281206599290499</v>
      </c>
      <c r="O3450">
        <v>43.273062229217899</v>
      </c>
      <c r="P3450">
        <v>-8.4891889105724996E-2</v>
      </c>
      <c r="Q3450">
        <v>4.7971087433721103E-2</v>
      </c>
      <c r="R3450">
        <v>0.997590841237042</v>
      </c>
      <c r="S3450" t="s">
        <v>9852</v>
      </c>
      <c r="T3450" t="s">
        <v>12802</v>
      </c>
      <c r="U3450" t="s">
        <v>12802</v>
      </c>
      <c r="V3450" t="s">
        <v>12802</v>
      </c>
      <c r="W3450" t="s">
        <v>16202</v>
      </c>
      <c r="X3450">
        <v>50</v>
      </c>
      <c r="Y3450" t="s">
        <v>22444</v>
      </c>
      <c r="Z3450" t="s">
        <v>28768</v>
      </c>
      <c r="AA3450">
        <v>0.29214331717716391</v>
      </c>
      <c r="AB3450" t="str">
        <f>HYPERLINK("Melting_Curves/meltCurve_Q14980_NUMA1.pdf", "Melting_Curves/meltCurve_Q14980_NUMA1.pdf")</f>
        <v>Melting_Curves/meltCurve_Q14980_NUMA1.pdf</v>
      </c>
    </row>
    <row r="3451" spans="1:28" x14ac:dyDescent="0.25">
      <c r="A3451" t="s">
        <v>3455</v>
      </c>
      <c r="B3451">
        <v>0.99542014353169495</v>
      </c>
      <c r="C3451">
        <v>0.94190088638342195</v>
      </c>
      <c r="D3451">
        <v>0.90622674572469797</v>
      </c>
      <c r="E3451">
        <v>0.72263527417432505</v>
      </c>
      <c r="F3451">
        <v>0.39563789161113899</v>
      </c>
      <c r="G3451">
        <v>0.16525450563442901</v>
      </c>
      <c r="H3451">
        <v>8.13414718407654E-2</v>
      </c>
      <c r="I3451">
        <v>6.4679374204012305E-2</v>
      </c>
      <c r="J3451">
        <v>7.9166202528972496E-2</v>
      </c>
      <c r="K3451">
        <v>9.2950678115743507E-2</v>
      </c>
      <c r="L3451">
        <v>944.80927457989003</v>
      </c>
      <c r="M3451">
        <v>19.4631891553997</v>
      </c>
      <c r="N3451">
        <v>48.863125414477203</v>
      </c>
      <c r="O3451">
        <v>48.039655822557499</v>
      </c>
      <c r="P3451">
        <v>-9.52347148412441E-2</v>
      </c>
      <c r="Q3451">
        <v>5.9788798393368897E-2</v>
      </c>
      <c r="R3451">
        <v>0.99677237271080099</v>
      </c>
      <c r="S3451" t="s">
        <v>9853</v>
      </c>
      <c r="T3451" t="s">
        <v>12802</v>
      </c>
      <c r="U3451" t="s">
        <v>12802</v>
      </c>
      <c r="V3451" t="s">
        <v>12802</v>
      </c>
      <c r="W3451" t="s">
        <v>16203</v>
      </c>
      <c r="X3451">
        <v>16</v>
      </c>
      <c r="Y3451" t="s">
        <v>22445</v>
      </c>
      <c r="Z3451" t="s">
        <v>28769</v>
      </c>
      <c r="AA3451">
        <v>0.43457526486821502</v>
      </c>
      <c r="AB3451" t="str">
        <f>HYPERLINK("Melting_Curves/meltCurve_Q14997_PSME4.pdf", "Melting_Curves/meltCurve_Q14997_PSME4.pdf")</f>
        <v>Melting_Curves/meltCurve_Q14997_PSME4.pdf</v>
      </c>
    </row>
    <row r="3452" spans="1:28" x14ac:dyDescent="0.25">
      <c r="A3452" t="s">
        <v>3456</v>
      </c>
      <c r="B3452">
        <v>0.99542014353169495</v>
      </c>
      <c r="C3452">
        <v>0.86314901330990501</v>
      </c>
      <c r="D3452">
        <v>0.89285176699773205</v>
      </c>
      <c r="E3452">
        <v>0.51308001112371104</v>
      </c>
      <c r="F3452">
        <v>0.26679119829172199</v>
      </c>
      <c r="G3452">
        <v>0.13168842560243499</v>
      </c>
      <c r="H3452">
        <v>8.7629239663056496E-2</v>
      </c>
      <c r="I3452">
        <v>7.2489097143161693E-2</v>
      </c>
      <c r="J3452">
        <v>6.8409874218590294E-2</v>
      </c>
      <c r="K3452">
        <v>6.2634546188963594E-2</v>
      </c>
      <c r="L3452">
        <v>852.68791009060703</v>
      </c>
      <c r="M3452">
        <v>18.281472249561599</v>
      </c>
      <c r="N3452">
        <v>46.964949107231</v>
      </c>
      <c r="O3452">
        <v>46.094830077219299</v>
      </c>
      <c r="P3452">
        <v>-9.3302608655992297E-2</v>
      </c>
      <c r="Q3452">
        <v>5.9032159124755103E-2</v>
      </c>
      <c r="R3452">
        <v>0.99031232460156404</v>
      </c>
      <c r="S3452" t="s">
        <v>9854</v>
      </c>
      <c r="T3452" t="s">
        <v>12802</v>
      </c>
      <c r="U3452" t="s">
        <v>12802</v>
      </c>
      <c r="V3452" t="s">
        <v>12802</v>
      </c>
      <c r="W3452" t="s">
        <v>16204</v>
      </c>
      <c r="X3452">
        <v>8</v>
      </c>
      <c r="Y3452" t="s">
        <v>22446</v>
      </c>
      <c r="Z3452" t="s">
        <v>28770</v>
      </c>
      <c r="AA3452">
        <v>0.37615028328461181</v>
      </c>
      <c r="AB3452" t="str">
        <f>HYPERLINK("Melting_Curves/meltCurve_Q14BN4_SLMAP.pdf", "Melting_Curves/meltCurve_Q14BN4_SLMAP.pdf")</f>
        <v>Melting_Curves/meltCurve_Q14BN4_SLMAP.pdf</v>
      </c>
    </row>
    <row r="3453" spans="1:28" x14ac:dyDescent="0.25">
      <c r="A3453" t="s">
        <v>3457</v>
      </c>
      <c r="B3453">
        <v>0.99542014353169495</v>
      </c>
      <c r="C3453">
        <v>0.89064315932467597</v>
      </c>
      <c r="D3453">
        <v>0.85544796939188805</v>
      </c>
      <c r="E3453">
        <v>0.54732788089471396</v>
      </c>
      <c r="F3453">
        <v>0.170170156609595</v>
      </c>
      <c r="G3453">
        <v>9.7070676170413997E-2</v>
      </c>
      <c r="H3453">
        <v>6.1682913202482197E-2</v>
      </c>
      <c r="I3453">
        <v>4.5501391510921502E-2</v>
      </c>
      <c r="J3453">
        <v>5.1476898746583101E-2</v>
      </c>
      <c r="K3453">
        <v>5.4458200706896498E-2</v>
      </c>
      <c r="L3453">
        <v>981.424016131857</v>
      </c>
      <c r="M3453">
        <v>21.087829041626499</v>
      </c>
      <c r="N3453">
        <v>46.733628898117097</v>
      </c>
      <c r="O3453">
        <v>46.1274002760426</v>
      </c>
      <c r="P3453">
        <v>-0.10950917480568199</v>
      </c>
      <c r="Q3453">
        <v>4.1866667109611198E-2</v>
      </c>
      <c r="R3453">
        <v>0.99334533269053404</v>
      </c>
      <c r="S3453" t="s">
        <v>9855</v>
      </c>
      <c r="T3453" t="s">
        <v>12802</v>
      </c>
      <c r="U3453" t="s">
        <v>12802</v>
      </c>
      <c r="V3453" t="s">
        <v>12802</v>
      </c>
      <c r="W3453" t="s">
        <v>16205</v>
      </c>
      <c r="X3453">
        <v>48</v>
      </c>
      <c r="Y3453" t="s">
        <v>22447</v>
      </c>
      <c r="Z3453" t="s">
        <v>28771</v>
      </c>
      <c r="AA3453">
        <v>0.35781951285794578</v>
      </c>
      <c r="AB3453" t="str">
        <f>HYPERLINK("Melting_Curves/meltCurve_Q14C86_6_GAPVD1.pdf", "Melting_Curves/meltCurve_Q14C86_6_GAPVD1.pdf")</f>
        <v>Melting_Curves/meltCurve_Q14C86_6_GAPVD1.pdf</v>
      </c>
    </row>
    <row r="3454" spans="1:28" x14ac:dyDescent="0.25">
      <c r="A3454" t="s">
        <v>3458</v>
      </c>
      <c r="B3454">
        <v>0.99542014353169495</v>
      </c>
      <c r="C3454">
        <v>0.95807142218846897</v>
      </c>
      <c r="D3454">
        <v>0.94508172725712103</v>
      </c>
      <c r="E3454">
        <v>0.76457697016592197</v>
      </c>
      <c r="F3454">
        <v>0.53552723915515299</v>
      </c>
      <c r="G3454">
        <v>0.14613700823102699</v>
      </c>
      <c r="H3454">
        <v>8.9167169221994899E-2</v>
      </c>
      <c r="I3454">
        <v>6.5458561969357607E-2</v>
      </c>
      <c r="J3454">
        <v>6.7625461819605104E-2</v>
      </c>
      <c r="K3454">
        <v>7.4444928647694406E-2</v>
      </c>
      <c r="L3454">
        <v>1013.8709398006999</v>
      </c>
      <c r="M3454">
        <v>20.420995180497101</v>
      </c>
      <c r="N3454">
        <v>49.880648270332401</v>
      </c>
      <c r="O3454">
        <v>49.179709813873401</v>
      </c>
      <c r="P3454">
        <v>-9.9104406590425007E-2</v>
      </c>
      <c r="Q3454">
        <v>4.5339404137606003E-2</v>
      </c>
      <c r="R3454">
        <v>0.99223980347537699</v>
      </c>
      <c r="S3454" t="s">
        <v>9856</v>
      </c>
      <c r="T3454" t="s">
        <v>12802</v>
      </c>
      <c r="U3454" t="s">
        <v>12802</v>
      </c>
      <c r="V3454" t="s">
        <v>12802</v>
      </c>
      <c r="W3454" t="s">
        <v>16206</v>
      </c>
      <c r="X3454">
        <v>26</v>
      </c>
      <c r="Y3454" t="s">
        <v>22448</v>
      </c>
      <c r="Z3454" t="s">
        <v>28772</v>
      </c>
      <c r="AA3454">
        <v>0.45995973927675532</v>
      </c>
      <c r="AB3454" t="str">
        <f>HYPERLINK("Melting_Curves/meltCurve_Q14CX7_NAA25.pdf", "Melting_Curves/meltCurve_Q14CX7_NAA25.pdf")</f>
        <v>Melting_Curves/meltCurve_Q14CX7_NAA25.pdf</v>
      </c>
    </row>
    <row r="3455" spans="1:28" x14ac:dyDescent="0.25">
      <c r="A3455" t="s">
        <v>3459</v>
      </c>
      <c r="B3455">
        <v>0.99542014353169495</v>
      </c>
      <c r="C3455">
        <v>0.96698762543477201</v>
      </c>
      <c r="D3455">
        <v>0.63048842791256499</v>
      </c>
      <c r="E3455">
        <v>0.24697542662166999</v>
      </c>
      <c r="F3455">
        <v>0.154898462433575</v>
      </c>
      <c r="G3455">
        <v>0.10058086363707899</v>
      </c>
      <c r="H3455">
        <v>0.113606706427198</v>
      </c>
      <c r="I3455">
        <v>6.8381741240486502E-2</v>
      </c>
      <c r="J3455">
        <v>0.109494568282881</v>
      </c>
      <c r="K3455">
        <v>6.3133866153722004E-2</v>
      </c>
      <c r="L3455">
        <v>1156.6444499115501</v>
      </c>
      <c r="M3455">
        <v>26.454282043304701</v>
      </c>
      <c r="N3455">
        <v>44.0742027542328</v>
      </c>
      <c r="O3455">
        <v>43.474841933790699</v>
      </c>
      <c r="P3455">
        <v>-0.13764687329202499</v>
      </c>
      <c r="Q3455">
        <v>9.5176836877523194E-2</v>
      </c>
      <c r="R3455">
        <v>0.99634347174070104</v>
      </c>
      <c r="S3455" t="s">
        <v>9857</v>
      </c>
      <c r="T3455" t="s">
        <v>12802</v>
      </c>
      <c r="U3455" t="s">
        <v>12802</v>
      </c>
      <c r="V3455" t="s">
        <v>12802</v>
      </c>
      <c r="W3455" t="s">
        <v>16207</v>
      </c>
      <c r="X3455">
        <v>2</v>
      </c>
      <c r="Y3455" t="s">
        <v>22449</v>
      </c>
      <c r="Z3455" t="s">
        <v>28773</v>
      </c>
      <c r="AA3455">
        <v>0.30451690210219889</v>
      </c>
      <c r="AB3455" t="str">
        <f>HYPERLINK("Melting_Curves/meltCurve_Q14CZ7_FASTKD3.pdf", "Melting_Curves/meltCurve_Q14CZ7_FASTKD3.pdf")</f>
        <v>Melting_Curves/meltCurve_Q14CZ7_FASTKD3.pdf</v>
      </c>
    </row>
    <row r="3456" spans="1:28" x14ac:dyDescent="0.25">
      <c r="A3456" t="s">
        <v>3460</v>
      </c>
      <c r="B3456">
        <v>0.99542014353169495</v>
      </c>
      <c r="C3456">
        <v>0.86370537298051897</v>
      </c>
      <c r="D3456">
        <v>1.00821361753816</v>
      </c>
      <c r="E3456">
        <v>0.52539288816859298</v>
      </c>
      <c r="F3456">
        <v>0.16416244454385701</v>
      </c>
      <c r="G3456">
        <v>8.5220385640715393E-2</v>
      </c>
      <c r="H3456">
        <v>6.482091933985E-2</v>
      </c>
      <c r="I3456">
        <v>4.8321865048879697E-2</v>
      </c>
      <c r="J3456">
        <v>4.7306965792071401E-2</v>
      </c>
      <c r="K3456">
        <v>4.5216962278693297E-2</v>
      </c>
      <c r="L3456">
        <v>1585.49532569453</v>
      </c>
      <c r="M3456">
        <v>33.964008126518102</v>
      </c>
      <c r="N3456">
        <v>46.855011400597199</v>
      </c>
      <c r="O3456">
        <v>46.520693329078803</v>
      </c>
      <c r="P3456">
        <v>-0.17174443419150301</v>
      </c>
      <c r="Q3456">
        <v>5.9046518868492499E-2</v>
      </c>
      <c r="R3456">
        <v>0.985730219760236</v>
      </c>
      <c r="S3456" t="s">
        <v>9858</v>
      </c>
      <c r="T3456" t="s">
        <v>12802</v>
      </c>
      <c r="U3456" t="s">
        <v>12802</v>
      </c>
      <c r="V3456" t="s">
        <v>12802</v>
      </c>
      <c r="W3456" t="s">
        <v>16208</v>
      </c>
      <c r="X3456">
        <v>21</v>
      </c>
      <c r="Y3456" t="s">
        <v>22450</v>
      </c>
      <c r="Z3456" t="s">
        <v>28774</v>
      </c>
      <c r="AA3456">
        <v>0.36693951107930117</v>
      </c>
      <c r="AB3456" t="str">
        <f>HYPERLINK("Melting_Curves/meltCurve_Q15003_NCAPH.pdf", "Melting_Curves/meltCurve_Q15003_NCAPH.pdf")</f>
        <v>Melting_Curves/meltCurve_Q15003_NCAPH.pdf</v>
      </c>
    </row>
    <row r="3457" spans="1:28" x14ac:dyDescent="0.25">
      <c r="A3457" t="s">
        <v>3461</v>
      </c>
      <c r="B3457">
        <v>0.99542014353169495</v>
      </c>
      <c r="C3457">
        <v>1.02225912930892</v>
      </c>
      <c r="D3457">
        <v>0.97903306119840605</v>
      </c>
      <c r="E3457">
        <v>0.94627943703974904</v>
      </c>
      <c r="F3457">
        <v>0.85232961084625303</v>
      </c>
      <c r="G3457">
        <v>0.74207029826331194</v>
      </c>
      <c r="H3457">
        <v>0.617668705412868</v>
      </c>
      <c r="I3457">
        <v>0.594100133205967</v>
      </c>
      <c r="J3457">
        <v>0.83345561661265299</v>
      </c>
      <c r="K3457">
        <v>1.0223943311653401</v>
      </c>
      <c r="L3457">
        <v>1706.6025965582301</v>
      </c>
      <c r="M3457">
        <v>34.9150886159225</v>
      </c>
      <c r="O3457">
        <v>48.719137620763703</v>
      </c>
      <c r="P3457">
        <v>-4.2508627735321297E-2</v>
      </c>
      <c r="Q3457">
        <v>0.76274135199542104</v>
      </c>
      <c r="R3457">
        <v>0.47237656307970399</v>
      </c>
      <c r="S3457" t="s">
        <v>9859</v>
      </c>
      <c r="T3457" t="s">
        <v>12802</v>
      </c>
      <c r="U3457" t="s">
        <v>12802</v>
      </c>
      <c r="V3457" t="s">
        <v>12802</v>
      </c>
      <c r="W3457" t="s">
        <v>16209</v>
      </c>
      <c r="X3457">
        <v>8</v>
      </c>
      <c r="Y3457" t="s">
        <v>22451</v>
      </c>
      <c r="Z3457" t="s">
        <v>28775</v>
      </c>
      <c r="AA3457">
        <v>0.85773878596663666</v>
      </c>
      <c r="AB3457" t="str">
        <f>HYPERLINK("Melting_Curves/meltCurve_Q15004_KIAA0101.pdf", "Melting_Curves/meltCurve_Q15004_KIAA0101.pdf")</f>
        <v>Melting_Curves/meltCurve_Q15004_KIAA0101.pdf</v>
      </c>
    </row>
    <row r="3458" spans="1:28" x14ac:dyDescent="0.25">
      <c r="A3458" t="s">
        <v>3462</v>
      </c>
      <c r="B3458">
        <v>0.99542014353169495</v>
      </c>
      <c r="C3458">
        <v>0.82693228333642499</v>
      </c>
      <c r="D3458">
        <v>0.90535397420819397</v>
      </c>
      <c r="E3458">
        <v>0.57792330240976197</v>
      </c>
      <c r="F3458">
        <v>0.470577335804094</v>
      </c>
      <c r="G3458">
        <v>0.236561317590431</v>
      </c>
      <c r="H3458">
        <v>8.6912674233953394E-2</v>
      </c>
      <c r="I3458">
        <v>5.2836486460315198E-2</v>
      </c>
      <c r="J3458">
        <v>5.0715182726806501E-2</v>
      </c>
      <c r="K3458">
        <v>4.5243844279182703E-2</v>
      </c>
      <c r="L3458">
        <v>596.68211505069701</v>
      </c>
      <c r="M3458">
        <v>12.2642372600891</v>
      </c>
      <c r="N3458">
        <v>48.6521992984298</v>
      </c>
      <c r="O3458">
        <v>47.412926649170899</v>
      </c>
      <c r="P3458">
        <v>-6.4681486814242198E-2</v>
      </c>
      <c r="Q3458">
        <v>0</v>
      </c>
      <c r="R3458">
        <v>0.97925477692680296</v>
      </c>
      <c r="S3458" t="s">
        <v>9860</v>
      </c>
      <c r="T3458" t="s">
        <v>12802</v>
      </c>
      <c r="U3458" t="s">
        <v>12802</v>
      </c>
      <c r="V3458" t="s">
        <v>12802</v>
      </c>
      <c r="W3458" t="s">
        <v>16210</v>
      </c>
      <c r="X3458">
        <v>10</v>
      </c>
      <c r="Y3458" t="s">
        <v>22452</v>
      </c>
      <c r="Z3458" t="s">
        <v>28776</v>
      </c>
      <c r="AA3458">
        <v>0.41778880718180461</v>
      </c>
      <c r="AB3458" t="str">
        <f>HYPERLINK("Melting_Curves/meltCurve_Q15006_EMC2.pdf", "Melting_Curves/meltCurve_Q15006_EMC2.pdf")</f>
        <v>Melting_Curves/meltCurve_Q15006_EMC2.pdf</v>
      </c>
    </row>
    <row r="3459" spans="1:28" x14ac:dyDescent="0.25">
      <c r="A3459" t="s">
        <v>3463</v>
      </c>
      <c r="B3459">
        <v>0.99542014353169495</v>
      </c>
      <c r="C3459">
        <v>0.86571658082042602</v>
      </c>
      <c r="D3459">
        <v>0.95833796815030103</v>
      </c>
      <c r="E3459">
        <v>0.64540052331489195</v>
      </c>
      <c r="F3459">
        <v>0.23137954111253101</v>
      </c>
      <c r="G3459">
        <v>0.12428799518554901</v>
      </c>
      <c r="H3459">
        <v>8.4184911586508801E-2</v>
      </c>
      <c r="I3459">
        <v>6.02850118551011E-2</v>
      </c>
      <c r="J3459">
        <v>7.8503955856750504E-2</v>
      </c>
      <c r="K3459">
        <v>7.9103747784566303E-2</v>
      </c>
      <c r="L3459">
        <v>1263.9664249935399</v>
      </c>
      <c r="M3459">
        <v>26.671149781926001</v>
      </c>
      <c r="N3459">
        <v>47.675818607009603</v>
      </c>
      <c r="O3459">
        <v>47.126762108369597</v>
      </c>
      <c r="P3459">
        <v>-0.13106023478998499</v>
      </c>
      <c r="Q3459">
        <v>7.3698706266242003E-2</v>
      </c>
      <c r="R3459">
        <v>0.98819370348718005</v>
      </c>
      <c r="S3459" t="s">
        <v>9861</v>
      </c>
      <c r="T3459" t="s">
        <v>12802</v>
      </c>
      <c r="U3459" t="s">
        <v>12802</v>
      </c>
      <c r="V3459" t="s">
        <v>12802</v>
      </c>
      <c r="W3459" t="s">
        <v>16211</v>
      </c>
      <c r="X3459">
        <v>13</v>
      </c>
      <c r="Y3459" t="s">
        <v>22453</v>
      </c>
      <c r="Z3459" t="s">
        <v>28777</v>
      </c>
      <c r="AA3459">
        <v>0.40140403462261709</v>
      </c>
      <c r="AB3459" t="str">
        <f>HYPERLINK("Melting_Curves/meltCurve_Q15007_WTAP.pdf", "Melting_Curves/meltCurve_Q15007_WTAP.pdf")</f>
        <v>Melting_Curves/meltCurve_Q15007_WTAP.pdf</v>
      </c>
    </row>
    <row r="3460" spans="1:28" x14ac:dyDescent="0.25">
      <c r="A3460" t="s">
        <v>3464</v>
      </c>
      <c r="B3460">
        <v>0.99542014353169495</v>
      </c>
      <c r="C3460">
        <v>0.82424214097028303</v>
      </c>
      <c r="D3460">
        <v>0.90418725719910897</v>
      </c>
      <c r="E3460">
        <v>0.70276360775860403</v>
      </c>
      <c r="F3460">
        <v>0.42417347912979098</v>
      </c>
      <c r="G3460">
        <v>0.23492880646395201</v>
      </c>
      <c r="H3460">
        <v>0.14028874815151801</v>
      </c>
      <c r="I3460">
        <v>4.7032774157389601E-2</v>
      </c>
      <c r="J3460">
        <v>3.8854304249593297E-2</v>
      </c>
      <c r="K3460">
        <v>3.8947960202136901E-2</v>
      </c>
      <c r="L3460">
        <v>648.20654100177603</v>
      </c>
      <c r="M3460">
        <v>13.179830221045499</v>
      </c>
      <c r="N3460">
        <v>49.181695636458201</v>
      </c>
      <c r="O3460">
        <v>48.090820728313297</v>
      </c>
      <c r="P3460">
        <v>-6.8526785284551098E-2</v>
      </c>
      <c r="Q3460">
        <v>0</v>
      </c>
      <c r="R3460">
        <v>0.98495601427799895</v>
      </c>
      <c r="S3460" t="s">
        <v>9862</v>
      </c>
      <c r="T3460" t="s">
        <v>12802</v>
      </c>
      <c r="U3460" t="s">
        <v>12802</v>
      </c>
      <c r="V3460" t="s">
        <v>12802</v>
      </c>
      <c r="W3460" t="s">
        <v>16212</v>
      </c>
      <c r="X3460">
        <v>19</v>
      </c>
      <c r="Y3460" t="s">
        <v>22454</v>
      </c>
      <c r="Z3460" t="s">
        <v>28778</v>
      </c>
      <c r="AA3460">
        <v>0.43197491125981508</v>
      </c>
      <c r="AB3460" t="str">
        <f>HYPERLINK("Melting_Curves/meltCurve_Q15008_PSMD6.pdf", "Melting_Curves/meltCurve_Q15008_PSMD6.pdf")</f>
        <v>Melting_Curves/meltCurve_Q15008_PSMD6.pdf</v>
      </c>
    </row>
    <row r="3461" spans="1:28" x14ac:dyDescent="0.25">
      <c r="A3461" t="s">
        <v>3465</v>
      </c>
      <c r="B3461">
        <v>0.99542014353169495</v>
      </c>
      <c r="C3461">
        <v>0.99857355965008698</v>
      </c>
      <c r="D3461">
        <v>0.78826986435019397</v>
      </c>
      <c r="E3461">
        <v>0.77024446286874304</v>
      </c>
      <c r="F3461">
        <v>0.482227964359141</v>
      </c>
      <c r="G3461">
        <v>0.27106835087538</v>
      </c>
      <c r="H3461">
        <v>9.8713780753737795E-2</v>
      </c>
      <c r="I3461">
        <v>8.5863632396662004E-2</v>
      </c>
      <c r="J3461">
        <v>6.7198637193020494E-2</v>
      </c>
      <c r="K3461">
        <v>9.6046285404156606E-2</v>
      </c>
      <c r="L3461">
        <v>691.99803694936998</v>
      </c>
      <c r="M3461">
        <v>13.969838901840999</v>
      </c>
      <c r="N3461">
        <v>49.7436044135641</v>
      </c>
      <c r="O3461">
        <v>48.553229788800401</v>
      </c>
      <c r="P3461">
        <v>-6.9894816731820894E-2</v>
      </c>
      <c r="Q3461">
        <v>2.84308066189373E-2</v>
      </c>
      <c r="R3461">
        <v>0.98494470937651402</v>
      </c>
      <c r="S3461" t="s">
        <v>9863</v>
      </c>
      <c r="T3461" t="s">
        <v>12802</v>
      </c>
      <c r="U3461" t="s">
        <v>12802</v>
      </c>
      <c r="V3461" t="s">
        <v>12802</v>
      </c>
      <c r="W3461" t="s">
        <v>16213</v>
      </c>
      <c r="X3461">
        <v>2</v>
      </c>
      <c r="Y3461" t="s">
        <v>22455</v>
      </c>
      <c r="Z3461" t="s">
        <v>28779</v>
      </c>
      <c r="AA3461">
        <v>0.45725118416713678</v>
      </c>
      <c r="AB3461" t="str">
        <f>HYPERLINK("Melting_Curves/meltCurve_Q15011_3_HERPUD1.pdf", "Melting_Curves/meltCurve_Q15011_3_HERPUD1.pdf")</f>
        <v>Melting_Curves/meltCurve_Q15011_3_HERPUD1.pdf</v>
      </c>
    </row>
    <row r="3462" spans="1:28" x14ac:dyDescent="0.25">
      <c r="A3462" t="s">
        <v>3466</v>
      </c>
      <c r="B3462">
        <v>0.99542014353169495</v>
      </c>
      <c r="C3462">
        <v>0.93903030502097196</v>
      </c>
      <c r="D3462">
        <v>0.92560394924883405</v>
      </c>
      <c r="E3462">
        <v>0.76870418083758596</v>
      </c>
      <c r="F3462">
        <v>0.63342668240345301</v>
      </c>
      <c r="G3462">
        <v>0.44650373814793798</v>
      </c>
      <c r="H3462">
        <v>0.355999814023859</v>
      </c>
      <c r="I3462">
        <v>0.29464007848021601</v>
      </c>
      <c r="J3462">
        <v>0.377068831329399</v>
      </c>
      <c r="K3462">
        <v>0.36104604691907199</v>
      </c>
      <c r="L3462">
        <v>738.41522347774901</v>
      </c>
      <c r="M3462">
        <v>15.088444237965501</v>
      </c>
      <c r="N3462">
        <v>52.452129312802199</v>
      </c>
      <c r="O3462">
        <v>48.1036240059248</v>
      </c>
      <c r="P3462">
        <v>-5.3485942664133201E-2</v>
      </c>
      <c r="Q3462">
        <v>0.31799101176935701</v>
      </c>
      <c r="R3462">
        <v>0.98561801636632596</v>
      </c>
      <c r="S3462" t="s">
        <v>9864</v>
      </c>
      <c r="T3462" t="s">
        <v>12802</v>
      </c>
      <c r="U3462" t="s">
        <v>12802</v>
      </c>
      <c r="V3462" t="s">
        <v>12802</v>
      </c>
      <c r="W3462" t="s">
        <v>16214</v>
      </c>
      <c r="X3462">
        <v>1</v>
      </c>
      <c r="Y3462" t="s">
        <v>22456</v>
      </c>
      <c r="Z3462" t="s">
        <v>28780</v>
      </c>
      <c r="AA3462">
        <v>0.60396916161909953</v>
      </c>
      <c r="AB3462" t="str">
        <f>HYPERLINK("Melting_Curves/meltCurve_Q15012_LAPTM4A.pdf", "Melting_Curves/meltCurve_Q15012_LAPTM4A.pdf")</f>
        <v>Melting_Curves/meltCurve_Q15012_LAPTM4A.pdf</v>
      </c>
    </row>
    <row r="3463" spans="1:28" x14ac:dyDescent="0.25">
      <c r="A3463" t="s">
        <v>3467</v>
      </c>
      <c r="B3463">
        <v>0.99542014353169495</v>
      </c>
      <c r="C3463">
        <v>0.97854981233373095</v>
      </c>
      <c r="D3463">
        <v>0.96081966835557597</v>
      </c>
      <c r="E3463">
        <v>0.738146733595195</v>
      </c>
      <c r="F3463">
        <v>0.528786103356364</v>
      </c>
      <c r="G3463">
        <v>0.26954951283967099</v>
      </c>
      <c r="H3463">
        <v>8.9943517097729506E-2</v>
      </c>
      <c r="I3463">
        <v>6.5814160732038302E-2</v>
      </c>
      <c r="J3463">
        <v>4.8466894627645397E-2</v>
      </c>
      <c r="K3463">
        <v>5.5208290066999802E-2</v>
      </c>
      <c r="L3463">
        <v>813.33950856797298</v>
      </c>
      <c r="M3463">
        <v>16.237585435512301</v>
      </c>
      <c r="N3463">
        <v>50.205644630287502</v>
      </c>
      <c r="O3463">
        <v>49.3486819911057</v>
      </c>
      <c r="P3463">
        <v>-8.0754740980371206E-2</v>
      </c>
      <c r="Q3463">
        <v>1.83651170808771E-2</v>
      </c>
      <c r="R3463">
        <v>0.99686496171324801</v>
      </c>
      <c r="S3463" t="s">
        <v>9865</v>
      </c>
      <c r="T3463" t="s">
        <v>12802</v>
      </c>
      <c r="U3463" t="s">
        <v>12802</v>
      </c>
      <c r="V3463" t="s">
        <v>12802</v>
      </c>
      <c r="W3463" t="s">
        <v>16215</v>
      </c>
      <c r="X3463">
        <v>4</v>
      </c>
      <c r="Y3463" t="s">
        <v>22457</v>
      </c>
      <c r="Z3463" t="s">
        <v>28781</v>
      </c>
      <c r="AA3463">
        <v>0.46487348045012722</v>
      </c>
      <c r="AB3463" t="str">
        <f>HYPERLINK("Melting_Curves/meltCurve_Q15013_MAD2L1BP.pdf", "Melting_Curves/meltCurve_Q15013_MAD2L1BP.pdf")</f>
        <v>Melting_Curves/meltCurve_Q15013_MAD2L1BP.pdf</v>
      </c>
    </row>
    <row r="3464" spans="1:28" x14ac:dyDescent="0.25">
      <c r="A3464" t="s">
        <v>3468</v>
      </c>
      <c r="B3464">
        <v>0.99542014353169495</v>
      </c>
      <c r="C3464">
        <v>0.93834277718668202</v>
      </c>
      <c r="D3464">
        <v>0.99060844289039596</v>
      </c>
      <c r="E3464">
        <v>0.85419695628596204</v>
      </c>
      <c r="F3464">
        <v>0.81295770058922701</v>
      </c>
      <c r="G3464">
        <v>0.52882184935047605</v>
      </c>
      <c r="H3464">
        <v>0.43824744304839303</v>
      </c>
      <c r="I3464">
        <v>0.31179716916693201</v>
      </c>
      <c r="J3464">
        <v>0.24825626824041999</v>
      </c>
      <c r="K3464">
        <v>0.12512998455893601</v>
      </c>
      <c r="L3464">
        <v>562.18219320363198</v>
      </c>
      <c r="M3464">
        <v>10.078555901617801</v>
      </c>
      <c r="N3464">
        <v>55.799681434117097</v>
      </c>
      <c r="O3464">
        <v>53.717555101488998</v>
      </c>
      <c r="P3464">
        <v>-4.6844287161513502E-2</v>
      </c>
      <c r="Q3464">
        <v>1.7723449009878699E-3</v>
      </c>
      <c r="R3464">
        <v>0.98592309335130102</v>
      </c>
      <c r="S3464" t="s">
        <v>9866</v>
      </c>
      <c r="T3464" t="s">
        <v>12802</v>
      </c>
      <c r="U3464" t="s">
        <v>12802</v>
      </c>
      <c r="V3464" t="s">
        <v>12802</v>
      </c>
      <c r="W3464" t="s">
        <v>16216</v>
      </c>
      <c r="X3464">
        <v>13</v>
      </c>
      <c r="Y3464" t="s">
        <v>22458</v>
      </c>
      <c r="Z3464" t="s">
        <v>28782</v>
      </c>
      <c r="AA3464">
        <v>0.63430470182115628</v>
      </c>
      <c r="AB3464" t="str">
        <f>HYPERLINK("Melting_Curves/meltCurve_Q15018_FAM175B.pdf", "Melting_Curves/meltCurve_Q15018_FAM175B.pdf")</f>
        <v>Melting_Curves/meltCurve_Q15018_FAM175B.pdf</v>
      </c>
    </row>
    <row r="3465" spans="1:28" x14ac:dyDescent="0.25">
      <c r="A3465" t="s">
        <v>3469</v>
      </c>
      <c r="B3465">
        <v>0.99542014353169495</v>
      </c>
      <c r="C3465">
        <v>1.0060407493194501</v>
      </c>
      <c r="D3465">
        <v>0.95030743128020601</v>
      </c>
      <c r="E3465">
        <v>0.82157230482445798</v>
      </c>
      <c r="F3465">
        <v>0.72965066950744295</v>
      </c>
      <c r="G3465">
        <v>0.53225837494705797</v>
      </c>
      <c r="H3465">
        <v>0.38152876811820602</v>
      </c>
      <c r="I3465">
        <v>0.299684712057883</v>
      </c>
      <c r="J3465">
        <v>0.297793051889229</v>
      </c>
      <c r="K3465">
        <v>0.12947320411074301</v>
      </c>
      <c r="L3465">
        <v>552.34682571410895</v>
      </c>
      <c r="M3465">
        <v>10.2260046473501</v>
      </c>
      <c r="N3465">
        <v>54.861468422957302</v>
      </c>
      <c r="O3465">
        <v>52.070586675399902</v>
      </c>
      <c r="P3465">
        <v>-4.5529977490828599E-2</v>
      </c>
      <c r="Q3465">
        <v>7.3063536929725906E-2</v>
      </c>
      <c r="R3465">
        <v>0.988662809414803</v>
      </c>
      <c r="S3465" t="s">
        <v>9867</v>
      </c>
      <c r="T3465" t="s">
        <v>12802</v>
      </c>
      <c r="U3465" t="s">
        <v>12802</v>
      </c>
      <c r="V3465" t="s">
        <v>12802</v>
      </c>
      <c r="W3465" t="s">
        <v>16217</v>
      </c>
      <c r="X3465">
        <v>22</v>
      </c>
      <c r="Y3465" t="s">
        <v>22459</v>
      </c>
      <c r="Z3465" t="s">
        <v>28783</v>
      </c>
      <c r="AA3465">
        <v>0.61512853273030066</v>
      </c>
      <c r="AB3465" t="str">
        <f>HYPERLINK("Melting_Curves/meltCurve_Q15019_SEPT2.pdf", "Melting_Curves/meltCurve_Q15019_SEPT2.pdf")</f>
        <v>Melting_Curves/meltCurve_Q15019_SEPT2.pdf</v>
      </c>
    </row>
    <row r="3466" spans="1:28" x14ac:dyDescent="0.25">
      <c r="A3466" t="s">
        <v>3470</v>
      </c>
      <c r="B3466">
        <v>0.99542014353169495</v>
      </c>
      <c r="C3466">
        <v>0.82121635494145295</v>
      </c>
      <c r="D3466">
        <v>0.86889966068515001</v>
      </c>
      <c r="E3466">
        <v>0.51916844335304901</v>
      </c>
      <c r="F3466">
        <v>0.168648309006976</v>
      </c>
      <c r="G3466">
        <v>9.1137678033870004E-2</v>
      </c>
      <c r="H3466">
        <v>5.5094105901836998E-2</v>
      </c>
      <c r="I3466">
        <v>4.1998032520725197E-2</v>
      </c>
      <c r="J3466">
        <v>4.8525526636683601E-2</v>
      </c>
      <c r="K3466">
        <v>5.5194604860907402E-2</v>
      </c>
      <c r="L3466">
        <v>923.76696776386302</v>
      </c>
      <c r="M3466">
        <v>19.920700352423399</v>
      </c>
      <c r="N3466">
        <v>46.546942815957898</v>
      </c>
      <c r="O3466">
        <v>45.912490095911103</v>
      </c>
      <c r="P3466">
        <v>-0.10456673236194899</v>
      </c>
      <c r="Q3466">
        <v>3.6025679808016201E-2</v>
      </c>
      <c r="R3466">
        <v>0.98268040231151199</v>
      </c>
      <c r="S3466" t="s">
        <v>9868</v>
      </c>
      <c r="T3466" t="s">
        <v>12802</v>
      </c>
      <c r="U3466" t="s">
        <v>12802</v>
      </c>
      <c r="V3466" t="s">
        <v>12802</v>
      </c>
      <c r="W3466" t="s">
        <v>16218</v>
      </c>
      <c r="X3466">
        <v>27</v>
      </c>
      <c r="Y3466" t="s">
        <v>22460</v>
      </c>
      <c r="Z3466" t="s">
        <v>28784</v>
      </c>
      <c r="AA3466">
        <v>0.34988154579489622</v>
      </c>
      <c r="AB3466" t="str">
        <f>HYPERLINK("Melting_Curves/meltCurve_Q15020_SART3.pdf", "Melting_Curves/meltCurve_Q15020_SART3.pdf")</f>
        <v>Melting_Curves/meltCurve_Q15020_SART3.pdf</v>
      </c>
    </row>
    <row r="3467" spans="1:28" x14ac:dyDescent="0.25">
      <c r="A3467" t="s">
        <v>3471</v>
      </c>
      <c r="B3467">
        <v>0.99542014353169495</v>
      </c>
      <c r="C3467">
        <v>0.89750965971125996</v>
      </c>
      <c r="D3467">
        <v>0.94631760312985602</v>
      </c>
      <c r="E3467">
        <v>0.49107737743352398</v>
      </c>
      <c r="F3467">
        <v>0.180513420274449</v>
      </c>
      <c r="G3467">
        <v>0.11459409116910201</v>
      </c>
      <c r="H3467">
        <v>6.8646383987363696E-2</v>
      </c>
      <c r="I3467">
        <v>4.9661213742889898E-2</v>
      </c>
      <c r="J3467">
        <v>4.7939905515172999E-2</v>
      </c>
      <c r="K3467">
        <v>5.0866162218306699E-2</v>
      </c>
      <c r="L3467">
        <v>1245.81047598443</v>
      </c>
      <c r="M3467">
        <v>26.820383682238599</v>
      </c>
      <c r="N3467">
        <v>46.6732394235313</v>
      </c>
      <c r="O3467">
        <v>46.194209097126802</v>
      </c>
      <c r="P3467">
        <v>-0.13641898002175901</v>
      </c>
      <c r="Q3467">
        <v>6.0162168975275501E-2</v>
      </c>
      <c r="R3467">
        <v>0.992033741192202</v>
      </c>
      <c r="S3467" t="s">
        <v>9869</v>
      </c>
      <c r="T3467" t="s">
        <v>12802</v>
      </c>
      <c r="U3467" t="s">
        <v>12802</v>
      </c>
      <c r="V3467" t="s">
        <v>12802</v>
      </c>
      <c r="W3467" t="s">
        <v>16219</v>
      </c>
      <c r="X3467">
        <v>28</v>
      </c>
      <c r="Y3467" t="s">
        <v>22461</v>
      </c>
      <c r="Z3467" t="s">
        <v>28785</v>
      </c>
      <c r="AA3467">
        <v>0.36300486425005019</v>
      </c>
      <c r="AB3467" t="str">
        <f>HYPERLINK("Melting_Curves/meltCurve_Q15021_NCAPD2.pdf", "Melting_Curves/meltCurve_Q15021_NCAPD2.pdf")</f>
        <v>Melting_Curves/meltCurve_Q15021_NCAPD2.pdf</v>
      </c>
    </row>
    <row r="3468" spans="1:28" x14ac:dyDescent="0.25">
      <c r="A3468" t="s">
        <v>3472</v>
      </c>
      <c r="B3468">
        <v>0.99542014353169495</v>
      </c>
      <c r="C3468">
        <v>0.975036512681417</v>
      </c>
      <c r="D3468">
        <v>1.08654790700264</v>
      </c>
      <c r="E3468">
        <v>1.18033049312983</v>
      </c>
      <c r="F3468">
        <v>1.14689793544629</v>
      </c>
      <c r="G3468">
        <v>0.92544365291835395</v>
      </c>
      <c r="H3468">
        <v>0.71181474567425596</v>
      </c>
      <c r="I3468">
        <v>0.54269946072784003</v>
      </c>
      <c r="J3468">
        <v>0.38775185879049001</v>
      </c>
      <c r="K3468">
        <v>0.208021848591699</v>
      </c>
      <c r="L3468">
        <v>1177.9847024286</v>
      </c>
      <c r="M3468">
        <v>19.483098147472099</v>
      </c>
      <c r="N3468">
        <v>61.3914757123705</v>
      </c>
      <c r="O3468">
        <v>59.8357195144564</v>
      </c>
      <c r="P3468">
        <v>-7.1006667747258306E-2</v>
      </c>
      <c r="Q3468">
        <v>0.127740021400153</v>
      </c>
      <c r="R3468">
        <v>0.92667329796248299</v>
      </c>
      <c r="S3468" t="s">
        <v>9870</v>
      </c>
      <c r="T3468" t="s">
        <v>12802</v>
      </c>
      <c r="U3468" t="s">
        <v>12802</v>
      </c>
      <c r="V3468" t="s">
        <v>12802</v>
      </c>
      <c r="W3468" t="s">
        <v>16220</v>
      </c>
      <c r="X3468">
        <v>11</v>
      </c>
      <c r="Y3468" t="s">
        <v>22462</v>
      </c>
      <c r="Z3468" t="s">
        <v>28786</v>
      </c>
      <c r="AA3468">
        <v>0.80808327944022973</v>
      </c>
      <c r="AB3468" t="str">
        <f>HYPERLINK("Melting_Curves/meltCurve_Q15024_EXOSC7.pdf", "Melting_Curves/meltCurve_Q15024_EXOSC7.pdf")</f>
        <v>Melting_Curves/meltCurve_Q15024_EXOSC7.pdf</v>
      </c>
    </row>
    <row r="3469" spans="1:28" x14ac:dyDescent="0.25">
      <c r="A3469" t="s">
        <v>3473</v>
      </c>
      <c r="B3469">
        <v>0.99542014353169495</v>
      </c>
      <c r="C3469">
        <v>0.97728891205244905</v>
      </c>
      <c r="D3469">
        <v>0.93588419264228895</v>
      </c>
      <c r="E3469">
        <v>0.87148724719145099</v>
      </c>
      <c r="F3469">
        <v>0.94437689582913698</v>
      </c>
      <c r="G3469">
        <v>1.23532326349607</v>
      </c>
      <c r="H3469">
        <v>1.0333951486576101</v>
      </c>
      <c r="I3469">
        <v>0.57983802746785595</v>
      </c>
      <c r="J3469">
        <v>0.141922960183095</v>
      </c>
      <c r="K3469">
        <v>0.11162924402301801</v>
      </c>
      <c r="L3469">
        <v>5780.3690619127001</v>
      </c>
      <c r="M3469">
        <v>94.669782959297393</v>
      </c>
      <c r="N3469">
        <v>61.238471591964696</v>
      </c>
      <c r="O3469">
        <v>61.030996828295798</v>
      </c>
      <c r="P3469">
        <v>-0.34063426557709298</v>
      </c>
      <c r="Q3469">
        <v>0.121610023823747</v>
      </c>
      <c r="R3469">
        <v>0.93810177234344205</v>
      </c>
      <c r="S3469" t="s">
        <v>9871</v>
      </c>
      <c r="T3469" t="s">
        <v>12802</v>
      </c>
      <c r="U3469" t="s">
        <v>12802</v>
      </c>
      <c r="V3469" t="s">
        <v>12802</v>
      </c>
      <c r="W3469" t="s">
        <v>16221</v>
      </c>
      <c r="X3469">
        <v>48</v>
      </c>
      <c r="Y3469" t="s">
        <v>22463</v>
      </c>
      <c r="Z3469" t="s">
        <v>28787</v>
      </c>
      <c r="AA3469">
        <v>0.82667886265325863</v>
      </c>
      <c r="AB3469" t="str">
        <f>HYPERLINK("Melting_Curves/meltCurve_Q15029_2_EFTUD2.pdf", "Melting_Curves/meltCurve_Q15029_2_EFTUD2.pdf")</f>
        <v>Melting_Curves/meltCurve_Q15029_2_EFTUD2.pdf</v>
      </c>
    </row>
    <row r="3470" spans="1:28" x14ac:dyDescent="0.25">
      <c r="A3470" t="s">
        <v>3474</v>
      </c>
      <c r="B3470">
        <v>0.99542014353169495</v>
      </c>
      <c r="C3470">
        <v>0.985525996352557</v>
      </c>
      <c r="D3470">
        <v>0.89797002619862298</v>
      </c>
      <c r="E3470">
        <v>0.71776729066369105</v>
      </c>
      <c r="F3470">
        <v>0.36712899940916699</v>
      </c>
      <c r="G3470">
        <v>0.181113110716486</v>
      </c>
      <c r="H3470">
        <v>9.1719929781801796E-2</v>
      </c>
      <c r="I3470">
        <v>8.8507116046210393E-2</v>
      </c>
      <c r="J3470">
        <v>8.2879857648504404E-2</v>
      </c>
      <c r="K3470">
        <v>6.9379406487919598E-2</v>
      </c>
      <c r="L3470">
        <v>946.69259035616903</v>
      </c>
      <c r="M3470">
        <v>19.567814417781801</v>
      </c>
      <c r="N3470">
        <v>48.732468104286802</v>
      </c>
      <c r="O3470">
        <v>47.883305445899097</v>
      </c>
      <c r="P3470">
        <v>-9.5427931929414095E-2</v>
      </c>
      <c r="Q3470">
        <v>6.5967664926830802E-2</v>
      </c>
      <c r="R3470">
        <v>0.99897481553109002</v>
      </c>
      <c r="S3470" t="s">
        <v>9872</v>
      </c>
      <c r="T3470" t="s">
        <v>12802</v>
      </c>
      <c r="U3470" t="s">
        <v>12802</v>
      </c>
      <c r="V3470" t="s">
        <v>12802</v>
      </c>
      <c r="W3470" t="s">
        <v>16222</v>
      </c>
      <c r="X3470">
        <v>6</v>
      </c>
      <c r="Y3470" t="s">
        <v>22464</v>
      </c>
      <c r="Z3470" t="s">
        <v>28788</v>
      </c>
      <c r="AA3470">
        <v>0.43307689217947593</v>
      </c>
      <c r="AB3470" t="str">
        <f>HYPERLINK("Melting_Curves/meltCurve_Q15032_2_R3HDM1.pdf", "Melting_Curves/meltCurve_Q15032_2_R3HDM1.pdf")</f>
        <v>Melting_Curves/meltCurve_Q15032_2_R3HDM1.pdf</v>
      </c>
    </row>
    <row r="3471" spans="1:28" x14ac:dyDescent="0.25">
      <c r="A3471" t="s">
        <v>3475</v>
      </c>
      <c r="B3471">
        <v>0.99542014353169495</v>
      </c>
      <c r="C3471">
        <v>0.96233128783162702</v>
      </c>
      <c r="D3471">
        <v>0.87575244377498696</v>
      </c>
      <c r="E3471">
        <v>0.497720412013055</v>
      </c>
      <c r="F3471">
        <v>0.17497560580420299</v>
      </c>
      <c r="G3471">
        <v>0.10772654422157101</v>
      </c>
      <c r="H3471">
        <v>6.6086962540820401E-2</v>
      </c>
      <c r="I3471">
        <v>4.90719307671433E-2</v>
      </c>
      <c r="J3471">
        <v>5.6589734857854797E-2</v>
      </c>
      <c r="K3471">
        <v>5.3057887395926699E-2</v>
      </c>
      <c r="L3471">
        <v>1099.65946449578</v>
      </c>
      <c r="M3471">
        <v>23.731911528817999</v>
      </c>
      <c r="N3471">
        <v>46.565432691288997</v>
      </c>
      <c r="O3471">
        <v>46.011495031977702</v>
      </c>
      <c r="P3471">
        <v>-0.121854611618575</v>
      </c>
      <c r="Q3471">
        <v>5.5007482914174302E-2</v>
      </c>
      <c r="R3471">
        <v>0.99939749795564403</v>
      </c>
      <c r="S3471" t="s">
        <v>9873</v>
      </c>
      <c r="T3471" t="s">
        <v>12802</v>
      </c>
      <c r="U3471" t="s">
        <v>12802</v>
      </c>
      <c r="V3471" t="s">
        <v>12802</v>
      </c>
      <c r="W3471" t="s">
        <v>16223</v>
      </c>
      <c r="X3471">
        <v>9</v>
      </c>
      <c r="Y3471" t="s">
        <v>22465</v>
      </c>
      <c r="Z3471" t="s">
        <v>28789</v>
      </c>
      <c r="AA3471">
        <v>0.35785472073506869</v>
      </c>
      <c r="AB3471" t="str">
        <f>HYPERLINK("Melting_Curves/meltCurve_Q15036_2_SNX17.pdf", "Melting_Curves/meltCurve_Q15036_2_SNX17.pdf")</f>
        <v>Melting_Curves/meltCurve_Q15036_2_SNX17.pdf</v>
      </c>
    </row>
    <row r="3472" spans="1:28" x14ac:dyDescent="0.25">
      <c r="A3472" t="s">
        <v>3476</v>
      </c>
      <c r="B3472">
        <v>0.99542014353169495</v>
      </c>
      <c r="C3472">
        <v>0.93464956748027195</v>
      </c>
      <c r="D3472">
        <v>1.00437810393636</v>
      </c>
      <c r="E3472">
        <v>0.58271650550946896</v>
      </c>
      <c r="F3472">
        <v>0.18863572274689999</v>
      </c>
      <c r="G3472">
        <v>0.10454514417426999</v>
      </c>
      <c r="H3472">
        <v>7.9046809939513296E-2</v>
      </c>
      <c r="I3472">
        <v>5.0006916857747503E-2</v>
      </c>
      <c r="J3472">
        <v>7.8251287289539104E-2</v>
      </c>
      <c r="K3472">
        <v>5.2179003839452502E-2</v>
      </c>
      <c r="L3472">
        <v>1529.8004699865901</v>
      </c>
      <c r="M3472">
        <v>32.558389984013601</v>
      </c>
      <c r="N3472">
        <v>47.208084044237602</v>
      </c>
      <c r="O3472">
        <v>46.810175372304002</v>
      </c>
      <c r="P3472">
        <v>-0.16155838691441499</v>
      </c>
      <c r="Q3472">
        <v>7.08949842299057E-2</v>
      </c>
      <c r="R3472">
        <v>0.99512597663637903</v>
      </c>
      <c r="S3472" t="s">
        <v>9874</v>
      </c>
      <c r="T3472" t="s">
        <v>12802</v>
      </c>
      <c r="U3472" t="s">
        <v>12802</v>
      </c>
      <c r="V3472" t="s">
        <v>12802</v>
      </c>
      <c r="W3472" t="s">
        <v>16224</v>
      </c>
      <c r="X3472">
        <v>27</v>
      </c>
      <c r="Y3472" t="s">
        <v>22466</v>
      </c>
      <c r="Z3472" t="s">
        <v>28790</v>
      </c>
      <c r="AA3472">
        <v>0.38474935527750431</v>
      </c>
      <c r="AB3472" t="str">
        <f>HYPERLINK("Melting_Curves/meltCurve_Q15042_RAB3GAP1.pdf", "Melting_Curves/meltCurve_Q15042_RAB3GAP1.pdf")</f>
        <v>Melting_Curves/meltCurve_Q15042_RAB3GAP1.pdf</v>
      </c>
    </row>
    <row r="3473" spans="1:28" x14ac:dyDescent="0.25">
      <c r="A3473" t="s">
        <v>3477</v>
      </c>
      <c r="B3473">
        <v>0.99542014353169495</v>
      </c>
      <c r="C3473">
        <v>0.87265089501606696</v>
      </c>
      <c r="D3473">
        <v>0.89095900700312702</v>
      </c>
      <c r="E3473">
        <v>0.69596436925940097</v>
      </c>
      <c r="F3473">
        <v>0.66969892529230002</v>
      </c>
      <c r="G3473">
        <v>0.38896811430296302</v>
      </c>
      <c r="H3473">
        <v>0.38388657827754802</v>
      </c>
      <c r="I3473">
        <v>0.36326972007108199</v>
      </c>
      <c r="J3473">
        <v>0.52101150888520598</v>
      </c>
      <c r="K3473">
        <v>0.70079887841169097</v>
      </c>
      <c r="L3473">
        <v>784.71028705138497</v>
      </c>
      <c r="M3473">
        <v>17.142845246885599</v>
      </c>
      <c r="N3473">
        <v>55.688445195190802</v>
      </c>
      <c r="O3473">
        <v>45.165522462975801</v>
      </c>
      <c r="P3473">
        <v>-4.9690422864541603E-2</v>
      </c>
      <c r="Q3473">
        <v>0.47636232418021701</v>
      </c>
      <c r="R3473">
        <v>0.76399300455466801</v>
      </c>
      <c r="S3473" t="s">
        <v>9875</v>
      </c>
      <c r="T3473" t="s">
        <v>12802</v>
      </c>
      <c r="U3473" t="s">
        <v>12802</v>
      </c>
      <c r="V3473" t="s">
        <v>12802</v>
      </c>
      <c r="W3473" t="s">
        <v>16225</v>
      </c>
      <c r="X3473">
        <v>4</v>
      </c>
      <c r="Y3473" t="s">
        <v>22467</v>
      </c>
      <c r="Z3473" t="s">
        <v>28791</v>
      </c>
      <c r="AA3473">
        <v>0.63887748138561806</v>
      </c>
      <c r="AB3473" t="str">
        <f>HYPERLINK("Melting_Curves/meltCurve_Q15043_2_SLC39A14.pdf", "Melting_Curves/meltCurve_Q15043_2_SLC39A14.pdf")</f>
        <v>Melting_Curves/meltCurve_Q15043_2_SLC39A14.pdf</v>
      </c>
    </row>
    <row r="3474" spans="1:28" x14ac:dyDescent="0.25">
      <c r="A3474" t="s">
        <v>3478</v>
      </c>
      <c r="B3474">
        <v>0.99542014353169495</v>
      </c>
      <c r="C3474">
        <v>0.91527842012208904</v>
      </c>
      <c r="D3474">
        <v>0.91673634252570801</v>
      </c>
      <c r="E3474">
        <v>0.70923009863744402</v>
      </c>
      <c r="F3474">
        <v>0.69352870593832705</v>
      </c>
      <c r="G3474">
        <v>0.36564753289003599</v>
      </c>
      <c r="H3474">
        <v>0.110155676922733</v>
      </c>
      <c r="I3474">
        <v>6.2304514564158697E-2</v>
      </c>
      <c r="J3474">
        <v>6.1409168348659497E-2</v>
      </c>
      <c r="K3474">
        <v>6.3863536388887199E-2</v>
      </c>
      <c r="L3474">
        <v>708.12523607112496</v>
      </c>
      <c r="M3474">
        <v>13.789280694026999</v>
      </c>
      <c r="N3474">
        <v>51.353312323179097</v>
      </c>
      <c r="O3474">
        <v>50.309420002361897</v>
      </c>
      <c r="P3474">
        <v>-6.8531980526756298E-2</v>
      </c>
      <c r="Q3474">
        <v>0</v>
      </c>
      <c r="R3474">
        <v>0.97487505988505496</v>
      </c>
      <c r="S3474" t="s">
        <v>9876</v>
      </c>
      <c r="T3474" t="s">
        <v>12802</v>
      </c>
      <c r="U3474" t="s">
        <v>12802</v>
      </c>
      <c r="V3474" t="s">
        <v>12802</v>
      </c>
      <c r="W3474" t="s">
        <v>16226</v>
      </c>
      <c r="X3474">
        <v>23</v>
      </c>
      <c r="Y3474" t="s">
        <v>22468</v>
      </c>
      <c r="Z3474" t="s">
        <v>28792</v>
      </c>
      <c r="AA3474">
        <v>0.50034794043011266</v>
      </c>
      <c r="AB3474" t="str">
        <f>HYPERLINK("Melting_Curves/meltCurve_Q15046_KARS.pdf", "Melting_Curves/meltCurve_Q15046_KARS.pdf")</f>
        <v>Melting_Curves/meltCurve_Q15046_KARS.pdf</v>
      </c>
    </row>
    <row r="3475" spans="1:28" x14ac:dyDescent="0.25">
      <c r="A3475" t="s">
        <v>3479</v>
      </c>
      <c r="B3475">
        <v>0.99542014353169495</v>
      </c>
      <c r="C3475">
        <v>0.948620426986999</v>
      </c>
      <c r="D3475">
        <v>1.0083502022656701</v>
      </c>
      <c r="E3475">
        <v>0.54276153755350398</v>
      </c>
      <c r="F3475">
        <v>0.30957831683724102</v>
      </c>
      <c r="G3475">
        <v>0.16154754944579799</v>
      </c>
      <c r="H3475">
        <v>9.4970894684604207E-2</v>
      </c>
      <c r="I3475">
        <v>7.7778171989832195E-2</v>
      </c>
      <c r="J3475">
        <v>8.2465882055104994E-2</v>
      </c>
      <c r="K3475">
        <v>7.3945767790779396E-2</v>
      </c>
      <c r="L3475">
        <v>1089.52859554981</v>
      </c>
      <c r="M3475">
        <v>23.1011209381236</v>
      </c>
      <c r="N3475">
        <v>47.554073779906801</v>
      </c>
      <c r="O3475">
        <v>46.814295105931798</v>
      </c>
      <c r="P3475">
        <v>-0.112706550440588</v>
      </c>
      <c r="Q3475">
        <v>8.6419943106754105E-2</v>
      </c>
      <c r="R3475">
        <v>0.98826659754817103</v>
      </c>
      <c r="S3475" t="s">
        <v>9877</v>
      </c>
      <c r="T3475" t="s">
        <v>12802</v>
      </c>
      <c r="U3475" t="s">
        <v>12802</v>
      </c>
      <c r="V3475" t="s">
        <v>12802</v>
      </c>
      <c r="W3475" t="s">
        <v>16227</v>
      </c>
      <c r="X3475">
        <v>6</v>
      </c>
      <c r="Y3475" t="s">
        <v>22469</v>
      </c>
      <c r="Z3475" t="s">
        <v>28793</v>
      </c>
      <c r="AA3475">
        <v>0.40493061328256758</v>
      </c>
      <c r="AB3475" t="str">
        <f>HYPERLINK("Melting_Curves/meltCurve_Q15047_3_SETDB1.pdf", "Melting_Curves/meltCurve_Q15047_3_SETDB1.pdf")</f>
        <v>Melting_Curves/meltCurve_Q15047_3_SETDB1.pdf</v>
      </c>
    </row>
    <row r="3476" spans="1:28" x14ac:dyDescent="0.25">
      <c r="A3476" t="s">
        <v>3480</v>
      </c>
      <c r="B3476">
        <v>0.99542014353169495</v>
      </c>
      <c r="C3476">
        <v>0.937277288726442</v>
      </c>
      <c r="D3476">
        <v>0.64224022125737401</v>
      </c>
      <c r="E3476">
        <v>0.40374483023181901</v>
      </c>
      <c r="F3476">
        <v>0.184554370770805</v>
      </c>
      <c r="G3476">
        <v>0.13120758557814799</v>
      </c>
      <c r="H3476">
        <v>5.5178255945469101E-2</v>
      </c>
      <c r="I3476">
        <v>3.12834554041308E-2</v>
      </c>
      <c r="J3476">
        <v>4.1451423468843202E-2</v>
      </c>
      <c r="K3476">
        <v>7.4660839483061806E-2</v>
      </c>
      <c r="L3476">
        <v>741.59379326852604</v>
      </c>
      <c r="M3476">
        <v>16.518024809259199</v>
      </c>
      <c r="N3476">
        <v>45.157102906355703</v>
      </c>
      <c r="O3476">
        <v>44.253481500673701</v>
      </c>
      <c r="P3476">
        <v>-8.9071388568310803E-2</v>
      </c>
      <c r="Q3476">
        <v>4.5540448971851201E-2</v>
      </c>
      <c r="R3476">
        <v>0.99410002468911096</v>
      </c>
      <c r="S3476" t="s">
        <v>9878</v>
      </c>
      <c r="T3476" t="s">
        <v>12802</v>
      </c>
      <c r="U3476" t="s">
        <v>12802</v>
      </c>
      <c r="V3476" t="s">
        <v>12802</v>
      </c>
      <c r="W3476" t="s">
        <v>16228</v>
      </c>
      <c r="X3476">
        <v>4</v>
      </c>
      <c r="Y3476" t="s">
        <v>22470</v>
      </c>
      <c r="Z3476" t="s">
        <v>28794</v>
      </c>
      <c r="AA3476">
        <v>0.31549186774822241</v>
      </c>
      <c r="AB3476" t="str">
        <f>HYPERLINK("Melting_Curves/meltCurve_Q15048_LRRC14.pdf", "Melting_Curves/meltCurve_Q15048_LRRC14.pdf")</f>
        <v>Melting_Curves/meltCurve_Q15048_LRRC14.pdf</v>
      </c>
    </row>
    <row r="3477" spans="1:28" x14ac:dyDescent="0.25">
      <c r="A3477" t="s">
        <v>3481</v>
      </c>
      <c r="B3477">
        <v>0.99542014353169495</v>
      </c>
      <c r="C3477">
        <v>1.05838123750399</v>
      </c>
      <c r="D3477">
        <v>0.85823623194230803</v>
      </c>
      <c r="E3477">
        <v>0.79305157160415596</v>
      </c>
      <c r="F3477">
        <v>0.533552161484659</v>
      </c>
      <c r="G3477">
        <v>0.35015730851657501</v>
      </c>
      <c r="H3477">
        <v>0.18621395272819</v>
      </c>
      <c r="I3477">
        <v>0.131079597681762</v>
      </c>
      <c r="J3477">
        <v>0.20284318814746899</v>
      </c>
      <c r="K3477">
        <v>0.24991590148675399</v>
      </c>
      <c r="L3477">
        <v>855.07464921390601</v>
      </c>
      <c r="M3477">
        <v>17.342243797267201</v>
      </c>
      <c r="N3477">
        <v>50.518779074863701</v>
      </c>
      <c r="O3477">
        <v>48.664292357104401</v>
      </c>
      <c r="P3477">
        <v>-7.3924916639107899E-2</v>
      </c>
      <c r="Q3477">
        <v>0.17028077287284299</v>
      </c>
      <c r="R3477">
        <v>0.97841767876578301</v>
      </c>
      <c r="S3477" t="s">
        <v>9879</v>
      </c>
      <c r="T3477" t="s">
        <v>12802</v>
      </c>
      <c r="U3477" t="s">
        <v>12802</v>
      </c>
      <c r="V3477" t="s">
        <v>12802</v>
      </c>
      <c r="W3477" t="s">
        <v>16229</v>
      </c>
      <c r="X3477">
        <v>23</v>
      </c>
      <c r="Y3477" t="s">
        <v>22471</v>
      </c>
      <c r="Z3477" t="s">
        <v>28795</v>
      </c>
      <c r="AA3477">
        <v>0.52464910355802885</v>
      </c>
      <c r="AB3477" t="str">
        <f>HYPERLINK("Melting_Curves/meltCurve_Q15056_EIF4H.pdf", "Melting_Curves/meltCurve_Q15056_EIF4H.pdf")</f>
        <v>Melting_Curves/meltCurve_Q15056_EIF4H.pdf</v>
      </c>
    </row>
    <row r="3478" spans="1:28" x14ac:dyDescent="0.25">
      <c r="A3478" t="s">
        <v>3482</v>
      </c>
      <c r="B3478">
        <v>0.99542014353169495</v>
      </c>
      <c r="C3478">
        <v>1.0711443720926199</v>
      </c>
      <c r="D3478">
        <v>0.91927361163828503</v>
      </c>
      <c r="E3478">
        <v>0.87742953729436202</v>
      </c>
      <c r="F3478">
        <v>0.59049777168818895</v>
      </c>
      <c r="G3478">
        <v>0.35879523333212798</v>
      </c>
      <c r="H3478">
        <v>0.19542532933756401</v>
      </c>
      <c r="I3478">
        <v>0.154380110477084</v>
      </c>
      <c r="J3478">
        <v>0.21112606410941001</v>
      </c>
      <c r="K3478">
        <v>0.24558210724957799</v>
      </c>
      <c r="L3478">
        <v>1110.68832159984</v>
      </c>
      <c r="M3478">
        <v>22.147507091052098</v>
      </c>
      <c r="N3478">
        <v>51.247643678280198</v>
      </c>
      <c r="O3478">
        <v>49.746106366127997</v>
      </c>
      <c r="P3478">
        <v>-9.0277882138339094E-2</v>
      </c>
      <c r="Q3478">
        <v>0.18891546784767199</v>
      </c>
      <c r="R3478">
        <v>0.98635969896775899</v>
      </c>
      <c r="S3478" t="s">
        <v>9880</v>
      </c>
      <c r="T3478" t="s">
        <v>12802</v>
      </c>
      <c r="U3478" t="s">
        <v>12802</v>
      </c>
      <c r="V3478" t="s">
        <v>12802</v>
      </c>
      <c r="W3478" t="s">
        <v>16230</v>
      </c>
      <c r="X3478">
        <v>22</v>
      </c>
      <c r="Y3478" t="s">
        <v>22471</v>
      </c>
      <c r="Z3478" t="s">
        <v>28796</v>
      </c>
      <c r="AA3478">
        <v>0.5533320439848014</v>
      </c>
      <c r="AB3478" t="str">
        <f>HYPERLINK("Melting_Curves/meltCurve_Q15056_2_EIF4H.pdf", "Melting_Curves/meltCurve_Q15056_2_EIF4H.pdf")</f>
        <v>Melting_Curves/meltCurve_Q15056_2_EIF4H.pdf</v>
      </c>
    </row>
    <row r="3479" spans="1:28" x14ac:dyDescent="0.25">
      <c r="A3479" t="s">
        <v>3483</v>
      </c>
      <c r="B3479">
        <v>0.99542014353169495</v>
      </c>
      <c r="C3479">
        <v>1.0734377212002</v>
      </c>
      <c r="D3479">
        <v>1.1160989053588499</v>
      </c>
      <c r="E3479">
        <v>0.784064501556065</v>
      </c>
      <c r="F3479">
        <v>0.34104190796119899</v>
      </c>
      <c r="G3479">
        <v>0.12565431120538201</v>
      </c>
      <c r="H3479">
        <v>8.2545374848067593E-2</v>
      </c>
      <c r="I3479">
        <v>6.4075456525747906E-2</v>
      </c>
      <c r="J3479">
        <v>7.0197491714418803E-2</v>
      </c>
      <c r="K3479">
        <v>7.1483660324010406E-2</v>
      </c>
      <c r="L3479">
        <v>1509.8879568703901</v>
      </c>
      <c r="M3479">
        <v>31.0271395859344</v>
      </c>
      <c r="N3479">
        <v>48.909326601044803</v>
      </c>
      <c r="O3479">
        <v>48.462649692663497</v>
      </c>
      <c r="P3479">
        <v>-0.14850026894919199</v>
      </c>
      <c r="Q3479">
        <v>7.2208963422186301E-2</v>
      </c>
      <c r="R3479">
        <v>0.98757278261779302</v>
      </c>
      <c r="S3479" t="s">
        <v>9881</v>
      </c>
      <c r="T3479" t="s">
        <v>12802</v>
      </c>
      <c r="U3479" t="s">
        <v>12802</v>
      </c>
      <c r="V3479" t="s">
        <v>12802</v>
      </c>
      <c r="W3479" t="s">
        <v>16231</v>
      </c>
      <c r="X3479">
        <v>15</v>
      </c>
      <c r="Y3479" t="s">
        <v>22472</v>
      </c>
      <c r="Z3479" t="s">
        <v>28797</v>
      </c>
      <c r="AA3479">
        <v>0.43811759936792299</v>
      </c>
      <c r="AB3479" t="str">
        <f>HYPERLINK("Melting_Curves/meltCurve_Q15057_ACAP2.pdf", "Melting_Curves/meltCurve_Q15057_ACAP2.pdf")</f>
        <v>Melting_Curves/meltCurve_Q15057_ACAP2.pdf</v>
      </c>
    </row>
    <row r="3480" spans="1:28" x14ac:dyDescent="0.25">
      <c r="A3480" t="s">
        <v>3484</v>
      </c>
      <c r="B3480">
        <v>0.99542014353169495</v>
      </c>
      <c r="C3480">
        <v>0.86326828007972201</v>
      </c>
      <c r="D3480">
        <v>0.74467348008918299</v>
      </c>
      <c r="E3480">
        <v>0.26124805411917701</v>
      </c>
      <c r="F3480">
        <v>0.15217330026068801</v>
      </c>
      <c r="G3480">
        <v>7.9508950823052801E-2</v>
      </c>
      <c r="H3480">
        <v>4.8363719653825701E-2</v>
      </c>
      <c r="I3480">
        <v>4.2537518866523599E-2</v>
      </c>
      <c r="J3480">
        <v>4.6910748701661099E-2</v>
      </c>
      <c r="K3480">
        <v>5.8849706774960001E-2</v>
      </c>
      <c r="L3480">
        <v>977.23934541176004</v>
      </c>
      <c r="M3480">
        <v>21.9770178495992</v>
      </c>
      <c r="N3480">
        <v>44.682514105482198</v>
      </c>
      <c r="O3480">
        <v>44.103147456255002</v>
      </c>
      <c r="P3480">
        <v>-0.118299323395019</v>
      </c>
      <c r="Q3480">
        <v>5.0415721103334803E-2</v>
      </c>
      <c r="R3480">
        <v>0.99242760477043901</v>
      </c>
      <c r="S3480" t="s">
        <v>9882</v>
      </c>
      <c r="T3480" t="s">
        <v>12802</v>
      </c>
      <c r="U3480" t="s">
        <v>12802</v>
      </c>
      <c r="V3480" t="s">
        <v>12802</v>
      </c>
      <c r="W3480" t="s">
        <v>16232</v>
      </c>
      <c r="X3480">
        <v>28</v>
      </c>
      <c r="Y3480" t="s">
        <v>22473</v>
      </c>
      <c r="Z3480" t="s">
        <v>28798</v>
      </c>
      <c r="AA3480">
        <v>0.29701197149272862</v>
      </c>
      <c r="AB3480" t="str">
        <f>HYPERLINK("Melting_Curves/meltCurve_Q15058_KIF14.pdf", "Melting_Curves/meltCurve_Q15058_KIF14.pdf")</f>
        <v>Melting_Curves/meltCurve_Q15058_KIF14.pdf</v>
      </c>
    </row>
    <row r="3481" spans="1:28" x14ac:dyDescent="0.25">
      <c r="A3481" t="s">
        <v>3485</v>
      </c>
      <c r="B3481">
        <v>0.99542014353169495</v>
      </c>
      <c r="C3481">
        <v>1.07080790017577</v>
      </c>
      <c r="D3481">
        <v>1.01400092711569</v>
      </c>
      <c r="E3481">
        <v>0.78815648293235196</v>
      </c>
      <c r="F3481">
        <v>0.32880010679694099</v>
      </c>
      <c r="G3481">
        <v>0.15957131226985199</v>
      </c>
      <c r="H3481">
        <v>8.37582972120261E-2</v>
      </c>
      <c r="I3481">
        <v>5.4669893082485398E-2</v>
      </c>
      <c r="J3481">
        <v>5.95919005492817E-2</v>
      </c>
      <c r="K3481">
        <v>5.4904223717654403E-2</v>
      </c>
      <c r="L3481">
        <v>1374.2333741029399</v>
      </c>
      <c r="M3481">
        <v>28.244619146698199</v>
      </c>
      <c r="N3481">
        <v>48.8965567107957</v>
      </c>
      <c r="O3481">
        <v>48.412763926892303</v>
      </c>
      <c r="P3481">
        <v>-0.13634484966655799</v>
      </c>
      <c r="Q3481">
        <v>6.5198843102008699E-2</v>
      </c>
      <c r="R3481">
        <v>0.99534764921993002</v>
      </c>
      <c r="S3481" t="s">
        <v>9883</v>
      </c>
      <c r="T3481" t="s">
        <v>12802</v>
      </c>
      <c r="U3481" t="s">
        <v>12802</v>
      </c>
      <c r="V3481" t="s">
        <v>12802</v>
      </c>
      <c r="W3481" t="s">
        <v>16233</v>
      </c>
      <c r="X3481">
        <v>14</v>
      </c>
      <c r="Y3481" t="s">
        <v>22474</v>
      </c>
      <c r="Z3481" t="s">
        <v>28799</v>
      </c>
      <c r="AA3481">
        <v>0.43467899359425788</v>
      </c>
      <c r="AB3481" t="str">
        <f>HYPERLINK("Melting_Curves/meltCurve_Q15059_BRD3.pdf", "Melting_Curves/meltCurve_Q15059_BRD3.pdf")</f>
        <v>Melting_Curves/meltCurve_Q15059_BRD3.pdf</v>
      </c>
    </row>
    <row r="3482" spans="1:28" x14ac:dyDescent="0.25">
      <c r="A3482" t="s">
        <v>3486</v>
      </c>
      <c r="B3482">
        <v>0.99542014353169495</v>
      </c>
      <c r="C3482">
        <v>0.98876759122430602</v>
      </c>
      <c r="D3482">
        <v>1.0641971675338999</v>
      </c>
      <c r="E3482">
        <v>1.4494246209513599</v>
      </c>
      <c r="F3482">
        <v>2.1061818489547699</v>
      </c>
      <c r="G3482">
        <v>1.5738233175585301</v>
      </c>
      <c r="H3482">
        <v>0.68274204095941304</v>
      </c>
      <c r="I3482">
        <v>0.21075266336095</v>
      </c>
      <c r="J3482">
        <v>0.13106424404491199</v>
      </c>
      <c r="K3482">
        <v>0.142078542431466</v>
      </c>
      <c r="L3482">
        <v>11509.4009113991</v>
      </c>
      <c r="M3482">
        <v>200.01529372302801</v>
      </c>
      <c r="N3482">
        <v>57.654872017586797</v>
      </c>
      <c r="O3482">
        <v>57.536851969094101</v>
      </c>
      <c r="P3482">
        <v>-0.72889772279084397</v>
      </c>
      <c r="Q3482">
        <v>0.16129453044728501</v>
      </c>
      <c r="R3482">
        <v>0.55152188805167601</v>
      </c>
      <c r="S3482" t="s">
        <v>9884</v>
      </c>
      <c r="T3482" t="s">
        <v>12802</v>
      </c>
      <c r="U3482" t="s">
        <v>12802</v>
      </c>
      <c r="V3482" t="s">
        <v>12802</v>
      </c>
      <c r="W3482" t="s">
        <v>16234</v>
      </c>
      <c r="X3482">
        <v>14</v>
      </c>
      <c r="Y3482" t="s">
        <v>22475</v>
      </c>
      <c r="Z3482" t="s">
        <v>28800</v>
      </c>
      <c r="AA3482">
        <v>0.73573335470465573</v>
      </c>
      <c r="AB3482" t="str">
        <f>HYPERLINK("Melting_Curves/meltCurve_Q15061_WDR43.pdf", "Melting_Curves/meltCurve_Q15061_WDR43.pdf")</f>
        <v>Melting_Curves/meltCurve_Q15061_WDR43.pdf</v>
      </c>
    </row>
    <row r="3483" spans="1:28" x14ac:dyDescent="0.25">
      <c r="A3483" t="s">
        <v>3487</v>
      </c>
      <c r="B3483">
        <v>0.99542014353169495</v>
      </c>
      <c r="C3483">
        <v>0.91811037245542204</v>
      </c>
      <c r="D3483">
        <v>0.877651564605615</v>
      </c>
      <c r="E3483">
        <v>0.74425871329265902</v>
      </c>
      <c r="F3483">
        <v>0.60389444992755403</v>
      </c>
      <c r="G3483">
        <v>0.43760748206248601</v>
      </c>
      <c r="H3483">
        <v>0.32311533172270601</v>
      </c>
      <c r="I3483">
        <v>0.28966260168028901</v>
      </c>
      <c r="J3483">
        <v>0.33513110278276298</v>
      </c>
      <c r="K3483">
        <v>0.24890655350222901</v>
      </c>
      <c r="L3483">
        <v>563.97305005375495</v>
      </c>
      <c r="M3483">
        <v>11.421264509552101</v>
      </c>
      <c r="N3483">
        <v>52.158082448981602</v>
      </c>
      <c r="O3483">
        <v>47.938136786425297</v>
      </c>
      <c r="P3483">
        <v>-4.6000640450726001E-2</v>
      </c>
      <c r="Q3483">
        <v>0.227916813013295</v>
      </c>
      <c r="R3483">
        <v>0.99084323919666395</v>
      </c>
      <c r="S3483" t="s">
        <v>9885</v>
      </c>
      <c r="T3483" t="s">
        <v>12802</v>
      </c>
      <c r="U3483" t="s">
        <v>12802</v>
      </c>
      <c r="V3483" t="s">
        <v>12802</v>
      </c>
      <c r="W3483" t="s">
        <v>16235</v>
      </c>
      <c r="X3483">
        <v>21</v>
      </c>
      <c r="Y3483" t="s">
        <v>22476</v>
      </c>
      <c r="Z3483" t="s">
        <v>28801</v>
      </c>
      <c r="AA3483">
        <v>0.57038400773833964</v>
      </c>
      <c r="AB3483" t="str">
        <f>HYPERLINK("Melting_Curves/meltCurve_Q15067_2_ACOX1.pdf", "Melting_Curves/meltCurve_Q15067_2_ACOX1.pdf")</f>
        <v>Melting_Curves/meltCurve_Q15067_2_ACOX1.pdf</v>
      </c>
    </row>
    <row r="3484" spans="1:28" x14ac:dyDescent="0.25">
      <c r="A3484" t="s">
        <v>3488</v>
      </c>
      <c r="B3484">
        <v>0.99542014353169495</v>
      </c>
      <c r="C3484">
        <v>1.0272784822177301</v>
      </c>
      <c r="D3484">
        <v>0.99943093843264097</v>
      </c>
      <c r="E3484">
        <v>0.91293786322418902</v>
      </c>
      <c r="F3484">
        <v>0.73545600763677099</v>
      </c>
      <c r="G3484">
        <v>0.52327337668187401</v>
      </c>
      <c r="H3484">
        <v>0.43346016754183198</v>
      </c>
      <c r="I3484">
        <v>0.40840735469487599</v>
      </c>
      <c r="J3484">
        <v>0.64172273074339603</v>
      </c>
      <c r="K3484">
        <v>0.82167431366415</v>
      </c>
      <c r="L3484">
        <v>1768.14512203356</v>
      </c>
      <c r="M3484">
        <v>35.986948028142201</v>
      </c>
      <c r="O3484">
        <v>48.981982276437698</v>
      </c>
      <c r="P3484">
        <v>-7.9776774659982605E-2</v>
      </c>
      <c r="Q3484">
        <v>0.56566343671706398</v>
      </c>
      <c r="R3484">
        <v>0.76359812918648196</v>
      </c>
      <c r="S3484" t="s">
        <v>9886</v>
      </c>
      <c r="T3484" t="s">
        <v>12802</v>
      </c>
      <c r="U3484" t="s">
        <v>12802</v>
      </c>
      <c r="V3484" t="s">
        <v>12802</v>
      </c>
      <c r="W3484" t="s">
        <v>16236</v>
      </c>
      <c r="X3484">
        <v>89</v>
      </c>
      <c r="Y3484" t="s">
        <v>22477</v>
      </c>
      <c r="Z3484" t="s">
        <v>28802</v>
      </c>
      <c r="AA3484">
        <v>0.74314714845449037</v>
      </c>
      <c r="AB3484" t="str">
        <f>HYPERLINK("Melting_Curves/meltCurve_Q15075_EEA1.pdf", "Melting_Curves/meltCurve_Q15075_EEA1.pdf")</f>
        <v>Melting_Curves/meltCurve_Q15075_EEA1.pdf</v>
      </c>
    </row>
    <row r="3485" spans="1:28" x14ac:dyDescent="0.25">
      <c r="A3485" t="s">
        <v>3489</v>
      </c>
      <c r="B3485">
        <v>0.99542014353169495</v>
      </c>
      <c r="C3485">
        <v>1.0467334186942701</v>
      </c>
      <c r="D3485">
        <v>0.88731424088810595</v>
      </c>
      <c r="E3485">
        <v>0.74744462637497</v>
      </c>
      <c r="F3485">
        <v>0.39274224962480497</v>
      </c>
      <c r="G3485">
        <v>0.16664996003463001</v>
      </c>
      <c r="H3485">
        <v>7.4180876752010905E-2</v>
      </c>
      <c r="I3485">
        <v>4.4602064809317103E-2</v>
      </c>
      <c r="J3485">
        <v>4.5126082551573701E-2</v>
      </c>
      <c r="K3485">
        <v>5.01962234019077E-2</v>
      </c>
      <c r="L3485">
        <v>959.23167012937904</v>
      </c>
      <c r="M3485">
        <v>19.629768972092499</v>
      </c>
      <c r="N3485">
        <v>49.0355093474409</v>
      </c>
      <c r="O3485">
        <v>48.367503431383803</v>
      </c>
      <c r="P3485">
        <v>-9.8139991506268107E-2</v>
      </c>
      <c r="Q3485">
        <v>3.2770980747469002E-2</v>
      </c>
      <c r="R3485">
        <v>0.99603291476443201</v>
      </c>
      <c r="S3485" t="s">
        <v>9887</v>
      </c>
      <c r="T3485" t="s">
        <v>12802</v>
      </c>
      <c r="U3485" t="s">
        <v>12802</v>
      </c>
      <c r="V3485" t="s">
        <v>12802</v>
      </c>
      <c r="W3485" t="s">
        <v>16237</v>
      </c>
      <c r="X3485">
        <v>14</v>
      </c>
      <c r="Y3485" t="s">
        <v>22478</v>
      </c>
      <c r="Z3485" t="s">
        <v>28803</v>
      </c>
      <c r="AA3485">
        <v>0.42853010373574107</v>
      </c>
      <c r="AB3485" t="str">
        <f>HYPERLINK("Melting_Curves/meltCurve_Q15102_PAFAH1B3.pdf", "Melting_Curves/meltCurve_Q15102_PAFAH1B3.pdf")</f>
        <v>Melting_Curves/meltCurve_Q15102_PAFAH1B3.pdf</v>
      </c>
    </row>
    <row r="3486" spans="1:28" x14ac:dyDescent="0.25">
      <c r="A3486" t="s">
        <v>3490</v>
      </c>
      <c r="B3486">
        <v>0.99542014353169495</v>
      </c>
      <c r="C3486">
        <v>1.0296915217595499</v>
      </c>
      <c r="D3486">
        <v>0.94705896535398404</v>
      </c>
      <c r="E3486">
        <v>0.49179114414186298</v>
      </c>
      <c r="F3486">
        <v>0.23883759950444799</v>
      </c>
      <c r="G3486">
        <v>0.141280837287621</v>
      </c>
      <c r="H3486">
        <v>0.102423210141282</v>
      </c>
      <c r="I3486">
        <v>8.03412752413558E-2</v>
      </c>
      <c r="J3486">
        <v>0.101932248281019</v>
      </c>
      <c r="K3486">
        <v>8.8632025611798407E-2</v>
      </c>
      <c r="L3486">
        <v>1307.6553120531</v>
      </c>
      <c r="M3486">
        <v>28.189556782675201</v>
      </c>
      <c r="N3486">
        <v>46.770653259511</v>
      </c>
      <c r="O3486">
        <v>46.156373686463297</v>
      </c>
      <c r="P3486">
        <v>-0.13695916605987099</v>
      </c>
      <c r="Q3486">
        <v>0.103003178907963</v>
      </c>
      <c r="R3486">
        <v>0.99565757644738895</v>
      </c>
      <c r="S3486" t="s">
        <v>9888</v>
      </c>
      <c r="T3486" t="s">
        <v>12802</v>
      </c>
      <c r="U3486" t="s">
        <v>12802</v>
      </c>
      <c r="V3486" t="s">
        <v>12802</v>
      </c>
      <c r="W3486" t="s">
        <v>16238</v>
      </c>
      <c r="X3486">
        <v>8</v>
      </c>
      <c r="Y3486" t="s">
        <v>22479</v>
      </c>
      <c r="Z3486" t="s">
        <v>28804</v>
      </c>
      <c r="AA3486">
        <v>0.38955117190579391</v>
      </c>
      <c r="AB3486" t="str">
        <f>HYPERLINK("Melting_Curves/meltCurve_Q15111_PLCL1.pdf", "Melting_Curves/meltCurve_Q15111_PLCL1.pdf")</f>
        <v>Melting_Curves/meltCurve_Q15111_PLCL1.pdf</v>
      </c>
    </row>
    <row r="3487" spans="1:28" x14ac:dyDescent="0.25">
      <c r="A3487" t="s">
        <v>3491</v>
      </c>
      <c r="B3487">
        <v>0.99542014353169495</v>
      </c>
      <c r="C3487">
        <v>0.92565689780784499</v>
      </c>
      <c r="D3487">
        <v>0.84442403329837901</v>
      </c>
      <c r="E3487">
        <v>0.771976209952701</v>
      </c>
      <c r="F3487">
        <v>0.45752313061335498</v>
      </c>
      <c r="G3487">
        <v>8.0967139387011694E-2</v>
      </c>
      <c r="H3487">
        <v>5.2069348201702899E-2</v>
      </c>
      <c r="I3487">
        <v>3.3249584881189599E-2</v>
      </c>
      <c r="J3487">
        <v>2.6798389093829599E-2</v>
      </c>
      <c r="K3487">
        <v>2.35332009352755E-2</v>
      </c>
      <c r="L3487">
        <v>946.53786312761702</v>
      </c>
      <c r="M3487">
        <v>19.2330281357895</v>
      </c>
      <c r="N3487">
        <v>49.2141990417431</v>
      </c>
      <c r="O3487">
        <v>48.691408340637103</v>
      </c>
      <c r="P3487">
        <v>-9.8753349439248003E-2</v>
      </c>
      <c r="Q3487">
        <v>0</v>
      </c>
      <c r="R3487">
        <v>0.98500628640547805</v>
      </c>
      <c r="S3487" t="s">
        <v>9889</v>
      </c>
      <c r="T3487" t="s">
        <v>12802</v>
      </c>
      <c r="U3487" t="s">
        <v>12802</v>
      </c>
      <c r="V3487" t="s">
        <v>12802</v>
      </c>
      <c r="W3487" t="s">
        <v>16239</v>
      </c>
      <c r="X3487">
        <v>5</v>
      </c>
      <c r="Y3487" t="s">
        <v>22480</v>
      </c>
      <c r="Z3487" t="s">
        <v>28805</v>
      </c>
      <c r="AA3487">
        <v>0.421275070707475</v>
      </c>
      <c r="AB3487" t="str">
        <f>HYPERLINK("Melting_Curves/meltCurve_Q15118_PDK1.pdf", "Melting_Curves/meltCurve_Q15118_PDK1.pdf")</f>
        <v>Melting_Curves/meltCurve_Q15118_PDK1.pdf</v>
      </c>
    </row>
    <row r="3488" spans="1:28" x14ac:dyDescent="0.25">
      <c r="A3488" t="s">
        <v>3492</v>
      </c>
      <c r="B3488">
        <v>0.99542014353169495</v>
      </c>
      <c r="C3488">
        <v>1.07525270408187</v>
      </c>
      <c r="D3488">
        <v>1.0070157175285399</v>
      </c>
      <c r="E3488">
        <v>0.79480031602035806</v>
      </c>
      <c r="F3488">
        <v>0.29279767720029598</v>
      </c>
      <c r="G3488">
        <v>0.14387083421288999</v>
      </c>
      <c r="H3488">
        <v>8.97944844367696E-2</v>
      </c>
      <c r="I3488">
        <v>6.0938452567606598E-2</v>
      </c>
      <c r="J3488">
        <v>7.9067038209073806E-2</v>
      </c>
      <c r="K3488">
        <v>0.103628329756129</v>
      </c>
      <c r="L3488">
        <v>1594.1306902092899</v>
      </c>
      <c r="M3488">
        <v>32.958492587626502</v>
      </c>
      <c r="N3488">
        <v>48.649674590009397</v>
      </c>
      <c r="O3488">
        <v>48.190805778632203</v>
      </c>
      <c r="P3488">
        <v>-0.15612009723175299</v>
      </c>
      <c r="Q3488">
        <v>8.6909748782886501E-2</v>
      </c>
      <c r="R3488">
        <v>0.99547252520587204</v>
      </c>
      <c r="S3488" t="s">
        <v>9890</v>
      </c>
      <c r="T3488" t="s">
        <v>12802</v>
      </c>
      <c r="U3488" t="s">
        <v>12802</v>
      </c>
      <c r="V3488" t="s">
        <v>12802</v>
      </c>
      <c r="W3488" t="s">
        <v>16240</v>
      </c>
      <c r="X3488">
        <v>6</v>
      </c>
      <c r="Y3488" t="s">
        <v>22481</v>
      </c>
      <c r="Z3488" t="s">
        <v>28806</v>
      </c>
      <c r="AA3488">
        <v>0.43741298312520732</v>
      </c>
      <c r="AB3488" t="str">
        <f>HYPERLINK("Melting_Curves/meltCurve_Q15121_PEA15.pdf", "Melting_Curves/meltCurve_Q15121_PEA15.pdf")</f>
        <v>Melting_Curves/meltCurve_Q15121_PEA15.pdf</v>
      </c>
    </row>
    <row r="3489" spans="1:28" x14ac:dyDescent="0.25">
      <c r="A3489" t="s">
        <v>3493</v>
      </c>
      <c r="B3489">
        <v>0.99542014353169495</v>
      </c>
      <c r="C3489">
        <v>0.98537598236824997</v>
      </c>
      <c r="D3489">
        <v>0.88382922186679203</v>
      </c>
      <c r="E3489">
        <v>0.43476930811609998</v>
      </c>
      <c r="F3489">
        <v>0.180565291615957</v>
      </c>
      <c r="G3489">
        <v>9.1499696861661095E-2</v>
      </c>
      <c r="H3489">
        <v>7.7465158354220798E-2</v>
      </c>
      <c r="I3489">
        <v>5.7406132407647803E-2</v>
      </c>
      <c r="J3489">
        <v>6.3602778506580401E-2</v>
      </c>
      <c r="K3489">
        <v>6.1905528547610097E-2</v>
      </c>
      <c r="L3489">
        <v>1210.9836273876799</v>
      </c>
      <c r="M3489">
        <v>26.347879763700199</v>
      </c>
      <c r="N3489">
        <v>46.215944128864002</v>
      </c>
      <c r="O3489">
        <v>45.6990202093357</v>
      </c>
      <c r="P3489">
        <v>-0.13440225784915599</v>
      </c>
      <c r="Q3489">
        <v>6.7555415591546403E-2</v>
      </c>
      <c r="R3489">
        <v>0.99921914847698201</v>
      </c>
      <c r="S3489" t="s">
        <v>9891</v>
      </c>
      <c r="T3489" t="s">
        <v>12802</v>
      </c>
      <c r="U3489" t="s">
        <v>12802</v>
      </c>
      <c r="V3489" t="s">
        <v>12802</v>
      </c>
      <c r="W3489" t="s">
        <v>16241</v>
      </c>
      <c r="X3489">
        <v>8</v>
      </c>
      <c r="Y3489" t="s">
        <v>22482</v>
      </c>
      <c r="Z3489" t="s">
        <v>28807</v>
      </c>
      <c r="AA3489">
        <v>0.35302090583592161</v>
      </c>
      <c r="AB3489" t="str">
        <f>HYPERLINK("Melting_Curves/meltCurve_Q15126_PMVK.pdf", "Melting_Curves/meltCurve_Q15126_PMVK.pdf")</f>
        <v>Melting_Curves/meltCurve_Q15126_PMVK.pdf</v>
      </c>
    </row>
    <row r="3490" spans="1:28" x14ac:dyDescent="0.25">
      <c r="A3490" t="s">
        <v>3494</v>
      </c>
      <c r="B3490">
        <v>0.99542014353169495</v>
      </c>
      <c r="C3490">
        <v>0.83904440212485398</v>
      </c>
      <c r="D3490">
        <v>0.71408210206275402</v>
      </c>
      <c r="E3490">
        <v>0.50723806112817205</v>
      </c>
      <c r="F3490">
        <v>0.487362899322697</v>
      </c>
      <c r="G3490">
        <v>4.9074526052962898E-2</v>
      </c>
      <c r="H3490">
        <v>2.5898568414154399E-2</v>
      </c>
      <c r="I3490">
        <v>2.8572496054052501E-2</v>
      </c>
      <c r="J3490">
        <v>3.3389442839096201E-2</v>
      </c>
      <c r="K3490">
        <v>0</v>
      </c>
      <c r="L3490">
        <v>575.41628759156799</v>
      </c>
      <c r="M3490">
        <v>12.279747871809599</v>
      </c>
      <c r="N3490">
        <v>46.858965789534999</v>
      </c>
      <c r="O3490">
        <v>45.668261012506498</v>
      </c>
      <c r="P3490">
        <v>-6.7237374542597206E-2</v>
      </c>
      <c r="Q3490">
        <v>0</v>
      </c>
      <c r="R3490">
        <v>0.95626098534486603</v>
      </c>
      <c r="S3490" t="s">
        <v>9892</v>
      </c>
      <c r="T3490" t="s">
        <v>12802</v>
      </c>
      <c r="U3490" t="s">
        <v>12802</v>
      </c>
      <c r="V3490" t="s">
        <v>12802</v>
      </c>
      <c r="W3490" t="s">
        <v>16242</v>
      </c>
      <c r="X3490">
        <v>1</v>
      </c>
      <c r="Y3490" t="s">
        <v>22483</v>
      </c>
      <c r="Z3490" t="s">
        <v>28808</v>
      </c>
      <c r="AA3490">
        <v>0.3605034187932577</v>
      </c>
      <c r="AB3490" t="str">
        <f>HYPERLINK("Melting_Curves/meltCurve_Q15131_CDK10.pdf", "Melting_Curves/meltCurve_Q15131_CDK10.pdf")</f>
        <v>Melting_Curves/meltCurve_Q15131_CDK10.pdf</v>
      </c>
    </row>
    <row r="3491" spans="1:28" x14ac:dyDescent="0.25">
      <c r="A3491" t="s">
        <v>3495</v>
      </c>
      <c r="B3491">
        <v>0.99542014353169495</v>
      </c>
      <c r="C3491">
        <v>0.97123352609263702</v>
      </c>
      <c r="D3491">
        <v>0.95477735028793298</v>
      </c>
      <c r="E3491">
        <v>0.49958327584166201</v>
      </c>
      <c r="F3491">
        <v>0.222091055591738</v>
      </c>
      <c r="G3491">
        <v>0.12742950568457001</v>
      </c>
      <c r="H3491">
        <v>8.8803894366210806E-2</v>
      </c>
      <c r="I3491">
        <v>6.1458082077784498E-2</v>
      </c>
      <c r="J3491">
        <v>7.0429051191550504E-2</v>
      </c>
      <c r="K3491">
        <v>7.4814687230063806E-2</v>
      </c>
      <c r="L3491">
        <v>1262.9219839362499</v>
      </c>
      <c r="M3491">
        <v>27.150327531305699</v>
      </c>
      <c r="N3491">
        <v>46.822958488131</v>
      </c>
      <c r="O3491">
        <v>46.265748797901999</v>
      </c>
      <c r="P3491">
        <v>-0.13474653162880601</v>
      </c>
      <c r="Q3491">
        <v>8.1544959580862705E-2</v>
      </c>
      <c r="R3491">
        <v>0.99648718832412497</v>
      </c>
      <c r="S3491" t="s">
        <v>9893</v>
      </c>
      <c r="T3491" t="s">
        <v>12802</v>
      </c>
      <c r="U3491" t="s">
        <v>12802</v>
      </c>
      <c r="V3491" t="s">
        <v>12802</v>
      </c>
      <c r="W3491" t="s">
        <v>16243</v>
      </c>
      <c r="X3491">
        <v>144</v>
      </c>
      <c r="Y3491" t="s">
        <v>22484</v>
      </c>
      <c r="Z3491" t="s">
        <v>28809</v>
      </c>
      <c r="AA3491">
        <v>0.37935491668097782</v>
      </c>
      <c r="AB3491" t="str">
        <f>HYPERLINK("Melting_Curves/meltCurve_Q15149_4_PLEC.pdf", "Melting_Curves/meltCurve_Q15149_4_PLEC.pdf")</f>
        <v>Melting_Curves/meltCurve_Q15149_4_PLEC.pdf</v>
      </c>
    </row>
    <row r="3492" spans="1:28" x14ac:dyDescent="0.25">
      <c r="A3492" t="s">
        <v>3496</v>
      </c>
      <c r="B3492">
        <v>0.99542014353169495</v>
      </c>
      <c r="C3492">
        <v>1.08440456065181</v>
      </c>
      <c r="D3492">
        <v>1.1429667911033601</v>
      </c>
      <c r="E3492">
        <v>1.0395594697728501</v>
      </c>
      <c r="F3492">
        <v>0.760082373119076</v>
      </c>
      <c r="G3492">
        <v>0.19032803975624801</v>
      </c>
      <c r="H3492">
        <v>6.3016573819801497E-2</v>
      </c>
      <c r="I3492">
        <v>2.5426469012533998E-2</v>
      </c>
      <c r="J3492">
        <v>3.5087076576233701E-2</v>
      </c>
      <c r="K3492">
        <v>2.6392190355150599E-2</v>
      </c>
      <c r="L3492">
        <v>2111.8753321715299</v>
      </c>
      <c r="M3492">
        <v>40.921196472333101</v>
      </c>
      <c r="N3492">
        <v>51.695934776472299</v>
      </c>
      <c r="O3492">
        <v>51.485564855256698</v>
      </c>
      <c r="P3492">
        <v>-0.19204783200414399</v>
      </c>
      <c r="Q3492">
        <v>3.3491480988600601E-2</v>
      </c>
      <c r="R3492">
        <v>0.98663995802605098</v>
      </c>
      <c r="S3492" t="s">
        <v>9894</v>
      </c>
      <c r="T3492" t="s">
        <v>12802</v>
      </c>
      <c r="U3492" t="s">
        <v>12802</v>
      </c>
      <c r="V3492" t="s">
        <v>12802</v>
      </c>
      <c r="W3492" t="s">
        <v>16244</v>
      </c>
      <c r="X3492">
        <v>28</v>
      </c>
      <c r="Y3492" t="s">
        <v>22485</v>
      </c>
      <c r="Z3492" t="s">
        <v>28810</v>
      </c>
      <c r="AA3492">
        <v>0.50741583817536706</v>
      </c>
      <c r="AB3492" t="str">
        <f>HYPERLINK("Melting_Curves/meltCurve_Q15155_NOMO1.pdf", "Melting_Curves/meltCurve_Q15155_NOMO1.pdf")</f>
        <v>Melting_Curves/meltCurve_Q15155_NOMO1.pdf</v>
      </c>
    </row>
    <row r="3493" spans="1:28" x14ac:dyDescent="0.25">
      <c r="A3493" t="s">
        <v>3497</v>
      </c>
      <c r="B3493">
        <v>0.99542014353169495</v>
      </c>
      <c r="C3493">
        <v>1.0640689547259301</v>
      </c>
      <c r="D3493">
        <v>1.0368755737900399</v>
      </c>
      <c r="E3493">
        <v>1.0160065770044799</v>
      </c>
      <c r="F3493">
        <v>0.73314971704439102</v>
      </c>
      <c r="G3493">
        <v>0.46523541777385102</v>
      </c>
      <c r="H3493">
        <v>0.35420131196042998</v>
      </c>
      <c r="I3493">
        <v>0.30712498798933902</v>
      </c>
      <c r="J3493">
        <v>0.356242378746083</v>
      </c>
      <c r="K3493">
        <v>0.49752621163531602</v>
      </c>
      <c r="L3493">
        <v>1992.0587797042599</v>
      </c>
      <c r="M3493">
        <v>39.328738062472297</v>
      </c>
      <c r="N3493">
        <v>52.585078158737502</v>
      </c>
      <c r="O3493">
        <v>50.5210408270245</v>
      </c>
      <c r="P3493">
        <v>-0.12022124643556301</v>
      </c>
      <c r="Q3493">
        <v>0.38226438484693998</v>
      </c>
      <c r="R3493">
        <v>0.96895606606637197</v>
      </c>
      <c r="S3493" t="s">
        <v>9895</v>
      </c>
      <c r="T3493" t="s">
        <v>12802</v>
      </c>
      <c r="U3493" t="s">
        <v>12802</v>
      </c>
      <c r="V3493" t="s">
        <v>12802</v>
      </c>
      <c r="W3493" t="s">
        <v>16245</v>
      </c>
      <c r="X3493">
        <v>1</v>
      </c>
      <c r="Y3493" t="s">
        <v>22486</v>
      </c>
      <c r="Z3493" t="s">
        <v>28811</v>
      </c>
      <c r="AA3493">
        <v>0.66559976833727541</v>
      </c>
      <c r="AB3493" t="str">
        <f>HYPERLINK("Melting_Curves/meltCurve_Q15170_TCEAL1.pdf", "Melting_Curves/meltCurve_Q15170_TCEAL1.pdf")</f>
        <v>Melting_Curves/meltCurve_Q15170_TCEAL1.pdf</v>
      </c>
    </row>
    <row r="3494" spans="1:28" x14ac:dyDescent="0.25">
      <c r="A3494" t="s">
        <v>3498</v>
      </c>
      <c r="B3494">
        <v>0.99542014353169495</v>
      </c>
      <c r="C3494">
        <v>0.963863542926093</v>
      </c>
      <c r="D3494">
        <v>0.98043543925844101</v>
      </c>
      <c r="E3494">
        <v>0.77650482594419501</v>
      </c>
      <c r="F3494">
        <v>0.18536168681524701</v>
      </c>
      <c r="G3494">
        <v>6.6001439049126906E-2</v>
      </c>
      <c r="H3494">
        <v>3.7964255167634998E-2</v>
      </c>
      <c r="I3494">
        <v>2.9042574101732201E-2</v>
      </c>
      <c r="J3494">
        <v>2.82165760138233E-2</v>
      </c>
      <c r="K3494">
        <v>3.0419312445904002E-2</v>
      </c>
      <c r="L3494">
        <v>1839.94678427804</v>
      </c>
      <c r="M3494">
        <v>38.298907839473998</v>
      </c>
      <c r="N3494">
        <v>48.130229283569903</v>
      </c>
      <c r="O3494">
        <v>47.911340264825803</v>
      </c>
      <c r="P3494">
        <v>-0.19305040870316301</v>
      </c>
      <c r="Q3494">
        <v>3.3990148470659398E-2</v>
      </c>
      <c r="R3494">
        <v>0.99905508395365705</v>
      </c>
      <c r="S3494" t="s">
        <v>9896</v>
      </c>
      <c r="T3494" t="s">
        <v>12802</v>
      </c>
      <c r="U3494" t="s">
        <v>12802</v>
      </c>
      <c r="V3494" t="s">
        <v>12802</v>
      </c>
      <c r="W3494" t="s">
        <v>16246</v>
      </c>
      <c r="X3494">
        <v>12</v>
      </c>
      <c r="Y3494" t="s">
        <v>22487</v>
      </c>
      <c r="Z3494" t="s">
        <v>28812</v>
      </c>
      <c r="AA3494">
        <v>0.39303994828335598</v>
      </c>
      <c r="AB3494" t="str">
        <f>HYPERLINK("Melting_Curves/meltCurve_Q15172_PPP2R5A.pdf", "Melting_Curves/meltCurve_Q15172_PPP2R5A.pdf")</f>
        <v>Melting_Curves/meltCurve_Q15172_PPP2R5A.pdf</v>
      </c>
    </row>
    <row r="3495" spans="1:28" x14ac:dyDescent="0.25">
      <c r="A3495" t="s">
        <v>3499</v>
      </c>
      <c r="B3495">
        <v>0.99542014353169495</v>
      </c>
      <c r="C3495">
        <v>0.94614102719513204</v>
      </c>
      <c r="D3495">
        <v>0.87040599638121097</v>
      </c>
      <c r="E3495">
        <v>0.48426749888707499</v>
      </c>
      <c r="F3495">
        <v>0.25170644369034301</v>
      </c>
      <c r="G3495">
        <v>0.10108963550834101</v>
      </c>
      <c r="H3495">
        <v>8.7004273674610499E-2</v>
      </c>
      <c r="I3495">
        <v>6.6818202198683604E-2</v>
      </c>
      <c r="J3495">
        <v>7.9749237634684195E-2</v>
      </c>
      <c r="K3495">
        <v>3.6660701825252003E-2</v>
      </c>
      <c r="L3495">
        <v>941.29440277599997</v>
      </c>
      <c r="M3495">
        <v>20.284935587410299</v>
      </c>
      <c r="N3495">
        <v>46.695200103252198</v>
      </c>
      <c r="O3495">
        <v>45.959679414868802</v>
      </c>
      <c r="P3495">
        <v>-0.103780315974415</v>
      </c>
      <c r="Q3495">
        <v>5.9486189384082698E-2</v>
      </c>
      <c r="R3495">
        <v>0.99748572353418996</v>
      </c>
      <c r="S3495" t="s">
        <v>9897</v>
      </c>
      <c r="T3495" t="s">
        <v>12802</v>
      </c>
      <c r="U3495" t="s">
        <v>12802</v>
      </c>
      <c r="V3495" t="s">
        <v>12802</v>
      </c>
      <c r="W3495" t="s">
        <v>16247</v>
      </c>
      <c r="X3495">
        <v>3</v>
      </c>
      <c r="Y3495" t="s">
        <v>22488</v>
      </c>
      <c r="Z3495" t="s">
        <v>28813</v>
      </c>
      <c r="AA3495">
        <v>0.36624728861921407</v>
      </c>
      <c r="AB3495" t="str">
        <f>HYPERLINK("Melting_Curves/meltCurve_Q15173_2_PPP2R5B.pdf", "Melting_Curves/meltCurve_Q15173_2_PPP2R5B.pdf")</f>
        <v>Melting_Curves/meltCurve_Q15173_2_PPP2R5B.pdf</v>
      </c>
    </row>
    <row r="3496" spans="1:28" x14ac:dyDescent="0.25">
      <c r="A3496" t="s">
        <v>3500</v>
      </c>
      <c r="B3496">
        <v>0.99542014353169495</v>
      </c>
      <c r="C3496">
        <v>1.0177919216262199</v>
      </c>
      <c r="D3496">
        <v>1.0484998933610099</v>
      </c>
      <c r="E3496">
        <v>1.10224694874244</v>
      </c>
      <c r="F3496">
        <v>0.91536097714568099</v>
      </c>
      <c r="G3496">
        <v>0.80919564653223697</v>
      </c>
      <c r="H3496">
        <v>0.50365261626009405</v>
      </c>
      <c r="I3496">
        <v>0.403037756843171</v>
      </c>
      <c r="J3496">
        <v>0.29006542188866602</v>
      </c>
      <c r="K3496">
        <v>0.119448893190553</v>
      </c>
      <c r="L3496">
        <v>950.78839790852896</v>
      </c>
      <c r="M3496">
        <v>16.4538970456261</v>
      </c>
      <c r="N3496">
        <v>58.472388595414998</v>
      </c>
      <c r="O3496">
        <v>56.9516788472286</v>
      </c>
      <c r="P3496">
        <v>-6.5880737490444694E-2</v>
      </c>
      <c r="Q3496">
        <v>8.79352263460315E-2</v>
      </c>
      <c r="R3496">
        <v>0.97427672797808995</v>
      </c>
      <c r="S3496" t="s">
        <v>9898</v>
      </c>
      <c r="T3496" t="s">
        <v>12802</v>
      </c>
      <c r="U3496" t="s">
        <v>12802</v>
      </c>
      <c r="V3496" t="s">
        <v>12802</v>
      </c>
      <c r="W3496" t="s">
        <v>16248</v>
      </c>
      <c r="X3496">
        <v>22</v>
      </c>
      <c r="Y3496" t="s">
        <v>22489</v>
      </c>
      <c r="Z3496" t="s">
        <v>28814</v>
      </c>
      <c r="AA3496">
        <v>0.72554454511333799</v>
      </c>
      <c r="AB3496" t="str">
        <f>HYPERLINK("Melting_Curves/meltCurve_Q15181_PPA1.pdf", "Melting_Curves/meltCurve_Q15181_PPA1.pdf")</f>
        <v>Melting_Curves/meltCurve_Q15181_PPA1.pdf</v>
      </c>
    </row>
    <row r="3497" spans="1:28" x14ac:dyDescent="0.25">
      <c r="A3497" t="s">
        <v>3501</v>
      </c>
      <c r="B3497">
        <v>0.99542014353169495</v>
      </c>
      <c r="C3497">
        <v>0.99495360612841699</v>
      </c>
      <c r="D3497">
        <v>0.974280203281639</v>
      </c>
      <c r="E3497">
        <v>0.64547635761119104</v>
      </c>
      <c r="F3497">
        <v>0.187559635834052</v>
      </c>
      <c r="G3497">
        <v>8.5223299139142103E-2</v>
      </c>
      <c r="H3497">
        <v>4.4349570396846297E-2</v>
      </c>
      <c r="I3497">
        <v>3.47282860950371E-2</v>
      </c>
      <c r="J3497">
        <v>4.19473185198809E-2</v>
      </c>
      <c r="K3497">
        <v>4.8949371784592702E-2</v>
      </c>
      <c r="L3497">
        <v>1475.1655861423901</v>
      </c>
      <c r="M3497">
        <v>31.115801830094401</v>
      </c>
      <c r="N3497">
        <v>47.552721269520802</v>
      </c>
      <c r="O3497">
        <v>47.214364160356403</v>
      </c>
      <c r="P3497">
        <v>-0.157359924174231</v>
      </c>
      <c r="Q3497">
        <v>4.4908884988453898E-2</v>
      </c>
      <c r="R3497">
        <v>0.99963083934803398</v>
      </c>
      <c r="S3497" t="s">
        <v>9899</v>
      </c>
      <c r="T3497" t="s">
        <v>12802</v>
      </c>
      <c r="U3497" t="s">
        <v>12802</v>
      </c>
      <c r="V3497" t="s">
        <v>12802</v>
      </c>
      <c r="W3497" t="s">
        <v>16249</v>
      </c>
      <c r="X3497">
        <v>16</v>
      </c>
      <c r="Y3497" t="s">
        <v>22490</v>
      </c>
      <c r="Z3497" t="s">
        <v>28815</v>
      </c>
      <c r="AA3497">
        <v>0.38148690134011021</v>
      </c>
      <c r="AB3497" t="str">
        <f>HYPERLINK("Melting_Curves/meltCurve_Q15208_STK38.pdf", "Melting_Curves/meltCurve_Q15208_STK38.pdf")</f>
        <v>Melting_Curves/meltCurve_Q15208_STK38.pdf</v>
      </c>
    </row>
    <row r="3498" spans="1:28" x14ac:dyDescent="0.25">
      <c r="A3498" t="s">
        <v>3502</v>
      </c>
      <c r="B3498">
        <v>0.99542014353169495</v>
      </c>
      <c r="C3498">
        <v>0.98950126754160606</v>
      </c>
      <c r="D3498">
        <v>0.92157322772221095</v>
      </c>
      <c r="E3498">
        <v>0.23785587325646201</v>
      </c>
      <c r="F3498">
        <v>0.117974862874481</v>
      </c>
      <c r="G3498">
        <v>6.7740769929275899E-2</v>
      </c>
      <c r="H3498">
        <v>4.01685450108209E-2</v>
      </c>
      <c r="I3498">
        <v>2.91283283145366E-2</v>
      </c>
      <c r="J3498">
        <v>3.3457410466955301E-2</v>
      </c>
      <c r="K3498">
        <v>4.0681351175564602E-2</v>
      </c>
      <c r="L3498">
        <v>2047.3026871316399</v>
      </c>
      <c r="M3498">
        <v>45.298270186320202</v>
      </c>
      <c r="N3498">
        <v>45.3060577204159</v>
      </c>
      <c r="O3498">
        <v>45.108225811655899</v>
      </c>
      <c r="P3498">
        <v>-0.237978707497534</v>
      </c>
      <c r="Q3498">
        <v>5.2080014168869197E-2</v>
      </c>
      <c r="R3498">
        <v>0.99725178548856297</v>
      </c>
      <c r="S3498" t="s">
        <v>9900</v>
      </c>
      <c r="T3498" t="s">
        <v>12802</v>
      </c>
      <c r="U3498" t="s">
        <v>12802</v>
      </c>
      <c r="V3498" t="s">
        <v>12802</v>
      </c>
      <c r="W3498" t="s">
        <v>16250</v>
      </c>
      <c r="X3498">
        <v>39</v>
      </c>
      <c r="Y3498" t="s">
        <v>22491</v>
      </c>
      <c r="Z3498" t="s">
        <v>28816</v>
      </c>
      <c r="AA3498">
        <v>0.31335935608207899</v>
      </c>
      <c r="AB3498" t="str">
        <f>HYPERLINK("Melting_Curves/meltCurve_Q15233_NONO.pdf", "Melting_Curves/meltCurve_Q15233_NONO.pdf")</f>
        <v>Melting_Curves/meltCurve_Q15233_NONO.pdf</v>
      </c>
    </row>
    <row r="3499" spans="1:28" x14ac:dyDescent="0.25">
      <c r="A3499" t="s">
        <v>3503</v>
      </c>
      <c r="B3499">
        <v>0.99542014353169495</v>
      </c>
      <c r="C3499">
        <v>0.99761322285967502</v>
      </c>
      <c r="D3499">
        <v>0.89761573833663799</v>
      </c>
      <c r="E3499">
        <v>0.73826139154908099</v>
      </c>
      <c r="F3499">
        <v>0.57626283638027098</v>
      </c>
      <c r="G3499">
        <v>0.17734863624170999</v>
      </c>
      <c r="H3499">
        <v>9.3974816234066505E-2</v>
      </c>
      <c r="I3499">
        <v>7.3943010446888696E-2</v>
      </c>
      <c r="J3499">
        <v>4.8674779414422199E-2</v>
      </c>
      <c r="K3499">
        <v>7.0244010103117593E-2</v>
      </c>
      <c r="L3499">
        <v>854.92413065894505</v>
      </c>
      <c r="M3499">
        <v>17.135718608283</v>
      </c>
      <c r="N3499">
        <v>50.047816374820201</v>
      </c>
      <c r="O3499">
        <v>49.226745212901697</v>
      </c>
      <c r="P3499">
        <v>-8.4759832442585004E-2</v>
      </c>
      <c r="Q3499">
        <v>2.60809306106045E-2</v>
      </c>
      <c r="R3499">
        <v>0.98863301996775099</v>
      </c>
      <c r="S3499" t="s">
        <v>9901</v>
      </c>
      <c r="T3499" t="s">
        <v>12802</v>
      </c>
      <c r="U3499" t="s">
        <v>12802</v>
      </c>
      <c r="V3499" t="s">
        <v>12802</v>
      </c>
      <c r="W3499" t="s">
        <v>12863</v>
      </c>
      <c r="X3499">
        <v>9</v>
      </c>
      <c r="Y3499" t="s">
        <v>19185</v>
      </c>
      <c r="Z3499" t="s">
        <v>28817</v>
      </c>
      <c r="AA3499">
        <v>0.46123577213409978</v>
      </c>
      <c r="AB3499" t="str">
        <f>HYPERLINK("Melting_Curves/meltCurve_Q15257_PPP2R4.pdf", "Melting_Curves/meltCurve_Q15257_PPP2R4.pdf")</f>
        <v>Melting_Curves/meltCurve_Q15257_PPP2R4.pdf</v>
      </c>
    </row>
    <row r="3500" spans="1:28" x14ac:dyDescent="0.25">
      <c r="A3500" t="s">
        <v>3504</v>
      </c>
      <c r="B3500">
        <v>0.99542014353169495</v>
      </c>
      <c r="C3500">
        <v>1.0380805475127901</v>
      </c>
      <c r="D3500">
        <v>1.05319690320797</v>
      </c>
      <c r="E3500">
        <v>1.1234394224091799</v>
      </c>
      <c r="F3500">
        <v>0.64231511561305998</v>
      </c>
      <c r="G3500">
        <v>0.220054967106774</v>
      </c>
      <c r="H3500">
        <v>0.1111070978995</v>
      </c>
      <c r="I3500">
        <v>6.8064918890023904E-2</v>
      </c>
      <c r="J3500">
        <v>8.36183331955756E-2</v>
      </c>
      <c r="K3500">
        <v>8.7505308819107494E-2</v>
      </c>
      <c r="L3500">
        <v>2104.2514436891802</v>
      </c>
      <c r="M3500">
        <v>41.352505598264202</v>
      </c>
      <c r="N3500">
        <v>51.138626756890801</v>
      </c>
      <c r="O3500">
        <v>50.767126439660103</v>
      </c>
      <c r="P3500">
        <v>-0.18480581865937901</v>
      </c>
      <c r="Q3500">
        <v>9.24810416440114E-2</v>
      </c>
      <c r="R3500">
        <v>0.98585399424356401</v>
      </c>
      <c r="S3500" t="s">
        <v>9902</v>
      </c>
      <c r="T3500" t="s">
        <v>12802</v>
      </c>
      <c r="U3500" t="s">
        <v>12802</v>
      </c>
      <c r="V3500" t="s">
        <v>12802</v>
      </c>
      <c r="W3500" t="s">
        <v>16251</v>
      </c>
      <c r="X3500">
        <v>11</v>
      </c>
      <c r="Y3500" t="s">
        <v>22492</v>
      </c>
      <c r="Z3500" t="s">
        <v>28818</v>
      </c>
      <c r="AA3500">
        <v>0.51551495208205533</v>
      </c>
      <c r="AB3500" t="str">
        <f>HYPERLINK("Melting_Curves/meltCurve_Q15269_PWP2.pdf", "Melting_Curves/meltCurve_Q15269_PWP2.pdf")</f>
        <v>Melting_Curves/meltCurve_Q15269_PWP2.pdf</v>
      </c>
    </row>
    <row r="3501" spans="1:28" x14ac:dyDescent="0.25">
      <c r="A3501" t="s">
        <v>3505</v>
      </c>
      <c r="B3501">
        <v>0.99542014353169495</v>
      </c>
      <c r="C3501">
        <v>0.96060027865993003</v>
      </c>
      <c r="D3501">
        <v>0.96214073957930402</v>
      </c>
      <c r="E3501">
        <v>0.68313738782416999</v>
      </c>
      <c r="F3501">
        <v>0.49958587873438198</v>
      </c>
      <c r="G3501">
        <v>0.29695372117279401</v>
      </c>
      <c r="H3501">
        <v>0.23169663182772601</v>
      </c>
      <c r="I3501">
        <v>0.22991617391015801</v>
      </c>
      <c r="J3501">
        <v>0.25741091625010198</v>
      </c>
      <c r="K3501">
        <v>0.36315540221209103</v>
      </c>
      <c r="L3501">
        <v>1012.32957359019</v>
      </c>
      <c r="M3501">
        <v>21.252656918120699</v>
      </c>
      <c r="N3501">
        <v>49.376082165085798</v>
      </c>
      <c r="O3501">
        <v>47.2173707711341</v>
      </c>
      <c r="P3501">
        <v>-8.2835642093426101E-2</v>
      </c>
      <c r="Q3501">
        <v>0.26386971351964</v>
      </c>
      <c r="R3501">
        <v>0.97889047269149898</v>
      </c>
      <c r="S3501" t="s">
        <v>9903</v>
      </c>
      <c r="T3501" t="s">
        <v>12802</v>
      </c>
      <c r="U3501" t="s">
        <v>12802</v>
      </c>
      <c r="V3501" t="s">
        <v>12802</v>
      </c>
      <c r="W3501" t="s">
        <v>16252</v>
      </c>
      <c r="X3501">
        <v>7</v>
      </c>
      <c r="Y3501" t="s">
        <v>22493</v>
      </c>
      <c r="Z3501" t="s">
        <v>28819</v>
      </c>
      <c r="AA3501">
        <v>0.5333712316440431</v>
      </c>
      <c r="AB3501" t="str">
        <f>HYPERLINK("Melting_Curves/meltCurve_Q15274_QPRT.pdf", "Melting_Curves/meltCurve_Q15274_QPRT.pdf")</f>
        <v>Melting_Curves/meltCurve_Q15274_QPRT.pdf</v>
      </c>
    </row>
    <row r="3502" spans="1:28" x14ac:dyDescent="0.25">
      <c r="A3502" t="s">
        <v>3506</v>
      </c>
      <c r="B3502">
        <v>0.99542014353169495</v>
      </c>
      <c r="C3502">
        <v>1.0000380223806999</v>
      </c>
      <c r="D3502">
        <v>0.95605947241228695</v>
      </c>
      <c r="E3502">
        <v>0.80013287574805003</v>
      </c>
      <c r="F3502">
        <v>0.46528098596083201</v>
      </c>
      <c r="G3502">
        <v>0.22367514090973101</v>
      </c>
      <c r="H3502">
        <v>0.34955864441133</v>
      </c>
      <c r="I3502">
        <v>0.25675048602497302</v>
      </c>
      <c r="J3502">
        <v>0.18107895676611199</v>
      </c>
      <c r="K3502">
        <v>0.152544796581389</v>
      </c>
      <c r="L3502">
        <v>1184.5470019366001</v>
      </c>
      <c r="M3502">
        <v>24.388599981094099</v>
      </c>
      <c r="N3502">
        <v>49.718835059644903</v>
      </c>
      <c r="O3502">
        <v>48.246690476835802</v>
      </c>
      <c r="P3502">
        <v>-9.9148880848283799E-2</v>
      </c>
      <c r="Q3502">
        <v>0.21544751444646501</v>
      </c>
      <c r="R3502">
        <v>0.97942755071972099</v>
      </c>
      <c r="S3502" t="s">
        <v>9904</v>
      </c>
      <c r="T3502" t="s">
        <v>12802</v>
      </c>
      <c r="U3502" t="s">
        <v>12802</v>
      </c>
      <c r="V3502" t="s">
        <v>12802</v>
      </c>
      <c r="W3502" t="s">
        <v>16253</v>
      </c>
      <c r="X3502">
        <v>30</v>
      </c>
      <c r="Y3502" t="s">
        <v>22494</v>
      </c>
      <c r="Z3502" t="s">
        <v>28820</v>
      </c>
      <c r="AA3502">
        <v>0.52508985546152553</v>
      </c>
      <c r="AB3502" t="str">
        <f>HYPERLINK("Melting_Curves/meltCurve_Q15276_RABEP1.pdf", "Melting_Curves/meltCurve_Q15276_RABEP1.pdf")</f>
        <v>Melting_Curves/meltCurve_Q15276_RABEP1.pdf</v>
      </c>
    </row>
    <row r="3503" spans="1:28" x14ac:dyDescent="0.25">
      <c r="A3503" t="s">
        <v>3507</v>
      </c>
      <c r="B3503">
        <v>0.99542014353169495</v>
      </c>
      <c r="C3503">
        <v>1.0291317191632701</v>
      </c>
      <c r="D3503">
        <v>1.0019951686267701</v>
      </c>
      <c r="E3503">
        <v>0.60224652549544599</v>
      </c>
      <c r="F3503">
        <v>0.27178815328686201</v>
      </c>
      <c r="G3503">
        <v>0.13161786472107201</v>
      </c>
      <c r="H3503">
        <v>9.0389945138892702E-2</v>
      </c>
      <c r="I3503">
        <v>6.9046399050604695E-2</v>
      </c>
      <c r="J3503">
        <v>7.1664679990246893E-2</v>
      </c>
      <c r="K3503">
        <v>8.5477781314945003E-2</v>
      </c>
      <c r="L3503">
        <v>1270.25591379102</v>
      </c>
      <c r="M3503">
        <v>26.839877241833101</v>
      </c>
      <c r="N3503">
        <v>47.648309772198999</v>
      </c>
      <c r="O3503">
        <v>47.066811960773201</v>
      </c>
      <c r="P3503">
        <v>-0.13076926179543499</v>
      </c>
      <c r="Q3503">
        <v>8.2733694418079595E-2</v>
      </c>
      <c r="R3503">
        <v>0.99557206480605498</v>
      </c>
      <c r="S3503" t="s">
        <v>9905</v>
      </c>
      <c r="T3503" t="s">
        <v>12802</v>
      </c>
      <c r="U3503" t="s">
        <v>12802</v>
      </c>
      <c r="V3503" t="s">
        <v>12802</v>
      </c>
      <c r="W3503" t="s">
        <v>16254</v>
      </c>
      <c r="X3503">
        <v>2</v>
      </c>
      <c r="Y3503" t="s">
        <v>22495</v>
      </c>
      <c r="Z3503" t="s">
        <v>28821</v>
      </c>
      <c r="AA3503">
        <v>0.40520569209221968</v>
      </c>
      <c r="AB3503" t="str">
        <f>HYPERLINK("Melting_Curves/meltCurve_Q15283_2_RASA2.pdf", "Melting_Curves/meltCurve_Q15283_2_RASA2.pdf")</f>
        <v>Melting_Curves/meltCurve_Q15283_2_RASA2.pdf</v>
      </c>
    </row>
    <row r="3504" spans="1:28" x14ac:dyDescent="0.25">
      <c r="A3504" t="s">
        <v>3508</v>
      </c>
      <c r="B3504">
        <v>0.99542014353169495</v>
      </c>
      <c r="C3504">
        <v>1.02287203991417</v>
      </c>
      <c r="D3504">
        <v>1.0181667855324601</v>
      </c>
      <c r="E3504">
        <v>0.90674497079204297</v>
      </c>
      <c r="F3504">
        <v>0.79978194404107195</v>
      </c>
      <c r="G3504">
        <v>0.630177288891279</v>
      </c>
      <c r="H3504">
        <v>0.457835746434126</v>
      </c>
      <c r="I3504">
        <v>0.30250391850540598</v>
      </c>
      <c r="J3504">
        <v>0.22361796824584901</v>
      </c>
      <c r="K3504">
        <v>0.12788937415286999</v>
      </c>
      <c r="L3504">
        <v>646.77281812020101</v>
      </c>
      <c r="M3504">
        <v>11.462061040856501</v>
      </c>
      <c r="N3504">
        <v>56.4695662436202</v>
      </c>
      <c r="O3504">
        <v>54.791649603920902</v>
      </c>
      <c r="P3504">
        <v>-5.2089851975706897E-2</v>
      </c>
      <c r="Q3504">
        <v>4.2741733975967698E-3</v>
      </c>
      <c r="R3504">
        <v>0.99644436199259401</v>
      </c>
      <c r="S3504" t="s">
        <v>9906</v>
      </c>
      <c r="T3504" t="s">
        <v>12802</v>
      </c>
      <c r="U3504" t="s">
        <v>12802</v>
      </c>
      <c r="V3504" t="s">
        <v>12802</v>
      </c>
      <c r="W3504" t="s">
        <v>16255</v>
      </c>
      <c r="X3504">
        <v>13</v>
      </c>
      <c r="Y3504" t="s">
        <v>22496</v>
      </c>
      <c r="Z3504" t="s">
        <v>28822</v>
      </c>
      <c r="AA3504">
        <v>0.65584111556632285</v>
      </c>
      <c r="AB3504" t="str">
        <f>HYPERLINK("Melting_Curves/meltCurve_Q15286_RAB35.pdf", "Melting_Curves/meltCurve_Q15286_RAB35.pdf")</f>
        <v>Melting_Curves/meltCurve_Q15286_RAB35.pdf</v>
      </c>
    </row>
    <row r="3505" spans="1:28" x14ac:dyDescent="0.25">
      <c r="A3505" t="s">
        <v>3509</v>
      </c>
      <c r="B3505">
        <v>0.99542014353169495</v>
      </c>
      <c r="C3505">
        <v>0.93742981901714995</v>
      </c>
      <c r="D3505">
        <v>0.93662821785247596</v>
      </c>
      <c r="E3505">
        <v>0.84716007280346395</v>
      </c>
      <c r="F3505">
        <v>0.638897368273593</v>
      </c>
      <c r="G3505">
        <v>0.53430437223264204</v>
      </c>
      <c r="H3505">
        <v>0.65052011954087896</v>
      </c>
      <c r="I3505">
        <v>0.61601467127586396</v>
      </c>
      <c r="J3505">
        <v>0.76112347130733005</v>
      </c>
      <c r="K3505">
        <v>0.585101454429381</v>
      </c>
      <c r="L3505">
        <v>1901.10413463388</v>
      </c>
      <c r="M3505">
        <v>40.549664169661902</v>
      </c>
      <c r="O3505">
        <v>46.7697615560526</v>
      </c>
      <c r="P3505">
        <v>-8.0765291402370404E-2</v>
      </c>
      <c r="Q3505">
        <v>0.62738376526816697</v>
      </c>
      <c r="R3505">
        <v>0.85628190395493098</v>
      </c>
      <c r="S3505" t="s">
        <v>9907</v>
      </c>
      <c r="T3505" t="s">
        <v>12802</v>
      </c>
      <c r="U3505" t="s">
        <v>12802</v>
      </c>
      <c r="V3505" t="s">
        <v>12802</v>
      </c>
      <c r="W3505" t="s">
        <v>16256</v>
      </c>
      <c r="X3505">
        <v>15</v>
      </c>
      <c r="Y3505" t="s">
        <v>22497</v>
      </c>
      <c r="Z3505" t="s">
        <v>28823</v>
      </c>
      <c r="AA3505">
        <v>0.75131542232238502</v>
      </c>
      <c r="AB3505" t="str">
        <f>HYPERLINK("Melting_Curves/meltCurve_Q15291_RBBP5.pdf", "Melting_Curves/meltCurve_Q15291_RBBP5.pdf")</f>
        <v>Melting_Curves/meltCurve_Q15291_RBBP5.pdf</v>
      </c>
    </row>
    <row r="3506" spans="1:28" x14ac:dyDescent="0.25">
      <c r="A3506" t="s">
        <v>3510</v>
      </c>
      <c r="B3506">
        <v>0.99542014353169495</v>
      </c>
      <c r="C3506">
        <v>0.95580802478904003</v>
      </c>
      <c r="D3506">
        <v>0.91467824218496496</v>
      </c>
      <c r="E3506">
        <v>0.814371970460814</v>
      </c>
      <c r="F3506">
        <v>0.616775007375304</v>
      </c>
      <c r="G3506">
        <v>0.40772537761855598</v>
      </c>
      <c r="H3506">
        <v>0.280246604405607</v>
      </c>
      <c r="I3506">
        <v>0.23627181697268401</v>
      </c>
      <c r="J3506">
        <v>0.36314984212382501</v>
      </c>
      <c r="K3506">
        <v>0.40383103393590503</v>
      </c>
      <c r="L3506">
        <v>962.728702256519</v>
      </c>
      <c r="M3506">
        <v>19.6234556703292</v>
      </c>
      <c r="N3506">
        <v>51.600596097525198</v>
      </c>
      <c r="O3506">
        <v>48.5591393167294</v>
      </c>
      <c r="P3506">
        <v>-6.9739900339371899E-2</v>
      </c>
      <c r="Q3506">
        <v>0.30972589358378599</v>
      </c>
      <c r="R3506">
        <v>0.965484309751658</v>
      </c>
      <c r="S3506" t="s">
        <v>9908</v>
      </c>
      <c r="T3506" t="s">
        <v>12802</v>
      </c>
      <c r="U3506" t="s">
        <v>12802</v>
      </c>
      <c r="V3506" t="s">
        <v>12802</v>
      </c>
      <c r="W3506" t="s">
        <v>16257</v>
      </c>
      <c r="X3506">
        <v>5</v>
      </c>
      <c r="Y3506" t="s">
        <v>22498</v>
      </c>
      <c r="Z3506" t="s">
        <v>28824</v>
      </c>
      <c r="AA3506">
        <v>0.59663208385057032</v>
      </c>
      <c r="AB3506" t="str">
        <f>HYPERLINK("Melting_Curves/meltCurve_Q15293_RCN1.pdf", "Melting_Curves/meltCurve_Q15293_RCN1.pdf")</f>
        <v>Melting_Curves/meltCurve_Q15293_RCN1.pdf</v>
      </c>
    </row>
    <row r="3507" spans="1:28" x14ac:dyDescent="0.25">
      <c r="A3507" t="s">
        <v>3511</v>
      </c>
      <c r="B3507">
        <v>0.99542014353169495</v>
      </c>
      <c r="C3507">
        <v>0.89891755253874495</v>
      </c>
      <c r="D3507">
        <v>0.615777557095463</v>
      </c>
      <c r="E3507">
        <v>0.233219433244651</v>
      </c>
      <c r="F3507">
        <v>0.121484546454452</v>
      </c>
      <c r="G3507">
        <v>7.5515460488410902E-2</v>
      </c>
      <c r="H3507">
        <v>5.0032304255460999E-2</v>
      </c>
      <c r="I3507">
        <v>3.3282590188043901E-2</v>
      </c>
      <c r="J3507">
        <v>3.5033670701184801E-2</v>
      </c>
      <c r="K3507">
        <v>5.0772463929177503E-2</v>
      </c>
      <c r="L3507">
        <v>959.476351906736</v>
      </c>
      <c r="M3507">
        <v>21.925637055048401</v>
      </c>
      <c r="N3507">
        <v>43.955558563376002</v>
      </c>
      <c r="O3507">
        <v>43.4013365840161</v>
      </c>
      <c r="P3507">
        <v>-0.120443249693204</v>
      </c>
      <c r="Q3507">
        <v>4.6362140614413801E-2</v>
      </c>
      <c r="R3507">
        <v>0.99898427551858704</v>
      </c>
      <c r="S3507" t="s">
        <v>9909</v>
      </c>
      <c r="T3507" t="s">
        <v>12802</v>
      </c>
      <c r="U3507" t="s">
        <v>12802</v>
      </c>
      <c r="V3507" t="s">
        <v>12802</v>
      </c>
      <c r="W3507" t="s">
        <v>16258</v>
      </c>
      <c r="X3507">
        <v>11</v>
      </c>
      <c r="Y3507" t="s">
        <v>22499</v>
      </c>
      <c r="Z3507" t="s">
        <v>28825</v>
      </c>
      <c r="AA3507">
        <v>0.27175102133716411</v>
      </c>
      <c r="AB3507" t="str">
        <f>HYPERLINK("Melting_Curves/meltCurve_Q15311_RALBP1.pdf", "Melting_Curves/meltCurve_Q15311_RALBP1.pdf")</f>
        <v>Melting_Curves/meltCurve_Q15311_RALBP1.pdf</v>
      </c>
    </row>
    <row r="3508" spans="1:28" x14ac:dyDescent="0.25">
      <c r="A3508" t="s">
        <v>3512</v>
      </c>
      <c r="B3508">
        <v>0.99542014353169495</v>
      </c>
      <c r="C3508">
        <v>0.96836160801945104</v>
      </c>
      <c r="D3508">
        <v>0.87797036906938097</v>
      </c>
      <c r="E3508">
        <v>0.65304173497096196</v>
      </c>
      <c r="F3508">
        <v>0.36791623001255602</v>
      </c>
      <c r="G3508">
        <v>0.17614082245099599</v>
      </c>
      <c r="H3508">
        <v>0.12947972999235799</v>
      </c>
      <c r="I3508">
        <v>9.7022541062736306E-2</v>
      </c>
      <c r="J3508">
        <v>0.102342528710908</v>
      </c>
      <c r="K3508">
        <v>0.124622986368654</v>
      </c>
      <c r="L3508">
        <v>869.59963285038702</v>
      </c>
      <c r="M3508">
        <v>18.2168050603583</v>
      </c>
      <c r="N3508">
        <v>48.284777384566802</v>
      </c>
      <c r="O3508">
        <v>47.172029810893598</v>
      </c>
      <c r="P3508">
        <v>-8.7522865010020504E-2</v>
      </c>
      <c r="Q3508">
        <v>9.3488265030576306E-2</v>
      </c>
      <c r="R3508">
        <v>0.99867864217114199</v>
      </c>
      <c r="S3508" t="s">
        <v>9910</v>
      </c>
      <c r="T3508" t="s">
        <v>12802</v>
      </c>
      <c r="U3508" t="s">
        <v>12802</v>
      </c>
      <c r="V3508" t="s">
        <v>12802</v>
      </c>
      <c r="W3508" t="s">
        <v>16259</v>
      </c>
      <c r="X3508">
        <v>8</v>
      </c>
      <c r="Y3508" t="s">
        <v>22500</v>
      </c>
      <c r="Z3508" t="s">
        <v>28826</v>
      </c>
      <c r="AA3508">
        <v>0.43208970225896748</v>
      </c>
      <c r="AB3508" t="str">
        <f>HYPERLINK("Melting_Curves/meltCurve_Q15334_LLGL1.pdf", "Melting_Curves/meltCurve_Q15334_LLGL1.pdf")</f>
        <v>Melting_Curves/meltCurve_Q15334_LLGL1.pdf</v>
      </c>
    </row>
    <row r="3509" spans="1:28" x14ac:dyDescent="0.25">
      <c r="A3509" t="s">
        <v>3513</v>
      </c>
      <c r="B3509">
        <v>0.99542014353169495</v>
      </c>
      <c r="C3509">
        <v>0.94078310685782196</v>
      </c>
      <c r="D3509">
        <v>1.01847041350306</v>
      </c>
      <c r="E3509">
        <v>0.77651198501039698</v>
      </c>
      <c r="F3509">
        <v>0.34628141943908303</v>
      </c>
      <c r="G3509">
        <v>0.15639812472468101</v>
      </c>
      <c r="H3509">
        <v>0.112632229151646</v>
      </c>
      <c r="I3509">
        <v>9.0917040785865599E-2</v>
      </c>
      <c r="J3509">
        <v>9.2161838993120304E-2</v>
      </c>
      <c r="K3509">
        <v>0.126270353933955</v>
      </c>
      <c r="L3509">
        <v>1405.13996316209</v>
      </c>
      <c r="M3509">
        <v>28.997700212051601</v>
      </c>
      <c r="N3509">
        <v>48.8483110174001</v>
      </c>
      <c r="O3509">
        <v>48.228222761271503</v>
      </c>
      <c r="P3509">
        <v>-0.134734862990536</v>
      </c>
      <c r="Q3509">
        <v>0.103656128748746</v>
      </c>
      <c r="R3509">
        <v>0.99613363433618096</v>
      </c>
      <c r="S3509" t="s">
        <v>9911</v>
      </c>
      <c r="T3509" t="s">
        <v>12802</v>
      </c>
      <c r="U3509" t="s">
        <v>12802</v>
      </c>
      <c r="V3509" t="s">
        <v>12802</v>
      </c>
      <c r="W3509" t="s">
        <v>16260</v>
      </c>
      <c r="X3509">
        <v>3</v>
      </c>
      <c r="Y3509" t="s">
        <v>22501</v>
      </c>
      <c r="Z3509" t="s">
        <v>28827</v>
      </c>
      <c r="AA3509">
        <v>0.45169826530332041</v>
      </c>
      <c r="AB3509" t="str">
        <f>HYPERLINK("Melting_Curves/meltCurve_Q15345_3_LRRC41.pdf", "Melting_Curves/meltCurve_Q15345_3_LRRC41.pdf")</f>
        <v>Melting_Curves/meltCurve_Q15345_3_LRRC41.pdf</v>
      </c>
    </row>
    <row r="3510" spans="1:28" x14ac:dyDescent="0.25">
      <c r="A3510" t="s">
        <v>3514</v>
      </c>
      <c r="B3510">
        <v>0.99542014353169495</v>
      </c>
      <c r="C3510">
        <v>0.95346741278375702</v>
      </c>
      <c r="D3510">
        <v>0.56984121716670599</v>
      </c>
      <c r="E3510">
        <v>0.46471042159481302</v>
      </c>
      <c r="F3510">
        <v>0.35969036422953898</v>
      </c>
      <c r="G3510">
        <v>0.21667670732043601</v>
      </c>
      <c r="H3510">
        <v>0.142517898909128</v>
      </c>
      <c r="I3510">
        <v>8.3840786665060493E-2</v>
      </c>
      <c r="J3510">
        <v>6.96613453849287E-2</v>
      </c>
      <c r="K3510">
        <v>5.7421419243691103E-2</v>
      </c>
      <c r="L3510">
        <v>520.72167797407599</v>
      </c>
      <c r="M3510">
        <v>11.3680212802069</v>
      </c>
      <c r="N3510">
        <v>46.200902159026803</v>
      </c>
      <c r="O3510">
        <v>44.457097030792099</v>
      </c>
      <c r="P3510">
        <v>-6.0984135359782303E-2</v>
      </c>
      <c r="Q3510">
        <v>4.63169954179352E-2</v>
      </c>
      <c r="R3510">
        <v>0.97048818754413502</v>
      </c>
      <c r="S3510" t="s">
        <v>9912</v>
      </c>
      <c r="T3510" t="s">
        <v>12802</v>
      </c>
      <c r="U3510" t="s">
        <v>12802</v>
      </c>
      <c r="V3510" t="s">
        <v>12802</v>
      </c>
      <c r="W3510" t="s">
        <v>16261</v>
      </c>
      <c r="X3510">
        <v>4</v>
      </c>
      <c r="Y3510" t="s">
        <v>22502</v>
      </c>
      <c r="Z3510" t="s">
        <v>28828</v>
      </c>
      <c r="AA3510">
        <v>0.36266482009322659</v>
      </c>
      <c r="AB3510" t="str">
        <f>HYPERLINK("Melting_Curves/meltCurve_Q15363_TMED2.pdf", "Melting_Curves/meltCurve_Q15363_TMED2.pdf")</f>
        <v>Melting_Curves/meltCurve_Q15363_TMED2.pdf</v>
      </c>
    </row>
    <row r="3511" spans="1:28" x14ac:dyDescent="0.25">
      <c r="A3511" t="s">
        <v>3515</v>
      </c>
      <c r="B3511">
        <v>0.99542014353169495</v>
      </c>
      <c r="C3511">
        <v>1.07347970662773</v>
      </c>
      <c r="D3511">
        <v>0.99778750644033598</v>
      </c>
      <c r="E3511">
        <v>0.71521528051857497</v>
      </c>
      <c r="F3511">
        <v>0.248017072068237</v>
      </c>
      <c r="G3511">
        <v>9.6714588644521607E-2</v>
      </c>
      <c r="H3511">
        <v>5.0258737430300002E-2</v>
      </c>
      <c r="I3511">
        <v>3.3635936115890698E-2</v>
      </c>
      <c r="J3511">
        <v>3.8401687457191802E-2</v>
      </c>
      <c r="K3511">
        <v>3.7091816828312203E-2</v>
      </c>
      <c r="L3511">
        <v>1429.4384155395001</v>
      </c>
      <c r="M3511">
        <v>29.771068105067599</v>
      </c>
      <c r="N3511">
        <v>48.154320654093702</v>
      </c>
      <c r="O3511">
        <v>47.799273002825302</v>
      </c>
      <c r="P3511">
        <v>-0.149255772849609</v>
      </c>
      <c r="Q3511">
        <v>4.14493244803203E-2</v>
      </c>
      <c r="R3511">
        <v>0.99630884514691598</v>
      </c>
      <c r="S3511" t="s">
        <v>9913</v>
      </c>
      <c r="T3511" t="s">
        <v>12802</v>
      </c>
      <c r="U3511" t="s">
        <v>12802</v>
      </c>
      <c r="V3511" t="s">
        <v>12802</v>
      </c>
      <c r="W3511" t="s">
        <v>16262</v>
      </c>
      <c r="X3511">
        <v>16</v>
      </c>
      <c r="Y3511" t="s">
        <v>22503</v>
      </c>
      <c r="Z3511" t="s">
        <v>28829</v>
      </c>
      <c r="AA3511">
        <v>0.39914291777801991</v>
      </c>
      <c r="AB3511" t="str">
        <f>HYPERLINK("Melting_Curves/meltCurve_Q15365_PCBP1.pdf", "Melting_Curves/meltCurve_Q15365_PCBP1.pdf")</f>
        <v>Melting_Curves/meltCurve_Q15365_PCBP1.pdf</v>
      </c>
    </row>
    <row r="3512" spans="1:28" x14ac:dyDescent="0.25">
      <c r="A3512" t="s">
        <v>3516</v>
      </c>
      <c r="B3512">
        <v>0.99542014353169495</v>
      </c>
      <c r="C3512">
        <v>1.05309610176496</v>
      </c>
      <c r="D3512">
        <v>0.79881145609752702</v>
      </c>
      <c r="E3512">
        <v>0.70369531013815101</v>
      </c>
      <c r="F3512">
        <v>0.49407994463467603</v>
      </c>
      <c r="G3512">
        <v>0.28484651170234598</v>
      </c>
      <c r="H3512">
        <v>0.17014651287239299</v>
      </c>
      <c r="I3512">
        <v>0.12633082868978199</v>
      </c>
      <c r="J3512">
        <v>0.12320805868669001</v>
      </c>
      <c r="K3512">
        <v>9.2832833974070605E-2</v>
      </c>
      <c r="L3512">
        <v>647.79424656203605</v>
      </c>
      <c r="M3512">
        <v>13.175884692151399</v>
      </c>
      <c r="N3512">
        <v>49.692242131653302</v>
      </c>
      <c r="O3512">
        <v>48.073994715054098</v>
      </c>
      <c r="P3512">
        <v>-6.4060946857054504E-2</v>
      </c>
      <c r="Q3512">
        <v>6.5216661927379294E-2</v>
      </c>
      <c r="R3512">
        <v>0.987061554030915</v>
      </c>
      <c r="S3512" t="s">
        <v>9914</v>
      </c>
      <c r="T3512" t="s">
        <v>12802</v>
      </c>
      <c r="U3512" t="s">
        <v>12802</v>
      </c>
      <c r="V3512" t="s">
        <v>12802</v>
      </c>
      <c r="W3512" t="s">
        <v>16263</v>
      </c>
      <c r="X3512">
        <v>13</v>
      </c>
      <c r="Y3512" t="s">
        <v>19880</v>
      </c>
      <c r="Z3512" t="s">
        <v>28830</v>
      </c>
      <c r="AA3512">
        <v>0.46853102826689103</v>
      </c>
      <c r="AB3512" t="str">
        <f>HYPERLINK("Melting_Curves/meltCurve_Q15366_3_PCBP2.pdf", "Melting_Curves/meltCurve_Q15366_3_PCBP2.pdf")</f>
        <v>Melting_Curves/meltCurve_Q15366_3_PCBP2.pdf</v>
      </c>
    </row>
    <row r="3513" spans="1:28" x14ac:dyDescent="0.25">
      <c r="A3513" t="s">
        <v>3517</v>
      </c>
      <c r="B3513">
        <v>0.99542014353169495</v>
      </c>
      <c r="C3513">
        <v>1.04672433016882</v>
      </c>
      <c r="D3513">
        <v>0.90701846884378101</v>
      </c>
      <c r="E3513">
        <v>0.62296446799475402</v>
      </c>
      <c r="F3513">
        <v>0.18317504108051699</v>
      </c>
      <c r="G3513">
        <v>0.104023379369374</v>
      </c>
      <c r="H3513">
        <v>5.7693880504749002E-2</v>
      </c>
      <c r="I3513">
        <v>4.5355485005577498E-2</v>
      </c>
      <c r="J3513">
        <v>4.8603131358847702E-2</v>
      </c>
      <c r="K3513">
        <v>5.03296936107656E-2</v>
      </c>
      <c r="L3513">
        <v>1299.5510450666</v>
      </c>
      <c r="M3513">
        <v>27.535367356543802</v>
      </c>
      <c r="N3513">
        <v>47.378169995075901</v>
      </c>
      <c r="O3513">
        <v>46.948888872913997</v>
      </c>
      <c r="P3513">
        <v>-0.13924905534714599</v>
      </c>
      <c r="Q3513">
        <v>5.0308283620012502E-2</v>
      </c>
      <c r="R3513">
        <v>0.99702580022209297</v>
      </c>
      <c r="S3513" t="s">
        <v>9915</v>
      </c>
      <c r="T3513" t="s">
        <v>12802</v>
      </c>
      <c r="U3513" t="s">
        <v>12802</v>
      </c>
      <c r="V3513" t="s">
        <v>12802</v>
      </c>
      <c r="W3513" t="s">
        <v>16264</v>
      </c>
      <c r="X3513">
        <v>13</v>
      </c>
      <c r="Y3513" t="s">
        <v>19880</v>
      </c>
      <c r="Z3513" t="s">
        <v>28831</v>
      </c>
      <c r="AA3513">
        <v>0.37965380605483162</v>
      </c>
      <c r="AB3513" t="str">
        <f>HYPERLINK("Melting_Curves/meltCurve_Q15366_6_PCBP2.pdf", "Melting_Curves/meltCurve_Q15366_6_PCBP2.pdf")</f>
        <v>Melting_Curves/meltCurve_Q15366_6_PCBP2.pdf</v>
      </c>
    </row>
    <row r="3514" spans="1:28" x14ac:dyDescent="0.25">
      <c r="A3514" t="s">
        <v>3518</v>
      </c>
      <c r="B3514">
        <v>0.99542014353169495</v>
      </c>
      <c r="C3514">
        <v>0.99096157032396104</v>
      </c>
      <c r="D3514">
        <v>0.94845545156451405</v>
      </c>
      <c r="E3514">
        <v>0.87986665198991998</v>
      </c>
      <c r="F3514">
        <v>0.72191397318450801</v>
      </c>
      <c r="G3514">
        <v>0.37896324800364101</v>
      </c>
      <c r="H3514">
        <v>0.14107054500468999</v>
      </c>
      <c r="I3514">
        <v>7.8983684907700399E-2</v>
      </c>
      <c r="J3514">
        <v>7.4350317458769397E-2</v>
      </c>
      <c r="K3514">
        <v>7.9831441968849601E-2</v>
      </c>
      <c r="L3514">
        <v>1065.1607328842299</v>
      </c>
      <c r="M3514">
        <v>20.4592775015375</v>
      </c>
      <c r="N3514">
        <v>52.315734720621897</v>
      </c>
      <c r="O3514">
        <v>51.5727455577859</v>
      </c>
      <c r="P3514">
        <v>-9.45036892148758E-2</v>
      </c>
      <c r="Q3514">
        <v>4.7147193386382499E-2</v>
      </c>
      <c r="R3514">
        <v>0.99638719701478895</v>
      </c>
      <c r="S3514" t="s">
        <v>9916</v>
      </c>
      <c r="T3514" t="s">
        <v>12802</v>
      </c>
      <c r="U3514" t="s">
        <v>12802</v>
      </c>
      <c r="V3514" t="s">
        <v>12802</v>
      </c>
      <c r="W3514" t="s">
        <v>16265</v>
      </c>
      <c r="X3514">
        <v>15</v>
      </c>
      <c r="Y3514" t="s">
        <v>22504</v>
      </c>
      <c r="Z3514" t="s">
        <v>28832</v>
      </c>
      <c r="AA3514">
        <v>0.53741778977805688</v>
      </c>
      <c r="AB3514" t="str">
        <f>HYPERLINK("Melting_Curves/meltCurve_Q15370_TCEB2.pdf", "Melting_Curves/meltCurve_Q15370_TCEB2.pdf")</f>
        <v>Melting_Curves/meltCurve_Q15370_TCEB2.pdf</v>
      </c>
    </row>
    <row r="3515" spans="1:28" x14ac:dyDescent="0.25">
      <c r="A3515" t="s">
        <v>3519</v>
      </c>
      <c r="B3515">
        <v>0.99542014353169495</v>
      </c>
      <c r="C3515">
        <v>1.0414364055602401</v>
      </c>
      <c r="D3515">
        <v>1.0365700719333499</v>
      </c>
      <c r="E3515">
        <v>0.94291249528721099</v>
      </c>
      <c r="F3515">
        <v>0.79737899388498401</v>
      </c>
      <c r="G3515">
        <v>0.59793287379271098</v>
      </c>
      <c r="H3515">
        <v>0.31722951209665901</v>
      </c>
      <c r="I3515">
        <v>0.10210698461037</v>
      </c>
      <c r="J3515">
        <v>6.3634973232164202E-2</v>
      </c>
      <c r="K3515">
        <v>6.7380677221986304E-2</v>
      </c>
      <c r="L3515">
        <v>958.34850657468701</v>
      </c>
      <c r="M3515">
        <v>17.5195742887066</v>
      </c>
      <c r="N3515">
        <v>54.704169954703801</v>
      </c>
      <c r="O3515">
        <v>54.003818943239303</v>
      </c>
      <c r="P3515">
        <v>-8.1074337401530694E-2</v>
      </c>
      <c r="Q3515">
        <v>4.13269284292459E-4</v>
      </c>
      <c r="R3515">
        <v>0.99491949694391202</v>
      </c>
      <c r="S3515" t="s">
        <v>9917</v>
      </c>
      <c r="T3515" t="s">
        <v>12802</v>
      </c>
      <c r="U3515" t="s">
        <v>12802</v>
      </c>
      <c r="V3515" t="s">
        <v>12802</v>
      </c>
      <c r="W3515" t="s">
        <v>16266</v>
      </c>
      <c r="X3515">
        <v>14</v>
      </c>
      <c r="Y3515" t="s">
        <v>22505</v>
      </c>
      <c r="Z3515" t="s">
        <v>28833</v>
      </c>
      <c r="AA3515">
        <v>0.60348720002642042</v>
      </c>
      <c r="AB3515" t="str">
        <f>HYPERLINK("Melting_Curves/meltCurve_Q15382_RHEB.pdf", "Melting_Curves/meltCurve_Q15382_RHEB.pdf")</f>
        <v>Melting_Curves/meltCurve_Q15382_RHEB.pdf</v>
      </c>
    </row>
    <row r="3516" spans="1:28" x14ac:dyDescent="0.25">
      <c r="A3516" t="s">
        <v>3520</v>
      </c>
      <c r="B3516">
        <v>0.99542014353169495</v>
      </c>
      <c r="C3516">
        <v>1.0099057948753201</v>
      </c>
      <c r="D3516">
        <v>0.95018836546387497</v>
      </c>
      <c r="E3516">
        <v>0.77001192874133395</v>
      </c>
      <c r="F3516">
        <v>0.27491545729621297</v>
      </c>
      <c r="G3516">
        <v>0.165107581873535</v>
      </c>
      <c r="H3516">
        <v>0.105060017874252</v>
      </c>
      <c r="I3516">
        <v>9.0021051434269098E-2</v>
      </c>
      <c r="J3516">
        <v>0.111511658721306</v>
      </c>
      <c r="K3516">
        <v>0.13867698504772699</v>
      </c>
      <c r="L3516">
        <v>1569.7932701526399</v>
      </c>
      <c r="M3516">
        <v>32.692321351057601</v>
      </c>
      <c r="N3516">
        <v>48.401276814021202</v>
      </c>
      <c r="O3516">
        <v>47.838594105407097</v>
      </c>
      <c r="P3516">
        <v>-0.151327271157602</v>
      </c>
      <c r="Q3516">
        <v>0.114256835426225</v>
      </c>
      <c r="R3516">
        <v>0.997816074848352</v>
      </c>
      <c r="S3516" t="s">
        <v>9918</v>
      </c>
      <c r="T3516" t="s">
        <v>12802</v>
      </c>
      <c r="U3516" t="s">
        <v>12802</v>
      </c>
      <c r="V3516" t="s">
        <v>12802</v>
      </c>
      <c r="W3516" t="s">
        <v>16267</v>
      </c>
      <c r="X3516">
        <v>6</v>
      </c>
      <c r="Y3516" t="s">
        <v>22506</v>
      </c>
      <c r="Z3516" t="s">
        <v>28834</v>
      </c>
      <c r="AA3516">
        <v>0.44395140516466303</v>
      </c>
      <c r="AB3516" t="str">
        <f>HYPERLINK("Melting_Curves/meltCurve_Q15386_UBE3C.pdf", "Melting_Curves/meltCurve_Q15386_UBE3C.pdf")</f>
        <v>Melting_Curves/meltCurve_Q15386_UBE3C.pdf</v>
      </c>
    </row>
    <row r="3517" spans="1:28" x14ac:dyDescent="0.25">
      <c r="A3517" t="s">
        <v>3521</v>
      </c>
      <c r="B3517">
        <v>0.99542014353169495</v>
      </c>
      <c r="C3517">
        <v>0.83461338468824198</v>
      </c>
      <c r="D3517">
        <v>0.86921196807098999</v>
      </c>
      <c r="E3517">
        <v>0.73093906631495797</v>
      </c>
      <c r="F3517">
        <v>0.73784899291403705</v>
      </c>
      <c r="G3517">
        <v>0.40865673244873202</v>
      </c>
      <c r="H3517">
        <v>0.101567868835992</v>
      </c>
      <c r="I3517">
        <v>5.8022145930910103E-2</v>
      </c>
      <c r="J3517">
        <v>5.1431058396675798E-2</v>
      </c>
      <c r="K3517">
        <v>5.0056514250898902E-2</v>
      </c>
      <c r="L3517">
        <v>722.27850846130195</v>
      </c>
      <c r="M3517">
        <v>13.9602042985765</v>
      </c>
      <c r="N3517">
        <v>51.738391020982903</v>
      </c>
      <c r="O3517">
        <v>50.711430184602101</v>
      </c>
      <c r="P3517">
        <v>-6.8830994327023096E-2</v>
      </c>
      <c r="Q3517">
        <v>0</v>
      </c>
      <c r="R3517">
        <v>0.949960849124169</v>
      </c>
      <c r="S3517" t="s">
        <v>9919</v>
      </c>
      <c r="T3517" t="s">
        <v>12802</v>
      </c>
      <c r="U3517" t="s">
        <v>12802</v>
      </c>
      <c r="V3517" t="s">
        <v>12802</v>
      </c>
      <c r="W3517" t="s">
        <v>16268</v>
      </c>
      <c r="X3517">
        <v>38</v>
      </c>
      <c r="Y3517" t="s">
        <v>22507</v>
      </c>
      <c r="Z3517" t="s">
        <v>28835</v>
      </c>
      <c r="AA3517">
        <v>0.51235832774515688</v>
      </c>
      <c r="AB3517" t="str">
        <f>HYPERLINK("Melting_Curves/meltCurve_Q15393_SF3B3.pdf", "Melting_Curves/meltCurve_Q15393_SF3B3.pdf")</f>
        <v>Melting_Curves/meltCurve_Q15393_SF3B3.pdf</v>
      </c>
    </row>
    <row r="3518" spans="1:28" x14ac:dyDescent="0.25">
      <c r="A3518" t="s">
        <v>3522</v>
      </c>
      <c r="B3518">
        <v>0.99542014353169495</v>
      </c>
      <c r="C3518">
        <v>0.86355973500045602</v>
      </c>
      <c r="D3518">
        <v>0.706426504349974</v>
      </c>
      <c r="E3518">
        <v>0.303370465952295</v>
      </c>
      <c r="F3518">
        <v>0.14512822369650999</v>
      </c>
      <c r="G3518">
        <v>7.5445898767580594E-2</v>
      </c>
      <c r="H3518">
        <v>4.5510518746430001E-2</v>
      </c>
      <c r="I3518">
        <v>3.12275948519012E-2</v>
      </c>
      <c r="J3518">
        <v>3.8210322160249499E-2</v>
      </c>
      <c r="K3518">
        <v>4.9059162837221497E-2</v>
      </c>
      <c r="L3518">
        <v>847.19150607436904</v>
      </c>
      <c r="M3518">
        <v>19.027267805245199</v>
      </c>
      <c r="N3518">
        <v>44.700985483631399</v>
      </c>
      <c r="O3518">
        <v>44.042039384978203</v>
      </c>
      <c r="P3518">
        <v>-0.10411552719730501</v>
      </c>
      <c r="Q3518">
        <v>3.6061236441806803E-2</v>
      </c>
      <c r="R3518">
        <v>0.99714444175994399</v>
      </c>
      <c r="S3518" t="s">
        <v>9920</v>
      </c>
      <c r="T3518" t="s">
        <v>12802</v>
      </c>
      <c r="U3518" t="s">
        <v>12802</v>
      </c>
      <c r="V3518" t="s">
        <v>12802</v>
      </c>
      <c r="W3518" t="s">
        <v>16269</v>
      </c>
      <c r="X3518">
        <v>23</v>
      </c>
      <c r="Y3518" t="s">
        <v>22508</v>
      </c>
      <c r="Z3518" t="s">
        <v>28836</v>
      </c>
      <c r="AA3518">
        <v>0.29204048104648972</v>
      </c>
      <c r="AB3518" t="str">
        <f>HYPERLINK("Melting_Curves/meltCurve_Q15398_3_DLGAP5.pdf", "Melting_Curves/meltCurve_Q15398_3_DLGAP5.pdf")</f>
        <v>Melting_Curves/meltCurve_Q15398_3_DLGAP5.pdf</v>
      </c>
    </row>
    <row r="3519" spans="1:28" x14ac:dyDescent="0.25">
      <c r="A3519" t="s">
        <v>3523</v>
      </c>
      <c r="B3519">
        <v>0.99542014353169495</v>
      </c>
      <c r="C3519">
        <v>0.95886636572709905</v>
      </c>
      <c r="D3519">
        <v>0.86786867876775198</v>
      </c>
      <c r="E3519">
        <v>0.78396145982455201</v>
      </c>
      <c r="F3519">
        <v>0.57495977063273196</v>
      </c>
      <c r="G3519">
        <v>0.54781196780660801</v>
      </c>
      <c r="H3519">
        <v>0.267770893861767</v>
      </c>
      <c r="I3519">
        <v>0.130875697856559</v>
      </c>
      <c r="J3519">
        <v>6.7766639145140597E-2</v>
      </c>
      <c r="K3519">
        <v>5.2829300621775301E-2</v>
      </c>
      <c r="L3519">
        <v>578.35911566216396</v>
      </c>
      <c r="M3519">
        <v>11.0501618141846</v>
      </c>
      <c r="N3519">
        <v>52.339425010519903</v>
      </c>
      <c r="O3519">
        <v>50.712961744924897</v>
      </c>
      <c r="P3519">
        <v>-5.4492110284968698E-2</v>
      </c>
      <c r="Q3519">
        <v>0</v>
      </c>
      <c r="R3519">
        <v>0.980621544506036</v>
      </c>
      <c r="S3519" t="s">
        <v>9921</v>
      </c>
      <c r="T3519" t="s">
        <v>12802</v>
      </c>
      <c r="U3519" t="s">
        <v>12802</v>
      </c>
      <c r="V3519" t="s">
        <v>12802</v>
      </c>
      <c r="W3519" t="s">
        <v>16270</v>
      </c>
      <c r="X3519">
        <v>12</v>
      </c>
      <c r="Y3519" t="s">
        <v>22509</v>
      </c>
      <c r="Z3519" t="s">
        <v>28837</v>
      </c>
      <c r="AA3519">
        <v>0.53543007109506258</v>
      </c>
      <c r="AB3519" t="str">
        <f>HYPERLINK("Melting_Curves/meltCurve_Q15404_RSU1.pdf", "Melting_Curves/meltCurve_Q15404_RSU1.pdf")</f>
        <v>Melting_Curves/meltCurve_Q15404_RSU1.pdf</v>
      </c>
    </row>
    <row r="3520" spans="1:28" x14ac:dyDescent="0.25">
      <c r="A3520" t="s">
        <v>3524</v>
      </c>
      <c r="B3520">
        <v>0.99542014353169495</v>
      </c>
      <c r="C3520">
        <v>1.0197845012934701</v>
      </c>
      <c r="D3520">
        <v>1.0098847288536801</v>
      </c>
      <c r="E3520">
        <v>1.0020442638859901</v>
      </c>
      <c r="F3520">
        <v>0.84670163064068404</v>
      </c>
      <c r="G3520">
        <v>0.81386244403498498</v>
      </c>
      <c r="H3520">
        <v>0.70029281321331505</v>
      </c>
      <c r="I3520">
        <v>0.89454500841502405</v>
      </c>
      <c r="J3520">
        <v>1.94234805938743</v>
      </c>
      <c r="K3520">
        <v>5.6068062279540101</v>
      </c>
      <c r="L3520">
        <v>8712.3485361859694</v>
      </c>
      <c r="M3520">
        <v>140.03056099400399</v>
      </c>
      <c r="O3520">
        <v>62.204791855850097</v>
      </c>
      <c r="P3520">
        <v>0.28139022530653901</v>
      </c>
      <c r="Q3520">
        <v>1.5</v>
      </c>
      <c r="R3520">
        <v>0.13545249956751201</v>
      </c>
      <c r="S3520" t="s">
        <v>9922</v>
      </c>
      <c r="T3520" t="s">
        <v>12802</v>
      </c>
      <c r="U3520" t="s">
        <v>12802</v>
      </c>
      <c r="V3520" t="s">
        <v>12802</v>
      </c>
      <c r="W3520" t="s">
        <v>16271</v>
      </c>
      <c r="X3520">
        <v>27</v>
      </c>
      <c r="Y3520" t="s">
        <v>22510</v>
      </c>
      <c r="Z3520" t="s">
        <v>28838</v>
      </c>
      <c r="AA3520">
        <v>1.0795349747240539</v>
      </c>
      <c r="AB3520" t="str">
        <f>HYPERLINK("Melting_Curves/meltCurve_Q15424_2_SAFB.pdf", "Melting_Curves/meltCurve_Q15424_2_SAFB.pdf")</f>
        <v>Melting_Curves/meltCurve_Q15424_2_SAFB.pdf</v>
      </c>
    </row>
    <row r="3521" spans="1:28" x14ac:dyDescent="0.25">
      <c r="A3521" t="s">
        <v>3525</v>
      </c>
      <c r="B3521">
        <v>0.99542014353169495</v>
      </c>
      <c r="C3521">
        <v>0.94625085305409595</v>
      </c>
      <c r="D3521">
        <v>0.87153903437328895</v>
      </c>
      <c r="E3521">
        <v>0.55115297625042603</v>
      </c>
      <c r="F3521">
        <v>0.19436926331812501</v>
      </c>
      <c r="G3521">
        <v>8.7622172544238999E-2</v>
      </c>
      <c r="H3521">
        <v>4.4240083707546798E-2</v>
      </c>
      <c r="I3521">
        <v>2.7926092483694001E-2</v>
      </c>
      <c r="J3521">
        <v>2.2325150551586102E-2</v>
      </c>
      <c r="K3521">
        <v>3.3170731632785E-2</v>
      </c>
      <c r="L3521">
        <v>1002.08437482303</v>
      </c>
      <c r="M3521">
        <v>21.3965999355284</v>
      </c>
      <c r="N3521">
        <v>46.9404979296025</v>
      </c>
      <c r="O3521">
        <v>46.4304803177629</v>
      </c>
      <c r="P3521">
        <v>-0.11247609626110899</v>
      </c>
      <c r="Q3521">
        <v>2.3734809738200299E-2</v>
      </c>
      <c r="R3521">
        <v>0.99902071836738704</v>
      </c>
      <c r="S3521" t="s">
        <v>9923</v>
      </c>
      <c r="T3521" t="s">
        <v>12802</v>
      </c>
      <c r="U3521" t="s">
        <v>12802</v>
      </c>
      <c r="V3521" t="s">
        <v>12802</v>
      </c>
      <c r="W3521" t="s">
        <v>16272</v>
      </c>
      <c r="X3521">
        <v>11</v>
      </c>
      <c r="Y3521" t="s">
        <v>22511</v>
      </c>
      <c r="Z3521" t="s">
        <v>28839</v>
      </c>
      <c r="AA3521">
        <v>0.35492510121608639</v>
      </c>
      <c r="AB3521" t="str">
        <f>HYPERLINK("Melting_Curves/meltCurve_Q15428_SF3A2.pdf", "Melting_Curves/meltCurve_Q15428_SF3A2.pdf")</f>
        <v>Melting_Curves/meltCurve_Q15428_SF3A2.pdf</v>
      </c>
    </row>
    <row r="3522" spans="1:28" x14ac:dyDescent="0.25">
      <c r="A3522" t="s">
        <v>3526</v>
      </c>
      <c r="B3522">
        <v>0.99542014353169495</v>
      </c>
      <c r="C3522">
        <v>0.98130654781438298</v>
      </c>
      <c r="D3522">
        <v>0.92953339699193704</v>
      </c>
      <c r="E3522">
        <v>0.91198910613897</v>
      </c>
      <c r="F3522">
        <v>0.65596962895311905</v>
      </c>
      <c r="G3522">
        <v>0.35968440560789999</v>
      </c>
      <c r="H3522">
        <v>7.3864733991362203E-2</v>
      </c>
      <c r="I3522">
        <v>4.5208236792948497E-2</v>
      </c>
      <c r="J3522">
        <v>4.3329057955177698E-2</v>
      </c>
      <c r="K3522">
        <v>4.1136196297404601E-2</v>
      </c>
      <c r="L3522">
        <v>1073.0987768329101</v>
      </c>
      <c r="M3522">
        <v>20.717820840331701</v>
      </c>
      <c r="N3522">
        <v>51.855199712253601</v>
      </c>
      <c r="O3522">
        <v>51.320605601480601</v>
      </c>
      <c r="P3522">
        <v>-9.97456625133539E-2</v>
      </c>
      <c r="Q3522">
        <v>1.16985994172092E-2</v>
      </c>
      <c r="R3522">
        <v>0.99506628462972302</v>
      </c>
      <c r="S3522" t="s">
        <v>9924</v>
      </c>
      <c r="T3522" t="s">
        <v>12802</v>
      </c>
      <c r="U3522" t="s">
        <v>12802</v>
      </c>
      <c r="V3522" t="s">
        <v>12802</v>
      </c>
      <c r="W3522" t="s">
        <v>16273</v>
      </c>
      <c r="X3522">
        <v>18</v>
      </c>
      <c r="Y3522" t="s">
        <v>22512</v>
      </c>
      <c r="Z3522" t="s">
        <v>28840</v>
      </c>
      <c r="AA3522">
        <v>0.51122936631541749</v>
      </c>
      <c r="AB3522" t="str">
        <f>HYPERLINK("Melting_Curves/meltCurve_Q15435_PPP1R7.pdf", "Melting_Curves/meltCurve_Q15435_PPP1R7.pdf")</f>
        <v>Melting_Curves/meltCurve_Q15435_PPP1R7.pdf</v>
      </c>
    </row>
    <row r="3523" spans="1:28" x14ac:dyDescent="0.25">
      <c r="A3523" t="s">
        <v>3527</v>
      </c>
      <c r="B3523">
        <v>0.99542014353169495</v>
      </c>
      <c r="C3523">
        <v>0.90035981831059397</v>
      </c>
      <c r="D3523">
        <v>0.980137177012258</v>
      </c>
      <c r="E3523">
        <v>0.72870856524173999</v>
      </c>
      <c r="F3523">
        <v>0.329334085411012</v>
      </c>
      <c r="G3523">
        <v>0.20359358854092899</v>
      </c>
      <c r="H3523">
        <v>0.140342474177894</v>
      </c>
      <c r="I3523">
        <v>5.0711946428826697E-2</v>
      </c>
      <c r="J3523">
        <v>4.9189838460267699E-2</v>
      </c>
      <c r="K3523">
        <v>4.8804053093942402E-2</v>
      </c>
      <c r="L3523">
        <v>1009.99443301101</v>
      </c>
      <c r="M3523">
        <v>20.831835321038501</v>
      </c>
      <c r="N3523">
        <v>48.784636704703097</v>
      </c>
      <c r="O3523">
        <v>48.043091144808997</v>
      </c>
      <c r="P3523">
        <v>-0.101858915011089</v>
      </c>
      <c r="Q3523">
        <v>6.0384210596620601E-2</v>
      </c>
      <c r="R3523">
        <v>0.989543920021278</v>
      </c>
      <c r="S3523" t="s">
        <v>9925</v>
      </c>
      <c r="T3523" t="s">
        <v>12802</v>
      </c>
      <c r="U3523" t="s">
        <v>12802</v>
      </c>
      <c r="V3523" t="s">
        <v>12802</v>
      </c>
      <c r="W3523" t="s">
        <v>16274</v>
      </c>
      <c r="X3523">
        <v>21</v>
      </c>
      <c r="Y3523" t="s">
        <v>22513</v>
      </c>
      <c r="Z3523" t="s">
        <v>28841</v>
      </c>
      <c r="AA3523">
        <v>0.4315015603282546</v>
      </c>
      <c r="AB3523" t="str">
        <f>HYPERLINK("Melting_Curves/meltCurve_Q15437_SEC23B.pdf", "Melting_Curves/meltCurve_Q15437_SEC23B.pdf")</f>
        <v>Melting_Curves/meltCurve_Q15437_SEC23B.pdf</v>
      </c>
    </row>
    <row r="3524" spans="1:28" x14ac:dyDescent="0.25">
      <c r="A3524" t="s">
        <v>3528</v>
      </c>
      <c r="B3524">
        <v>0.99542014353169495</v>
      </c>
      <c r="C3524">
        <v>0.98884895505900605</v>
      </c>
      <c r="D3524">
        <v>1.0727884051532799</v>
      </c>
      <c r="E3524">
        <v>0.57190154641243696</v>
      </c>
      <c r="F3524">
        <v>0.23534620206535101</v>
      </c>
      <c r="G3524">
        <v>0.105503669232825</v>
      </c>
      <c r="H3524">
        <v>6.0929330857530897E-2</v>
      </c>
      <c r="I3524">
        <v>4.34962709669564E-2</v>
      </c>
      <c r="J3524">
        <v>5.1164290117972001E-2</v>
      </c>
      <c r="K3524">
        <v>4.8345699210533298E-2</v>
      </c>
      <c r="L3524">
        <v>1451.6643547843801</v>
      </c>
      <c r="M3524">
        <v>30.773835324876998</v>
      </c>
      <c r="N3524">
        <v>47.375900593123603</v>
      </c>
      <c r="O3524">
        <v>46.974156489777798</v>
      </c>
      <c r="P3524">
        <v>-0.153624439580102</v>
      </c>
      <c r="Q3524">
        <v>6.2016191501675803E-2</v>
      </c>
      <c r="R3524">
        <v>0.98902577337056097</v>
      </c>
      <c r="S3524" t="s">
        <v>9926</v>
      </c>
      <c r="T3524" t="s">
        <v>12802</v>
      </c>
      <c r="U3524" t="s">
        <v>12802</v>
      </c>
      <c r="V3524" t="s">
        <v>12802</v>
      </c>
      <c r="W3524" t="s">
        <v>16275</v>
      </c>
      <c r="X3524">
        <v>31</v>
      </c>
      <c r="Y3524" t="s">
        <v>22514</v>
      </c>
      <c r="Z3524" t="s">
        <v>28842</v>
      </c>
      <c r="AA3524">
        <v>0.38525128024509758</v>
      </c>
      <c r="AB3524" t="str">
        <f>HYPERLINK("Melting_Curves/meltCurve_Q15459_SF3A1.pdf", "Melting_Curves/meltCurve_Q15459_SF3A1.pdf")</f>
        <v>Melting_Curves/meltCurve_Q15459_SF3A1.pdf</v>
      </c>
    </row>
    <row r="3525" spans="1:28" x14ac:dyDescent="0.25">
      <c r="A3525" t="s">
        <v>3529</v>
      </c>
      <c r="B3525">
        <v>0.99542014353169495</v>
      </c>
      <c r="C3525">
        <v>0.96165701328966902</v>
      </c>
      <c r="D3525">
        <v>0.89977581973820597</v>
      </c>
      <c r="E3525">
        <v>0.70187864989793003</v>
      </c>
      <c r="F3525">
        <v>0.52467216691960195</v>
      </c>
      <c r="G3525">
        <v>0.20484463165932801</v>
      </c>
      <c r="H3525">
        <v>8.4319597260282597E-2</v>
      </c>
      <c r="I3525">
        <v>5.4047689396000902E-2</v>
      </c>
      <c r="J3525">
        <v>2.55723774210148E-2</v>
      </c>
      <c r="K3525">
        <v>2.0987791904586599E-2</v>
      </c>
      <c r="L3525">
        <v>761.24669836063697</v>
      </c>
      <c r="M3525">
        <v>15.326093949220001</v>
      </c>
      <c r="N3525">
        <v>49.669983783236702</v>
      </c>
      <c r="O3525">
        <v>48.8473791723559</v>
      </c>
      <c r="P3525">
        <v>-7.8445956785028706E-2</v>
      </c>
      <c r="Q3525">
        <v>0</v>
      </c>
      <c r="R3525">
        <v>0.99517580195093902</v>
      </c>
      <c r="S3525" t="s">
        <v>9927</v>
      </c>
      <c r="T3525" t="s">
        <v>12802</v>
      </c>
      <c r="U3525" t="s">
        <v>12802</v>
      </c>
      <c r="V3525" t="s">
        <v>12802</v>
      </c>
      <c r="W3525" t="s">
        <v>16276</v>
      </c>
      <c r="X3525">
        <v>2</v>
      </c>
      <c r="Y3525" t="s">
        <v>22515</v>
      </c>
      <c r="Z3525" t="s">
        <v>28843</v>
      </c>
      <c r="AA3525">
        <v>0.44278080291316368</v>
      </c>
      <c r="AB3525" t="str">
        <f>HYPERLINK("Melting_Curves/meltCurve_Q15464_2_SHB.pdf", "Melting_Curves/meltCurve_Q15464_2_SHB.pdf")</f>
        <v>Melting_Curves/meltCurve_Q15464_2_SHB.pdf</v>
      </c>
    </row>
    <row r="3526" spans="1:28" x14ac:dyDescent="0.25">
      <c r="A3526" t="s">
        <v>3530</v>
      </c>
      <c r="B3526">
        <v>0.99542014353169495</v>
      </c>
      <c r="C3526">
        <v>0.99312384394962105</v>
      </c>
      <c r="D3526">
        <v>0.77288750098384296</v>
      </c>
      <c r="E3526">
        <v>0.65333127586140405</v>
      </c>
      <c r="F3526">
        <v>0.56663922273413003</v>
      </c>
      <c r="G3526">
        <v>0.43572447420747501</v>
      </c>
      <c r="H3526">
        <v>0.264662754013816</v>
      </c>
      <c r="I3526">
        <v>0.248408596558332</v>
      </c>
      <c r="J3526">
        <v>0.471160374565055</v>
      </c>
      <c r="K3526">
        <v>0.65165958070056196</v>
      </c>
      <c r="L3526">
        <v>790.17072947542999</v>
      </c>
      <c r="M3526">
        <v>17.4827057657258</v>
      </c>
      <c r="N3526">
        <v>50.285927047810397</v>
      </c>
      <c r="O3526">
        <v>44.618364636606699</v>
      </c>
      <c r="P3526">
        <v>-5.7331352564259801E-2</v>
      </c>
      <c r="Q3526">
        <v>0.414761158753093</v>
      </c>
      <c r="R3526">
        <v>0.80078673527361799</v>
      </c>
      <c r="S3526" t="s">
        <v>9928</v>
      </c>
      <c r="T3526" t="s">
        <v>12802</v>
      </c>
      <c r="U3526" t="s">
        <v>12802</v>
      </c>
      <c r="V3526" t="s">
        <v>12802</v>
      </c>
      <c r="W3526" t="s">
        <v>16277</v>
      </c>
      <c r="X3526">
        <v>3</v>
      </c>
      <c r="Y3526" t="s">
        <v>22516</v>
      </c>
      <c r="Z3526" t="s">
        <v>28844</v>
      </c>
      <c r="AA3526">
        <v>0.58482212368015096</v>
      </c>
      <c r="AB3526" t="str">
        <f>HYPERLINK("Melting_Curves/meltCurve_Q15506_SPA17.pdf", "Melting_Curves/meltCurve_Q15506_SPA17.pdf")</f>
        <v>Melting_Curves/meltCurve_Q15506_SPA17.pdf</v>
      </c>
    </row>
    <row r="3527" spans="1:28" x14ac:dyDescent="0.25">
      <c r="A3527" t="s">
        <v>3531</v>
      </c>
      <c r="B3527">
        <v>0.99542014353169495</v>
      </c>
      <c r="C3527">
        <v>1.0258778537384901</v>
      </c>
      <c r="D3527">
        <v>0.96762374370427495</v>
      </c>
      <c r="E3527">
        <v>0.93473880212951399</v>
      </c>
      <c r="F3527">
        <v>0.70167092392682595</v>
      </c>
      <c r="G3527">
        <v>0.30396975110190799</v>
      </c>
      <c r="H3527">
        <v>0.16618064961795401</v>
      </c>
      <c r="I3527">
        <v>0.10748076334533101</v>
      </c>
      <c r="J3527">
        <v>0.122944589051006</v>
      </c>
      <c r="K3527">
        <v>0.11279486362760199</v>
      </c>
      <c r="L3527">
        <v>1392.5267411105399</v>
      </c>
      <c r="M3527">
        <v>27.101416439841199</v>
      </c>
      <c r="N3527">
        <v>51.8546486317315</v>
      </c>
      <c r="O3527">
        <v>51.104753223326099</v>
      </c>
      <c r="P3527">
        <v>-0.118071369312781</v>
      </c>
      <c r="Q3527">
        <v>0.1094267286524</v>
      </c>
      <c r="R3527">
        <v>0.99858942301911402</v>
      </c>
      <c r="S3527" t="s">
        <v>9929</v>
      </c>
      <c r="T3527" t="s">
        <v>12802</v>
      </c>
      <c r="U3527" t="s">
        <v>12802</v>
      </c>
      <c r="V3527" t="s">
        <v>12802</v>
      </c>
      <c r="W3527" t="s">
        <v>16278</v>
      </c>
      <c r="X3527">
        <v>8</v>
      </c>
      <c r="Y3527" t="s">
        <v>22517</v>
      </c>
      <c r="Z3527" t="s">
        <v>28845</v>
      </c>
      <c r="AA3527">
        <v>0.54314463770822741</v>
      </c>
      <c r="AB3527" t="str">
        <f>HYPERLINK("Melting_Curves/meltCurve_Q15526_2_SURF1.pdf", "Melting_Curves/meltCurve_Q15526_2_SURF1.pdf")</f>
        <v>Melting_Curves/meltCurve_Q15526_2_SURF1.pdf</v>
      </c>
    </row>
    <row r="3528" spans="1:28" x14ac:dyDescent="0.25">
      <c r="A3528" t="s">
        <v>3532</v>
      </c>
      <c r="B3528">
        <v>0.99542014353169495</v>
      </c>
      <c r="C3528">
        <v>0.89569735319127997</v>
      </c>
      <c r="D3528">
        <v>1.1069537425098399</v>
      </c>
      <c r="E3528">
        <v>0.74543924249999405</v>
      </c>
      <c r="F3528">
        <v>0.48178128873153298</v>
      </c>
      <c r="G3528">
        <v>0.212571381559442</v>
      </c>
      <c r="H3528">
        <v>0.119899815962909</v>
      </c>
      <c r="I3528">
        <v>6.8930686298413493E-2</v>
      </c>
      <c r="J3528">
        <v>7.0872894565031999E-2</v>
      </c>
      <c r="K3528">
        <v>0.102446432146788</v>
      </c>
      <c r="L3528">
        <v>1070.8560378039799</v>
      </c>
      <c r="M3528">
        <v>21.6683838927874</v>
      </c>
      <c r="N3528">
        <v>49.795283921092597</v>
      </c>
      <c r="O3528">
        <v>49.0050614590793</v>
      </c>
      <c r="P3528">
        <v>-0.10222073808729699</v>
      </c>
      <c r="Q3528">
        <v>7.5295172770202701E-2</v>
      </c>
      <c r="R3528">
        <v>0.97788745272816302</v>
      </c>
      <c r="S3528" t="s">
        <v>9930</v>
      </c>
      <c r="T3528" t="s">
        <v>12802</v>
      </c>
      <c r="U3528" t="s">
        <v>12802</v>
      </c>
      <c r="V3528" t="s">
        <v>12802</v>
      </c>
      <c r="W3528" t="s">
        <v>16279</v>
      </c>
      <c r="X3528">
        <v>4</v>
      </c>
      <c r="Y3528" t="s">
        <v>22518</v>
      </c>
      <c r="Z3528" t="s">
        <v>28846</v>
      </c>
      <c r="AA3528">
        <v>0.46865978814185377</v>
      </c>
      <c r="AB3528" t="str">
        <f>HYPERLINK("Melting_Curves/meltCurve_Q15527_SURF2.pdf", "Melting_Curves/meltCurve_Q15527_SURF2.pdf")</f>
        <v>Melting_Curves/meltCurve_Q15527_SURF2.pdf</v>
      </c>
    </row>
    <row r="3529" spans="1:28" x14ac:dyDescent="0.25">
      <c r="A3529" t="s">
        <v>3533</v>
      </c>
      <c r="B3529">
        <v>0.99542014353169495</v>
      </c>
      <c r="C3529">
        <v>0.76164615067095598</v>
      </c>
      <c r="D3529">
        <v>0.72575973374717495</v>
      </c>
      <c r="E3529">
        <v>0.45968244001557701</v>
      </c>
      <c r="F3529">
        <v>0.15610873794473201</v>
      </c>
      <c r="G3529">
        <v>0.10429605290189101</v>
      </c>
      <c r="H3529">
        <v>5.1617397886114899E-2</v>
      </c>
      <c r="I3529">
        <v>2.84927101994479E-2</v>
      </c>
      <c r="J3529">
        <v>2.45225355074748E-2</v>
      </c>
      <c r="K3529">
        <v>2.83560178515052E-2</v>
      </c>
      <c r="L3529">
        <v>612.68194642083301</v>
      </c>
      <c r="M3529">
        <v>13.494052783749501</v>
      </c>
      <c r="N3529">
        <v>45.403851690040703</v>
      </c>
      <c r="O3529">
        <v>44.441496186406397</v>
      </c>
      <c r="P3529">
        <v>-7.5920679326140994E-2</v>
      </c>
      <c r="Q3529">
        <v>0</v>
      </c>
      <c r="R3529">
        <v>0.983480095393229</v>
      </c>
      <c r="S3529" t="s">
        <v>9931</v>
      </c>
      <c r="T3529" t="s">
        <v>12802</v>
      </c>
      <c r="U3529" t="s">
        <v>12802</v>
      </c>
      <c r="V3529" t="s">
        <v>12802</v>
      </c>
      <c r="W3529" t="s">
        <v>16280</v>
      </c>
      <c r="X3529">
        <v>3</v>
      </c>
      <c r="Y3529" t="s">
        <v>22519</v>
      </c>
      <c r="Z3529" t="s">
        <v>28847</v>
      </c>
      <c r="AA3529">
        <v>0.30886297060203399</v>
      </c>
      <c r="AB3529" t="str">
        <f>HYPERLINK("Melting_Curves/meltCurve_Q15542_2_TAF5.pdf", "Melting_Curves/meltCurve_Q15542_2_TAF5.pdf")</f>
        <v>Melting_Curves/meltCurve_Q15542_2_TAF5.pdf</v>
      </c>
    </row>
    <row r="3530" spans="1:28" x14ac:dyDescent="0.25">
      <c r="A3530" t="s">
        <v>3534</v>
      </c>
      <c r="B3530">
        <v>0.99542014353169495</v>
      </c>
      <c r="C3530">
        <v>1.05213284170856</v>
      </c>
      <c r="D3530">
        <v>0.70885460730768401</v>
      </c>
      <c r="E3530">
        <v>0.71051534345572998</v>
      </c>
      <c r="F3530">
        <v>0.50472237815445897</v>
      </c>
      <c r="G3530">
        <v>0.26745402213842301</v>
      </c>
      <c r="H3530">
        <v>0.197891831095621</v>
      </c>
      <c r="I3530">
        <v>5.5103080102206901E-2</v>
      </c>
      <c r="J3530">
        <v>4.1369677407636599E-2</v>
      </c>
      <c r="K3530">
        <v>6.6155328016036005E-2</v>
      </c>
      <c r="L3530">
        <v>570.70521509603896</v>
      </c>
      <c r="M3530">
        <v>11.512863685897001</v>
      </c>
      <c r="N3530">
        <v>49.571110120772701</v>
      </c>
      <c r="O3530">
        <v>48.146261808318599</v>
      </c>
      <c r="P3530">
        <v>-5.9797590379223997E-2</v>
      </c>
      <c r="Q3530">
        <v>0</v>
      </c>
      <c r="R3530">
        <v>0.97028791139970205</v>
      </c>
      <c r="S3530" t="s">
        <v>9932</v>
      </c>
      <c r="T3530" t="s">
        <v>12802</v>
      </c>
      <c r="U3530" t="s">
        <v>12802</v>
      </c>
      <c r="V3530" t="s">
        <v>12802</v>
      </c>
      <c r="W3530" t="s">
        <v>16281</v>
      </c>
      <c r="X3530">
        <v>1</v>
      </c>
      <c r="Y3530" t="s">
        <v>22520</v>
      </c>
      <c r="Z3530" t="s">
        <v>28848</v>
      </c>
      <c r="AA3530">
        <v>0.44927511893393213</v>
      </c>
      <c r="AB3530" t="str">
        <f>HYPERLINK("Melting_Curves/meltCurve_Q15543_TAF13.pdf", "Melting_Curves/meltCurve_Q15543_TAF13.pdf")</f>
        <v>Melting_Curves/meltCurve_Q15543_TAF13.pdf</v>
      </c>
    </row>
    <row r="3531" spans="1:28" x14ac:dyDescent="0.25">
      <c r="A3531" t="s">
        <v>3535</v>
      </c>
      <c r="B3531">
        <v>0.99542014353169495</v>
      </c>
      <c r="C3531">
        <v>1.0371855533574501</v>
      </c>
      <c r="D3531">
        <v>0.92190953130259001</v>
      </c>
      <c r="E3531">
        <v>0.77844298987725602</v>
      </c>
      <c r="F3531">
        <v>0.56785764929922</v>
      </c>
      <c r="G3531">
        <v>0.40494790777397</v>
      </c>
      <c r="H3531">
        <v>0.27148068618311999</v>
      </c>
      <c r="I3531">
        <v>0.223075869903479</v>
      </c>
      <c r="J3531">
        <v>0.29904841420360301</v>
      </c>
      <c r="K3531">
        <v>0.394447190719524</v>
      </c>
      <c r="L3531">
        <v>939.35687525836397</v>
      </c>
      <c r="M3531">
        <v>19.284992892138298</v>
      </c>
      <c r="N3531">
        <v>50.9877756851821</v>
      </c>
      <c r="O3531">
        <v>48.194536103664802</v>
      </c>
      <c r="P3531">
        <v>-7.1148850144642797E-2</v>
      </c>
      <c r="Q3531">
        <v>0.28880306658606703</v>
      </c>
      <c r="R3531">
        <v>0.97386080743245196</v>
      </c>
      <c r="S3531" t="s">
        <v>9933</v>
      </c>
      <c r="T3531" t="s">
        <v>12802</v>
      </c>
      <c r="U3531" t="s">
        <v>12802</v>
      </c>
      <c r="V3531" t="s">
        <v>12802</v>
      </c>
      <c r="W3531" t="s">
        <v>16282</v>
      </c>
      <c r="X3531">
        <v>11</v>
      </c>
      <c r="Y3531" t="s">
        <v>22521</v>
      </c>
      <c r="Z3531" t="s">
        <v>28849</v>
      </c>
      <c r="AA3531">
        <v>0.57639846888964341</v>
      </c>
      <c r="AB3531" t="str">
        <f>HYPERLINK("Melting_Curves/meltCurve_Q15545_TAF7.pdf", "Melting_Curves/meltCurve_Q15545_TAF7.pdf")</f>
        <v>Melting_Curves/meltCurve_Q15545_TAF7.pdf</v>
      </c>
    </row>
    <row r="3532" spans="1:28" x14ac:dyDescent="0.25">
      <c r="A3532" t="s">
        <v>3536</v>
      </c>
      <c r="B3532">
        <v>0.99542014353169495</v>
      </c>
      <c r="C3532">
        <v>0.93442709894305398</v>
      </c>
      <c r="D3532">
        <v>0.93634983789780502</v>
      </c>
      <c r="E3532">
        <v>0.79819065763652397</v>
      </c>
      <c r="F3532">
        <v>0.45753053487523498</v>
      </c>
      <c r="G3532">
        <v>0.18858774790646701</v>
      </c>
      <c r="H3532">
        <v>9.1773815103593295E-2</v>
      </c>
      <c r="I3532">
        <v>5.7047797188660203E-2</v>
      </c>
      <c r="J3532">
        <v>6.1332434281521998E-2</v>
      </c>
      <c r="K3532">
        <v>6.6282678631049696E-2</v>
      </c>
      <c r="L3532">
        <v>1017.78360230034</v>
      </c>
      <c r="M3532">
        <v>20.582265880667599</v>
      </c>
      <c r="N3532">
        <v>49.688949821876797</v>
      </c>
      <c r="O3532">
        <v>48.989832696374002</v>
      </c>
      <c r="P3532">
        <v>-0.10007846208782301</v>
      </c>
      <c r="Q3532">
        <v>4.7201909220121803E-2</v>
      </c>
      <c r="R3532">
        <v>0.99703272133771603</v>
      </c>
      <c r="S3532" t="s">
        <v>9934</v>
      </c>
      <c r="T3532" t="s">
        <v>12802</v>
      </c>
      <c r="U3532" t="s">
        <v>12802</v>
      </c>
      <c r="V3532" t="s">
        <v>12802</v>
      </c>
      <c r="W3532" t="s">
        <v>16283</v>
      </c>
      <c r="X3532">
        <v>14</v>
      </c>
      <c r="Y3532" t="s">
        <v>22522</v>
      </c>
      <c r="Z3532" t="s">
        <v>28850</v>
      </c>
      <c r="AA3532">
        <v>0.45452240055171622</v>
      </c>
      <c r="AB3532" t="str">
        <f>HYPERLINK("Melting_Curves/meltCurve_Q15554_3_TERF2.pdf", "Melting_Curves/meltCurve_Q15554_3_TERF2.pdf")</f>
        <v>Melting_Curves/meltCurve_Q15554_3_TERF2.pdf</v>
      </c>
    </row>
    <row r="3533" spans="1:28" x14ac:dyDescent="0.25">
      <c r="A3533" t="s">
        <v>3537</v>
      </c>
      <c r="B3533">
        <v>0.99542014353169495</v>
      </c>
      <c r="C3533">
        <v>0.80427090740799201</v>
      </c>
      <c r="D3533">
        <v>0.47880220614322899</v>
      </c>
      <c r="E3533">
        <v>0.21422373155661001</v>
      </c>
      <c r="F3533">
        <v>0.12538275305673799</v>
      </c>
      <c r="G3533">
        <v>6.5419334516728295E-2</v>
      </c>
      <c r="H3533">
        <v>4.5255871200579903E-2</v>
      </c>
      <c r="I3533">
        <v>3.6854455611813698E-2</v>
      </c>
      <c r="J3533">
        <v>3.5780330161187202E-2</v>
      </c>
      <c r="K3533">
        <v>4.4011749511581599E-2</v>
      </c>
      <c r="L3533">
        <v>821.81388508025395</v>
      </c>
      <c r="M3533">
        <v>19.226204074455701</v>
      </c>
      <c r="N3533">
        <v>42.953643167946403</v>
      </c>
      <c r="O3533">
        <v>42.2900979379882</v>
      </c>
      <c r="P3533">
        <v>-0.108582036203725</v>
      </c>
      <c r="Q3533">
        <v>4.4685007812903001E-2</v>
      </c>
      <c r="R3533">
        <v>0.99721416964404797</v>
      </c>
      <c r="S3533" t="s">
        <v>9935</v>
      </c>
      <c r="T3533" t="s">
        <v>12802</v>
      </c>
      <c r="U3533" t="s">
        <v>12802</v>
      </c>
      <c r="V3533" t="s">
        <v>12802</v>
      </c>
      <c r="W3533" t="s">
        <v>16284</v>
      </c>
      <c r="X3533">
        <v>11</v>
      </c>
      <c r="Y3533" t="s">
        <v>22523</v>
      </c>
      <c r="Z3533" t="s">
        <v>28851</v>
      </c>
      <c r="AA3533">
        <v>0.2424265834977839</v>
      </c>
      <c r="AB3533" t="str">
        <f>HYPERLINK("Melting_Curves/meltCurve_Q15555_MAPRE2.pdf", "Melting_Curves/meltCurve_Q15555_MAPRE2.pdf")</f>
        <v>Melting_Curves/meltCurve_Q15555_MAPRE2.pdf</v>
      </c>
    </row>
    <row r="3534" spans="1:28" x14ac:dyDescent="0.25">
      <c r="A3534" t="s">
        <v>3538</v>
      </c>
      <c r="B3534">
        <v>0.99542014353169495</v>
      </c>
      <c r="C3534">
        <v>1.0193365583864</v>
      </c>
      <c r="D3534">
        <v>1.0694964905229301</v>
      </c>
      <c r="E3534">
        <v>0.98085774739244003</v>
      </c>
      <c r="F3534">
        <v>0.74881287023366605</v>
      </c>
      <c r="G3534">
        <v>0.50719388594045001</v>
      </c>
      <c r="H3534">
        <v>0.35272399790009201</v>
      </c>
      <c r="I3534">
        <v>0.28954261570613599</v>
      </c>
      <c r="J3534">
        <v>0.420189938993699</v>
      </c>
      <c r="K3534">
        <v>0.499342565304773</v>
      </c>
      <c r="L3534">
        <v>1703.1911890700101</v>
      </c>
      <c r="M3534">
        <v>33.498671953485797</v>
      </c>
      <c r="N3534">
        <v>53.289861455805699</v>
      </c>
      <c r="O3534">
        <v>50.663383167143998</v>
      </c>
      <c r="P3534">
        <v>-0.100408443636582</v>
      </c>
      <c r="Q3534">
        <v>0.392571784187701</v>
      </c>
      <c r="R3534">
        <v>0.96169236924607704</v>
      </c>
      <c r="S3534" t="s">
        <v>9936</v>
      </c>
      <c r="T3534" t="s">
        <v>12802</v>
      </c>
      <c r="U3534" t="s">
        <v>12802</v>
      </c>
      <c r="V3534" t="s">
        <v>12802</v>
      </c>
      <c r="W3534" t="s">
        <v>16285</v>
      </c>
      <c r="X3534">
        <v>11</v>
      </c>
      <c r="Y3534" t="s">
        <v>22524</v>
      </c>
      <c r="Z3534" t="s">
        <v>28852</v>
      </c>
      <c r="AA3534">
        <v>0.67590877708840302</v>
      </c>
      <c r="AB3534" t="str">
        <f>HYPERLINK("Melting_Curves/meltCurve_Q15599_2_SLC9A3R2.pdf", "Melting_Curves/meltCurve_Q15599_2_SLC9A3R2.pdf")</f>
        <v>Melting_Curves/meltCurve_Q15599_2_SLC9A3R2.pdf</v>
      </c>
    </row>
    <row r="3535" spans="1:28" x14ac:dyDescent="0.25">
      <c r="A3535" t="s">
        <v>3539</v>
      </c>
      <c r="B3535">
        <v>0.99542014353169495</v>
      </c>
      <c r="C3535">
        <v>1.03247229705217</v>
      </c>
      <c r="D3535">
        <v>0.88509322210866803</v>
      </c>
      <c r="E3535">
        <v>0.587000010207405</v>
      </c>
      <c r="F3535">
        <v>0.32239882161043998</v>
      </c>
      <c r="G3535">
        <v>0.22193776530006001</v>
      </c>
      <c r="H3535">
        <v>0.156485807581386</v>
      </c>
      <c r="I3535">
        <v>0.12179914378810799</v>
      </c>
      <c r="J3535">
        <v>0.13343205500031799</v>
      </c>
      <c r="K3535">
        <v>0.14902214624143501</v>
      </c>
      <c r="L3535">
        <v>964.68147404554202</v>
      </c>
      <c r="M3535">
        <v>20.551985066752099</v>
      </c>
      <c r="N3535">
        <v>47.6864077604817</v>
      </c>
      <c r="O3535">
        <v>46.500989120664599</v>
      </c>
      <c r="P3535">
        <v>-9.5273601100595295E-2</v>
      </c>
      <c r="Q3535">
        <v>0.13775986123891801</v>
      </c>
      <c r="R3535">
        <v>0.99645639983543099</v>
      </c>
      <c r="S3535" t="s">
        <v>9937</v>
      </c>
      <c r="T3535" t="s">
        <v>12802</v>
      </c>
      <c r="U3535" t="s">
        <v>12802</v>
      </c>
      <c r="V3535" t="s">
        <v>12802</v>
      </c>
      <c r="W3535" t="s">
        <v>16286</v>
      </c>
      <c r="X3535">
        <v>7</v>
      </c>
      <c r="Y3535" t="s">
        <v>22525</v>
      </c>
      <c r="Z3535" t="s">
        <v>28853</v>
      </c>
      <c r="AA3535">
        <v>0.43410627072354652</v>
      </c>
      <c r="AB3535" t="str">
        <f>HYPERLINK("Melting_Curves/meltCurve_Q15628_TRADD.pdf", "Melting_Curves/meltCurve_Q15628_TRADD.pdf")</f>
        <v>Melting_Curves/meltCurve_Q15628_TRADD.pdf</v>
      </c>
    </row>
    <row r="3536" spans="1:28" x14ac:dyDescent="0.25">
      <c r="A3536" t="s">
        <v>3540</v>
      </c>
      <c r="B3536">
        <v>0.99542014353169495</v>
      </c>
      <c r="C3536">
        <v>1.0498055233814101</v>
      </c>
      <c r="D3536">
        <v>1.0167730452210699</v>
      </c>
      <c r="E3536">
        <v>0.905336865180279</v>
      </c>
      <c r="F3536">
        <v>0.75731740356060895</v>
      </c>
      <c r="G3536">
        <v>0.614940953797256</v>
      </c>
      <c r="H3536">
        <v>0.38448558258364401</v>
      </c>
      <c r="I3536">
        <v>0.30132891696830599</v>
      </c>
      <c r="J3536">
        <v>0.40536177835174603</v>
      </c>
      <c r="K3536">
        <v>0.51057756768561502</v>
      </c>
      <c r="L3536">
        <v>1128.9863729858901</v>
      </c>
      <c r="M3536">
        <v>22.011090951653301</v>
      </c>
      <c r="N3536">
        <v>55.123297419066098</v>
      </c>
      <c r="O3536">
        <v>50.873970929942402</v>
      </c>
      <c r="P3536">
        <v>-6.5794921779843002E-2</v>
      </c>
      <c r="Q3536">
        <v>0.39172951051023902</v>
      </c>
      <c r="R3536">
        <v>0.94992377773687897</v>
      </c>
      <c r="S3536" t="s">
        <v>9938</v>
      </c>
      <c r="T3536" t="s">
        <v>12802</v>
      </c>
      <c r="U3536" t="s">
        <v>12802</v>
      </c>
      <c r="V3536" t="s">
        <v>12802</v>
      </c>
      <c r="W3536" t="s">
        <v>16287</v>
      </c>
      <c r="X3536">
        <v>28</v>
      </c>
      <c r="Y3536" t="s">
        <v>20169</v>
      </c>
      <c r="Z3536" t="s">
        <v>28854</v>
      </c>
      <c r="AA3536">
        <v>0.68825703871122956</v>
      </c>
      <c r="AB3536" t="str">
        <f>HYPERLINK("Melting_Curves/meltCurve_Q15637_5_SF1.pdf", "Melting_Curves/meltCurve_Q15637_5_SF1.pdf")</f>
        <v>Melting_Curves/meltCurve_Q15637_5_SF1.pdf</v>
      </c>
    </row>
    <row r="3537" spans="1:28" x14ac:dyDescent="0.25">
      <c r="A3537" t="s">
        <v>3541</v>
      </c>
      <c r="B3537">
        <v>0.99542014353169495</v>
      </c>
      <c r="C3537">
        <v>0.97709724452891999</v>
      </c>
      <c r="D3537">
        <v>1.0218189205231101</v>
      </c>
      <c r="E3537">
        <v>0.85715154809806404</v>
      </c>
      <c r="F3537">
        <v>0.31023557114061301</v>
      </c>
      <c r="G3537">
        <v>0.109626362190907</v>
      </c>
      <c r="H3537">
        <v>8.0019004611393094E-2</v>
      </c>
      <c r="I3537">
        <v>6.7106618269268503E-2</v>
      </c>
      <c r="J3537">
        <v>8.9329988603163796E-2</v>
      </c>
      <c r="K3537">
        <v>0.10114733860886101</v>
      </c>
      <c r="L3537">
        <v>1843.3758559246801</v>
      </c>
      <c r="M3537">
        <v>37.842432394577003</v>
      </c>
      <c r="N3537">
        <v>48.9494527319954</v>
      </c>
      <c r="O3537">
        <v>48.5764438939215</v>
      </c>
      <c r="P3537">
        <v>-0.178418529049756</v>
      </c>
      <c r="Q3537">
        <v>8.3894488598735301E-2</v>
      </c>
      <c r="R3537">
        <v>0.99885524932519398</v>
      </c>
      <c r="S3537" t="s">
        <v>9939</v>
      </c>
      <c r="T3537" t="s">
        <v>12802</v>
      </c>
      <c r="U3537" t="s">
        <v>12802</v>
      </c>
      <c r="V3537" t="s">
        <v>12802</v>
      </c>
      <c r="W3537" t="s">
        <v>16288</v>
      </c>
      <c r="X3537">
        <v>20</v>
      </c>
      <c r="Y3537" t="s">
        <v>22526</v>
      </c>
      <c r="Z3537" t="s">
        <v>28855</v>
      </c>
      <c r="AA3537">
        <v>0.44498678096446032</v>
      </c>
      <c r="AB3537" t="str">
        <f>HYPERLINK("Melting_Curves/meltCurve_Q15642_2_TRIP10.pdf", "Melting_Curves/meltCurve_Q15642_2_TRIP10.pdf")</f>
        <v>Melting_Curves/meltCurve_Q15642_2_TRIP10.pdf</v>
      </c>
    </row>
    <row r="3538" spans="1:28" x14ac:dyDescent="0.25">
      <c r="A3538" t="s">
        <v>3542</v>
      </c>
      <c r="B3538">
        <v>0.99542014353169495</v>
      </c>
      <c r="C3538">
        <v>0.85407276169041102</v>
      </c>
      <c r="D3538">
        <v>0.63328041003728697</v>
      </c>
      <c r="E3538">
        <v>0.22256458839830401</v>
      </c>
      <c r="F3538">
        <v>0.13657218412677699</v>
      </c>
      <c r="G3538">
        <v>7.5000943646996707E-2</v>
      </c>
      <c r="H3538">
        <v>6.2168353061813897E-2</v>
      </c>
      <c r="I3538">
        <v>3.8628685175090202E-2</v>
      </c>
      <c r="J3538">
        <v>4.74568998249454E-2</v>
      </c>
      <c r="K3538">
        <v>4.8674097923864401E-2</v>
      </c>
      <c r="L3538">
        <v>904.94571466339403</v>
      </c>
      <c r="M3538">
        <v>20.7032625649469</v>
      </c>
      <c r="N3538">
        <v>43.931726879032901</v>
      </c>
      <c r="O3538">
        <v>43.308635657806001</v>
      </c>
      <c r="P3538">
        <v>-0.11359206115303699</v>
      </c>
      <c r="Q3538">
        <v>4.9545877352448302E-2</v>
      </c>
      <c r="R3538">
        <v>0.99673200922160599</v>
      </c>
      <c r="S3538" t="s">
        <v>9940</v>
      </c>
      <c r="T3538" t="s">
        <v>12802</v>
      </c>
      <c r="U3538" t="s">
        <v>12802</v>
      </c>
      <c r="V3538" t="s">
        <v>12802</v>
      </c>
      <c r="W3538" t="s">
        <v>16289</v>
      </c>
      <c r="X3538">
        <v>17</v>
      </c>
      <c r="Y3538" t="s">
        <v>22527</v>
      </c>
      <c r="Z3538" t="s">
        <v>28856</v>
      </c>
      <c r="AA3538">
        <v>0.27402755995792771</v>
      </c>
      <c r="AB3538" t="str">
        <f>HYPERLINK("Melting_Curves/meltCurve_Q15643_TRIP11.pdf", "Melting_Curves/meltCurve_Q15643_TRIP11.pdf")</f>
        <v>Melting_Curves/meltCurve_Q15643_TRIP11.pdf</v>
      </c>
    </row>
    <row r="3539" spans="1:28" x14ac:dyDescent="0.25">
      <c r="A3539" t="s">
        <v>3543</v>
      </c>
      <c r="B3539">
        <v>0.99542014353169495</v>
      </c>
      <c r="C3539">
        <v>1.0166964570494199</v>
      </c>
      <c r="D3539">
        <v>0.91875466086891999</v>
      </c>
      <c r="E3539">
        <v>0.75035529744709295</v>
      </c>
      <c r="F3539">
        <v>0.30267161717924601</v>
      </c>
      <c r="G3539">
        <v>0.127005065466782</v>
      </c>
      <c r="H3539">
        <v>6.6201863561057006E-2</v>
      </c>
      <c r="I3539">
        <v>4.9678139089555498E-2</v>
      </c>
      <c r="J3539">
        <v>6.5153519370607704E-2</v>
      </c>
      <c r="K3539">
        <v>8.0812256335274696E-2</v>
      </c>
      <c r="L3539">
        <v>1255.8611840589699</v>
      </c>
      <c r="M3539">
        <v>26.021487475480399</v>
      </c>
      <c r="N3539">
        <v>48.503441576854598</v>
      </c>
      <c r="O3539">
        <v>47.980158328358698</v>
      </c>
      <c r="P3539">
        <v>-0.12736482509056801</v>
      </c>
      <c r="Q3539">
        <v>6.0636064226826901E-2</v>
      </c>
      <c r="R3539">
        <v>0.99788656991323899</v>
      </c>
      <c r="S3539" t="s">
        <v>9941</v>
      </c>
      <c r="T3539" t="s">
        <v>12802</v>
      </c>
      <c r="U3539" t="s">
        <v>12802</v>
      </c>
      <c r="V3539" t="s">
        <v>12802</v>
      </c>
      <c r="W3539" t="s">
        <v>16290</v>
      </c>
      <c r="X3539">
        <v>14</v>
      </c>
      <c r="Y3539" t="s">
        <v>22528</v>
      </c>
      <c r="Z3539" t="s">
        <v>28857</v>
      </c>
      <c r="AA3539">
        <v>0.42071213160287801</v>
      </c>
      <c r="AB3539" t="str">
        <f>HYPERLINK("Melting_Curves/meltCurve_Q15645_TRIP13.pdf", "Melting_Curves/meltCurve_Q15645_TRIP13.pdf")</f>
        <v>Melting_Curves/meltCurve_Q15645_TRIP13.pdf</v>
      </c>
    </row>
    <row r="3540" spans="1:28" x14ac:dyDescent="0.25">
      <c r="A3540" t="s">
        <v>3544</v>
      </c>
      <c r="B3540">
        <v>0.99542014353169495</v>
      </c>
      <c r="C3540">
        <v>0.89455227951411398</v>
      </c>
      <c r="D3540">
        <v>0.91075652676041896</v>
      </c>
      <c r="E3540">
        <v>0.63516406035139406</v>
      </c>
      <c r="F3540">
        <v>0.64459554823210896</v>
      </c>
      <c r="G3540">
        <v>0.215866999539579</v>
      </c>
      <c r="H3540">
        <v>0.103918796752655</v>
      </c>
      <c r="I3540">
        <v>6.6742025542982697E-2</v>
      </c>
      <c r="J3540">
        <v>8.7741014655263003E-2</v>
      </c>
      <c r="K3540">
        <v>0.103775756337682</v>
      </c>
      <c r="L3540">
        <v>658.73668605107105</v>
      </c>
      <c r="M3540">
        <v>13.212536991149699</v>
      </c>
      <c r="N3540">
        <v>49.9858710305245</v>
      </c>
      <c r="O3540">
        <v>48.756348207233103</v>
      </c>
      <c r="P3540">
        <v>-6.6624091027191495E-2</v>
      </c>
      <c r="Q3540">
        <v>1.6749410050726402E-2</v>
      </c>
      <c r="R3540">
        <v>0.96237953985490998</v>
      </c>
      <c r="S3540" t="s">
        <v>9942</v>
      </c>
      <c r="T3540" t="s">
        <v>12802</v>
      </c>
      <c r="U3540" t="s">
        <v>12802</v>
      </c>
      <c r="V3540" t="s">
        <v>12802</v>
      </c>
      <c r="W3540" t="s">
        <v>16291</v>
      </c>
      <c r="X3540">
        <v>7</v>
      </c>
      <c r="Y3540" t="s">
        <v>22529</v>
      </c>
      <c r="Z3540" t="s">
        <v>28858</v>
      </c>
      <c r="AA3540">
        <v>0.46276049407149572</v>
      </c>
      <c r="AB3540" t="str">
        <f>HYPERLINK("Melting_Curves/meltCurve_Q15648_MED1.pdf", "Melting_Curves/meltCurve_Q15648_MED1.pdf")</f>
        <v>Melting_Curves/meltCurve_Q15648_MED1.pdf</v>
      </c>
    </row>
    <row r="3541" spans="1:28" x14ac:dyDescent="0.25">
      <c r="A3541" t="s">
        <v>3545</v>
      </c>
      <c r="B3541">
        <v>0.99542014353169495</v>
      </c>
      <c r="C3541">
        <v>1.0460853479151599</v>
      </c>
      <c r="D3541">
        <v>1.1943915459910599</v>
      </c>
      <c r="E3541">
        <v>1.0073794143697501</v>
      </c>
      <c r="F3541">
        <v>0.855391910016567</v>
      </c>
      <c r="G3541">
        <v>0.55051591578398595</v>
      </c>
      <c r="H3541">
        <v>0.345147637196486</v>
      </c>
      <c r="I3541">
        <v>0.26958670622967401</v>
      </c>
      <c r="J3541">
        <v>0.301260625061053</v>
      </c>
      <c r="K3541">
        <v>0.48637344924357101</v>
      </c>
      <c r="L3541">
        <v>1796.25230692894</v>
      </c>
      <c r="M3541">
        <v>34.3380901392946</v>
      </c>
      <c r="N3541">
        <v>54.161021256624501</v>
      </c>
      <c r="O3541">
        <v>52.134318257845003</v>
      </c>
      <c r="P3541">
        <v>-0.107806126717942</v>
      </c>
      <c r="Q3541">
        <v>0.34528944179529603</v>
      </c>
      <c r="R3541">
        <v>0.93636253834063798</v>
      </c>
      <c r="S3541" t="s">
        <v>9943</v>
      </c>
      <c r="T3541" t="s">
        <v>12802</v>
      </c>
      <c r="U3541" t="s">
        <v>12802</v>
      </c>
      <c r="V3541" t="s">
        <v>12802</v>
      </c>
      <c r="W3541" t="s">
        <v>16292</v>
      </c>
      <c r="X3541">
        <v>3</v>
      </c>
      <c r="Y3541" t="s">
        <v>22530</v>
      </c>
      <c r="Z3541" t="s">
        <v>28859</v>
      </c>
      <c r="AA3541">
        <v>0.68261895469926437</v>
      </c>
      <c r="AB3541" t="str">
        <f>HYPERLINK("Melting_Curves/meltCurve_Q15649_ZNHIT3.pdf", "Melting_Curves/meltCurve_Q15649_ZNHIT3.pdf")</f>
        <v>Melting_Curves/meltCurve_Q15649_ZNHIT3.pdf</v>
      </c>
    </row>
    <row r="3542" spans="1:28" x14ac:dyDescent="0.25">
      <c r="A3542" t="s">
        <v>3546</v>
      </c>
      <c r="B3542">
        <v>0.99542014353169495</v>
      </c>
      <c r="C3542">
        <v>1.0693904170035899</v>
      </c>
      <c r="D3542">
        <v>0.97953830782657003</v>
      </c>
      <c r="E3542">
        <v>0.87806398690466203</v>
      </c>
      <c r="F3542">
        <v>1.0585780645838001</v>
      </c>
      <c r="G3542">
        <v>0.39222975683866501</v>
      </c>
      <c r="H3542">
        <v>0.33176256603868298</v>
      </c>
      <c r="I3542">
        <v>0.169823559817252</v>
      </c>
      <c r="J3542">
        <v>0.100042944809899</v>
      </c>
      <c r="K3542">
        <v>5.14747383812304E-2</v>
      </c>
      <c r="L3542">
        <v>6176.0629691580598</v>
      </c>
      <c r="M3542">
        <v>115.769679880364</v>
      </c>
      <c r="N3542">
        <v>53.530467017727297</v>
      </c>
      <c r="O3542">
        <v>53.331932280330598</v>
      </c>
      <c r="P3542">
        <v>-0.454154224838277</v>
      </c>
      <c r="Q3542">
        <v>0.16313420418761701</v>
      </c>
      <c r="R3542">
        <v>0.95873349352762205</v>
      </c>
      <c r="S3542" t="s">
        <v>9944</v>
      </c>
      <c r="T3542" t="s">
        <v>12802</v>
      </c>
      <c r="U3542" t="s">
        <v>12802</v>
      </c>
      <c r="V3542" t="s">
        <v>12802</v>
      </c>
      <c r="W3542" t="s">
        <v>16293</v>
      </c>
      <c r="X3542">
        <v>2</v>
      </c>
      <c r="Y3542" t="s">
        <v>22531</v>
      </c>
      <c r="Z3542" t="s">
        <v>28860</v>
      </c>
      <c r="AA3542">
        <v>0.61953162513499327</v>
      </c>
      <c r="AB3542" t="str">
        <f>HYPERLINK("Melting_Curves/meltCurve_Q15650_TRIP4.pdf", "Melting_Curves/meltCurve_Q15650_TRIP4.pdf")</f>
        <v>Melting_Curves/meltCurve_Q15650_TRIP4.pdf</v>
      </c>
    </row>
    <row r="3543" spans="1:28" x14ac:dyDescent="0.25">
      <c r="A3543" t="s">
        <v>3547</v>
      </c>
      <c r="B3543">
        <v>0.99542014353169495</v>
      </c>
      <c r="C3543">
        <v>1.1791897261239199</v>
      </c>
      <c r="D3543">
        <v>1.5005523078732299</v>
      </c>
      <c r="E3543">
        <v>1.66225715845379</v>
      </c>
      <c r="F3543">
        <v>1.4376272759976201</v>
      </c>
      <c r="G3543">
        <v>1.28198737089509</v>
      </c>
      <c r="H3543">
        <v>0.76081705983208003</v>
      </c>
      <c r="I3543">
        <v>0.580261695406047</v>
      </c>
      <c r="J3543">
        <v>0.84962698717382801</v>
      </c>
      <c r="K3543">
        <v>1.3590824148084499</v>
      </c>
      <c r="L3543">
        <v>15000</v>
      </c>
      <c r="M3543">
        <v>224.81522787227499</v>
      </c>
      <c r="O3543">
        <v>66.716173677174694</v>
      </c>
      <c r="P3543">
        <v>0.42121572144519398</v>
      </c>
      <c r="Q3543">
        <v>1.5</v>
      </c>
      <c r="R3543">
        <v>-0.115510739510173</v>
      </c>
      <c r="S3543" t="s">
        <v>9945</v>
      </c>
      <c r="T3543" t="s">
        <v>12802</v>
      </c>
      <c r="U3543" t="s">
        <v>12802</v>
      </c>
      <c r="V3543" t="s">
        <v>12802</v>
      </c>
      <c r="W3543" t="s">
        <v>16294</v>
      </c>
      <c r="X3543">
        <v>1</v>
      </c>
      <c r="Y3543" t="s">
        <v>22532</v>
      </c>
      <c r="Z3543" t="s">
        <v>28861</v>
      </c>
      <c r="AA3543">
        <v>1.006238486500755</v>
      </c>
      <c r="AB3543" t="str">
        <f>HYPERLINK("Melting_Curves/meltCurve_Q15651_HMGN3.pdf", "Melting_Curves/meltCurve_Q15651_HMGN3.pdf")</f>
        <v>Melting_Curves/meltCurve_Q15651_HMGN3.pdf</v>
      </c>
    </row>
    <row r="3544" spans="1:28" x14ac:dyDescent="0.25">
      <c r="A3544" t="s">
        <v>3548</v>
      </c>
      <c r="B3544">
        <v>0.99542014353169495</v>
      </c>
      <c r="C3544">
        <v>0.873374065674415</v>
      </c>
      <c r="D3544">
        <v>0.88363284706378098</v>
      </c>
      <c r="E3544">
        <v>0.63900815497331698</v>
      </c>
      <c r="F3544">
        <v>0.40646449657846001</v>
      </c>
      <c r="G3544">
        <v>0.17466830234925501</v>
      </c>
      <c r="H3544">
        <v>0.129592885173336</v>
      </c>
      <c r="I3544">
        <v>9.5506391565889304E-2</v>
      </c>
      <c r="J3544">
        <v>0.13241271337573801</v>
      </c>
      <c r="K3544">
        <v>0.22697484066468701</v>
      </c>
      <c r="L3544">
        <v>824.45603334127497</v>
      </c>
      <c r="M3544">
        <v>17.3705787855335</v>
      </c>
      <c r="N3544">
        <v>48.254541576523302</v>
      </c>
      <c r="O3544">
        <v>46.847147827769</v>
      </c>
      <c r="P3544">
        <v>-8.1208418614346606E-2</v>
      </c>
      <c r="Q3544">
        <v>0.123997689089809</v>
      </c>
      <c r="R3544">
        <v>0.97751317106706404</v>
      </c>
      <c r="S3544" t="s">
        <v>9946</v>
      </c>
      <c r="T3544" t="s">
        <v>12802</v>
      </c>
      <c r="U3544" t="s">
        <v>12802</v>
      </c>
      <c r="V3544" t="s">
        <v>12802</v>
      </c>
      <c r="W3544" t="s">
        <v>16295</v>
      </c>
      <c r="X3544">
        <v>12</v>
      </c>
      <c r="Y3544" t="s">
        <v>22533</v>
      </c>
      <c r="Z3544" t="s">
        <v>28862</v>
      </c>
      <c r="AA3544">
        <v>0.44450632779245758</v>
      </c>
      <c r="AB3544" t="str">
        <f>HYPERLINK("Melting_Curves/meltCurve_Q15652_3_JMJD1C.pdf", "Melting_Curves/meltCurve_Q15652_3_JMJD1C.pdf")</f>
        <v>Melting_Curves/meltCurve_Q15652_3_JMJD1C.pdf</v>
      </c>
    </row>
    <row r="3545" spans="1:28" x14ac:dyDescent="0.25">
      <c r="A3545" t="s">
        <v>3549</v>
      </c>
      <c r="B3545">
        <v>0.99542014353169495</v>
      </c>
      <c r="C3545">
        <v>1.06005744522534</v>
      </c>
      <c r="D3545">
        <v>1.02374970067424</v>
      </c>
      <c r="E3545">
        <v>0.72090012359850597</v>
      </c>
      <c r="F3545">
        <v>0.22730477707407301</v>
      </c>
      <c r="G3545">
        <v>8.5661597341533696E-2</v>
      </c>
      <c r="H3545">
        <v>6.1707399340182503E-2</v>
      </c>
      <c r="I3545">
        <v>3.4850147641998799E-2</v>
      </c>
      <c r="J3545">
        <v>0.168363956230246</v>
      </c>
      <c r="K3545">
        <v>2.4702068551050099E-2</v>
      </c>
      <c r="L3545">
        <v>1678.6935846085901</v>
      </c>
      <c r="M3545">
        <v>35.127454818710703</v>
      </c>
      <c r="N3545">
        <v>48.001651634060003</v>
      </c>
      <c r="O3545">
        <v>47.6345770403031</v>
      </c>
      <c r="P3545">
        <v>-0.17105407166585601</v>
      </c>
      <c r="Q3545">
        <v>7.2172104301605297E-2</v>
      </c>
      <c r="R3545">
        <v>0.98976129802580304</v>
      </c>
      <c r="S3545" t="s">
        <v>9947</v>
      </c>
      <c r="T3545" t="s">
        <v>12802</v>
      </c>
      <c r="U3545" t="s">
        <v>12802</v>
      </c>
      <c r="V3545" t="s">
        <v>12802</v>
      </c>
      <c r="W3545" t="s">
        <v>16296</v>
      </c>
      <c r="X3545">
        <v>3</v>
      </c>
      <c r="Y3545" t="s">
        <v>22534</v>
      </c>
      <c r="Z3545" t="s">
        <v>28863</v>
      </c>
      <c r="AA3545">
        <v>0.40982195620340439</v>
      </c>
      <c r="AB3545" t="str">
        <f>HYPERLINK("Melting_Curves/meltCurve_Q15653_NFKBIB.pdf", "Melting_Curves/meltCurve_Q15653_NFKBIB.pdf")</f>
        <v>Melting_Curves/meltCurve_Q15653_NFKBIB.pdf</v>
      </c>
    </row>
    <row r="3546" spans="1:28" x14ac:dyDescent="0.25">
      <c r="A3546" t="s">
        <v>3550</v>
      </c>
      <c r="B3546">
        <v>0.99542014353169495</v>
      </c>
      <c r="C3546">
        <v>0.98649029617607897</v>
      </c>
      <c r="D3546">
        <v>0.92097829492419103</v>
      </c>
      <c r="E3546">
        <v>0.81578796046192603</v>
      </c>
      <c r="F3546">
        <v>0.560300550626328</v>
      </c>
      <c r="G3546">
        <v>0.34889634557041299</v>
      </c>
      <c r="H3546">
        <v>0.17776702167689301</v>
      </c>
      <c r="I3546">
        <v>8.7949674605230205E-2</v>
      </c>
      <c r="J3546">
        <v>6.7733271398221398E-2</v>
      </c>
      <c r="K3546">
        <v>6.9324181838057497E-2</v>
      </c>
      <c r="L3546">
        <v>747.06895657214</v>
      </c>
      <c r="M3546">
        <v>14.6477001635654</v>
      </c>
      <c r="N3546">
        <v>51.174175279056598</v>
      </c>
      <c r="O3546">
        <v>50.080150393834202</v>
      </c>
      <c r="P3546">
        <v>-7.13758423418175E-2</v>
      </c>
      <c r="Q3546">
        <v>2.3978766689939798E-2</v>
      </c>
      <c r="R3546">
        <v>0.99902851401270099</v>
      </c>
      <c r="S3546" t="s">
        <v>9948</v>
      </c>
      <c r="T3546" t="s">
        <v>12802</v>
      </c>
      <c r="U3546" t="s">
        <v>12802</v>
      </c>
      <c r="V3546" t="s">
        <v>12802</v>
      </c>
      <c r="W3546" t="s">
        <v>16297</v>
      </c>
      <c r="X3546">
        <v>23</v>
      </c>
      <c r="Y3546" t="s">
        <v>22535</v>
      </c>
      <c r="Z3546" t="s">
        <v>28864</v>
      </c>
      <c r="AA3546">
        <v>0.49979568969005689</v>
      </c>
      <c r="AB3546" t="str">
        <f>HYPERLINK("Melting_Curves/meltCurve_Q15654_TRIP6.pdf", "Melting_Curves/meltCurve_Q15654_TRIP6.pdf")</f>
        <v>Melting_Curves/meltCurve_Q15654_TRIP6.pdf</v>
      </c>
    </row>
    <row r="3547" spans="1:28" x14ac:dyDescent="0.25">
      <c r="A3547" t="s">
        <v>3551</v>
      </c>
      <c r="B3547">
        <v>0.99542014353169495</v>
      </c>
      <c r="C3547">
        <v>0.98679697941539002</v>
      </c>
      <c r="D3547">
        <v>1.00344892197117</v>
      </c>
      <c r="E3547">
        <v>1.0028331117742499</v>
      </c>
      <c r="F3547">
        <v>0.69900344760263899</v>
      </c>
      <c r="G3547">
        <v>0.16284852632618901</v>
      </c>
      <c r="H3547">
        <v>6.2465409569624299E-2</v>
      </c>
      <c r="I3547">
        <v>3.7198964537751601E-2</v>
      </c>
      <c r="J3547">
        <v>3.3163011294652801E-2</v>
      </c>
      <c r="K3547">
        <v>3.09512064623957E-2</v>
      </c>
      <c r="L3547">
        <v>2037.4865460941701</v>
      </c>
      <c r="M3547">
        <v>39.783118639645103</v>
      </c>
      <c r="N3547">
        <v>51.314877633920801</v>
      </c>
      <c r="O3547">
        <v>51.085979737556897</v>
      </c>
      <c r="P3547">
        <v>-0.18742423443103201</v>
      </c>
      <c r="Q3547">
        <v>3.73076193193944E-2</v>
      </c>
      <c r="R3547">
        <v>0.99955431994256305</v>
      </c>
      <c r="S3547" t="s">
        <v>9949</v>
      </c>
      <c r="T3547" t="s">
        <v>12802</v>
      </c>
      <c r="U3547" t="s">
        <v>12802</v>
      </c>
      <c r="V3547" t="s">
        <v>12802</v>
      </c>
      <c r="W3547" t="s">
        <v>16298</v>
      </c>
      <c r="X3547">
        <v>17</v>
      </c>
      <c r="Y3547" t="s">
        <v>22536</v>
      </c>
      <c r="Z3547" t="s">
        <v>28865</v>
      </c>
      <c r="AA3547">
        <v>0.49689880859194929</v>
      </c>
      <c r="AB3547" t="str">
        <f>HYPERLINK("Melting_Curves/meltCurve_Q15691_MAPRE1.pdf", "Melting_Curves/meltCurve_Q15691_MAPRE1.pdf")</f>
        <v>Melting_Curves/meltCurve_Q15691_MAPRE1.pdf</v>
      </c>
    </row>
    <row r="3548" spans="1:28" x14ac:dyDescent="0.25">
      <c r="A3548" t="s">
        <v>3552</v>
      </c>
      <c r="B3548">
        <v>0.99542014353169495</v>
      </c>
      <c r="C3548">
        <v>1.0196966922192301</v>
      </c>
      <c r="D3548">
        <v>1.02154376106281</v>
      </c>
      <c r="E3548">
        <v>0.82117702320322095</v>
      </c>
      <c r="F3548">
        <v>0.64805847583559995</v>
      </c>
      <c r="G3548">
        <v>0.471848172898027</v>
      </c>
      <c r="H3548">
        <v>0.322295850697005</v>
      </c>
      <c r="I3548">
        <v>0.277311183925811</v>
      </c>
      <c r="J3548">
        <v>0.40779462844194297</v>
      </c>
      <c r="K3548">
        <v>0.57015760461246301</v>
      </c>
      <c r="L3548">
        <v>1183.95784947625</v>
      </c>
      <c r="M3548">
        <v>24.162631175791301</v>
      </c>
      <c r="N3548">
        <v>52.394697940065903</v>
      </c>
      <c r="O3548">
        <v>48.6675967671449</v>
      </c>
      <c r="P3548">
        <v>-7.5028017371173497E-2</v>
      </c>
      <c r="Q3548">
        <v>0.39553296390942699</v>
      </c>
      <c r="R3548">
        <v>0.92267893973003001</v>
      </c>
      <c r="S3548" t="s">
        <v>9950</v>
      </c>
      <c r="T3548" t="s">
        <v>12802</v>
      </c>
      <c r="U3548" t="s">
        <v>12802</v>
      </c>
      <c r="V3548" t="s">
        <v>12802</v>
      </c>
      <c r="W3548" t="s">
        <v>16299</v>
      </c>
      <c r="X3548">
        <v>2</v>
      </c>
      <c r="Y3548" t="s">
        <v>22537</v>
      </c>
      <c r="Z3548" t="s">
        <v>28866</v>
      </c>
      <c r="AA3548">
        <v>0.64289026496235901</v>
      </c>
      <c r="AB3548" t="str">
        <f>HYPERLINK("Melting_Curves/meltCurve_Q15714_2_TSC22D1.pdf", "Melting_Curves/meltCurve_Q15714_2_TSC22D1.pdf")</f>
        <v>Melting_Curves/meltCurve_Q15714_2_TSC22D1.pdf</v>
      </c>
    </row>
    <row r="3549" spans="1:28" x14ac:dyDescent="0.25">
      <c r="A3549" t="s">
        <v>3553</v>
      </c>
      <c r="B3549">
        <v>0.99542014353169495</v>
      </c>
      <c r="C3549">
        <v>1.03950201645767</v>
      </c>
      <c r="D3549">
        <v>1.01470642330509</v>
      </c>
      <c r="E3549">
        <v>0.72159928899383696</v>
      </c>
      <c r="F3549">
        <v>0.31017260491063903</v>
      </c>
      <c r="G3549">
        <v>0.160642651376876</v>
      </c>
      <c r="H3549">
        <v>9.5430270765235206E-2</v>
      </c>
      <c r="I3549">
        <v>7.4638417894945103E-2</v>
      </c>
      <c r="J3549">
        <v>7.1161557148151894E-2</v>
      </c>
      <c r="K3549">
        <v>6.2266244597080099E-2</v>
      </c>
      <c r="L3549">
        <v>1290.01663740405</v>
      </c>
      <c r="M3549">
        <v>26.765924176014401</v>
      </c>
      <c r="N3549">
        <v>48.500853602940403</v>
      </c>
      <c r="O3549">
        <v>47.929610973760802</v>
      </c>
      <c r="P3549">
        <v>-0.128810228544218</v>
      </c>
      <c r="Q3549">
        <v>7.7370052007884799E-2</v>
      </c>
      <c r="R3549">
        <v>0.99657830602241204</v>
      </c>
      <c r="S3549" t="s">
        <v>9951</v>
      </c>
      <c r="T3549" t="s">
        <v>12802</v>
      </c>
      <c r="U3549" t="s">
        <v>12802</v>
      </c>
      <c r="V3549" t="s">
        <v>12802</v>
      </c>
      <c r="W3549" t="s">
        <v>16300</v>
      </c>
      <c r="X3549">
        <v>5</v>
      </c>
      <c r="Y3549" t="s">
        <v>22538</v>
      </c>
      <c r="Z3549" t="s">
        <v>28867</v>
      </c>
      <c r="AA3549">
        <v>0.42859041435554462</v>
      </c>
      <c r="AB3549" t="str">
        <f>HYPERLINK("Melting_Curves/meltCurve_Q15717_ELAVL1.pdf", "Melting_Curves/meltCurve_Q15717_ELAVL1.pdf")</f>
        <v>Melting_Curves/meltCurve_Q15717_ELAVL1.pdf</v>
      </c>
    </row>
    <row r="3550" spans="1:28" x14ac:dyDescent="0.25">
      <c r="A3550" t="s">
        <v>3554</v>
      </c>
      <c r="B3550">
        <v>0.99542014353169495</v>
      </c>
      <c r="C3550">
        <v>1.0347067082021499</v>
      </c>
      <c r="D3550">
        <v>0.98169833924199201</v>
      </c>
      <c r="E3550">
        <v>0.95894172830531998</v>
      </c>
      <c r="F3550">
        <v>0.735347009964747</v>
      </c>
      <c r="G3550">
        <v>0.29691692733720798</v>
      </c>
      <c r="H3550">
        <v>6.8445109688663006E-2</v>
      </c>
      <c r="I3550">
        <v>3.9999094352762797E-2</v>
      </c>
      <c r="J3550">
        <v>3.5497720866035698E-2</v>
      </c>
      <c r="K3550">
        <v>3.5555230810570597E-2</v>
      </c>
      <c r="L3550">
        <v>1490.6053240748399</v>
      </c>
      <c r="M3550">
        <v>28.701630450754301</v>
      </c>
      <c r="N3550">
        <v>52.034059348868503</v>
      </c>
      <c r="O3550">
        <v>51.684363581109203</v>
      </c>
      <c r="P3550">
        <v>-0.13512445076263799</v>
      </c>
      <c r="Q3550">
        <v>2.67079742537004E-2</v>
      </c>
      <c r="R3550">
        <v>0.998961931625171</v>
      </c>
      <c r="S3550" t="s">
        <v>9952</v>
      </c>
      <c r="T3550" t="s">
        <v>12802</v>
      </c>
      <c r="U3550" t="s">
        <v>12802</v>
      </c>
      <c r="V3550" t="s">
        <v>12802</v>
      </c>
      <c r="W3550" t="s">
        <v>16301</v>
      </c>
      <c r="X3550">
        <v>15</v>
      </c>
      <c r="Y3550" t="s">
        <v>22539</v>
      </c>
      <c r="Z3550" t="s">
        <v>28868</v>
      </c>
      <c r="AA3550">
        <v>0.51790631000893528</v>
      </c>
      <c r="AB3550" t="str">
        <f>HYPERLINK("Melting_Curves/meltCurve_Q15738_NSDHL.pdf", "Melting_Curves/meltCurve_Q15738_NSDHL.pdf")</f>
        <v>Melting_Curves/meltCurve_Q15738_NSDHL.pdf</v>
      </c>
    </row>
    <row r="3551" spans="1:28" x14ac:dyDescent="0.25">
      <c r="A3551" t="s">
        <v>3555</v>
      </c>
      <c r="B3551">
        <v>0.99542014353169495</v>
      </c>
      <c r="C3551">
        <v>0.79846704840406901</v>
      </c>
      <c r="D3551">
        <v>0.29619512775935403</v>
      </c>
      <c r="E3551">
        <v>0.13734892274157001</v>
      </c>
      <c r="F3551">
        <v>7.2747669583255598E-2</v>
      </c>
      <c r="G3551">
        <v>5.0865872552094002E-2</v>
      </c>
      <c r="H3551">
        <v>3.8867849712036301E-2</v>
      </c>
      <c r="I3551">
        <v>2.4176164070409401E-2</v>
      </c>
      <c r="J3551">
        <v>2.3658971233217599E-2</v>
      </c>
      <c r="K3551">
        <v>1.84810598449342E-2</v>
      </c>
      <c r="L3551">
        <v>1206.46621456247</v>
      </c>
      <c r="M3551">
        <v>28.968468465953102</v>
      </c>
      <c r="N3551">
        <v>41.776892114264001</v>
      </c>
      <c r="O3551">
        <v>41.450611974164602</v>
      </c>
      <c r="P3551">
        <v>-0.167226263001482</v>
      </c>
      <c r="Q3551">
        <v>4.2879464423048901E-2</v>
      </c>
      <c r="R3551">
        <v>0.99512247118519503</v>
      </c>
      <c r="S3551" t="s">
        <v>9953</v>
      </c>
      <c r="T3551" t="s">
        <v>12802</v>
      </c>
      <c r="U3551" t="s">
        <v>12802</v>
      </c>
      <c r="V3551" t="s">
        <v>12802</v>
      </c>
      <c r="W3551" t="s">
        <v>16302</v>
      </c>
      <c r="X3551">
        <v>6</v>
      </c>
      <c r="Y3551" t="s">
        <v>22540</v>
      </c>
      <c r="Z3551" t="s">
        <v>28869</v>
      </c>
      <c r="AA3551">
        <v>0.1973375696838981</v>
      </c>
      <c r="AB3551" t="str">
        <f>HYPERLINK("Melting_Curves/meltCurve_Q15742_3_NAB2.pdf", "Melting_Curves/meltCurve_Q15742_3_NAB2.pdf")</f>
        <v>Melting_Curves/meltCurve_Q15742_3_NAB2.pdf</v>
      </c>
    </row>
    <row r="3552" spans="1:28" x14ac:dyDescent="0.25">
      <c r="A3552" t="s">
        <v>3556</v>
      </c>
      <c r="B3552">
        <v>0.99542014353169495</v>
      </c>
      <c r="C3552">
        <v>1.0518431997147599</v>
      </c>
      <c r="D3552">
        <v>1.03151158457202</v>
      </c>
      <c r="E3552">
        <v>0.936755881861837</v>
      </c>
      <c r="F3552">
        <v>0.85579241473081802</v>
      </c>
      <c r="G3552">
        <v>0.61561482544590196</v>
      </c>
      <c r="H3552">
        <v>0.47724568830528502</v>
      </c>
      <c r="I3552">
        <v>0.33339575390513998</v>
      </c>
      <c r="J3552">
        <v>0.51639732435686003</v>
      </c>
      <c r="K3552">
        <v>0.47377689617747198</v>
      </c>
      <c r="L3552">
        <v>1431.94355653668</v>
      </c>
      <c r="M3552">
        <v>27.492301285153399</v>
      </c>
      <c r="N3552">
        <v>56.392625547585702</v>
      </c>
      <c r="O3552">
        <v>51.812016402134702</v>
      </c>
      <c r="P3552">
        <v>-7.4450619725396197E-2</v>
      </c>
      <c r="Q3552">
        <v>0.438766345834532</v>
      </c>
      <c r="R3552">
        <v>0.96156585349383905</v>
      </c>
      <c r="S3552" t="s">
        <v>9954</v>
      </c>
      <c r="T3552" t="s">
        <v>12802</v>
      </c>
      <c r="U3552" t="s">
        <v>12802</v>
      </c>
      <c r="V3552" t="s">
        <v>12802</v>
      </c>
      <c r="W3552" t="s">
        <v>16303</v>
      </c>
      <c r="X3552">
        <v>1</v>
      </c>
      <c r="Y3552" t="s">
        <v>22541</v>
      </c>
      <c r="Z3552" t="s">
        <v>28870</v>
      </c>
      <c r="AA3552">
        <v>0.72515765370478602</v>
      </c>
      <c r="AB3552" t="str">
        <f>HYPERLINK("Melting_Curves/meltCurve_Q15743_GPR68.pdf", "Melting_Curves/meltCurve_Q15743_GPR68.pdf")</f>
        <v>Melting_Curves/meltCurve_Q15743_GPR68.pdf</v>
      </c>
    </row>
    <row r="3553" spans="1:28" x14ac:dyDescent="0.25">
      <c r="A3553" t="s">
        <v>3557</v>
      </c>
      <c r="B3553">
        <v>0.99542014353169495</v>
      </c>
      <c r="C3553">
        <v>0.95711094002883601</v>
      </c>
      <c r="D3553">
        <v>0.73785512577799495</v>
      </c>
      <c r="E3553">
        <v>0.60458965860953795</v>
      </c>
      <c r="F3553">
        <v>0.240219927206369</v>
      </c>
      <c r="G3553">
        <v>0.131798873841692</v>
      </c>
      <c r="H3553">
        <v>5.3335425319077701E-2</v>
      </c>
      <c r="I3553">
        <v>2.8323776382449001E-2</v>
      </c>
      <c r="J3553">
        <v>2.4815400709271601E-2</v>
      </c>
      <c r="K3553">
        <v>2.46255402629936E-2</v>
      </c>
      <c r="L3553">
        <v>707.22435751150897</v>
      </c>
      <c r="M3553">
        <v>15.036427113081301</v>
      </c>
      <c r="N3553">
        <v>47.037243418335102</v>
      </c>
      <c r="O3553">
        <v>46.225673843225699</v>
      </c>
      <c r="P3553">
        <v>-8.1287572420723306E-2</v>
      </c>
      <c r="Q3553">
        <v>5.0781898119309796E-4</v>
      </c>
      <c r="R3553">
        <v>0.99201289211489196</v>
      </c>
      <c r="S3553" t="s">
        <v>9955</v>
      </c>
      <c r="T3553" t="s">
        <v>12802</v>
      </c>
      <c r="U3553" t="s">
        <v>12802</v>
      </c>
      <c r="V3553" t="s">
        <v>12802</v>
      </c>
      <c r="W3553" t="s">
        <v>16304</v>
      </c>
      <c r="X3553">
        <v>2</v>
      </c>
      <c r="Y3553" t="s">
        <v>22542</v>
      </c>
      <c r="Z3553" t="s">
        <v>28871</v>
      </c>
      <c r="AA3553">
        <v>0.35719330592694482</v>
      </c>
      <c r="AB3553" t="str">
        <f>HYPERLINK("Melting_Curves/meltCurve_Q15746_4_MYLK.pdf", "Melting_Curves/meltCurve_Q15746_4_MYLK.pdf")</f>
        <v>Melting_Curves/meltCurve_Q15746_4_MYLK.pdf</v>
      </c>
    </row>
    <row r="3554" spans="1:28" x14ac:dyDescent="0.25">
      <c r="A3554" t="s">
        <v>3558</v>
      </c>
      <c r="B3554">
        <v>0.99542014353169495</v>
      </c>
      <c r="C3554">
        <v>0.96575109281101701</v>
      </c>
      <c r="D3554">
        <v>0.91691521449217295</v>
      </c>
      <c r="E3554">
        <v>0.67312250620250502</v>
      </c>
      <c r="F3554">
        <v>0.241160970200096</v>
      </c>
      <c r="G3554">
        <v>0.13882188022393999</v>
      </c>
      <c r="H3554">
        <v>8.4449956751750793E-2</v>
      </c>
      <c r="I3554">
        <v>5.4124165719590202E-2</v>
      </c>
      <c r="J3554">
        <v>5.91276494040784E-2</v>
      </c>
      <c r="K3554">
        <v>5.8082049740389302E-2</v>
      </c>
      <c r="L3554">
        <v>1166.3019032202301</v>
      </c>
      <c r="M3554">
        <v>24.493864682130599</v>
      </c>
      <c r="N3554">
        <v>47.869319461046103</v>
      </c>
      <c r="O3554">
        <v>47.302090929652103</v>
      </c>
      <c r="P3554">
        <v>-0.121589760075884</v>
      </c>
      <c r="Q3554">
        <v>6.0766098894025899E-2</v>
      </c>
      <c r="R3554">
        <v>0.998018482787839</v>
      </c>
      <c r="S3554" t="s">
        <v>9956</v>
      </c>
      <c r="T3554" t="s">
        <v>12802</v>
      </c>
      <c r="U3554" t="s">
        <v>12802</v>
      </c>
      <c r="V3554" t="s">
        <v>12802</v>
      </c>
      <c r="W3554" t="s">
        <v>16305</v>
      </c>
      <c r="X3554">
        <v>13</v>
      </c>
      <c r="Y3554" t="s">
        <v>22543</v>
      </c>
      <c r="Z3554" t="s">
        <v>28872</v>
      </c>
      <c r="AA3554">
        <v>0.40142181466160531</v>
      </c>
      <c r="AB3554" t="str">
        <f>HYPERLINK("Melting_Curves/meltCurve_Q15750_TAB1.pdf", "Melting_Curves/meltCurve_Q15750_TAB1.pdf")</f>
        <v>Melting_Curves/meltCurve_Q15750_TAB1.pdf</v>
      </c>
    </row>
    <row r="3555" spans="1:28" x14ac:dyDescent="0.25">
      <c r="A3555" t="s">
        <v>3559</v>
      </c>
      <c r="B3555">
        <v>0.99542014353169495</v>
      </c>
      <c r="C3555">
        <v>1.12340672802053</v>
      </c>
      <c r="D3555">
        <v>0.76441044738244501</v>
      </c>
      <c r="E3555">
        <v>0.39794037363358797</v>
      </c>
      <c r="F3555">
        <v>0.221475840771894</v>
      </c>
      <c r="G3555">
        <v>0.155795056634873</v>
      </c>
      <c r="H3555">
        <v>7.4337260120363E-2</v>
      </c>
      <c r="I3555">
        <v>8.6075287256431002E-2</v>
      </c>
      <c r="J3555">
        <v>0</v>
      </c>
      <c r="K3555">
        <v>8.6923821549800204E-2</v>
      </c>
      <c r="L3555">
        <v>1028.7944499948801</v>
      </c>
      <c r="M3555">
        <v>22.606290725634299</v>
      </c>
      <c r="N3555">
        <v>45.848700984142702</v>
      </c>
      <c r="O3555">
        <v>45.157583310443002</v>
      </c>
      <c r="P3555">
        <v>-0.11550968260339101</v>
      </c>
      <c r="Q3555">
        <v>7.7065118820709794E-2</v>
      </c>
      <c r="R3555">
        <v>0.97515587060902198</v>
      </c>
      <c r="S3555" t="s">
        <v>9957</v>
      </c>
      <c r="T3555" t="s">
        <v>12802</v>
      </c>
      <c r="U3555" t="s">
        <v>12802</v>
      </c>
      <c r="V3555" t="s">
        <v>12802</v>
      </c>
      <c r="W3555" t="s">
        <v>16306</v>
      </c>
      <c r="X3555">
        <v>2</v>
      </c>
      <c r="Y3555" t="s">
        <v>22544</v>
      </c>
      <c r="Z3555" t="s">
        <v>28873</v>
      </c>
      <c r="AA3555">
        <v>0.34822006963207508</v>
      </c>
      <c r="AB3555" t="str">
        <f>HYPERLINK("Melting_Curves/meltCurve_Q15751_HERC1.pdf", "Melting_Curves/meltCurve_Q15751_HERC1.pdf")</f>
        <v>Melting_Curves/meltCurve_Q15751_HERC1.pdf</v>
      </c>
    </row>
    <row r="3556" spans="1:28" x14ac:dyDescent="0.25">
      <c r="A3556" t="s">
        <v>3560</v>
      </c>
      <c r="B3556">
        <v>0.99542014353169495</v>
      </c>
      <c r="C3556">
        <v>0.96332057778020097</v>
      </c>
      <c r="D3556">
        <v>0.90797044085539302</v>
      </c>
      <c r="E3556">
        <v>0.88547211236752799</v>
      </c>
      <c r="F3556">
        <v>0.738445229842283</v>
      </c>
      <c r="G3556">
        <v>0.53666173338408396</v>
      </c>
      <c r="H3556">
        <v>0.47774817809346898</v>
      </c>
      <c r="I3556">
        <v>0.45955727629444598</v>
      </c>
      <c r="J3556">
        <v>0.81793625011448201</v>
      </c>
      <c r="K3556">
        <v>1.1109457405679299</v>
      </c>
      <c r="L3556">
        <v>1578.9389103906201</v>
      </c>
      <c r="M3556">
        <v>33.539897663547997</v>
      </c>
      <c r="O3556">
        <v>46.910033223391899</v>
      </c>
      <c r="P3556">
        <v>-5.6451811824826101E-2</v>
      </c>
      <c r="Q3556">
        <v>0.68417970761500602</v>
      </c>
      <c r="R3556">
        <v>0.31253176355446999</v>
      </c>
      <c r="S3556" t="s">
        <v>9958</v>
      </c>
      <c r="T3556" t="s">
        <v>12802</v>
      </c>
      <c r="U3556" t="s">
        <v>12802</v>
      </c>
      <c r="V3556" t="s">
        <v>12802</v>
      </c>
      <c r="W3556" t="s">
        <v>16307</v>
      </c>
      <c r="X3556">
        <v>17</v>
      </c>
      <c r="Y3556" t="s">
        <v>22545</v>
      </c>
      <c r="Z3556" t="s">
        <v>28874</v>
      </c>
      <c r="AA3556">
        <v>0.79172492413763063</v>
      </c>
      <c r="AB3556" t="str">
        <f>HYPERLINK("Melting_Curves/meltCurve_Q15758_SLC1A5.pdf", "Melting_Curves/meltCurve_Q15758_SLC1A5.pdf")</f>
        <v>Melting_Curves/meltCurve_Q15758_SLC1A5.pdf</v>
      </c>
    </row>
    <row r="3557" spans="1:28" x14ac:dyDescent="0.25">
      <c r="A3557" t="s">
        <v>3561</v>
      </c>
      <c r="B3557">
        <v>0.99542014353169495</v>
      </c>
      <c r="C3557">
        <v>1.18788301717567</v>
      </c>
      <c r="D3557">
        <v>0.96736028026258503</v>
      </c>
      <c r="E3557">
        <v>0.87219452160009403</v>
      </c>
      <c r="F3557">
        <v>0.50098421429016105</v>
      </c>
      <c r="G3557">
        <v>0.15776008115613499</v>
      </c>
      <c r="H3557">
        <v>8.0898708920737097E-2</v>
      </c>
      <c r="I3557">
        <v>7.4108344662534506E-2</v>
      </c>
      <c r="J3557">
        <v>3.5645283453041597E-2</v>
      </c>
      <c r="K3557">
        <v>4.4645507940087703E-2</v>
      </c>
      <c r="L3557">
        <v>1340.31158115527</v>
      </c>
      <c r="M3557">
        <v>26.826921092021301</v>
      </c>
      <c r="N3557">
        <v>50.146317871120097</v>
      </c>
      <c r="O3557">
        <v>49.686298571338497</v>
      </c>
      <c r="P3557">
        <v>-0.12862708277836399</v>
      </c>
      <c r="Q3557">
        <v>4.7085771987477897E-2</v>
      </c>
      <c r="R3557">
        <v>0.98122257003072699</v>
      </c>
      <c r="S3557" t="s">
        <v>9959</v>
      </c>
      <c r="T3557" t="s">
        <v>12802</v>
      </c>
      <c r="U3557" t="s">
        <v>12802</v>
      </c>
      <c r="V3557" t="s">
        <v>12802</v>
      </c>
      <c r="W3557" t="s">
        <v>16308</v>
      </c>
      <c r="X3557">
        <v>1</v>
      </c>
      <c r="Y3557" t="s">
        <v>22546</v>
      </c>
      <c r="Z3557" t="s">
        <v>28875</v>
      </c>
      <c r="AA3557">
        <v>0.46606368747432392</v>
      </c>
      <c r="AB3557" t="str">
        <f>HYPERLINK("Melting_Curves/meltCurve_Q15759_MAPK11.pdf", "Melting_Curves/meltCurve_Q15759_MAPK11.pdf")</f>
        <v>Melting_Curves/meltCurve_Q15759_MAPK11.pdf</v>
      </c>
    </row>
    <row r="3558" spans="1:28" x14ac:dyDescent="0.25">
      <c r="A3558" t="s">
        <v>3562</v>
      </c>
      <c r="B3558">
        <v>0.99542014353169495</v>
      </c>
      <c r="C3558">
        <v>1.0491620282783101</v>
      </c>
      <c r="D3558">
        <v>0.89993277899190904</v>
      </c>
      <c r="E3558">
        <v>0.73991791900090298</v>
      </c>
      <c r="F3558">
        <v>0.459756217800387</v>
      </c>
      <c r="G3558">
        <v>0.346153894781003</v>
      </c>
      <c r="H3558">
        <v>0.18154599793287299</v>
      </c>
      <c r="I3558">
        <v>0.14783546862831201</v>
      </c>
      <c r="J3558">
        <v>0.12833007337010599</v>
      </c>
      <c r="K3558">
        <v>0.13900021556183001</v>
      </c>
      <c r="L3558">
        <v>771.57880762581794</v>
      </c>
      <c r="M3558">
        <v>15.691417480671101</v>
      </c>
      <c r="N3558">
        <v>50.009071348414999</v>
      </c>
      <c r="O3558">
        <v>48.394174345341803</v>
      </c>
      <c r="P3558">
        <v>-7.1704877728534594E-2</v>
      </c>
      <c r="Q3558">
        <v>0.11548982672845</v>
      </c>
      <c r="R3558">
        <v>0.99291019618393495</v>
      </c>
      <c r="S3558" t="s">
        <v>9960</v>
      </c>
      <c r="T3558" t="s">
        <v>12802</v>
      </c>
      <c r="U3558" t="s">
        <v>12802</v>
      </c>
      <c r="V3558" t="s">
        <v>12802</v>
      </c>
      <c r="W3558" t="s">
        <v>16309</v>
      </c>
      <c r="X3558">
        <v>2</v>
      </c>
      <c r="Y3558" t="s">
        <v>22547</v>
      </c>
      <c r="Z3558" t="s">
        <v>28876</v>
      </c>
      <c r="AA3558">
        <v>0.4920130578458724</v>
      </c>
      <c r="AB3558" t="str">
        <f>HYPERLINK("Melting_Curves/meltCurve_Q15773_MLF2.pdf", "Melting_Curves/meltCurve_Q15773_MLF2.pdf")</f>
        <v>Melting_Curves/meltCurve_Q15773_MLF2.pdf</v>
      </c>
    </row>
    <row r="3559" spans="1:28" x14ac:dyDescent="0.25">
      <c r="A3559" t="s">
        <v>3563</v>
      </c>
      <c r="B3559">
        <v>0.99542014353169495</v>
      </c>
      <c r="C3559">
        <v>0.97010229501140699</v>
      </c>
      <c r="D3559">
        <v>0.87723075207472601</v>
      </c>
      <c r="E3559">
        <v>0.47029705507087999</v>
      </c>
      <c r="F3559">
        <v>0.137618568992804</v>
      </c>
      <c r="G3559">
        <v>7.8583416813102797E-2</v>
      </c>
      <c r="H3559">
        <v>5.24748319534733E-2</v>
      </c>
      <c r="I3559">
        <v>3.5785370575682297E-2</v>
      </c>
      <c r="J3559">
        <v>3.9512581595259499E-2</v>
      </c>
      <c r="K3559">
        <v>4.01679076976924E-2</v>
      </c>
      <c r="L3559">
        <v>1192.37652725916</v>
      </c>
      <c r="M3559">
        <v>25.814568063852601</v>
      </c>
      <c r="N3559">
        <v>46.3434451325016</v>
      </c>
      <c r="O3559">
        <v>45.915563499179903</v>
      </c>
      <c r="P3559">
        <v>-0.134801234247656</v>
      </c>
      <c r="Q3559">
        <v>4.0944695565361698E-2</v>
      </c>
      <c r="R3559">
        <v>0.99961516795159899</v>
      </c>
      <c r="S3559" t="s">
        <v>9961</v>
      </c>
      <c r="T3559" t="s">
        <v>12802</v>
      </c>
      <c r="U3559" t="s">
        <v>12802</v>
      </c>
      <c r="V3559" t="s">
        <v>12802</v>
      </c>
      <c r="W3559" t="s">
        <v>16310</v>
      </c>
      <c r="X3559">
        <v>20</v>
      </c>
      <c r="Y3559" t="s">
        <v>22548</v>
      </c>
      <c r="Z3559" t="s">
        <v>28877</v>
      </c>
      <c r="AA3559">
        <v>0.34219781800609889</v>
      </c>
      <c r="AB3559" t="str">
        <f>HYPERLINK("Melting_Curves/meltCurve_Q15785_TOMM34.pdf", "Melting_Curves/meltCurve_Q15785_TOMM34.pdf")</f>
        <v>Melting_Curves/meltCurve_Q15785_TOMM34.pdf</v>
      </c>
    </row>
    <row r="3560" spans="1:28" x14ac:dyDescent="0.25">
      <c r="A3560" t="s">
        <v>3564</v>
      </c>
      <c r="B3560">
        <v>0.99542014353169495</v>
      </c>
      <c r="C3560">
        <v>0.99663166450566698</v>
      </c>
      <c r="D3560">
        <v>0.92940513283142001</v>
      </c>
      <c r="E3560">
        <v>0.77788158056954404</v>
      </c>
      <c r="F3560">
        <v>0.37391770221199799</v>
      </c>
      <c r="G3560">
        <v>0.183710466906608</v>
      </c>
      <c r="H3560">
        <v>9.8105132534971301E-2</v>
      </c>
      <c r="I3560">
        <v>7.6582623490210194E-2</v>
      </c>
      <c r="J3560">
        <v>8.6887563950399205E-2</v>
      </c>
      <c r="K3560">
        <v>9.6390744856359303E-2</v>
      </c>
      <c r="L3560">
        <v>1138.15273199332</v>
      </c>
      <c r="M3560">
        <v>23.3750541660572</v>
      </c>
      <c r="N3560">
        <v>49.063955160337201</v>
      </c>
      <c r="O3560">
        <v>48.338736790917501</v>
      </c>
      <c r="P3560">
        <v>-0.111051192115703</v>
      </c>
      <c r="Q3560">
        <v>8.1417069812478607E-2</v>
      </c>
      <c r="R3560">
        <v>0.99872311000784997</v>
      </c>
      <c r="S3560" t="s">
        <v>9962</v>
      </c>
      <c r="T3560" t="s">
        <v>12802</v>
      </c>
      <c r="U3560" t="s">
        <v>12802</v>
      </c>
      <c r="V3560" t="s">
        <v>12802</v>
      </c>
      <c r="W3560" t="s">
        <v>16311</v>
      </c>
      <c r="X3560">
        <v>9</v>
      </c>
      <c r="Y3560" t="s">
        <v>22549</v>
      </c>
      <c r="Z3560" t="s">
        <v>28878</v>
      </c>
      <c r="AA3560">
        <v>0.44839342783393021</v>
      </c>
      <c r="AB3560" t="str">
        <f>HYPERLINK("Melting_Curves/meltCurve_Q15796_2_SMAD2.pdf", "Melting_Curves/meltCurve_Q15796_2_SMAD2.pdf")</f>
        <v>Melting_Curves/meltCurve_Q15796_2_SMAD2.pdf</v>
      </c>
    </row>
    <row r="3561" spans="1:28" x14ac:dyDescent="0.25">
      <c r="A3561" t="s">
        <v>3565</v>
      </c>
      <c r="B3561">
        <v>0.99542014353169495</v>
      </c>
      <c r="C3561">
        <v>0.89042771418906597</v>
      </c>
      <c r="D3561">
        <v>0.94419041212134103</v>
      </c>
      <c r="E3561">
        <v>0.89701287941154495</v>
      </c>
      <c r="F3561">
        <v>0.73321591372304495</v>
      </c>
      <c r="G3561">
        <v>0.53424638829617399</v>
      </c>
      <c r="H3561">
        <v>0.39309001595473603</v>
      </c>
      <c r="I3561">
        <v>0.28209783930953097</v>
      </c>
      <c r="J3561">
        <v>0.15335455597737399</v>
      </c>
      <c r="K3561">
        <v>9.6639869585594798E-2</v>
      </c>
      <c r="L3561">
        <v>593.46564151471398</v>
      </c>
      <c r="M3561">
        <v>10.822501105705699</v>
      </c>
      <c r="N3561">
        <v>54.836266428841199</v>
      </c>
      <c r="O3561">
        <v>53.0636151864082</v>
      </c>
      <c r="P3561">
        <v>-5.1006647279199097E-2</v>
      </c>
      <c r="Q3561">
        <v>0</v>
      </c>
      <c r="R3561">
        <v>0.98895422547691303</v>
      </c>
      <c r="S3561" t="s">
        <v>9963</v>
      </c>
      <c r="T3561" t="s">
        <v>12802</v>
      </c>
      <c r="U3561" t="s">
        <v>12802</v>
      </c>
      <c r="V3561" t="s">
        <v>12802</v>
      </c>
      <c r="W3561" t="s">
        <v>16312</v>
      </c>
      <c r="X3561">
        <v>2</v>
      </c>
      <c r="Y3561" t="s">
        <v>22550</v>
      </c>
      <c r="Z3561" t="s">
        <v>28879</v>
      </c>
      <c r="AA3561">
        <v>0.60864950691065667</v>
      </c>
      <c r="AB3561" t="str">
        <f>HYPERLINK("Melting_Curves/meltCurve_Q15800_2_MSMO1.pdf", "Melting_Curves/meltCurve_Q15800_2_MSMO1.pdf")</f>
        <v>Melting_Curves/meltCurve_Q15800_2_MSMO1.pdf</v>
      </c>
    </row>
    <row r="3562" spans="1:28" x14ac:dyDescent="0.25">
      <c r="A3562" t="s">
        <v>3566</v>
      </c>
      <c r="B3562">
        <v>0.99542014353169495</v>
      </c>
      <c r="C3562">
        <v>1.02407676898346</v>
      </c>
      <c r="D3562">
        <v>0.95263422949245302</v>
      </c>
      <c r="E3562">
        <v>0.89015926437021298</v>
      </c>
      <c r="F3562">
        <v>0.61793874671153604</v>
      </c>
      <c r="G3562">
        <v>0.28236755295061999</v>
      </c>
      <c r="H3562">
        <v>0.135143591458702</v>
      </c>
      <c r="I3562">
        <v>7.7908571958545794E-2</v>
      </c>
      <c r="J3562">
        <v>7.9823024446993698E-2</v>
      </c>
      <c r="K3562">
        <v>7.3695054196626197E-2</v>
      </c>
      <c r="L3562">
        <v>1117.8293323297801</v>
      </c>
      <c r="M3562">
        <v>21.9311870939719</v>
      </c>
      <c r="N3562">
        <v>51.284086755531298</v>
      </c>
      <c r="O3562">
        <v>50.5517520895079</v>
      </c>
      <c r="P3562">
        <v>-0.101642652637601</v>
      </c>
      <c r="Q3562">
        <v>6.2869221165392605E-2</v>
      </c>
      <c r="R3562">
        <v>0.99876199707795499</v>
      </c>
      <c r="S3562" t="s">
        <v>9964</v>
      </c>
      <c r="T3562" t="s">
        <v>12802</v>
      </c>
      <c r="U3562" t="s">
        <v>12802</v>
      </c>
      <c r="V3562" t="s">
        <v>12802</v>
      </c>
      <c r="W3562" t="s">
        <v>16313</v>
      </c>
      <c r="X3562">
        <v>15</v>
      </c>
      <c r="Y3562" t="s">
        <v>22551</v>
      </c>
      <c r="Z3562" t="s">
        <v>28880</v>
      </c>
      <c r="AA3562">
        <v>0.50973412027416731</v>
      </c>
      <c r="AB3562" t="str">
        <f>HYPERLINK("Melting_Curves/meltCurve_Q15814_TBCC.pdf", "Melting_Curves/meltCurve_Q15814_TBCC.pdf")</f>
        <v>Melting_Curves/meltCurve_Q15814_TBCC.pdf</v>
      </c>
    </row>
    <row r="3563" spans="1:28" x14ac:dyDescent="0.25">
      <c r="A3563" t="s">
        <v>3567</v>
      </c>
      <c r="B3563">
        <v>0.99542014353169495</v>
      </c>
      <c r="C3563">
        <v>1.0303438534077201</v>
      </c>
      <c r="D3563">
        <v>1.01019393860618</v>
      </c>
      <c r="E3563">
        <v>1.0097525931040101</v>
      </c>
      <c r="F3563">
        <v>0.73689224383531304</v>
      </c>
      <c r="G3563">
        <v>0.34458852576722598</v>
      </c>
      <c r="H3563">
        <v>8.0088047169286206E-2</v>
      </c>
      <c r="I3563">
        <v>4.9409195956852302E-2</v>
      </c>
      <c r="J3563">
        <v>4.8804531587464103E-2</v>
      </c>
      <c r="K3563">
        <v>5.2417395463924703E-2</v>
      </c>
      <c r="L3563">
        <v>1481.82611431692</v>
      </c>
      <c r="M3563">
        <v>28.416598203198301</v>
      </c>
      <c r="N3563">
        <v>52.295694883331699</v>
      </c>
      <c r="O3563">
        <v>51.890306100095003</v>
      </c>
      <c r="P3563">
        <v>-0.13157794732056499</v>
      </c>
      <c r="Q3563">
        <v>3.8932927666378098E-2</v>
      </c>
      <c r="R3563">
        <v>0.997525063904248</v>
      </c>
      <c r="S3563" t="s">
        <v>9965</v>
      </c>
      <c r="T3563" t="s">
        <v>12802</v>
      </c>
      <c r="U3563" t="s">
        <v>12802</v>
      </c>
      <c r="V3563" t="s">
        <v>12802</v>
      </c>
      <c r="W3563" t="s">
        <v>16314</v>
      </c>
      <c r="X3563">
        <v>14</v>
      </c>
      <c r="Y3563" t="s">
        <v>22552</v>
      </c>
      <c r="Z3563" t="s">
        <v>28881</v>
      </c>
      <c r="AA3563">
        <v>0.53089031696355538</v>
      </c>
      <c r="AB3563" t="str">
        <f>HYPERLINK("Melting_Curves/meltCurve_Q15819_UBE2V2.pdf", "Melting_Curves/meltCurve_Q15819_UBE2V2.pdf")</f>
        <v>Melting_Curves/meltCurve_Q15819_UBE2V2.pdf</v>
      </c>
    </row>
    <row r="3564" spans="1:28" x14ac:dyDescent="0.25">
      <c r="A3564" t="s">
        <v>3568</v>
      </c>
      <c r="B3564">
        <v>0.99542014353169495</v>
      </c>
      <c r="C3564">
        <v>0.87916754498105498</v>
      </c>
      <c r="D3564">
        <v>0.82114475135492704</v>
      </c>
      <c r="E3564">
        <v>0.82811913748022004</v>
      </c>
      <c r="F3564">
        <v>0.87135493464274105</v>
      </c>
      <c r="G3564">
        <v>0.78017396821842999</v>
      </c>
      <c r="H3564">
        <v>0.72429949080176104</v>
      </c>
      <c r="I3564">
        <v>0.45504138165046698</v>
      </c>
      <c r="J3564">
        <v>0.25215225252940798</v>
      </c>
      <c r="K3564">
        <v>0.10676363140153999</v>
      </c>
      <c r="L3564">
        <v>783.77423807990999</v>
      </c>
      <c r="M3564">
        <v>13.1533868067116</v>
      </c>
      <c r="N3564">
        <v>59.587256859363698</v>
      </c>
      <c r="O3564">
        <v>58.260459233157</v>
      </c>
      <c r="P3564">
        <v>-5.6451710193872698E-2</v>
      </c>
      <c r="Q3564">
        <v>0</v>
      </c>
      <c r="R3564">
        <v>0.88905368226485904</v>
      </c>
      <c r="S3564" t="s">
        <v>9966</v>
      </c>
      <c r="T3564" t="s">
        <v>12802</v>
      </c>
      <c r="U3564" t="s">
        <v>12802</v>
      </c>
      <c r="V3564" t="s">
        <v>12802</v>
      </c>
      <c r="W3564" t="s">
        <v>16315</v>
      </c>
      <c r="X3564">
        <v>4</v>
      </c>
      <c r="Y3564" t="s">
        <v>22553</v>
      </c>
      <c r="Z3564" t="s">
        <v>28882</v>
      </c>
      <c r="AA3564">
        <v>0.74408784378465853</v>
      </c>
      <c r="AB3564" t="str">
        <f>HYPERLINK("Melting_Curves/meltCurve_Q15831_STK11.pdf", "Melting_Curves/meltCurve_Q15831_STK11.pdf")</f>
        <v>Melting_Curves/meltCurve_Q15831_STK11.pdf</v>
      </c>
    </row>
    <row r="3565" spans="1:28" x14ac:dyDescent="0.25">
      <c r="A3565" t="s">
        <v>3569</v>
      </c>
      <c r="B3565">
        <v>0.99542014353169495</v>
      </c>
      <c r="C3565">
        <v>0.99697737512319295</v>
      </c>
      <c r="D3565">
        <v>0.95263408593505805</v>
      </c>
      <c r="E3565">
        <v>0.52491666517671098</v>
      </c>
      <c r="F3565">
        <v>0.133659579434068</v>
      </c>
      <c r="G3565">
        <v>8.4751007959254498E-2</v>
      </c>
      <c r="H3565">
        <v>5.4079068949904698E-2</v>
      </c>
      <c r="I3565">
        <v>3.8953730181110903E-2</v>
      </c>
      <c r="J3565">
        <v>4.39343144409036E-2</v>
      </c>
      <c r="K3565">
        <v>4.2958151628955298E-2</v>
      </c>
      <c r="L3565">
        <v>1533.3674474361001</v>
      </c>
      <c r="M3565">
        <v>32.891278551301497</v>
      </c>
      <c r="N3565">
        <v>46.768928165478002</v>
      </c>
      <c r="O3565">
        <v>46.447958189995902</v>
      </c>
      <c r="P3565">
        <v>-0.16819121032613199</v>
      </c>
      <c r="Q3565">
        <v>4.99484490219987E-2</v>
      </c>
      <c r="R3565">
        <v>0.99949206070166396</v>
      </c>
      <c r="S3565" t="s">
        <v>9967</v>
      </c>
      <c r="T3565" t="s">
        <v>12802</v>
      </c>
      <c r="U3565" t="s">
        <v>12802</v>
      </c>
      <c r="V3565" t="s">
        <v>12802</v>
      </c>
      <c r="W3565" t="s">
        <v>16316</v>
      </c>
      <c r="X3565">
        <v>26</v>
      </c>
      <c r="Y3565" t="s">
        <v>22554</v>
      </c>
      <c r="Z3565" t="s">
        <v>28883</v>
      </c>
      <c r="AA3565">
        <v>0.35912455215837902</v>
      </c>
      <c r="AB3565" t="str">
        <f>HYPERLINK("Melting_Curves/meltCurve_Q15833_STXBP2.pdf", "Melting_Curves/meltCurve_Q15833_STXBP2.pdf")</f>
        <v>Melting_Curves/meltCurve_Q15833_STXBP2.pdf</v>
      </c>
    </row>
    <row r="3566" spans="1:28" x14ac:dyDescent="0.25">
      <c r="A3566" t="s">
        <v>3570</v>
      </c>
      <c r="B3566">
        <v>0.99542014353169495</v>
      </c>
      <c r="C3566">
        <v>1.0269710917353601</v>
      </c>
      <c r="D3566">
        <v>1.01876230594799</v>
      </c>
      <c r="E3566">
        <v>0.92360970844541002</v>
      </c>
      <c r="F3566">
        <v>0.83464677973686596</v>
      </c>
      <c r="G3566">
        <v>0.595947527944091</v>
      </c>
      <c r="H3566">
        <v>0.55240507730885902</v>
      </c>
      <c r="I3566">
        <v>0.55352216846814795</v>
      </c>
      <c r="J3566">
        <v>0.812824868522533</v>
      </c>
      <c r="K3566">
        <v>0.96500823968893501</v>
      </c>
      <c r="L3566">
        <v>12541.1781871232</v>
      </c>
      <c r="M3566">
        <v>250</v>
      </c>
      <c r="O3566">
        <v>50.1614942932503</v>
      </c>
      <c r="P3566">
        <v>-0.378849327288027</v>
      </c>
      <c r="Q3566">
        <v>0.69594157634146103</v>
      </c>
      <c r="R3566">
        <v>0.57348253496656099</v>
      </c>
      <c r="S3566" t="s">
        <v>9968</v>
      </c>
      <c r="T3566" t="s">
        <v>12802</v>
      </c>
      <c r="U3566" t="s">
        <v>12802</v>
      </c>
      <c r="V3566" t="s">
        <v>12802</v>
      </c>
      <c r="W3566" t="s">
        <v>16317</v>
      </c>
      <c r="X3566">
        <v>6</v>
      </c>
      <c r="Y3566" t="s">
        <v>22555</v>
      </c>
      <c r="Z3566" t="s">
        <v>28884</v>
      </c>
      <c r="AA3566">
        <v>0.82939640533265513</v>
      </c>
      <c r="AB3566" t="str">
        <f>HYPERLINK("Melting_Curves/meltCurve_Q15836_VAMP3.pdf", "Melting_Curves/meltCurve_Q15836_VAMP3.pdf")</f>
        <v>Melting_Curves/meltCurve_Q15836_VAMP3.pdf</v>
      </c>
    </row>
    <row r="3567" spans="1:28" x14ac:dyDescent="0.25">
      <c r="A3567" t="s">
        <v>3571</v>
      </c>
      <c r="B3567">
        <v>0.99542014353169495</v>
      </c>
      <c r="C3567">
        <v>0.88507679598109301</v>
      </c>
      <c r="D3567">
        <v>0.97057461437703296</v>
      </c>
      <c r="E3567">
        <v>0.815460325297372</v>
      </c>
      <c r="F3567">
        <v>0.55146446903464796</v>
      </c>
      <c r="G3567">
        <v>0.25005670100926097</v>
      </c>
      <c r="H3567">
        <v>9.1893768778009699E-2</v>
      </c>
      <c r="I3567">
        <v>4.4759567423361797E-2</v>
      </c>
      <c r="J3567">
        <v>5.1211241561770302E-2</v>
      </c>
      <c r="K3567">
        <v>3.3039626272909101E-2</v>
      </c>
      <c r="L3567">
        <v>927.04623852298505</v>
      </c>
      <c r="M3567">
        <v>18.361191445245701</v>
      </c>
      <c r="N3567">
        <v>50.570453404332</v>
      </c>
      <c r="O3567">
        <v>49.901968972418501</v>
      </c>
      <c r="P3567">
        <v>-9.0657250457273797E-2</v>
      </c>
      <c r="Q3567">
        <v>1.4493238041253201E-2</v>
      </c>
      <c r="R3567">
        <v>0.99172528381622405</v>
      </c>
      <c r="S3567" t="s">
        <v>9969</v>
      </c>
      <c r="T3567" t="s">
        <v>12802</v>
      </c>
      <c r="U3567" t="s">
        <v>12802</v>
      </c>
      <c r="V3567" t="s">
        <v>12802</v>
      </c>
      <c r="W3567" t="s">
        <v>16318</v>
      </c>
      <c r="X3567">
        <v>6</v>
      </c>
      <c r="Y3567" t="s">
        <v>22556</v>
      </c>
      <c r="Z3567" t="s">
        <v>28885</v>
      </c>
      <c r="AA3567">
        <v>0.47256090041177951</v>
      </c>
      <c r="AB3567" t="str">
        <f>HYPERLINK("Melting_Curves/meltCurve_Q15904_ATP6AP1.pdf", "Melting_Curves/meltCurve_Q15904_ATP6AP1.pdf")</f>
        <v>Melting_Curves/meltCurve_Q15904_ATP6AP1.pdf</v>
      </c>
    </row>
    <row r="3568" spans="1:28" x14ac:dyDescent="0.25">
      <c r="A3568" t="s">
        <v>3572</v>
      </c>
      <c r="B3568">
        <v>0.99542014353169495</v>
      </c>
      <c r="C3568">
        <v>0.85115816433147595</v>
      </c>
      <c r="D3568">
        <v>0.92744929725843706</v>
      </c>
      <c r="E3568">
        <v>0.57463962692416004</v>
      </c>
      <c r="F3568">
        <v>0.271541145955706</v>
      </c>
      <c r="G3568">
        <v>0.15879209727374599</v>
      </c>
      <c r="H3568">
        <v>8.3352080035562395E-2</v>
      </c>
      <c r="I3568">
        <v>5.5343042752590201E-2</v>
      </c>
      <c r="J3568">
        <v>6.2223520257852001E-2</v>
      </c>
      <c r="K3568">
        <v>5.2428437143409501E-2</v>
      </c>
      <c r="L3568">
        <v>876.15341444754597</v>
      </c>
      <c r="M3568">
        <v>18.555532027841</v>
      </c>
      <c r="N3568">
        <v>47.489132564468399</v>
      </c>
      <c r="O3568">
        <v>46.679745993912199</v>
      </c>
      <c r="P3568">
        <v>-9.4384567384635201E-2</v>
      </c>
      <c r="Q3568">
        <v>5.0276843641846702E-2</v>
      </c>
      <c r="R3568">
        <v>0.98682746580702096</v>
      </c>
      <c r="S3568" t="s">
        <v>9970</v>
      </c>
      <c r="T3568" t="s">
        <v>12802</v>
      </c>
      <c r="U3568" t="s">
        <v>12802</v>
      </c>
      <c r="V3568" t="s">
        <v>12802</v>
      </c>
      <c r="W3568" t="s">
        <v>16319</v>
      </c>
      <c r="X3568">
        <v>2</v>
      </c>
      <c r="Y3568" t="s">
        <v>22557</v>
      </c>
      <c r="Z3568" t="s">
        <v>28886</v>
      </c>
      <c r="AA3568">
        <v>0.38812527597251051</v>
      </c>
      <c r="AB3568" t="str">
        <f>HYPERLINK("Melting_Curves/meltCurve_Q15906_VPS72.pdf", "Melting_Curves/meltCurve_Q15906_VPS72.pdf")</f>
        <v>Melting_Curves/meltCurve_Q15906_VPS72.pdf</v>
      </c>
    </row>
    <row r="3569" spans="1:28" x14ac:dyDescent="0.25">
      <c r="A3569" t="s">
        <v>3573</v>
      </c>
      <c r="B3569">
        <v>0.99542014353169495</v>
      </c>
      <c r="C3569">
        <v>1.0169457619059199</v>
      </c>
      <c r="D3569">
        <v>0.90995347009602701</v>
      </c>
      <c r="E3569">
        <v>0.88126499245474799</v>
      </c>
      <c r="F3569">
        <v>0.75102605787756505</v>
      </c>
      <c r="G3569">
        <v>0.69073208101335004</v>
      </c>
      <c r="H3569">
        <v>0.52334926557193295</v>
      </c>
      <c r="I3569">
        <v>0.46013767908723202</v>
      </c>
      <c r="J3569">
        <v>0.49343700086018</v>
      </c>
      <c r="K3569">
        <v>0.23165768007342899</v>
      </c>
      <c r="L3569">
        <v>407.17041977982097</v>
      </c>
      <c r="M3569">
        <v>6.8443216957786897</v>
      </c>
      <c r="N3569">
        <v>59.490251437164197</v>
      </c>
      <c r="O3569">
        <v>55.032457009541702</v>
      </c>
      <c r="P3569">
        <v>-3.1154792829817701E-2</v>
      </c>
      <c r="Q3569">
        <v>0</v>
      </c>
      <c r="R3569">
        <v>0.95747527829028001</v>
      </c>
      <c r="S3569" t="s">
        <v>9971</v>
      </c>
      <c r="T3569" t="s">
        <v>12802</v>
      </c>
      <c r="U3569" t="s">
        <v>12802</v>
      </c>
      <c r="V3569" t="s">
        <v>12802</v>
      </c>
      <c r="W3569" t="s">
        <v>16320</v>
      </c>
      <c r="X3569">
        <v>15</v>
      </c>
      <c r="Y3569" t="s">
        <v>22558</v>
      </c>
      <c r="Z3569" t="s">
        <v>28887</v>
      </c>
      <c r="AA3569">
        <v>0.69943525285662034</v>
      </c>
      <c r="AB3569" t="str">
        <f>HYPERLINK("Melting_Curves/meltCurve_Q15907_RAB11B.pdf", "Melting_Curves/meltCurve_Q15907_RAB11B.pdf")</f>
        <v>Melting_Curves/meltCurve_Q15907_RAB11B.pdf</v>
      </c>
    </row>
    <row r="3570" spans="1:28" x14ac:dyDescent="0.25">
      <c r="A3570" t="s">
        <v>3574</v>
      </c>
      <c r="B3570">
        <v>0.99542014353169495</v>
      </c>
      <c r="C3570">
        <v>0.82070166500313002</v>
      </c>
      <c r="D3570">
        <v>0.72886420564663801</v>
      </c>
      <c r="E3570">
        <v>0.53275707436259001</v>
      </c>
      <c r="F3570">
        <v>0.32807495483834198</v>
      </c>
      <c r="G3570">
        <v>0.17121534478150899</v>
      </c>
      <c r="H3570">
        <v>0.126068093932964</v>
      </c>
      <c r="I3570">
        <v>0.10230016732957301</v>
      </c>
      <c r="J3570">
        <v>0.115225326651378</v>
      </c>
      <c r="K3570">
        <v>0.102837814453605</v>
      </c>
      <c r="L3570">
        <v>558.11769306339295</v>
      </c>
      <c r="M3570">
        <v>12.100910192912901</v>
      </c>
      <c r="N3570">
        <v>46.655024607844602</v>
      </c>
      <c r="O3570">
        <v>44.916561654756997</v>
      </c>
      <c r="P3570">
        <v>-6.3018290172927996E-2</v>
      </c>
      <c r="Q3570">
        <v>6.4564303368576006E-2</v>
      </c>
      <c r="R3570">
        <v>0.99231169415296805</v>
      </c>
      <c r="S3570" t="s">
        <v>9972</v>
      </c>
      <c r="T3570" t="s">
        <v>12802</v>
      </c>
      <c r="U3570" t="s">
        <v>12802</v>
      </c>
      <c r="V3570" t="s">
        <v>12802</v>
      </c>
      <c r="W3570" t="s">
        <v>16321</v>
      </c>
      <c r="X3570">
        <v>4</v>
      </c>
      <c r="Y3570" t="s">
        <v>22559</v>
      </c>
      <c r="Z3570" t="s">
        <v>28888</v>
      </c>
      <c r="AA3570">
        <v>0.38062045057880078</v>
      </c>
      <c r="AB3570" t="str">
        <f>HYPERLINK("Melting_Curves/meltCurve_Q15910_3_EZH2.pdf", "Melting_Curves/meltCurve_Q15910_3_EZH2.pdf")</f>
        <v>Melting_Curves/meltCurve_Q15910_3_EZH2.pdf</v>
      </c>
    </row>
    <row r="3571" spans="1:28" x14ac:dyDescent="0.25">
      <c r="A3571" t="s">
        <v>3575</v>
      </c>
      <c r="B3571">
        <v>0.99542014353169495</v>
      </c>
      <c r="C3571">
        <v>1.05638516227862</v>
      </c>
      <c r="D3571">
        <v>0.95543859994104197</v>
      </c>
      <c r="E3571">
        <v>0.93806938306076804</v>
      </c>
      <c r="F3571">
        <v>0.79999415943241903</v>
      </c>
      <c r="G3571">
        <v>0.65808005065143904</v>
      </c>
      <c r="H3571">
        <v>0.53885054535757704</v>
      </c>
      <c r="I3571">
        <v>0.52773659845409704</v>
      </c>
      <c r="J3571">
        <v>0.83302636314995204</v>
      </c>
      <c r="K3571">
        <v>1.04844001221049</v>
      </c>
      <c r="L3571">
        <v>1850.14125326363</v>
      </c>
      <c r="M3571">
        <v>38.276017627527601</v>
      </c>
      <c r="O3571">
        <v>48.205454440474703</v>
      </c>
      <c r="P3571">
        <v>-5.4868214623078101E-2</v>
      </c>
      <c r="Q3571">
        <v>0.72359292198557401</v>
      </c>
      <c r="R3571">
        <v>0.442103885167697</v>
      </c>
      <c r="S3571" t="s">
        <v>9973</v>
      </c>
      <c r="T3571" t="s">
        <v>12802</v>
      </c>
      <c r="U3571" t="s">
        <v>12802</v>
      </c>
      <c r="V3571" t="s">
        <v>12802</v>
      </c>
      <c r="W3571" t="s">
        <v>16322</v>
      </c>
      <c r="X3571">
        <v>25</v>
      </c>
      <c r="Y3571" t="s">
        <v>22560</v>
      </c>
      <c r="Z3571" t="s">
        <v>28889</v>
      </c>
      <c r="AA3571">
        <v>0.82905476488846785</v>
      </c>
      <c r="AB3571" t="str">
        <f>HYPERLINK("Melting_Curves/meltCurve_Q15942_ZYX.pdf", "Melting_Curves/meltCurve_Q15942_ZYX.pdf")</f>
        <v>Melting_Curves/meltCurve_Q15942_ZYX.pdf</v>
      </c>
    </row>
    <row r="3572" spans="1:28" x14ac:dyDescent="0.25">
      <c r="A3572" t="s">
        <v>3576</v>
      </c>
      <c r="B3572">
        <v>0.99542014353169495</v>
      </c>
      <c r="C3572">
        <v>0.99091807519780295</v>
      </c>
      <c r="D3572">
        <v>1.0123410746161501</v>
      </c>
      <c r="E3572">
        <v>0.97585604204929199</v>
      </c>
      <c r="F3572">
        <v>0.82591429881152001</v>
      </c>
      <c r="G3572">
        <v>0.6363666891034</v>
      </c>
      <c r="H3572">
        <v>0.14837071010584399</v>
      </c>
      <c r="I3572">
        <v>6.8177026448348804E-2</v>
      </c>
      <c r="J3572">
        <v>5.3347331813124003E-2</v>
      </c>
      <c r="K3572">
        <v>5.9631070522181702E-2</v>
      </c>
      <c r="L3572">
        <v>1497.7815805231101</v>
      </c>
      <c r="M3572">
        <v>27.602169187853399</v>
      </c>
      <c r="N3572">
        <v>54.386976887170398</v>
      </c>
      <c r="O3572">
        <v>53.980760747674303</v>
      </c>
      <c r="P3572">
        <v>-0.123943005441638</v>
      </c>
      <c r="Q3572">
        <v>3.0441850715562501E-2</v>
      </c>
      <c r="R3572">
        <v>0.99139183168279099</v>
      </c>
      <c r="S3572" t="s">
        <v>9974</v>
      </c>
      <c r="T3572" t="s">
        <v>12802</v>
      </c>
      <c r="U3572" t="s">
        <v>12802</v>
      </c>
      <c r="V3572" t="s">
        <v>12802</v>
      </c>
      <c r="W3572" t="s">
        <v>16323</v>
      </c>
      <c r="X3572">
        <v>18</v>
      </c>
      <c r="Y3572" t="s">
        <v>22561</v>
      </c>
      <c r="Z3572" t="s">
        <v>28890</v>
      </c>
      <c r="AA3572">
        <v>0.59551861317622279</v>
      </c>
      <c r="AB3572" t="str">
        <f>HYPERLINK("Melting_Curves/meltCurve_Q16134_ETFDH.pdf", "Melting_Curves/meltCurve_Q16134_ETFDH.pdf")</f>
        <v>Melting_Curves/meltCurve_Q16134_ETFDH.pdf</v>
      </c>
    </row>
    <row r="3573" spans="1:28" x14ac:dyDescent="0.25">
      <c r="A3573" t="s">
        <v>3577</v>
      </c>
      <c r="B3573">
        <v>0.99542014353169495</v>
      </c>
      <c r="C3573">
        <v>0.91978135939155403</v>
      </c>
      <c r="D3573">
        <v>1.04899052471724</v>
      </c>
      <c r="E3573">
        <v>0.88883433678743895</v>
      </c>
      <c r="F3573">
        <v>0.73483885787215097</v>
      </c>
      <c r="G3573">
        <v>0.41220302356426303</v>
      </c>
      <c r="H3573">
        <v>0.104160640576016</v>
      </c>
      <c r="I3573">
        <v>5.2703268955483003E-2</v>
      </c>
      <c r="J3573">
        <v>5.0878617678404903E-2</v>
      </c>
      <c r="K3573">
        <v>5.48942117622453E-2</v>
      </c>
      <c r="L3573">
        <v>1144.68163652661</v>
      </c>
      <c r="M3573">
        <v>21.827618952275401</v>
      </c>
      <c r="N3573">
        <v>52.550847266354999</v>
      </c>
      <c r="O3573">
        <v>52.007700537602901</v>
      </c>
      <c r="P3573">
        <v>-0.102606045680027</v>
      </c>
      <c r="Q3573">
        <v>2.2123422307748299E-2</v>
      </c>
      <c r="R3573">
        <v>0.99030910911187298</v>
      </c>
      <c r="S3573" t="s">
        <v>9975</v>
      </c>
      <c r="T3573" t="s">
        <v>12802</v>
      </c>
      <c r="U3573" t="s">
        <v>12802</v>
      </c>
      <c r="V3573" t="s">
        <v>12802</v>
      </c>
      <c r="W3573" t="s">
        <v>16324</v>
      </c>
      <c r="X3573">
        <v>30</v>
      </c>
      <c r="Y3573" t="s">
        <v>19955</v>
      </c>
      <c r="Z3573" t="s">
        <v>28891</v>
      </c>
      <c r="AA3573">
        <v>0.53637115571868887</v>
      </c>
      <c r="AB3573" t="str">
        <f>HYPERLINK("Melting_Curves/meltCurve_Q16181_SEPT7.pdf", "Melting_Curves/meltCurve_Q16181_SEPT7.pdf")</f>
        <v>Melting_Curves/meltCurve_Q16181_SEPT7.pdf</v>
      </c>
    </row>
    <row r="3574" spans="1:28" x14ac:dyDescent="0.25">
      <c r="A3574" t="s">
        <v>3578</v>
      </c>
      <c r="B3574">
        <v>0.99542014353169495</v>
      </c>
      <c r="C3574">
        <v>0.95550295453051004</v>
      </c>
      <c r="D3574">
        <v>0.89074755920346604</v>
      </c>
      <c r="E3574">
        <v>0.707100638506589</v>
      </c>
      <c r="F3574">
        <v>0.46022446766021402</v>
      </c>
      <c r="G3574">
        <v>0.20905918703367701</v>
      </c>
      <c r="H3574">
        <v>0.115143369019471</v>
      </c>
      <c r="I3574">
        <v>8.9841462983161702E-2</v>
      </c>
      <c r="J3574">
        <v>9.3732449901402198E-2</v>
      </c>
      <c r="K3574">
        <v>9.9132179962487604E-2</v>
      </c>
      <c r="L3574">
        <v>801.02368075752202</v>
      </c>
      <c r="M3574">
        <v>16.403004639932899</v>
      </c>
      <c r="N3574">
        <v>49.248966204818899</v>
      </c>
      <c r="O3574">
        <v>48.125453312334002</v>
      </c>
      <c r="P3574">
        <v>-7.9715207412276404E-2</v>
      </c>
      <c r="Q3574">
        <v>6.4547570178479605E-2</v>
      </c>
      <c r="R3574">
        <v>0.99733292960528797</v>
      </c>
      <c r="S3574" t="s">
        <v>9976</v>
      </c>
      <c r="T3574" t="s">
        <v>12802</v>
      </c>
      <c r="U3574" t="s">
        <v>12802</v>
      </c>
      <c r="V3574" t="s">
        <v>12802</v>
      </c>
      <c r="W3574" t="s">
        <v>16325</v>
      </c>
      <c r="X3574">
        <v>7</v>
      </c>
      <c r="Y3574" t="s">
        <v>22562</v>
      </c>
      <c r="Z3574" t="s">
        <v>28892</v>
      </c>
      <c r="AA3574">
        <v>0.45101459131925759</v>
      </c>
      <c r="AB3574" t="str">
        <f>HYPERLINK("Melting_Curves/meltCurve_Q16186_ADRM1.pdf", "Melting_Curves/meltCurve_Q16186_ADRM1.pdf")</f>
        <v>Melting_Curves/meltCurve_Q16186_ADRM1.pdf</v>
      </c>
    </row>
    <row r="3575" spans="1:28" x14ac:dyDescent="0.25">
      <c r="A3575" t="s">
        <v>3579</v>
      </c>
      <c r="B3575">
        <v>0.99542014353169495</v>
      </c>
      <c r="C3575">
        <v>0.97626350402341899</v>
      </c>
      <c r="D3575">
        <v>0.93064096261729001</v>
      </c>
      <c r="E3575">
        <v>0.84932876428570003</v>
      </c>
      <c r="F3575">
        <v>0.63464113978377401</v>
      </c>
      <c r="G3575">
        <v>0.42056797835106702</v>
      </c>
      <c r="H3575">
        <v>0.23992721825173</v>
      </c>
      <c r="I3575">
        <v>0.15821505303488001</v>
      </c>
      <c r="J3575">
        <v>0.12779231111619399</v>
      </c>
      <c r="K3575">
        <v>0.11116644327905199</v>
      </c>
      <c r="L3575">
        <v>736.77200440642298</v>
      </c>
      <c r="M3575">
        <v>14.236121021196899</v>
      </c>
      <c r="N3575">
        <v>52.294295598878499</v>
      </c>
      <c r="O3575">
        <v>50.764628996135301</v>
      </c>
      <c r="P3575">
        <v>-6.5319442280139306E-2</v>
      </c>
      <c r="Q3575">
        <v>6.8424253382530206E-2</v>
      </c>
      <c r="R3575">
        <v>0.99921718627841005</v>
      </c>
      <c r="S3575" t="s">
        <v>9977</v>
      </c>
      <c r="T3575" t="s">
        <v>12802</v>
      </c>
      <c r="U3575" t="s">
        <v>12802</v>
      </c>
      <c r="V3575" t="s">
        <v>12802</v>
      </c>
      <c r="W3575" t="s">
        <v>16326</v>
      </c>
      <c r="X3575">
        <v>28</v>
      </c>
      <c r="Y3575" t="s">
        <v>22563</v>
      </c>
      <c r="Z3575" t="s">
        <v>28893</v>
      </c>
      <c r="AA3575">
        <v>0.54576383777326964</v>
      </c>
      <c r="AB3575" t="str">
        <f>HYPERLINK("Melting_Curves/meltCurve_Q16204_CCDC6.pdf", "Melting_Curves/meltCurve_Q16204_CCDC6.pdf")</f>
        <v>Melting_Curves/meltCurve_Q16204_CCDC6.pdf</v>
      </c>
    </row>
    <row r="3576" spans="1:28" x14ac:dyDescent="0.25">
      <c r="A3576" t="s">
        <v>3580</v>
      </c>
      <c r="B3576">
        <v>0.99542014353169495</v>
      </c>
      <c r="C3576">
        <v>1.0241947141101599</v>
      </c>
      <c r="D3576">
        <v>1.03138349671989</v>
      </c>
      <c r="E3576">
        <v>1.01070096307096</v>
      </c>
      <c r="F3576">
        <v>0.84198968325526002</v>
      </c>
      <c r="G3576">
        <v>0.69283236326576603</v>
      </c>
      <c r="H3576">
        <v>0.19363591764732799</v>
      </c>
      <c r="I3576">
        <v>5.4461403462721297E-2</v>
      </c>
      <c r="J3576">
        <v>4.2044253691792398E-2</v>
      </c>
      <c r="K3576">
        <v>4.8875336403234201E-2</v>
      </c>
      <c r="L3576">
        <v>1613.9011643803201</v>
      </c>
      <c r="M3576">
        <v>29.445626483701499</v>
      </c>
      <c r="N3576">
        <v>54.894524277528802</v>
      </c>
      <c r="O3576">
        <v>54.5586107009958</v>
      </c>
      <c r="P3576">
        <v>-0.131921090573279</v>
      </c>
      <c r="Q3576">
        <v>2.2281894797572799E-2</v>
      </c>
      <c r="R3576">
        <v>0.99152242142692903</v>
      </c>
      <c r="S3576" t="s">
        <v>9978</v>
      </c>
      <c r="T3576" t="s">
        <v>12802</v>
      </c>
      <c r="U3576" t="s">
        <v>12802</v>
      </c>
      <c r="V3576" t="s">
        <v>12802</v>
      </c>
      <c r="W3576" t="s">
        <v>16327</v>
      </c>
      <c r="X3576">
        <v>27</v>
      </c>
      <c r="Y3576" t="s">
        <v>22564</v>
      </c>
      <c r="Z3576" t="s">
        <v>28894</v>
      </c>
      <c r="AA3576">
        <v>0.60912846001531618</v>
      </c>
      <c r="AB3576" t="str">
        <f>HYPERLINK("Melting_Curves/meltCurve_Q16222_2_UAP1.pdf", "Melting_Curves/meltCurve_Q16222_2_UAP1.pdf")</f>
        <v>Melting_Curves/meltCurve_Q16222_2_UAP1.pdf</v>
      </c>
    </row>
    <row r="3577" spans="1:28" x14ac:dyDescent="0.25">
      <c r="A3577" t="s">
        <v>3581</v>
      </c>
      <c r="B3577">
        <v>0.99542014353169495</v>
      </c>
      <c r="C3577">
        <v>0.99334906860917205</v>
      </c>
      <c r="D3577">
        <v>0.83262279214369594</v>
      </c>
      <c r="E3577">
        <v>0.54470399799040303</v>
      </c>
      <c r="F3577">
        <v>0.25753885291931</v>
      </c>
      <c r="G3577">
        <v>0.15366720655723501</v>
      </c>
      <c r="H3577">
        <v>8.1970856742269907E-2</v>
      </c>
      <c r="I3577">
        <v>5.2782883418154201E-2</v>
      </c>
      <c r="J3577">
        <v>2.5274932119135601E-2</v>
      </c>
      <c r="K3577">
        <v>4.45900739102493E-2</v>
      </c>
      <c r="L3577">
        <v>831.91010771849699</v>
      </c>
      <c r="M3577">
        <v>17.733544942085601</v>
      </c>
      <c r="N3577">
        <v>47.124124898416802</v>
      </c>
      <c r="O3577">
        <v>46.3273178139602</v>
      </c>
      <c r="P3577">
        <v>-9.2025170740909198E-2</v>
      </c>
      <c r="Q3577">
        <v>3.8419766023580902E-2</v>
      </c>
      <c r="R3577">
        <v>0.998315421910415</v>
      </c>
      <c r="S3577" t="s">
        <v>9979</v>
      </c>
      <c r="T3577" t="s">
        <v>12802</v>
      </c>
      <c r="U3577" t="s">
        <v>12802</v>
      </c>
      <c r="V3577" t="s">
        <v>12802</v>
      </c>
      <c r="W3577" t="s">
        <v>16328</v>
      </c>
      <c r="X3577">
        <v>2</v>
      </c>
      <c r="Y3577" t="s">
        <v>22565</v>
      </c>
      <c r="Z3577" t="s">
        <v>28895</v>
      </c>
      <c r="AA3577">
        <v>0.37200555910262612</v>
      </c>
      <c r="AB3577" t="str">
        <f>HYPERLINK("Melting_Curves/meltCurve_Q16254_E2F4.pdf", "Melting_Curves/meltCurve_Q16254_E2F4.pdf")</f>
        <v>Melting_Curves/meltCurve_Q16254_E2F4.pdf</v>
      </c>
    </row>
    <row r="3578" spans="1:28" x14ac:dyDescent="0.25">
      <c r="A3578" t="s">
        <v>3582</v>
      </c>
      <c r="B3578">
        <v>0.99542014353169495</v>
      </c>
      <c r="C3578">
        <v>0.91086551774065705</v>
      </c>
      <c r="D3578">
        <v>0.96451374809796298</v>
      </c>
      <c r="E3578">
        <v>0.85555942767966398</v>
      </c>
      <c r="F3578">
        <v>0.76325831371369601</v>
      </c>
      <c r="G3578">
        <v>0.58454529184279103</v>
      </c>
      <c r="H3578">
        <v>0.45845850035560998</v>
      </c>
      <c r="I3578">
        <v>0.37270294246043401</v>
      </c>
      <c r="J3578">
        <v>0.39970381180846998</v>
      </c>
      <c r="K3578">
        <v>0.20853282169199999</v>
      </c>
      <c r="L3578">
        <v>483.49831263390598</v>
      </c>
      <c r="M3578">
        <v>8.74093587499409</v>
      </c>
      <c r="N3578">
        <v>56.846653323487502</v>
      </c>
      <c r="O3578">
        <v>52.648106798244001</v>
      </c>
      <c r="P3578">
        <v>-3.7179939454342302E-2</v>
      </c>
      <c r="Q3578">
        <v>0.104962128184973</v>
      </c>
      <c r="R3578">
        <v>0.97611392443982703</v>
      </c>
      <c r="S3578" t="s">
        <v>9980</v>
      </c>
      <c r="T3578" t="s">
        <v>12802</v>
      </c>
      <c r="U3578" t="s">
        <v>12802</v>
      </c>
      <c r="V3578" t="s">
        <v>12802</v>
      </c>
      <c r="W3578" t="s">
        <v>16329</v>
      </c>
      <c r="X3578">
        <v>1</v>
      </c>
      <c r="Y3578" t="s">
        <v>22566</v>
      </c>
      <c r="Z3578" t="s">
        <v>28896</v>
      </c>
      <c r="AA3578">
        <v>0.65764047011483795</v>
      </c>
      <c r="AB3578" t="str">
        <f>HYPERLINK("Melting_Curves/meltCurve_Q16363_2_LAMA4.pdf", "Melting_Curves/meltCurve_Q16363_2_LAMA4.pdf")</f>
        <v>Melting_Curves/meltCurve_Q16363_2_LAMA4.pdf</v>
      </c>
    </row>
    <row r="3579" spans="1:28" x14ac:dyDescent="0.25">
      <c r="A3579" t="s">
        <v>3583</v>
      </c>
      <c r="B3579">
        <v>0.99542014353169495</v>
      </c>
      <c r="C3579">
        <v>1.3638958693943299</v>
      </c>
      <c r="D3579">
        <v>1.52675410976518</v>
      </c>
      <c r="E3579">
        <v>1.0415005013954299</v>
      </c>
      <c r="F3579">
        <v>0.73957362535457805</v>
      </c>
      <c r="G3579">
        <v>0.30538892311488203</v>
      </c>
      <c r="H3579">
        <v>0.36240822945863299</v>
      </c>
      <c r="I3579">
        <v>0.103207156185219</v>
      </c>
      <c r="J3579">
        <v>0.16950314915965101</v>
      </c>
      <c r="K3579">
        <v>0</v>
      </c>
      <c r="L3579">
        <v>1478.37184211667</v>
      </c>
      <c r="M3579">
        <v>28.5000906076781</v>
      </c>
      <c r="N3579">
        <v>52.419785265933399</v>
      </c>
      <c r="O3579">
        <v>51.619158754254798</v>
      </c>
      <c r="P3579">
        <v>-0.12027010798745599</v>
      </c>
      <c r="Q3579">
        <v>0.12867754740600301</v>
      </c>
      <c r="R3579">
        <v>0.82522787058929503</v>
      </c>
      <c r="S3579" t="s">
        <v>9981</v>
      </c>
      <c r="T3579" t="s">
        <v>12802</v>
      </c>
      <c r="U3579" t="s">
        <v>12802</v>
      </c>
      <c r="V3579" t="s">
        <v>12802</v>
      </c>
      <c r="W3579" t="s">
        <v>16330</v>
      </c>
      <c r="X3579">
        <v>1</v>
      </c>
      <c r="Y3579" t="s">
        <v>22567</v>
      </c>
      <c r="Z3579" t="s">
        <v>28897</v>
      </c>
      <c r="AA3579">
        <v>0.56669068233638809</v>
      </c>
      <c r="AB3579" t="str">
        <f>HYPERLINK("Melting_Curves/meltCurve_Q16384_SSX1.pdf", "Melting_Curves/meltCurve_Q16384_SSX1.pdf")</f>
        <v>Melting_Curves/meltCurve_Q16384_SSX1.pdf</v>
      </c>
    </row>
    <row r="3580" spans="1:28" x14ac:dyDescent="0.25">
      <c r="A3580" t="s">
        <v>3584</v>
      </c>
      <c r="B3580">
        <v>0.99542014353169495</v>
      </c>
      <c r="C3580">
        <v>0.88806859330882004</v>
      </c>
      <c r="D3580">
        <v>0.920138110043076</v>
      </c>
      <c r="E3580">
        <v>0.66314322964786299</v>
      </c>
      <c r="F3580">
        <v>0.37912665930107697</v>
      </c>
      <c r="G3580">
        <v>0.19060810285219201</v>
      </c>
      <c r="H3580">
        <v>0.10438331368204901</v>
      </c>
      <c r="I3580">
        <v>5.4725680326824198E-2</v>
      </c>
      <c r="J3580">
        <v>4.9807716207565099E-2</v>
      </c>
      <c r="K3580">
        <v>4.3466184973108599E-2</v>
      </c>
      <c r="L3580">
        <v>768.68168274567199</v>
      </c>
      <c r="M3580">
        <v>15.861587536713801</v>
      </c>
      <c r="N3580">
        <v>48.628140690266299</v>
      </c>
      <c r="O3580">
        <v>47.7111862391234</v>
      </c>
      <c r="P3580">
        <v>-8.09249670240966E-2</v>
      </c>
      <c r="Q3580">
        <v>2.6399885122131098E-2</v>
      </c>
      <c r="R3580">
        <v>0.99450442462896205</v>
      </c>
      <c r="S3580" t="s">
        <v>9982</v>
      </c>
      <c r="T3580" t="s">
        <v>12802</v>
      </c>
      <c r="U3580" t="s">
        <v>12802</v>
      </c>
      <c r="V3580" t="s">
        <v>12802</v>
      </c>
      <c r="W3580" t="s">
        <v>16331</v>
      </c>
      <c r="X3580">
        <v>22</v>
      </c>
      <c r="Y3580" t="s">
        <v>22568</v>
      </c>
      <c r="Z3580" t="s">
        <v>28898</v>
      </c>
      <c r="AA3580">
        <v>0.41771904893123363</v>
      </c>
      <c r="AB3580" t="str">
        <f>HYPERLINK("Melting_Curves/meltCurve_Q16401_2_PSMD5.pdf", "Melting_Curves/meltCurve_Q16401_2_PSMD5.pdf")</f>
        <v>Melting_Curves/meltCurve_Q16401_2_PSMD5.pdf</v>
      </c>
    </row>
    <row r="3581" spans="1:28" x14ac:dyDescent="0.25">
      <c r="A3581" t="s">
        <v>3585</v>
      </c>
      <c r="B3581">
        <v>0.99542014353169495</v>
      </c>
      <c r="C3581">
        <v>0.99152800261226304</v>
      </c>
      <c r="D3581">
        <v>0.96532729613567103</v>
      </c>
      <c r="E3581">
        <v>0.78283023471434598</v>
      </c>
      <c r="F3581">
        <v>0.24076088153575201</v>
      </c>
      <c r="G3581">
        <v>9.4468270898278306E-2</v>
      </c>
      <c r="H3581">
        <v>5.56578733183693E-2</v>
      </c>
      <c r="I3581">
        <v>4.0191336758410301E-2</v>
      </c>
      <c r="J3581">
        <v>5.0064095544053701E-2</v>
      </c>
      <c r="K3581">
        <v>5.2196541539108597E-2</v>
      </c>
      <c r="L3581">
        <v>1637.18077227761</v>
      </c>
      <c r="M3581">
        <v>33.952657805613697</v>
      </c>
      <c r="N3581">
        <v>48.372806383193797</v>
      </c>
      <c r="O3581">
        <v>48.053163186299201</v>
      </c>
      <c r="P3581">
        <v>-0.16763247716771501</v>
      </c>
      <c r="Q3581">
        <v>5.1003453063126203E-2</v>
      </c>
      <c r="R3581">
        <v>0.999465215189281</v>
      </c>
      <c r="S3581" t="s">
        <v>9983</v>
      </c>
      <c r="T3581" t="s">
        <v>12802</v>
      </c>
      <c r="U3581" t="s">
        <v>12802</v>
      </c>
      <c r="V3581" t="s">
        <v>12802</v>
      </c>
      <c r="W3581" t="s">
        <v>16332</v>
      </c>
      <c r="X3581">
        <v>28</v>
      </c>
      <c r="Y3581" t="s">
        <v>22569</v>
      </c>
      <c r="Z3581" t="s">
        <v>28899</v>
      </c>
      <c r="AA3581">
        <v>0.41031351874893762</v>
      </c>
      <c r="AB3581" t="str">
        <f>HYPERLINK("Melting_Curves/meltCurve_Q16512_PKN1.pdf", "Melting_Curves/meltCurve_Q16512_PKN1.pdf")</f>
        <v>Melting_Curves/meltCurve_Q16512_PKN1.pdf</v>
      </c>
    </row>
    <row r="3582" spans="1:28" x14ac:dyDescent="0.25">
      <c r="A3582" t="s">
        <v>3586</v>
      </c>
      <c r="B3582">
        <v>0.99542014353169495</v>
      </c>
      <c r="C3582">
        <v>1.0172279172243599</v>
      </c>
      <c r="D3582">
        <v>0.97669445916681097</v>
      </c>
      <c r="E3582">
        <v>0.60466381397787705</v>
      </c>
      <c r="F3582">
        <v>0.19084013236442099</v>
      </c>
      <c r="G3582">
        <v>0.124089993150271</v>
      </c>
      <c r="H3582">
        <v>8.1559397526504998E-2</v>
      </c>
      <c r="I3582">
        <v>6.4128063348994194E-2</v>
      </c>
      <c r="J3582">
        <v>4.67578396664678E-2</v>
      </c>
      <c r="K3582">
        <v>4.2564957272824798E-2</v>
      </c>
      <c r="L3582">
        <v>1436.2629861580499</v>
      </c>
      <c r="M3582">
        <v>30.4744356819125</v>
      </c>
      <c r="N3582">
        <v>47.349648865552197</v>
      </c>
      <c r="O3582">
        <v>46.928525763038103</v>
      </c>
      <c r="P3582">
        <v>-0.151649153567015</v>
      </c>
      <c r="Q3582">
        <v>6.5888502651835795E-2</v>
      </c>
      <c r="R3582">
        <v>0.99788931079419696</v>
      </c>
      <c r="S3582" t="s">
        <v>9984</v>
      </c>
      <c r="T3582" t="s">
        <v>12802</v>
      </c>
      <c r="U3582" t="s">
        <v>12802</v>
      </c>
      <c r="V3582" t="s">
        <v>12802</v>
      </c>
      <c r="W3582" t="s">
        <v>16333</v>
      </c>
      <c r="X3582">
        <v>14</v>
      </c>
      <c r="Y3582" t="s">
        <v>22570</v>
      </c>
      <c r="Z3582" t="s">
        <v>28900</v>
      </c>
      <c r="AA3582">
        <v>0.38658228340158052</v>
      </c>
      <c r="AB3582" t="str">
        <f>HYPERLINK("Melting_Curves/meltCurve_Q16513_2_PKN2.pdf", "Melting_Curves/meltCurve_Q16513_2_PKN2.pdf")</f>
        <v>Melting_Curves/meltCurve_Q16513_2_PKN2.pdf</v>
      </c>
    </row>
    <row r="3583" spans="1:28" x14ac:dyDescent="0.25">
      <c r="A3583" t="s">
        <v>3587</v>
      </c>
      <c r="B3583">
        <v>0.99542014353169495</v>
      </c>
      <c r="C3583">
        <v>1.0163500883687</v>
      </c>
      <c r="D3583">
        <v>0.92230624830725505</v>
      </c>
      <c r="E3583">
        <v>0.67849313580625203</v>
      </c>
      <c r="F3583">
        <v>0.38692666254923802</v>
      </c>
      <c r="G3583">
        <v>0.202885748905556</v>
      </c>
      <c r="H3583">
        <v>0.122995987819031</v>
      </c>
      <c r="I3583">
        <v>0.142124769287199</v>
      </c>
      <c r="J3583">
        <v>0.125482417225348</v>
      </c>
      <c r="K3583">
        <v>0.20567694946598</v>
      </c>
      <c r="L3583">
        <v>1037.8199208257199</v>
      </c>
      <c r="M3583">
        <v>21.711982306815798</v>
      </c>
      <c r="N3583">
        <v>48.543529449733803</v>
      </c>
      <c r="O3583">
        <v>47.399466287947298</v>
      </c>
      <c r="P3583">
        <v>-9.8308267397362897E-2</v>
      </c>
      <c r="Q3583">
        <v>0.141552393110081</v>
      </c>
      <c r="R3583">
        <v>0.99435759073525298</v>
      </c>
      <c r="S3583" t="s">
        <v>9985</v>
      </c>
      <c r="T3583" t="s">
        <v>12802</v>
      </c>
      <c r="U3583" t="s">
        <v>12802</v>
      </c>
      <c r="V3583" t="s">
        <v>12802</v>
      </c>
      <c r="W3583" t="s">
        <v>16334</v>
      </c>
      <c r="X3583">
        <v>1</v>
      </c>
      <c r="Y3583" t="s">
        <v>22571</v>
      </c>
      <c r="Z3583" t="s">
        <v>28901</v>
      </c>
      <c r="AA3583">
        <v>0.46019981189126841</v>
      </c>
      <c r="AB3583" t="str">
        <f>HYPERLINK("Melting_Curves/meltCurve_Q16514_2_TAF12.pdf", "Melting_Curves/meltCurve_Q16514_2_TAF12.pdf")</f>
        <v>Melting_Curves/meltCurve_Q16514_2_TAF12.pdf</v>
      </c>
    </row>
    <row r="3584" spans="1:28" x14ac:dyDescent="0.25">
      <c r="A3584" t="s">
        <v>3588</v>
      </c>
      <c r="B3584">
        <v>0.99542014353169495</v>
      </c>
      <c r="C3584">
        <v>1.0030266566129</v>
      </c>
      <c r="D3584">
        <v>0.99354405040952098</v>
      </c>
      <c r="E3584">
        <v>0.90989494714307895</v>
      </c>
      <c r="F3584">
        <v>0.61177547270572197</v>
      </c>
      <c r="G3584">
        <v>0.25084776496329902</v>
      </c>
      <c r="H3584">
        <v>0.110431054341716</v>
      </c>
      <c r="I3584">
        <v>5.40486941258978E-2</v>
      </c>
      <c r="J3584">
        <v>8.8021512603706803E-2</v>
      </c>
      <c r="K3584">
        <v>4.01055600829094E-2</v>
      </c>
      <c r="L3584">
        <v>1259.6109825716601</v>
      </c>
      <c r="M3584">
        <v>24.736549867706099</v>
      </c>
      <c r="N3584">
        <v>51.154279395202202</v>
      </c>
      <c r="O3584">
        <v>50.591755051341401</v>
      </c>
      <c r="P3584">
        <v>-0.115719050622583</v>
      </c>
      <c r="Q3584">
        <v>5.3328347662498297E-2</v>
      </c>
      <c r="R3584">
        <v>0.99919943617139395</v>
      </c>
      <c r="S3584" t="s">
        <v>9986</v>
      </c>
      <c r="T3584" t="s">
        <v>12802</v>
      </c>
      <c r="U3584" t="s">
        <v>12802</v>
      </c>
      <c r="V3584" t="s">
        <v>12802</v>
      </c>
      <c r="W3584" t="s">
        <v>16335</v>
      </c>
      <c r="X3584">
        <v>1</v>
      </c>
      <c r="Y3584" t="s">
        <v>22572</v>
      </c>
      <c r="Z3584" t="s">
        <v>28902</v>
      </c>
      <c r="AA3584">
        <v>0.50113050518331037</v>
      </c>
      <c r="AB3584" t="str">
        <f>HYPERLINK("Melting_Curves/meltCurve_Q16526_CRY1.pdf", "Melting_Curves/meltCurve_Q16526_CRY1.pdf")</f>
        <v>Melting_Curves/meltCurve_Q16526_CRY1.pdf</v>
      </c>
    </row>
    <row r="3585" spans="1:28" x14ac:dyDescent="0.25">
      <c r="A3585" t="s">
        <v>3589</v>
      </c>
      <c r="B3585">
        <v>0.99542014353169495</v>
      </c>
      <c r="C3585">
        <v>0.93721980699619201</v>
      </c>
      <c r="D3585">
        <v>0.97258005695660499</v>
      </c>
      <c r="E3585">
        <v>0.88917221815901804</v>
      </c>
      <c r="F3585">
        <v>0.80394028749382995</v>
      </c>
      <c r="G3585">
        <v>0.71722375558601503</v>
      </c>
      <c r="H3585">
        <v>0.66796536607839796</v>
      </c>
      <c r="I3585">
        <v>0.52131566777214</v>
      </c>
      <c r="J3585">
        <v>0.163910549212889</v>
      </c>
      <c r="K3585">
        <v>9.5062162872187994E-2</v>
      </c>
      <c r="L3585">
        <v>706.02788620412105</v>
      </c>
      <c r="M3585">
        <v>12.004134802838299</v>
      </c>
      <c r="N3585">
        <v>58.815391407324398</v>
      </c>
      <c r="O3585">
        <v>57.254479572131999</v>
      </c>
      <c r="P3585">
        <v>-5.2428320220930802E-2</v>
      </c>
      <c r="Q3585">
        <v>0</v>
      </c>
      <c r="R3585">
        <v>0.93445485792348004</v>
      </c>
      <c r="S3585" t="s">
        <v>9987</v>
      </c>
      <c r="T3585" t="s">
        <v>12802</v>
      </c>
      <c r="U3585" t="s">
        <v>12802</v>
      </c>
      <c r="V3585" t="s">
        <v>12802</v>
      </c>
      <c r="W3585" t="s">
        <v>16336</v>
      </c>
      <c r="X3585">
        <v>55</v>
      </c>
      <c r="Y3585" t="s">
        <v>22573</v>
      </c>
      <c r="Z3585" t="s">
        <v>28903</v>
      </c>
      <c r="AA3585">
        <v>0.7202646698535724</v>
      </c>
      <c r="AB3585" t="str">
        <f>HYPERLINK("Melting_Curves/meltCurve_Q16531_DDB1.pdf", "Melting_Curves/meltCurve_Q16531_DDB1.pdf")</f>
        <v>Melting_Curves/meltCurve_Q16531_DDB1.pdf</v>
      </c>
    </row>
    <row r="3586" spans="1:28" x14ac:dyDescent="0.25">
      <c r="A3586" t="s">
        <v>3590</v>
      </c>
      <c r="B3586">
        <v>0.99542014353169495</v>
      </c>
      <c r="C3586">
        <v>0.95396823784345797</v>
      </c>
      <c r="D3586">
        <v>0.88263046830959302</v>
      </c>
      <c r="E3586">
        <v>0.65578365447959297</v>
      </c>
      <c r="F3586">
        <v>0.20550688324272101</v>
      </c>
      <c r="G3586">
        <v>7.6785127880328499E-2</v>
      </c>
      <c r="H3586">
        <v>3.45672114315555E-2</v>
      </c>
      <c r="I3586">
        <v>2.2898887072612999E-2</v>
      </c>
      <c r="J3586">
        <v>2.3732545097836299E-2</v>
      </c>
      <c r="K3586">
        <v>2.57107002966451E-2</v>
      </c>
      <c r="L3586">
        <v>1133.3206794341299</v>
      </c>
      <c r="M3586">
        <v>23.850390610725199</v>
      </c>
      <c r="N3586">
        <v>47.591533153611699</v>
      </c>
      <c r="O3586">
        <v>47.187634596289499</v>
      </c>
      <c r="P3586">
        <v>-0.124072717134488</v>
      </c>
      <c r="Q3586">
        <v>1.8112000459004001E-2</v>
      </c>
      <c r="R3586">
        <v>0.99693182605910702</v>
      </c>
      <c r="S3586" t="s">
        <v>9988</v>
      </c>
      <c r="T3586" t="s">
        <v>12802</v>
      </c>
      <c r="U3586" t="s">
        <v>12802</v>
      </c>
      <c r="V3586" t="s">
        <v>12802</v>
      </c>
      <c r="W3586" t="s">
        <v>16337</v>
      </c>
      <c r="X3586">
        <v>11</v>
      </c>
      <c r="Y3586" t="s">
        <v>22574</v>
      </c>
      <c r="Z3586" t="s">
        <v>28904</v>
      </c>
      <c r="AA3586">
        <v>0.37148320568245102</v>
      </c>
      <c r="AB3586" t="str">
        <f>HYPERLINK("Melting_Curves/meltCurve_Q16539_MAPK14.pdf", "Melting_Curves/meltCurve_Q16539_MAPK14.pdf")</f>
        <v>Melting_Curves/meltCurve_Q16539_MAPK14.pdf</v>
      </c>
    </row>
    <row r="3587" spans="1:28" x14ac:dyDescent="0.25">
      <c r="A3587" t="s">
        <v>3591</v>
      </c>
      <c r="B3587">
        <v>0.99542014353169495</v>
      </c>
      <c r="C3587">
        <v>0.84509865236057502</v>
      </c>
      <c r="D3587">
        <v>0.84049111263629295</v>
      </c>
      <c r="E3587">
        <v>0.57303522237387094</v>
      </c>
      <c r="F3587">
        <v>0.13131929455198099</v>
      </c>
      <c r="G3587">
        <v>6.6991743077177299E-2</v>
      </c>
      <c r="H3587">
        <v>5.5662441114552402E-2</v>
      </c>
      <c r="I3587">
        <v>3.3039705940741397E-2</v>
      </c>
      <c r="J3587">
        <v>1.17003240688545E-2</v>
      </c>
      <c r="K3587">
        <v>0</v>
      </c>
      <c r="L3587">
        <v>926.92570420058701</v>
      </c>
      <c r="M3587">
        <v>19.860298059477699</v>
      </c>
      <c r="N3587">
        <v>46.699441587136903</v>
      </c>
      <c r="O3587">
        <v>46.206843176264996</v>
      </c>
      <c r="P3587">
        <v>-0.106840064467734</v>
      </c>
      <c r="Q3587">
        <v>5.7398789233816701E-3</v>
      </c>
      <c r="R3587">
        <v>0.98333757455197202</v>
      </c>
      <c r="S3587" t="s">
        <v>9989</v>
      </c>
      <c r="T3587" t="s">
        <v>12802</v>
      </c>
      <c r="U3587" t="s">
        <v>12802</v>
      </c>
      <c r="V3587" t="s">
        <v>12802</v>
      </c>
      <c r="W3587" t="s">
        <v>16338</v>
      </c>
      <c r="X3587">
        <v>11</v>
      </c>
      <c r="Y3587" t="s">
        <v>22574</v>
      </c>
      <c r="Z3587" t="s">
        <v>28905</v>
      </c>
      <c r="AA3587">
        <v>0.33948605135885529</v>
      </c>
      <c r="AB3587" t="str">
        <f>HYPERLINK("Melting_Curves/meltCurve_Q16539_2_MAPK14.pdf", "Melting_Curves/meltCurve_Q16539_2_MAPK14.pdf")</f>
        <v>Melting_Curves/meltCurve_Q16539_2_MAPK14.pdf</v>
      </c>
    </row>
    <row r="3588" spans="1:28" x14ac:dyDescent="0.25">
      <c r="A3588" t="s">
        <v>3592</v>
      </c>
      <c r="B3588">
        <v>0.99542014353169495</v>
      </c>
      <c r="C3588">
        <v>0.96589421330555703</v>
      </c>
      <c r="D3588">
        <v>0.96160130205286698</v>
      </c>
      <c r="E3588">
        <v>0.90659015483967897</v>
      </c>
      <c r="F3588">
        <v>0.71750803573732003</v>
      </c>
      <c r="G3588">
        <v>0.45892528282650102</v>
      </c>
      <c r="H3588">
        <v>9.8126765304130101E-2</v>
      </c>
      <c r="I3588">
        <v>6.1590423888725897E-2</v>
      </c>
      <c r="J3588">
        <v>5.8711735017745799E-2</v>
      </c>
      <c r="K3588">
        <v>6.3102548575834E-2</v>
      </c>
      <c r="L3588">
        <v>1073.94166506896</v>
      </c>
      <c r="M3588">
        <v>20.4221931694624</v>
      </c>
      <c r="N3588">
        <v>52.694865562302802</v>
      </c>
      <c r="O3588">
        <v>52.090552697779103</v>
      </c>
      <c r="P3588">
        <v>-9.6009326408547896E-2</v>
      </c>
      <c r="Q3588">
        <v>2.0471676828744699E-2</v>
      </c>
      <c r="R3588">
        <v>0.992063840992504</v>
      </c>
      <c r="S3588" t="s">
        <v>9990</v>
      </c>
      <c r="T3588" t="s">
        <v>12802</v>
      </c>
      <c r="U3588" t="s">
        <v>12802</v>
      </c>
      <c r="V3588" t="s">
        <v>12802</v>
      </c>
      <c r="W3588" t="s">
        <v>16339</v>
      </c>
      <c r="X3588">
        <v>32</v>
      </c>
      <c r="Y3588" t="s">
        <v>20368</v>
      </c>
      <c r="Z3588" t="s">
        <v>28906</v>
      </c>
      <c r="AA3588">
        <v>0.5415001888680977</v>
      </c>
      <c r="AB3588" t="str">
        <f>HYPERLINK("Melting_Curves/meltCurve_Q16543_CDC37.pdf", "Melting_Curves/meltCurve_Q16543_CDC37.pdf")</f>
        <v>Melting_Curves/meltCurve_Q16543_CDC37.pdf</v>
      </c>
    </row>
    <row r="3589" spans="1:28" x14ac:dyDescent="0.25">
      <c r="A3589" t="s">
        <v>3593</v>
      </c>
      <c r="B3589">
        <v>0.99542014353169495</v>
      </c>
      <c r="C3589">
        <v>0.81600625837920804</v>
      </c>
      <c r="D3589">
        <v>0.81052385232896795</v>
      </c>
      <c r="E3589">
        <v>0.66463914739984398</v>
      </c>
      <c r="F3589">
        <v>0.55464589696675004</v>
      </c>
      <c r="G3589">
        <v>0.32274599857679598</v>
      </c>
      <c r="H3589">
        <v>0.28205154662091902</v>
      </c>
      <c r="I3589">
        <v>0.18464407000025401</v>
      </c>
      <c r="J3589">
        <v>0.12598547471081301</v>
      </c>
      <c r="K3589">
        <v>0.10890678277529101</v>
      </c>
      <c r="L3589">
        <v>417.16438648788602</v>
      </c>
      <c r="M3589">
        <v>8.29603693471452</v>
      </c>
      <c r="N3589">
        <v>50.284778339722003</v>
      </c>
      <c r="O3589">
        <v>47.6171302463367</v>
      </c>
      <c r="P3589">
        <v>-4.3598945744066198E-2</v>
      </c>
      <c r="Q3589">
        <v>0</v>
      </c>
      <c r="R3589">
        <v>0.985324880361926</v>
      </c>
      <c r="S3589" t="s">
        <v>9991</v>
      </c>
      <c r="T3589" t="s">
        <v>12802</v>
      </c>
      <c r="U3589" t="s">
        <v>12802</v>
      </c>
      <c r="V3589" t="s">
        <v>12802</v>
      </c>
      <c r="W3589" t="s">
        <v>16340</v>
      </c>
      <c r="X3589">
        <v>9</v>
      </c>
      <c r="Y3589" t="s">
        <v>22575</v>
      </c>
      <c r="Z3589" t="s">
        <v>28907</v>
      </c>
      <c r="AA3589">
        <v>0.48099310553639202</v>
      </c>
      <c r="AB3589" t="str">
        <f>HYPERLINK("Melting_Curves/meltCurve_Q16555_2_DPYSL2.pdf", "Melting_Curves/meltCurve_Q16555_2_DPYSL2.pdf")</f>
        <v>Melting_Curves/meltCurve_Q16555_2_DPYSL2.pdf</v>
      </c>
    </row>
    <row r="3590" spans="1:28" x14ac:dyDescent="0.25">
      <c r="A3590" t="s">
        <v>3594</v>
      </c>
      <c r="B3590">
        <v>0.99542014353169495</v>
      </c>
      <c r="C3590">
        <v>0.94559222727916903</v>
      </c>
      <c r="D3590">
        <v>0.90970770048352601</v>
      </c>
      <c r="E3590">
        <v>0.778616683264575</v>
      </c>
      <c r="F3590">
        <v>0.63361332088932798</v>
      </c>
      <c r="G3590">
        <v>0.527684275208675</v>
      </c>
      <c r="H3590">
        <v>0.33549524307478101</v>
      </c>
      <c r="I3590">
        <v>0.18179464785350299</v>
      </c>
      <c r="J3590">
        <v>9.4112844229966894E-2</v>
      </c>
      <c r="K3590">
        <v>5.64965344330009E-2</v>
      </c>
      <c r="L3590">
        <v>565.64168194824401</v>
      </c>
      <c r="M3590">
        <v>10.6612408247674</v>
      </c>
      <c r="N3590">
        <v>53.055908953691997</v>
      </c>
      <c r="O3590">
        <v>51.291354724374301</v>
      </c>
      <c r="P3590">
        <v>-5.1983888059871801E-2</v>
      </c>
      <c r="Q3590">
        <v>0</v>
      </c>
      <c r="R3590">
        <v>0.99054864228955597</v>
      </c>
      <c r="S3590" t="s">
        <v>9992</v>
      </c>
      <c r="T3590" t="s">
        <v>12802</v>
      </c>
      <c r="U3590" t="s">
        <v>12802</v>
      </c>
      <c r="V3590" t="s">
        <v>12802</v>
      </c>
      <c r="W3590" t="s">
        <v>16341</v>
      </c>
      <c r="X3590">
        <v>15</v>
      </c>
      <c r="Y3590" t="s">
        <v>22576</v>
      </c>
      <c r="Z3590" t="s">
        <v>28908</v>
      </c>
      <c r="AA3590">
        <v>0.55707598259477697</v>
      </c>
      <c r="AB3590" t="str">
        <f>HYPERLINK("Melting_Curves/meltCurve_Q16576_RBBP7.pdf", "Melting_Curves/meltCurve_Q16576_RBBP7.pdf")</f>
        <v>Melting_Curves/meltCurve_Q16576_RBBP7.pdf</v>
      </c>
    </row>
    <row r="3591" spans="1:28" x14ac:dyDescent="0.25">
      <c r="A3591" t="s">
        <v>3595</v>
      </c>
      <c r="B3591">
        <v>0.99542014353169495</v>
      </c>
      <c r="C3591">
        <v>1.08492520971577</v>
      </c>
      <c r="D3591">
        <v>0.79028203527684104</v>
      </c>
      <c r="E3591">
        <v>0.86406949772692698</v>
      </c>
      <c r="F3591">
        <v>0.69153558459598496</v>
      </c>
      <c r="G3591">
        <v>0.52443018064483105</v>
      </c>
      <c r="H3591">
        <v>0.34907923265405499</v>
      </c>
      <c r="I3591">
        <v>0.25597008153780598</v>
      </c>
      <c r="J3591">
        <v>0.31490369830430098</v>
      </c>
      <c r="K3591">
        <v>0.46130503637832998</v>
      </c>
      <c r="L3591">
        <v>757.82724367368405</v>
      </c>
      <c r="M3591">
        <v>15.0971835724719</v>
      </c>
      <c r="N3591">
        <v>53.700466436080397</v>
      </c>
      <c r="O3591">
        <v>49.340593910550901</v>
      </c>
      <c r="P3591">
        <v>-5.25346568958363E-2</v>
      </c>
      <c r="Q3591">
        <v>0.31329287947168</v>
      </c>
      <c r="R3591">
        <v>0.91160654964337695</v>
      </c>
      <c r="S3591" t="s">
        <v>9993</v>
      </c>
      <c r="T3591" t="s">
        <v>12802</v>
      </c>
      <c r="U3591" t="s">
        <v>12802</v>
      </c>
      <c r="V3591" t="s">
        <v>12802</v>
      </c>
      <c r="W3591" t="s">
        <v>16342</v>
      </c>
      <c r="X3591">
        <v>2</v>
      </c>
      <c r="Y3591" t="s">
        <v>22577</v>
      </c>
      <c r="Z3591" t="s">
        <v>28909</v>
      </c>
      <c r="AA3591">
        <v>0.62949573581898877</v>
      </c>
      <c r="AB3591" t="str">
        <f>HYPERLINK("Melting_Curves/meltCurve_Q16587_5_ZNF74.pdf", "Melting_Curves/meltCurve_Q16587_5_ZNF74.pdf")</f>
        <v>Melting_Curves/meltCurve_Q16587_5_ZNF74.pdf</v>
      </c>
    </row>
    <row r="3592" spans="1:28" x14ac:dyDescent="0.25">
      <c r="A3592" t="s">
        <v>3596</v>
      </c>
      <c r="B3592">
        <v>0.99542014353169495</v>
      </c>
      <c r="C3592">
        <v>0.81510368257906396</v>
      </c>
      <c r="D3592">
        <v>0.75110826232722405</v>
      </c>
      <c r="E3592">
        <v>0.54623498009353399</v>
      </c>
      <c r="F3592">
        <v>0.38657774207497198</v>
      </c>
      <c r="G3592">
        <v>0.29998654788532803</v>
      </c>
      <c r="H3592">
        <v>0.215411623815251</v>
      </c>
      <c r="I3592">
        <v>0.163881651805554</v>
      </c>
      <c r="J3592">
        <v>0.20813218258827801</v>
      </c>
      <c r="K3592">
        <v>0.201161445773713</v>
      </c>
      <c r="L3592">
        <v>524.61466692086799</v>
      </c>
      <c r="M3592">
        <v>11.4343259157954</v>
      </c>
      <c r="N3592">
        <v>47.438545219961902</v>
      </c>
      <c r="O3592">
        <v>44.5446172738732</v>
      </c>
      <c r="P3592">
        <v>-5.4144314565929802E-2</v>
      </c>
      <c r="Q3592">
        <v>0.15652669821460299</v>
      </c>
      <c r="R3592">
        <v>0.98942882633644103</v>
      </c>
      <c r="S3592" t="s">
        <v>9994</v>
      </c>
      <c r="T3592" t="s">
        <v>12802</v>
      </c>
      <c r="U3592" t="s">
        <v>12802</v>
      </c>
      <c r="V3592" t="s">
        <v>12802</v>
      </c>
      <c r="W3592" t="s">
        <v>16343</v>
      </c>
      <c r="X3592">
        <v>8</v>
      </c>
      <c r="Y3592" t="s">
        <v>22578</v>
      </c>
      <c r="Z3592" t="s">
        <v>28910</v>
      </c>
      <c r="AA3592">
        <v>0.43797702293341523</v>
      </c>
      <c r="AB3592" t="str">
        <f>HYPERLINK("Melting_Curves/meltCurve_Q16594_TAF9.pdf", "Melting_Curves/meltCurve_Q16594_TAF9.pdf")</f>
        <v>Melting_Curves/meltCurve_Q16594_TAF9.pdf</v>
      </c>
    </row>
    <row r="3593" spans="1:28" x14ac:dyDescent="0.25">
      <c r="A3593" t="s">
        <v>3597</v>
      </c>
      <c r="B3593">
        <v>0.99542014353169495</v>
      </c>
      <c r="C3593">
        <v>0.99986116229996802</v>
      </c>
      <c r="D3593">
        <v>1.13973971613865</v>
      </c>
      <c r="E3593">
        <v>0.86659624931782198</v>
      </c>
      <c r="F3593">
        <v>0.59784117436101403</v>
      </c>
      <c r="G3593">
        <v>0.359067056011946</v>
      </c>
      <c r="H3593">
        <v>0.23042402504157999</v>
      </c>
      <c r="I3593">
        <v>0.18132012235359299</v>
      </c>
      <c r="J3593">
        <v>0.146496405804309</v>
      </c>
      <c r="K3593">
        <v>0.221449001004621</v>
      </c>
      <c r="L3593">
        <v>1177.5217592879401</v>
      </c>
      <c r="M3593">
        <v>23.3606915032973</v>
      </c>
      <c r="N3593">
        <v>51.399167589360999</v>
      </c>
      <c r="O3593">
        <v>50.041105468344703</v>
      </c>
      <c r="P3593">
        <v>-9.5513726993617001E-2</v>
      </c>
      <c r="Q3593">
        <v>0.181611848188796</v>
      </c>
      <c r="R3593">
        <v>0.97944674648672103</v>
      </c>
      <c r="S3593" t="s">
        <v>9995</v>
      </c>
      <c r="T3593" t="s">
        <v>12802</v>
      </c>
      <c r="U3593" t="s">
        <v>12802</v>
      </c>
      <c r="V3593" t="s">
        <v>12802</v>
      </c>
      <c r="W3593" t="s">
        <v>16344</v>
      </c>
      <c r="X3593">
        <v>2</v>
      </c>
      <c r="Y3593" t="s">
        <v>22579</v>
      </c>
      <c r="Z3593" t="s">
        <v>28911</v>
      </c>
      <c r="AA3593">
        <v>0.55548119857931688</v>
      </c>
      <c r="AB3593" t="str">
        <f>HYPERLINK("Melting_Curves/meltCurve_Q16600_ZNF239.pdf", "Melting_Curves/meltCurve_Q16600_ZNF239.pdf")</f>
        <v>Melting_Curves/meltCurve_Q16600_ZNF239.pdf</v>
      </c>
    </row>
    <row r="3594" spans="1:28" x14ac:dyDescent="0.25">
      <c r="A3594" t="s">
        <v>3598</v>
      </c>
      <c r="B3594">
        <v>0.99542014353169495</v>
      </c>
      <c r="C3594">
        <v>1.0001795857406901</v>
      </c>
      <c r="D3594">
        <v>0.98759696079775305</v>
      </c>
      <c r="E3594">
        <v>0.92380375167263395</v>
      </c>
      <c r="F3594">
        <v>0.73325092814483195</v>
      </c>
      <c r="G3594">
        <v>0.51208527245853297</v>
      </c>
      <c r="H3594">
        <v>0.30836500615296097</v>
      </c>
      <c r="I3594">
        <v>0.20319692231214001</v>
      </c>
      <c r="J3594">
        <v>0.21572857887115801</v>
      </c>
      <c r="K3594">
        <v>0.20775910562819799</v>
      </c>
      <c r="L3594">
        <v>965.90188683926897</v>
      </c>
      <c r="M3594">
        <v>18.4383192986257</v>
      </c>
      <c r="N3594">
        <v>53.665038854741802</v>
      </c>
      <c r="O3594">
        <v>51.781039912849103</v>
      </c>
      <c r="P3594">
        <v>-7.3191275916351106E-2</v>
      </c>
      <c r="Q3594">
        <v>0.17785343517541499</v>
      </c>
      <c r="R3594">
        <v>0.99825739977671202</v>
      </c>
      <c r="S3594" t="s">
        <v>9996</v>
      </c>
      <c r="T3594" t="s">
        <v>12802</v>
      </c>
      <c r="U3594" t="s">
        <v>12802</v>
      </c>
      <c r="V3594" t="s">
        <v>12802</v>
      </c>
      <c r="W3594" t="s">
        <v>16345</v>
      </c>
      <c r="X3594">
        <v>13</v>
      </c>
      <c r="Y3594" t="s">
        <v>22580</v>
      </c>
      <c r="Z3594" t="s">
        <v>28912</v>
      </c>
      <c r="AA3594">
        <v>0.61135809086385051</v>
      </c>
      <c r="AB3594" t="str">
        <f>HYPERLINK("Melting_Curves/meltCurve_Q16610_ECM1.pdf", "Melting_Curves/meltCurve_Q16610_ECM1.pdf")</f>
        <v>Melting_Curves/meltCurve_Q16610_ECM1.pdf</v>
      </c>
    </row>
    <row r="3595" spans="1:28" x14ac:dyDescent="0.25">
      <c r="A3595" t="s">
        <v>3599</v>
      </c>
      <c r="B3595">
        <v>0.99542014353169495</v>
      </c>
      <c r="C3595">
        <v>0.93042496174686395</v>
      </c>
      <c r="D3595">
        <v>0.83220069617308801</v>
      </c>
      <c r="E3595">
        <v>0.75760387328977397</v>
      </c>
      <c r="F3595">
        <v>0.65831851680063302</v>
      </c>
      <c r="G3595">
        <v>0.43686164512190101</v>
      </c>
      <c r="H3595">
        <v>0.26997584132539898</v>
      </c>
      <c r="I3595">
        <v>0.259133338605051</v>
      </c>
      <c r="J3595">
        <v>0.85331386981486801</v>
      </c>
      <c r="K3595">
        <v>1.2991768554593699</v>
      </c>
      <c r="L3595">
        <v>983.22967955975901</v>
      </c>
      <c r="M3595">
        <v>22.604281536195</v>
      </c>
      <c r="O3595">
        <v>43.161354565780201</v>
      </c>
      <c r="P3595">
        <v>-4.80694785158031E-2</v>
      </c>
      <c r="Q3595">
        <v>0.63286562314761396</v>
      </c>
      <c r="R3595">
        <v>0.17825690883261799</v>
      </c>
      <c r="S3595" t="s">
        <v>9997</v>
      </c>
      <c r="T3595" t="s">
        <v>12802</v>
      </c>
      <c r="U3595" t="s">
        <v>12802</v>
      </c>
      <c r="V3595" t="s">
        <v>12802</v>
      </c>
      <c r="W3595" t="s">
        <v>16346</v>
      </c>
      <c r="X3595">
        <v>2</v>
      </c>
      <c r="Y3595" t="s">
        <v>22581</v>
      </c>
      <c r="Z3595" t="s">
        <v>28913</v>
      </c>
      <c r="AA3595">
        <v>0.71618068058503015</v>
      </c>
      <c r="AB3595" t="str">
        <f>HYPERLINK("Melting_Curves/meltCurve_Q16626_MEA1.pdf", "Melting_Curves/meltCurve_Q16626_MEA1.pdf")</f>
        <v>Melting_Curves/meltCurve_Q16626_MEA1.pdf</v>
      </c>
    </row>
    <row r="3596" spans="1:28" x14ac:dyDescent="0.25">
      <c r="A3596" t="s">
        <v>3600</v>
      </c>
      <c r="B3596">
        <v>0.99542014353169495</v>
      </c>
      <c r="C3596">
        <v>1.0031716590781199</v>
      </c>
      <c r="D3596">
        <v>0.97576990015546095</v>
      </c>
      <c r="E3596">
        <v>0.91579432227131097</v>
      </c>
      <c r="F3596">
        <v>0.70325737816165301</v>
      </c>
      <c r="G3596">
        <v>0.43155103833763703</v>
      </c>
      <c r="H3596">
        <v>0.14936030451479099</v>
      </c>
      <c r="I3596">
        <v>8.1584777551392304E-2</v>
      </c>
      <c r="J3596">
        <v>7.6567798715134694E-2</v>
      </c>
      <c r="K3596">
        <v>8.2162158524561005E-2</v>
      </c>
      <c r="L3596">
        <v>1047.7363057749701</v>
      </c>
      <c r="M3596">
        <v>20.021121166782901</v>
      </c>
      <c r="N3596">
        <v>52.589231658904197</v>
      </c>
      <c r="O3596">
        <v>51.817860442728701</v>
      </c>
      <c r="P3596">
        <v>-9.2083471834240899E-2</v>
      </c>
      <c r="Q3596">
        <v>4.6723953056829401E-2</v>
      </c>
      <c r="R3596">
        <v>0.99754364522945205</v>
      </c>
      <c r="S3596" t="s">
        <v>9998</v>
      </c>
      <c r="T3596" t="s">
        <v>12802</v>
      </c>
      <c r="U3596" t="s">
        <v>12802</v>
      </c>
      <c r="V3596" t="s">
        <v>12802</v>
      </c>
      <c r="W3596" t="s">
        <v>16347</v>
      </c>
      <c r="X3596">
        <v>21</v>
      </c>
      <c r="Y3596" t="s">
        <v>22582</v>
      </c>
      <c r="Z3596" t="s">
        <v>28914</v>
      </c>
      <c r="AA3596">
        <v>0.54610465838083733</v>
      </c>
      <c r="AB3596" t="str">
        <f>HYPERLINK("Melting_Curves/meltCurve_Q16630_CPSF6.pdf", "Melting_Curves/meltCurve_Q16630_CPSF6.pdf")</f>
        <v>Melting_Curves/meltCurve_Q16630_CPSF6.pdf</v>
      </c>
    </row>
    <row r="3597" spans="1:28" x14ac:dyDescent="0.25">
      <c r="A3597" t="s">
        <v>3601</v>
      </c>
      <c r="B3597">
        <v>0.99542014353169495</v>
      </c>
      <c r="C3597">
        <v>0.94045646248153103</v>
      </c>
      <c r="D3597">
        <v>0.96707323946238399</v>
      </c>
      <c r="E3597">
        <v>0.76149122444512396</v>
      </c>
      <c r="F3597">
        <v>0.442800539649015</v>
      </c>
      <c r="G3597">
        <v>0.17941801697962101</v>
      </c>
      <c r="H3597">
        <v>0.116585627576773</v>
      </c>
      <c r="I3597">
        <v>8.6792797670411703E-2</v>
      </c>
      <c r="J3597">
        <v>0.110506941830654</v>
      </c>
      <c r="K3597">
        <v>0.11583748510120601</v>
      </c>
      <c r="L3597">
        <v>1078.9966885671299</v>
      </c>
      <c r="M3597">
        <v>22.055740929918301</v>
      </c>
      <c r="N3597">
        <v>49.378858112565403</v>
      </c>
      <c r="O3597">
        <v>48.524504062742999</v>
      </c>
      <c r="P3597">
        <v>-0.103132792277275</v>
      </c>
      <c r="Q3597">
        <v>9.2416274042688498E-2</v>
      </c>
      <c r="R3597">
        <v>0.99656294410976598</v>
      </c>
      <c r="S3597" t="s">
        <v>9999</v>
      </c>
      <c r="T3597" t="s">
        <v>12802</v>
      </c>
      <c r="U3597" t="s">
        <v>12802</v>
      </c>
      <c r="V3597" t="s">
        <v>12802</v>
      </c>
      <c r="W3597" t="s">
        <v>16348</v>
      </c>
      <c r="X3597">
        <v>7</v>
      </c>
      <c r="Y3597" t="s">
        <v>22583</v>
      </c>
      <c r="Z3597" t="s">
        <v>28915</v>
      </c>
      <c r="AA3597">
        <v>0.46303617023524157</v>
      </c>
      <c r="AB3597" t="str">
        <f>HYPERLINK("Melting_Curves/meltCurve_Q16643_2_DBN1.pdf", "Melting_Curves/meltCurve_Q16643_2_DBN1.pdf")</f>
        <v>Melting_Curves/meltCurve_Q16643_2_DBN1.pdf</v>
      </c>
    </row>
    <row r="3598" spans="1:28" x14ac:dyDescent="0.25">
      <c r="A3598" t="s">
        <v>3602</v>
      </c>
      <c r="B3598">
        <v>0.99542014353169495</v>
      </c>
      <c r="C3598">
        <v>0.99267200551975998</v>
      </c>
      <c r="D3598">
        <v>1.0059528655894501</v>
      </c>
      <c r="E3598">
        <v>0.64547585535224905</v>
      </c>
      <c r="F3598">
        <v>0.40327524303697199</v>
      </c>
      <c r="G3598">
        <v>0.22194415860955499</v>
      </c>
      <c r="H3598">
        <v>0.13297987391266999</v>
      </c>
      <c r="I3598">
        <v>7.8287519852053705E-2</v>
      </c>
      <c r="J3598">
        <v>8.0816770072403205E-2</v>
      </c>
      <c r="K3598">
        <v>9.6048547780256399E-2</v>
      </c>
      <c r="L3598">
        <v>931.60546226224596</v>
      </c>
      <c r="M3598">
        <v>19.263986961592401</v>
      </c>
      <c r="N3598">
        <v>48.828227026983001</v>
      </c>
      <c r="O3598">
        <v>47.847863633776299</v>
      </c>
      <c r="P3598">
        <v>-9.2166865864035899E-2</v>
      </c>
      <c r="Q3598">
        <v>8.4338784886280396E-2</v>
      </c>
      <c r="R3598">
        <v>0.99227815118323803</v>
      </c>
      <c r="S3598" t="s">
        <v>10000</v>
      </c>
      <c r="T3598" t="s">
        <v>12802</v>
      </c>
      <c r="U3598" t="s">
        <v>12802</v>
      </c>
      <c r="V3598" t="s">
        <v>12802</v>
      </c>
      <c r="W3598" t="s">
        <v>16349</v>
      </c>
      <c r="X3598">
        <v>11</v>
      </c>
      <c r="Y3598" t="s">
        <v>22584</v>
      </c>
      <c r="Z3598" t="s">
        <v>28916</v>
      </c>
      <c r="AA3598">
        <v>0.44398074406434618</v>
      </c>
      <c r="AB3598" t="str">
        <f>HYPERLINK("Melting_Curves/meltCurve_Q16644_MAPKAPK3.pdf", "Melting_Curves/meltCurve_Q16644_MAPKAPK3.pdf")</f>
        <v>Melting_Curves/meltCurve_Q16644_MAPKAPK3.pdf</v>
      </c>
    </row>
    <row r="3599" spans="1:28" x14ac:dyDescent="0.25">
      <c r="A3599" t="s">
        <v>3603</v>
      </c>
      <c r="B3599">
        <v>0.99542014353169495</v>
      </c>
      <c r="C3599">
        <v>0.94367410695853304</v>
      </c>
      <c r="D3599">
        <v>0.66689145476511502</v>
      </c>
      <c r="E3599">
        <v>0.35485415161765899</v>
      </c>
      <c r="F3599">
        <v>0.22849123449011399</v>
      </c>
      <c r="G3599">
        <v>0.18370700305176399</v>
      </c>
      <c r="H3599">
        <v>8.3147789857424298E-2</v>
      </c>
      <c r="I3599">
        <v>5.5004609990625702E-2</v>
      </c>
      <c r="J3599">
        <v>6.7570538183631804E-2</v>
      </c>
      <c r="K3599">
        <v>6.6425281218322002E-2</v>
      </c>
      <c r="L3599">
        <v>767.94073988842297</v>
      </c>
      <c r="M3599">
        <v>17.176386145600201</v>
      </c>
      <c r="N3599">
        <v>45.135225604527598</v>
      </c>
      <c r="O3599">
        <v>44.116282979207</v>
      </c>
      <c r="P3599">
        <v>-9.0055684358510801E-2</v>
      </c>
      <c r="Q3599">
        <v>7.4849344696361203E-2</v>
      </c>
      <c r="R3599">
        <v>0.99197195177293496</v>
      </c>
      <c r="S3599" t="s">
        <v>10001</v>
      </c>
      <c r="T3599" t="s">
        <v>12802</v>
      </c>
      <c r="U3599" t="s">
        <v>12802</v>
      </c>
      <c r="V3599" t="s">
        <v>12802</v>
      </c>
      <c r="W3599" t="s">
        <v>16350</v>
      </c>
      <c r="X3599">
        <v>3</v>
      </c>
      <c r="Y3599" t="s">
        <v>22585</v>
      </c>
      <c r="Z3599" t="s">
        <v>28917</v>
      </c>
      <c r="AA3599">
        <v>0.32941985353760461</v>
      </c>
      <c r="AB3599" t="str">
        <f>HYPERLINK("Melting_Curves/meltCurve_Q16656_2_NRF1.pdf", "Melting_Curves/meltCurve_Q16656_2_NRF1.pdf")</f>
        <v>Melting_Curves/meltCurve_Q16656_2_NRF1.pdf</v>
      </c>
    </row>
    <row r="3600" spans="1:28" x14ac:dyDescent="0.25">
      <c r="A3600" t="s">
        <v>3604</v>
      </c>
      <c r="B3600">
        <v>0.99542014353169495</v>
      </c>
      <c r="C3600">
        <v>0.99923955557737298</v>
      </c>
      <c r="D3600">
        <v>0.94006312255944502</v>
      </c>
      <c r="E3600">
        <v>0.94868548913966999</v>
      </c>
      <c r="F3600">
        <v>0.69337896566649004</v>
      </c>
      <c r="G3600">
        <v>0.41059100873286303</v>
      </c>
      <c r="H3600">
        <v>8.9484743836647201E-2</v>
      </c>
      <c r="I3600">
        <v>4.2323326197152698E-2</v>
      </c>
      <c r="J3600">
        <v>3.1803875540825602E-2</v>
      </c>
      <c r="K3600">
        <v>3.4901159262721297E-2</v>
      </c>
      <c r="L3600">
        <v>1116.7080017548401</v>
      </c>
      <c r="M3600">
        <v>21.3166828636212</v>
      </c>
      <c r="N3600">
        <v>52.407426109336299</v>
      </c>
      <c r="O3600">
        <v>51.932080852792197</v>
      </c>
      <c r="P3600">
        <v>-0.10218747754603601</v>
      </c>
      <c r="Q3600">
        <v>4.2214291644874103E-3</v>
      </c>
      <c r="R3600">
        <v>0.99523637529241205</v>
      </c>
      <c r="S3600" t="s">
        <v>10002</v>
      </c>
      <c r="T3600" t="s">
        <v>12802</v>
      </c>
      <c r="U3600" t="s">
        <v>12802</v>
      </c>
      <c r="V3600" t="s">
        <v>12802</v>
      </c>
      <c r="W3600" t="s">
        <v>16351</v>
      </c>
      <c r="X3600">
        <v>37</v>
      </c>
      <c r="Y3600" t="s">
        <v>22586</v>
      </c>
      <c r="Z3600" t="s">
        <v>28918</v>
      </c>
      <c r="AA3600">
        <v>0.5264893806692883</v>
      </c>
      <c r="AB3600" t="str">
        <f>HYPERLINK("Melting_Curves/meltCurve_Q16658_FSCN1.pdf", "Melting_Curves/meltCurve_Q16658_FSCN1.pdf")</f>
        <v>Melting_Curves/meltCurve_Q16658_FSCN1.pdf</v>
      </c>
    </row>
    <row r="3601" spans="1:28" x14ac:dyDescent="0.25">
      <c r="A3601" t="s">
        <v>3605</v>
      </c>
      <c r="B3601">
        <v>0.99542014353169495</v>
      </c>
      <c r="C3601">
        <v>0.99805642106960901</v>
      </c>
      <c r="D3601">
        <v>0.893382579326228</v>
      </c>
      <c r="E3601">
        <v>0.81118181796467703</v>
      </c>
      <c r="F3601">
        <v>0.62570995128924001</v>
      </c>
      <c r="G3601">
        <v>0.33677844692880898</v>
      </c>
      <c r="H3601">
        <v>0.26398406975692801</v>
      </c>
      <c r="I3601">
        <v>0.17975404093460401</v>
      </c>
      <c r="J3601">
        <v>0.26258813789445801</v>
      </c>
      <c r="K3601">
        <v>0.17891214879714301</v>
      </c>
      <c r="L3601">
        <v>825.62208574510203</v>
      </c>
      <c r="M3601">
        <v>16.490613695038999</v>
      </c>
      <c r="N3601">
        <v>51.437619645217502</v>
      </c>
      <c r="O3601">
        <v>49.3473130930469</v>
      </c>
      <c r="P3601">
        <v>-6.8687913476720194E-2</v>
      </c>
      <c r="Q3601">
        <v>0.17787707775877601</v>
      </c>
      <c r="R3601">
        <v>0.98840757371875498</v>
      </c>
      <c r="S3601" t="s">
        <v>10003</v>
      </c>
      <c r="T3601" t="s">
        <v>12802</v>
      </c>
      <c r="U3601" t="s">
        <v>12802</v>
      </c>
      <c r="V3601" t="s">
        <v>12802</v>
      </c>
      <c r="W3601" t="s">
        <v>16352</v>
      </c>
      <c r="X3601">
        <v>1</v>
      </c>
      <c r="Y3601" t="s">
        <v>22587</v>
      </c>
      <c r="Z3601" t="s">
        <v>28919</v>
      </c>
      <c r="AA3601">
        <v>0.55082857286050635</v>
      </c>
      <c r="AB3601" t="str">
        <f>HYPERLINK("Melting_Curves/meltCurve_Q16670_2_ZSCAN26.pdf", "Melting_Curves/meltCurve_Q16670_2_ZSCAN26.pdf")</f>
        <v>Melting_Curves/meltCurve_Q16670_2_ZSCAN26.pdf</v>
      </c>
    </row>
    <row r="3602" spans="1:28" x14ac:dyDescent="0.25">
      <c r="A3602" t="s">
        <v>3606</v>
      </c>
      <c r="B3602">
        <v>0.99542014353169495</v>
      </c>
      <c r="C3602">
        <v>0.96756866405603703</v>
      </c>
      <c r="D3602">
        <v>0.97695326854632003</v>
      </c>
      <c r="E3602">
        <v>0.84695470003157902</v>
      </c>
      <c r="F3602">
        <v>0.71020164086658</v>
      </c>
      <c r="G3602">
        <v>0.45257138818345499</v>
      </c>
      <c r="H3602">
        <v>0.14936828583772799</v>
      </c>
      <c r="I3602">
        <v>8.1946847428695097E-2</v>
      </c>
      <c r="J3602">
        <v>7.1626679463220697E-2</v>
      </c>
      <c r="K3602">
        <v>7.6990239180087697E-2</v>
      </c>
      <c r="L3602">
        <v>899.38156273479103</v>
      </c>
      <c r="M3602">
        <v>17.135417566577399</v>
      </c>
      <c r="N3602">
        <v>52.621693488400197</v>
      </c>
      <c r="O3602">
        <v>51.7875040060866</v>
      </c>
      <c r="P3602">
        <v>-8.0945993001147201E-2</v>
      </c>
      <c r="Q3602">
        <v>2.15027797786899E-2</v>
      </c>
      <c r="R3602">
        <v>0.99315487087152199</v>
      </c>
      <c r="S3602" t="s">
        <v>10004</v>
      </c>
      <c r="T3602" t="s">
        <v>12802</v>
      </c>
      <c r="U3602" t="s">
        <v>12802</v>
      </c>
      <c r="V3602" t="s">
        <v>12802</v>
      </c>
      <c r="W3602" t="s">
        <v>16353</v>
      </c>
      <c r="X3602">
        <v>13</v>
      </c>
      <c r="Y3602" t="s">
        <v>22588</v>
      </c>
      <c r="Z3602" t="s">
        <v>28920</v>
      </c>
      <c r="AA3602">
        <v>0.54214921942160565</v>
      </c>
      <c r="AB3602" t="str">
        <f>HYPERLINK("Melting_Curves/meltCurve_Q16706_MAN2A1.pdf", "Melting_Curves/meltCurve_Q16706_MAN2A1.pdf")</f>
        <v>Melting_Curves/meltCurve_Q16706_MAN2A1.pdf</v>
      </c>
    </row>
    <row r="3603" spans="1:28" x14ac:dyDescent="0.25">
      <c r="A3603" t="s">
        <v>3607</v>
      </c>
      <c r="B3603">
        <v>0.99542014353169495</v>
      </c>
      <c r="C3603">
        <v>0.86141432866782197</v>
      </c>
      <c r="D3603">
        <v>0.83830305287270601</v>
      </c>
      <c r="E3603">
        <v>0.53940876583290598</v>
      </c>
      <c r="F3603">
        <v>0.410097641442428</v>
      </c>
      <c r="G3603">
        <v>0.243173797566309</v>
      </c>
      <c r="H3603">
        <v>0.150795492512384</v>
      </c>
      <c r="I3603">
        <v>0.105512601499846</v>
      </c>
      <c r="J3603">
        <v>0.103167200472321</v>
      </c>
      <c r="K3603">
        <v>7.9980419835454203E-2</v>
      </c>
      <c r="L3603">
        <v>559.71162986746106</v>
      </c>
      <c r="M3603">
        <v>11.766043240130401</v>
      </c>
      <c r="N3603">
        <v>47.989579350771201</v>
      </c>
      <c r="O3603">
        <v>46.2583519970227</v>
      </c>
      <c r="P3603">
        <v>-6.0496928895306001E-2</v>
      </c>
      <c r="Q3603">
        <v>4.88698517982675E-2</v>
      </c>
      <c r="R3603">
        <v>0.99243838497603198</v>
      </c>
      <c r="S3603" t="s">
        <v>10005</v>
      </c>
      <c r="T3603" t="s">
        <v>12802</v>
      </c>
      <c r="U3603" t="s">
        <v>12802</v>
      </c>
      <c r="V3603" t="s">
        <v>12802</v>
      </c>
      <c r="W3603" t="s">
        <v>16354</v>
      </c>
      <c r="X3603">
        <v>6</v>
      </c>
      <c r="Y3603" t="s">
        <v>22589</v>
      </c>
      <c r="Z3603" t="s">
        <v>28921</v>
      </c>
      <c r="AA3603">
        <v>0.41531439080663041</v>
      </c>
      <c r="AB3603" t="str">
        <f>HYPERLINK("Melting_Curves/meltCurve_Q16718_NDUFA5.pdf", "Melting_Curves/meltCurve_Q16718_NDUFA5.pdf")</f>
        <v>Melting_Curves/meltCurve_Q16718_NDUFA5.pdf</v>
      </c>
    </row>
    <row r="3604" spans="1:28" x14ac:dyDescent="0.25">
      <c r="A3604" t="s">
        <v>3608</v>
      </c>
      <c r="B3604">
        <v>0.99542014353169495</v>
      </c>
      <c r="C3604">
        <v>0.85308398005113195</v>
      </c>
      <c r="D3604">
        <v>1.0094938394911099</v>
      </c>
      <c r="E3604">
        <v>0.82179590848203599</v>
      </c>
      <c r="F3604">
        <v>0.84372485864532099</v>
      </c>
      <c r="G3604">
        <v>0.46048658313974999</v>
      </c>
      <c r="H3604">
        <v>0.26696919634807997</v>
      </c>
      <c r="I3604">
        <v>7.1651727533405804E-2</v>
      </c>
      <c r="J3604">
        <v>8.0232207855038498E-2</v>
      </c>
      <c r="K3604">
        <v>0.12743692369932899</v>
      </c>
      <c r="L3604">
        <v>1011.72928450036</v>
      </c>
      <c r="M3604">
        <v>19.000882389163699</v>
      </c>
      <c r="N3604">
        <v>53.576545700720899</v>
      </c>
      <c r="O3604">
        <v>52.667171117368298</v>
      </c>
      <c r="P3604">
        <v>-8.5214340631189794E-2</v>
      </c>
      <c r="Q3604">
        <v>5.5239807987515897E-2</v>
      </c>
      <c r="R3604">
        <v>0.96494220190454505</v>
      </c>
      <c r="S3604" t="s">
        <v>10006</v>
      </c>
      <c r="T3604" t="s">
        <v>12802</v>
      </c>
      <c r="U3604" t="s">
        <v>12802</v>
      </c>
      <c r="V3604" t="s">
        <v>12802</v>
      </c>
      <c r="W3604" t="s">
        <v>16355</v>
      </c>
      <c r="X3604">
        <v>8</v>
      </c>
      <c r="Y3604" t="s">
        <v>22590</v>
      </c>
      <c r="Z3604" t="s">
        <v>28922</v>
      </c>
      <c r="AA3604">
        <v>0.57953137845962255</v>
      </c>
      <c r="AB3604" t="str">
        <f>HYPERLINK("Melting_Curves/meltCurve_Q16720_8_ATP2B3.pdf", "Melting_Curves/meltCurve_Q16720_8_ATP2B3.pdf")</f>
        <v>Melting_Curves/meltCurve_Q16720_8_ATP2B3.pdf</v>
      </c>
    </row>
    <row r="3605" spans="1:28" x14ac:dyDescent="0.25">
      <c r="A3605" t="s">
        <v>3609</v>
      </c>
      <c r="B3605">
        <v>0.99542014353169495</v>
      </c>
      <c r="C3605">
        <v>0.76706181985372202</v>
      </c>
      <c r="D3605">
        <v>0.89496112948838102</v>
      </c>
      <c r="E3605">
        <v>0.79565202776617905</v>
      </c>
      <c r="F3605">
        <v>0.92117259629403503</v>
      </c>
      <c r="G3605">
        <v>0.65186660208936298</v>
      </c>
      <c r="H3605">
        <v>1.18477852399415</v>
      </c>
      <c r="I3605">
        <v>0.133541653612647</v>
      </c>
      <c r="J3605">
        <v>3.6538676244450001E-2</v>
      </c>
      <c r="K3605">
        <v>1.9526253421954999E-2</v>
      </c>
      <c r="S3605" t="s">
        <v>10007</v>
      </c>
      <c r="T3605" t="s">
        <v>12802</v>
      </c>
      <c r="U3605" t="s">
        <v>12803</v>
      </c>
      <c r="V3605" t="s">
        <v>12802</v>
      </c>
      <c r="W3605" t="s">
        <v>16356</v>
      </c>
      <c r="X3605">
        <v>2</v>
      </c>
      <c r="Y3605" t="s">
        <v>22591</v>
      </c>
      <c r="Z3605" t="s">
        <v>28923</v>
      </c>
      <c r="AB3605" t="str">
        <f>HYPERLINK("Melting_Curves/meltCurve_Q16739_UGCG.pdf", "Melting_Curves/meltCurve_Q16739_UGCG.pdf")</f>
        <v>Melting_Curves/meltCurve_Q16739_UGCG.pdf</v>
      </c>
    </row>
    <row r="3606" spans="1:28" x14ac:dyDescent="0.25">
      <c r="A3606" t="s">
        <v>3610</v>
      </c>
      <c r="B3606">
        <v>0.99542014353169495</v>
      </c>
      <c r="C3606">
        <v>0.92810088188537898</v>
      </c>
      <c r="D3606">
        <v>0.88982685051680999</v>
      </c>
      <c r="E3606">
        <v>0.76749454010006402</v>
      </c>
      <c r="F3606">
        <v>0.59848197384349799</v>
      </c>
      <c r="G3606">
        <v>0.47680989339062002</v>
      </c>
      <c r="H3606">
        <v>0.30802371882407797</v>
      </c>
      <c r="I3606">
        <v>0.20828725384062299</v>
      </c>
      <c r="J3606">
        <v>0.10933789189486599</v>
      </c>
      <c r="K3606">
        <v>7.5789821904417395E-2</v>
      </c>
      <c r="L3606">
        <v>518.20775622809595</v>
      </c>
      <c r="M3606">
        <v>9.8789734687578097</v>
      </c>
      <c r="N3606">
        <v>52.455627886543098</v>
      </c>
      <c r="O3606">
        <v>50.4418998348348</v>
      </c>
      <c r="P3606">
        <v>-4.8987109836795197E-2</v>
      </c>
      <c r="Q3606">
        <v>0</v>
      </c>
      <c r="R3606">
        <v>0.99568225132757904</v>
      </c>
      <c r="S3606" t="s">
        <v>10008</v>
      </c>
      <c r="T3606" t="s">
        <v>12802</v>
      </c>
      <c r="U3606" t="s">
        <v>12802</v>
      </c>
      <c r="V3606" t="s">
        <v>12802</v>
      </c>
      <c r="W3606" t="s">
        <v>16357</v>
      </c>
      <c r="X3606">
        <v>10</v>
      </c>
      <c r="Y3606" t="s">
        <v>22592</v>
      </c>
      <c r="Z3606" t="s">
        <v>28924</v>
      </c>
      <c r="AA3606">
        <v>0.54006430970943076</v>
      </c>
      <c r="AB3606" t="str">
        <f>HYPERLINK("Melting_Curves/meltCurve_Q16740_CLPP.pdf", "Melting_Curves/meltCurve_Q16740_CLPP.pdf")</f>
        <v>Melting_Curves/meltCurve_Q16740_CLPP.pdf</v>
      </c>
    </row>
    <row r="3607" spans="1:28" x14ac:dyDescent="0.25">
      <c r="A3607" t="s">
        <v>3611</v>
      </c>
      <c r="B3607">
        <v>0.99542014353169495</v>
      </c>
      <c r="C3607">
        <v>1.0195066771808099</v>
      </c>
      <c r="D3607">
        <v>0.88784618750633204</v>
      </c>
      <c r="E3607">
        <v>0.370003271873794</v>
      </c>
      <c r="F3607">
        <v>0.16361038840961001</v>
      </c>
      <c r="G3607">
        <v>0.102734330290044</v>
      </c>
      <c r="H3607">
        <v>8.7074381266412801E-2</v>
      </c>
      <c r="I3607">
        <v>6.8103931622123998E-2</v>
      </c>
      <c r="J3607">
        <v>7.2776403114625299E-2</v>
      </c>
      <c r="K3607">
        <v>9.6781712775021803E-2</v>
      </c>
      <c r="L3607">
        <v>1475.2604760005399</v>
      </c>
      <c r="M3607">
        <v>32.406818272350797</v>
      </c>
      <c r="N3607">
        <v>45.799508888383301</v>
      </c>
      <c r="O3607">
        <v>45.350871123872501</v>
      </c>
      <c r="P3607">
        <v>-0.16278083491318401</v>
      </c>
      <c r="Q3607">
        <v>8.8807218778043498E-2</v>
      </c>
      <c r="R3607">
        <v>0.998103449073795</v>
      </c>
      <c r="S3607" t="s">
        <v>10009</v>
      </c>
      <c r="T3607" t="s">
        <v>12802</v>
      </c>
      <c r="U3607" t="s">
        <v>12802</v>
      </c>
      <c r="V3607" t="s">
        <v>12802</v>
      </c>
      <c r="W3607" t="s">
        <v>16358</v>
      </c>
      <c r="X3607">
        <v>9</v>
      </c>
      <c r="Y3607" t="s">
        <v>22593</v>
      </c>
      <c r="Z3607" t="s">
        <v>28925</v>
      </c>
      <c r="AA3607">
        <v>0.35208407400218322</v>
      </c>
      <c r="AB3607" t="str">
        <f>HYPERLINK("Melting_Curves/meltCurve_Q16762_TST.pdf", "Melting_Curves/meltCurve_Q16762_TST.pdf")</f>
        <v>Melting_Curves/meltCurve_Q16762_TST.pdf</v>
      </c>
    </row>
    <row r="3608" spans="1:28" x14ac:dyDescent="0.25">
      <c r="A3608" t="s">
        <v>3612</v>
      </c>
      <c r="B3608">
        <v>0.99542014353169495</v>
      </c>
      <c r="C3608">
        <v>1.0036374530072301</v>
      </c>
      <c r="D3608">
        <v>0.87897784132169099</v>
      </c>
      <c r="E3608">
        <v>0.85689937830137897</v>
      </c>
      <c r="F3608">
        <v>0.56057840551901394</v>
      </c>
      <c r="G3608">
        <v>0.286349268417188</v>
      </c>
      <c r="H3608">
        <v>0.114454443160677</v>
      </c>
      <c r="I3608">
        <v>7.6348711377112397E-2</v>
      </c>
      <c r="J3608">
        <v>8.79221383768857E-2</v>
      </c>
      <c r="K3608">
        <v>7.8653353192084594E-2</v>
      </c>
      <c r="L3608">
        <v>939.364559371837</v>
      </c>
      <c r="M3608">
        <v>18.599223971532599</v>
      </c>
      <c r="N3608">
        <v>50.810151516844599</v>
      </c>
      <c r="O3608">
        <v>49.932610022431099</v>
      </c>
      <c r="P3608">
        <v>-8.8213392018125905E-2</v>
      </c>
      <c r="Q3608">
        <v>5.2749210453712801E-2</v>
      </c>
      <c r="R3608">
        <v>0.99356982998111598</v>
      </c>
      <c r="S3608" t="s">
        <v>10010</v>
      </c>
      <c r="T3608" t="s">
        <v>12802</v>
      </c>
      <c r="U3608" t="s">
        <v>12802</v>
      </c>
      <c r="V3608" t="s">
        <v>12802</v>
      </c>
      <c r="W3608" t="s">
        <v>16359</v>
      </c>
      <c r="X3608">
        <v>11</v>
      </c>
      <c r="Y3608" t="s">
        <v>22594</v>
      </c>
      <c r="Z3608" t="s">
        <v>28926</v>
      </c>
      <c r="AA3608">
        <v>0.49324388799075619</v>
      </c>
      <c r="AB3608" t="str">
        <f>HYPERLINK("Melting_Curves/meltCurve_Q16763_UBE2S.pdf", "Melting_Curves/meltCurve_Q16763_UBE2S.pdf")</f>
        <v>Melting_Curves/meltCurve_Q16763_UBE2S.pdf</v>
      </c>
    </row>
    <row r="3609" spans="1:28" x14ac:dyDescent="0.25">
      <c r="A3609" t="s">
        <v>3613</v>
      </c>
      <c r="B3609">
        <v>0.99542014353169495</v>
      </c>
      <c r="C3609">
        <v>0.75895373008312095</v>
      </c>
      <c r="D3609">
        <v>0.72578605183179101</v>
      </c>
      <c r="E3609">
        <v>0.46694836546488899</v>
      </c>
      <c r="F3609">
        <v>0.22467331144309099</v>
      </c>
      <c r="G3609">
        <v>0.13406225898142499</v>
      </c>
      <c r="H3609">
        <v>7.1391270958608699E-2</v>
      </c>
      <c r="I3609">
        <v>5.7760333399825302E-2</v>
      </c>
      <c r="J3609">
        <v>9.5622274396669593E-2</v>
      </c>
      <c r="K3609">
        <v>0.116515405320753</v>
      </c>
      <c r="L3609">
        <v>601.53464732697296</v>
      </c>
      <c r="M3609">
        <v>13.3157472880368</v>
      </c>
      <c r="N3609">
        <v>45.565088396105601</v>
      </c>
      <c r="O3609">
        <v>44.1922964486849</v>
      </c>
      <c r="P3609">
        <v>-7.12786044462764E-2</v>
      </c>
      <c r="Q3609">
        <v>5.3914620149324001E-2</v>
      </c>
      <c r="R3609">
        <v>0.98000969478503996</v>
      </c>
      <c r="S3609" t="s">
        <v>10011</v>
      </c>
      <c r="T3609" t="s">
        <v>12802</v>
      </c>
      <c r="U3609" t="s">
        <v>12802</v>
      </c>
      <c r="V3609" t="s">
        <v>12802</v>
      </c>
      <c r="W3609" t="s">
        <v>16360</v>
      </c>
      <c r="X3609">
        <v>6</v>
      </c>
      <c r="Y3609" t="s">
        <v>22595</v>
      </c>
      <c r="Z3609" t="s">
        <v>28927</v>
      </c>
      <c r="AA3609">
        <v>0.33986586357558068</v>
      </c>
      <c r="AB3609" t="str">
        <f>HYPERLINK("Melting_Curves/meltCurve_Q16778_HIST2H2BE.pdf", "Melting_Curves/meltCurve_Q16778_HIST2H2BE.pdf")</f>
        <v>Melting_Curves/meltCurve_Q16778_HIST2H2BE.pdf</v>
      </c>
    </row>
    <row r="3610" spans="1:28" x14ac:dyDescent="0.25">
      <c r="A3610" t="s">
        <v>3614</v>
      </c>
      <c r="B3610">
        <v>0.99542014353169495</v>
      </c>
      <c r="C3610">
        <v>0.75566213161968998</v>
      </c>
      <c r="D3610">
        <v>0.86389309858442598</v>
      </c>
      <c r="E3610">
        <v>0.61166356138349498</v>
      </c>
      <c r="F3610">
        <v>0.27019151248964701</v>
      </c>
      <c r="G3610">
        <v>0.20296175847810699</v>
      </c>
      <c r="H3610">
        <v>0.12159659920126099</v>
      </c>
      <c r="I3610">
        <v>0.115494623070222</v>
      </c>
      <c r="J3610">
        <v>6.2998161497636804E-2</v>
      </c>
      <c r="K3610">
        <v>8.3722747062292296E-2</v>
      </c>
      <c r="L3610">
        <v>622.14463119507002</v>
      </c>
      <c r="M3610">
        <v>13.2110501993649</v>
      </c>
      <c r="N3610">
        <v>47.456600799385498</v>
      </c>
      <c r="O3610">
        <v>46.052946554190598</v>
      </c>
      <c r="P3610">
        <v>-6.8273751018955303E-2</v>
      </c>
      <c r="Q3610">
        <v>4.8164762193168502E-2</v>
      </c>
      <c r="R3610">
        <v>0.96433558493038996</v>
      </c>
      <c r="S3610" t="s">
        <v>10012</v>
      </c>
      <c r="T3610" t="s">
        <v>12802</v>
      </c>
      <c r="U3610" t="s">
        <v>12802</v>
      </c>
      <c r="V3610" t="s">
        <v>12802</v>
      </c>
      <c r="W3610" t="s">
        <v>16361</v>
      </c>
      <c r="X3610">
        <v>7</v>
      </c>
      <c r="Y3610" t="s">
        <v>22596</v>
      </c>
      <c r="Z3610" t="s">
        <v>28928</v>
      </c>
      <c r="AA3610">
        <v>0.3950175379657479</v>
      </c>
      <c r="AB3610" t="str">
        <f>HYPERLINK("Melting_Curves/meltCurve_Q16795_NDUFA9.pdf", "Melting_Curves/meltCurve_Q16795_NDUFA9.pdf")</f>
        <v>Melting_Curves/meltCurve_Q16795_NDUFA9.pdf</v>
      </c>
    </row>
    <row r="3611" spans="1:28" x14ac:dyDescent="0.25">
      <c r="A3611" t="s">
        <v>3615</v>
      </c>
      <c r="B3611">
        <v>0.99542014353169495</v>
      </c>
      <c r="C3611">
        <v>1.02963391042588</v>
      </c>
      <c r="D3611">
        <v>0.93857842650196899</v>
      </c>
      <c r="E3611">
        <v>0.87757971782523103</v>
      </c>
      <c r="F3611">
        <v>0.66602364204223397</v>
      </c>
      <c r="G3611">
        <v>0.33194974700596902</v>
      </c>
      <c r="H3611">
        <v>0.10445814264292599</v>
      </c>
      <c r="I3611">
        <v>7.1310581841722898E-2</v>
      </c>
      <c r="J3611">
        <v>7.1311724504280305E-2</v>
      </c>
      <c r="K3611">
        <v>7.0058550762468502E-2</v>
      </c>
      <c r="L3611">
        <v>1072.0017227887199</v>
      </c>
      <c r="M3611">
        <v>20.817685762777</v>
      </c>
      <c r="N3611">
        <v>51.719005975967903</v>
      </c>
      <c r="O3611">
        <v>51.026654691826899</v>
      </c>
      <c r="P3611">
        <v>-9.7595402552538499E-2</v>
      </c>
      <c r="Q3611">
        <v>4.3154250145005603E-2</v>
      </c>
      <c r="R3611">
        <v>0.99604370592934199</v>
      </c>
      <c r="S3611" t="s">
        <v>10013</v>
      </c>
      <c r="T3611" t="s">
        <v>12802</v>
      </c>
      <c r="U3611" t="s">
        <v>12802</v>
      </c>
      <c r="V3611" t="s">
        <v>12802</v>
      </c>
      <c r="W3611" t="s">
        <v>16362</v>
      </c>
      <c r="X3611">
        <v>25</v>
      </c>
      <c r="Y3611" t="s">
        <v>22597</v>
      </c>
      <c r="Z3611" t="s">
        <v>28929</v>
      </c>
      <c r="AA3611">
        <v>0.51712727147453963</v>
      </c>
      <c r="AB3611" t="str">
        <f>HYPERLINK("Melting_Curves/meltCurve_Q16822_PCK2.pdf", "Melting_Curves/meltCurve_Q16822_PCK2.pdf")</f>
        <v>Melting_Curves/meltCurve_Q16822_PCK2.pdf</v>
      </c>
    </row>
    <row r="3612" spans="1:28" x14ac:dyDescent="0.25">
      <c r="A3612" t="s">
        <v>3616</v>
      </c>
      <c r="B3612">
        <v>0.99542014353169495</v>
      </c>
      <c r="C3612">
        <v>0.85907848306772805</v>
      </c>
      <c r="D3612">
        <v>0.92011895767090601</v>
      </c>
      <c r="E3612">
        <v>0.64117469877234901</v>
      </c>
      <c r="F3612">
        <v>0.33234232148714998</v>
      </c>
      <c r="G3612">
        <v>0.15420539717960999</v>
      </c>
      <c r="H3612">
        <v>0.12520813045388299</v>
      </c>
      <c r="I3612">
        <v>8.2717885225805601E-2</v>
      </c>
      <c r="J3612">
        <v>6.0549369788850199E-2</v>
      </c>
      <c r="K3612">
        <v>8.0221942388047696E-2</v>
      </c>
      <c r="L3612">
        <v>853.05469009739898</v>
      </c>
      <c r="M3612">
        <v>17.867896229188201</v>
      </c>
      <c r="N3612">
        <v>48.105419604900398</v>
      </c>
      <c r="O3612">
        <v>47.156351330295799</v>
      </c>
      <c r="P3612">
        <v>-8.8755539814712195E-2</v>
      </c>
      <c r="Q3612">
        <v>6.3085036754004301E-2</v>
      </c>
      <c r="R3612">
        <v>0.98867104932725502</v>
      </c>
      <c r="S3612" t="s">
        <v>10014</v>
      </c>
      <c r="T3612" t="s">
        <v>12802</v>
      </c>
      <c r="U3612" t="s">
        <v>12802</v>
      </c>
      <c r="V3612" t="s">
        <v>12802</v>
      </c>
      <c r="W3612" t="s">
        <v>16363</v>
      </c>
      <c r="X3612">
        <v>5</v>
      </c>
      <c r="Y3612" t="s">
        <v>22598</v>
      </c>
      <c r="Z3612" t="s">
        <v>28930</v>
      </c>
      <c r="AA3612">
        <v>0.41376992010370101</v>
      </c>
      <c r="AB3612" t="str">
        <f>HYPERLINK("Melting_Curves/meltCurve_Q16842_ST3GAL2.pdf", "Melting_Curves/meltCurve_Q16842_ST3GAL2.pdf")</f>
        <v>Melting_Curves/meltCurve_Q16842_ST3GAL2.pdf</v>
      </c>
    </row>
    <row r="3613" spans="1:28" x14ac:dyDescent="0.25">
      <c r="A3613" t="s">
        <v>3617</v>
      </c>
      <c r="B3613">
        <v>0.99542014353169495</v>
      </c>
      <c r="C3613">
        <v>0.96778809063843196</v>
      </c>
      <c r="D3613">
        <v>0.84880269192088897</v>
      </c>
      <c r="E3613">
        <v>0.48280519633576602</v>
      </c>
      <c r="F3613">
        <v>0.27089011105241501</v>
      </c>
      <c r="G3613">
        <v>0.161869615174311</v>
      </c>
      <c r="H3613">
        <v>6.4116443649297195E-2</v>
      </c>
      <c r="I3613">
        <v>4.1981004096939598E-2</v>
      </c>
      <c r="J3613">
        <v>4.0806840311625799E-2</v>
      </c>
      <c r="K3613">
        <v>3.4986433598301198E-2</v>
      </c>
      <c r="L3613">
        <v>812.74138294026102</v>
      </c>
      <c r="M3613">
        <v>17.421021240259599</v>
      </c>
      <c r="N3613">
        <v>46.8631502325374</v>
      </c>
      <c r="O3613">
        <v>46.051205036620203</v>
      </c>
      <c r="P3613">
        <v>-9.1024339073561694E-2</v>
      </c>
      <c r="Q3613">
        <v>3.7589083651184498E-2</v>
      </c>
      <c r="R3613">
        <v>0.99682120918016104</v>
      </c>
      <c r="S3613" t="s">
        <v>10015</v>
      </c>
      <c r="T3613" t="s">
        <v>12802</v>
      </c>
      <c r="U3613" t="s">
        <v>12802</v>
      </c>
      <c r="V3613" t="s">
        <v>12802</v>
      </c>
      <c r="W3613" t="s">
        <v>16364</v>
      </c>
      <c r="X3613">
        <v>14</v>
      </c>
      <c r="Y3613" t="s">
        <v>22599</v>
      </c>
      <c r="Z3613" t="s">
        <v>28931</v>
      </c>
      <c r="AA3613">
        <v>0.36374574431312029</v>
      </c>
      <c r="AB3613" t="str">
        <f>HYPERLINK("Melting_Curves/meltCurve_Q16850_CYP51A1.pdf", "Melting_Curves/meltCurve_Q16850_CYP51A1.pdf")</f>
        <v>Melting_Curves/meltCurve_Q16850_CYP51A1.pdf</v>
      </c>
    </row>
    <row r="3614" spans="1:28" x14ac:dyDescent="0.25">
      <c r="A3614" t="s">
        <v>3618</v>
      </c>
      <c r="B3614">
        <v>0.99542014353169495</v>
      </c>
      <c r="C3614">
        <v>1.20708470891035</v>
      </c>
      <c r="D3614">
        <v>1.2163489514519099</v>
      </c>
      <c r="E3614">
        <v>1.5094407230351701</v>
      </c>
      <c r="F3614">
        <v>1.3690228488196301</v>
      </c>
      <c r="G3614">
        <v>0.97125023816998801</v>
      </c>
      <c r="H3614">
        <v>0.87361219512365695</v>
      </c>
      <c r="I3614">
        <v>0.63444134677938702</v>
      </c>
      <c r="J3614">
        <v>0.732639579358485</v>
      </c>
      <c r="K3614">
        <v>0.47384642200161298</v>
      </c>
      <c r="L3614">
        <v>1887.56495295379</v>
      </c>
      <c r="M3614">
        <v>31.984782399018599</v>
      </c>
      <c r="O3614">
        <v>58.7852184412844</v>
      </c>
      <c r="P3614">
        <v>-5.9409307289247898E-2</v>
      </c>
      <c r="Q3614">
        <v>0.56324587856574504</v>
      </c>
      <c r="R3614">
        <v>0.47441018045237099</v>
      </c>
      <c r="S3614" t="s">
        <v>10016</v>
      </c>
      <c r="T3614" t="s">
        <v>12802</v>
      </c>
      <c r="U3614" t="s">
        <v>12802</v>
      </c>
      <c r="V3614" t="s">
        <v>12802</v>
      </c>
      <c r="W3614" t="s">
        <v>16365</v>
      </c>
      <c r="X3614">
        <v>1</v>
      </c>
      <c r="Y3614" t="s">
        <v>22600</v>
      </c>
      <c r="Z3614" t="s">
        <v>28932</v>
      </c>
      <c r="AA3614">
        <v>0.88572667498412938</v>
      </c>
      <c r="AB3614" t="str">
        <f>HYPERLINK("Melting_Curves/meltCurve_Q16854_DGUOK.pdf", "Melting_Curves/meltCurve_Q16854_DGUOK.pdf")</f>
        <v>Melting_Curves/meltCurve_Q16854_DGUOK.pdf</v>
      </c>
    </row>
    <row r="3615" spans="1:28" x14ac:dyDescent="0.25">
      <c r="A3615" t="s">
        <v>3619</v>
      </c>
      <c r="B3615">
        <v>0.99542014353169495</v>
      </c>
      <c r="C3615">
        <v>0.95083393786812997</v>
      </c>
      <c r="D3615">
        <v>0.88481077225042104</v>
      </c>
      <c r="E3615">
        <v>0.69628531274058603</v>
      </c>
      <c r="F3615">
        <v>0.57357516174942802</v>
      </c>
      <c r="G3615">
        <v>0.37523894222590398</v>
      </c>
      <c r="H3615">
        <v>0.28267573149297698</v>
      </c>
      <c r="I3615">
        <v>0.22057949364020599</v>
      </c>
      <c r="J3615">
        <v>0.25030211121148899</v>
      </c>
      <c r="K3615">
        <v>0.268653568036964</v>
      </c>
      <c r="L3615">
        <v>646.98080746564699</v>
      </c>
      <c r="M3615">
        <v>13.2809989965663</v>
      </c>
      <c r="N3615">
        <v>50.798544449682197</v>
      </c>
      <c r="O3615">
        <v>47.6500471311331</v>
      </c>
      <c r="P3615">
        <v>-5.5054755338650598E-2</v>
      </c>
      <c r="Q3615">
        <v>0.21001862635902399</v>
      </c>
      <c r="R3615">
        <v>0.99259722395189098</v>
      </c>
      <c r="S3615" t="s">
        <v>10017</v>
      </c>
      <c r="T3615" t="s">
        <v>12802</v>
      </c>
      <c r="U3615" t="s">
        <v>12802</v>
      </c>
      <c r="V3615" t="s">
        <v>12802</v>
      </c>
      <c r="W3615" t="s">
        <v>16366</v>
      </c>
      <c r="X3615">
        <v>4</v>
      </c>
      <c r="Y3615" t="s">
        <v>22601</v>
      </c>
      <c r="Z3615" t="s">
        <v>28933</v>
      </c>
      <c r="AA3615">
        <v>0.53914382320799403</v>
      </c>
      <c r="AB3615" t="str">
        <f>HYPERLINK("Melting_Curves/meltCurve_Q16864_ATP6V1F.pdf", "Melting_Curves/meltCurve_Q16864_ATP6V1F.pdf")</f>
        <v>Melting_Curves/meltCurve_Q16864_ATP6V1F.pdf</v>
      </c>
    </row>
    <row r="3616" spans="1:28" x14ac:dyDescent="0.25">
      <c r="A3616" t="s">
        <v>3620</v>
      </c>
      <c r="B3616">
        <v>0.99542014353169495</v>
      </c>
      <c r="C3616">
        <v>0.927266930619704</v>
      </c>
      <c r="D3616">
        <v>1.07471888932043</v>
      </c>
      <c r="E3616">
        <v>0.71033171336113399</v>
      </c>
      <c r="F3616">
        <v>0.62032409225526097</v>
      </c>
      <c r="G3616">
        <v>0.32054751816937699</v>
      </c>
      <c r="H3616">
        <v>0.17453411684398701</v>
      </c>
      <c r="I3616">
        <v>0.11997998837504301</v>
      </c>
      <c r="J3616">
        <v>0.1258631502965</v>
      </c>
      <c r="K3616">
        <v>0.16405187842473601</v>
      </c>
      <c r="L3616">
        <v>859.53397308718002</v>
      </c>
      <c r="M3616">
        <v>17.109751597286699</v>
      </c>
      <c r="N3616">
        <v>50.959340295455597</v>
      </c>
      <c r="O3616">
        <v>49.565304755751001</v>
      </c>
      <c r="P3616">
        <v>-7.7005350035954004E-2</v>
      </c>
      <c r="Q3616">
        <v>0.10774536523825499</v>
      </c>
      <c r="R3616">
        <v>0.97235550367763202</v>
      </c>
      <c r="S3616" t="s">
        <v>10018</v>
      </c>
      <c r="T3616" t="s">
        <v>12802</v>
      </c>
      <c r="U3616" t="s">
        <v>12802</v>
      </c>
      <c r="V3616" t="s">
        <v>12802</v>
      </c>
      <c r="W3616" t="s">
        <v>16367</v>
      </c>
      <c r="X3616">
        <v>1</v>
      </c>
      <c r="Y3616" t="s">
        <v>22602</v>
      </c>
      <c r="Z3616" t="s">
        <v>28934</v>
      </c>
      <c r="AA3616">
        <v>0.51662204118122845</v>
      </c>
      <c r="AB3616" t="str">
        <f>HYPERLINK("Melting_Curves/meltCurve_Q16880_UGT8.pdf", "Melting_Curves/meltCurve_Q16880_UGT8.pdf")</f>
        <v>Melting_Curves/meltCurve_Q16880_UGT8.pdf</v>
      </c>
    </row>
    <row r="3617" spans="1:28" x14ac:dyDescent="0.25">
      <c r="A3617" t="s">
        <v>3621</v>
      </c>
      <c r="B3617">
        <v>0.99542014353169495</v>
      </c>
      <c r="C3617">
        <v>0.75656371458227001</v>
      </c>
      <c r="D3617">
        <v>0.86510360107838002</v>
      </c>
      <c r="E3617">
        <v>0.53211385729606897</v>
      </c>
      <c r="F3617">
        <v>0.50328423884449602</v>
      </c>
      <c r="G3617">
        <v>0.20388099989084499</v>
      </c>
      <c r="H3617">
        <v>0.113809625765909</v>
      </c>
      <c r="I3617">
        <v>8.6754612870861197E-2</v>
      </c>
      <c r="J3617">
        <v>0.121439894346157</v>
      </c>
      <c r="K3617">
        <v>0.121477924544452</v>
      </c>
      <c r="L3617">
        <v>506.83888872810502</v>
      </c>
      <c r="M3617">
        <v>10.5905831143521</v>
      </c>
      <c r="N3617">
        <v>48.139580959466599</v>
      </c>
      <c r="O3617">
        <v>46.245709198576101</v>
      </c>
      <c r="P3617">
        <v>-5.55509553937839E-2</v>
      </c>
      <c r="Q3617">
        <v>3.0084817655617501E-2</v>
      </c>
      <c r="R3617">
        <v>0.95113594333739704</v>
      </c>
      <c r="S3617" t="s">
        <v>10019</v>
      </c>
      <c r="T3617" t="s">
        <v>12802</v>
      </c>
      <c r="U3617" t="s">
        <v>12802</v>
      </c>
      <c r="V3617" t="s">
        <v>12802</v>
      </c>
      <c r="W3617" t="s">
        <v>16368</v>
      </c>
      <c r="X3617">
        <v>45</v>
      </c>
      <c r="Y3617" t="s">
        <v>19418</v>
      </c>
      <c r="Z3617" t="s">
        <v>28935</v>
      </c>
      <c r="AA3617">
        <v>0.41761206509612608</v>
      </c>
      <c r="AB3617" t="str">
        <f>HYPERLINK("Melting_Curves/meltCurve_Q16891_2_IMMT.pdf", "Melting_Curves/meltCurve_Q16891_2_IMMT.pdf")</f>
        <v>Melting_Curves/meltCurve_Q16891_2_IMMT.pdf</v>
      </c>
    </row>
    <row r="3618" spans="1:28" x14ac:dyDescent="0.25">
      <c r="A3618" t="s">
        <v>3622</v>
      </c>
      <c r="B3618">
        <v>0.99542014353169495</v>
      </c>
      <c r="C3618">
        <v>0.91088186797174497</v>
      </c>
      <c r="D3618">
        <v>0.90204111559342304</v>
      </c>
      <c r="E3618">
        <v>0.56219278489326197</v>
      </c>
      <c r="F3618">
        <v>0.18727153107759401</v>
      </c>
      <c r="G3618">
        <v>0.104467194999164</v>
      </c>
      <c r="H3618">
        <v>7.0347080702536993E-2</v>
      </c>
      <c r="I3618">
        <v>4.6265666293978498E-2</v>
      </c>
      <c r="J3618">
        <v>5.9931100452958103E-2</v>
      </c>
      <c r="K3618">
        <v>6.6213551172656399E-2</v>
      </c>
      <c r="L3618">
        <v>1124.8116414895601</v>
      </c>
      <c r="M3618">
        <v>24.0483223302078</v>
      </c>
      <c r="N3618">
        <v>47.004044001479102</v>
      </c>
      <c r="O3618">
        <v>46.453163896889102</v>
      </c>
      <c r="P3618">
        <v>-0.122209202038691</v>
      </c>
      <c r="Q3618">
        <v>5.5748964696719999E-2</v>
      </c>
      <c r="R3618">
        <v>0.99557591305058202</v>
      </c>
      <c r="S3618" t="s">
        <v>10020</v>
      </c>
      <c r="T3618" t="s">
        <v>12802</v>
      </c>
      <c r="U3618" t="s">
        <v>12802</v>
      </c>
      <c r="V3618" t="s">
        <v>12802</v>
      </c>
      <c r="W3618" t="s">
        <v>16369</v>
      </c>
      <c r="X3618">
        <v>10</v>
      </c>
      <c r="Y3618" t="s">
        <v>22603</v>
      </c>
      <c r="Z3618" t="s">
        <v>28936</v>
      </c>
      <c r="AA3618">
        <v>0.37190202791036281</v>
      </c>
      <c r="AB3618" t="str">
        <f>HYPERLINK("Melting_Curves/meltCurve_Q17RU2_REL.pdf", "Melting_Curves/meltCurve_Q17RU2_REL.pdf")</f>
        <v>Melting_Curves/meltCurve_Q17RU2_REL.pdf</v>
      </c>
    </row>
    <row r="3619" spans="1:28" x14ac:dyDescent="0.25">
      <c r="A3619" t="s">
        <v>3623</v>
      </c>
      <c r="B3619">
        <v>0.99542014353169495</v>
      </c>
      <c r="C3619">
        <v>1.0243219309235101</v>
      </c>
      <c r="D3619">
        <v>1.1876421522370399</v>
      </c>
      <c r="E3619">
        <v>0.86456653006158202</v>
      </c>
      <c r="F3619">
        <v>0.58745958806335397</v>
      </c>
      <c r="G3619">
        <v>0.34509723526564501</v>
      </c>
      <c r="H3619">
        <v>0.18540199374484401</v>
      </c>
      <c r="I3619">
        <v>0.12163200137496399</v>
      </c>
      <c r="J3619">
        <v>0.190338354343423</v>
      </c>
      <c r="K3619">
        <v>0.20006228607209001</v>
      </c>
      <c r="L3619">
        <v>1258.3876498740501</v>
      </c>
      <c r="M3619">
        <v>24.995248163194201</v>
      </c>
      <c r="N3619">
        <v>51.181575507972198</v>
      </c>
      <c r="O3619">
        <v>50.026142994633702</v>
      </c>
      <c r="P3619">
        <v>-0.103966974630516</v>
      </c>
      <c r="Q3619">
        <v>0.16768233442070801</v>
      </c>
      <c r="R3619">
        <v>0.96867401279677701</v>
      </c>
      <c r="S3619" t="s">
        <v>10021</v>
      </c>
      <c r="T3619" t="s">
        <v>12802</v>
      </c>
      <c r="U3619" t="s">
        <v>12802</v>
      </c>
      <c r="V3619" t="s">
        <v>12802</v>
      </c>
      <c r="W3619" t="s">
        <v>16370</v>
      </c>
      <c r="X3619">
        <v>1</v>
      </c>
      <c r="Y3619" t="s">
        <v>22604</v>
      </c>
      <c r="Z3619" t="s">
        <v>28937</v>
      </c>
      <c r="AA3619">
        <v>0.54523383457837105</v>
      </c>
      <c r="AB3619" t="str">
        <f>HYPERLINK("Melting_Curves/meltCurve_Q1ED39_KNOP1.pdf", "Melting_Curves/meltCurve_Q1ED39_KNOP1.pdf")</f>
        <v>Melting_Curves/meltCurve_Q1ED39_KNOP1.pdf</v>
      </c>
    </row>
    <row r="3620" spans="1:28" x14ac:dyDescent="0.25">
      <c r="A3620" t="s">
        <v>3624</v>
      </c>
      <c r="B3620">
        <v>0.99542014353169495</v>
      </c>
      <c r="C3620">
        <v>1.01257601731145</v>
      </c>
      <c r="D3620">
        <v>0.982433161924536</v>
      </c>
      <c r="E3620">
        <v>0.923593297306743</v>
      </c>
      <c r="F3620">
        <v>0.59972362020932102</v>
      </c>
      <c r="G3620">
        <v>0.19402366227819001</v>
      </c>
      <c r="H3620">
        <v>0.116134599031029</v>
      </c>
      <c r="I3620">
        <v>8.4052307491654696E-2</v>
      </c>
      <c r="J3620">
        <v>0.10063390880338099</v>
      </c>
      <c r="K3620">
        <v>0.109672143649204</v>
      </c>
      <c r="L3620">
        <v>1611.95654072966</v>
      </c>
      <c r="M3620">
        <v>31.9226432137628</v>
      </c>
      <c r="N3620">
        <v>50.830062275693798</v>
      </c>
      <c r="O3620">
        <v>50.298792554354499</v>
      </c>
      <c r="P3620">
        <v>-0.143640039636902</v>
      </c>
      <c r="Q3620">
        <v>9.4701080748875802E-2</v>
      </c>
      <c r="R3620">
        <v>0.99915519818627796</v>
      </c>
      <c r="S3620" t="s">
        <v>10022</v>
      </c>
      <c r="T3620" t="s">
        <v>12802</v>
      </c>
      <c r="U3620" t="s">
        <v>12802</v>
      </c>
      <c r="V3620" t="s">
        <v>12802</v>
      </c>
      <c r="W3620" t="s">
        <v>16371</v>
      </c>
      <c r="X3620">
        <v>14</v>
      </c>
      <c r="Y3620" t="s">
        <v>22605</v>
      </c>
      <c r="Z3620" t="s">
        <v>28938</v>
      </c>
      <c r="AA3620">
        <v>0.50690916212194703</v>
      </c>
      <c r="AB3620" t="str">
        <f>HYPERLINK("Melting_Curves/meltCurve_Q1KMD3_HNRNPUL2.pdf", "Melting_Curves/meltCurve_Q1KMD3_HNRNPUL2.pdf")</f>
        <v>Melting_Curves/meltCurve_Q1KMD3_HNRNPUL2.pdf</v>
      </c>
    </row>
    <row r="3621" spans="1:28" x14ac:dyDescent="0.25">
      <c r="A3621" t="s">
        <v>3625</v>
      </c>
      <c r="B3621">
        <v>0.99542014353169495</v>
      </c>
      <c r="C3621">
        <v>0.94520642472218297</v>
      </c>
      <c r="D3621">
        <v>0.73591112969535899</v>
      </c>
      <c r="E3621">
        <v>0.44639748380231098</v>
      </c>
      <c r="F3621">
        <v>0.28256158247431801</v>
      </c>
      <c r="G3621">
        <v>0.18441087680578999</v>
      </c>
      <c r="H3621">
        <v>0.12202546597177399</v>
      </c>
      <c r="I3621">
        <v>8.4260701199363297E-2</v>
      </c>
      <c r="J3621">
        <v>8.3361531549687895E-2</v>
      </c>
      <c r="K3621">
        <v>0.107478163295193</v>
      </c>
      <c r="L3621">
        <v>726.41686095938405</v>
      </c>
      <c r="M3621">
        <v>15.9339695463645</v>
      </c>
      <c r="N3621">
        <v>46.162294676173701</v>
      </c>
      <c r="O3621">
        <v>44.889255921642501</v>
      </c>
      <c r="P3621">
        <v>-8.0783275413619196E-2</v>
      </c>
      <c r="Q3621">
        <v>8.97404307647333E-2</v>
      </c>
      <c r="R3621">
        <v>0.99701256442532804</v>
      </c>
      <c r="S3621" t="s">
        <v>10023</v>
      </c>
      <c r="T3621" t="s">
        <v>12802</v>
      </c>
      <c r="U3621" t="s">
        <v>12802</v>
      </c>
      <c r="V3621" t="s">
        <v>12802</v>
      </c>
      <c r="W3621" t="s">
        <v>16372</v>
      </c>
      <c r="X3621">
        <v>5</v>
      </c>
      <c r="Y3621" t="s">
        <v>22606</v>
      </c>
      <c r="Z3621" t="s">
        <v>28939</v>
      </c>
      <c r="AA3621">
        <v>0.36922459938843832</v>
      </c>
      <c r="AB3621" t="str">
        <f>HYPERLINK("Melting_Curves/meltCurve_Q1L5Z9_LONRF2.pdf", "Melting_Curves/meltCurve_Q1L5Z9_LONRF2.pdf")</f>
        <v>Melting_Curves/meltCurve_Q1L5Z9_LONRF2.pdf</v>
      </c>
    </row>
    <row r="3622" spans="1:28" x14ac:dyDescent="0.25">
      <c r="A3622" t="s">
        <v>3626</v>
      </c>
      <c r="B3622">
        <v>0.99542014353169495</v>
      </c>
      <c r="C3622">
        <v>1.0342945810563</v>
      </c>
      <c r="D3622">
        <v>0.949343025817039</v>
      </c>
      <c r="E3622">
        <v>0.71218328717698498</v>
      </c>
      <c r="F3622">
        <v>0.47886351125468202</v>
      </c>
      <c r="G3622">
        <v>0.33293914810442199</v>
      </c>
      <c r="H3622">
        <v>0.26653565384487199</v>
      </c>
      <c r="I3622">
        <v>0.26723124490373001</v>
      </c>
      <c r="J3622">
        <v>0.55521498403477898</v>
      </c>
      <c r="K3622">
        <v>1.2227640379111799</v>
      </c>
      <c r="L3622">
        <v>2464.6947417526198</v>
      </c>
      <c r="M3622">
        <v>53.350843377539299</v>
      </c>
      <c r="O3622">
        <v>46.133087957210499</v>
      </c>
      <c r="P3622">
        <v>-0.13875053452410899</v>
      </c>
      <c r="Q3622">
        <v>0.52008358578196501</v>
      </c>
      <c r="R3622">
        <v>0.40266159849226901</v>
      </c>
      <c r="S3622" t="s">
        <v>10024</v>
      </c>
      <c r="T3622" t="s">
        <v>12802</v>
      </c>
      <c r="U3622" t="s">
        <v>12802</v>
      </c>
      <c r="V3622" t="s">
        <v>12802</v>
      </c>
      <c r="W3622" t="s">
        <v>16373</v>
      </c>
      <c r="X3622">
        <v>13</v>
      </c>
      <c r="Y3622" t="s">
        <v>22607</v>
      </c>
      <c r="Z3622" t="s">
        <v>28940</v>
      </c>
      <c r="AA3622">
        <v>0.66808211452805621</v>
      </c>
      <c r="AB3622" t="str">
        <f>HYPERLINK("Melting_Curves/meltCurve_Q1MSJ5_1_CSPP1.pdf", "Melting_Curves/meltCurve_Q1MSJ5_1_CSPP1.pdf")</f>
        <v>Melting_Curves/meltCurve_Q1MSJ5_1_CSPP1.pdf</v>
      </c>
    </row>
    <row r="3623" spans="1:28" x14ac:dyDescent="0.25">
      <c r="A3623" t="s">
        <v>3627</v>
      </c>
      <c r="B3623">
        <v>0.99542014353169495</v>
      </c>
      <c r="C3623">
        <v>0.93897353332473399</v>
      </c>
      <c r="D3623">
        <v>0.99325288163119896</v>
      </c>
      <c r="E3623">
        <v>0.45384857755980301</v>
      </c>
      <c r="F3623">
        <v>0.22273999147125201</v>
      </c>
      <c r="G3623">
        <v>0.103270074491372</v>
      </c>
      <c r="H3623">
        <v>7.4374058860129003E-2</v>
      </c>
      <c r="I3623">
        <v>5.69437413855493E-2</v>
      </c>
      <c r="J3623">
        <v>5.8179930711581201E-2</v>
      </c>
      <c r="K3623">
        <v>6.4807361157995097E-2</v>
      </c>
      <c r="L3623">
        <v>1434.2160473963499</v>
      </c>
      <c r="M3623">
        <v>30.963148246701699</v>
      </c>
      <c r="N3623">
        <v>46.573049097956002</v>
      </c>
      <c r="O3623">
        <v>46.128157368257597</v>
      </c>
      <c r="P3623">
        <v>-0.15482265595910899</v>
      </c>
      <c r="Q3623">
        <v>7.74006552502184E-2</v>
      </c>
      <c r="R3623">
        <v>0.99007347580327698</v>
      </c>
      <c r="S3623" t="s">
        <v>10025</v>
      </c>
      <c r="T3623" t="s">
        <v>12802</v>
      </c>
      <c r="U3623" t="s">
        <v>12802</v>
      </c>
      <c r="V3623" t="s">
        <v>12802</v>
      </c>
      <c r="W3623" t="s">
        <v>16374</v>
      </c>
      <c r="X3623">
        <v>7</v>
      </c>
      <c r="Y3623" t="s">
        <v>22608</v>
      </c>
      <c r="Z3623" t="s">
        <v>28941</v>
      </c>
      <c r="AA3623">
        <v>0.36898952301852528</v>
      </c>
      <c r="AB3623" t="str">
        <f>HYPERLINK("Melting_Curves/meltCurve_Q27J81_2_INF2.pdf", "Melting_Curves/meltCurve_Q27J81_2_INF2.pdf")</f>
        <v>Melting_Curves/meltCurve_Q27J81_2_INF2.pdf</v>
      </c>
    </row>
    <row r="3624" spans="1:28" x14ac:dyDescent="0.25">
      <c r="A3624" t="s">
        <v>3628</v>
      </c>
      <c r="B3624">
        <v>0.99542014353169495</v>
      </c>
      <c r="C3624">
        <v>1.0785951377679299</v>
      </c>
      <c r="D3624">
        <v>1.0952466624461299</v>
      </c>
      <c r="E3624">
        <v>0.73728648877244696</v>
      </c>
      <c r="F3624">
        <v>0.54620526412853598</v>
      </c>
      <c r="G3624">
        <v>0.29520275755143599</v>
      </c>
      <c r="H3624">
        <v>0.214647331890777</v>
      </c>
      <c r="I3624">
        <v>0.145232533341765</v>
      </c>
      <c r="J3624">
        <v>0.216294351553491</v>
      </c>
      <c r="K3624">
        <v>0.20524773447073799</v>
      </c>
      <c r="L3624">
        <v>1074.9142434688199</v>
      </c>
      <c r="M3624">
        <v>21.8305115814373</v>
      </c>
      <c r="N3624">
        <v>50.300391127102401</v>
      </c>
      <c r="O3624">
        <v>48.831469683446997</v>
      </c>
      <c r="P3624">
        <v>-9.1140271521283803E-2</v>
      </c>
      <c r="Q3624">
        <v>0.184551821394564</v>
      </c>
      <c r="R3624">
        <v>0.97479848454889595</v>
      </c>
      <c r="S3624" t="s">
        <v>10026</v>
      </c>
      <c r="T3624" t="s">
        <v>12802</v>
      </c>
      <c r="U3624" t="s">
        <v>12802</v>
      </c>
      <c r="V3624" t="s">
        <v>12802</v>
      </c>
      <c r="W3624" t="s">
        <v>16375</v>
      </c>
      <c r="X3624">
        <v>3</v>
      </c>
      <c r="Y3624" t="s">
        <v>22609</v>
      </c>
      <c r="Z3624" t="s">
        <v>28942</v>
      </c>
      <c r="AA3624">
        <v>0.52637839120346741</v>
      </c>
      <c r="AB3624" t="str">
        <f>HYPERLINK("Melting_Curves/meltCurve_Q29980_MICB.pdf", "Melting_Curves/meltCurve_Q29980_MICB.pdf")</f>
        <v>Melting_Curves/meltCurve_Q29980_MICB.pdf</v>
      </c>
    </row>
    <row r="3625" spans="1:28" x14ac:dyDescent="0.25">
      <c r="A3625" t="s">
        <v>3629</v>
      </c>
      <c r="B3625">
        <v>0.99542014353169495</v>
      </c>
      <c r="C3625">
        <v>0.98066710976859806</v>
      </c>
      <c r="D3625">
        <v>0.92036464074968405</v>
      </c>
      <c r="E3625">
        <v>0.410799141564757</v>
      </c>
      <c r="F3625">
        <v>9.8465185105243297E-2</v>
      </c>
      <c r="G3625">
        <v>6.3044754091170399E-2</v>
      </c>
      <c r="H3625">
        <v>4.1501387147699201E-2</v>
      </c>
      <c r="I3625">
        <v>3.01568958037731E-2</v>
      </c>
      <c r="J3625">
        <v>3.2853683166616097E-2</v>
      </c>
      <c r="K3625">
        <v>3.3521072822853298E-2</v>
      </c>
      <c r="L3625">
        <v>1533.1821898104599</v>
      </c>
      <c r="M3625">
        <v>33.344916899156601</v>
      </c>
      <c r="N3625">
        <v>46.091463822261098</v>
      </c>
      <c r="O3625">
        <v>45.815062800577202</v>
      </c>
      <c r="P3625">
        <v>-0.174875725202501</v>
      </c>
      <c r="Q3625">
        <v>3.8905050726842902E-2</v>
      </c>
      <c r="R3625">
        <v>0.999578480806536</v>
      </c>
      <c r="S3625" t="s">
        <v>10027</v>
      </c>
      <c r="T3625" t="s">
        <v>12802</v>
      </c>
      <c r="U3625" t="s">
        <v>12802</v>
      </c>
      <c r="V3625" t="s">
        <v>12802</v>
      </c>
      <c r="W3625" t="s">
        <v>16376</v>
      </c>
      <c r="X3625">
        <v>57</v>
      </c>
      <c r="Y3625" t="s">
        <v>22610</v>
      </c>
      <c r="Z3625" t="s">
        <v>28943</v>
      </c>
      <c r="AA3625">
        <v>0.33099596447335228</v>
      </c>
      <c r="AB3625" t="str">
        <f>HYPERLINK("Melting_Curves/meltCurve_Q29RF7_PDS5A.pdf", "Melting_Curves/meltCurve_Q29RF7_PDS5A.pdf")</f>
        <v>Melting_Curves/meltCurve_Q29RF7_PDS5A.pdf</v>
      </c>
    </row>
    <row r="3626" spans="1:28" x14ac:dyDescent="0.25">
      <c r="A3626" t="s">
        <v>3630</v>
      </c>
      <c r="B3626">
        <v>0.99542014353169495</v>
      </c>
      <c r="C3626">
        <v>0.74874731861962496</v>
      </c>
      <c r="D3626">
        <v>0.43130056349065099</v>
      </c>
      <c r="E3626">
        <v>0.15943776227664899</v>
      </c>
      <c r="F3626">
        <v>0.14864639124283899</v>
      </c>
      <c r="G3626">
        <v>0.10242191491758799</v>
      </c>
      <c r="H3626">
        <v>5.12692822901578E-2</v>
      </c>
      <c r="I3626">
        <v>3.5424903750967102E-2</v>
      </c>
      <c r="J3626">
        <v>0</v>
      </c>
      <c r="K3626">
        <v>0</v>
      </c>
      <c r="L3626">
        <v>803.88569097630102</v>
      </c>
      <c r="M3626">
        <v>19.0352171385105</v>
      </c>
      <c r="N3626">
        <v>42.418824920777801</v>
      </c>
      <c r="O3626">
        <v>41.773686617692903</v>
      </c>
      <c r="P3626">
        <v>-0.109330503214304</v>
      </c>
      <c r="Q3626">
        <v>4.03140847921621E-2</v>
      </c>
      <c r="R3626">
        <v>0.98754546919451502</v>
      </c>
      <c r="S3626" t="s">
        <v>10028</v>
      </c>
      <c r="T3626" t="s">
        <v>12802</v>
      </c>
      <c r="U3626" t="s">
        <v>12802</v>
      </c>
      <c r="V3626" t="s">
        <v>12802</v>
      </c>
      <c r="W3626" t="s">
        <v>16377</v>
      </c>
      <c r="X3626">
        <v>1</v>
      </c>
      <c r="Y3626" t="s">
        <v>22611</v>
      </c>
      <c r="Z3626" t="s">
        <v>28944</v>
      </c>
      <c r="AA3626">
        <v>0.2235345706687136</v>
      </c>
      <c r="AB3626" t="str">
        <f>HYPERLINK("Melting_Curves/meltCurve_Q2KHR3_2_QSER1.pdf", "Melting_Curves/meltCurve_Q2KHR3_2_QSER1.pdf")</f>
        <v>Melting_Curves/meltCurve_Q2KHR3_2_QSER1.pdf</v>
      </c>
    </row>
    <row r="3627" spans="1:28" x14ac:dyDescent="0.25">
      <c r="A3627" t="s">
        <v>3631</v>
      </c>
      <c r="B3627">
        <v>0.99542014353169495</v>
      </c>
      <c r="C3627">
        <v>0.93761400895108604</v>
      </c>
      <c r="D3627">
        <v>1.10290268687396</v>
      </c>
      <c r="E3627">
        <v>1.02082769221157</v>
      </c>
      <c r="F3627">
        <v>0.83664230790087502</v>
      </c>
      <c r="G3627">
        <v>0.44470606907598997</v>
      </c>
      <c r="H3627">
        <v>0.159734770622005</v>
      </c>
      <c r="I3627">
        <v>3.3492826104158303E-2</v>
      </c>
      <c r="J3627">
        <v>2.1248743314184301E-2</v>
      </c>
      <c r="K3627">
        <v>5.64504321598246E-2</v>
      </c>
      <c r="L3627">
        <v>1480.68111256061</v>
      </c>
      <c r="M3627">
        <v>27.805078527504499</v>
      </c>
      <c r="N3627">
        <v>53.364363070549103</v>
      </c>
      <c r="O3627">
        <v>52.979017380928099</v>
      </c>
      <c r="P3627">
        <v>-0.127484378539235</v>
      </c>
      <c r="Q3627">
        <v>2.8387915523169101E-2</v>
      </c>
      <c r="R3627">
        <v>0.990547080026423</v>
      </c>
      <c r="S3627" t="s">
        <v>10029</v>
      </c>
      <c r="T3627" t="s">
        <v>12802</v>
      </c>
      <c r="U3627" t="s">
        <v>12802</v>
      </c>
      <c r="V3627" t="s">
        <v>12802</v>
      </c>
      <c r="W3627" t="s">
        <v>16378</v>
      </c>
      <c r="X3627">
        <v>4</v>
      </c>
      <c r="Y3627" t="s">
        <v>22612</v>
      </c>
      <c r="Z3627" t="s">
        <v>28945</v>
      </c>
      <c r="AA3627">
        <v>0.56186380738129804</v>
      </c>
      <c r="AB3627" t="str">
        <f>HYPERLINK("Melting_Curves/meltCurve_Q2KHT3_CLEC16A.pdf", "Melting_Curves/meltCurve_Q2KHT3_CLEC16A.pdf")</f>
        <v>Melting_Curves/meltCurve_Q2KHT3_CLEC16A.pdf</v>
      </c>
    </row>
    <row r="3628" spans="1:28" x14ac:dyDescent="0.25">
      <c r="A3628" t="s">
        <v>3632</v>
      </c>
      <c r="B3628">
        <v>0.99542014353169495</v>
      </c>
      <c r="C3628">
        <v>0.96121152792136699</v>
      </c>
      <c r="D3628">
        <v>0.93957198031141997</v>
      </c>
      <c r="E3628">
        <v>0.76590366534232102</v>
      </c>
      <c r="F3628">
        <v>0.52682899514302794</v>
      </c>
      <c r="G3628">
        <v>0.290739284608449</v>
      </c>
      <c r="H3628">
        <v>0.14241102454690699</v>
      </c>
      <c r="I3628">
        <v>7.7861818666769098E-2</v>
      </c>
      <c r="J3628">
        <v>0.113336936204914</v>
      </c>
      <c r="K3628">
        <v>0.107180978619468</v>
      </c>
      <c r="L3628">
        <v>826.48698356373802</v>
      </c>
      <c r="M3628">
        <v>16.572282362781898</v>
      </c>
      <c r="N3628">
        <v>50.330781967829601</v>
      </c>
      <c r="O3628">
        <v>49.162442808057897</v>
      </c>
      <c r="P3628">
        <v>-7.8366426002731499E-2</v>
      </c>
      <c r="Q3628">
        <v>7.0153001385646493E-2</v>
      </c>
      <c r="R3628">
        <v>0.99721082318451204</v>
      </c>
      <c r="S3628" t="s">
        <v>10030</v>
      </c>
      <c r="T3628" t="s">
        <v>12802</v>
      </c>
      <c r="U3628" t="s">
        <v>12802</v>
      </c>
      <c r="V3628" t="s">
        <v>12802</v>
      </c>
      <c r="W3628" t="s">
        <v>16379</v>
      </c>
      <c r="X3628">
        <v>7</v>
      </c>
      <c r="Y3628" t="s">
        <v>22613</v>
      </c>
      <c r="Z3628" t="s">
        <v>28946</v>
      </c>
      <c r="AA3628">
        <v>0.48588086044659562</v>
      </c>
      <c r="AB3628" t="str">
        <f>HYPERLINK("Melting_Curves/meltCurve_Q2M2I8_2_AAK1.pdf", "Melting_Curves/meltCurve_Q2M2I8_2_AAK1.pdf")</f>
        <v>Melting_Curves/meltCurve_Q2M2I8_2_AAK1.pdf</v>
      </c>
    </row>
    <row r="3629" spans="1:28" x14ac:dyDescent="0.25">
      <c r="A3629" t="s">
        <v>3633</v>
      </c>
      <c r="B3629">
        <v>0.99542014353169495</v>
      </c>
      <c r="C3629">
        <v>0.82964473516238901</v>
      </c>
      <c r="D3629">
        <v>0.76073742561424895</v>
      </c>
      <c r="E3629">
        <v>0.47628743202287399</v>
      </c>
      <c r="F3629">
        <v>0.20014163653897801</v>
      </c>
      <c r="G3629">
        <v>9.6657728585090405E-2</v>
      </c>
      <c r="H3629">
        <v>6.8335840701483797E-2</v>
      </c>
      <c r="I3629">
        <v>3.60929850941933E-2</v>
      </c>
      <c r="J3629">
        <v>6.3371599045202696E-3</v>
      </c>
      <c r="K3629">
        <v>1.40176073762325E-2</v>
      </c>
      <c r="L3629">
        <v>662.61724590630797</v>
      </c>
      <c r="M3629">
        <v>14.4070356533379</v>
      </c>
      <c r="N3629">
        <v>45.992614822272699</v>
      </c>
      <c r="O3629">
        <v>45.133735847247202</v>
      </c>
      <c r="P3629">
        <v>-7.9811369256776801E-2</v>
      </c>
      <c r="Q3629">
        <v>0</v>
      </c>
      <c r="R3629">
        <v>0.99363518591601396</v>
      </c>
      <c r="S3629" t="s">
        <v>10031</v>
      </c>
      <c r="T3629" t="s">
        <v>12802</v>
      </c>
      <c r="U3629" t="s">
        <v>12802</v>
      </c>
      <c r="V3629" t="s">
        <v>12802</v>
      </c>
      <c r="W3629" t="s">
        <v>16380</v>
      </c>
      <c r="X3629">
        <v>9</v>
      </c>
      <c r="Y3629" t="s">
        <v>22614</v>
      </c>
      <c r="Z3629" t="s">
        <v>28947</v>
      </c>
      <c r="AA3629">
        <v>0.32463870390277511</v>
      </c>
      <c r="AB3629" t="str">
        <f>HYPERLINK("Melting_Curves/meltCurve_Q2M389_KIAA1033.pdf", "Melting_Curves/meltCurve_Q2M389_KIAA1033.pdf")</f>
        <v>Melting_Curves/meltCurve_Q2M389_KIAA1033.pdf</v>
      </c>
    </row>
    <row r="3630" spans="1:28" x14ac:dyDescent="0.25">
      <c r="A3630" t="s">
        <v>3634</v>
      </c>
      <c r="B3630">
        <v>0.99542014353169495</v>
      </c>
      <c r="C3630">
        <v>0.89373082627665201</v>
      </c>
      <c r="D3630">
        <v>0.70765996430318201</v>
      </c>
      <c r="E3630">
        <v>0.38968708621629999</v>
      </c>
      <c r="F3630">
        <v>0.25762102746378701</v>
      </c>
      <c r="G3630">
        <v>0.122115621441583</v>
      </c>
      <c r="H3630">
        <v>6.2912582514577695E-2</v>
      </c>
      <c r="I3630">
        <v>5.2197537787127803E-2</v>
      </c>
      <c r="J3630">
        <v>4.4198004898043E-2</v>
      </c>
      <c r="K3630">
        <v>5.18449899636362E-2</v>
      </c>
      <c r="L3630">
        <v>684.78938271363495</v>
      </c>
      <c r="M3630">
        <v>15.1120009610149</v>
      </c>
      <c r="N3630">
        <v>45.555427599961</v>
      </c>
      <c r="O3630">
        <v>44.542986657578403</v>
      </c>
      <c r="P3630">
        <v>-8.1564704813252606E-2</v>
      </c>
      <c r="Q3630">
        <v>3.8438277752488897E-2</v>
      </c>
      <c r="R3630">
        <v>0.99718376831170696</v>
      </c>
      <c r="S3630" t="s">
        <v>10032</v>
      </c>
      <c r="T3630" t="s">
        <v>12802</v>
      </c>
      <c r="U3630" t="s">
        <v>12802</v>
      </c>
      <c r="V3630" t="s">
        <v>12802</v>
      </c>
      <c r="W3630" t="s">
        <v>16381</v>
      </c>
      <c r="X3630">
        <v>2</v>
      </c>
      <c r="Y3630" t="s">
        <v>22615</v>
      </c>
      <c r="Z3630" t="s">
        <v>28948</v>
      </c>
      <c r="AA3630">
        <v>0.32722679854657372</v>
      </c>
      <c r="AB3630" t="str">
        <f>HYPERLINK("Melting_Curves/meltCurve_Q2M3D2_EXOC3L2.pdf", "Melting_Curves/meltCurve_Q2M3D2_EXOC3L2.pdf")</f>
        <v>Melting_Curves/meltCurve_Q2M3D2_EXOC3L2.pdf</v>
      </c>
    </row>
    <row r="3631" spans="1:28" x14ac:dyDescent="0.25">
      <c r="A3631" t="s">
        <v>3635</v>
      </c>
      <c r="B3631">
        <v>0.99542014353169495</v>
      </c>
      <c r="C3631">
        <v>0.95343455903845897</v>
      </c>
      <c r="D3631">
        <v>0.85347048202386999</v>
      </c>
      <c r="E3631">
        <v>0.295981894607736</v>
      </c>
      <c r="F3631">
        <v>0.145382227450428</v>
      </c>
      <c r="G3631">
        <v>8.9833804769245601E-2</v>
      </c>
      <c r="H3631">
        <v>6.9484056763196106E-2</v>
      </c>
      <c r="I3631">
        <v>5.5773578943876898E-2</v>
      </c>
      <c r="J3631">
        <v>6.7655604543907399E-2</v>
      </c>
      <c r="K3631">
        <v>6.9475417244956705E-2</v>
      </c>
      <c r="L3631">
        <v>1458.5660133751201</v>
      </c>
      <c r="M3631">
        <v>32.365699460451701</v>
      </c>
      <c r="N3631">
        <v>45.291529049139598</v>
      </c>
      <c r="O3631">
        <v>44.894204035506498</v>
      </c>
      <c r="P3631">
        <v>-0.16677447759743</v>
      </c>
      <c r="Q3631">
        <v>7.4678646657384898E-2</v>
      </c>
      <c r="R3631">
        <v>0.99755254835460205</v>
      </c>
      <c r="S3631" t="s">
        <v>10033</v>
      </c>
      <c r="T3631" t="s">
        <v>12802</v>
      </c>
      <c r="U3631" t="s">
        <v>12802</v>
      </c>
      <c r="V3631" t="s">
        <v>12802</v>
      </c>
      <c r="W3631" t="s">
        <v>16382</v>
      </c>
      <c r="X3631">
        <v>23</v>
      </c>
      <c r="Y3631" t="s">
        <v>22616</v>
      </c>
      <c r="Z3631" t="s">
        <v>28949</v>
      </c>
      <c r="AA3631">
        <v>0.32788729977805059</v>
      </c>
      <c r="AB3631" t="str">
        <f>HYPERLINK("Melting_Curves/meltCurve_Q2NKX8_ERCC6L.pdf", "Melting_Curves/meltCurve_Q2NKX8_ERCC6L.pdf")</f>
        <v>Melting_Curves/meltCurve_Q2NKX8_ERCC6L.pdf</v>
      </c>
    </row>
    <row r="3632" spans="1:28" x14ac:dyDescent="0.25">
      <c r="A3632" t="s">
        <v>3636</v>
      </c>
      <c r="B3632">
        <v>0.99542014353169495</v>
      </c>
      <c r="C3632">
        <v>1.02282597453771</v>
      </c>
      <c r="D3632">
        <v>0.84245092403573696</v>
      </c>
      <c r="E3632">
        <v>0.62457538760162801</v>
      </c>
      <c r="F3632">
        <v>0.40195426696679998</v>
      </c>
      <c r="G3632">
        <v>0.31134306953886798</v>
      </c>
      <c r="H3632">
        <v>0.225749918241582</v>
      </c>
      <c r="I3632">
        <v>0.13070639955615901</v>
      </c>
      <c r="J3632">
        <v>0.261132643240298</v>
      </c>
      <c r="K3632">
        <v>0.29092425132511701</v>
      </c>
      <c r="L3632">
        <v>862.23841831139805</v>
      </c>
      <c r="M3632">
        <v>18.441137631250999</v>
      </c>
      <c r="N3632">
        <v>48.3061590391533</v>
      </c>
      <c r="O3632">
        <v>46.216829779640399</v>
      </c>
      <c r="P3632">
        <v>-7.7481554480397397E-2</v>
      </c>
      <c r="Q3632">
        <v>0.22330343371790901</v>
      </c>
      <c r="R3632">
        <v>0.97944857361786297</v>
      </c>
      <c r="S3632" t="s">
        <v>10034</v>
      </c>
      <c r="T3632" t="s">
        <v>12802</v>
      </c>
      <c r="U3632" t="s">
        <v>12802</v>
      </c>
      <c r="V3632" t="s">
        <v>12802</v>
      </c>
      <c r="W3632" t="s">
        <v>16383</v>
      </c>
      <c r="X3632">
        <v>1</v>
      </c>
      <c r="Y3632" t="s">
        <v>22617</v>
      </c>
      <c r="Z3632" t="s">
        <v>28950</v>
      </c>
      <c r="AA3632">
        <v>0.48780407252718022</v>
      </c>
      <c r="AB3632" t="str">
        <f>HYPERLINK("Melting_Curves/meltCurve_Q2NKX9_3_C2orf68.pdf", "Melting_Curves/meltCurve_Q2NKX9_3_C2orf68.pdf")</f>
        <v>Melting_Curves/meltCurve_Q2NKX9_3_C2orf68.pdf</v>
      </c>
    </row>
    <row r="3633" spans="1:28" x14ac:dyDescent="0.25">
      <c r="A3633" t="s">
        <v>3637</v>
      </c>
      <c r="B3633">
        <v>0.99542014353169495</v>
      </c>
      <c r="C3633">
        <v>1.0212586753436399</v>
      </c>
      <c r="D3633">
        <v>1.03148739744398</v>
      </c>
      <c r="E3633">
        <v>0.89286972287200195</v>
      </c>
      <c r="F3633">
        <v>0.21215793979856901</v>
      </c>
      <c r="G3633">
        <v>0.130445480322778</v>
      </c>
      <c r="H3633">
        <v>6.3105690513896001E-2</v>
      </c>
      <c r="I3633">
        <v>4.7890457307185302E-2</v>
      </c>
      <c r="J3633">
        <v>5.2909912792158599E-2</v>
      </c>
      <c r="K3633">
        <v>4.9629231820336801E-2</v>
      </c>
      <c r="L3633">
        <v>2377.50713689345</v>
      </c>
      <c r="M3633">
        <v>49.001676903417497</v>
      </c>
      <c r="N3633">
        <v>48.659964698658897</v>
      </c>
      <c r="O3633">
        <v>48.438292678325901</v>
      </c>
      <c r="P3633">
        <v>-0.236161491190229</v>
      </c>
      <c r="Q3633">
        <v>6.6215744076123906E-2</v>
      </c>
      <c r="R3633">
        <v>0.99710670082852504</v>
      </c>
      <c r="S3633" t="s">
        <v>10035</v>
      </c>
      <c r="T3633" t="s">
        <v>12802</v>
      </c>
      <c r="U3633" t="s">
        <v>12802</v>
      </c>
      <c r="V3633" t="s">
        <v>12802</v>
      </c>
      <c r="W3633" t="s">
        <v>16384</v>
      </c>
      <c r="X3633">
        <v>17</v>
      </c>
      <c r="Y3633" t="s">
        <v>22618</v>
      </c>
      <c r="Z3633" t="s">
        <v>28951</v>
      </c>
      <c r="AA3633">
        <v>0.42683559273882732</v>
      </c>
      <c r="AB3633" t="str">
        <f>HYPERLINK("Melting_Curves/meltCurve_Q2NL82_TSR1.pdf", "Melting_Curves/meltCurve_Q2NL82_TSR1.pdf")</f>
        <v>Melting_Curves/meltCurve_Q2NL82_TSR1.pdf</v>
      </c>
    </row>
    <row r="3634" spans="1:28" x14ac:dyDescent="0.25">
      <c r="A3634" t="s">
        <v>3638</v>
      </c>
      <c r="B3634">
        <v>0.99542014353169495</v>
      </c>
      <c r="C3634">
        <v>0.89826497984986498</v>
      </c>
      <c r="D3634">
        <v>0.97896390542239298</v>
      </c>
      <c r="E3634">
        <v>0.845267006260082</v>
      </c>
      <c r="F3634">
        <v>0.67153670108452601</v>
      </c>
      <c r="G3634">
        <v>0.29735130541417298</v>
      </c>
      <c r="H3634">
        <v>0.22867547640462199</v>
      </c>
      <c r="I3634">
        <v>0.150254791587208</v>
      </c>
      <c r="J3634">
        <v>0.13896852197567</v>
      </c>
      <c r="K3634">
        <v>0.18899539479935301</v>
      </c>
      <c r="L3634">
        <v>1076.96359007212</v>
      </c>
      <c r="M3634">
        <v>21.226288242808199</v>
      </c>
      <c r="N3634">
        <v>51.573971817037801</v>
      </c>
      <c r="O3634">
        <v>50.2933675860954</v>
      </c>
      <c r="P3634">
        <v>-9.0145172390434805E-2</v>
      </c>
      <c r="Q3634">
        <v>0.14566551120774601</v>
      </c>
      <c r="R3634">
        <v>0.98494904916652504</v>
      </c>
      <c r="S3634" t="s">
        <v>10036</v>
      </c>
      <c r="T3634" t="s">
        <v>12802</v>
      </c>
      <c r="U3634" t="s">
        <v>12802</v>
      </c>
      <c r="V3634" t="s">
        <v>12802</v>
      </c>
      <c r="W3634" t="s">
        <v>16385</v>
      </c>
      <c r="X3634">
        <v>1</v>
      </c>
      <c r="Y3634" t="s">
        <v>22619</v>
      </c>
      <c r="Z3634" t="s">
        <v>28952</v>
      </c>
      <c r="AA3634">
        <v>0.54699297388607526</v>
      </c>
      <c r="AB3634" t="str">
        <f>HYPERLINK("Melting_Curves/meltCurve_Q2PZI1_DPY19L1.pdf", "Melting_Curves/meltCurve_Q2PZI1_DPY19L1.pdf")</f>
        <v>Melting_Curves/meltCurve_Q2PZI1_DPY19L1.pdf</v>
      </c>
    </row>
    <row r="3635" spans="1:28" x14ac:dyDescent="0.25">
      <c r="A3635" t="s">
        <v>3639</v>
      </c>
      <c r="B3635">
        <v>0.99542014353169495</v>
      </c>
      <c r="C3635">
        <v>0.93865947918608095</v>
      </c>
      <c r="D3635">
        <v>0.92615873072953903</v>
      </c>
      <c r="E3635">
        <v>0.84134189797640002</v>
      </c>
      <c r="F3635">
        <v>0.67268272356621495</v>
      </c>
      <c r="G3635">
        <v>0.34162419196799598</v>
      </c>
      <c r="H3635">
        <v>9.4437116645590402E-2</v>
      </c>
      <c r="I3635">
        <v>6.5644741310894206E-2</v>
      </c>
      <c r="J3635">
        <v>4.5456820752190499E-2</v>
      </c>
      <c r="K3635">
        <v>8.4259835231762101E-2</v>
      </c>
      <c r="L3635">
        <v>963.09933453012604</v>
      </c>
      <c r="M3635">
        <v>18.6865598946139</v>
      </c>
      <c r="N3635">
        <v>51.6811969204376</v>
      </c>
      <c r="O3635">
        <v>50.960310609961098</v>
      </c>
      <c r="P3635">
        <v>-8.9389558641136693E-2</v>
      </c>
      <c r="Q3635">
        <v>2.49406647838155E-2</v>
      </c>
      <c r="R3635">
        <v>0.99030991776826205</v>
      </c>
      <c r="S3635" t="s">
        <v>10037</v>
      </c>
      <c r="T3635" t="s">
        <v>12802</v>
      </c>
      <c r="U3635" t="s">
        <v>12802</v>
      </c>
      <c r="V3635" t="s">
        <v>12802</v>
      </c>
      <c r="W3635" t="s">
        <v>16386</v>
      </c>
      <c r="X3635">
        <v>3</v>
      </c>
      <c r="Y3635" t="s">
        <v>22620</v>
      </c>
      <c r="Z3635" t="s">
        <v>28953</v>
      </c>
      <c r="AA3635">
        <v>0.51162702441726049</v>
      </c>
      <c r="AB3635" t="str">
        <f>HYPERLINK("Melting_Curves/meltCurve_Q2TAA5_ALG11.pdf", "Melting_Curves/meltCurve_Q2TAA5_ALG11.pdf")</f>
        <v>Melting_Curves/meltCurve_Q2TAA5_ALG11.pdf</v>
      </c>
    </row>
    <row r="3636" spans="1:28" x14ac:dyDescent="0.25">
      <c r="A3636" t="s">
        <v>3640</v>
      </c>
      <c r="B3636">
        <v>0.99542014353169495</v>
      </c>
      <c r="C3636">
        <v>0.97556715468623201</v>
      </c>
      <c r="D3636">
        <v>0.79831090659959703</v>
      </c>
      <c r="E3636">
        <v>0.402497503855407</v>
      </c>
      <c r="F3636">
        <v>0.16573751920668001</v>
      </c>
      <c r="G3636">
        <v>0.11732073348620201</v>
      </c>
      <c r="H3636">
        <v>8.1413512612395905E-2</v>
      </c>
      <c r="I3636">
        <v>4.6553675418002198E-2</v>
      </c>
      <c r="J3636">
        <v>6.9330893206300107E-2</v>
      </c>
      <c r="K3636">
        <v>3.3514068061075201E-2</v>
      </c>
      <c r="L3636">
        <v>1008.0915221845599</v>
      </c>
      <c r="M3636">
        <v>22.153215798090802</v>
      </c>
      <c r="N3636">
        <v>45.768504495192602</v>
      </c>
      <c r="O3636">
        <v>45.139501348451397</v>
      </c>
      <c r="P3636">
        <v>-0.115360806903316</v>
      </c>
      <c r="Q3636">
        <v>5.9781607947938402E-2</v>
      </c>
      <c r="R3636">
        <v>0.99840876686864899</v>
      </c>
      <c r="S3636" t="s">
        <v>10038</v>
      </c>
      <c r="T3636" t="s">
        <v>12802</v>
      </c>
      <c r="U3636" t="s">
        <v>12802</v>
      </c>
      <c r="V3636" t="s">
        <v>12802</v>
      </c>
      <c r="W3636" t="s">
        <v>16387</v>
      </c>
      <c r="X3636">
        <v>6</v>
      </c>
      <c r="Y3636" t="s">
        <v>22621</v>
      </c>
      <c r="Z3636" t="s">
        <v>28954</v>
      </c>
      <c r="AA3636">
        <v>0.33630557030062908</v>
      </c>
      <c r="AB3636" t="str">
        <f>HYPERLINK("Melting_Curves/meltCurve_Q2TAL8_QRICH1.pdf", "Melting_Curves/meltCurve_Q2TAL8_QRICH1.pdf")</f>
        <v>Melting_Curves/meltCurve_Q2TAL8_QRICH1.pdf</v>
      </c>
    </row>
    <row r="3637" spans="1:28" x14ac:dyDescent="0.25">
      <c r="A3637" t="s">
        <v>3641</v>
      </c>
      <c r="B3637">
        <v>0.99542014353169495</v>
      </c>
      <c r="C3637">
        <v>0.97134843340705102</v>
      </c>
      <c r="D3637">
        <v>0.87982107764751005</v>
      </c>
      <c r="E3637">
        <v>0.62602152285263202</v>
      </c>
      <c r="F3637">
        <v>0.25530866593294699</v>
      </c>
      <c r="G3637">
        <v>0.11851453548065601</v>
      </c>
      <c r="H3637">
        <v>7.2065290312054303E-2</v>
      </c>
      <c r="I3637">
        <v>5.7822342212113201E-2</v>
      </c>
      <c r="J3637">
        <v>5.6706127236178697E-2</v>
      </c>
      <c r="K3637">
        <v>6.6792772840946299E-2</v>
      </c>
      <c r="L3637">
        <v>1010.74871304621</v>
      </c>
      <c r="M3637">
        <v>21.351277606138598</v>
      </c>
      <c r="N3637">
        <v>47.588164519062197</v>
      </c>
      <c r="O3637">
        <v>46.929634840352797</v>
      </c>
      <c r="P3637">
        <v>-0.107729073771084</v>
      </c>
      <c r="Q3637">
        <v>5.2879349307430497E-2</v>
      </c>
      <c r="R3637">
        <v>0.99909234642399702</v>
      </c>
      <c r="S3637" t="s">
        <v>10039</v>
      </c>
      <c r="T3637" t="s">
        <v>12802</v>
      </c>
      <c r="U3637" t="s">
        <v>12802</v>
      </c>
      <c r="V3637" t="s">
        <v>12802</v>
      </c>
      <c r="W3637" t="s">
        <v>16388</v>
      </c>
      <c r="X3637">
        <v>16</v>
      </c>
      <c r="Y3637" t="s">
        <v>22622</v>
      </c>
      <c r="Z3637" t="s">
        <v>28955</v>
      </c>
      <c r="AA3637">
        <v>0.39021843590028482</v>
      </c>
      <c r="AB3637" t="str">
        <f>HYPERLINK("Melting_Curves/meltCurve_Q2TAM5_RELA.pdf", "Melting_Curves/meltCurve_Q2TAM5_RELA.pdf")</f>
        <v>Melting_Curves/meltCurve_Q2TAM5_RELA.pdf</v>
      </c>
    </row>
    <row r="3638" spans="1:28" x14ac:dyDescent="0.25">
      <c r="A3638" t="s">
        <v>3642</v>
      </c>
      <c r="B3638">
        <v>0.99542014353169495</v>
      </c>
      <c r="C3638">
        <v>1.0807989180690001</v>
      </c>
      <c r="D3638">
        <v>1.0843770433533999</v>
      </c>
      <c r="E3638">
        <v>1.0887495198477599</v>
      </c>
      <c r="F3638">
        <v>0.63045144127520603</v>
      </c>
      <c r="G3638">
        <v>0.31639534725035001</v>
      </c>
      <c r="H3638">
        <v>9.5569749723393493E-2</v>
      </c>
      <c r="I3638">
        <v>5.0336725369969998E-2</v>
      </c>
      <c r="J3638">
        <v>3.9565380584256703E-2</v>
      </c>
      <c r="K3638">
        <v>4.8507674732561998E-2</v>
      </c>
      <c r="L3638">
        <v>1461.55941558482</v>
      </c>
      <c r="M3638">
        <v>28.352823640199599</v>
      </c>
      <c r="N3638">
        <v>51.729497243132499</v>
      </c>
      <c r="O3638">
        <v>51.294597450021499</v>
      </c>
      <c r="P3638">
        <v>-0.13167921685881201</v>
      </c>
      <c r="Q3638">
        <v>4.7096355943263397E-2</v>
      </c>
      <c r="R3638">
        <v>0.98136380450768901</v>
      </c>
      <c r="S3638" t="s">
        <v>10040</v>
      </c>
      <c r="T3638" t="s">
        <v>12802</v>
      </c>
      <c r="U3638" t="s">
        <v>12802</v>
      </c>
      <c r="V3638" t="s">
        <v>12802</v>
      </c>
      <c r="W3638" t="s">
        <v>16389</v>
      </c>
      <c r="X3638">
        <v>15</v>
      </c>
      <c r="Y3638" t="s">
        <v>22623</v>
      </c>
      <c r="Z3638" t="s">
        <v>28956</v>
      </c>
      <c r="AA3638">
        <v>0.51588768502979776</v>
      </c>
      <c r="AB3638" t="str">
        <f>HYPERLINK("Melting_Curves/meltCurve_Q2TAY7_SMU1.pdf", "Melting_Curves/meltCurve_Q2TAY7_SMU1.pdf")</f>
        <v>Melting_Curves/meltCurve_Q2TAY7_SMU1.pdf</v>
      </c>
    </row>
    <row r="3639" spans="1:28" x14ac:dyDescent="0.25">
      <c r="A3639" t="s">
        <v>3643</v>
      </c>
      <c r="B3639">
        <v>0.99542014353169495</v>
      </c>
      <c r="C3639">
        <v>1.0078347073640199</v>
      </c>
      <c r="D3639">
        <v>0.97370876122858896</v>
      </c>
      <c r="E3639">
        <v>0.69067853495142895</v>
      </c>
      <c r="F3639">
        <v>0.59704705998580698</v>
      </c>
      <c r="G3639">
        <v>0.45560007068002101</v>
      </c>
      <c r="H3639">
        <v>0.22427786986339401</v>
      </c>
      <c r="I3639">
        <v>0.17258458668452201</v>
      </c>
      <c r="J3639">
        <v>0.17873836258471901</v>
      </c>
      <c r="K3639">
        <v>0.23955284977062399</v>
      </c>
      <c r="L3639">
        <v>688.05375426236503</v>
      </c>
      <c r="M3639">
        <v>13.7415718631821</v>
      </c>
      <c r="N3639">
        <v>51.445238040796802</v>
      </c>
      <c r="O3639">
        <v>49.046298525751702</v>
      </c>
      <c r="P3639">
        <v>-5.9291937534422003E-2</v>
      </c>
      <c r="Q3639">
        <v>0.153623387398273</v>
      </c>
      <c r="R3639">
        <v>0.97683274393813202</v>
      </c>
      <c r="S3639" t="s">
        <v>10041</v>
      </c>
      <c r="T3639" t="s">
        <v>12802</v>
      </c>
      <c r="U3639" t="s">
        <v>12802</v>
      </c>
      <c r="V3639" t="s">
        <v>12802</v>
      </c>
      <c r="W3639" t="s">
        <v>16390</v>
      </c>
      <c r="X3639">
        <v>5</v>
      </c>
      <c r="Y3639" t="s">
        <v>22624</v>
      </c>
      <c r="Z3639" t="s">
        <v>28957</v>
      </c>
      <c r="AA3639">
        <v>0.5423137173254492</v>
      </c>
      <c r="AB3639" t="str">
        <f>HYPERLINK("Melting_Curves/meltCurve_Q2TB90_HKDC1.pdf", "Melting_Curves/meltCurve_Q2TB90_HKDC1.pdf")</f>
        <v>Melting_Curves/meltCurve_Q2TB90_HKDC1.pdf</v>
      </c>
    </row>
    <row r="3640" spans="1:28" x14ac:dyDescent="0.25">
      <c r="A3640" t="s">
        <v>3644</v>
      </c>
      <c r="B3640">
        <v>0.99542014353169495</v>
      </c>
      <c r="C3640">
        <v>0.94489795767249296</v>
      </c>
      <c r="D3640">
        <v>0.90789075525736795</v>
      </c>
      <c r="E3640">
        <v>0.71488197720848801</v>
      </c>
      <c r="F3640">
        <v>0.58106123240349195</v>
      </c>
      <c r="G3640">
        <v>0.346848491070121</v>
      </c>
      <c r="H3640">
        <v>0.17356794464825501</v>
      </c>
      <c r="I3640">
        <v>0.100090008510999</v>
      </c>
      <c r="J3640">
        <v>8.4246328142157795E-2</v>
      </c>
      <c r="K3640">
        <v>0.100564797672117</v>
      </c>
      <c r="L3640">
        <v>625.12501891866202</v>
      </c>
      <c r="M3640">
        <v>12.3411631141221</v>
      </c>
      <c r="N3640">
        <v>50.808857538733797</v>
      </c>
      <c r="O3640">
        <v>49.378782843721901</v>
      </c>
      <c r="P3640">
        <v>-6.1339624188150699E-2</v>
      </c>
      <c r="Q3640">
        <v>1.8497534626254E-2</v>
      </c>
      <c r="R3640">
        <v>0.99474809320821</v>
      </c>
      <c r="S3640" t="s">
        <v>10042</v>
      </c>
      <c r="T3640" t="s">
        <v>12802</v>
      </c>
      <c r="U3640" t="s">
        <v>12802</v>
      </c>
      <c r="V3640" t="s">
        <v>12802</v>
      </c>
      <c r="W3640" t="s">
        <v>16391</v>
      </c>
      <c r="X3640">
        <v>5</v>
      </c>
      <c r="Y3640" t="s">
        <v>22625</v>
      </c>
      <c r="Z3640" t="s">
        <v>28958</v>
      </c>
      <c r="AA3640">
        <v>0.49066937018341289</v>
      </c>
      <c r="AB3640" t="str">
        <f>HYPERLINK("Melting_Curves/meltCurve_Q2TBE0_CWF19L2.pdf", "Melting_Curves/meltCurve_Q2TBE0_CWF19L2.pdf")</f>
        <v>Melting_Curves/meltCurve_Q2TBE0_CWF19L2.pdf</v>
      </c>
    </row>
    <row r="3641" spans="1:28" x14ac:dyDescent="0.25">
      <c r="A3641" t="s">
        <v>3645</v>
      </c>
      <c r="B3641">
        <v>0.99542014353169495</v>
      </c>
      <c r="C3641">
        <v>0.96937643668304296</v>
      </c>
      <c r="D3641">
        <v>1.0664507824065299</v>
      </c>
      <c r="E3641">
        <v>0.80396517056169103</v>
      </c>
      <c r="F3641">
        <v>0.67785946467556601</v>
      </c>
      <c r="G3641">
        <v>0.86550068004719005</v>
      </c>
      <c r="H3641">
        <v>0.76617980162807597</v>
      </c>
      <c r="I3641">
        <v>0.71909888043219505</v>
      </c>
      <c r="J3641">
        <v>1.0905196808440101</v>
      </c>
      <c r="K3641">
        <v>1.4008578058744701</v>
      </c>
      <c r="L3641">
        <v>15000</v>
      </c>
      <c r="M3641">
        <v>232.777042167454</v>
      </c>
      <c r="O3641">
        <v>64.434590310458304</v>
      </c>
      <c r="P3641">
        <v>0.36208544075683002</v>
      </c>
      <c r="Q3641">
        <v>1.4009128384537</v>
      </c>
      <c r="R3641">
        <v>0.29845553068068698</v>
      </c>
      <c r="S3641" t="s">
        <v>10043</v>
      </c>
      <c r="T3641" t="s">
        <v>12802</v>
      </c>
      <c r="U3641" t="s">
        <v>12802</v>
      </c>
      <c r="V3641" t="s">
        <v>12802</v>
      </c>
      <c r="W3641" t="s">
        <v>16392</v>
      </c>
      <c r="X3641">
        <v>35</v>
      </c>
      <c r="Y3641" t="s">
        <v>22626</v>
      </c>
      <c r="Z3641" t="s">
        <v>28959</v>
      </c>
      <c r="AA3641">
        <v>1.03416824338685</v>
      </c>
      <c r="AB3641" t="str">
        <f>HYPERLINK("Melting_Curves/meltCurve_Q32MZ4_3_LRRFIP1.pdf", "Melting_Curves/meltCurve_Q32MZ4_3_LRRFIP1.pdf")</f>
        <v>Melting_Curves/meltCurve_Q32MZ4_3_LRRFIP1.pdf</v>
      </c>
    </row>
    <row r="3642" spans="1:28" x14ac:dyDescent="0.25">
      <c r="A3642" t="s">
        <v>3646</v>
      </c>
      <c r="B3642">
        <v>0.99542014353169495</v>
      </c>
      <c r="C3642">
        <v>0.93222011186918396</v>
      </c>
      <c r="D3642">
        <v>0.97151023498455502</v>
      </c>
      <c r="E3642">
        <v>0.42026212891806097</v>
      </c>
      <c r="F3642">
        <v>0.15380986986911999</v>
      </c>
      <c r="G3642">
        <v>9.4216412731829596E-2</v>
      </c>
      <c r="H3642">
        <v>5.8244320447775402E-2</v>
      </c>
      <c r="I3642">
        <v>4.2376180492045799E-2</v>
      </c>
      <c r="J3642">
        <v>5.8059460899457897E-2</v>
      </c>
      <c r="K3642">
        <v>6.8899854541586397E-2</v>
      </c>
      <c r="L3642">
        <v>1708.1071633197801</v>
      </c>
      <c r="M3642">
        <v>37.0863297459669</v>
      </c>
      <c r="N3642">
        <v>46.245292989327901</v>
      </c>
      <c r="O3642">
        <v>45.924293722365398</v>
      </c>
      <c r="P3642">
        <v>-0.187783050326228</v>
      </c>
      <c r="Q3642">
        <v>6.9869693959592499E-2</v>
      </c>
      <c r="R3642">
        <v>0.99443171490274695</v>
      </c>
      <c r="S3642" t="s">
        <v>10044</v>
      </c>
      <c r="T3642" t="s">
        <v>12802</v>
      </c>
      <c r="U3642" t="s">
        <v>12802</v>
      </c>
      <c r="V3642" t="s">
        <v>12802</v>
      </c>
      <c r="W3642" t="s">
        <v>16393</v>
      </c>
      <c r="X3642">
        <v>7</v>
      </c>
      <c r="Y3642" t="s">
        <v>22627</v>
      </c>
      <c r="Z3642" t="s">
        <v>28960</v>
      </c>
      <c r="AA3642">
        <v>0.35414717338342883</v>
      </c>
      <c r="AB3642" t="str">
        <f>HYPERLINK("Melting_Curves/meltCurve_Q32N00_POLD3.pdf", "Melting_Curves/meltCurve_Q32N00_POLD3.pdf")</f>
        <v>Melting_Curves/meltCurve_Q32N00_POLD3.pdf</v>
      </c>
    </row>
    <row r="3643" spans="1:28" x14ac:dyDescent="0.25">
      <c r="A3643" t="s">
        <v>3647</v>
      </c>
      <c r="B3643">
        <v>0.99542014353169495</v>
      </c>
      <c r="C3643">
        <v>0.99360983869313502</v>
      </c>
      <c r="D3643">
        <v>0.93635568081792597</v>
      </c>
      <c r="E3643">
        <v>0.86255575714584798</v>
      </c>
      <c r="F3643">
        <v>0.56163294596991697</v>
      </c>
      <c r="G3643">
        <v>0.26806360817665398</v>
      </c>
      <c r="H3643">
        <v>0.14905023873619999</v>
      </c>
      <c r="I3643">
        <v>8.2642674527900098E-2</v>
      </c>
      <c r="J3643">
        <v>8.8299106304308095E-2</v>
      </c>
      <c r="K3643">
        <v>7.3743903470764496E-2</v>
      </c>
      <c r="L3643">
        <v>1012.1513387555</v>
      </c>
      <c r="M3643">
        <v>20.0524367182866</v>
      </c>
      <c r="N3643">
        <v>50.835547282236803</v>
      </c>
      <c r="O3643">
        <v>49.981282327177198</v>
      </c>
      <c r="P3643">
        <v>-9.3658316165723801E-2</v>
      </c>
      <c r="Q3643">
        <v>6.6245762473642694E-2</v>
      </c>
      <c r="R3643">
        <v>0.99883639007409197</v>
      </c>
      <c r="S3643" t="s">
        <v>10045</v>
      </c>
      <c r="T3643" t="s">
        <v>12802</v>
      </c>
      <c r="U3643" t="s">
        <v>12802</v>
      </c>
      <c r="V3643" t="s">
        <v>12802</v>
      </c>
      <c r="W3643" t="s">
        <v>16394</v>
      </c>
      <c r="X3643">
        <v>4</v>
      </c>
      <c r="Y3643" t="s">
        <v>22628</v>
      </c>
      <c r="Z3643" t="s">
        <v>28961</v>
      </c>
      <c r="AA3643">
        <v>0.49788194299940192</v>
      </c>
      <c r="AB3643" t="str">
        <f>HYPERLINK("Melting_Curves/meltCurve_Q32NB8_PGS1.pdf", "Melting_Curves/meltCurve_Q32NB8_PGS1.pdf")</f>
        <v>Melting_Curves/meltCurve_Q32NB8_PGS1.pdf</v>
      </c>
    </row>
    <row r="3644" spans="1:28" x14ac:dyDescent="0.25">
      <c r="A3644" t="s">
        <v>3648</v>
      </c>
      <c r="B3644">
        <v>0.99542014353169495</v>
      </c>
      <c r="C3644">
        <v>0.91476174820540901</v>
      </c>
      <c r="D3644">
        <v>0.93845892103017103</v>
      </c>
      <c r="E3644">
        <v>0.71812912747069402</v>
      </c>
      <c r="F3644">
        <v>0.44935662632454598</v>
      </c>
      <c r="G3644">
        <v>0.186877318710752</v>
      </c>
      <c r="H3644">
        <v>0.116975788325983</v>
      </c>
      <c r="I3644">
        <v>8.0307784674941901E-2</v>
      </c>
      <c r="J3644">
        <v>9.0979944618588895E-2</v>
      </c>
      <c r="K3644">
        <v>8.9101206737219399E-2</v>
      </c>
      <c r="L3644">
        <v>886.30346268113601</v>
      </c>
      <c r="M3644">
        <v>18.138524384111999</v>
      </c>
      <c r="N3644">
        <v>49.249587813246102</v>
      </c>
      <c r="O3644">
        <v>48.280712893325202</v>
      </c>
      <c r="P3644">
        <v>-8.7694899968544904E-2</v>
      </c>
      <c r="Q3644">
        <v>6.6347063727940997E-2</v>
      </c>
      <c r="R3644">
        <v>0.99490029103746702</v>
      </c>
      <c r="S3644" t="s">
        <v>10046</v>
      </c>
      <c r="T3644" t="s">
        <v>12802</v>
      </c>
      <c r="U3644" t="s">
        <v>12802</v>
      </c>
      <c r="V3644" t="s">
        <v>12802</v>
      </c>
      <c r="W3644" t="s">
        <v>16395</v>
      </c>
      <c r="X3644">
        <v>15</v>
      </c>
      <c r="Y3644" t="s">
        <v>22629</v>
      </c>
      <c r="Z3644" t="s">
        <v>28962</v>
      </c>
      <c r="AA3644">
        <v>0.45020462577930498</v>
      </c>
      <c r="AB3644" t="str">
        <f>HYPERLINK("Melting_Curves/meltCurve_Q32P28_LEPRE1.pdf", "Melting_Curves/meltCurve_Q32P28_LEPRE1.pdf")</f>
        <v>Melting_Curves/meltCurve_Q32P28_LEPRE1.pdf</v>
      </c>
    </row>
    <row r="3645" spans="1:28" x14ac:dyDescent="0.25">
      <c r="A3645" t="s">
        <v>3649</v>
      </c>
      <c r="B3645">
        <v>0.99542014353169495</v>
      </c>
      <c r="C3645">
        <v>0.93358825823482094</v>
      </c>
      <c r="D3645">
        <v>0.83504858748442301</v>
      </c>
      <c r="E3645">
        <v>0.34119096017545297</v>
      </c>
      <c r="F3645">
        <v>0.178170209084097</v>
      </c>
      <c r="G3645">
        <v>0.121315253060077</v>
      </c>
      <c r="H3645">
        <v>7.0333423513954899E-2</v>
      </c>
      <c r="I3645">
        <v>4.6274352778779802E-2</v>
      </c>
      <c r="J3645">
        <v>4.9124036691109402E-2</v>
      </c>
      <c r="K3645">
        <v>5.6122378463488297E-2</v>
      </c>
      <c r="L3645">
        <v>1120.4514604280801</v>
      </c>
      <c r="M3645">
        <v>24.745159034730101</v>
      </c>
      <c r="N3645">
        <v>45.542130088656002</v>
      </c>
      <c r="O3645">
        <v>44.986998995699999</v>
      </c>
      <c r="P3645">
        <v>-0.12837497652114899</v>
      </c>
      <c r="Q3645">
        <v>6.6463712848014098E-2</v>
      </c>
      <c r="R3645">
        <v>0.99504871822403695</v>
      </c>
      <c r="S3645" t="s">
        <v>10047</v>
      </c>
      <c r="T3645" t="s">
        <v>12802</v>
      </c>
      <c r="U3645" t="s">
        <v>12802</v>
      </c>
      <c r="V3645" t="s">
        <v>12802</v>
      </c>
      <c r="W3645" t="s">
        <v>16396</v>
      </c>
      <c r="X3645">
        <v>9</v>
      </c>
      <c r="Y3645" t="s">
        <v>22630</v>
      </c>
      <c r="Z3645" t="s">
        <v>28963</v>
      </c>
      <c r="AA3645">
        <v>0.33195213783134941</v>
      </c>
      <c r="AB3645" t="str">
        <f>HYPERLINK("Melting_Curves/meltCurve_Q32P41_TRMT5.pdf", "Melting_Curves/meltCurve_Q32P41_TRMT5.pdf")</f>
        <v>Melting_Curves/meltCurve_Q32P41_TRMT5.pdf</v>
      </c>
    </row>
    <row r="3646" spans="1:28" x14ac:dyDescent="0.25">
      <c r="A3646" t="s">
        <v>3650</v>
      </c>
      <c r="B3646">
        <v>0.99542014353169495</v>
      </c>
      <c r="C3646">
        <v>0.99158630924372804</v>
      </c>
      <c r="D3646">
        <v>0.97024785330406904</v>
      </c>
      <c r="E3646">
        <v>0.97283074556103</v>
      </c>
      <c r="F3646">
        <v>0.81318561086360397</v>
      </c>
      <c r="G3646">
        <v>0.67528230113256904</v>
      </c>
      <c r="H3646">
        <v>0.59929441996476895</v>
      </c>
      <c r="I3646">
        <v>0.60506929251869801</v>
      </c>
      <c r="J3646">
        <v>1.09176800026007</v>
      </c>
      <c r="K3646">
        <v>0.966909351670735</v>
      </c>
      <c r="L3646">
        <v>2820.6169022497502</v>
      </c>
      <c r="M3646">
        <v>58.536337163344101</v>
      </c>
      <c r="O3646">
        <v>48.129605388107997</v>
      </c>
      <c r="P3646">
        <v>-6.4252121002103396E-2</v>
      </c>
      <c r="Q3646">
        <v>0.788683218935323</v>
      </c>
      <c r="R3646">
        <v>0.29597375749803601</v>
      </c>
      <c r="S3646" t="s">
        <v>10048</v>
      </c>
      <c r="T3646" t="s">
        <v>12802</v>
      </c>
      <c r="U3646" t="s">
        <v>12802</v>
      </c>
      <c r="V3646" t="s">
        <v>12802</v>
      </c>
      <c r="W3646" t="s">
        <v>13149</v>
      </c>
      <c r="X3646">
        <v>19</v>
      </c>
      <c r="Y3646" t="s">
        <v>22631</v>
      </c>
      <c r="Z3646" t="s">
        <v>28964</v>
      </c>
      <c r="AA3646">
        <v>0.86780159909860932</v>
      </c>
      <c r="AB3646" t="str">
        <f>HYPERLINK("Melting_Curves/meltCurve_Q32Q12_NME1_NME2.pdf", "Melting_Curves/meltCurve_Q32Q12_NME1_NME2.pdf")</f>
        <v>Melting_Curves/meltCurve_Q32Q12_NME1_NME2.pdf</v>
      </c>
    </row>
    <row r="3647" spans="1:28" x14ac:dyDescent="0.25">
      <c r="A3647" t="s">
        <v>3651</v>
      </c>
      <c r="B3647">
        <v>0.99542014353169495</v>
      </c>
      <c r="C3647">
        <v>0.97513079637418498</v>
      </c>
      <c r="D3647">
        <v>1.0482433553974699</v>
      </c>
      <c r="E3647">
        <v>0.64076554482877202</v>
      </c>
      <c r="F3647">
        <v>0.30784662483809999</v>
      </c>
      <c r="G3647">
        <v>0.19856506636257201</v>
      </c>
      <c r="H3647">
        <v>9.3421932845450806E-2</v>
      </c>
      <c r="I3647">
        <v>5.58986918044211E-2</v>
      </c>
      <c r="J3647">
        <v>4.2376705754355599E-2</v>
      </c>
      <c r="K3647">
        <v>6.0435601543752701E-2</v>
      </c>
      <c r="L3647">
        <v>1119.8608212588099</v>
      </c>
      <c r="M3647">
        <v>23.355175960184901</v>
      </c>
      <c r="N3647">
        <v>48.249722992922798</v>
      </c>
      <c r="O3647">
        <v>47.601766920837399</v>
      </c>
      <c r="P3647">
        <v>-0.114356999464116</v>
      </c>
      <c r="Q3647">
        <v>6.7701428939455896E-2</v>
      </c>
      <c r="R3647">
        <v>0.98846555780137302</v>
      </c>
      <c r="S3647" t="s">
        <v>10049</v>
      </c>
      <c r="T3647" t="s">
        <v>12802</v>
      </c>
      <c r="U3647" t="s">
        <v>12802</v>
      </c>
      <c r="V3647" t="s">
        <v>12802</v>
      </c>
      <c r="W3647" t="s">
        <v>16397</v>
      </c>
      <c r="X3647">
        <v>6</v>
      </c>
      <c r="Y3647" t="s">
        <v>22632</v>
      </c>
      <c r="Z3647" t="s">
        <v>28965</v>
      </c>
      <c r="AA3647">
        <v>0.41704234682404429</v>
      </c>
      <c r="AB3647" t="str">
        <f>HYPERLINK("Melting_Curves/meltCurve_Q3B726_TWISTNB.pdf", "Melting_Curves/meltCurve_Q3B726_TWISTNB.pdf")</f>
        <v>Melting_Curves/meltCurve_Q3B726_TWISTNB.pdf</v>
      </c>
    </row>
    <row r="3648" spans="1:28" x14ac:dyDescent="0.25">
      <c r="A3648" t="s">
        <v>3652</v>
      </c>
      <c r="B3648">
        <v>0.99542014353169495</v>
      </c>
      <c r="C3648">
        <v>0.896895733286312</v>
      </c>
      <c r="D3648">
        <v>0.80200147211052397</v>
      </c>
      <c r="E3648">
        <v>0.45311810097695798</v>
      </c>
      <c r="F3648">
        <v>0.30145019032625398</v>
      </c>
      <c r="G3648">
        <v>0.13721320241356599</v>
      </c>
      <c r="H3648">
        <v>0.117835124822308</v>
      </c>
      <c r="I3648">
        <v>8.2640019627057901E-2</v>
      </c>
      <c r="J3648">
        <v>8.4651205990412606E-2</v>
      </c>
      <c r="K3648">
        <v>9.8285234929956E-2</v>
      </c>
      <c r="L3648">
        <v>742.06409345036104</v>
      </c>
      <c r="M3648">
        <v>16.153761626109102</v>
      </c>
      <c r="N3648">
        <v>46.4279886506311</v>
      </c>
      <c r="O3648">
        <v>45.250840680683702</v>
      </c>
      <c r="P3648">
        <v>-8.2251573210951306E-2</v>
      </c>
      <c r="Q3648">
        <v>7.8438312659090806E-2</v>
      </c>
      <c r="R3648">
        <v>0.99562525805978797</v>
      </c>
      <c r="S3648" t="s">
        <v>10050</v>
      </c>
      <c r="T3648" t="s">
        <v>12802</v>
      </c>
      <c r="U3648" t="s">
        <v>12802</v>
      </c>
      <c r="V3648" t="s">
        <v>12802</v>
      </c>
      <c r="W3648" t="s">
        <v>16398</v>
      </c>
      <c r="X3648">
        <v>3</v>
      </c>
      <c r="Y3648" t="s">
        <v>22633</v>
      </c>
      <c r="Z3648" t="s">
        <v>28966</v>
      </c>
      <c r="AA3648">
        <v>0.37144579170592568</v>
      </c>
      <c r="AB3648" t="str">
        <f>HYPERLINK("Melting_Curves/meltCurve_Q3BDU3_PMS1.pdf", "Melting_Curves/meltCurve_Q3BDU3_PMS1.pdf")</f>
        <v>Melting_Curves/meltCurve_Q3BDU3_PMS1.pdf</v>
      </c>
    </row>
    <row r="3649" spans="1:28" x14ac:dyDescent="0.25">
      <c r="A3649" t="s">
        <v>3653</v>
      </c>
      <c r="B3649">
        <v>0.99542014353169495</v>
      </c>
      <c r="C3649">
        <v>0.82393094497278696</v>
      </c>
      <c r="D3649">
        <v>0.85702268273113102</v>
      </c>
      <c r="E3649">
        <v>0.68065673980755104</v>
      </c>
      <c r="F3649">
        <v>0.42149728636883899</v>
      </c>
      <c r="G3649">
        <v>0.15806468861949</v>
      </c>
      <c r="H3649">
        <v>8.3520872332363799E-2</v>
      </c>
      <c r="I3649">
        <v>4.7515362519362302E-2</v>
      </c>
      <c r="J3649">
        <v>5.8695388998225503E-2</v>
      </c>
      <c r="K3649">
        <v>5.4647281979008998E-2</v>
      </c>
      <c r="L3649">
        <v>660.37219573279901</v>
      </c>
      <c r="M3649">
        <v>13.5942112507178</v>
      </c>
      <c r="N3649">
        <v>48.582566835621897</v>
      </c>
      <c r="O3649">
        <v>47.562431465877999</v>
      </c>
      <c r="P3649">
        <v>-7.1414103902932E-2</v>
      </c>
      <c r="Q3649">
        <v>7.1456434553025198E-4</v>
      </c>
      <c r="R3649">
        <v>0.98222779340730404</v>
      </c>
      <c r="S3649" t="s">
        <v>10051</v>
      </c>
      <c r="T3649" t="s">
        <v>12802</v>
      </c>
      <c r="U3649" t="s">
        <v>12802</v>
      </c>
      <c r="V3649" t="s">
        <v>12802</v>
      </c>
      <c r="W3649" t="s">
        <v>16399</v>
      </c>
      <c r="X3649">
        <v>5</v>
      </c>
      <c r="Y3649" t="s">
        <v>22634</v>
      </c>
      <c r="Z3649" t="s">
        <v>28967</v>
      </c>
      <c r="AA3649">
        <v>0.41170120189387249</v>
      </c>
      <c r="AB3649" t="str">
        <f>HYPERLINK("Melting_Curves/meltCurve_Q3KQU3_2_MAP7D1.pdf", "Melting_Curves/meltCurve_Q3KQU3_2_MAP7D1.pdf")</f>
        <v>Melting_Curves/meltCurve_Q3KQU3_2_MAP7D1.pdf</v>
      </c>
    </row>
    <row r="3650" spans="1:28" x14ac:dyDescent="0.25">
      <c r="A3650" t="s">
        <v>3654</v>
      </c>
      <c r="B3650">
        <v>0.99542014353169495</v>
      </c>
      <c r="C3650">
        <v>0.85116236510289101</v>
      </c>
      <c r="D3650">
        <v>0.83299794945208006</v>
      </c>
      <c r="E3650">
        <v>0.65111548562504595</v>
      </c>
      <c r="F3650">
        <v>0.50005302522536199</v>
      </c>
      <c r="G3650">
        <v>0.266850466657581</v>
      </c>
      <c r="H3650">
        <v>0.184531585636796</v>
      </c>
      <c r="I3650">
        <v>0.141816179551806</v>
      </c>
      <c r="J3650">
        <v>0.12862163658062301</v>
      </c>
      <c r="K3650">
        <v>0.12659138978798801</v>
      </c>
      <c r="L3650">
        <v>529.07243612123705</v>
      </c>
      <c r="M3650">
        <v>10.851305634255599</v>
      </c>
      <c r="N3650">
        <v>49.285114345716501</v>
      </c>
      <c r="O3650">
        <v>47.188376365222197</v>
      </c>
      <c r="P3650">
        <v>-5.4350860364361001E-2</v>
      </c>
      <c r="Q3650">
        <v>5.4927923175409697E-2</v>
      </c>
      <c r="R3650">
        <v>0.98970815881974505</v>
      </c>
      <c r="S3650" t="s">
        <v>10052</v>
      </c>
      <c r="T3650" t="s">
        <v>12802</v>
      </c>
      <c r="U3650" t="s">
        <v>12802</v>
      </c>
      <c r="V3650" t="s">
        <v>12802</v>
      </c>
      <c r="W3650" t="s">
        <v>16400</v>
      </c>
      <c r="X3650">
        <v>6</v>
      </c>
      <c r="Y3650" t="s">
        <v>22635</v>
      </c>
      <c r="Z3650" t="s">
        <v>28968</v>
      </c>
      <c r="AA3650">
        <v>0.45773707255250767</v>
      </c>
      <c r="AB3650" t="str">
        <f>HYPERLINK("Melting_Curves/meltCurve_Q3KQV9_UAP1L1.pdf", "Melting_Curves/meltCurve_Q3KQV9_UAP1L1.pdf")</f>
        <v>Melting_Curves/meltCurve_Q3KQV9_UAP1L1.pdf</v>
      </c>
    </row>
    <row r="3651" spans="1:28" x14ac:dyDescent="0.25">
      <c r="A3651" t="s">
        <v>3655</v>
      </c>
      <c r="B3651">
        <v>0.99542014353169495</v>
      </c>
      <c r="C3651">
        <v>1.1068931214217601</v>
      </c>
      <c r="D3651">
        <v>1.04846341560517</v>
      </c>
      <c r="E3651">
        <v>0.75529205053428605</v>
      </c>
      <c r="F3651">
        <v>0.36027866417948301</v>
      </c>
      <c r="G3651">
        <v>0.30213551253690601</v>
      </c>
      <c r="H3651">
        <v>0.188693940799643</v>
      </c>
      <c r="I3651">
        <v>0.127951737710747</v>
      </c>
      <c r="J3651">
        <v>0.15189045911126101</v>
      </c>
      <c r="K3651">
        <v>7.1640929991754004E-2</v>
      </c>
      <c r="L3651">
        <v>1199.4409877102901</v>
      </c>
      <c r="M3651">
        <v>24.742232116278</v>
      </c>
      <c r="N3651">
        <v>49.144372868340398</v>
      </c>
      <c r="O3651">
        <v>48.164150833202299</v>
      </c>
      <c r="P3651">
        <v>-0.11011438534830199</v>
      </c>
      <c r="Q3651">
        <v>0.142601330671662</v>
      </c>
      <c r="R3651">
        <v>0.97729181065086201</v>
      </c>
      <c r="S3651" t="s">
        <v>10053</v>
      </c>
      <c r="T3651" t="s">
        <v>12802</v>
      </c>
      <c r="U3651" t="s">
        <v>12802</v>
      </c>
      <c r="V3651" t="s">
        <v>12802</v>
      </c>
      <c r="W3651" t="s">
        <v>16401</v>
      </c>
      <c r="X3651">
        <v>1</v>
      </c>
      <c r="Y3651" t="s">
        <v>22636</v>
      </c>
      <c r="Z3651" t="s">
        <v>28969</v>
      </c>
      <c r="AA3651">
        <v>0.47813461235650467</v>
      </c>
      <c r="AB3651" t="str">
        <f>HYPERLINK("Melting_Curves/meltCurve_Q3KRA9_ALKBH6.pdf", "Melting_Curves/meltCurve_Q3KRA9_ALKBH6.pdf")</f>
        <v>Melting_Curves/meltCurve_Q3KRA9_ALKBH6.pdf</v>
      </c>
    </row>
    <row r="3652" spans="1:28" x14ac:dyDescent="0.25">
      <c r="A3652" t="s">
        <v>3656</v>
      </c>
      <c r="B3652">
        <v>0.99542014353169495</v>
      </c>
      <c r="C3652">
        <v>0.98285203005266397</v>
      </c>
      <c r="D3652">
        <v>0.94853016042822302</v>
      </c>
      <c r="E3652">
        <v>0.94470813841825696</v>
      </c>
      <c r="F3652">
        <v>0.80746804133675498</v>
      </c>
      <c r="G3652">
        <v>0.68593066713404705</v>
      </c>
      <c r="H3652">
        <v>0.30777938634942398</v>
      </c>
      <c r="I3652">
        <v>7.4853108981976696E-2</v>
      </c>
      <c r="J3652">
        <v>5.15846867920189E-2</v>
      </c>
      <c r="K3652">
        <v>5.3345013771109798E-2</v>
      </c>
      <c r="L3652">
        <v>1099.41269603759</v>
      </c>
      <c r="M3652">
        <v>19.939452574030199</v>
      </c>
      <c r="N3652">
        <v>55.137561225391401</v>
      </c>
      <c r="O3652">
        <v>54.591952995062002</v>
      </c>
      <c r="P3652">
        <v>-9.1314325253928602E-2</v>
      </c>
      <c r="Q3652">
        <v>0</v>
      </c>
      <c r="R3652">
        <v>0.98970522335373301</v>
      </c>
      <c r="S3652" t="s">
        <v>10054</v>
      </c>
      <c r="T3652" t="s">
        <v>12802</v>
      </c>
      <c r="U3652" t="s">
        <v>12802</v>
      </c>
      <c r="V3652" t="s">
        <v>12802</v>
      </c>
      <c r="W3652" t="s">
        <v>16402</v>
      </c>
      <c r="X3652">
        <v>17</v>
      </c>
      <c r="Y3652" t="s">
        <v>22637</v>
      </c>
      <c r="Z3652" t="s">
        <v>28970</v>
      </c>
      <c r="AA3652">
        <v>0.61583989322845345</v>
      </c>
      <c r="AB3652" t="str">
        <f>HYPERLINK("Melting_Curves/meltCurve_Q3LXA3_DAK.pdf", "Melting_Curves/meltCurve_Q3LXA3_DAK.pdf")</f>
        <v>Melting_Curves/meltCurve_Q3LXA3_DAK.pdf</v>
      </c>
    </row>
    <row r="3653" spans="1:28" x14ac:dyDescent="0.25">
      <c r="A3653" t="s">
        <v>3657</v>
      </c>
      <c r="B3653">
        <v>0.99542014353169495</v>
      </c>
      <c r="C3653">
        <v>0.88817427627749901</v>
      </c>
      <c r="D3653">
        <v>0.87982183163829297</v>
      </c>
      <c r="E3653">
        <v>0.75723635095111597</v>
      </c>
      <c r="F3653">
        <v>0.55504735484960899</v>
      </c>
      <c r="G3653">
        <v>0.388954867024356</v>
      </c>
      <c r="H3653">
        <v>0.13350100744338</v>
      </c>
      <c r="I3653">
        <v>6.6193759243384095E-2</v>
      </c>
      <c r="J3653">
        <v>6.4672901249443498E-2</v>
      </c>
      <c r="K3653">
        <v>6.8671542861528906E-2</v>
      </c>
      <c r="L3653">
        <v>631.87744583471499</v>
      </c>
      <c r="M3653">
        <v>12.440194616961399</v>
      </c>
      <c r="N3653">
        <v>50.793213564618299</v>
      </c>
      <c r="O3653">
        <v>49.534262537382901</v>
      </c>
      <c r="P3653">
        <v>-6.2798969093341206E-2</v>
      </c>
      <c r="Q3653">
        <v>0</v>
      </c>
      <c r="R3653">
        <v>0.98747651327491004</v>
      </c>
      <c r="S3653" t="s">
        <v>10055</v>
      </c>
      <c r="T3653" t="s">
        <v>12802</v>
      </c>
      <c r="U3653" t="s">
        <v>12802</v>
      </c>
      <c r="V3653" t="s">
        <v>12802</v>
      </c>
      <c r="W3653" t="s">
        <v>16403</v>
      </c>
      <c r="X3653">
        <v>4</v>
      </c>
      <c r="Y3653" t="s">
        <v>22638</v>
      </c>
      <c r="Z3653" t="s">
        <v>28971</v>
      </c>
      <c r="AA3653">
        <v>0.48524690136325671</v>
      </c>
      <c r="AB3653" t="str">
        <f>HYPERLINK("Melting_Curves/meltCurve_Q3MHD2_LSM12.pdf", "Melting_Curves/meltCurve_Q3MHD2_LSM12.pdf")</f>
        <v>Melting_Curves/meltCurve_Q3MHD2_LSM12.pdf</v>
      </c>
    </row>
    <row r="3654" spans="1:28" x14ac:dyDescent="0.25">
      <c r="A3654" t="s">
        <v>3658</v>
      </c>
      <c r="B3654">
        <v>0.99542014353169495</v>
      </c>
      <c r="C3654">
        <v>1.0375671637502599</v>
      </c>
      <c r="D3654">
        <v>0.97342099223364598</v>
      </c>
      <c r="E3654">
        <v>0.66871446870185502</v>
      </c>
      <c r="F3654">
        <v>0.33684490973011599</v>
      </c>
      <c r="G3654">
        <v>0.16054347110950501</v>
      </c>
      <c r="H3654">
        <v>0.116272034285437</v>
      </c>
      <c r="I3654">
        <v>8.1845572634850705E-2</v>
      </c>
      <c r="J3654">
        <v>7.2180265055603404E-2</v>
      </c>
      <c r="K3654">
        <v>7.4065213061659904E-2</v>
      </c>
      <c r="L3654">
        <v>1094.9368000525801</v>
      </c>
      <c r="M3654">
        <v>22.8104179106369</v>
      </c>
      <c r="N3654">
        <v>48.371550566992802</v>
      </c>
      <c r="O3654">
        <v>47.6372725902025</v>
      </c>
      <c r="P3654">
        <v>-0.110129427872769</v>
      </c>
      <c r="Q3654">
        <v>8.0041110526325093E-2</v>
      </c>
      <c r="R3654">
        <v>0.99722003475633003</v>
      </c>
      <c r="S3654" t="s">
        <v>10056</v>
      </c>
      <c r="T3654" t="s">
        <v>12802</v>
      </c>
      <c r="U3654" t="s">
        <v>12802</v>
      </c>
      <c r="V3654" t="s">
        <v>12802</v>
      </c>
      <c r="W3654" t="s">
        <v>16404</v>
      </c>
      <c r="X3654">
        <v>8</v>
      </c>
      <c r="Y3654" t="s">
        <v>22639</v>
      </c>
      <c r="Z3654" t="s">
        <v>28972</v>
      </c>
      <c r="AA3654">
        <v>0.42679574938755882</v>
      </c>
      <c r="AB3654" t="str">
        <f>HYPERLINK("Melting_Curves/meltCurve_Q3MIT2_PUS10.pdf", "Melting_Curves/meltCurve_Q3MIT2_PUS10.pdf")</f>
        <v>Melting_Curves/meltCurve_Q3MIT2_PUS10.pdf</v>
      </c>
    </row>
    <row r="3655" spans="1:28" x14ac:dyDescent="0.25">
      <c r="A3655" t="s">
        <v>3659</v>
      </c>
      <c r="B3655">
        <v>0.99542014353169495</v>
      </c>
      <c r="C3655">
        <v>1.0006175792404901</v>
      </c>
      <c r="D3655">
        <v>1.0145295416734501</v>
      </c>
      <c r="E3655">
        <v>0.89573709965419601</v>
      </c>
      <c r="F3655">
        <v>0.74570245893069997</v>
      </c>
      <c r="G3655">
        <v>0.640189315042201</v>
      </c>
      <c r="H3655">
        <v>0.41904851815979199</v>
      </c>
      <c r="I3655">
        <v>0.31340787463212499</v>
      </c>
      <c r="J3655">
        <v>0.145567606109444</v>
      </c>
      <c r="K3655">
        <v>9.69590872595259E-2</v>
      </c>
      <c r="L3655">
        <v>657.71068719440404</v>
      </c>
      <c r="M3655">
        <v>11.777351846461601</v>
      </c>
      <c r="N3655">
        <v>55.845379871828101</v>
      </c>
      <c r="O3655">
        <v>54.308270073962298</v>
      </c>
      <c r="P3655">
        <v>-5.4229330652617001E-2</v>
      </c>
      <c r="Q3655">
        <v>0</v>
      </c>
      <c r="R3655">
        <v>0.99239270841335603</v>
      </c>
      <c r="S3655" t="s">
        <v>10057</v>
      </c>
      <c r="T3655" t="s">
        <v>12802</v>
      </c>
      <c r="U3655" t="s">
        <v>12802</v>
      </c>
      <c r="V3655" t="s">
        <v>12802</v>
      </c>
      <c r="W3655" t="s">
        <v>16405</v>
      </c>
      <c r="X3655">
        <v>10</v>
      </c>
      <c r="Y3655" t="s">
        <v>22640</v>
      </c>
      <c r="Z3655" t="s">
        <v>28973</v>
      </c>
      <c r="AA3655">
        <v>0.6384450041458406</v>
      </c>
      <c r="AB3655" t="str">
        <f>HYPERLINK("Melting_Curves/meltCurve_Q3SXM5_HSDL1.pdf", "Melting_Curves/meltCurve_Q3SXM5_HSDL1.pdf")</f>
        <v>Melting_Curves/meltCurve_Q3SXM5_HSDL1.pdf</v>
      </c>
    </row>
    <row r="3656" spans="1:28" x14ac:dyDescent="0.25">
      <c r="A3656" t="s">
        <v>3660</v>
      </c>
      <c r="B3656">
        <v>0.99542014353169495</v>
      </c>
      <c r="C3656">
        <v>0.94491595153960095</v>
      </c>
      <c r="D3656">
        <v>1.0297018792422299</v>
      </c>
      <c r="E3656">
        <v>0.71172495215931397</v>
      </c>
      <c r="F3656">
        <v>0.67042002002867196</v>
      </c>
      <c r="G3656">
        <v>0.47223596509050902</v>
      </c>
      <c r="H3656">
        <v>0.26322208730751501</v>
      </c>
      <c r="I3656">
        <v>0.15078107713959599</v>
      </c>
      <c r="J3656">
        <v>0.191192600170938</v>
      </c>
      <c r="K3656">
        <v>0.273933036762327</v>
      </c>
      <c r="L3656">
        <v>719.69218739601502</v>
      </c>
      <c r="M3656">
        <v>14.1562906925801</v>
      </c>
      <c r="N3656">
        <v>52.285472813001697</v>
      </c>
      <c r="O3656">
        <v>49.856802960238198</v>
      </c>
      <c r="P3656">
        <v>-5.9491329399900497E-2</v>
      </c>
      <c r="Q3656">
        <v>0.16202011566625299</v>
      </c>
      <c r="R3656">
        <v>0.96135707170604601</v>
      </c>
      <c r="S3656" t="s">
        <v>10058</v>
      </c>
      <c r="T3656" t="s">
        <v>12802</v>
      </c>
      <c r="U3656" t="s">
        <v>12802</v>
      </c>
      <c r="V3656" t="s">
        <v>12802</v>
      </c>
      <c r="W3656" t="s">
        <v>16406</v>
      </c>
      <c r="X3656">
        <v>2</v>
      </c>
      <c r="Y3656" t="s">
        <v>22641</v>
      </c>
      <c r="Z3656" t="s">
        <v>28974</v>
      </c>
      <c r="AA3656">
        <v>0.56688714755175296</v>
      </c>
      <c r="AB3656" t="str">
        <f>HYPERLINK("Melting_Curves/meltCurve_Q3SY56_SP6.pdf", "Melting_Curves/meltCurve_Q3SY56_SP6.pdf")</f>
        <v>Melting_Curves/meltCurve_Q3SY56_SP6.pdf</v>
      </c>
    </row>
    <row r="3657" spans="1:28" x14ac:dyDescent="0.25">
      <c r="A3657" t="s">
        <v>3661</v>
      </c>
      <c r="B3657">
        <v>0.99542014353169495</v>
      </c>
      <c r="C3657">
        <v>0.92739693778223897</v>
      </c>
      <c r="D3657">
        <v>0.93680287016622599</v>
      </c>
      <c r="E3657">
        <v>0.73580712517997304</v>
      </c>
      <c r="F3657">
        <v>0.63041513951002504</v>
      </c>
      <c r="G3657">
        <v>0.33749484418382603</v>
      </c>
      <c r="H3657">
        <v>0.19400775927333799</v>
      </c>
      <c r="I3657">
        <v>0.103039720555619</v>
      </c>
      <c r="J3657">
        <v>0.114399578060187</v>
      </c>
      <c r="K3657">
        <v>8.1277006065229002E-2</v>
      </c>
      <c r="L3657">
        <v>659.01267956235301</v>
      </c>
      <c r="M3657">
        <v>12.906832466111201</v>
      </c>
      <c r="N3657">
        <v>51.260407292407301</v>
      </c>
      <c r="O3657">
        <v>49.880116327519197</v>
      </c>
      <c r="P3657">
        <v>-6.3103014020256504E-2</v>
      </c>
      <c r="Q3657">
        <v>2.4698477978564899E-2</v>
      </c>
      <c r="R3657">
        <v>0.99155806341233999</v>
      </c>
      <c r="S3657" t="s">
        <v>10059</v>
      </c>
      <c r="T3657" t="s">
        <v>12802</v>
      </c>
      <c r="U3657" t="s">
        <v>12802</v>
      </c>
      <c r="V3657" t="s">
        <v>12802</v>
      </c>
      <c r="W3657" t="s">
        <v>16407</v>
      </c>
      <c r="X3657">
        <v>2</v>
      </c>
      <c r="Y3657" t="s">
        <v>22642</v>
      </c>
      <c r="Z3657" t="s">
        <v>28975</v>
      </c>
      <c r="AA3657">
        <v>0.50519850940243882</v>
      </c>
      <c r="AB3657" t="str">
        <f>HYPERLINK("Melting_Curves/meltCurve_Q3T906_GNPTAB.pdf", "Melting_Curves/meltCurve_Q3T906_GNPTAB.pdf")</f>
        <v>Melting_Curves/meltCurve_Q3T906_GNPTAB.pdf</v>
      </c>
    </row>
    <row r="3658" spans="1:28" x14ac:dyDescent="0.25">
      <c r="A3658" t="s">
        <v>3662</v>
      </c>
      <c r="B3658">
        <v>0.99542014353169495</v>
      </c>
      <c r="C3658">
        <v>0.94369524528271498</v>
      </c>
      <c r="D3658">
        <v>0.94025094621142402</v>
      </c>
      <c r="E3658">
        <v>0.62555531184503499</v>
      </c>
      <c r="F3658">
        <v>0.28842834547624402</v>
      </c>
      <c r="G3658">
        <v>0.19305696260204699</v>
      </c>
      <c r="H3658">
        <v>0.15875055110595401</v>
      </c>
      <c r="I3658">
        <v>0.13118123867279499</v>
      </c>
      <c r="J3658">
        <v>0.16745240468782599</v>
      </c>
      <c r="K3658">
        <v>0.19638718700782801</v>
      </c>
      <c r="L3658">
        <v>1244.85072849069</v>
      </c>
      <c r="M3658">
        <v>26.503312463796199</v>
      </c>
      <c r="N3658">
        <v>47.671762714598202</v>
      </c>
      <c r="O3658">
        <v>46.704668079350597</v>
      </c>
      <c r="P3658">
        <v>-0.118943348801888</v>
      </c>
      <c r="Q3658">
        <v>0.161591533269003</v>
      </c>
      <c r="R3658">
        <v>0.99610241254169096</v>
      </c>
      <c r="S3658" t="s">
        <v>10060</v>
      </c>
      <c r="T3658" t="s">
        <v>12802</v>
      </c>
      <c r="U3658" t="s">
        <v>12802</v>
      </c>
      <c r="V3658" t="s">
        <v>12802</v>
      </c>
      <c r="W3658" t="s">
        <v>16408</v>
      </c>
      <c r="X3658">
        <v>32</v>
      </c>
      <c r="Y3658" t="s">
        <v>22643</v>
      </c>
      <c r="Z3658" t="s">
        <v>28976</v>
      </c>
      <c r="AA3658">
        <v>0.44646872113603669</v>
      </c>
      <c r="AB3658" t="str">
        <f>HYPERLINK("Melting_Curves/meltCurve_Q3V6T2_2_CCDC88A.pdf", "Melting_Curves/meltCurve_Q3V6T2_2_CCDC88A.pdf")</f>
        <v>Melting_Curves/meltCurve_Q3V6T2_2_CCDC88A.pdf</v>
      </c>
    </row>
    <row r="3659" spans="1:28" x14ac:dyDescent="0.25">
      <c r="A3659" t="s">
        <v>3663</v>
      </c>
      <c r="B3659">
        <v>0.99542014353169495</v>
      </c>
      <c r="C3659">
        <v>1.05209103593081</v>
      </c>
      <c r="D3659">
        <v>1.0731609111173099</v>
      </c>
      <c r="E3659">
        <v>0.98790679642034296</v>
      </c>
      <c r="F3659">
        <v>0.92109386743404498</v>
      </c>
      <c r="G3659">
        <v>0.76489186683051702</v>
      </c>
      <c r="H3659">
        <v>0.33619991567836999</v>
      </c>
      <c r="I3659">
        <v>7.0695010754946594E-2</v>
      </c>
      <c r="J3659">
        <v>5.8582239760771697E-2</v>
      </c>
      <c r="K3659">
        <v>7.1953323838570699E-2</v>
      </c>
      <c r="L3659">
        <v>1663.7542253976301</v>
      </c>
      <c r="M3659">
        <v>29.843249226026298</v>
      </c>
      <c r="N3659">
        <v>55.902893192152199</v>
      </c>
      <c r="O3659">
        <v>55.501237971518201</v>
      </c>
      <c r="P3659">
        <v>-0.129151194591029</v>
      </c>
      <c r="Q3659">
        <v>3.9246202462789398E-2</v>
      </c>
      <c r="R3659">
        <v>0.99299675994602399</v>
      </c>
      <c r="S3659" t="s">
        <v>10061</v>
      </c>
      <c r="T3659" t="s">
        <v>12802</v>
      </c>
      <c r="U3659" t="s">
        <v>12802</v>
      </c>
      <c r="V3659" t="s">
        <v>12802</v>
      </c>
      <c r="W3659" t="s">
        <v>16409</v>
      </c>
      <c r="X3659">
        <v>18</v>
      </c>
      <c r="Y3659" t="s">
        <v>22644</v>
      </c>
      <c r="Z3659" t="s">
        <v>28977</v>
      </c>
      <c r="AA3659">
        <v>0.64578423535641194</v>
      </c>
      <c r="AB3659" t="str">
        <f>HYPERLINK("Melting_Curves/meltCurve_Q3YEC7_RABL6.pdf", "Melting_Curves/meltCurve_Q3YEC7_RABL6.pdf")</f>
        <v>Melting_Curves/meltCurve_Q3YEC7_RABL6.pdf</v>
      </c>
    </row>
    <row r="3660" spans="1:28" x14ac:dyDescent="0.25">
      <c r="A3660" t="s">
        <v>3664</v>
      </c>
      <c r="B3660">
        <v>0.99542014353169495</v>
      </c>
      <c r="C3660">
        <v>0.98218385357382798</v>
      </c>
      <c r="D3660">
        <v>1.1005193046667601</v>
      </c>
      <c r="E3660">
        <v>0.85124978951345198</v>
      </c>
      <c r="F3660">
        <v>0.78863555464913704</v>
      </c>
      <c r="G3660">
        <v>0.43372984836475198</v>
      </c>
      <c r="H3660">
        <v>0.32325603273501802</v>
      </c>
      <c r="I3660">
        <v>0.215453933263583</v>
      </c>
      <c r="J3660">
        <v>0.30795521797308201</v>
      </c>
      <c r="K3660">
        <v>0.32511946226452598</v>
      </c>
      <c r="L3660">
        <v>1313.8428051645401</v>
      </c>
      <c r="M3660">
        <v>25.557118429333499</v>
      </c>
      <c r="N3660">
        <v>53.0708566781733</v>
      </c>
      <c r="O3660">
        <v>51.096434501039496</v>
      </c>
      <c r="P3660">
        <v>-9.0595278500064394E-2</v>
      </c>
      <c r="Q3660">
        <v>0.27549892569680401</v>
      </c>
      <c r="R3660">
        <v>0.96962827263432705</v>
      </c>
      <c r="S3660" t="s">
        <v>10062</v>
      </c>
      <c r="T3660" t="s">
        <v>12802</v>
      </c>
      <c r="U3660" t="s">
        <v>12802</v>
      </c>
      <c r="V3660" t="s">
        <v>12802</v>
      </c>
      <c r="W3660" t="s">
        <v>16410</v>
      </c>
      <c r="X3660">
        <v>1</v>
      </c>
      <c r="Y3660" t="s">
        <v>22645</v>
      </c>
      <c r="Z3660" t="s">
        <v>28978</v>
      </c>
      <c r="AA3660">
        <v>0.62960703122402539</v>
      </c>
      <c r="AB3660" t="str">
        <f>HYPERLINK("Melting_Curves/meltCurve_Q3ZAQ7_VMA21.pdf", "Melting_Curves/meltCurve_Q3ZAQ7_VMA21.pdf")</f>
        <v>Melting_Curves/meltCurve_Q3ZAQ7_VMA21.pdf</v>
      </c>
    </row>
    <row r="3661" spans="1:28" x14ac:dyDescent="0.25">
      <c r="A3661" t="s">
        <v>3665</v>
      </c>
      <c r="B3661">
        <v>0.99542014353169495</v>
      </c>
      <c r="C3661">
        <v>1.0629968842569799</v>
      </c>
      <c r="D3661">
        <v>1.1751690659046301</v>
      </c>
      <c r="E3661">
        <v>1.1924761370313499</v>
      </c>
      <c r="F3661">
        <v>0.98768706405982998</v>
      </c>
      <c r="G3661">
        <v>0.67549839930390698</v>
      </c>
      <c r="H3661">
        <v>0.32253416467351298</v>
      </c>
      <c r="I3661">
        <v>0.159916770647937</v>
      </c>
      <c r="J3661">
        <v>7.7140452408504895E-2</v>
      </c>
      <c r="K3661">
        <v>6.8799783684635699E-2</v>
      </c>
      <c r="L3661">
        <v>1592.3566996581901</v>
      </c>
      <c r="M3661">
        <v>28.8348015038965</v>
      </c>
      <c r="N3661">
        <v>55.543117583512</v>
      </c>
      <c r="O3661">
        <v>54.959868512379501</v>
      </c>
      <c r="P3661">
        <v>-0.12113454139936899</v>
      </c>
      <c r="Q3661">
        <v>7.6464918670663795E-2</v>
      </c>
      <c r="R3661">
        <v>0.96108195424772402</v>
      </c>
      <c r="S3661" t="s">
        <v>10063</v>
      </c>
      <c r="T3661" t="s">
        <v>12802</v>
      </c>
      <c r="U3661" t="s">
        <v>12802</v>
      </c>
      <c r="V3661" t="s">
        <v>12802</v>
      </c>
      <c r="W3661" t="s">
        <v>16411</v>
      </c>
      <c r="X3661">
        <v>13</v>
      </c>
      <c r="Y3661" t="s">
        <v>22646</v>
      </c>
      <c r="Z3661" t="s">
        <v>28979</v>
      </c>
      <c r="AA3661">
        <v>0.64370982253028264</v>
      </c>
      <c r="AB3661" t="str">
        <f>HYPERLINK("Melting_Curves/meltCurve_Q3ZCM7_TUBB8.pdf", "Melting_Curves/meltCurve_Q3ZCM7_TUBB8.pdf")</f>
        <v>Melting_Curves/meltCurve_Q3ZCM7_TUBB8.pdf</v>
      </c>
    </row>
    <row r="3662" spans="1:28" x14ac:dyDescent="0.25">
      <c r="A3662" t="s">
        <v>3666</v>
      </c>
      <c r="B3662">
        <v>0.99542014353169495</v>
      </c>
      <c r="C3662">
        <v>0.91276776754578004</v>
      </c>
      <c r="D3662">
        <v>0.91071250789651603</v>
      </c>
      <c r="E3662">
        <v>0.69027476667471699</v>
      </c>
      <c r="F3662">
        <v>0.48791010383472599</v>
      </c>
      <c r="G3662">
        <v>0.32056461951520299</v>
      </c>
      <c r="H3662">
        <v>0.18410630025976599</v>
      </c>
      <c r="I3662">
        <v>0.146590871736341</v>
      </c>
      <c r="J3662">
        <v>0.16416477072963101</v>
      </c>
      <c r="K3662">
        <v>0.15605262090625499</v>
      </c>
      <c r="L3662">
        <v>685.02134433153196</v>
      </c>
      <c r="M3662">
        <v>14.0268357957452</v>
      </c>
      <c r="N3662">
        <v>49.7919625511162</v>
      </c>
      <c r="O3662">
        <v>47.876010565914001</v>
      </c>
      <c r="P3662">
        <v>-6.4611782595709599E-2</v>
      </c>
      <c r="Q3662">
        <v>0.117991177146915</v>
      </c>
      <c r="R3662">
        <v>0.994845469410649</v>
      </c>
      <c r="S3662" t="s">
        <v>10064</v>
      </c>
      <c r="T3662" t="s">
        <v>12802</v>
      </c>
      <c r="U3662" t="s">
        <v>12802</v>
      </c>
      <c r="V3662" t="s">
        <v>12802</v>
      </c>
      <c r="W3662" t="s">
        <v>16412</v>
      </c>
      <c r="X3662">
        <v>12</v>
      </c>
      <c r="Y3662" t="s">
        <v>22647</v>
      </c>
      <c r="Z3662" t="s">
        <v>28980</v>
      </c>
      <c r="AA3662">
        <v>0.48713218800149638</v>
      </c>
      <c r="AB3662" t="str">
        <f>HYPERLINK("Melting_Curves/meltCurve_Q3ZCQ8_TIMM50.pdf", "Melting_Curves/meltCurve_Q3ZCQ8_TIMM50.pdf")</f>
        <v>Melting_Curves/meltCurve_Q3ZCQ8_TIMM50.pdf</v>
      </c>
    </row>
    <row r="3663" spans="1:28" x14ac:dyDescent="0.25">
      <c r="A3663" t="s">
        <v>3667</v>
      </c>
      <c r="B3663">
        <v>0.99542014353169495</v>
      </c>
      <c r="C3663">
        <v>1.01551157631671</v>
      </c>
      <c r="D3663">
        <v>0.82184997237075497</v>
      </c>
      <c r="E3663">
        <v>0.52908681129353297</v>
      </c>
      <c r="F3663">
        <v>0.325051772465834</v>
      </c>
      <c r="G3663">
        <v>0.21979543648470001</v>
      </c>
      <c r="H3663">
        <v>0.116952031639833</v>
      </c>
      <c r="I3663">
        <v>0.106746330277237</v>
      </c>
      <c r="J3663">
        <v>0.13099564130036301</v>
      </c>
      <c r="K3663">
        <v>0.20570031225507199</v>
      </c>
      <c r="L3663">
        <v>878.47401529679598</v>
      </c>
      <c r="M3663">
        <v>18.970013003923999</v>
      </c>
      <c r="N3663">
        <v>47.120804864617803</v>
      </c>
      <c r="O3663">
        <v>45.803165085178101</v>
      </c>
      <c r="P3663">
        <v>-8.9105187103290906E-2</v>
      </c>
      <c r="Q3663">
        <v>0.13945541323475899</v>
      </c>
      <c r="R3663">
        <v>0.98975192422393998</v>
      </c>
      <c r="S3663" t="s">
        <v>10065</v>
      </c>
      <c r="T3663" t="s">
        <v>12802</v>
      </c>
      <c r="U3663" t="s">
        <v>12802</v>
      </c>
      <c r="V3663" t="s">
        <v>12802</v>
      </c>
      <c r="W3663" t="s">
        <v>13053</v>
      </c>
      <c r="X3663">
        <v>5</v>
      </c>
      <c r="Y3663" t="s">
        <v>22648</v>
      </c>
      <c r="Z3663" t="s">
        <v>28981</v>
      </c>
      <c r="AA3663">
        <v>0.41897327755414132</v>
      </c>
      <c r="AB3663" t="str">
        <f>HYPERLINK("Melting_Curves/meltCurve_Q3ZCV1_USP38.pdf", "Melting_Curves/meltCurve_Q3ZCV1_USP38.pdf")</f>
        <v>Melting_Curves/meltCurve_Q3ZCV1_USP38.pdf</v>
      </c>
    </row>
    <row r="3664" spans="1:28" x14ac:dyDescent="0.25">
      <c r="A3664" t="s">
        <v>3668</v>
      </c>
      <c r="B3664">
        <v>0.99542014353169495</v>
      </c>
      <c r="C3664">
        <v>1.1460181612517</v>
      </c>
      <c r="D3664">
        <v>1.07789435912952</v>
      </c>
      <c r="E3664">
        <v>0.97488330901581299</v>
      </c>
      <c r="F3664">
        <v>0.70531921846614898</v>
      </c>
      <c r="G3664">
        <v>0.25213127836941401</v>
      </c>
      <c r="H3664">
        <v>6.8178169233054295E-2</v>
      </c>
      <c r="I3664">
        <v>5.6048512102244701E-2</v>
      </c>
      <c r="J3664">
        <v>7.9956941964541298E-2</v>
      </c>
      <c r="K3664">
        <v>0</v>
      </c>
      <c r="L3664">
        <v>1611.4740002722101</v>
      </c>
      <c r="M3664">
        <v>31.255086860532</v>
      </c>
      <c r="N3664">
        <v>51.696438937272397</v>
      </c>
      <c r="O3664">
        <v>51.349088741507202</v>
      </c>
      <c r="P3664">
        <v>-0.14609327817477899</v>
      </c>
      <c r="Q3664">
        <v>3.9936733348494097E-2</v>
      </c>
      <c r="R3664">
        <v>0.98532399004512705</v>
      </c>
      <c r="S3664" t="s">
        <v>10066</v>
      </c>
      <c r="T3664" t="s">
        <v>12802</v>
      </c>
      <c r="U3664" t="s">
        <v>12802</v>
      </c>
      <c r="V3664" t="s">
        <v>12802</v>
      </c>
      <c r="W3664" t="s">
        <v>16413</v>
      </c>
      <c r="X3664">
        <v>2</v>
      </c>
      <c r="Y3664" t="s">
        <v>22649</v>
      </c>
      <c r="Z3664" t="s">
        <v>28982</v>
      </c>
      <c r="AA3664">
        <v>0.51141368476769355</v>
      </c>
      <c r="AB3664" t="str">
        <f>HYPERLINK("Melting_Curves/meltCurve_Q495W5_2_FUT11.pdf", "Melting_Curves/meltCurve_Q495W5_2_FUT11.pdf")</f>
        <v>Melting_Curves/meltCurve_Q495W5_2_FUT11.pdf</v>
      </c>
    </row>
    <row r="3665" spans="1:28" x14ac:dyDescent="0.25">
      <c r="A3665" t="s">
        <v>3669</v>
      </c>
      <c r="B3665">
        <v>0.99542014353169495</v>
      </c>
      <c r="C3665">
        <v>0.97860657171436305</v>
      </c>
      <c r="D3665">
        <v>0.84279441610452399</v>
      </c>
      <c r="E3665">
        <v>0.53994963640743499</v>
      </c>
      <c r="F3665">
        <v>0.36101773853005298</v>
      </c>
      <c r="G3665">
        <v>0.20088355611843101</v>
      </c>
      <c r="H3665">
        <v>0.13275515577308999</v>
      </c>
      <c r="I3665">
        <v>0.158805485915647</v>
      </c>
      <c r="J3665">
        <v>0.13613383304322099</v>
      </c>
      <c r="K3665">
        <v>0.232812132090153</v>
      </c>
      <c r="L3665">
        <v>875.51665416762103</v>
      </c>
      <c r="M3665">
        <v>18.8827870529033</v>
      </c>
      <c r="N3665">
        <v>47.321186366615201</v>
      </c>
      <c r="O3665">
        <v>45.855239944340703</v>
      </c>
      <c r="P3665">
        <v>-8.6636117384956607E-2</v>
      </c>
      <c r="Q3665">
        <v>0.15848077365486099</v>
      </c>
      <c r="R3665">
        <v>0.99050487490190997</v>
      </c>
      <c r="S3665" t="s">
        <v>10067</v>
      </c>
      <c r="T3665" t="s">
        <v>12802</v>
      </c>
      <c r="U3665" t="s">
        <v>12802</v>
      </c>
      <c r="V3665" t="s">
        <v>12802</v>
      </c>
      <c r="W3665" t="s">
        <v>16414</v>
      </c>
      <c r="X3665">
        <v>2</v>
      </c>
      <c r="Y3665" t="s">
        <v>22650</v>
      </c>
      <c r="Z3665" t="s">
        <v>28983</v>
      </c>
      <c r="AA3665">
        <v>0.43353629134643801</v>
      </c>
      <c r="AB3665" t="str">
        <f>HYPERLINK("Melting_Curves/meltCurve_Q49AM1_MTERFD3.pdf", "Melting_Curves/meltCurve_Q49AM1_MTERFD3.pdf")</f>
        <v>Melting_Curves/meltCurve_Q49AM1_MTERFD3.pdf</v>
      </c>
    </row>
    <row r="3666" spans="1:28" x14ac:dyDescent="0.25">
      <c r="A3666" t="s">
        <v>3670</v>
      </c>
      <c r="B3666">
        <v>0.99542014353169495</v>
      </c>
      <c r="C3666">
        <v>0.83063438112786603</v>
      </c>
      <c r="D3666">
        <v>0.62031446382574496</v>
      </c>
      <c r="E3666">
        <v>0.35395914893380898</v>
      </c>
      <c r="F3666">
        <v>0.29835745663463098</v>
      </c>
      <c r="G3666">
        <v>0.152193608090994</v>
      </c>
      <c r="H3666">
        <v>8.2261751184557502E-2</v>
      </c>
      <c r="I3666">
        <v>4.3976869352563099E-2</v>
      </c>
      <c r="J3666">
        <v>5.3844524815943803E-2</v>
      </c>
      <c r="K3666">
        <v>6.1178334670830399E-2</v>
      </c>
      <c r="L3666">
        <v>570.43769541670395</v>
      </c>
      <c r="M3666">
        <v>12.7648136488506</v>
      </c>
      <c r="N3666">
        <v>44.985534516991699</v>
      </c>
      <c r="O3666">
        <v>43.634115924688203</v>
      </c>
      <c r="P3666">
        <v>-7.0191246961917905E-2</v>
      </c>
      <c r="Q3666">
        <v>4.0439680056892503E-2</v>
      </c>
      <c r="R3666">
        <v>0.98960058937817896</v>
      </c>
      <c r="S3666" t="s">
        <v>10068</v>
      </c>
      <c r="T3666" t="s">
        <v>12802</v>
      </c>
      <c r="U3666" t="s">
        <v>12802</v>
      </c>
      <c r="V3666" t="s">
        <v>12802</v>
      </c>
      <c r="W3666" t="s">
        <v>16415</v>
      </c>
      <c r="X3666">
        <v>1</v>
      </c>
      <c r="Y3666" t="s">
        <v>22651</v>
      </c>
      <c r="Z3666" t="s">
        <v>28984</v>
      </c>
      <c r="AA3666">
        <v>0.3180297808556008</v>
      </c>
      <c r="AB3666" t="str">
        <f>HYPERLINK("Melting_Curves/meltCurve_Q49AN0_CRY2.pdf", "Melting_Curves/meltCurve_Q49AN0_CRY2.pdf")</f>
        <v>Melting_Curves/meltCurve_Q49AN0_CRY2.pdf</v>
      </c>
    </row>
    <row r="3667" spans="1:28" x14ac:dyDescent="0.25">
      <c r="A3667" t="s">
        <v>3671</v>
      </c>
      <c r="B3667">
        <v>0.99542014353169495</v>
      </c>
      <c r="C3667">
        <v>1.06171163095459</v>
      </c>
      <c r="D3667">
        <v>1.00390902419607</v>
      </c>
      <c r="E3667">
        <v>0.95196484288931904</v>
      </c>
      <c r="F3667">
        <v>0.71851882636424103</v>
      </c>
      <c r="G3667">
        <v>0.385501713100671</v>
      </c>
      <c r="H3667">
        <v>0.16525652848075101</v>
      </c>
      <c r="I3667">
        <v>8.6625754529056798E-2</v>
      </c>
      <c r="J3667">
        <v>5.5870874519591503E-2</v>
      </c>
      <c r="K3667">
        <v>6.1485673519862602E-2</v>
      </c>
      <c r="L3667">
        <v>1161.3957722396499</v>
      </c>
      <c r="M3667">
        <v>22.214431898023399</v>
      </c>
      <c r="N3667">
        <v>52.523066226026202</v>
      </c>
      <c r="O3667">
        <v>51.862981871883498</v>
      </c>
      <c r="P3667">
        <v>-0.101877371821515</v>
      </c>
      <c r="Q3667">
        <v>4.8626995569912901E-2</v>
      </c>
      <c r="R3667">
        <v>0.99741860737004695</v>
      </c>
      <c r="S3667" t="s">
        <v>10069</v>
      </c>
      <c r="T3667" t="s">
        <v>12802</v>
      </c>
      <c r="U3667" t="s">
        <v>12802</v>
      </c>
      <c r="V3667" t="s">
        <v>12802</v>
      </c>
      <c r="W3667" t="s">
        <v>16416</v>
      </c>
      <c r="X3667">
        <v>11</v>
      </c>
      <c r="Y3667" t="s">
        <v>22652</v>
      </c>
      <c r="Z3667" t="s">
        <v>28985</v>
      </c>
      <c r="AA3667">
        <v>0.54355804505303063</v>
      </c>
      <c r="AB3667" t="str">
        <f>HYPERLINK("Melting_Curves/meltCurve_Q49AR2_C5orf22.pdf", "Melting_Curves/meltCurve_Q49AR2_C5orf22.pdf")</f>
        <v>Melting_Curves/meltCurve_Q49AR2_C5orf22.pdf</v>
      </c>
    </row>
    <row r="3668" spans="1:28" x14ac:dyDescent="0.25">
      <c r="A3668" t="s">
        <v>3672</v>
      </c>
      <c r="B3668">
        <v>0.99542014353169495</v>
      </c>
      <c r="C3668">
        <v>0.97060579306153205</v>
      </c>
      <c r="D3668">
        <v>0.98737997840036096</v>
      </c>
      <c r="E3668">
        <v>0.86565566043636399</v>
      </c>
      <c r="F3668">
        <v>0.67747554139903798</v>
      </c>
      <c r="G3668">
        <v>0.53500037438133996</v>
      </c>
      <c r="H3668">
        <v>0.38953239845371701</v>
      </c>
      <c r="I3668">
        <v>0.30720479160103298</v>
      </c>
      <c r="J3668">
        <v>0.45420485816290801</v>
      </c>
      <c r="K3668">
        <v>0.53626019302402705</v>
      </c>
      <c r="L3668">
        <v>1104.43981326413</v>
      </c>
      <c r="M3668">
        <v>22.3063191650945</v>
      </c>
      <c r="N3668">
        <v>53.949361662280197</v>
      </c>
      <c r="O3668">
        <v>49.119638577305999</v>
      </c>
      <c r="P3668">
        <v>-6.5831401977248294E-2</v>
      </c>
      <c r="Q3668">
        <v>0.420156001871615</v>
      </c>
      <c r="R3668">
        <v>0.94557076301553999</v>
      </c>
      <c r="S3668" t="s">
        <v>10070</v>
      </c>
      <c r="T3668" t="s">
        <v>12802</v>
      </c>
      <c r="U3668" t="s">
        <v>12802</v>
      </c>
      <c r="V3668" t="s">
        <v>12802</v>
      </c>
      <c r="W3668" t="s">
        <v>16417</v>
      </c>
      <c r="X3668">
        <v>7</v>
      </c>
      <c r="Y3668" t="s">
        <v>22653</v>
      </c>
      <c r="Z3668" t="s">
        <v>28986</v>
      </c>
      <c r="AA3668">
        <v>0.6682578282987951</v>
      </c>
      <c r="AB3668" t="str">
        <f>HYPERLINK("Melting_Curves/meltCurve_Q49B96_COX19.pdf", "Melting_Curves/meltCurve_Q49B96_COX19.pdf")</f>
        <v>Melting_Curves/meltCurve_Q49B96_COX19.pdf</v>
      </c>
    </row>
    <row r="3669" spans="1:28" x14ac:dyDescent="0.25">
      <c r="A3669" t="s">
        <v>3673</v>
      </c>
      <c r="B3669">
        <v>0.99542014353169495</v>
      </c>
      <c r="C3669">
        <v>1.0145883409838801</v>
      </c>
      <c r="D3669">
        <v>0.91802747116497296</v>
      </c>
      <c r="E3669">
        <v>0.909301488314602</v>
      </c>
      <c r="F3669">
        <v>0.76922504254496304</v>
      </c>
      <c r="G3669">
        <v>0.469720921816764</v>
      </c>
      <c r="H3669">
        <v>0.220916907542102</v>
      </c>
      <c r="I3669">
        <v>0.111345409546988</v>
      </c>
      <c r="J3669">
        <v>0.111086549433183</v>
      </c>
      <c r="K3669">
        <v>0.10870291679605799</v>
      </c>
      <c r="L3669">
        <v>1019.33605576157</v>
      </c>
      <c r="M3669">
        <v>19.287785642269402</v>
      </c>
      <c r="N3669">
        <v>53.2783477807032</v>
      </c>
      <c r="O3669">
        <v>52.290523772588301</v>
      </c>
      <c r="P3669">
        <v>-8.5577316960892005E-2</v>
      </c>
      <c r="Q3669">
        <v>7.2010681732904494E-2</v>
      </c>
      <c r="R3669">
        <v>0.994476218497649</v>
      </c>
      <c r="S3669" t="s">
        <v>10071</v>
      </c>
      <c r="T3669" t="s">
        <v>12802</v>
      </c>
      <c r="U3669" t="s">
        <v>12802</v>
      </c>
      <c r="V3669" t="s">
        <v>12802</v>
      </c>
      <c r="W3669" t="s">
        <v>16418</v>
      </c>
      <c r="X3669">
        <v>6</v>
      </c>
      <c r="Y3669" t="s">
        <v>22654</v>
      </c>
      <c r="Z3669" t="s">
        <v>28987</v>
      </c>
      <c r="AA3669">
        <v>0.57463262238118795</v>
      </c>
      <c r="AB3669" t="str">
        <f>HYPERLINK("Melting_Curves/meltCurve_Q4G0F5_VPS26B.pdf", "Melting_Curves/meltCurve_Q4G0F5_VPS26B.pdf")</f>
        <v>Melting_Curves/meltCurve_Q4G0F5_VPS26B.pdf</v>
      </c>
    </row>
    <row r="3670" spans="1:28" x14ac:dyDescent="0.25">
      <c r="A3670" t="s">
        <v>3674</v>
      </c>
      <c r="B3670">
        <v>0.99542014353169495</v>
      </c>
      <c r="C3670">
        <v>1.00936911261861</v>
      </c>
      <c r="D3670">
        <v>1.0583176557902401</v>
      </c>
      <c r="E3670">
        <v>0.94786171076606895</v>
      </c>
      <c r="F3670">
        <v>0.83872068887229201</v>
      </c>
      <c r="G3670">
        <v>0.61028807379877303</v>
      </c>
      <c r="H3670">
        <v>0.474505293770979</v>
      </c>
      <c r="I3670">
        <v>0.43963624809278101</v>
      </c>
      <c r="J3670">
        <v>0.61754346791223402</v>
      </c>
      <c r="K3670">
        <v>0.68634793755441303</v>
      </c>
      <c r="L3670">
        <v>2033.0240115695501</v>
      </c>
      <c r="M3670">
        <v>39.981496447966002</v>
      </c>
      <c r="O3670">
        <v>50.7224191228674</v>
      </c>
      <c r="P3670">
        <v>-8.75268843719407E-2</v>
      </c>
      <c r="Q3670">
        <v>0.55583800391128402</v>
      </c>
      <c r="R3670">
        <v>0.90168214159415405</v>
      </c>
      <c r="S3670" t="s">
        <v>10072</v>
      </c>
      <c r="T3670" t="s">
        <v>12802</v>
      </c>
      <c r="U3670" t="s">
        <v>12802</v>
      </c>
      <c r="V3670" t="s">
        <v>12802</v>
      </c>
      <c r="W3670" t="s">
        <v>16419</v>
      </c>
      <c r="X3670">
        <v>4</v>
      </c>
      <c r="Y3670" t="s">
        <v>22655</v>
      </c>
      <c r="Z3670" t="s">
        <v>28988</v>
      </c>
      <c r="AA3670">
        <v>0.76244058124965253</v>
      </c>
      <c r="AB3670" t="str">
        <f>HYPERLINK("Melting_Curves/meltCurve_Q4G0I0_CCSMST1.pdf", "Melting_Curves/meltCurve_Q4G0I0_CCSMST1.pdf")</f>
        <v>Melting_Curves/meltCurve_Q4G0I0_CCSMST1.pdf</v>
      </c>
    </row>
    <row r="3671" spans="1:28" x14ac:dyDescent="0.25">
      <c r="A3671" t="s">
        <v>3675</v>
      </c>
      <c r="B3671">
        <v>0.99542014353169495</v>
      </c>
      <c r="C3671">
        <v>0.81821782929355502</v>
      </c>
      <c r="D3671">
        <v>0.88407079807321198</v>
      </c>
      <c r="E3671">
        <v>0.469638219039065</v>
      </c>
      <c r="F3671">
        <v>0.22097029822817099</v>
      </c>
      <c r="G3671">
        <v>0.141980426620199</v>
      </c>
      <c r="H3671">
        <v>0.107744077865221</v>
      </c>
      <c r="I3671">
        <v>7.8627943429145294E-2</v>
      </c>
      <c r="J3671">
        <v>8.1085927440233102E-2</v>
      </c>
      <c r="K3671">
        <v>8.2609661578533805E-2</v>
      </c>
      <c r="L3671">
        <v>874.38919195062999</v>
      </c>
      <c r="M3671">
        <v>18.988123665625402</v>
      </c>
      <c r="N3671">
        <v>46.458530296500598</v>
      </c>
      <c r="O3671">
        <v>45.547644386178703</v>
      </c>
      <c r="P3671">
        <v>-9.6198543027007394E-2</v>
      </c>
      <c r="Q3671">
        <v>7.7014374342241704E-2</v>
      </c>
      <c r="R3671">
        <v>0.980492759978011</v>
      </c>
      <c r="S3671" t="s">
        <v>10073</v>
      </c>
      <c r="T3671" t="s">
        <v>12802</v>
      </c>
      <c r="U3671" t="s">
        <v>12802</v>
      </c>
      <c r="V3671" t="s">
        <v>12802</v>
      </c>
      <c r="W3671" t="s">
        <v>16420</v>
      </c>
      <c r="X3671">
        <v>12</v>
      </c>
      <c r="Y3671" t="s">
        <v>22656</v>
      </c>
      <c r="Z3671" t="s">
        <v>28989</v>
      </c>
      <c r="AA3671">
        <v>0.36882457852487172</v>
      </c>
      <c r="AB3671" t="str">
        <f>HYPERLINK("Melting_Curves/meltCurve_Q4G0J3_LARP7.pdf", "Melting_Curves/meltCurve_Q4G0J3_LARP7.pdf")</f>
        <v>Melting_Curves/meltCurve_Q4G0J3_LARP7.pdf</v>
      </c>
    </row>
    <row r="3672" spans="1:28" x14ac:dyDescent="0.25">
      <c r="A3672" t="s">
        <v>3676</v>
      </c>
      <c r="B3672">
        <v>0.99542014353169495</v>
      </c>
      <c r="C3672">
        <v>0.94019912812511997</v>
      </c>
      <c r="D3672">
        <v>0.93363649606383803</v>
      </c>
      <c r="E3672">
        <v>0.85976941392553996</v>
      </c>
      <c r="F3672">
        <v>0.74214526914401702</v>
      </c>
      <c r="G3672">
        <v>0.62176107361514399</v>
      </c>
      <c r="H3672">
        <v>0.340825431774609</v>
      </c>
      <c r="I3672">
        <v>8.7508038785377495E-2</v>
      </c>
      <c r="J3672">
        <v>6.1446492879908499E-2</v>
      </c>
      <c r="K3672">
        <v>6.8626067678398697E-2</v>
      </c>
      <c r="L3672">
        <v>801.76595841193796</v>
      </c>
      <c r="M3672">
        <v>14.7377846174036</v>
      </c>
      <c r="N3672">
        <v>54.402067981106697</v>
      </c>
      <c r="O3672">
        <v>53.429901644296301</v>
      </c>
      <c r="P3672">
        <v>-6.8965970197200605E-2</v>
      </c>
      <c r="Q3672">
        <v>0</v>
      </c>
      <c r="R3672">
        <v>0.98149957748711902</v>
      </c>
      <c r="S3672" t="s">
        <v>10074</v>
      </c>
      <c r="T3672" t="s">
        <v>12802</v>
      </c>
      <c r="U3672" t="s">
        <v>12802</v>
      </c>
      <c r="V3672" t="s">
        <v>12802</v>
      </c>
      <c r="W3672" t="s">
        <v>16421</v>
      </c>
      <c r="X3672">
        <v>12</v>
      </c>
      <c r="Y3672" t="s">
        <v>22657</v>
      </c>
      <c r="Z3672" t="s">
        <v>28990</v>
      </c>
      <c r="AA3672">
        <v>0.59563975964083393</v>
      </c>
      <c r="AB3672" t="str">
        <f>HYPERLINK("Melting_Curves/meltCurve_Q4G0N4_NADKD1.pdf", "Melting_Curves/meltCurve_Q4G0N4_NADKD1.pdf")</f>
        <v>Melting_Curves/meltCurve_Q4G0N4_NADKD1.pdf</v>
      </c>
    </row>
    <row r="3673" spans="1:28" x14ac:dyDescent="0.25">
      <c r="A3673" t="s">
        <v>3677</v>
      </c>
      <c r="B3673">
        <v>0.99542014353169495</v>
      </c>
      <c r="C3673">
        <v>1.1105406430449001</v>
      </c>
      <c r="D3673">
        <v>1.05183993624548</v>
      </c>
      <c r="E3673">
        <v>0.87399949704958502</v>
      </c>
      <c r="F3673">
        <v>0.63905314501639698</v>
      </c>
      <c r="G3673">
        <v>0.35716051648133201</v>
      </c>
      <c r="H3673">
        <v>0.124394871857386</v>
      </c>
      <c r="I3673">
        <v>9.2722994541795598E-2</v>
      </c>
      <c r="J3673">
        <v>0.103502754178996</v>
      </c>
      <c r="K3673">
        <v>0.121266073475942</v>
      </c>
      <c r="L3673">
        <v>1122.07615931852</v>
      </c>
      <c r="M3673">
        <v>21.904359845662199</v>
      </c>
      <c r="N3673">
        <v>51.6725202037074</v>
      </c>
      <c r="O3673">
        <v>50.8049350556023</v>
      </c>
      <c r="P3673">
        <v>-9.84979972481171E-2</v>
      </c>
      <c r="Q3673">
        <v>8.6196404954270001E-2</v>
      </c>
      <c r="R3673">
        <v>0.98686834193044104</v>
      </c>
      <c r="S3673" t="s">
        <v>10075</v>
      </c>
      <c r="T3673" t="s">
        <v>12802</v>
      </c>
      <c r="U3673" t="s">
        <v>12802</v>
      </c>
      <c r="V3673" t="s">
        <v>12802</v>
      </c>
      <c r="W3673" t="s">
        <v>16422</v>
      </c>
      <c r="X3673">
        <v>3</v>
      </c>
      <c r="Y3673" t="s">
        <v>22658</v>
      </c>
      <c r="Z3673" t="s">
        <v>28991</v>
      </c>
      <c r="AA3673">
        <v>0.52976074962857433</v>
      </c>
      <c r="AB3673" t="str">
        <f>HYPERLINK("Melting_Curves/meltCurve_Q4G148_2_GXYLT1.pdf", "Melting_Curves/meltCurve_Q4G148_2_GXYLT1.pdf")</f>
        <v>Melting_Curves/meltCurve_Q4G148_2_GXYLT1.pdf</v>
      </c>
    </row>
    <row r="3674" spans="1:28" x14ac:dyDescent="0.25">
      <c r="A3674" t="s">
        <v>3678</v>
      </c>
      <c r="B3674">
        <v>0.99542014353169495</v>
      </c>
      <c r="C3674">
        <v>1.1352088488962899</v>
      </c>
      <c r="D3674">
        <v>1.0772488226777801</v>
      </c>
      <c r="E3674">
        <v>0.898018894125167</v>
      </c>
      <c r="F3674">
        <v>0.58412866814856601</v>
      </c>
      <c r="G3674">
        <v>0.34940299421749599</v>
      </c>
      <c r="H3674">
        <v>0.306998507089217</v>
      </c>
      <c r="I3674">
        <v>0.14379450746217101</v>
      </c>
      <c r="J3674">
        <v>0.15038497994765601</v>
      </c>
      <c r="K3674">
        <v>9.6969639688687298E-2</v>
      </c>
      <c r="L3674">
        <v>1019.5763512928</v>
      </c>
      <c r="M3674">
        <v>20.034734084023199</v>
      </c>
      <c r="N3674">
        <v>51.706826857587998</v>
      </c>
      <c r="O3674">
        <v>50.391561204390797</v>
      </c>
      <c r="P3674">
        <v>-8.5921177018861095E-2</v>
      </c>
      <c r="Q3674">
        <v>0.13558879515354799</v>
      </c>
      <c r="R3674">
        <v>0.97325461443170902</v>
      </c>
      <c r="S3674" t="s">
        <v>10076</v>
      </c>
      <c r="T3674" t="s">
        <v>12802</v>
      </c>
      <c r="U3674" t="s">
        <v>12802</v>
      </c>
      <c r="V3674" t="s">
        <v>12802</v>
      </c>
      <c r="W3674" t="s">
        <v>16423</v>
      </c>
      <c r="X3674">
        <v>8</v>
      </c>
      <c r="Y3674" t="s">
        <v>22659</v>
      </c>
      <c r="Z3674" t="s">
        <v>28992</v>
      </c>
      <c r="AA3674">
        <v>0.54711930260118058</v>
      </c>
      <c r="AB3674" t="str">
        <f>HYPERLINK("Melting_Curves/meltCurve_Q4G176_ACSF3.pdf", "Melting_Curves/meltCurve_Q4G176_ACSF3.pdf")</f>
        <v>Melting_Curves/meltCurve_Q4G176_ACSF3.pdf</v>
      </c>
    </row>
    <row r="3675" spans="1:28" x14ac:dyDescent="0.25">
      <c r="A3675" t="s">
        <v>3679</v>
      </c>
      <c r="B3675">
        <v>0.99542014353169495</v>
      </c>
      <c r="C3675">
        <v>0.99601537876364898</v>
      </c>
      <c r="D3675">
        <v>0.96631073998309203</v>
      </c>
      <c r="E3675">
        <v>0.83370958115586502</v>
      </c>
      <c r="F3675">
        <v>0.63887028793575795</v>
      </c>
      <c r="G3675">
        <v>0.42654993888137699</v>
      </c>
      <c r="H3675">
        <v>0.14227601201899501</v>
      </c>
      <c r="I3675">
        <v>7.7185993892800397E-2</v>
      </c>
      <c r="J3675">
        <v>9.1923154366929202E-2</v>
      </c>
      <c r="K3675">
        <v>7.6885346333585805E-2</v>
      </c>
      <c r="L3675">
        <v>832.08173356224404</v>
      </c>
      <c r="M3675">
        <v>16.054006606994001</v>
      </c>
      <c r="N3675">
        <v>52.015622071903898</v>
      </c>
      <c r="O3675">
        <v>51.045964352716503</v>
      </c>
      <c r="P3675">
        <v>-7.6444085526063701E-2</v>
      </c>
      <c r="Q3675">
        <v>2.7816590708652E-2</v>
      </c>
      <c r="R3675">
        <v>0.99433778623116797</v>
      </c>
      <c r="S3675" t="s">
        <v>10077</v>
      </c>
      <c r="T3675" t="s">
        <v>12802</v>
      </c>
      <c r="U3675" t="s">
        <v>12802</v>
      </c>
      <c r="V3675" t="s">
        <v>12802</v>
      </c>
      <c r="W3675" t="s">
        <v>16424</v>
      </c>
      <c r="X3675">
        <v>18</v>
      </c>
      <c r="Y3675" t="s">
        <v>22660</v>
      </c>
      <c r="Z3675" t="s">
        <v>28993</v>
      </c>
      <c r="AA3675">
        <v>0.52568214171033367</v>
      </c>
      <c r="AB3675" t="str">
        <f>HYPERLINK("Melting_Curves/meltCurve_Q4J6C6_4_PREPL.pdf", "Melting_Curves/meltCurve_Q4J6C6_4_PREPL.pdf")</f>
        <v>Melting_Curves/meltCurve_Q4J6C6_4_PREPL.pdf</v>
      </c>
    </row>
    <row r="3676" spans="1:28" x14ac:dyDescent="0.25">
      <c r="A3676" t="s">
        <v>3680</v>
      </c>
      <c r="B3676">
        <v>0.99542014353169495</v>
      </c>
      <c r="C3676">
        <v>0.96587392423305096</v>
      </c>
      <c r="D3676">
        <v>0.937689199193811</v>
      </c>
      <c r="E3676">
        <v>0.87409189329984005</v>
      </c>
      <c r="F3676">
        <v>0.56769921527275102</v>
      </c>
      <c r="G3676">
        <v>0.197959334473433</v>
      </c>
      <c r="H3676">
        <v>4.6099305457391E-2</v>
      </c>
      <c r="I3676">
        <v>2.41618121620331E-2</v>
      </c>
      <c r="J3676">
        <v>1.69952696871053E-2</v>
      </c>
      <c r="K3676">
        <v>1.9506988318066201E-2</v>
      </c>
      <c r="L3676">
        <v>1174.2908013853</v>
      </c>
      <c r="M3676">
        <v>23.1920272761649</v>
      </c>
      <c r="N3676">
        <v>50.6505939615516</v>
      </c>
      <c r="O3676">
        <v>50.261434613477299</v>
      </c>
      <c r="P3676">
        <v>-0.11490665925367501</v>
      </c>
      <c r="Q3676">
        <v>3.9216180105537497E-3</v>
      </c>
      <c r="R3676">
        <v>0.99767647416759797</v>
      </c>
      <c r="S3676" t="s">
        <v>10078</v>
      </c>
      <c r="T3676" t="s">
        <v>12802</v>
      </c>
      <c r="U3676" t="s">
        <v>12802</v>
      </c>
      <c r="V3676" t="s">
        <v>12802</v>
      </c>
      <c r="W3676" t="s">
        <v>16425</v>
      </c>
      <c r="X3676">
        <v>15</v>
      </c>
      <c r="Y3676" t="s">
        <v>22661</v>
      </c>
      <c r="Z3676" t="s">
        <v>28994</v>
      </c>
      <c r="AA3676">
        <v>0.46665639851891089</v>
      </c>
      <c r="AB3676" t="str">
        <f>HYPERLINK("Melting_Curves/meltCurve_Q4KMP7_TBC1D10B.pdf", "Melting_Curves/meltCurve_Q4KMP7_TBC1D10B.pdf")</f>
        <v>Melting_Curves/meltCurve_Q4KMP7_TBC1D10B.pdf</v>
      </c>
    </row>
    <row r="3677" spans="1:28" x14ac:dyDescent="0.25">
      <c r="A3677" t="s">
        <v>3681</v>
      </c>
      <c r="B3677">
        <v>0.99542014353169495</v>
      </c>
      <c r="C3677">
        <v>1.0000402873157099</v>
      </c>
      <c r="D3677">
        <v>1.0386839793658</v>
      </c>
      <c r="E3677">
        <v>0.89765000471493095</v>
      </c>
      <c r="F3677">
        <v>0.818673166784322</v>
      </c>
      <c r="G3677">
        <v>0.52959043870742895</v>
      </c>
      <c r="H3677">
        <v>0.363501383944482</v>
      </c>
      <c r="I3677">
        <v>0.33199240054630802</v>
      </c>
      <c r="J3677">
        <v>0.53183032324740398</v>
      </c>
      <c r="K3677">
        <v>0.50444228030209504</v>
      </c>
      <c r="L3677">
        <v>1734.0242724991199</v>
      </c>
      <c r="M3677">
        <v>33.917466910421702</v>
      </c>
      <c r="N3677">
        <v>54.318725556346401</v>
      </c>
      <c r="O3677">
        <v>50.948081549646098</v>
      </c>
      <c r="P3677">
        <v>-9.4542317449367599E-2</v>
      </c>
      <c r="Q3677">
        <v>0.431946981247949</v>
      </c>
      <c r="R3677">
        <v>0.94058557758015404</v>
      </c>
      <c r="S3677" t="s">
        <v>10079</v>
      </c>
      <c r="T3677" t="s">
        <v>12802</v>
      </c>
      <c r="U3677" t="s">
        <v>12802</v>
      </c>
      <c r="V3677" t="s">
        <v>12802</v>
      </c>
      <c r="W3677" t="s">
        <v>16426</v>
      </c>
      <c r="X3677">
        <v>6</v>
      </c>
      <c r="Y3677" t="s">
        <v>22662</v>
      </c>
      <c r="Z3677" t="s">
        <v>28995</v>
      </c>
      <c r="AA3677">
        <v>0.70218720732983375</v>
      </c>
      <c r="AB3677" t="str">
        <f>HYPERLINK("Melting_Curves/meltCurve_Q4KMQ2_3_ANO6.pdf", "Melting_Curves/meltCurve_Q4KMQ2_3_ANO6.pdf")</f>
        <v>Melting_Curves/meltCurve_Q4KMQ2_3_ANO6.pdf</v>
      </c>
    </row>
    <row r="3678" spans="1:28" x14ac:dyDescent="0.25">
      <c r="A3678" t="s">
        <v>3682</v>
      </c>
      <c r="B3678">
        <v>0.99542014353169495</v>
      </c>
      <c r="C3678">
        <v>0.81152916637869199</v>
      </c>
      <c r="D3678">
        <v>0.742902701030553</v>
      </c>
      <c r="E3678">
        <v>0.74346400093487397</v>
      </c>
      <c r="F3678">
        <v>0.339133208197681</v>
      </c>
      <c r="G3678">
        <v>0.20756221442175801</v>
      </c>
      <c r="H3678">
        <v>6.09999880540011E-2</v>
      </c>
      <c r="I3678">
        <v>3.8291378047645798E-2</v>
      </c>
      <c r="J3678">
        <v>4.05204075155184E-2</v>
      </c>
      <c r="K3678">
        <v>4.8516474098960802E-2</v>
      </c>
      <c r="L3678">
        <v>598.30540200032397</v>
      </c>
      <c r="M3678">
        <v>12.4336800447594</v>
      </c>
      <c r="N3678">
        <v>48.119736131860002</v>
      </c>
      <c r="O3678">
        <v>46.925870276717603</v>
      </c>
      <c r="P3678">
        <v>-6.6255014403693899E-2</v>
      </c>
      <c r="Q3678">
        <v>0</v>
      </c>
      <c r="R3678">
        <v>0.96500055139260599</v>
      </c>
      <c r="S3678" t="s">
        <v>10080</v>
      </c>
      <c r="T3678" t="s">
        <v>12802</v>
      </c>
      <c r="U3678" t="s">
        <v>12802</v>
      </c>
      <c r="V3678" t="s">
        <v>12802</v>
      </c>
      <c r="W3678" t="s">
        <v>16427</v>
      </c>
      <c r="X3678">
        <v>2</v>
      </c>
      <c r="Y3678" t="s">
        <v>22663</v>
      </c>
      <c r="Z3678" t="s">
        <v>28996</v>
      </c>
      <c r="AA3678">
        <v>0.40020077526710668</v>
      </c>
      <c r="AB3678" t="str">
        <f>HYPERLINK("Melting_Curves/meltCurve_Q4KWH8_3_PLCH1.pdf", "Melting_Curves/meltCurve_Q4KWH8_3_PLCH1.pdf")</f>
        <v>Melting_Curves/meltCurve_Q4KWH8_3_PLCH1.pdf</v>
      </c>
    </row>
    <row r="3679" spans="1:28" x14ac:dyDescent="0.25">
      <c r="A3679" t="s">
        <v>3683</v>
      </c>
      <c r="B3679">
        <v>0.99542014353169495</v>
      </c>
      <c r="C3679">
        <v>1.0876606580816801</v>
      </c>
      <c r="D3679">
        <v>1.0612170010925099</v>
      </c>
      <c r="E3679">
        <v>0.94948667387654495</v>
      </c>
      <c r="F3679">
        <v>0.71286171088161399</v>
      </c>
      <c r="G3679">
        <v>0.454653049578782</v>
      </c>
      <c r="H3679">
        <v>8.2644304163514801E-2</v>
      </c>
      <c r="I3679">
        <v>6.7866998649478899E-2</v>
      </c>
      <c r="J3679">
        <v>8.0938502756964695E-2</v>
      </c>
      <c r="K3679">
        <v>7.9262064681577399E-2</v>
      </c>
      <c r="L3679">
        <v>1230.29036551779</v>
      </c>
      <c r="M3679">
        <v>23.4535789462686</v>
      </c>
      <c r="N3679">
        <v>52.677169732023998</v>
      </c>
      <c r="O3679">
        <v>52.079499130562702</v>
      </c>
      <c r="P3679">
        <v>-0.10731733606032</v>
      </c>
      <c r="Q3679">
        <v>4.6808612156466901E-2</v>
      </c>
      <c r="R3679">
        <v>0.98612057408871601</v>
      </c>
      <c r="S3679" t="s">
        <v>10081</v>
      </c>
      <c r="T3679" t="s">
        <v>12802</v>
      </c>
      <c r="U3679" t="s">
        <v>12802</v>
      </c>
      <c r="V3679" t="s">
        <v>12802</v>
      </c>
      <c r="W3679" t="s">
        <v>16428</v>
      </c>
      <c r="X3679">
        <v>3</v>
      </c>
      <c r="Y3679" t="s">
        <v>22664</v>
      </c>
      <c r="Z3679" t="s">
        <v>28997</v>
      </c>
      <c r="AA3679">
        <v>0.54733689903232685</v>
      </c>
      <c r="AB3679" t="str">
        <f>HYPERLINK("Melting_Curves/meltCurve_Q4LDG9_DNAL1.pdf", "Melting_Curves/meltCurve_Q4LDG9_DNAL1.pdf")</f>
        <v>Melting_Curves/meltCurve_Q4LDG9_DNAL1.pdf</v>
      </c>
    </row>
    <row r="3680" spans="1:28" x14ac:dyDescent="0.25">
      <c r="A3680" t="s">
        <v>3684</v>
      </c>
      <c r="B3680">
        <v>0.99542014353169495</v>
      </c>
      <c r="C3680">
        <v>0.73544200799207304</v>
      </c>
      <c r="D3680">
        <v>0.65762508687875398</v>
      </c>
      <c r="E3680">
        <v>0.28073586748495899</v>
      </c>
      <c r="F3680">
        <v>0.155645934967099</v>
      </c>
      <c r="G3680">
        <v>0.106853688017074</v>
      </c>
      <c r="H3680">
        <v>6.0271692897495302E-2</v>
      </c>
      <c r="I3680">
        <v>3.9174771099830301E-2</v>
      </c>
      <c r="J3680">
        <v>4.4497370759678398E-2</v>
      </c>
      <c r="K3680">
        <v>1.5979414346690701E-2</v>
      </c>
      <c r="L3680">
        <v>641.38091441963604</v>
      </c>
      <c r="M3680">
        <v>14.602259811124799</v>
      </c>
      <c r="N3680">
        <v>44.079704586264498</v>
      </c>
      <c r="O3680">
        <v>43.124291874517503</v>
      </c>
      <c r="P3680">
        <v>-8.2525621236547206E-2</v>
      </c>
      <c r="Q3680">
        <v>2.5230453359226999E-2</v>
      </c>
      <c r="R3680">
        <v>0.98505290519287902</v>
      </c>
      <c r="S3680" t="s">
        <v>10082</v>
      </c>
      <c r="T3680" t="s">
        <v>12802</v>
      </c>
      <c r="U3680" t="s">
        <v>12802</v>
      </c>
      <c r="V3680" t="s">
        <v>12802</v>
      </c>
      <c r="W3680" t="s">
        <v>16429</v>
      </c>
      <c r="X3680">
        <v>8</v>
      </c>
      <c r="Y3680" t="s">
        <v>22665</v>
      </c>
      <c r="Z3680" t="s">
        <v>28998</v>
      </c>
      <c r="AA3680">
        <v>0.27588865958839309</v>
      </c>
      <c r="AB3680" t="str">
        <f>HYPERLINK("Melting_Curves/meltCurve_Q4LE39_2_ARID4B.pdf", "Melting_Curves/meltCurve_Q4LE39_2_ARID4B.pdf")</f>
        <v>Melting_Curves/meltCurve_Q4LE39_2_ARID4B.pdf</v>
      </c>
    </row>
    <row r="3681" spans="1:28" x14ac:dyDescent="0.25">
      <c r="A3681" t="s">
        <v>3685</v>
      </c>
      <c r="B3681">
        <v>0.99542014353169495</v>
      </c>
      <c r="C3681">
        <v>0.94057947976119305</v>
      </c>
      <c r="D3681">
        <v>0.65382741252992105</v>
      </c>
      <c r="E3681">
        <v>0.29931129139982898</v>
      </c>
      <c r="F3681">
        <v>0.14582485836782999</v>
      </c>
      <c r="G3681">
        <v>9.9428835158110004E-2</v>
      </c>
      <c r="H3681">
        <v>7.6736359508066496E-2</v>
      </c>
      <c r="I3681">
        <v>5.6496860271063397E-2</v>
      </c>
      <c r="J3681">
        <v>8.8051980602161906E-2</v>
      </c>
      <c r="K3681">
        <v>0.122338172779768</v>
      </c>
      <c r="L3681">
        <v>1001.87601810584</v>
      </c>
      <c r="M3681">
        <v>22.739740304203099</v>
      </c>
      <c r="N3681">
        <v>44.427378561927902</v>
      </c>
      <c r="O3681">
        <v>43.721904155767298</v>
      </c>
      <c r="P3681">
        <v>-0.11883818440921901</v>
      </c>
      <c r="Q3681">
        <v>8.6053163524922899E-2</v>
      </c>
      <c r="R3681">
        <v>0.997461396284406</v>
      </c>
      <c r="S3681" t="s">
        <v>10083</v>
      </c>
      <c r="T3681" t="s">
        <v>12802</v>
      </c>
      <c r="U3681" t="s">
        <v>12802</v>
      </c>
      <c r="V3681" t="s">
        <v>12802</v>
      </c>
      <c r="W3681" t="s">
        <v>16430</v>
      </c>
      <c r="X3681">
        <v>21</v>
      </c>
      <c r="Y3681" t="s">
        <v>22666</v>
      </c>
      <c r="Z3681" t="s">
        <v>28999</v>
      </c>
      <c r="AA3681">
        <v>0.31030690521826682</v>
      </c>
      <c r="AB3681" t="str">
        <f>HYPERLINK("Melting_Curves/meltCurve_Q4V328_GRIPAP1.pdf", "Melting_Curves/meltCurve_Q4V328_GRIPAP1.pdf")</f>
        <v>Melting_Curves/meltCurve_Q4V328_GRIPAP1.pdf</v>
      </c>
    </row>
    <row r="3682" spans="1:28" x14ac:dyDescent="0.25">
      <c r="A3682" t="s">
        <v>3686</v>
      </c>
      <c r="B3682">
        <v>0.99542014353169495</v>
      </c>
      <c r="C3682">
        <v>0.82649825248583797</v>
      </c>
      <c r="D3682">
        <v>0.66126171900478903</v>
      </c>
      <c r="E3682">
        <v>0.31805412153896501</v>
      </c>
      <c r="F3682">
        <v>0.274696141144604</v>
      </c>
      <c r="G3682">
        <v>0.17396343117023599</v>
      </c>
      <c r="H3682">
        <v>0.15397873901307399</v>
      </c>
      <c r="I3682">
        <v>0.19547595570703499</v>
      </c>
      <c r="J3682">
        <v>0.43260368311568598</v>
      </c>
      <c r="K3682">
        <v>0.65656012063812597</v>
      </c>
      <c r="L3682">
        <v>1099.17847141475</v>
      </c>
      <c r="M3682">
        <v>25.866373185429801</v>
      </c>
      <c r="N3682">
        <v>44.125838197337401</v>
      </c>
      <c r="O3682">
        <v>42.242947127947403</v>
      </c>
      <c r="P3682">
        <v>-0.10595756423747001</v>
      </c>
      <c r="Q3682">
        <v>0.30784155719120898</v>
      </c>
      <c r="R3682">
        <v>0.74330744034580698</v>
      </c>
      <c r="S3682" t="s">
        <v>10084</v>
      </c>
      <c r="T3682" t="s">
        <v>12802</v>
      </c>
      <c r="U3682" t="s">
        <v>12802</v>
      </c>
      <c r="V3682" t="s">
        <v>12802</v>
      </c>
      <c r="W3682" t="s">
        <v>16431</v>
      </c>
      <c r="X3682">
        <v>4</v>
      </c>
      <c r="Y3682" t="s">
        <v>22667</v>
      </c>
      <c r="Z3682" t="s">
        <v>29000</v>
      </c>
      <c r="AA3682">
        <v>0.44010011224036039</v>
      </c>
      <c r="AB3682" t="str">
        <f>HYPERLINK("Melting_Curves/meltCurve_Q4VC05_2_BCL7A.pdf", "Melting_Curves/meltCurve_Q4VC05_2_BCL7A.pdf")</f>
        <v>Melting_Curves/meltCurve_Q4VC05_2_BCL7A.pdf</v>
      </c>
    </row>
    <row r="3683" spans="1:28" x14ac:dyDescent="0.25">
      <c r="A3683" t="s">
        <v>3687</v>
      </c>
      <c r="B3683">
        <v>0.99542014353169495</v>
      </c>
      <c r="C3683">
        <v>0.95330929347774995</v>
      </c>
      <c r="D3683">
        <v>0.84784447378202099</v>
      </c>
      <c r="E3683">
        <v>0.76298311127461205</v>
      </c>
      <c r="F3683">
        <v>0.392047149183674</v>
      </c>
      <c r="G3683">
        <v>0.21668410166545299</v>
      </c>
      <c r="H3683">
        <v>0.105954731914113</v>
      </c>
      <c r="I3683">
        <v>7.8554380167141905E-2</v>
      </c>
      <c r="J3683">
        <v>4.68274944793367E-2</v>
      </c>
      <c r="K3683">
        <v>2.0938213025026901E-2</v>
      </c>
      <c r="L3683">
        <v>762.12448053774597</v>
      </c>
      <c r="M3683">
        <v>15.5248748741139</v>
      </c>
      <c r="N3683">
        <v>49.195751189267803</v>
      </c>
      <c r="O3683">
        <v>48.297685983350902</v>
      </c>
      <c r="P3683">
        <v>-7.9055172863213896E-2</v>
      </c>
      <c r="Q3683">
        <v>1.6328615933172599E-2</v>
      </c>
      <c r="R3683">
        <v>0.99412076554329498</v>
      </c>
      <c r="S3683" t="s">
        <v>10085</v>
      </c>
      <c r="T3683" t="s">
        <v>12802</v>
      </c>
      <c r="U3683" t="s">
        <v>12802</v>
      </c>
      <c r="V3683" t="s">
        <v>12802</v>
      </c>
      <c r="W3683" t="s">
        <v>16432</v>
      </c>
      <c r="X3683">
        <v>2</v>
      </c>
      <c r="Y3683" t="s">
        <v>22668</v>
      </c>
      <c r="Z3683" t="s">
        <v>29001</v>
      </c>
      <c r="AA3683">
        <v>0.43276354661261041</v>
      </c>
      <c r="AB3683" t="str">
        <f>HYPERLINK("Melting_Curves/meltCurve_Q4VXZ8_DECR2.pdf", "Melting_Curves/meltCurve_Q4VXZ8_DECR2.pdf")</f>
        <v>Melting_Curves/meltCurve_Q4VXZ8_DECR2.pdf</v>
      </c>
    </row>
    <row r="3684" spans="1:28" x14ac:dyDescent="0.25">
      <c r="A3684" t="s">
        <v>3688</v>
      </c>
      <c r="B3684">
        <v>0.99542014353169495</v>
      </c>
      <c r="C3684">
        <v>0.96386719143019395</v>
      </c>
      <c r="D3684">
        <v>0.79508263940708801</v>
      </c>
      <c r="E3684">
        <v>0.66104767469300896</v>
      </c>
      <c r="F3684">
        <v>0.53830882869934005</v>
      </c>
      <c r="G3684">
        <v>0.24541676897342901</v>
      </c>
      <c r="H3684">
        <v>0.161853961960123</v>
      </c>
      <c r="I3684">
        <v>0.14336475575205701</v>
      </c>
      <c r="J3684">
        <v>0.13505596679805801</v>
      </c>
      <c r="K3684">
        <v>8.6545069618616494E-2</v>
      </c>
      <c r="L3684">
        <v>575.67132307055601</v>
      </c>
      <c r="M3684">
        <v>11.736327247735</v>
      </c>
      <c r="N3684">
        <v>49.487782058648897</v>
      </c>
      <c r="O3684">
        <v>47.691274899414701</v>
      </c>
      <c r="P3684">
        <v>-5.8506764140871803E-2</v>
      </c>
      <c r="Q3684">
        <v>4.9266693267327299E-2</v>
      </c>
      <c r="R3684">
        <v>0.98784044790811898</v>
      </c>
      <c r="S3684" t="s">
        <v>10086</v>
      </c>
      <c r="T3684" t="s">
        <v>12802</v>
      </c>
      <c r="U3684" t="s">
        <v>12802</v>
      </c>
      <c r="V3684" t="s">
        <v>12802</v>
      </c>
      <c r="W3684" t="s">
        <v>16433</v>
      </c>
      <c r="X3684">
        <v>4</v>
      </c>
      <c r="Y3684" t="s">
        <v>22669</v>
      </c>
      <c r="Z3684" t="s">
        <v>29002</v>
      </c>
      <c r="AA3684">
        <v>0.46016151232838282</v>
      </c>
      <c r="AB3684" t="str">
        <f>HYPERLINK("Melting_Curves/meltCurve_Q4ZIN3_2_TMEM259.pdf", "Melting_Curves/meltCurve_Q4ZIN3_2_TMEM259.pdf")</f>
        <v>Melting_Curves/meltCurve_Q4ZIN3_2_TMEM259.pdf</v>
      </c>
    </row>
    <row r="3685" spans="1:28" x14ac:dyDescent="0.25">
      <c r="A3685" t="s">
        <v>3689</v>
      </c>
      <c r="B3685">
        <v>0.99542014353169495</v>
      </c>
      <c r="C3685">
        <v>1.0332992040536499</v>
      </c>
      <c r="D3685">
        <v>0.87036258194156602</v>
      </c>
      <c r="E3685">
        <v>0.72576974312778797</v>
      </c>
      <c r="F3685">
        <v>0.56016312528129597</v>
      </c>
      <c r="G3685">
        <v>0.341753434273739</v>
      </c>
      <c r="H3685">
        <v>0.19738395047761401</v>
      </c>
      <c r="I3685">
        <v>0.21035489362527299</v>
      </c>
      <c r="J3685">
        <v>0.28600957587807602</v>
      </c>
      <c r="K3685">
        <v>0.39203076267284598</v>
      </c>
      <c r="L3685">
        <v>873.86357690246803</v>
      </c>
      <c r="M3685">
        <v>18.158665130521701</v>
      </c>
      <c r="N3685">
        <v>50.171499288103398</v>
      </c>
      <c r="O3685">
        <v>47.551529562499503</v>
      </c>
      <c r="P3685">
        <v>-7.0486364989457803E-2</v>
      </c>
      <c r="Q3685">
        <v>0.261713412845621</v>
      </c>
      <c r="R3685">
        <v>0.95700301720328795</v>
      </c>
      <c r="S3685" t="s">
        <v>10087</v>
      </c>
      <c r="T3685" t="s">
        <v>12802</v>
      </c>
      <c r="U3685" t="s">
        <v>12802</v>
      </c>
      <c r="V3685" t="s">
        <v>12802</v>
      </c>
      <c r="W3685" t="s">
        <v>16434</v>
      </c>
      <c r="X3685">
        <v>2</v>
      </c>
      <c r="Y3685" t="s">
        <v>22670</v>
      </c>
      <c r="Z3685" t="s">
        <v>29003</v>
      </c>
      <c r="AA3685">
        <v>0.54707201961328389</v>
      </c>
      <c r="AB3685" t="str">
        <f>HYPERLINK("Melting_Curves/meltCurve_Q504U0_C4orf46.pdf", "Melting_Curves/meltCurve_Q504U0_C4orf46.pdf")</f>
        <v>Melting_Curves/meltCurve_Q504U0_C4orf46.pdf</v>
      </c>
    </row>
    <row r="3686" spans="1:28" x14ac:dyDescent="0.25">
      <c r="A3686" t="s">
        <v>3690</v>
      </c>
      <c r="B3686">
        <v>0.99542014353169495</v>
      </c>
      <c r="C3686">
        <v>0.88316888351504297</v>
      </c>
      <c r="D3686">
        <v>0.89143181462292798</v>
      </c>
      <c r="E3686">
        <v>0.72162050446109705</v>
      </c>
      <c r="F3686">
        <v>0.42016520015814801</v>
      </c>
      <c r="G3686">
        <v>0.11944770519213201</v>
      </c>
      <c r="H3686">
        <v>8.2611029453649301E-2</v>
      </c>
      <c r="I3686">
        <v>6.2678401969700204E-2</v>
      </c>
      <c r="J3686">
        <v>6.5281442219834507E-2</v>
      </c>
      <c r="K3686">
        <v>6.8036967385676106E-2</v>
      </c>
      <c r="L3686">
        <v>891.132353338607</v>
      </c>
      <c r="M3686">
        <v>18.319167191737002</v>
      </c>
      <c r="N3686">
        <v>48.858709713351502</v>
      </c>
      <c r="O3686">
        <v>48.076258531002303</v>
      </c>
      <c r="P3686">
        <v>-9.1594368792331404E-2</v>
      </c>
      <c r="Q3686">
        <v>3.8534488720737899E-2</v>
      </c>
      <c r="R3686">
        <v>0.98826302032221502</v>
      </c>
      <c r="S3686" t="s">
        <v>10088</v>
      </c>
      <c r="T3686" t="s">
        <v>12802</v>
      </c>
      <c r="U3686" t="s">
        <v>12802</v>
      </c>
      <c r="V3686" t="s">
        <v>12802</v>
      </c>
      <c r="W3686" t="s">
        <v>16435</v>
      </c>
      <c r="X3686">
        <v>13</v>
      </c>
      <c r="Y3686" t="s">
        <v>22671</v>
      </c>
      <c r="Z3686" t="s">
        <v>29004</v>
      </c>
      <c r="AA3686">
        <v>0.4265853508639203</v>
      </c>
      <c r="AB3686" t="str">
        <f>HYPERLINK("Melting_Curves/meltCurve_Q52LJ0_2_FAM98B.pdf", "Melting_Curves/meltCurve_Q52LJ0_2_FAM98B.pdf")</f>
        <v>Melting_Curves/meltCurve_Q52LJ0_2_FAM98B.pdf</v>
      </c>
    </row>
    <row r="3687" spans="1:28" x14ac:dyDescent="0.25">
      <c r="A3687" t="s">
        <v>3691</v>
      </c>
      <c r="B3687">
        <v>0.99542014353169495</v>
      </c>
      <c r="C3687">
        <v>0.99213839883892296</v>
      </c>
      <c r="D3687">
        <v>1.00165009153497</v>
      </c>
      <c r="E3687">
        <v>0.90725147938865602</v>
      </c>
      <c r="F3687">
        <v>0.47626702633387402</v>
      </c>
      <c r="G3687">
        <v>0.23159065027108899</v>
      </c>
      <c r="H3687">
        <v>0.1382490366529</v>
      </c>
      <c r="I3687">
        <v>8.0028231234160405E-2</v>
      </c>
      <c r="J3687">
        <v>7.8676847374368294E-2</v>
      </c>
      <c r="K3687">
        <v>6.3498410846145506E-2</v>
      </c>
      <c r="L3687">
        <v>1314.9380501570199</v>
      </c>
      <c r="M3687">
        <v>26.346187324688501</v>
      </c>
      <c r="N3687">
        <v>50.257719109313101</v>
      </c>
      <c r="O3687">
        <v>49.625098624727002</v>
      </c>
      <c r="P3687">
        <v>-0.12166903861301499</v>
      </c>
      <c r="Q3687">
        <v>8.3317288790533794E-2</v>
      </c>
      <c r="R3687">
        <v>0.99741961130368395</v>
      </c>
      <c r="S3687" t="s">
        <v>10089</v>
      </c>
      <c r="T3687" t="s">
        <v>12802</v>
      </c>
      <c r="U3687" t="s">
        <v>12802</v>
      </c>
      <c r="V3687" t="s">
        <v>12802</v>
      </c>
      <c r="W3687" t="s">
        <v>16436</v>
      </c>
      <c r="X3687">
        <v>10</v>
      </c>
      <c r="Y3687" t="s">
        <v>22672</v>
      </c>
      <c r="Z3687" t="s">
        <v>29005</v>
      </c>
      <c r="AA3687">
        <v>0.48503735874100379</v>
      </c>
      <c r="AB3687" t="str">
        <f>HYPERLINK("Melting_Curves/meltCurve_Q53EL6_2_PDCD4.pdf", "Melting_Curves/meltCurve_Q53EL6_2_PDCD4.pdf")</f>
        <v>Melting_Curves/meltCurve_Q53EL6_2_PDCD4.pdf</v>
      </c>
    </row>
    <row r="3688" spans="1:28" x14ac:dyDescent="0.25">
      <c r="A3688" t="s">
        <v>3692</v>
      </c>
      <c r="B3688">
        <v>0.99542014353169495</v>
      </c>
      <c r="C3688">
        <v>0.97298423940576195</v>
      </c>
      <c r="D3688">
        <v>0.99993931681527604</v>
      </c>
      <c r="E3688">
        <v>0.84635815442408202</v>
      </c>
      <c r="F3688">
        <v>0.55123976099503502</v>
      </c>
      <c r="G3688">
        <v>0.20371708568584801</v>
      </c>
      <c r="H3688">
        <v>0.14068947356275399</v>
      </c>
      <c r="I3688">
        <v>9.2521023951125797E-2</v>
      </c>
      <c r="J3688">
        <v>8.0495712284870305E-2</v>
      </c>
      <c r="K3688">
        <v>8.9252714401223496E-2</v>
      </c>
      <c r="L3688">
        <v>1190.5632711148</v>
      </c>
      <c r="M3688">
        <v>23.764108431841201</v>
      </c>
      <c r="N3688">
        <v>50.475323966870398</v>
      </c>
      <c r="O3688">
        <v>49.748493797821098</v>
      </c>
      <c r="P3688">
        <v>-0.109732687717554</v>
      </c>
      <c r="Q3688">
        <v>8.1144274252686194E-2</v>
      </c>
      <c r="R3688">
        <v>0.998093851475781</v>
      </c>
      <c r="S3688" t="s">
        <v>10090</v>
      </c>
      <c r="T3688" t="s">
        <v>12802</v>
      </c>
      <c r="U3688" t="s">
        <v>12802</v>
      </c>
      <c r="V3688" t="s">
        <v>12802</v>
      </c>
      <c r="W3688" t="s">
        <v>16437</v>
      </c>
      <c r="X3688">
        <v>5</v>
      </c>
      <c r="Y3688" t="s">
        <v>22673</v>
      </c>
      <c r="Z3688" t="s">
        <v>29006</v>
      </c>
      <c r="AA3688">
        <v>0.49120563553683527</v>
      </c>
      <c r="AB3688" t="str">
        <f>HYPERLINK("Melting_Curves/meltCurve_Q53EU6_AGPAT9.pdf", "Melting_Curves/meltCurve_Q53EU6_AGPAT9.pdf")</f>
        <v>Melting_Curves/meltCurve_Q53EU6_AGPAT9.pdf</v>
      </c>
    </row>
    <row r="3689" spans="1:28" x14ac:dyDescent="0.25">
      <c r="A3689" t="s">
        <v>3693</v>
      </c>
      <c r="B3689">
        <v>0.99542014353169495</v>
      </c>
      <c r="C3689">
        <v>0.94510154843400296</v>
      </c>
      <c r="D3689">
        <v>0.85017954785872396</v>
      </c>
      <c r="E3689">
        <v>0.297843491612858</v>
      </c>
      <c r="F3689">
        <v>0.192310702557521</v>
      </c>
      <c r="G3689">
        <v>0.10710238721441701</v>
      </c>
      <c r="H3689">
        <v>6.9968972414590103E-2</v>
      </c>
      <c r="I3689">
        <v>5.23634422659284E-2</v>
      </c>
      <c r="J3689">
        <v>6.3588198946904706E-2</v>
      </c>
      <c r="K3689">
        <v>9.7167879684097E-2</v>
      </c>
      <c r="L3689">
        <v>1369.61591292813</v>
      </c>
      <c r="M3689">
        <v>30.4090639729048</v>
      </c>
      <c r="N3689">
        <v>45.320148297076599</v>
      </c>
      <c r="O3689">
        <v>44.846276190955997</v>
      </c>
      <c r="P3689">
        <v>-0.15498212215188201</v>
      </c>
      <c r="Q3689">
        <v>8.5755405407729704E-2</v>
      </c>
      <c r="R3689">
        <v>0.99304716160898299</v>
      </c>
      <c r="S3689" t="s">
        <v>10091</v>
      </c>
      <c r="T3689" t="s">
        <v>12802</v>
      </c>
      <c r="U3689" t="s">
        <v>12802</v>
      </c>
      <c r="V3689" t="s">
        <v>12802</v>
      </c>
      <c r="W3689" t="s">
        <v>16438</v>
      </c>
      <c r="X3689">
        <v>3</v>
      </c>
      <c r="Y3689" t="s">
        <v>22674</v>
      </c>
      <c r="Z3689" t="s">
        <v>29007</v>
      </c>
      <c r="AA3689">
        <v>0.3357572723134738</v>
      </c>
      <c r="AB3689" t="str">
        <f>HYPERLINK("Melting_Curves/meltCurve_Q53EZ4_2_CEP55.pdf", "Melting_Curves/meltCurve_Q53EZ4_2_CEP55.pdf")</f>
        <v>Melting_Curves/meltCurve_Q53EZ4_2_CEP55.pdf</v>
      </c>
    </row>
    <row r="3690" spans="1:28" x14ac:dyDescent="0.25">
      <c r="A3690" t="s">
        <v>3694</v>
      </c>
      <c r="B3690">
        <v>0.99542014353169495</v>
      </c>
      <c r="C3690">
        <v>1.0413377751577699</v>
      </c>
      <c r="D3690">
        <v>0.87909484426916695</v>
      </c>
      <c r="E3690">
        <v>0.93167605764622097</v>
      </c>
      <c r="F3690">
        <v>0.69263450500528501</v>
      </c>
      <c r="G3690">
        <v>0.65002261070528899</v>
      </c>
      <c r="H3690">
        <v>0.62757347345880199</v>
      </c>
      <c r="I3690">
        <v>0.58301198701702095</v>
      </c>
      <c r="J3690">
        <v>0.69798205021786397</v>
      </c>
      <c r="K3690">
        <v>0.54352393893386697</v>
      </c>
      <c r="L3690">
        <v>1035.15938642317</v>
      </c>
      <c r="M3690">
        <v>21.435523375606799</v>
      </c>
      <c r="O3690">
        <v>47.877389899184799</v>
      </c>
      <c r="P3690">
        <v>-4.4107863301719202E-2</v>
      </c>
      <c r="Q3690">
        <v>0.60594082470592703</v>
      </c>
      <c r="R3690">
        <v>0.90380985037521699</v>
      </c>
      <c r="S3690" t="s">
        <v>10092</v>
      </c>
      <c r="T3690" t="s">
        <v>12802</v>
      </c>
      <c r="U3690" t="s">
        <v>12802</v>
      </c>
      <c r="V3690" t="s">
        <v>12802</v>
      </c>
      <c r="W3690" t="s">
        <v>16439</v>
      </c>
      <c r="X3690">
        <v>2</v>
      </c>
      <c r="Y3690" t="s">
        <v>22675</v>
      </c>
      <c r="Z3690" t="s">
        <v>29008</v>
      </c>
      <c r="AA3690">
        <v>0.75880749045442308</v>
      </c>
      <c r="AB3690" t="str">
        <f>HYPERLINK("Melting_Curves/meltCurve_Q53FA7_TP53I3.pdf", "Melting_Curves/meltCurve_Q53FA7_TP53I3.pdf")</f>
        <v>Melting_Curves/meltCurve_Q53FA7_TP53I3.pdf</v>
      </c>
    </row>
    <row r="3691" spans="1:28" x14ac:dyDescent="0.25">
      <c r="A3691" t="s">
        <v>3695</v>
      </c>
      <c r="B3691">
        <v>0.99542014353169495</v>
      </c>
      <c r="C3691">
        <v>1.0120410637375199</v>
      </c>
      <c r="D3691">
        <v>0.84346036688305204</v>
      </c>
      <c r="E3691">
        <v>0.81505796487839599</v>
      </c>
      <c r="F3691">
        <v>0.47922941327760099</v>
      </c>
      <c r="G3691">
        <v>0.27300634969925403</v>
      </c>
      <c r="H3691">
        <v>7.8604120642846095E-2</v>
      </c>
      <c r="I3691">
        <v>4.9023864287190098E-2</v>
      </c>
      <c r="J3691">
        <v>5.9867128208743903E-2</v>
      </c>
      <c r="K3691">
        <v>2.81730865058199E-2</v>
      </c>
      <c r="L3691">
        <v>798.82418393121395</v>
      </c>
      <c r="M3691">
        <v>15.952138632850399</v>
      </c>
      <c r="N3691">
        <v>50.105133893644897</v>
      </c>
      <c r="O3691">
        <v>49.3091869251449</v>
      </c>
      <c r="P3691">
        <v>-8.0515150604762206E-2</v>
      </c>
      <c r="Q3691">
        <v>4.5670575499194297E-3</v>
      </c>
      <c r="R3691">
        <v>0.99095449916733602</v>
      </c>
      <c r="S3691" t="s">
        <v>10093</v>
      </c>
      <c r="T3691" t="s">
        <v>12802</v>
      </c>
      <c r="U3691" t="s">
        <v>12802</v>
      </c>
      <c r="V3691" t="s">
        <v>12802</v>
      </c>
      <c r="W3691" t="s">
        <v>16440</v>
      </c>
      <c r="X3691">
        <v>2</v>
      </c>
      <c r="Y3691" t="s">
        <v>22676</v>
      </c>
      <c r="Z3691" t="s">
        <v>29009</v>
      </c>
      <c r="AA3691">
        <v>0.45740965537138378</v>
      </c>
      <c r="AB3691" t="str">
        <f>HYPERLINK("Melting_Curves/meltCurve_Q53FT3_C11orf73.pdf", "Melting_Curves/meltCurve_Q53FT3_C11orf73.pdf")</f>
        <v>Melting_Curves/meltCurve_Q53FT3_C11orf73.pdf</v>
      </c>
    </row>
    <row r="3692" spans="1:28" x14ac:dyDescent="0.25">
      <c r="A3692" t="s">
        <v>3696</v>
      </c>
      <c r="B3692">
        <v>0.99542014353169495</v>
      </c>
      <c r="C3692">
        <v>0.90149532101000596</v>
      </c>
      <c r="D3692">
        <v>0.90144465992147604</v>
      </c>
      <c r="E3692">
        <v>0.67831982822566195</v>
      </c>
      <c r="F3692">
        <v>0.29524262156545</v>
      </c>
      <c r="G3692">
        <v>0.13089762001369601</v>
      </c>
      <c r="H3692">
        <v>8.3339500871208103E-2</v>
      </c>
      <c r="I3692">
        <v>5.42637503596562E-2</v>
      </c>
      <c r="J3692">
        <v>5.8302273646451103E-2</v>
      </c>
      <c r="K3692">
        <v>4.5620971636757601E-2</v>
      </c>
      <c r="L3692">
        <v>963.12604592761602</v>
      </c>
      <c r="M3692">
        <v>20.1165673202701</v>
      </c>
      <c r="N3692">
        <v>48.096240597926503</v>
      </c>
      <c r="O3692">
        <v>47.411667861056998</v>
      </c>
      <c r="P3692">
        <v>-0.10143523985377401</v>
      </c>
      <c r="Q3692">
        <v>4.3761139202515197E-2</v>
      </c>
      <c r="R3692">
        <v>0.99453221025322303</v>
      </c>
      <c r="S3692" t="s">
        <v>10094</v>
      </c>
      <c r="T3692" t="s">
        <v>12802</v>
      </c>
      <c r="U3692" t="s">
        <v>12802</v>
      </c>
      <c r="V3692" t="s">
        <v>12802</v>
      </c>
      <c r="W3692" t="s">
        <v>16441</v>
      </c>
      <c r="X3692">
        <v>12</v>
      </c>
      <c r="Y3692" t="s">
        <v>22677</v>
      </c>
      <c r="Z3692" t="s">
        <v>29010</v>
      </c>
      <c r="AA3692">
        <v>0.40288964190728771</v>
      </c>
      <c r="AB3692" t="str">
        <f>HYPERLINK("Melting_Curves/meltCurve_Q53FZ2_ACSM3.pdf", "Melting_Curves/meltCurve_Q53FZ2_ACSM3.pdf")</f>
        <v>Melting_Curves/meltCurve_Q53FZ2_ACSM3.pdf</v>
      </c>
    </row>
    <row r="3693" spans="1:28" x14ac:dyDescent="0.25">
      <c r="A3693" t="s">
        <v>3697</v>
      </c>
      <c r="B3693">
        <v>0.99542014353169495</v>
      </c>
      <c r="C3693">
        <v>1.0565211633613301</v>
      </c>
      <c r="D3693">
        <v>1.1056741963547401</v>
      </c>
      <c r="E3693">
        <v>1.0447414207918999</v>
      </c>
      <c r="F3693">
        <v>0.89856240704858803</v>
      </c>
      <c r="G3693">
        <v>0.72532840177163305</v>
      </c>
      <c r="H3693">
        <v>0.421483304082854</v>
      </c>
      <c r="I3693">
        <v>0.13895822777353001</v>
      </c>
      <c r="J3693">
        <v>9.4586245818783402E-2</v>
      </c>
      <c r="K3693">
        <v>8.9911713203975299E-2</v>
      </c>
      <c r="L3693">
        <v>1264.473373216</v>
      </c>
      <c r="M3693">
        <v>22.581460457106999</v>
      </c>
      <c r="N3693">
        <v>56.237134320583102</v>
      </c>
      <c r="O3693">
        <v>55.562489871011998</v>
      </c>
      <c r="P3693">
        <v>-9.6918861518589597E-2</v>
      </c>
      <c r="Q3693">
        <v>4.6129912925387498E-2</v>
      </c>
      <c r="R3693">
        <v>0.98702684058038204</v>
      </c>
      <c r="S3693" t="s">
        <v>10095</v>
      </c>
      <c r="T3693" t="s">
        <v>12802</v>
      </c>
      <c r="U3693" t="s">
        <v>12802</v>
      </c>
      <c r="V3693" t="s">
        <v>12802</v>
      </c>
      <c r="W3693" t="s">
        <v>16442</v>
      </c>
      <c r="X3693">
        <v>5</v>
      </c>
      <c r="Y3693" t="s">
        <v>22678</v>
      </c>
      <c r="Z3693" t="s">
        <v>29011</v>
      </c>
      <c r="AA3693">
        <v>0.65885835025416173</v>
      </c>
      <c r="AB3693" t="str">
        <f>HYPERLINK("Melting_Curves/meltCurve_Q53GQ0_HSD17B12.pdf", "Melting_Curves/meltCurve_Q53GQ0_HSD17B12.pdf")</f>
        <v>Melting_Curves/meltCurve_Q53GQ0_HSD17B12.pdf</v>
      </c>
    </row>
    <row r="3694" spans="1:28" x14ac:dyDescent="0.25">
      <c r="A3694" t="s">
        <v>3698</v>
      </c>
      <c r="B3694">
        <v>0.99542014353169495</v>
      </c>
      <c r="C3694">
        <v>0.97904391497284804</v>
      </c>
      <c r="D3694">
        <v>0.98749880170372295</v>
      </c>
      <c r="E3694">
        <v>0.86157764537706705</v>
      </c>
      <c r="F3694">
        <v>0.59936808088078497</v>
      </c>
      <c r="G3694">
        <v>0.29353056400050398</v>
      </c>
      <c r="H3694">
        <v>0.107732343141749</v>
      </c>
      <c r="I3694">
        <v>7.4553646233944698E-2</v>
      </c>
      <c r="J3694">
        <v>5.5807205730186903E-2</v>
      </c>
      <c r="K3694">
        <v>5.6819514439794501E-2</v>
      </c>
      <c r="L3694">
        <v>1031.6895775865401</v>
      </c>
      <c r="M3694">
        <v>20.243096485849399</v>
      </c>
      <c r="N3694">
        <v>51.173370720985702</v>
      </c>
      <c r="O3694">
        <v>50.475467675965099</v>
      </c>
      <c r="P3694">
        <v>-9.6298764547669294E-2</v>
      </c>
      <c r="Q3694">
        <v>3.95590789663871E-2</v>
      </c>
      <c r="R3694">
        <v>0.99922306893308799</v>
      </c>
      <c r="S3694" t="s">
        <v>10096</v>
      </c>
      <c r="T3694" t="s">
        <v>12802</v>
      </c>
      <c r="U3694" t="s">
        <v>12802</v>
      </c>
      <c r="V3694" t="s">
        <v>12802</v>
      </c>
      <c r="W3694" t="s">
        <v>16443</v>
      </c>
      <c r="X3694">
        <v>8</v>
      </c>
      <c r="Y3694" t="s">
        <v>22679</v>
      </c>
      <c r="Z3694" t="s">
        <v>29012</v>
      </c>
      <c r="AA3694">
        <v>0.49897133854458497</v>
      </c>
      <c r="AB3694" t="str">
        <f>HYPERLINK("Melting_Curves/meltCurve_Q53H47_SETMAR.pdf", "Melting_Curves/meltCurve_Q53H47_SETMAR.pdf")</f>
        <v>Melting_Curves/meltCurve_Q53H47_SETMAR.pdf</v>
      </c>
    </row>
    <row r="3695" spans="1:28" x14ac:dyDescent="0.25">
      <c r="A3695" t="s">
        <v>3699</v>
      </c>
      <c r="B3695">
        <v>0.99542014353169495</v>
      </c>
      <c r="C3695">
        <v>0.97300210102787199</v>
      </c>
      <c r="D3695">
        <v>0.86012948794446398</v>
      </c>
      <c r="E3695">
        <v>0.47020357128995799</v>
      </c>
      <c r="F3695">
        <v>0.294194225439593</v>
      </c>
      <c r="G3695">
        <v>0.16130025237549001</v>
      </c>
      <c r="H3695">
        <v>0.12645935464146901</v>
      </c>
      <c r="I3695">
        <v>9.5307829480470202E-2</v>
      </c>
      <c r="J3695">
        <v>9.7394900921596098E-2</v>
      </c>
      <c r="K3695">
        <v>8.7619037822739096E-2</v>
      </c>
      <c r="L3695">
        <v>905.65146080606405</v>
      </c>
      <c r="M3695">
        <v>19.592968743621</v>
      </c>
      <c r="N3695">
        <v>46.749015258819703</v>
      </c>
      <c r="O3695">
        <v>45.749851918329</v>
      </c>
      <c r="P3695">
        <v>-9.6482986248278599E-2</v>
      </c>
      <c r="Q3695">
        <v>9.8875404056308194E-2</v>
      </c>
      <c r="R3695">
        <v>0.99638514298410297</v>
      </c>
      <c r="S3695" t="s">
        <v>10097</v>
      </c>
      <c r="T3695" t="s">
        <v>12802</v>
      </c>
      <c r="U3695" t="s">
        <v>12802</v>
      </c>
      <c r="V3695" t="s">
        <v>12802</v>
      </c>
      <c r="W3695" t="s">
        <v>16444</v>
      </c>
      <c r="X3695">
        <v>4</v>
      </c>
      <c r="Y3695" t="s">
        <v>22680</v>
      </c>
      <c r="Z3695" t="s">
        <v>29013</v>
      </c>
      <c r="AA3695">
        <v>0.38819665476191673</v>
      </c>
      <c r="AB3695" t="str">
        <f>HYPERLINK("Melting_Curves/meltCurve_Q53H54_TRMT12.pdf", "Melting_Curves/meltCurve_Q53H54_TRMT12.pdf")</f>
        <v>Melting_Curves/meltCurve_Q53H54_TRMT12.pdf</v>
      </c>
    </row>
    <row r="3696" spans="1:28" x14ac:dyDescent="0.25">
      <c r="A3696" t="s">
        <v>3700</v>
      </c>
      <c r="B3696">
        <v>0.99542014353169495</v>
      </c>
      <c r="C3696">
        <v>0.98752565322719099</v>
      </c>
      <c r="D3696">
        <v>0.95113093468035903</v>
      </c>
      <c r="E3696">
        <v>0.97557812242506203</v>
      </c>
      <c r="F3696">
        <v>0.727870378582258</v>
      </c>
      <c r="G3696">
        <v>0.51576960716072295</v>
      </c>
      <c r="H3696">
        <v>0.36475312501970603</v>
      </c>
      <c r="I3696">
        <v>0.30164792431083398</v>
      </c>
      <c r="J3696">
        <v>0.33522892184945302</v>
      </c>
      <c r="K3696">
        <v>0.32351890866345101</v>
      </c>
      <c r="L3696">
        <v>1179.0732043248599</v>
      </c>
      <c r="M3696">
        <v>22.925798394620202</v>
      </c>
      <c r="N3696">
        <v>53.722566660756499</v>
      </c>
      <c r="O3696">
        <v>51.0434623289621</v>
      </c>
      <c r="P3696">
        <v>-7.7250198396068198E-2</v>
      </c>
      <c r="Q3696">
        <v>0.312033954146545</v>
      </c>
      <c r="R3696">
        <v>0.99409852301309498</v>
      </c>
      <c r="S3696" t="s">
        <v>10098</v>
      </c>
      <c r="T3696" t="s">
        <v>12802</v>
      </c>
      <c r="U3696" t="s">
        <v>12802</v>
      </c>
      <c r="V3696" t="s">
        <v>12802</v>
      </c>
      <c r="W3696" t="s">
        <v>16445</v>
      </c>
      <c r="X3696">
        <v>14</v>
      </c>
      <c r="Y3696" t="s">
        <v>22681</v>
      </c>
      <c r="Z3696" t="s">
        <v>29014</v>
      </c>
      <c r="AA3696">
        <v>0.65005581548220803</v>
      </c>
      <c r="AB3696" t="str">
        <f>HYPERLINK("Melting_Curves/meltCurve_Q53H82_LACTB2.pdf", "Melting_Curves/meltCurve_Q53H82_LACTB2.pdf")</f>
        <v>Melting_Curves/meltCurve_Q53H82_LACTB2.pdf</v>
      </c>
    </row>
    <row r="3697" spans="1:28" x14ac:dyDescent="0.25">
      <c r="A3697" t="s">
        <v>3701</v>
      </c>
      <c r="B3697">
        <v>0.99542014353169495</v>
      </c>
      <c r="C3697">
        <v>0.996291549715285</v>
      </c>
      <c r="D3697">
        <v>1.0130978079922099</v>
      </c>
      <c r="E3697">
        <v>0.826187309567878</v>
      </c>
      <c r="F3697">
        <v>0.78491745046230899</v>
      </c>
      <c r="G3697">
        <v>0.51157715779909096</v>
      </c>
      <c r="H3697">
        <v>0.35707592558685702</v>
      </c>
      <c r="I3697">
        <v>0.32361539451202898</v>
      </c>
      <c r="J3697">
        <v>0.33839956190458398</v>
      </c>
      <c r="K3697">
        <v>0.34912563226896298</v>
      </c>
      <c r="L3697">
        <v>950.27474068693698</v>
      </c>
      <c r="M3697">
        <v>18.5093791800975</v>
      </c>
      <c r="N3697">
        <v>54.157291213884498</v>
      </c>
      <c r="O3697">
        <v>50.752160293946403</v>
      </c>
      <c r="P3697">
        <v>-6.2996694874092499E-2</v>
      </c>
      <c r="Q3697">
        <v>0.30909039080732698</v>
      </c>
      <c r="R3697">
        <v>0.98257485918659704</v>
      </c>
      <c r="S3697" t="s">
        <v>10099</v>
      </c>
      <c r="T3697" t="s">
        <v>12802</v>
      </c>
      <c r="U3697" t="s">
        <v>12802</v>
      </c>
      <c r="V3697" t="s">
        <v>12802</v>
      </c>
      <c r="W3697" t="s">
        <v>16446</v>
      </c>
      <c r="X3697">
        <v>9</v>
      </c>
      <c r="Y3697" t="s">
        <v>22682</v>
      </c>
      <c r="Z3697" t="s">
        <v>29015</v>
      </c>
      <c r="AA3697">
        <v>0.64954262407578456</v>
      </c>
      <c r="AB3697" t="str">
        <f>HYPERLINK("Melting_Curves/meltCurve_Q53H96_PYCRL.pdf", "Melting_Curves/meltCurve_Q53H96_PYCRL.pdf")</f>
        <v>Melting_Curves/meltCurve_Q53H96_PYCRL.pdf</v>
      </c>
    </row>
    <row r="3698" spans="1:28" x14ac:dyDescent="0.25">
      <c r="A3698" t="s">
        <v>3702</v>
      </c>
      <c r="B3698">
        <v>0.99542014353169495</v>
      </c>
      <c r="C3698">
        <v>0.99295107468668697</v>
      </c>
      <c r="D3698">
        <v>0.92688043131079201</v>
      </c>
      <c r="E3698">
        <v>0.695279417205387</v>
      </c>
      <c r="F3698">
        <v>0.44050384736377701</v>
      </c>
      <c r="G3698">
        <v>0.17091879332416801</v>
      </c>
      <c r="H3698">
        <v>0.103846520902538</v>
      </c>
      <c r="I3698">
        <v>9.3655904271193302E-2</v>
      </c>
      <c r="J3698">
        <v>0.115426188036651</v>
      </c>
      <c r="K3698">
        <v>0.13773412434874799</v>
      </c>
      <c r="L3698">
        <v>959.49600941196104</v>
      </c>
      <c r="M3698">
        <v>19.805586403761801</v>
      </c>
      <c r="N3698">
        <v>48.964673276802301</v>
      </c>
      <c r="O3698">
        <v>47.959946356620797</v>
      </c>
      <c r="P3698">
        <v>-9.3469466496060999E-2</v>
      </c>
      <c r="Q3698">
        <v>9.4671813793480206E-2</v>
      </c>
      <c r="R3698">
        <v>0.99537736788282505</v>
      </c>
      <c r="S3698" t="s">
        <v>10100</v>
      </c>
      <c r="T3698" t="s">
        <v>12802</v>
      </c>
      <c r="U3698" t="s">
        <v>12802</v>
      </c>
      <c r="V3698" t="s">
        <v>12802</v>
      </c>
      <c r="W3698" t="s">
        <v>16447</v>
      </c>
      <c r="X3698">
        <v>2</v>
      </c>
      <c r="Y3698" t="s">
        <v>22683</v>
      </c>
      <c r="Z3698" t="s">
        <v>29016</v>
      </c>
      <c r="AA3698">
        <v>0.45220688723221703</v>
      </c>
      <c r="AB3698" t="str">
        <f>HYPERLINK("Melting_Curves/meltCurve_Q53HV7_SMUG1.pdf", "Melting_Curves/meltCurve_Q53HV7_SMUG1.pdf")</f>
        <v>Melting_Curves/meltCurve_Q53HV7_SMUG1.pdf</v>
      </c>
    </row>
    <row r="3699" spans="1:28" x14ac:dyDescent="0.25">
      <c r="A3699" t="s">
        <v>3703</v>
      </c>
      <c r="B3699">
        <v>0.99542014353169495</v>
      </c>
      <c r="C3699">
        <v>0.89870016998837698</v>
      </c>
      <c r="D3699">
        <v>0.93267822563536396</v>
      </c>
      <c r="E3699">
        <v>0.55976648976289101</v>
      </c>
      <c r="F3699">
        <v>0.13723463888147999</v>
      </c>
      <c r="G3699">
        <v>0.114268154928995</v>
      </c>
      <c r="H3699">
        <v>3.0118200082176499E-2</v>
      </c>
      <c r="I3699">
        <v>4.9147821738259601E-2</v>
      </c>
      <c r="J3699">
        <v>4.0779168744685103E-2</v>
      </c>
      <c r="K3699">
        <v>5.3250306602209599E-2</v>
      </c>
      <c r="L3699">
        <v>1353.1073160726601</v>
      </c>
      <c r="M3699">
        <v>28.928121326541198</v>
      </c>
      <c r="N3699">
        <v>46.938485230533097</v>
      </c>
      <c r="O3699">
        <v>46.552978304723801</v>
      </c>
      <c r="P3699">
        <v>-0.14789843615651899</v>
      </c>
      <c r="Q3699">
        <v>4.7976462488721103E-2</v>
      </c>
      <c r="R3699">
        <v>0.99206823896149099</v>
      </c>
      <c r="S3699" t="s">
        <v>10101</v>
      </c>
      <c r="T3699" t="s">
        <v>12802</v>
      </c>
      <c r="U3699" t="s">
        <v>12802</v>
      </c>
      <c r="V3699" t="s">
        <v>12802</v>
      </c>
      <c r="W3699" t="s">
        <v>16448</v>
      </c>
      <c r="X3699">
        <v>2</v>
      </c>
      <c r="Y3699" t="s">
        <v>22684</v>
      </c>
      <c r="Z3699" t="s">
        <v>29017</v>
      </c>
      <c r="AA3699">
        <v>0.3641027112418701</v>
      </c>
      <c r="AB3699" t="str">
        <f>HYPERLINK("Melting_Curves/meltCurve_Q53QZ3_ARHGAP15.pdf", "Melting_Curves/meltCurve_Q53QZ3_ARHGAP15.pdf")</f>
        <v>Melting_Curves/meltCurve_Q53QZ3_ARHGAP15.pdf</v>
      </c>
    </row>
    <row r="3700" spans="1:28" x14ac:dyDescent="0.25">
      <c r="A3700" t="s">
        <v>3704</v>
      </c>
      <c r="B3700">
        <v>0.99542014353169495</v>
      </c>
      <c r="C3700">
        <v>0.87956447579230201</v>
      </c>
      <c r="D3700">
        <v>0.78968346330787798</v>
      </c>
      <c r="E3700">
        <v>0.49408767609625698</v>
      </c>
      <c r="F3700">
        <v>0.21167839929614199</v>
      </c>
      <c r="G3700">
        <v>9.4165718351923305E-2</v>
      </c>
      <c r="H3700">
        <v>6.9059847972666594E-2</v>
      </c>
      <c r="I3700">
        <v>3.50682649412365E-2</v>
      </c>
      <c r="J3700">
        <v>3.13982985566571E-2</v>
      </c>
      <c r="K3700">
        <v>2.03030426990457E-2</v>
      </c>
      <c r="L3700">
        <v>744.36213628388896</v>
      </c>
      <c r="M3700">
        <v>16.096453063795401</v>
      </c>
      <c r="N3700">
        <v>46.329269341927301</v>
      </c>
      <c r="O3700">
        <v>45.547778549050797</v>
      </c>
      <c r="P3700">
        <v>-8.7064371579456207E-2</v>
      </c>
      <c r="Q3700">
        <v>1.4619003751259499E-2</v>
      </c>
      <c r="R3700">
        <v>0.99716878960419997</v>
      </c>
      <c r="S3700" t="s">
        <v>10102</v>
      </c>
      <c r="T3700" t="s">
        <v>12802</v>
      </c>
      <c r="U3700" t="s">
        <v>12802</v>
      </c>
      <c r="V3700" t="s">
        <v>12802</v>
      </c>
      <c r="W3700" t="s">
        <v>16449</v>
      </c>
      <c r="X3700">
        <v>4</v>
      </c>
      <c r="Y3700" t="s">
        <v>22685</v>
      </c>
      <c r="Z3700" t="s">
        <v>29018</v>
      </c>
      <c r="AA3700">
        <v>0.33800011808217789</v>
      </c>
      <c r="AB3700" t="str">
        <f>HYPERLINK("Melting_Curves/meltCurve_Q53R41_FASTKD1.pdf", "Melting_Curves/meltCurve_Q53R41_FASTKD1.pdf")</f>
        <v>Melting_Curves/meltCurve_Q53R41_FASTKD1.pdf</v>
      </c>
    </row>
    <row r="3701" spans="1:28" x14ac:dyDescent="0.25">
      <c r="A3701" t="s">
        <v>3705</v>
      </c>
      <c r="B3701">
        <v>0.99542014353169495</v>
      </c>
      <c r="C3701">
        <v>1.0391436073121401</v>
      </c>
      <c r="D3701">
        <v>0.95671283038862798</v>
      </c>
      <c r="E3701">
        <v>0.85364177808402297</v>
      </c>
      <c r="F3701">
        <v>0.70160023327059196</v>
      </c>
      <c r="G3701">
        <v>0.53133101790475201</v>
      </c>
      <c r="H3701">
        <v>0.30036003572889802</v>
      </c>
      <c r="I3701">
        <v>0.19731979906324801</v>
      </c>
      <c r="J3701">
        <v>0.224865846643578</v>
      </c>
      <c r="K3701">
        <v>0.223552873601673</v>
      </c>
      <c r="L3701">
        <v>794.03059435377099</v>
      </c>
      <c r="M3701">
        <v>15.2297677485137</v>
      </c>
      <c r="N3701">
        <v>53.537794687269603</v>
      </c>
      <c r="O3701">
        <v>51.2626470594805</v>
      </c>
      <c r="P3701">
        <v>-6.2072010253283801E-2</v>
      </c>
      <c r="Q3701">
        <v>0.16435424379205199</v>
      </c>
      <c r="R3701">
        <v>0.991005251083379</v>
      </c>
      <c r="S3701" t="s">
        <v>10103</v>
      </c>
      <c r="T3701" t="s">
        <v>12802</v>
      </c>
      <c r="U3701" t="s">
        <v>12802</v>
      </c>
      <c r="V3701" t="s">
        <v>12802</v>
      </c>
      <c r="W3701" t="s">
        <v>16450</v>
      </c>
      <c r="X3701">
        <v>6</v>
      </c>
      <c r="Y3701" t="s">
        <v>22686</v>
      </c>
      <c r="Z3701" t="s">
        <v>29019</v>
      </c>
      <c r="AA3701">
        <v>0.60157284354422713</v>
      </c>
      <c r="AB3701" t="str">
        <f>HYPERLINK("Melting_Curves/meltCurve_Q53S33_BOLA3.pdf", "Melting_Curves/meltCurve_Q53S33_BOLA3.pdf")</f>
        <v>Melting_Curves/meltCurve_Q53S33_BOLA3.pdf</v>
      </c>
    </row>
    <row r="3702" spans="1:28" x14ac:dyDescent="0.25">
      <c r="A3702" t="s">
        <v>3706</v>
      </c>
      <c r="B3702">
        <v>0.99542014353169495</v>
      </c>
      <c r="C3702">
        <v>0.94263533948832301</v>
      </c>
      <c r="D3702">
        <v>0.81236584088544495</v>
      </c>
      <c r="E3702">
        <v>0.72661802038109902</v>
      </c>
      <c r="F3702">
        <v>0.49335763609458899</v>
      </c>
      <c r="G3702">
        <v>0.35741900638048402</v>
      </c>
      <c r="H3702">
        <v>0.115901879531148</v>
      </c>
      <c r="I3702">
        <v>7.2634868927110796E-2</v>
      </c>
      <c r="J3702">
        <v>9.9997264009010101E-2</v>
      </c>
      <c r="K3702">
        <v>9.0946345142516802E-2</v>
      </c>
      <c r="L3702">
        <v>574.57645891496998</v>
      </c>
      <c r="M3702">
        <v>11.497687466368699</v>
      </c>
      <c r="N3702">
        <v>50.000820386586</v>
      </c>
      <c r="O3702">
        <v>48.533210877216703</v>
      </c>
      <c r="P3702">
        <v>-5.9055373226855903E-2</v>
      </c>
      <c r="Q3702">
        <v>3.16225229789116E-3</v>
      </c>
      <c r="R3702">
        <v>0.98808092072224696</v>
      </c>
      <c r="S3702" t="s">
        <v>10104</v>
      </c>
      <c r="T3702" t="s">
        <v>12802</v>
      </c>
      <c r="U3702" t="s">
        <v>12802</v>
      </c>
      <c r="V3702" t="s">
        <v>12802</v>
      </c>
      <c r="W3702" t="s">
        <v>16451</v>
      </c>
      <c r="X3702">
        <v>2</v>
      </c>
      <c r="Y3702" t="s">
        <v>22687</v>
      </c>
      <c r="Z3702" t="s">
        <v>29020</v>
      </c>
      <c r="AA3702">
        <v>0.46359277202439397</v>
      </c>
      <c r="AB3702" t="str">
        <f>HYPERLINK("Melting_Curves/meltCurve_Q53S58_TMEM177.pdf", "Melting_Curves/meltCurve_Q53S58_TMEM177.pdf")</f>
        <v>Melting_Curves/meltCurve_Q53S58_TMEM177.pdf</v>
      </c>
    </row>
    <row r="3703" spans="1:28" x14ac:dyDescent="0.25">
      <c r="A3703" t="s">
        <v>3707</v>
      </c>
      <c r="B3703">
        <v>0.99542014353169495</v>
      </c>
      <c r="C3703">
        <v>0.91746588297592002</v>
      </c>
      <c r="D3703">
        <v>0.93697123851087105</v>
      </c>
      <c r="E3703">
        <v>0.74724970131304003</v>
      </c>
      <c r="F3703">
        <v>0.32117341254272302</v>
      </c>
      <c r="G3703">
        <v>0.17063990204776899</v>
      </c>
      <c r="H3703">
        <v>0.12519893328373299</v>
      </c>
      <c r="I3703">
        <v>9.1610321357421601E-2</v>
      </c>
      <c r="J3703">
        <v>9.9884115737044907E-2</v>
      </c>
      <c r="K3703">
        <v>9.2778713771878005E-2</v>
      </c>
      <c r="L3703">
        <v>1189.70468641255</v>
      </c>
      <c r="M3703">
        <v>24.693035056093901</v>
      </c>
      <c r="N3703">
        <v>48.600873326795103</v>
      </c>
      <c r="O3703">
        <v>47.867115845855103</v>
      </c>
      <c r="P3703">
        <v>-0.116547786600301</v>
      </c>
      <c r="Q3703">
        <v>9.6307507879055093E-2</v>
      </c>
      <c r="R3703">
        <v>0.99471941766153005</v>
      </c>
      <c r="S3703" t="s">
        <v>10105</v>
      </c>
      <c r="T3703" t="s">
        <v>12802</v>
      </c>
      <c r="U3703" t="s">
        <v>12802</v>
      </c>
      <c r="V3703" t="s">
        <v>12802</v>
      </c>
      <c r="W3703" t="s">
        <v>16452</v>
      </c>
      <c r="X3703">
        <v>5</v>
      </c>
      <c r="Y3703" t="s">
        <v>22688</v>
      </c>
      <c r="Z3703" t="s">
        <v>29021</v>
      </c>
      <c r="AA3703">
        <v>0.44098783597007629</v>
      </c>
      <c r="AB3703" t="str">
        <f>HYPERLINK("Melting_Curves/meltCurve_Q53T59_HS1BP3.pdf", "Melting_Curves/meltCurve_Q53T59_HS1BP3.pdf")</f>
        <v>Melting_Curves/meltCurve_Q53T59_HS1BP3.pdf</v>
      </c>
    </row>
    <row r="3704" spans="1:28" x14ac:dyDescent="0.25">
      <c r="A3704" t="s">
        <v>3708</v>
      </c>
      <c r="B3704">
        <v>0.99542014353169495</v>
      </c>
      <c r="C3704">
        <v>1.0440226022030701</v>
      </c>
      <c r="D3704">
        <v>1.03741362984394</v>
      </c>
      <c r="E3704">
        <v>0.87095618112068496</v>
      </c>
      <c r="F3704">
        <v>0.89486357745795597</v>
      </c>
      <c r="G3704">
        <v>0.64251117876711294</v>
      </c>
      <c r="H3704">
        <v>0.514158164595659</v>
      </c>
      <c r="I3704">
        <v>0.45866606788755199</v>
      </c>
      <c r="J3704">
        <v>0.66332959532295599</v>
      </c>
      <c r="K3704">
        <v>0.73669047783123798</v>
      </c>
      <c r="L3704">
        <v>2151.5973154183898</v>
      </c>
      <c r="M3704">
        <v>41.972498214779002</v>
      </c>
      <c r="O3704">
        <v>51.146119857104097</v>
      </c>
      <c r="P3704">
        <v>-8.3541480049621794E-2</v>
      </c>
      <c r="Q3704">
        <v>0.592798577727221</v>
      </c>
      <c r="R3704">
        <v>0.83150389975664596</v>
      </c>
      <c r="S3704" t="s">
        <v>10106</v>
      </c>
      <c r="T3704" t="s">
        <v>12802</v>
      </c>
      <c r="U3704" t="s">
        <v>12802</v>
      </c>
      <c r="V3704" t="s">
        <v>12802</v>
      </c>
      <c r="W3704" t="s">
        <v>16453</v>
      </c>
      <c r="X3704">
        <v>2</v>
      </c>
      <c r="Y3704" t="s">
        <v>22689</v>
      </c>
      <c r="Z3704" t="s">
        <v>29022</v>
      </c>
      <c r="AA3704">
        <v>0.78769130751691208</v>
      </c>
      <c r="AB3704" t="str">
        <f>HYPERLINK("Melting_Curves/meltCurve_Q53TN4_3_CYBRD1.pdf", "Melting_Curves/meltCurve_Q53TN4_3_CYBRD1.pdf")</f>
        <v>Melting_Curves/meltCurve_Q53TN4_3_CYBRD1.pdf</v>
      </c>
    </row>
    <row r="3705" spans="1:28" x14ac:dyDescent="0.25">
      <c r="A3705" t="s">
        <v>3709</v>
      </c>
      <c r="B3705">
        <v>0.99542014353169495</v>
      </c>
      <c r="C3705">
        <v>1.0399763128274699</v>
      </c>
      <c r="D3705">
        <v>0.89796914664619298</v>
      </c>
      <c r="E3705">
        <v>0.91674239759374199</v>
      </c>
      <c r="F3705">
        <v>0.72569640852664397</v>
      </c>
      <c r="G3705">
        <v>0.47616371190933099</v>
      </c>
      <c r="H3705">
        <v>0.33307437974353798</v>
      </c>
      <c r="I3705">
        <v>0.26450836445381698</v>
      </c>
      <c r="J3705">
        <v>0.23064082154591101</v>
      </c>
      <c r="K3705">
        <v>0.16160153310366501</v>
      </c>
      <c r="L3705">
        <v>798.90272265346903</v>
      </c>
      <c r="M3705">
        <v>15.2511272504579</v>
      </c>
      <c r="N3705">
        <v>53.744003500572497</v>
      </c>
      <c r="O3705">
        <v>51.507329252603299</v>
      </c>
      <c r="P3705">
        <v>-6.2173381417362297E-2</v>
      </c>
      <c r="Q3705">
        <v>0.16017150260443</v>
      </c>
      <c r="R3705">
        <v>0.99044004123070795</v>
      </c>
      <c r="S3705" t="s">
        <v>10107</v>
      </c>
      <c r="T3705" t="s">
        <v>12802</v>
      </c>
      <c r="U3705" t="s">
        <v>12802</v>
      </c>
      <c r="V3705" t="s">
        <v>12802</v>
      </c>
      <c r="W3705" t="s">
        <v>16454</v>
      </c>
      <c r="X3705">
        <v>4</v>
      </c>
      <c r="Y3705" t="s">
        <v>22690</v>
      </c>
      <c r="Z3705" t="s">
        <v>29023</v>
      </c>
      <c r="AA3705">
        <v>0.60621806373626019</v>
      </c>
      <c r="AB3705" t="str">
        <f>HYPERLINK("Melting_Curves/meltCurve_Q567V2_2_MPV17L2.pdf", "Melting_Curves/meltCurve_Q567V2_2_MPV17L2.pdf")</f>
        <v>Melting_Curves/meltCurve_Q567V2_2_MPV17L2.pdf</v>
      </c>
    </row>
    <row r="3706" spans="1:28" x14ac:dyDescent="0.25">
      <c r="A3706" t="s">
        <v>3710</v>
      </c>
      <c r="B3706">
        <v>0.99542014353169495</v>
      </c>
      <c r="C3706">
        <v>0.95533222615826097</v>
      </c>
      <c r="D3706">
        <v>0.96266106981164301</v>
      </c>
      <c r="E3706">
        <v>0.93183054803281296</v>
      </c>
      <c r="F3706">
        <v>0.73636430396842101</v>
      </c>
      <c r="G3706">
        <v>0.58202100857037298</v>
      </c>
      <c r="H3706">
        <v>0.49617355621383802</v>
      </c>
      <c r="I3706">
        <v>0.48576879377307203</v>
      </c>
      <c r="J3706">
        <v>0.73502078844095198</v>
      </c>
      <c r="K3706">
        <v>0.89295661789264702</v>
      </c>
      <c r="L3706">
        <v>1905.2481725555599</v>
      </c>
      <c r="M3706">
        <v>39.248572195217299</v>
      </c>
      <c r="O3706">
        <v>48.417614604657601</v>
      </c>
      <c r="P3706">
        <v>-7.3020798510854898E-2</v>
      </c>
      <c r="Q3706">
        <v>0.639682693387993</v>
      </c>
      <c r="R3706">
        <v>0.647265231753679</v>
      </c>
      <c r="S3706" t="s">
        <v>10108</v>
      </c>
      <c r="T3706" t="s">
        <v>12802</v>
      </c>
      <c r="U3706" t="s">
        <v>12802</v>
      </c>
      <c r="V3706" t="s">
        <v>12802</v>
      </c>
      <c r="W3706" t="s">
        <v>16455</v>
      </c>
      <c r="X3706">
        <v>4</v>
      </c>
      <c r="Y3706" t="s">
        <v>22691</v>
      </c>
      <c r="Z3706" t="s">
        <v>29024</v>
      </c>
      <c r="AA3706">
        <v>0.77957821092157353</v>
      </c>
      <c r="AB3706" t="str">
        <f>HYPERLINK("Melting_Curves/meltCurve_Q587I9_SFT2D3.pdf", "Melting_Curves/meltCurve_Q587I9_SFT2D3.pdf")</f>
        <v>Melting_Curves/meltCurve_Q587I9_SFT2D3.pdf</v>
      </c>
    </row>
    <row r="3707" spans="1:28" x14ac:dyDescent="0.25">
      <c r="A3707" t="s">
        <v>3711</v>
      </c>
      <c r="B3707">
        <v>0.99542014353169495</v>
      </c>
      <c r="C3707">
        <v>1.0659243935746301</v>
      </c>
      <c r="D3707">
        <v>1.1491580423962999</v>
      </c>
      <c r="E3707">
        <v>0.62183598117474603</v>
      </c>
      <c r="F3707">
        <v>0.58604409199809504</v>
      </c>
      <c r="G3707">
        <v>0.36729840735879499</v>
      </c>
      <c r="H3707">
        <v>0.26327182007362598</v>
      </c>
      <c r="I3707">
        <v>0.17039258301614099</v>
      </c>
      <c r="J3707">
        <v>8.4880989544046603E-2</v>
      </c>
      <c r="K3707">
        <v>0</v>
      </c>
      <c r="L3707">
        <v>661.15713111274704</v>
      </c>
      <c r="M3707">
        <v>12.874861255284401</v>
      </c>
      <c r="N3707">
        <v>51.475587136724897</v>
      </c>
      <c r="O3707">
        <v>50.161036962922203</v>
      </c>
      <c r="P3707">
        <v>-6.3207074278780098E-2</v>
      </c>
      <c r="Q3707">
        <v>1.5150730370061E-2</v>
      </c>
      <c r="R3707">
        <v>0.94107437887318401</v>
      </c>
      <c r="S3707" t="s">
        <v>10109</v>
      </c>
      <c r="T3707" t="s">
        <v>12802</v>
      </c>
      <c r="U3707" t="s">
        <v>12802</v>
      </c>
      <c r="V3707" t="s">
        <v>12802</v>
      </c>
      <c r="W3707" t="s">
        <v>16456</v>
      </c>
      <c r="X3707">
        <v>1</v>
      </c>
      <c r="Y3707" t="s">
        <v>22692</v>
      </c>
      <c r="Z3707" t="s">
        <v>29025</v>
      </c>
      <c r="AA3707">
        <v>0.50955587936650026</v>
      </c>
      <c r="AB3707" t="str">
        <f>HYPERLINK("Melting_Curves/meltCurve_Q58A45_PAN3.pdf", "Melting_Curves/meltCurve_Q58A45_PAN3.pdf")</f>
        <v>Melting_Curves/meltCurve_Q58A45_PAN3.pdf</v>
      </c>
    </row>
    <row r="3708" spans="1:28" x14ac:dyDescent="0.25">
      <c r="A3708" t="s">
        <v>3712</v>
      </c>
      <c r="B3708">
        <v>0.99542014353169495</v>
      </c>
      <c r="C3708">
        <v>0.88872316589568301</v>
      </c>
      <c r="D3708">
        <v>0.95147882167625397</v>
      </c>
      <c r="E3708">
        <v>0.76330281252172905</v>
      </c>
      <c r="F3708">
        <v>0.70006394748962297</v>
      </c>
      <c r="G3708">
        <v>0.22580083051271299</v>
      </c>
      <c r="H3708">
        <v>0.12923107326368899</v>
      </c>
      <c r="I3708">
        <v>0.102985297740441</v>
      </c>
      <c r="J3708">
        <v>7.8238567613597002E-2</v>
      </c>
      <c r="K3708">
        <v>8.8750921957202605E-2</v>
      </c>
      <c r="L3708">
        <v>932.38167890362297</v>
      </c>
      <c r="M3708">
        <v>18.342005105125001</v>
      </c>
      <c r="N3708">
        <v>51.132374022941498</v>
      </c>
      <c r="O3708">
        <v>50.2404664858853</v>
      </c>
      <c r="P3708">
        <v>-8.6630368468409102E-2</v>
      </c>
      <c r="Q3708">
        <v>5.0888833938089302E-2</v>
      </c>
      <c r="R3708">
        <v>0.97148240562463795</v>
      </c>
      <c r="S3708" t="s">
        <v>10110</v>
      </c>
      <c r="T3708" t="s">
        <v>12802</v>
      </c>
      <c r="U3708" t="s">
        <v>12802</v>
      </c>
      <c r="V3708" t="s">
        <v>12802</v>
      </c>
      <c r="W3708" t="s">
        <v>16457</v>
      </c>
      <c r="X3708">
        <v>31</v>
      </c>
      <c r="Y3708" t="s">
        <v>22693</v>
      </c>
      <c r="Z3708" t="s">
        <v>29026</v>
      </c>
      <c r="AA3708">
        <v>0.50286382698809595</v>
      </c>
      <c r="AB3708" t="str">
        <f>HYPERLINK("Melting_Curves/meltCurve_Q58FF7_HSP90AB3P.pdf", "Melting_Curves/meltCurve_Q58FF7_HSP90AB3P.pdf")</f>
        <v>Melting_Curves/meltCurve_Q58FF7_HSP90AB3P.pdf</v>
      </c>
    </row>
    <row r="3709" spans="1:28" x14ac:dyDescent="0.25">
      <c r="A3709" t="s">
        <v>3713</v>
      </c>
      <c r="B3709">
        <v>0.99542014353169495</v>
      </c>
      <c r="C3709">
        <v>0.99889575977685696</v>
      </c>
      <c r="D3709">
        <v>0.89266862397302904</v>
      </c>
      <c r="E3709">
        <v>0.90270710709188795</v>
      </c>
      <c r="F3709">
        <v>0.48388174805038803</v>
      </c>
      <c r="G3709">
        <v>0.10393441434480601</v>
      </c>
      <c r="H3709">
        <v>5.78642169217959E-2</v>
      </c>
      <c r="I3709">
        <v>3.7364347766853899E-2</v>
      </c>
      <c r="J3709">
        <v>3.1441200615852802E-2</v>
      </c>
      <c r="K3709">
        <v>4.59075598705872E-2</v>
      </c>
      <c r="L3709">
        <v>1542.5146403174799</v>
      </c>
      <c r="M3709">
        <v>30.907920547658701</v>
      </c>
      <c r="N3709">
        <v>50.019823941698803</v>
      </c>
      <c r="O3709">
        <v>49.6992537292614</v>
      </c>
      <c r="P3709">
        <v>-0.15023060133152299</v>
      </c>
      <c r="Q3709">
        <v>3.3735632389136599E-2</v>
      </c>
      <c r="R3709">
        <v>0.99383324824208796</v>
      </c>
      <c r="S3709" t="s">
        <v>10111</v>
      </c>
      <c r="T3709" t="s">
        <v>12802</v>
      </c>
      <c r="U3709" t="s">
        <v>12802</v>
      </c>
      <c r="V3709" t="s">
        <v>12802</v>
      </c>
      <c r="W3709" t="s">
        <v>16458</v>
      </c>
      <c r="X3709">
        <v>17</v>
      </c>
      <c r="Y3709" t="s">
        <v>22694</v>
      </c>
      <c r="Z3709" t="s">
        <v>29027</v>
      </c>
      <c r="AA3709">
        <v>0.45502785008772739</v>
      </c>
      <c r="AB3709" t="str">
        <f>HYPERLINK("Melting_Curves/meltCurve_Q58FF8_HSP90AB2P.pdf", "Melting_Curves/meltCurve_Q58FF8_HSP90AB2P.pdf")</f>
        <v>Melting_Curves/meltCurve_Q58FF8_HSP90AB2P.pdf</v>
      </c>
    </row>
    <row r="3710" spans="1:28" x14ac:dyDescent="0.25">
      <c r="A3710" t="s">
        <v>3714</v>
      </c>
      <c r="B3710">
        <v>0.99542014353169495</v>
      </c>
      <c r="C3710">
        <v>0.75926798989380395</v>
      </c>
      <c r="D3710">
        <v>0.78418591798652104</v>
      </c>
      <c r="E3710">
        <v>0.64457515494127504</v>
      </c>
      <c r="F3710">
        <v>0.258867691579661</v>
      </c>
      <c r="G3710">
        <v>4.6181283775594099E-2</v>
      </c>
      <c r="H3710">
        <v>2.84470484337466E-2</v>
      </c>
      <c r="I3710">
        <v>1.49731394090971E-2</v>
      </c>
      <c r="J3710">
        <v>1.4852069999915399E-2</v>
      </c>
      <c r="K3710">
        <v>1.8714458000938301E-2</v>
      </c>
      <c r="L3710">
        <v>706.27231577589805</v>
      </c>
      <c r="M3710">
        <v>15.0325708270622</v>
      </c>
      <c r="N3710">
        <v>46.982798538865303</v>
      </c>
      <c r="O3710">
        <v>46.174910524037301</v>
      </c>
      <c r="P3710">
        <v>-8.1397453841047407E-2</v>
      </c>
      <c r="Q3710">
        <v>0</v>
      </c>
      <c r="R3710">
        <v>0.96210316123266204</v>
      </c>
      <c r="S3710" t="s">
        <v>10112</v>
      </c>
      <c r="T3710" t="s">
        <v>12802</v>
      </c>
      <c r="U3710" t="s">
        <v>12802</v>
      </c>
      <c r="V3710" t="s">
        <v>12802</v>
      </c>
      <c r="W3710" t="s">
        <v>16459</v>
      </c>
      <c r="X3710">
        <v>5</v>
      </c>
      <c r="Y3710" t="s">
        <v>22695</v>
      </c>
      <c r="Z3710" t="s">
        <v>29028</v>
      </c>
      <c r="AA3710">
        <v>0.35519347873762669</v>
      </c>
      <c r="AB3710" t="str">
        <f>HYPERLINK("Melting_Curves/meltCurve_Q58FG1_HSP90AA4P.pdf", "Melting_Curves/meltCurve_Q58FG1_HSP90AA4P.pdf")</f>
        <v>Melting_Curves/meltCurve_Q58FG1_HSP90AA4P.pdf</v>
      </c>
    </row>
    <row r="3711" spans="1:28" x14ac:dyDescent="0.25">
      <c r="A3711" t="s">
        <v>3715</v>
      </c>
      <c r="B3711">
        <v>0.99542014353169495</v>
      </c>
      <c r="C3711">
        <v>0.92583386802027701</v>
      </c>
      <c r="D3711">
        <v>0.95880638774448601</v>
      </c>
      <c r="E3711">
        <v>0.73988232198987203</v>
      </c>
      <c r="F3711">
        <v>0.67016990944733001</v>
      </c>
      <c r="G3711">
        <v>0.413673932152409</v>
      </c>
      <c r="H3711">
        <v>0.32413208786317999</v>
      </c>
      <c r="I3711">
        <v>0.216778485440245</v>
      </c>
      <c r="J3711">
        <v>9.3685528865546097E-2</v>
      </c>
      <c r="K3711">
        <v>0.10008627490540301</v>
      </c>
      <c r="L3711">
        <v>545.32720453353102</v>
      </c>
      <c r="M3711">
        <v>10.352538928374599</v>
      </c>
      <c r="N3711">
        <v>52.675697072495097</v>
      </c>
      <c r="O3711">
        <v>50.823875371354298</v>
      </c>
      <c r="P3711">
        <v>-5.0945289921530301E-2</v>
      </c>
      <c r="Q3711">
        <v>0</v>
      </c>
      <c r="R3711">
        <v>0.98886355876228405</v>
      </c>
      <c r="S3711" t="s">
        <v>10113</v>
      </c>
      <c r="T3711" t="s">
        <v>12802</v>
      </c>
      <c r="U3711" t="s">
        <v>12802</v>
      </c>
      <c r="V3711" t="s">
        <v>12802</v>
      </c>
      <c r="W3711" t="s">
        <v>16460</v>
      </c>
      <c r="X3711">
        <v>8</v>
      </c>
      <c r="Y3711" t="s">
        <v>22696</v>
      </c>
      <c r="Z3711" t="s">
        <v>29029</v>
      </c>
      <c r="AA3711">
        <v>0.54611118546298154</v>
      </c>
      <c r="AB3711" t="str">
        <f>HYPERLINK("Melting_Curves/meltCurve_Q58WW2_DCAF6.pdf", "Melting_Curves/meltCurve_Q58WW2_DCAF6.pdf")</f>
        <v>Melting_Curves/meltCurve_Q58WW2_DCAF6.pdf</v>
      </c>
    </row>
    <row r="3712" spans="1:28" x14ac:dyDescent="0.25">
      <c r="A3712" t="s">
        <v>3716</v>
      </c>
      <c r="B3712">
        <v>0.99542014353169495</v>
      </c>
      <c r="C3712">
        <v>1.0624759704358699</v>
      </c>
      <c r="D3712">
        <v>1.0903876106441199</v>
      </c>
      <c r="E3712">
        <v>1.11006206820409</v>
      </c>
      <c r="F3712">
        <v>0.975662073915747</v>
      </c>
      <c r="G3712">
        <v>0.65637035086746198</v>
      </c>
      <c r="H3712">
        <v>0.339698117677593</v>
      </c>
      <c r="I3712">
        <v>0.27436208223387798</v>
      </c>
      <c r="J3712">
        <v>0.31174514002047399</v>
      </c>
      <c r="K3712">
        <v>0.23784618927158199</v>
      </c>
      <c r="L3712">
        <v>2247.67580473312</v>
      </c>
      <c r="M3712">
        <v>41.649609621934303</v>
      </c>
      <c r="N3712">
        <v>55.019328114173497</v>
      </c>
      <c r="O3712">
        <v>53.842333358338202</v>
      </c>
      <c r="P3712">
        <v>-0.140265564153434</v>
      </c>
      <c r="Q3712">
        <v>0.27469054500447598</v>
      </c>
      <c r="R3712">
        <v>0.97887751666745304</v>
      </c>
      <c r="S3712" t="s">
        <v>10114</v>
      </c>
      <c r="T3712" t="s">
        <v>12802</v>
      </c>
      <c r="U3712" t="s">
        <v>12802</v>
      </c>
      <c r="V3712" t="s">
        <v>12802</v>
      </c>
      <c r="W3712" t="s">
        <v>16461</v>
      </c>
      <c r="X3712">
        <v>3</v>
      </c>
      <c r="Y3712" t="s">
        <v>22697</v>
      </c>
      <c r="Z3712" t="s">
        <v>29030</v>
      </c>
      <c r="AA3712">
        <v>0.68736370877552111</v>
      </c>
      <c r="AB3712" t="str">
        <f>HYPERLINK("Melting_Curves/meltCurve_Q5BKU9_OXLD1.pdf", "Melting_Curves/meltCurve_Q5BKU9_OXLD1.pdf")</f>
        <v>Melting_Curves/meltCurve_Q5BKU9_OXLD1.pdf</v>
      </c>
    </row>
    <row r="3713" spans="1:28" x14ac:dyDescent="0.25">
      <c r="A3713" t="s">
        <v>3717</v>
      </c>
      <c r="B3713">
        <v>0.99542014353169495</v>
      </c>
      <c r="C3713">
        <v>0.91190354116092998</v>
      </c>
      <c r="D3713">
        <v>0.80382748337629295</v>
      </c>
      <c r="E3713">
        <v>0.80000876297441703</v>
      </c>
      <c r="F3713">
        <v>0.27150885018099902</v>
      </c>
      <c r="G3713">
        <v>0.13452766136291699</v>
      </c>
      <c r="H3713">
        <v>8.1197735187458903E-2</v>
      </c>
      <c r="I3713">
        <v>8.1068198467888805E-2</v>
      </c>
      <c r="J3713">
        <v>0.12518680424456899</v>
      </c>
      <c r="K3713">
        <v>6.0182621171630202E-2</v>
      </c>
      <c r="L3713">
        <v>1261.6946400033301</v>
      </c>
      <c r="M3713">
        <v>26.1998101968789</v>
      </c>
      <c r="N3713">
        <v>48.4704473581331</v>
      </c>
      <c r="O3713">
        <v>47.8787075843425</v>
      </c>
      <c r="P3713">
        <v>-0.12613242754415099</v>
      </c>
      <c r="Q3713">
        <v>7.8010088150555004E-2</v>
      </c>
      <c r="R3713">
        <v>0.970667894576974</v>
      </c>
      <c r="S3713" t="s">
        <v>10115</v>
      </c>
      <c r="T3713" t="s">
        <v>12802</v>
      </c>
      <c r="U3713" t="s">
        <v>12802</v>
      </c>
      <c r="V3713" t="s">
        <v>12802</v>
      </c>
      <c r="W3713" t="s">
        <v>16462</v>
      </c>
      <c r="X3713">
        <v>1</v>
      </c>
      <c r="Y3713" t="s">
        <v>22698</v>
      </c>
      <c r="Z3713" t="s">
        <v>29031</v>
      </c>
      <c r="AA3713">
        <v>0.42806387106878852</v>
      </c>
      <c r="AB3713" t="str">
        <f>HYPERLINK("Melting_Curves/meltCurve_Q5BKX5_3_C19orf54.pdf", "Melting_Curves/meltCurve_Q5BKX5_3_C19orf54.pdf")</f>
        <v>Melting_Curves/meltCurve_Q5BKX5_3_C19orf54.pdf</v>
      </c>
    </row>
    <row r="3714" spans="1:28" x14ac:dyDescent="0.25">
      <c r="A3714" t="s">
        <v>3718</v>
      </c>
      <c r="B3714">
        <v>0.99542014353169495</v>
      </c>
      <c r="C3714">
        <v>0.88329865371109495</v>
      </c>
      <c r="D3714">
        <v>0.85804421579585</v>
      </c>
      <c r="E3714">
        <v>0.53323370247171797</v>
      </c>
      <c r="F3714">
        <v>0.37377421087045698</v>
      </c>
      <c r="G3714">
        <v>0.222533679971468</v>
      </c>
      <c r="H3714">
        <v>0.157636338275431</v>
      </c>
      <c r="I3714">
        <v>0.131494678817698</v>
      </c>
      <c r="J3714">
        <v>0.14961589399175801</v>
      </c>
      <c r="K3714">
        <v>0.16807489987569799</v>
      </c>
      <c r="L3714">
        <v>721.080167902732</v>
      </c>
      <c r="M3714">
        <v>15.481855517940399</v>
      </c>
      <c r="N3714">
        <v>47.516662453756098</v>
      </c>
      <c r="O3714">
        <v>45.819498063323202</v>
      </c>
      <c r="P3714">
        <v>-7.3327679819869096E-2</v>
      </c>
      <c r="Q3714">
        <v>0.13200646230319699</v>
      </c>
      <c r="R3714">
        <v>0.99177366027583902</v>
      </c>
      <c r="S3714" t="s">
        <v>10116</v>
      </c>
      <c r="T3714" t="s">
        <v>12802</v>
      </c>
      <c r="U3714" t="s">
        <v>12802</v>
      </c>
      <c r="V3714" t="s">
        <v>12802</v>
      </c>
      <c r="W3714" t="s">
        <v>16463</v>
      </c>
      <c r="X3714">
        <v>1</v>
      </c>
      <c r="Y3714" t="s">
        <v>22699</v>
      </c>
      <c r="Z3714" t="s">
        <v>29032</v>
      </c>
      <c r="AA3714">
        <v>0.42767662076086432</v>
      </c>
      <c r="AB3714" t="str">
        <f>HYPERLINK("Melting_Curves/meltCurve_Q5C9Z4_NOM1.pdf", "Melting_Curves/meltCurve_Q5C9Z4_NOM1.pdf")</f>
        <v>Melting_Curves/meltCurve_Q5C9Z4_NOM1.pdf</v>
      </c>
    </row>
    <row r="3715" spans="1:28" x14ac:dyDescent="0.25">
      <c r="A3715" t="s">
        <v>3719</v>
      </c>
      <c r="B3715">
        <v>0.99542014353169495</v>
      </c>
      <c r="C3715">
        <v>0.99028103494911901</v>
      </c>
      <c r="D3715">
        <v>0.89494784894209101</v>
      </c>
      <c r="E3715">
        <v>0.58457114072128402</v>
      </c>
      <c r="F3715">
        <v>0.29291098312167801</v>
      </c>
      <c r="G3715">
        <v>0.173252145607981</v>
      </c>
      <c r="H3715">
        <v>5.9649790029408997E-2</v>
      </c>
      <c r="I3715">
        <v>2.51723439218637E-2</v>
      </c>
      <c r="J3715">
        <v>1.54067465158279E-2</v>
      </c>
      <c r="K3715">
        <v>1.2336194554515E-2</v>
      </c>
      <c r="L3715">
        <v>831.95829763667302</v>
      </c>
      <c r="M3715">
        <v>17.443955095332502</v>
      </c>
      <c r="N3715">
        <v>47.7605915770717</v>
      </c>
      <c r="O3715">
        <v>47.079671767861697</v>
      </c>
      <c r="P3715">
        <v>-9.1509250035654799E-2</v>
      </c>
      <c r="Q3715">
        <v>1.21540905656107E-2</v>
      </c>
      <c r="R3715">
        <v>0.99783702408004804</v>
      </c>
      <c r="S3715" t="s">
        <v>10117</v>
      </c>
      <c r="T3715" t="s">
        <v>12802</v>
      </c>
      <c r="U3715" t="s">
        <v>12802</v>
      </c>
      <c r="V3715" t="s">
        <v>12802</v>
      </c>
      <c r="W3715" t="s">
        <v>16464</v>
      </c>
      <c r="X3715">
        <v>3</v>
      </c>
      <c r="Y3715" t="s">
        <v>22700</v>
      </c>
      <c r="Z3715" t="s">
        <v>29033</v>
      </c>
      <c r="AA3715">
        <v>0.38101345810791132</v>
      </c>
      <c r="AB3715" t="str">
        <f>HYPERLINK("Melting_Curves/meltCurve_Q5D1E8_ZC3H12A.pdf", "Melting_Curves/meltCurve_Q5D1E8_ZC3H12A.pdf")</f>
        <v>Melting_Curves/meltCurve_Q5D1E8_ZC3H12A.pdf</v>
      </c>
    </row>
    <row r="3716" spans="1:28" x14ac:dyDescent="0.25">
      <c r="A3716" t="s">
        <v>3720</v>
      </c>
      <c r="B3716">
        <v>0.99542014353169495</v>
      </c>
      <c r="C3716">
        <v>1.2362234206500999</v>
      </c>
      <c r="D3716">
        <v>1.2324960998235801</v>
      </c>
      <c r="E3716">
        <v>0.87374560923393996</v>
      </c>
      <c r="F3716">
        <v>0.892300741652022</v>
      </c>
      <c r="G3716">
        <v>0.76064228523681798</v>
      </c>
      <c r="H3716">
        <v>0.66081701023613204</v>
      </c>
      <c r="I3716">
        <v>0.464794950001856</v>
      </c>
      <c r="J3716">
        <v>0.78865048432964802</v>
      </c>
      <c r="K3716">
        <v>0.29465491700791602</v>
      </c>
      <c r="L3716">
        <v>743.89056668662704</v>
      </c>
      <c r="M3716">
        <v>13.3438508727337</v>
      </c>
      <c r="N3716">
        <v>64.639200997969098</v>
      </c>
      <c r="O3716">
        <v>54.540424294465602</v>
      </c>
      <c r="P3716">
        <v>-3.5467072399072298E-2</v>
      </c>
      <c r="Q3716">
        <v>0.420233175016685</v>
      </c>
      <c r="R3716">
        <v>0.69836876783326696</v>
      </c>
      <c r="S3716" t="s">
        <v>10118</v>
      </c>
      <c r="T3716" t="s">
        <v>12802</v>
      </c>
      <c r="U3716" t="s">
        <v>12802</v>
      </c>
      <c r="V3716" t="s">
        <v>12802</v>
      </c>
      <c r="W3716" t="s">
        <v>16465</v>
      </c>
      <c r="X3716">
        <v>1</v>
      </c>
      <c r="Y3716" t="s">
        <v>22701</v>
      </c>
      <c r="Z3716" t="s">
        <v>29034</v>
      </c>
      <c r="AA3716">
        <v>0.78944172963041814</v>
      </c>
      <c r="AB3716" t="str">
        <f>HYPERLINK("Melting_Curves/meltCurve_Q5DTB0_CD80.pdf", "Melting_Curves/meltCurve_Q5DTB0_CD80.pdf")</f>
        <v>Melting_Curves/meltCurve_Q5DTB0_CD80.pdf</v>
      </c>
    </row>
    <row r="3717" spans="1:28" x14ac:dyDescent="0.25">
      <c r="A3717" t="s">
        <v>3721</v>
      </c>
      <c r="B3717">
        <v>0.99542014353169495</v>
      </c>
      <c r="C3717">
        <v>1.0028253735777599</v>
      </c>
      <c r="D3717">
        <v>0.86332292713796099</v>
      </c>
      <c r="E3717">
        <v>0.46878797862843402</v>
      </c>
      <c r="F3717">
        <v>0.234685569003588</v>
      </c>
      <c r="G3717">
        <v>0.20067590245500799</v>
      </c>
      <c r="H3717">
        <v>0.112449328856047</v>
      </c>
      <c r="I3717">
        <v>9.2203996638231894E-2</v>
      </c>
      <c r="J3717">
        <v>7.2460135825815994E-2</v>
      </c>
      <c r="K3717">
        <v>0.19856370574422899</v>
      </c>
      <c r="L3717">
        <v>1113.6237424081</v>
      </c>
      <c r="M3717">
        <v>24.273678670264601</v>
      </c>
      <c r="N3717">
        <v>46.447376107026997</v>
      </c>
      <c r="O3717">
        <v>45.569859212016098</v>
      </c>
      <c r="P3717">
        <v>-0.116028004678079</v>
      </c>
      <c r="Q3717">
        <v>0.12871883492892999</v>
      </c>
      <c r="R3717">
        <v>0.98986141689517604</v>
      </c>
      <c r="S3717" t="s">
        <v>10119</v>
      </c>
      <c r="T3717" t="s">
        <v>12802</v>
      </c>
      <c r="U3717" t="s">
        <v>12802</v>
      </c>
      <c r="V3717" t="s">
        <v>12802</v>
      </c>
      <c r="W3717" t="s">
        <v>16466</v>
      </c>
      <c r="X3717">
        <v>9</v>
      </c>
      <c r="Y3717" t="s">
        <v>22702</v>
      </c>
      <c r="Z3717" t="s">
        <v>29035</v>
      </c>
      <c r="AA3717">
        <v>0.39421446432318169</v>
      </c>
      <c r="AB3717" t="str">
        <f>HYPERLINK("Melting_Curves/meltCurve_Q5EBL4_RILPL1.pdf", "Melting_Curves/meltCurve_Q5EBL4_RILPL1.pdf")</f>
        <v>Melting_Curves/meltCurve_Q5EBL4_RILPL1.pdf</v>
      </c>
    </row>
    <row r="3718" spans="1:28" x14ac:dyDescent="0.25">
      <c r="A3718" t="s">
        <v>3722</v>
      </c>
      <c r="B3718">
        <v>0.99542014353169495</v>
      </c>
      <c r="C3718">
        <v>1.03910032739099</v>
      </c>
      <c r="D3718">
        <v>0.87320265168254696</v>
      </c>
      <c r="E3718">
        <v>0.74497122572764995</v>
      </c>
      <c r="F3718">
        <v>0.41024524437786097</v>
      </c>
      <c r="G3718">
        <v>0.20719310268824601</v>
      </c>
      <c r="H3718">
        <v>0.130133189627754</v>
      </c>
      <c r="I3718">
        <v>0.111411078711184</v>
      </c>
      <c r="J3718">
        <v>0.15836857755550501</v>
      </c>
      <c r="K3718">
        <v>0.14832035065178101</v>
      </c>
      <c r="L3718">
        <v>994.07826668784901</v>
      </c>
      <c r="M3718">
        <v>20.553830046246802</v>
      </c>
      <c r="N3718">
        <v>49.0360791403672</v>
      </c>
      <c r="O3718">
        <v>47.913793891731601</v>
      </c>
      <c r="P3718">
        <v>-9.4092695569340606E-2</v>
      </c>
      <c r="Q3718">
        <v>0.122653874633753</v>
      </c>
      <c r="R3718">
        <v>0.99266563440077304</v>
      </c>
      <c r="S3718" t="s">
        <v>10120</v>
      </c>
      <c r="T3718" t="s">
        <v>12802</v>
      </c>
      <c r="U3718" t="s">
        <v>12802</v>
      </c>
      <c r="V3718" t="s">
        <v>12802</v>
      </c>
      <c r="W3718" t="s">
        <v>16467</v>
      </c>
      <c r="X3718">
        <v>5</v>
      </c>
      <c r="Y3718" t="s">
        <v>22703</v>
      </c>
      <c r="Z3718" t="s">
        <v>29036</v>
      </c>
      <c r="AA3718">
        <v>0.4659758067502176</v>
      </c>
      <c r="AB3718" t="str">
        <f>HYPERLINK("Melting_Curves/meltCurve_Q5EBL8_PDZD11.pdf", "Melting_Curves/meltCurve_Q5EBL8_PDZD11.pdf")</f>
        <v>Melting_Curves/meltCurve_Q5EBL8_PDZD11.pdf</v>
      </c>
    </row>
    <row r="3719" spans="1:28" x14ac:dyDescent="0.25">
      <c r="A3719" t="s">
        <v>3723</v>
      </c>
      <c r="B3719">
        <v>0.99542014353169495</v>
      </c>
      <c r="C3719">
        <v>1.00729869892565</v>
      </c>
      <c r="D3719">
        <v>0.936425967141154</v>
      </c>
      <c r="E3719">
        <v>0.87748421491197603</v>
      </c>
      <c r="F3719">
        <v>0.60313395072326903</v>
      </c>
      <c r="G3719">
        <v>0.20452686822827201</v>
      </c>
      <c r="H3719">
        <v>4.7867864229283297E-2</v>
      </c>
      <c r="I3719">
        <v>2.93507616016127E-2</v>
      </c>
      <c r="J3719">
        <v>3.2705210487306603E-2</v>
      </c>
      <c r="K3719">
        <v>2.51948730450323E-2</v>
      </c>
      <c r="L3719">
        <v>1231.06627543742</v>
      </c>
      <c r="M3719">
        <v>24.225347624402801</v>
      </c>
      <c r="N3719">
        <v>50.8700917679338</v>
      </c>
      <c r="O3719">
        <v>50.474799423822198</v>
      </c>
      <c r="P3719">
        <v>-0.118499532087685</v>
      </c>
      <c r="Q3719">
        <v>1.24147210292751E-2</v>
      </c>
      <c r="R3719">
        <v>0.99732001136946302</v>
      </c>
      <c r="S3719" t="s">
        <v>10121</v>
      </c>
      <c r="T3719" t="s">
        <v>12802</v>
      </c>
      <c r="U3719" t="s">
        <v>12802</v>
      </c>
      <c r="V3719" t="s">
        <v>12802</v>
      </c>
      <c r="W3719" t="s">
        <v>16468</v>
      </c>
      <c r="X3719">
        <v>13</v>
      </c>
      <c r="Y3719" t="s">
        <v>22704</v>
      </c>
      <c r="Z3719" t="s">
        <v>29037</v>
      </c>
      <c r="AA3719">
        <v>0.47649825556843789</v>
      </c>
      <c r="AB3719" t="str">
        <f>HYPERLINK("Melting_Curves/meltCurve_Q5EBM0_CMPK2.pdf", "Melting_Curves/meltCurve_Q5EBM0_CMPK2.pdf")</f>
        <v>Melting_Curves/meltCurve_Q5EBM0_CMPK2.pdf</v>
      </c>
    </row>
    <row r="3720" spans="1:28" x14ac:dyDescent="0.25">
      <c r="A3720" t="s">
        <v>3724</v>
      </c>
      <c r="B3720">
        <v>0.99542014353169495</v>
      </c>
      <c r="C3720">
        <v>0.91035729100704998</v>
      </c>
      <c r="D3720">
        <v>0.834293622045717</v>
      </c>
      <c r="E3720">
        <v>0.77632084513348099</v>
      </c>
      <c r="F3720">
        <v>0.26586441994257498</v>
      </c>
      <c r="G3720">
        <v>0.13334214748342901</v>
      </c>
      <c r="H3720">
        <v>6.9771804400603293E-2</v>
      </c>
      <c r="I3720">
        <v>4.9728642559398198E-2</v>
      </c>
      <c r="J3720">
        <v>6.2551906506915098E-2</v>
      </c>
      <c r="K3720">
        <v>6.8413496566853596E-2</v>
      </c>
      <c r="L3720">
        <v>1152.6954922124501</v>
      </c>
      <c r="M3720">
        <v>23.9376008710198</v>
      </c>
      <c r="N3720">
        <v>48.380015587747899</v>
      </c>
      <c r="O3720">
        <v>47.821887698559998</v>
      </c>
      <c r="P3720">
        <v>-0.11852682887040999</v>
      </c>
      <c r="Q3720">
        <v>5.2856439868760298E-2</v>
      </c>
      <c r="R3720">
        <v>0.981426878800983</v>
      </c>
      <c r="S3720" t="s">
        <v>10122</v>
      </c>
      <c r="T3720" t="s">
        <v>12802</v>
      </c>
      <c r="U3720" t="s">
        <v>12802</v>
      </c>
      <c r="V3720" t="s">
        <v>12802</v>
      </c>
      <c r="W3720" t="s">
        <v>16469</v>
      </c>
      <c r="X3720">
        <v>14</v>
      </c>
      <c r="Y3720" t="s">
        <v>22705</v>
      </c>
      <c r="Z3720" t="s">
        <v>29038</v>
      </c>
      <c r="AA3720">
        <v>0.41382058198777638</v>
      </c>
      <c r="AB3720" t="str">
        <f>HYPERLINK("Melting_Curves/meltCurve_Q5F1R6_DNAJC21.pdf", "Melting_Curves/meltCurve_Q5F1R6_DNAJC21.pdf")</f>
        <v>Melting_Curves/meltCurve_Q5F1R6_DNAJC21.pdf</v>
      </c>
    </row>
    <row r="3721" spans="1:28" x14ac:dyDescent="0.25">
      <c r="A3721" t="s">
        <v>3725</v>
      </c>
      <c r="B3721">
        <v>0.99542014353169495</v>
      </c>
      <c r="C3721">
        <v>0.98387517892155696</v>
      </c>
      <c r="D3721">
        <v>0.980569170272381</v>
      </c>
      <c r="E3721">
        <v>0.87991331726715705</v>
      </c>
      <c r="F3721">
        <v>0.60726920347204105</v>
      </c>
      <c r="G3721">
        <v>0.24726533013333099</v>
      </c>
      <c r="H3721">
        <v>0.13987744088915899</v>
      </c>
      <c r="I3721">
        <v>9.3823277680335396E-2</v>
      </c>
      <c r="J3721">
        <v>9.8316813513747894E-2</v>
      </c>
      <c r="K3721">
        <v>8.9519737964266294E-2</v>
      </c>
      <c r="L3721">
        <v>1212.9081496848801</v>
      </c>
      <c r="M3721">
        <v>23.954556240439398</v>
      </c>
      <c r="N3721">
        <v>51.028513919594502</v>
      </c>
      <c r="O3721">
        <v>50.284817244850998</v>
      </c>
      <c r="P3721">
        <v>-0.109022414237436</v>
      </c>
      <c r="Q3721">
        <v>8.4586139746670397E-2</v>
      </c>
      <c r="R3721">
        <v>0.99914979116964198</v>
      </c>
      <c r="S3721" t="s">
        <v>10123</v>
      </c>
      <c r="T3721" t="s">
        <v>12802</v>
      </c>
      <c r="U3721" t="s">
        <v>12802</v>
      </c>
      <c r="V3721" t="s">
        <v>12802</v>
      </c>
      <c r="W3721" t="s">
        <v>16470</v>
      </c>
      <c r="X3721">
        <v>11</v>
      </c>
      <c r="Y3721" t="s">
        <v>22706</v>
      </c>
      <c r="Z3721" t="s">
        <v>29039</v>
      </c>
      <c r="AA3721">
        <v>0.50932363368440148</v>
      </c>
      <c r="AB3721" t="str">
        <f>HYPERLINK("Melting_Curves/meltCurve_Q5GLZ8_3_HERC4.pdf", "Melting_Curves/meltCurve_Q5GLZ8_3_HERC4.pdf")</f>
        <v>Melting_Curves/meltCurve_Q5GLZ8_3_HERC4.pdf</v>
      </c>
    </row>
    <row r="3722" spans="1:28" x14ac:dyDescent="0.25">
      <c r="A3722" t="s">
        <v>3726</v>
      </c>
      <c r="B3722">
        <v>0.99542014353169495</v>
      </c>
      <c r="C3722">
        <v>1.10528152853666</v>
      </c>
      <c r="D3722">
        <v>1.0728884897794799</v>
      </c>
      <c r="E3722">
        <v>0.98814149005357899</v>
      </c>
      <c r="F3722">
        <v>0.82115496957008705</v>
      </c>
      <c r="G3722">
        <v>0.594642430154392</v>
      </c>
      <c r="H3722">
        <v>0.39867117410881803</v>
      </c>
      <c r="I3722">
        <v>0.198050178743439</v>
      </c>
      <c r="J3722">
        <v>8.87090459801613E-2</v>
      </c>
      <c r="K3722">
        <v>9.4292475336443193E-2</v>
      </c>
      <c r="L3722">
        <v>913.96691366685297</v>
      </c>
      <c r="M3722">
        <v>16.561330153909299</v>
      </c>
      <c r="N3722">
        <v>55.395674677495002</v>
      </c>
      <c r="O3722">
        <v>54.401005319909203</v>
      </c>
      <c r="P3722">
        <v>-7.3809151310399806E-2</v>
      </c>
      <c r="Q3722">
        <v>3.02670150455745E-2</v>
      </c>
      <c r="R3722">
        <v>0.98550496616963601</v>
      </c>
      <c r="S3722" t="s">
        <v>10124</v>
      </c>
      <c r="T3722" t="s">
        <v>12802</v>
      </c>
      <c r="U3722" t="s">
        <v>12802</v>
      </c>
      <c r="V3722" t="s">
        <v>12802</v>
      </c>
      <c r="W3722" t="s">
        <v>16471</v>
      </c>
      <c r="X3722">
        <v>1</v>
      </c>
      <c r="Y3722" t="s">
        <v>22707</v>
      </c>
      <c r="Z3722" t="s">
        <v>29040</v>
      </c>
      <c r="AA3722">
        <v>0.63080286106559924</v>
      </c>
      <c r="AB3722" t="str">
        <f>HYPERLINK("Melting_Curves/meltCurve_Q5H8X8_UTS2.pdf", "Melting_Curves/meltCurve_Q5H8X8_UTS2.pdf")</f>
        <v>Melting_Curves/meltCurve_Q5H8X8_UTS2.pdf</v>
      </c>
    </row>
    <row r="3723" spans="1:28" x14ac:dyDescent="0.25">
      <c r="A3723" t="s">
        <v>3727</v>
      </c>
      <c r="B3723">
        <v>0.99542014353169495</v>
      </c>
      <c r="C3723">
        <v>0.975536241480498</v>
      </c>
      <c r="D3723">
        <v>0.87065414857027101</v>
      </c>
      <c r="E3723">
        <v>0.71585328086353905</v>
      </c>
      <c r="F3723">
        <v>0.56921640754449498</v>
      </c>
      <c r="G3723">
        <v>0.36900548008383699</v>
      </c>
      <c r="H3723">
        <v>0.23544303981496301</v>
      </c>
      <c r="I3723">
        <v>0.27381763222128103</v>
      </c>
      <c r="J3723">
        <v>0.34408305079307999</v>
      </c>
      <c r="K3723">
        <v>0.454514787343268</v>
      </c>
      <c r="L3723">
        <v>839.69095454902504</v>
      </c>
      <c r="M3723">
        <v>17.678064199108</v>
      </c>
      <c r="N3723">
        <v>50.3861989905568</v>
      </c>
      <c r="O3723">
        <v>46.903731017020498</v>
      </c>
      <c r="P3723">
        <v>-6.4224630147508399E-2</v>
      </c>
      <c r="Q3723">
        <v>0.31842872101148201</v>
      </c>
      <c r="R3723">
        <v>0.94760139392204301</v>
      </c>
      <c r="S3723" t="s">
        <v>10125</v>
      </c>
      <c r="T3723" t="s">
        <v>12802</v>
      </c>
      <c r="U3723" t="s">
        <v>12802</v>
      </c>
      <c r="V3723" t="s">
        <v>12802</v>
      </c>
      <c r="W3723" t="s">
        <v>16472</v>
      </c>
      <c r="X3723">
        <v>1</v>
      </c>
      <c r="Y3723" t="s">
        <v>22708</v>
      </c>
      <c r="Z3723" t="s">
        <v>29041</v>
      </c>
      <c r="AA3723">
        <v>0.56824709512365412</v>
      </c>
      <c r="AB3723" t="str">
        <f>HYPERLINK("Melting_Curves/meltCurve_Q5H937_PKIG.pdf", "Melting_Curves/meltCurve_Q5H937_PKIG.pdf")</f>
        <v>Melting_Curves/meltCurve_Q5H937_PKIG.pdf</v>
      </c>
    </row>
    <row r="3724" spans="1:28" x14ac:dyDescent="0.25">
      <c r="A3724" t="s">
        <v>3728</v>
      </c>
      <c r="B3724">
        <v>0.99542014353169495</v>
      </c>
      <c r="C3724">
        <v>1.10092746360942</v>
      </c>
      <c r="D3724">
        <v>0.89514344313748595</v>
      </c>
      <c r="E3724">
        <v>0.86363670934687697</v>
      </c>
      <c r="F3724">
        <v>0.65722897420551196</v>
      </c>
      <c r="G3724">
        <v>0.53114654235527603</v>
      </c>
      <c r="H3724">
        <v>0.23572866597101999</v>
      </c>
      <c r="I3724">
        <v>0.205954872286015</v>
      </c>
      <c r="J3724">
        <v>0.26445826060417998</v>
      </c>
      <c r="K3724">
        <v>0.164733139941731</v>
      </c>
      <c r="L3724">
        <v>770.30059687963899</v>
      </c>
      <c r="M3724">
        <v>14.8773947082422</v>
      </c>
      <c r="N3724">
        <v>53.066666901625602</v>
      </c>
      <c r="O3724">
        <v>50.868124683500596</v>
      </c>
      <c r="P3724">
        <v>-6.2028571574803897E-2</v>
      </c>
      <c r="Q3724">
        <v>0.15174739053974001</v>
      </c>
      <c r="R3724">
        <v>0.97144615024541103</v>
      </c>
      <c r="S3724" t="s">
        <v>10126</v>
      </c>
      <c r="T3724" t="s">
        <v>12802</v>
      </c>
      <c r="U3724" t="s">
        <v>12802</v>
      </c>
      <c r="V3724" t="s">
        <v>12802</v>
      </c>
      <c r="W3724" t="s">
        <v>16473</v>
      </c>
      <c r="X3724">
        <v>6</v>
      </c>
      <c r="Y3724" t="s">
        <v>22709</v>
      </c>
      <c r="Z3724" t="s">
        <v>29042</v>
      </c>
      <c r="AA3724">
        <v>0.58615670398795605</v>
      </c>
      <c r="AB3724" t="str">
        <f>HYPERLINK("Melting_Curves/meltCurve_Q5H9A7_TIMP1.pdf", "Melting_Curves/meltCurve_Q5H9A7_TIMP1.pdf")</f>
        <v>Melting_Curves/meltCurve_Q5H9A7_TIMP1.pdf</v>
      </c>
    </row>
    <row r="3725" spans="1:28" x14ac:dyDescent="0.25">
      <c r="A3725" t="s">
        <v>3729</v>
      </c>
      <c r="B3725">
        <v>0.99542014353169495</v>
      </c>
      <c r="C3725">
        <v>0.92806695844659404</v>
      </c>
      <c r="D3725">
        <v>0.884017391408915</v>
      </c>
      <c r="E3725">
        <v>0.67593419431749902</v>
      </c>
      <c r="F3725">
        <v>0.497814442691695</v>
      </c>
      <c r="G3725">
        <v>0.26016217310127099</v>
      </c>
      <c r="H3725">
        <v>0.13972269432604101</v>
      </c>
      <c r="I3725">
        <v>9.2858835691781605E-2</v>
      </c>
      <c r="J3725">
        <v>7.6858421716999303E-2</v>
      </c>
      <c r="K3725">
        <v>9.6751114497865096E-2</v>
      </c>
      <c r="L3725">
        <v>655.71502926235496</v>
      </c>
      <c r="M3725">
        <v>13.3138274858273</v>
      </c>
      <c r="N3725">
        <v>49.542885166060699</v>
      </c>
      <c r="O3725">
        <v>48.179362056137201</v>
      </c>
      <c r="P3725">
        <v>-6.6486710754351294E-2</v>
      </c>
      <c r="Q3725">
        <v>3.7760908520601003E-2</v>
      </c>
      <c r="R3725">
        <v>0.99625317036959604</v>
      </c>
      <c r="S3725" t="s">
        <v>10127</v>
      </c>
      <c r="T3725" t="s">
        <v>12802</v>
      </c>
      <c r="U3725" t="s">
        <v>12802</v>
      </c>
      <c r="V3725" t="s">
        <v>12802</v>
      </c>
      <c r="W3725" t="s">
        <v>16474</v>
      </c>
      <c r="X3725">
        <v>4</v>
      </c>
      <c r="Y3725" t="s">
        <v>22710</v>
      </c>
      <c r="Z3725" t="s">
        <v>29043</v>
      </c>
      <c r="AA3725">
        <v>0.45521174669676701</v>
      </c>
      <c r="AB3725" t="str">
        <f>HYPERLINK("Melting_Curves/meltCurve_Q5HYI8_RABL3.pdf", "Melting_Curves/meltCurve_Q5HYI8_RABL3.pdf")</f>
        <v>Melting_Curves/meltCurve_Q5HYI8_RABL3.pdf</v>
      </c>
    </row>
    <row r="3726" spans="1:28" x14ac:dyDescent="0.25">
      <c r="A3726" t="s">
        <v>3730</v>
      </c>
      <c r="B3726">
        <v>0.99542014353169495</v>
      </c>
      <c r="C3726">
        <v>0.71995642028308904</v>
      </c>
      <c r="D3726">
        <v>0.93287556459671395</v>
      </c>
      <c r="E3726">
        <v>0.88550847690370504</v>
      </c>
      <c r="F3726">
        <v>1.13748315353812</v>
      </c>
      <c r="G3726">
        <v>0.72383516332327502</v>
      </c>
      <c r="H3726">
        <v>2.3197199764748602</v>
      </c>
      <c r="I3726">
        <v>1.7239988270181399</v>
      </c>
      <c r="J3726">
        <v>6.2108498543561999E-2</v>
      </c>
      <c r="K3726">
        <v>2.0532619220579602E-2</v>
      </c>
      <c r="L3726">
        <v>15000</v>
      </c>
      <c r="M3726">
        <v>237.02409437382099</v>
      </c>
      <c r="N3726">
        <v>63.294742387153399</v>
      </c>
      <c r="O3726">
        <v>63.280181008226201</v>
      </c>
      <c r="P3726">
        <v>-0.91910919605133901</v>
      </c>
      <c r="Q3726">
        <v>1.8472547409429201E-2</v>
      </c>
      <c r="R3726">
        <v>0.42495203618153898</v>
      </c>
      <c r="S3726" t="s">
        <v>10128</v>
      </c>
      <c r="T3726" t="s">
        <v>12802</v>
      </c>
      <c r="U3726" t="s">
        <v>12802</v>
      </c>
      <c r="V3726" t="s">
        <v>12802</v>
      </c>
      <c r="W3726" t="s">
        <v>16475</v>
      </c>
      <c r="X3726">
        <v>1</v>
      </c>
      <c r="Y3726" t="s">
        <v>22711</v>
      </c>
      <c r="Z3726" t="s">
        <v>29044</v>
      </c>
      <c r="AA3726">
        <v>0.87856580541427576</v>
      </c>
      <c r="AB3726" t="str">
        <f>HYPERLINK("Melting_Curves/meltCurve_Q5HYZ1_WDR46.pdf", "Melting_Curves/meltCurve_Q5HYZ1_WDR46.pdf")</f>
        <v>Melting_Curves/meltCurve_Q5HYZ1_WDR46.pdf</v>
      </c>
    </row>
    <row r="3727" spans="1:28" x14ac:dyDescent="0.25">
      <c r="A3727" t="s">
        <v>3731</v>
      </c>
      <c r="B3727">
        <v>0.99542014353169495</v>
      </c>
      <c r="C3727">
        <v>0.882203483967959</v>
      </c>
      <c r="D3727">
        <v>0.88926961505428403</v>
      </c>
      <c r="E3727">
        <v>0.693043269191292</v>
      </c>
      <c r="F3727">
        <v>0.84557654417023098</v>
      </c>
      <c r="G3727">
        <v>0.63989066968221298</v>
      </c>
      <c r="H3727">
        <v>1.4251857050138099</v>
      </c>
      <c r="I3727">
        <v>1.1012526640484901</v>
      </c>
      <c r="J3727">
        <v>0.27145368421666</v>
      </c>
      <c r="K3727">
        <v>9.5613753432121903E-2</v>
      </c>
      <c r="L3727">
        <v>15000</v>
      </c>
      <c r="M3727">
        <v>235.430590953413</v>
      </c>
      <c r="N3727">
        <v>63.770517781483299</v>
      </c>
      <c r="O3727">
        <v>63.708449965238103</v>
      </c>
      <c r="P3727">
        <v>-0.83554475608383005</v>
      </c>
      <c r="Q3727">
        <v>9.5593149505562705E-2</v>
      </c>
      <c r="R3727">
        <v>0.65472687989010003</v>
      </c>
      <c r="S3727" t="s">
        <v>10129</v>
      </c>
      <c r="T3727" t="s">
        <v>12802</v>
      </c>
      <c r="U3727" t="s">
        <v>12802</v>
      </c>
      <c r="V3727" t="s">
        <v>12802</v>
      </c>
      <c r="W3727" t="s">
        <v>16476</v>
      </c>
      <c r="X3727">
        <v>1</v>
      </c>
      <c r="Y3727" t="s">
        <v>22712</v>
      </c>
      <c r="Z3727" t="s">
        <v>29045</v>
      </c>
      <c r="AA3727">
        <v>0.90102247936810353</v>
      </c>
      <c r="AB3727" t="str">
        <f>HYPERLINK("Melting_Curves/meltCurve_Q5J1K9_ART3.pdf", "Melting_Curves/meltCurve_Q5J1K9_ART3.pdf")</f>
        <v>Melting_Curves/meltCurve_Q5J1K9_ART3.pdf</v>
      </c>
    </row>
    <row r="3728" spans="1:28" x14ac:dyDescent="0.25">
      <c r="A3728" t="s">
        <v>3732</v>
      </c>
      <c r="B3728">
        <v>0.99542014353169495</v>
      </c>
      <c r="C3728">
        <v>0.912327179508852</v>
      </c>
      <c r="D3728">
        <v>0.90287938539943102</v>
      </c>
      <c r="E3728">
        <v>0.848562542180474</v>
      </c>
      <c r="F3728">
        <v>0.71563956954132801</v>
      </c>
      <c r="G3728">
        <v>0.58478144581216296</v>
      </c>
      <c r="H3728">
        <v>0.338673783382205</v>
      </c>
      <c r="I3728">
        <v>0.134009420898486</v>
      </c>
      <c r="J3728">
        <v>3.3984279843324E-2</v>
      </c>
      <c r="K3728">
        <v>2.8042196445272501E-2</v>
      </c>
      <c r="L3728">
        <v>737.94013133342696</v>
      </c>
      <c r="M3728">
        <v>13.6717050313041</v>
      </c>
      <c r="N3728">
        <v>53.975720644653499</v>
      </c>
      <c r="O3728">
        <v>52.860214369748903</v>
      </c>
      <c r="P3728">
        <v>-6.4669099459086193E-2</v>
      </c>
      <c r="Q3728">
        <v>0</v>
      </c>
      <c r="R3728">
        <v>0.97908442718946598</v>
      </c>
      <c r="S3728" t="s">
        <v>10130</v>
      </c>
      <c r="T3728" t="s">
        <v>12802</v>
      </c>
      <c r="U3728" t="s">
        <v>12802</v>
      </c>
      <c r="V3728" t="s">
        <v>12802</v>
      </c>
      <c r="W3728" t="s">
        <v>16477</v>
      </c>
      <c r="X3728">
        <v>32</v>
      </c>
      <c r="Y3728" t="s">
        <v>22713</v>
      </c>
      <c r="Z3728" t="s">
        <v>29046</v>
      </c>
      <c r="AA3728">
        <v>0.58305980933514545</v>
      </c>
      <c r="AB3728" t="str">
        <f>HYPERLINK("Melting_Curves/meltCurve_Q5JP53_TUBB.pdf", "Melting_Curves/meltCurve_Q5JP53_TUBB.pdf")</f>
        <v>Melting_Curves/meltCurve_Q5JP53_TUBB.pdf</v>
      </c>
    </row>
    <row r="3729" spans="1:28" x14ac:dyDescent="0.25">
      <c r="A3729" t="s">
        <v>3733</v>
      </c>
      <c r="B3729">
        <v>0.99542014353169495</v>
      </c>
      <c r="C3729">
        <v>0.97797487770639802</v>
      </c>
      <c r="D3729">
        <v>0.90260582125807798</v>
      </c>
      <c r="E3729">
        <v>0.78918458118425705</v>
      </c>
      <c r="F3729">
        <v>0.56614972258804996</v>
      </c>
      <c r="G3729">
        <v>0.17337070669720001</v>
      </c>
      <c r="H3729">
        <v>7.1275955767406904E-2</v>
      </c>
      <c r="I3729">
        <v>4.79915667690037E-2</v>
      </c>
      <c r="J3729">
        <v>4.8177729486894E-2</v>
      </c>
      <c r="K3729">
        <v>5.0624141604353197E-2</v>
      </c>
      <c r="L3729">
        <v>971.37700804026395</v>
      </c>
      <c r="M3729">
        <v>19.384063151006</v>
      </c>
      <c r="N3729">
        <v>50.213174971480797</v>
      </c>
      <c r="O3729">
        <v>49.587967538163802</v>
      </c>
      <c r="P3729">
        <v>-9.5860519751619397E-2</v>
      </c>
      <c r="Q3729">
        <v>1.9121769350656698E-2</v>
      </c>
      <c r="R3729">
        <v>0.99212257272183602</v>
      </c>
      <c r="S3729" t="s">
        <v>10131</v>
      </c>
      <c r="T3729" t="s">
        <v>12802</v>
      </c>
      <c r="U3729" t="s">
        <v>12802</v>
      </c>
      <c r="V3729" t="s">
        <v>12802</v>
      </c>
      <c r="W3729" t="s">
        <v>16478</v>
      </c>
      <c r="X3729">
        <v>30</v>
      </c>
      <c r="Y3729" t="s">
        <v>22714</v>
      </c>
      <c r="Z3729" t="s">
        <v>29047</v>
      </c>
      <c r="AA3729">
        <v>0.46146532767720022</v>
      </c>
      <c r="AB3729" t="str">
        <f>HYPERLINK("Melting_Curves/meltCurve_Q5JPE7_2_NOMO2.pdf", "Melting_Curves/meltCurve_Q5JPE7_2_NOMO2.pdf")</f>
        <v>Melting_Curves/meltCurve_Q5JPE7_2_NOMO2.pdf</v>
      </c>
    </row>
    <row r="3730" spans="1:28" x14ac:dyDescent="0.25">
      <c r="A3730" t="s">
        <v>3734</v>
      </c>
      <c r="B3730">
        <v>0.99542014353169495</v>
      </c>
      <c r="C3730">
        <v>0.96241020773617902</v>
      </c>
      <c r="D3730">
        <v>0.85655872727642501</v>
      </c>
      <c r="E3730">
        <v>0.52889416766681396</v>
      </c>
      <c r="F3730">
        <v>0.19158051975648099</v>
      </c>
      <c r="G3730">
        <v>0.123599131988226</v>
      </c>
      <c r="H3730">
        <v>0.13167712453271099</v>
      </c>
      <c r="I3730">
        <v>0.11898839149908801</v>
      </c>
      <c r="J3730">
        <v>8.0692592907638597E-2</v>
      </c>
      <c r="K3730">
        <v>0.100335657076288</v>
      </c>
      <c r="L3730">
        <v>1096.4891665907201</v>
      </c>
      <c r="M3730">
        <v>23.716064928820199</v>
      </c>
      <c r="N3730">
        <v>46.669251435776303</v>
      </c>
      <c r="O3730">
        <v>45.909067501085502</v>
      </c>
      <c r="P3730">
        <v>-0.116336436638725</v>
      </c>
      <c r="Q3730">
        <v>9.9208269474494196E-2</v>
      </c>
      <c r="R3730">
        <v>0.99781019542243199</v>
      </c>
      <c r="S3730" t="s">
        <v>10132</v>
      </c>
      <c r="T3730" t="s">
        <v>12802</v>
      </c>
      <c r="U3730" t="s">
        <v>12802</v>
      </c>
      <c r="V3730" t="s">
        <v>12802</v>
      </c>
      <c r="W3730" t="s">
        <v>16479</v>
      </c>
      <c r="X3730">
        <v>8</v>
      </c>
      <c r="Y3730" t="s">
        <v>22715</v>
      </c>
      <c r="Z3730" t="s">
        <v>29048</v>
      </c>
      <c r="AA3730">
        <v>0.38480816897624348</v>
      </c>
      <c r="AB3730" t="str">
        <f>HYPERLINK("Melting_Curves/meltCurve_Q5JPH6_EARS2.pdf", "Melting_Curves/meltCurve_Q5JPH6_EARS2.pdf")</f>
        <v>Melting_Curves/meltCurve_Q5JPH6_EARS2.pdf</v>
      </c>
    </row>
    <row r="3731" spans="1:28" x14ac:dyDescent="0.25">
      <c r="A3731" t="s">
        <v>3735</v>
      </c>
      <c r="B3731">
        <v>0.99542014353169495</v>
      </c>
      <c r="C3731">
        <v>0.88402686601802805</v>
      </c>
      <c r="D3731">
        <v>0.91900526140106797</v>
      </c>
      <c r="E3731">
        <v>0.79412914784655297</v>
      </c>
      <c r="F3731">
        <v>0.60324046584156499</v>
      </c>
      <c r="G3731">
        <v>0.35998154955088102</v>
      </c>
      <c r="H3731">
        <v>0.249410889384481</v>
      </c>
      <c r="I3731">
        <v>0.16511366068893199</v>
      </c>
      <c r="J3731">
        <v>0.16551170442139901</v>
      </c>
      <c r="K3731">
        <v>0.191453154766203</v>
      </c>
      <c r="L3731">
        <v>702.53900184096096</v>
      </c>
      <c r="M3731">
        <v>13.9524225110006</v>
      </c>
      <c r="N3731">
        <v>51.419428950274302</v>
      </c>
      <c r="O3731">
        <v>49.351934847211901</v>
      </c>
      <c r="P3731">
        <v>-6.1803218301398101E-2</v>
      </c>
      <c r="Q3731">
        <v>0.125685893602314</v>
      </c>
      <c r="R3731">
        <v>0.987784752169791</v>
      </c>
      <c r="S3731" t="s">
        <v>10133</v>
      </c>
      <c r="T3731" t="s">
        <v>12802</v>
      </c>
      <c r="U3731" t="s">
        <v>12802</v>
      </c>
      <c r="V3731" t="s">
        <v>12802</v>
      </c>
      <c r="W3731" t="s">
        <v>16480</v>
      </c>
      <c r="X3731">
        <v>10</v>
      </c>
      <c r="Y3731" t="s">
        <v>22023</v>
      </c>
      <c r="Z3731" t="s">
        <v>29049</v>
      </c>
      <c r="AA3731">
        <v>0.53474429659574907</v>
      </c>
      <c r="AB3731" t="str">
        <f>HYPERLINK("Melting_Curves/meltCurve_Q5JR01_EEF1A1.pdf", "Melting_Curves/meltCurve_Q5JR01_EEF1A1.pdf")</f>
        <v>Melting_Curves/meltCurve_Q5JR01_EEF1A1.pdf</v>
      </c>
    </row>
    <row r="3732" spans="1:28" x14ac:dyDescent="0.25">
      <c r="A3732" t="s">
        <v>3736</v>
      </c>
      <c r="B3732">
        <v>0.99542014353169495</v>
      </c>
      <c r="C3732">
        <v>0.90950346897677603</v>
      </c>
      <c r="D3732">
        <v>0.82690802346946102</v>
      </c>
      <c r="E3732">
        <v>0.83693138433868497</v>
      </c>
      <c r="F3732">
        <v>0.68509216015615104</v>
      </c>
      <c r="G3732">
        <v>0.55154504122900905</v>
      </c>
      <c r="H3732">
        <v>0.34914495659917699</v>
      </c>
      <c r="I3732">
        <v>0.25881713142606699</v>
      </c>
      <c r="J3732">
        <v>0.29105109853301198</v>
      </c>
      <c r="K3732">
        <v>0.212062300652677</v>
      </c>
      <c r="L3732">
        <v>442.015594843575</v>
      </c>
      <c r="M3732">
        <v>8.2189610877779309</v>
      </c>
      <c r="N3732">
        <v>54.4130823779306</v>
      </c>
      <c r="O3732">
        <v>50.877860538644804</v>
      </c>
      <c r="P3732">
        <v>-3.8583606105590598E-2</v>
      </c>
      <c r="Q3732">
        <v>4.5598966652566797E-2</v>
      </c>
      <c r="R3732">
        <v>0.97852671600686403</v>
      </c>
      <c r="S3732" t="s">
        <v>10134</v>
      </c>
      <c r="T3732" t="s">
        <v>12802</v>
      </c>
      <c r="U3732" t="s">
        <v>12802</v>
      </c>
      <c r="V3732" t="s">
        <v>12802</v>
      </c>
      <c r="W3732" t="s">
        <v>16481</v>
      </c>
      <c r="X3732">
        <v>11</v>
      </c>
      <c r="Y3732" t="s">
        <v>22716</v>
      </c>
      <c r="Z3732" t="s">
        <v>29050</v>
      </c>
      <c r="AA3732">
        <v>0.59535435207376497</v>
      </c>
      <c r="AB3732" t="str">
        <f>HYPERLINK("Melting_Curves/meltCurve_Q5JR08_RHOC.pdf", "Melting_Curves/meltCurve_Q5JR08_RHOC.pdf")</f>
        <v>Melting_Curves/meltCurve_Q5JR08_RHOC.pdf</v>
      </c>
    </row>
    <row r="3733" spans="1:28" x14ac:dyDescent="0.25">
      <c r="A3733" t="s">
        <v>3737</v>
      </c>
      <c r="B3733">
        <v>0.99542014353169495</v>
      </c>
      <c r="C3733">
        <v>0.99421985729421403</v>
      </c>
      <c r="D3733">
        <v>1.0482307023797199</v>
      </c>
      <c r="E3733">
        <v>0.78604408836042805</v>
      </c>
      <c r="F3733">
        <v>0.45459090287417098</v>
      </c>
      <c r="G3733">
        <v>0.21227667274906101</v>
      </c>
      <c r="H3733">
        <v>0.11227155332224301</v>
      </c>
      <c r="I3733">
        <v>7.3175056784567302E-2</v>
      </c>
      <c r="J3733">
        <v>9.6695608504441796E-2</v>
      </c>
      <c r="K3733">
        <v>0.13072401518222501</v>
      </c>
      <c r="L3733">
        <v>1181.6507664713199</v>
      </c>
      <c r="M3733">
        <v>23.996856499462499</v>
      </c>
      <c r="N3733">
        <v>49.681738676078801</v>
      </c>
      <c r="O3733">
        <v>48.903759560778497</v>
      </c>
      <c r="P3733">
        <v>-0.11093632555059101</v>
      </c>
      <c r="Q3733">
        <v>9.5695305905878006E-2</v>
      </c>
      <c r="R3733">
        <v>0.99432689461430901</v>
      </c>
      <c r="S3733" t="s">
        <v>10135</v>
      </c>
      <c r="T3733" t="s">
        <v>12802</v>
      </c>
      <c r="U3733" t="s">
        <v>12802</v>
      </c>
      <c r="V3733" t="s">
        <v>12802</v>
      </c>
      <c r="W3733" t="s">
        <v>16482</v>
      </c>
      <c r="X3733">
        <v>41</v>
      </c>
      <c r="Y3733" t="s">
        <v>22717</v>
      </c>
      <c r="Z3733" t="s">
        <v>29051</v>
      </c>
      <c r="AA3733">
        <v>0.47319110731179542</v>
      </c>
      <c r="AB3733" t="str">
        <f>HYPERLINK("Melting_Curves/meltCurve_Q5JRA6_MIA3.pdf", "Melting_Curves/meltCurve_Q5JRA6_MIA3.pdf")</f>
        <v>Melting_Curves/meltCurve_Q5JRA6_MIA3.pdf</v>
      </c>
    </row>
    <row r="3734" spans="1:28" x14ac:dyDescent="0.25">
      <c r="A3734" t="s">
        <v>3738</v>
      </c>
      <c r="B3734">
        <v>0.99542014353169495</v>
      </c>
      <c r="C3734">
        <v>0.97278834316507901</v>
      </c>
      <c r="D3734">
        <v>0.75749144500544696</v>
      </c>
      <c r="E3734">
        <v>0.51250069704956502</v>
      </c>
      <c r="F3734">
        <v>0.72343928528187895</v>
      </c>
      <c r="G3734">
        <v>0.43388885788673898</v>
      </c>
      <c r="H3734">
        <v>0.22946592614622899</v>
      </c>
      <c r="I3734">
        <v>0.13166206405057099</v>
      </c>
      <c r="J3734">
        <v>0.15748237046569999</v>
      </c>
      <c r="K3734">
        <v>0.19852196543280601</v>
      </c>
      <c r="L3734">
        <v>403.640584783809</v>
      </c>
      <c r="M3734">
        <v>7.9161212830636103</v>
      </c>
      <c r="N3734">
        <v>50.989691566847597</v>
      </c>
      <c r="O3734">
        <v>48.043660814732299</v>
      </c>
      <c r="P3734">
        <v>-4.1240786044217499E-2</v>
      </c>
      <c r="Q3734">
        <v>0</v>
      </c>
      <c r="R3734">
        <v>0.90912885525128795</v>
      </c>
      <c r="S3734" t="s">
        <v>10136</v>
      </c>
      <c r="T3734" t="s">
        <v>12802</v>
      </c>
      <c r="U3734" t="s">
        <v>12802</v>
      </c>
      <c r="V3734" t="s">
        <v>12802</v>
      </c>
      <c r="W3734" t="s">
        <v>16483</v>
      </c>
      <c r="X3734">
        <v>5</v>
      </c>
      <c r="Y3734" t="s">
        <v>22718</v>
      </c>
      <c r="Z3734" t="s">
        <v>29052</v>
      </c>
      <c r="AA3734">
        <v>0.50138362970153838</v>
      </c>
      <c r="AB3734" t="str">
        <f>HYPERLINK("Melting_Curves/meltCurve_Q5JRG1_NUPL1.pdf", "Melting_Curves/meltCurve_Q5JRG1_NUPL1.pdf")</f>
        <v>Melting_Curves/meltCurve_Q5JRG1_NUPL1.pdf</v>
      </c>
    </row>
    <row r="3735" spans="1:28" x14ac:dyDescent="0.25">
      <c r="A3735" t="s">
        <v>3739</v>
      </c>
      <c r="B3735">
        <v>0.99542014353169495</v>
      </c>
      <c r="C3735">
        <v>1.0472302496628101</v>
      </c>
      <c r="D3735">
        <v>0.98339631881735701</v>
      </c>
      <c r="E3735">
        <v>0.84184289800734802</v>
      </c>
      <c r="F3735">
        <v>0.484137716034649</v>
      </c>
      <c r="G3735">
        <v>0.26047846222910498</v>
      </c>
      <c r="H3735">
        <v>0.12100874999750399</v>
      </c>
      <c r="I3735">
        <v>0.118910028074545</v>
      </c>
      <c r="J3735">
        <v>0.26478323158767603</v>
      </c>
      <c r="K3735">
        <v>0.66613628772038702</v>
      </c>
      <c r="L3735">
        <v>1669.2858577720201</v>
      </c>
      <c r="M3735">
        <v>34.415656131122802</v>
      </c>
      <c r="N3735">
        <v>49.722627448445898</v>
      </c>
      <c r="O3735">
        <v>48.340784346663298</v>
      </c>
      <c r="P3735">
        <v>-0.12726968491005899</v>
      </c>
      <c r="Q3735">
        <v>0.28494243219988202</v>
      </c>
      <c r="R3735">
        <v>0.83597165628129999</v>
      </c>
      <c r="S3735" t="s">
        <v>10137</v>
      </c>
      <c r="T3735" t="s">
        <v>12802</v>
      </c>
      <c r="U3735" t="s">
        <v>12802</v>
      </c>
      <c r="V3735" t="s">
        <v>12802</v>
      </c>
      <c r="W3735" t="s">
        <v>16484</v>
      </c>
      <c r="X3735">
        <v>5</v>
      </c>
      <c r="Y3735" t="s">
        <v>22719</v>
      </c>
      <c r="Z3735" t="s">
        <v>29053</v>
      </c>
      <c r="AA3735">
        <v>0.56238030740236755</v>
      </c>
      <c r="AB3735" t="str">
        <f>HYPERLINK("Melting_Curves/meltCurve_Q5JRI1_SRSF10.pdf", "Melting_Curves/meltCurve_Q5JRI1_SRSF10.pdf")</f>
        <v>Melting_Curves/meltCurve_Q5JRI1_SRSF10.pdf</v>
      </c>
    </row>
    <row r="3736" spans="1:28" x14ac:dyDescent="0.25">
      <c r="A3736" t="s">
        <v>3740</v>
      </c>
      <c r="B3736">
        <v>0.99542014353169495</v>
      </c>
      <c r="C3736">
        <v>1.04583426651224</v>
      </c>
      <c r="D3736">
        <v>0.83542065729024595</v>
      </c>
      <c r="E3736">
        <v>0.85708440083147297</v>
      </c>
      <c r="F3736">
        <v>0.77584121663626104</v>
      </c>
      <c r="G3736">
        <v>0.63851600133696695</v>
      </c>
      <c r="H3736">
        <v>0.54234487314760005</v>
      </c>
      <c r="I3736">
        <v>0.482235146255031</v>
      </c>
      <c r="J3736">
        <v>0.71764569274620504</v>
      </c>
      <c r="K3736">
        <v>0.79740304533154505</v>
      </c>
      <c r="L3736">
        <v>780.08938326651105</v>
      </c>
      <c r="M3736">
        <v>16.7128254918787</v>
      </c>
      <c r="O3736">
        <v>46.023204685639399</v>
      </c>
      <c r="P3736">
        <v>-3.32526488196963E-2</v>
      </c>
      <c r="Q3736">
        <v>0.63374429923164999</v>
      </c>
      <c r="R3736">
        <v>0.70198661564243103</v>
      </c>
      <c r="S3736" t="s">
        <v>10138</v>
      </c>
      <c r="T3736" t="s">
        <v>12802</v>
      </c>
      <c r="U3736" t="s">
        <v>12802</v>
      </c>
      <c r="V3736" t="s">
        <v>12802</v>
      </c>
      <c r="W3736" t="s">
        <v>16485</v>
      </c>
      <c r="X3736">
        <v>2</v>
      </c>
      <c r="Y3736" t="s">
        <v>22720</v>
      </c>
      <c r="Z3736" t="s">
        <v>29054</v>
      </c>
      <c r="AA3736">
        <v>0.75866582204819388</v>
      </c>
      <c r="AB3736" t="str">
        <f>HYPERLINK("Melting_Curves/meltCurve_Q5JRL0_PAGE2B.pdf", "Melting_Curves/meltCurve_Q5JRL0_PAGE2B.pdf")</f>
        <v>Melting_Curves/meltCurve_Q5JRL0_PAGE2B.pdf</v>
      </c>
    </row>
    <row r="3737" spans="1:28" x14ac:dyDescent="0.25">
      <c r="A3737" t="s">
        <v>3741</v>
      </c>
      <c r="B3737">
        <v>0.99542014353169495</v>
      </c>
      <c r="C3737">
        <v>0.98029606259467705</v>
      </c>
      <c r="D3737">
        <v>1.0094082637697099</v>
      </c>
      <c r="E3737">
        <v>0.80380990948928699</v>
      </c>
      <c r="F3737">
        <v>0.51487621554419905</v>
      </c>
      <c r="G3737">
        <v>0.25942803315569202</v>
      </c>
      <c r="H3737">
        <v>0.12365621357348899</v>
      </c>
      <c r="I3737">
        <v>9.1113813099485505E-2</v>
      </c>
      <c r="J3737">
        <v>7.9651726752667407E-2</v>
      </c>
      <c r="K3737">
        <v>8.2064199109091601E-2</v>
      </c>
      <c r="L3737">
        <v>1002.71525953619</v>
      </c>
      <c r="M3737">
        <v>20.070662428069301</v>
      </c>
      <c r="N3737">
        <v>50.337414359959503</v>
      </c>
      <c r="O3737">
        <v>49.471228006478299</v>
      </c>
      <c r="P3737">
        <v>-9.4330985816357293E-2</v>
      </c>
      <c r="Q3737">
        <v>6.9981913291297895E-2</v>
      </c>
      <c r="R3737">
        <v>0.99819350580698896</v>
      </c>
      <c r="S3737" t="s">
        <v>10139</v>
      </c>
      <c r="T3737" t="s">
        <v>12802</v>
      </c>
      <c r="U3737" t="s">
        <v>12802</v>
      </c>
      <c r="V3737" t="s">
        <v>12802</v>
      </c>
      <c r="W3737" t="s">
        <v>16486</v>
      </c>
      <c r="X3737">
        <v>29</v>
      </c>
      <c r="Y3737" t="s">
        <v>22721</v>
      </c>
      <c r="Z3737" t="s">
        <v>29055</v>
      </c>
      <c r="AA3737">
        <v>0.48389967145355173</v>
      </c>
      <c r="AB3737" t="str">
        <f>HYPERLINK("Melting_Curves/meltCurve_Q5JRX3_PITRM1.pdf", "Melting_Curves/meltCurve_Q5JRX3_PITRM1.pdf")</f>
        <v>Melting_Curves/meltCurve_Q5JRX3_PITRM1.pdf</v>
      </c>
    </row>
    <row r="3738" spans="1:28" x14ac:dyDescent="0.25">
      <c r="A3738" t="s">
        <v>3742</v>
      </c>
      <c r="B3738">
        <v>0.99542014353169495</v>
      </c>
      <c r="C3738">
        <v>0.95196957019193995</v>
      </c>
      <c r="D3738">
        <v>0.889744846914994</v>
      </c>
      <c r="E3738">
        <v>0.87880847218106595</v>
      </c>
      <c r="F3738">
        <v>0.707950643443918</v>
      </c>
      <c r="G3738">
        <v>0.62380832605671699</v>
      </c>
      <c r="H3738">
        <v>0.78792937512003802</v>
      </c>
      <c r="I3738">
        <v>0.84356886160310296</v>
      </c>
      <c r="J3738">
        <v>1.3124075137884099</v>
      </c>
      <c r="K3738">
        <v>1.4325159876784499</v>
      </c>
      <c r="L3738">
        <v>15000</v>
      </c>
      <c r="M3738">
        <v>234.96499808536001</v>
      </c>
      <c r="O3738">
        <v>63.834670981619198</v>
      </c>
      <c r="P3738">
        <v>0.39801794960125397</v>
      </c>
      <c r="Q3738">
        <v>1.4325298664374999</v>
      </c>
      <c r="R3738">
        <v>0.43592965312103199</v>
      </c>
      <c r="S3738" t="s">
        <v>10140</v>
      </c>
      <c r="T3738" t="s">
        <v>12802</v>
      </c>
      <c r="U3738" t="s">
        <v>12802</v>
      </c>
      <c r="V3738" t="s">
        <v>12802</v>
      </c>
      <c r="W3738" t="s">
        <v>16487</v>
      </c>
      <c r="X3738">
        <v>3</v>
      </c>
      <c r="Y3738" t="s">
        <v>22722</v>
      </c>
      <c r="Z3738" t="s">
        <v>29056</v>
      </c>
      <c r="AA3738">
        <v>1.0455151722786911</v>
      </c>
      <c r="AB3738" t="str">
        <f>HYPERLINK("Melting_Curves/meltCurve_Q5JS54_PSMG4.pdf", "Melting_Curves/meltCurve_Q5JS54_PSMG4.pdf")</f>
        <v>Melting_Curves/meltCurve_Q5JS54_PSMG4.pdf</v>
      </c>
    </row>
    <row r="3739" spans="1:28" x14ac:dyDescent="0.25">
      <c r="A3739" t="s">
        <v>3743</v>
      </c>
      <c r="B3739">
        <v>0.99542014353169495</v>
      </c>
      <c r="C3739">
        <v>1.00178475937643</v>
      </c>
      <c r="D3739">
        <v>0.98622879832246302</v>
      </c>
      <c r="E3739">
        <v>0.98117565764916104</v>
      </c>
      <c r="F3739">
        <v>0.81892445051150498</v>
      </c>
      <c r="G3739">
        <v>0.63965022645946901</v>
      </c>
      <c r="H3739">
        <v>0.32914730731342601</v>
      </c>
      <c r="I3739">
        <v>0.11758596555047</v>
      </c>
      <c r="J3739">
        <v>0.10201087909935599</v>
      </c>
      <c r="K3739">
        <v>0.110433782050659</v>
      </c>
      <c r="L3739">
        <v>1076.9457853382301</v>
      </c>
      <c r="M3739">
        <v>19.6784639821281</v>
      </c>
      <c r="N3739">
        <v>55.043291678416701</v>
      </c>
      <c r="O3739">
        <v>54.171369950970799</v>
      </c>
      <c r="P3739">
        <v>-8.5965807354301205E-2</v>
      </c>
      <c r="Q3739">
        <v>5.3437551386223997E-2</v>
      </c>
      <c r="R3739">
        <v>0.99555077679026605</v>
      </c>
      <c r="S3739" t="s">
        <v>10141</v>
      </c>
      <c r="T3739" t="s">
        <v>12802</v>
      </c>
      <c r="U3739" t="s">
        <v>12802</v>
      </c>
      <c r="V3739" t="s">
        <v>12802</v>
      </c>
      <c r="W3739" t="s">
        <v>16488</v>
      </c>
      <c r="X3739">
        <v>36</v>
      </c>
      <c r="Y3739" t="s">
        <v>22723</v>
      </c>
      <c r="Z3739" t="s">
        <v>29057</v>
      </c>
      <c r="AA3739">
        <v>0.62392655539698905</v>
      </c>
      <c r="AB3739" t="str">
        <f>HYPERLINK("Melting_Curves/meltCurve_Q5JSH3_2_WDR44.pdf", "Melting_Curves/meltCurve_Q5JSH3_2_WDR44.pdf")</f>
        <v>Melting_Curves/meltCurve_Q5JSH3_2_WDR44.pdf</v>
      </c>
    </row>
    <row r="3740" spans="1:28" x14ac:dyDescent="0.25">
      <c r="A3740" t="s">
        <v>3744</v>
      </c>
      <c r="B3740">
        <v>0.99542014353169495</v>
      </c>
      <c r="C3740">
        <v>1.0609287910169001</v>
      </c>
      <c r="D3740">
        <v>0.81125162281737795</v>
      </c>
      <c r="E3740">
        <v>0.789047176724329</v>
      </c>
      <c r="F3740">
        <v>0.64824746235810504</v>
      </c>
      <c r="G3740">
        <v>0.59565299807953498</v>
      </c>
      <c r="H3740">
        <v>0.468381414181467</v>
      </c>
      <c r="I3740">
        <v>0.49488661047673099</v>
      </c>
      <c r="J3740">
        <v>0.92321701165565495</v>
      </c>
      <c r="K3740">
        <v>0.91623721987305096</v>
      </c>
      <c r="L3740">
        <v>1367.78217473618</v>
      </c>
      <c r="M3740">
        <v>31.628231434918</v>
      </c>
      <c r="O3740">
        <v>43.073830466707399</v>
      </c>
      <c r="P3740">
        <v>-5.8191931636295602E-2</v>
      </c>
      <c r="Q3740">
        <v>0.68300014264916598</v>
      </c>
      <c r="R3740">
        <v>0.44860629660732498</v>
      </c>
      <c r="S3740" t="s">
        <v>10142</v>
      </c>
      <c r="T3740" t="s">
        <v>12802</v>
      </c>
      <c r="U3740" t="s">
        <v>12802</v>
      </c>
      <c r="V3740" t="s">
        <v>12802</v>
      </c>
      <c r="W3740" t="s">
        <v>16489</v>
      </c>
      <c r="X3740">
        <v>4</v>
      </c>
      <c r="Y3740" t="s">
        <v>22724</v>
      </c>
      <c r="Z3740" t="s">
        <v>29058</v>
      </c>
      <c r="AA3740">
        <v>0.75056726153946629</v>
      </c>
      <c r="AB3740" t="str">
        <f>HYPERLINK("Melting_Curves/meltCurve_Q5JSK7_HMGN5.pdf", "Melting_Curves/meltCurve_Q5JSK7_HMGN5.pdf")</f>
        <v>Melting_Curves/meltCurve_Q5JSK7_HMGN5.pdf</v>
      </c>
    </row>
    <row r="3741" spans="1:28" x14ac:dyDescent="0.25">
      <c r="A3741" t="s">
        <v>3745</v>
      </c>
      <c r="B3741">
        <v>0.99542014353169495</v>
      </c>
      <c r="C3741">
        <v>1.0139032746461401</v>
      </c>
      <c r="D3741">
        <v>1.0246404926430801</v>
      </c>
      <c r="E3741">
        <v>0.82272018367654698</v>
      </c>
      <c r="F3741">
        <v>0.75523163804146398</v>
      </c>
      <c r="G3741">
        <v>0.61114902730869702</v>
      </c>
      <c r="H3741">
        <v>0.38572991980322902</v>
      </c>
      <c r="I3741">
        <v>0.38566961118559501</v>
      </c>
      <c r="J3741">
        <v>0.57462650708483498</v>
      </c>
      <c r="K3741">
        <v>0.82618862964479001</v>
      </c>
      <c r="L3741">
        <v>1158.85884341269</v>
      </c>
      <c r="M3741">
        <v>23.8431077456517</v>
      </c>
      <c r="O3741">
        <v>48.265491329014999</v>
      </c>
      <c r="P3741">
        <v>-5.54003606421926E-2</v>
      </c>
      <c r="Q3741">
        <v>0.55142052110651396</v>
      </c>
      <c r="R3741">
        <v>0.72623052702318502</v>
      </c>
      <c r="S3741" t="s">
        <v>10143</v>
      </c>
      <c r="T3741" t="s">
        <v>12802</v>
      </c>
      <c r="U3741" t="s">
        <v>12802</v>
      </c>
      <c r="V3741" t="s">
        <v>12802</v>
      </c>
      <c r="W3741" t="s">
        <v>16490</v>
      </c>
      <c r="X3741">
        <v>15</v>
      </c>
      <c r="Y3741" t="s">
        <v>22725</v>
      </c>
      <c r="Z3741" t="s">
        <v>29059</v>
      </c>
      <c r="AA3741">
        <v>0.72915254656323425</v>
      </c>
      <c r="AB3741" t="str">
        <f>HYPERLINK("Melting_Curves/meltCurve_Q5JSZ5_PRRC2B.pdf", "Melting_Curves/meltCurve_Q5JSZ5_PRRC2B.pdf")</f>
        <v>Melting_Curves/meltCurve_Q5JSZ5_PRRC2B.pdf</v>
      </c>
    </row>
    <row r="3742" spans="1:28" x14ac:dyDescent="0.25">
      <c r="A3742" t="s">
        <v>3746</v>
      </c>
      <c r="B3742">
        <v>0.99542014353169495</v>
      </c>
      <c r="C3742">
        <v>0.98540943261754899</v>
      </c>
      <c r="D3742">
        <v>0.93399050354033797</v>
      </c>
      <c r="E3742">
        <v>0.77491474484668199</v>
      </c>
      <c r="F3742">
        <v>0.42181152538831801</v>
      </c>
      <c r="G3742">
        <v>0.26542929551581301</v>
      </c>
      <c r="H3742">
        <v>0.167431766133459</v>
      </c>
      <c r="I3742">
        <v>0.13782335352974701</v>
      </c>
      <c r="J3742">
        <v>0.18019786193894499</v>
      </c>
      <c r="K3742">
        <v>0.25273769145631703</v>
      </c>
      <c r="L3742">
        <v>1142.8513108984</v>
      </c>
      <c r="M3742">
        <v>23.614197190894501</v>
      </c>
      <c r="N3742">
        <v>49.332231375410302</v>
      </c>
      <c r="O3742">
        <v>48.0537224240923</v>
      </c>
      <c r="P3742">
        <v>-0.100682639740202</v>
      </c>
      <c r="Q3742">
        <v>0.18047706597152399</v>
      </c>
      <c r="R3742">
        <v>0.99204042833205797</v>
      </c>
      <c r="S3742" t="s">
        <v>10144</v>
      </c>
      <c r="T3742" t="s">
        <v>12802</v>
      </c>
      <c r="U3742" t="s">
        <v>12802</v>
      </c>
      <c r="V3742" t="s">
        <v>12802</v>
      </c>
      <c r="W3742" t="s">
        <v>16491</v>
      </c>
      <c r="X3742">
        <v>6</v>
      </c>
      <c r="Y3742" t="s">
        <v>22726</v>
      </c>
      <c r="Z3742" t="s">
        <v>29060</v>
      </c>
      <c r="AA3742">
        <v>0.49966030817328833</v>
      </c>
      <c r="AB3742" t="str">
        <f>HYPERLINK("Melting_Curves/meltCurve_Q5JTD0_2_TJAP1.pdf", "Melting_Curves/meltCurve_Q5JTD0_2_TJAP1.pdf")</f>
        <v>Melting_Curves/meltCurve_Q5JTD0_2_TJAP1.pdf</v>
      </c>
    </row>
    <row r="3743" spans="1:28" x14ac:dyDescent="0.25">
      <c r="A3743" t="s">
        <v>3747</v>
      </c>
      <c r="B3743">
        <v>0.99542014353169495</v>
      </c>
      <c r="C3743">
        <v>1.1472306809713799</v>
      </c>
      <c r="D3743">
        <v>1.00992896751946</v>
      </c>
      <c r="E3743">
        <v>0.42527387320512799</v>
      </c>
      <c r="F3743">
        <v>0.196885519403975</v>
      </c>
      <c r="G3743">
        <v>9.6322977732423307E-2</v>
      </c>
      <c r="H3743">
        <v>8.3059962803581397E-2</v>
      </c>
      <c r="I3743">
        <v>4.9504529187433699E-2</v>
      </c>
      <c r="J3743">
        <v>5.9694176584805997E-2</v>
      </c>
      <c r="K3743">
        <v>5.2394652198899098E-2</v>
      </c>
      <c r="L3743">
        <v>2009.0825771206901</v>
      </c>
      <c r="M3743">
        <v>43.546166212492899</v>
      </c>
      <c r="N3743">
        <v>46.329917067862603</v>
      </c>
      <c r="O3743">
        <v>46.039861151088502</v>
      </c>
      <c r="P3743">
        <v>-0.216839889540384</v>
      </c>
      <c r="Q3743">
        <v>8.2971977442261702E-2</v>
      </c>
      <c r="R3743">
        <v>0.98139476168470896</v>
      </c>
      <c r="S3743" t="s">
        <v>10145</v>
      </c>
      <c r="T3743" t="s">
        <v>12802</v>
      </c>
      <c r="U3743" t="s">
        <v>12802</v>
      </c>
      <c r="V3743" t="s">
        <v>12802</v>
      </c>
      <c r="W3743" t="s">
        <v>16492</v>
      </c>
      <c r="X3743">
        <v>7</v>
      </c>
      <c r="Y3743" t="s">
        <v>22727</v>
      </c>
      <c r="Z3743" t="s">
        <v>29061</v>
      </c>
      <c r="AA3743">
        <v>0.36472851293613051</v>
      </c>
      <c r="AB3743" t="str">
        <f>HYPERLINK("Melting_Curves/meltCurve_Q5JTH9_2_RRP12.pdf", "Melting_Curves/meltCurve_Q5JTH9_2_RRP12.pdf")</f>
        <v>Melting_Curves/meltCurve_Q5JTH9_2_RRP12.pdf</v>
      </c>
    </row>
    <row r="3744" spans="1:28" x14ac:dyDescent="0.25">
      <c r="A3744" t="s">
        <v>3748</v>
      </c>
      <c r="B3744">
        <v>0.99542014353169495</v>
      </c>
      <c r="C3744">
        <v>1.02795601573615</v>
      </c>
      <c r="D3744">
        <v>0.98454355694181395</v>
      </c>
      <c r="E3744">
        <v>0.965043001917118</v>
      </c>
      <c r="F3744">
        <v>0.79284249482889801</v>
      </c>
      <c r="G3744">
        <v>0.68558723458767401</v>
      </c>
      <c r="H3744">
        <v>0.50765595745852499</v>
      </c>
      <c r="I3744">
        <v>0.50245371913595605</v>
      </c>
      <c r="J3744">
        <v>0.742331082221098</v>
      </c>
      <c r="K3744">
        <v>0.94878421426607895</v>
      </c>
      <c r="L3744">
        <v>2103.19562328551</v>
      </c>
      <c r="M3744">
        <v>42.548034068004903</v>
      </c>
      <c r="O3744">
        <v>49.322268509067598</v>
      </c>
      <c r="P3744">
        <v>-6.9900752696960694E-2</v>
      </c>
      <c r="Q3744">
        <v>0.67588085161759903</v>
      </c>
      <c r="R3744">
        <v>0.61626603244310696</v>
      </c>
      <c r="S3744" t="s">
        <v>10146</v>
      </c>
      <c r="T3744" t="s">
        <v>12802</v>
      </c>
      <c r="U3744" t="s">
        <v>12802</v>
      </c>
      <c r="V3744" t="s">
        <v>12802</v>
      </c>
      <c r="W3744" t="s">
        <v>16493</v>
      </c>
      <c r="X3744">
        <v>9</v>
      </c>
      <c r="Y3744" t="s">
        <v>22728</v>
      </c>
      <c r="Z3744" t="s">
        <v>29062</v>
      </c>
      <c r="AA3744">
        <v>0.81116368339603606</v>
      </c>
      <c r="AB3744" t="str">
        <f>HYPERLINK("Melting_Curves/meltCurve_Q5JTJ3_3_COA6.pdf", "Melting_Curves/meltCurve_Q5JTJ3_3_COA6.pdf")</f>
        <v>Melting_Curves/meltCurve_Q5JTJ3_3_COA6.pdf</v>
      </c>
    </row>
    <row r="3745" spans="1:28" x14ac:dyDescent="0.25">
      <c r="A3745" t="s">
        <v>3749</v>
      </c>
      <c r="B3745">
        <v>0.99542014353169495</v>
      </c>
      <c r="C3745">
        <v>0.92927206529055695</v>
      </c>
      <c r="D3745">
        <v>0.76597515404166305</v>
      </c>
      <c r="E3745">
        <v>0.46774547493192098</v>
      </c>
      <c r="F3745">
        <v>0.239403075352912</v>
      </c>
      <c r="G3745">
        <v>0.13824738477221299</v>
      </c>
      <c r="H3745">
        <v>8.1882418830180298E-2</v>
      </c>
      <c r="I3745">
        <v>5.0435493198607503E-2</v>
      </c>
      <c r="J3745">
        <v>3.6528332893733702E-2</v>
      </c>
      <c r="K3745">
        <v>4.7881300519140801E-2</v>
      </c>
      <c r="L3745">
        <v>737.13342280093298</v>
      </c>
      <c r="M3745">
        <v>16.0061743252915</v>
      </c>
      <c r="N3745">
        <v>46.279724139900402</v>
      </c>
      <c r="O3745">
        <v>45.352207817236099</v>
      </c>
      <c r="P3745">
        <v>-8.4913014460941294E-2</v>
      </c>
      <c r="Q3745">
        <v>3.7698526717967799E-2</v>
      </c>
      <c r="R3745">
        <v>0.99951760487497598</v>
      </c>
      <c r="S3745" t="s">
        <v>10147</v>
      </c>
      <c r="T3745" t="s">
        <v>12802</v>
      </c>
      <c r="U3745" t="s">
        <v>12802</v>
      </c>
      <c r="V3745" t="s">
        <v>12802</v>
      </c>
      <c r="W3745" t="s">
        <v>16494</v>
      </c>
      <c r="X3745">
        <v>5</v>
      </c>
      <c r="Y3745" t="s">
        <v>22729</v>
      </c>
      <c r="Z3745" t="s">
        <v>29063</v>
      </c>
      <c r="AA3745">
        <v>0.34766617387043047</v>
      </c>
      <c r="AB3745" t="str">
        <f>HYPERLINK("Melting_Curves/meltCurve_Q5JTV1_GMEB2.pdf", "Melting_Curves/meltCurve_Q5JTV1_GMEB2.pdf")</f>
        <v>Melting_Curves/meltCurve_Q5JTV1_GMEB2.pdf</v>
      </c>
    </row>
    <row r="3746" spans="1:28" x14ac:dyDescent="0.25">
      <c r="A3746" t="s">
        <v>3750</v>
      </c>
      <c r="B3746">
        <v>0.99542014353169495</v>
      </c>
      <c r="C3746">
        <v>0.94744288144727995</v>
      </c>
      <c r="D3746">
        <v>0.93230191075128699</v>
      </c>
      <c r="E3746">
        <v>0.85671128306161304</v>
      </c>
      <c r="F3746">
        <v>0.73905910470236302</v>
      </c>
      <c r="G3746">
        <v>0.50317962492435397</v>
      </c>
      <c r="H3746">
        <v>0.25983020583332</v>
      </c>
      <c r="I3746">
        <v>0.103045996601429</v>
      </c>
      <c r="J3746">
        <v>7.2048220780027802E-2</v>
      </c>
      <c r="K3746">
        <v>8.0795204420896202E-2</v>
      </c>
      <c r="L3746">
        <v>768.34149651118003</v>
      </c>
      <c r="M3746">
        <v>14.3784659739625</v>
      </c>
      <c r="N3746">
        <v>53.436940113759199</v>
      </c>
      <c r="O3746">
        <v>52.4352120141846</v>
      </c>
      <c r="P3746">
        <v>-6.8561658288224706E-2</v>
      </c>
      <c r="Q3746">
        <v>0</v>
      </c>
      <c r="R3746">
        <v>0.99359659807454503</v>
      </c>
      <c r="S3746" t="s">
        <v>10148</v>
      </c>
      <c r="T3746" t="s">
        <v>12802</v>
      </c>
      <c r="U3746" t="s">
        <v>12802</v>
      </c>
      <c r="V3746" t="s">
        <v>12802</v>
      </c>
      <c r="W3746" t="s">
        <v>13920</v>
      </c>
      <c r="X3746">
        <v>15</v>
      </c>
      <c r="Y3746" t="s">
        <v>20236</v>
      </c>
      <c r="Z3746" t="s">
        <v>29064</v>
      </c>
      <c r="AA3746">
        <v>0.56568134886856358</v>
      </c>
      <c r="AB3746" t="str">
        <f>HYPERLINK("Melting_Curves/meltCurve_Q5JTV8_TOR1AIP1.pdf", "Melting_Curves/meltCurve_Q5JTV8_TOR1AIP1.pdf")</f>
        <v>Melting_Curves/meltCurve_Q5JTV8_TOR1AIP1.pdf</v>
      </c>
    </row>
    <row r="3747" spans="1:28" x14ac:dyDescent="0.25">
      <c r="A3747" t="s">
        <v>3751</v>
      </c>
      <c r="B3747">
        <v>0.99542014353169495</v>
      </c>
      <c r="C3747">
        <v>0.959828214946849</v>
      </c>
      <c r="D3747">
        <v>0.89374947933543603</v>
      </c>
      <c r="E3747">
        <v>0.66694564152160996</v>
      </c>
      <c r="F3747">
        <v>0.31027120215322201</v>
      </c>
      <c r="G3747">
        <v>9.8685849124504496E-2</v>
      </c>
      <c r="H3747">
        <v>8.2205293377167296E-2</v>
      </c>
      <c r="I3747">
        <v>6.2868769413076106E-2</v>
      </c>
      <c r="J3747">
        <v>6.4628151267382E-2</v>
      </c>
      <c r="K3747">
        <v>6.9536478732734802E-2</v>
      </c>
      <c r="L3747">
        <v>1017.95111176722</v>
      </c>
      <c r="M3747">
        <v>21.303826715588698</v>
      </c>
      <c r="N3747">
        <v>48.037760958338602</v>
      </c>
      <c r="O3747">
        <v>47.367502828400802</v>
      </c>
      <c r="P3747">
        <v>-0.10642557571014701</v>
      </c>
      <c r="Q3747">
        <v>5.3506020792402201E-2</v>
      </c>
      <c r="R3747">
        <v>0.99796358708317601</v>
      </c>
      <c r="S3747" t="s">
        <v>10149</v>
      </c>
      <c r="T3747" t="s">
        <v>12802</v>
      </c>
      <c r="U3747" t="s">
        <v>12802</v>
      </c>
      <c r="V3747" t="s">
        <v>12802</v>
      </c>
      <c r="W3747" t="s">
        <v>16495</v>
      </c>
      <c r="X3747">
        <v>26</v>
      </c>
      <c r="Y3747" t="s">
        <v>22730</v>
      </c>
      <c r="Z3747" t="s">
        <v>29065</v>
      </c>
      <c r="AA3747">
        <v>0.40469945260472878</v>
      </c>
      <c r="AB3747" t="str">
        <f>HYPERLINK("Melting_Curves/meltCurve_Q5JTZ9_AARS2.pdf", "Melting_Curves/meltCurve_Q5JTZ9_AARS2.pdf")</f>
        <v>Melting_Curves/meltCurve_Q5JTZ9_AARS2.pdf</v>
      </c>
    </row>
    <row r="3748" spans="1:28" x14ac:dyDescent="0.25">
      <c r="A3748" t="s">
        <v>3752</v>
      </c>
      <c r="B3748">
        <v>0.99542014353169495</v>
      </c>
      <c r="C3748">
        <v>0.93125159783456202</v>
      </c>
      <c r="D3748">
        <v>0.85357919163801599</v>
      </c>
      <c r="E3748">
        <v>0.38156532485781802</v>
      </c>
      <c r="F3748">
        <v>0.16438252258582001</v>
      </c>
      <c r="G3748">
        <v>8.6561465997339299E-2</v>
      </c>
      <c r="H3748">
        <v>5.45644564530985E-2</v>
      </c>
      <c r="I3748">
        <v>4.30545263715248E-2</v>
      </c>
      <c r="J3748">
        <v>6.3638915074359495E-2</v>
      </c>
      <c r="K3748">
        <v>6.2280277683903103E-2</v>
      </c>
      <c r="L3748">
        <v>1142.51380790351</v>
      </c>
      <c r="M3748">
        <v>25.075081817294102</v>
      </c>
      <c r="N3748">
        <v>45.791049785561498</v>
      </c>
      <c r="O3748">
        <v>45.276884328959198</v>
      </c>
      <c r="P3748">
        <v>-0.13035264501577601</v>
      </c>
      <c r="Q3748">
        <v>5.85261888574213E-2</v>
      </c>
      <c r="R3748">
        <v>0.99737499915675698</v>
      </c>
      <c r="S3748" t="s">
        <v>10150</v>
      </c>
      <c r="T3748" t="s">
        <v>12802</v>
      </c>
      <c r="U3748" t="s">
        <v>12802</v>
      </c>
      <c r="V3748" t="s">
        <v>12802</v>
      </c>
      <c r="W3748" t="s">
        <v>16496</v>
      </c>
      <c r="X3748">
        <v>7</v>
      </c>
      <c r="Y3748" t="s">
        <v>22731</v>
      </c>
      <c r="Z3748" t="s">
        <v>29066</v>
      </c>
      <c r="AA3748">
        <v>0.33499194178097941</v>
      </c>
      <c r="AB3748" t="str">
        <f>HYPERLINK("Melting_Curves/meltCurve_Q5JU85_3_IQSEC2.pdf", "Melting_Curves/meltCurve_Q5JU85_3_IQSEC2.pdf")</f>
        <v>Melting_Curves/meltCurve_Q5JU85_3_IQSEC2.pdf</v>
      </c>
    </row>
    <row r="3749" spans="1:28" x14ac:dyDescent="0.25">
      <c r="A3749" t="s">
        <v>3753</v>
      </c>
      <c r="B3749">
        <v>0.99542014353169495</v>
      </c>
      <c r="C3749">
        <v>1.01208208416384</v>
      </c>
      <c r="D3749">
        <v>1.00907669774431</v>
      </c>
      <c r="E3749">
        <v>0.612323661747882</v>
      </c>
      <c r="F3749">
        <v>0.279065887857187</v>
      </c>
      <c r="G3749">
        <v>0.17345748005534201</v>
      </c>
      <c r="H3749">
        <v>9.4696213329612894E-2</v>
      </c>
      <c r="I3749">
        <v>4.25763453133901E-2</v>
      </c>
      <c r="J3749">
        <v>7.3146966112428505E-2</v>
      </c>
      <c r="K3749">
        <v>7.7865159693858293E-2</v>
      </c>
      <c r="L3749">
        <v>1192.59026622753</v>
      </c>
      <c r="M3749">
        <v>25.108981802061901</v>
      </c>
      <c r="N3749">
        <v>47.824517772330204</v>
      </c>
      <c r="O3749">
        <v>47.198364483555103</v>
      </c>
      <c r="P3749">
        <v>-0.12248019840542</v>
      </c>
      <c r="Q3749">
        <v>7.9088341777934903E-2</v>
      </c>
      <c r="R3749">
        <v>0.993300960089188</v>
      </c>
      <c r="S3749" t="s">
        <v>10151</v>
      </c>
      <c r="T3749" t="s">
        <v>12802</v>
      </c>
      <c r="U3749" t="s">
        <v>12802</v>
      </c>
      <c r="V3749" t="s">
        <v>12802</v>
      </c>
      <c r="W3749" t="s">
        <v>16497</v>
      </c>
      <c r="X3749">
        <v>2</v>
      </c>
      <c r="Y3749" t="s">
        <v>22732</v>
      </c>
      <c r="Z3749" t="s">
        <v>29067</v>
      </c>
      <c r="AA3749">
        <v>0.40902469282070869</v>
      </c>
      <c r="AB3749" t="str">
        <f>HYPERLINK("Melting_Curves/meltCurve_Q5JUE6_RAPGEF1.pdf", "Melting_Curves/meltCurve_Q5JUE6_RAPGEF1.pdf")</f>
        <v>Melting_Curves/meltCurve_Q5JUE6_RAPGEF1.pdf</v>
      </c>
    </row>
    <row r="3750" spans="1:28" x14ac:dyDescent="0.25">
      <c r="A3750" t="s">
        <v>3754</v>
      </c>
      <c r="B3750">
        <v>0.99542014353169495</v>
      </c>
      <c r="C3750">
        <v>0.95471319171021396</v>
      </c>
      <c r="D3750">
        <v>0.91446975392278596</v>
      </c>
      <c r="E3750">
        <v>0.737036141285488</v>
      </c>
      <c r="F3750">
        <v>0.44792101238772197</v>
      </c>
      <c r="G3750">
        <v>0.21917963584363701</v>
      </c>
      <c r="H3750">
        <v>0.124296419841313</v>
      </c>
      <c r="I3750">
        <v>0.101341391003723</v>
      </c>
      <c r="J3750">
        <v>9.5299354017538307E-2</v>
      </c>
      <c r="K3750">
        <v>8.8629111008020997E-2</v>
      </c>
      <c r="L3750">
        <v>862.63236686082303</v>
      </c>
      <c r="M3750">
        <v>17.617213003374101</v>
      </c>
      <c r="N3750">
        <v>49.408335718139398</v>
      </c>
      <c r="O3750">
        <v>48.347470451294498</v>
      </c>
      <c r="P3750">
        <v>-8.4445856161992794E-2</v>
      </c>
      <c r="Q3750">
        <v>7.3059993323994002E-2</v>
      </c>
      <c r="R3750">
        <v>0.99888734168368298</v>
      </c>
      <c r="S3750" t="s">
        <v>10152</v>
      </c>
      <c r="T3750" t="s">
        <v>12802</v>
      </c>
      <c r="U3750" t="s">
        <v>12802</v>
      </c>
      <c r="V3750" t="s">
        <v>12802</v>
      </c>
      <c r="W3750" t="s">
        <v>16498</v>
      </c>
      <c r="X3750">
        <v>5</v>
      </c>
      <c r="Y3750" t="s">
        <v>22733</v>
      </c>
      <c r="Z3750" t="s">
        <v>29068</v>
      </c>
      <c r="AA3750">
        <v>0.45806571335768359</v>
      </c>
      <c r="AB3750" t="str">
        <f>HYPERLINK("Melting_Curves/meltCurve_Q5JUQ0_FAM78A.pdf", "Melting_Curves/meltCurve_Q5JUQ0_FAM78A.pdf")</f>
        <v>Melting_Curves/meltCurve_Q5JUQ0_FAM78A.pdf</v>
      </c>
    </row>
    <row r="3751" spans="1:28" x14ac:dyDescent="0.25">
      <c r="A3751" t="s">
        <v>3755</v>
      </c>
      <c r="B3751">
        <v>0.99542014353169495</v>
      </c>
      <c r="C3751">
        <v>1.0393086368614299</v>
      </c>
      <c r="D3751">
        <v>0.83790937153674006</v>
      </c>
      <c r="E3751">
        <v>0.545086462054859</v>
      </c>
      <c r="F3751">
        <v>7.2999975525185404E-2</v>
      </c>
      <c r="G3751">
        <v>5.03271878660261E-2</v>
      </c>
      <c r="H3751">
        <v>1.7539968403036298E-2</v>
      </c>
      <c r="I3751">
        <v>1.4642472655994301E-2</v>
      </c>
      <c r="J3751">
        <v>9.4599537561221008E-3</v>
      </c>
      <c r="K3751">
        <v>1.1251586249750201E-2</v>
      </c>
      <c r="L3751">
        <v>1252.0914484261</v>
      </c>
      <c r="M3751">
        <v>26.880816555824499</v>
      </c>
      <c r="N3751">
        <v>46.6024680546452</v>
      </c>
      <c r="O3751">
        <v>46.323871251219202</v>
      </c>
      <c r="P3751">
        <v>-0.14411139894242</v>
      </c>
      <c r="Q3751">
        <v>6.61788818095307E-3</v>
      </c>
      <c r="R3751">
        <v>0.99286323386512698</v>
      </c>
      <c r="S3751" t="s">
        <v>10153</v>
      </c>
      <c r="T3751" t="s">
        <v>12802</v>
      </c>
      <c r="U3751" t="s">
        <v>12802</v>
      </c>
      <c r="V3751" t="s">
        <v>12802</v>
      </c>
      <c r="W3751" t="s">
        <v>16499</v>
      </c>
      <c r="X3751">
        <v>2</v>
      </c>
      <c r="Y3751" t="s">
        <v>22734</v>
      </c>
      <c r="Z3751" t="s">
        <v>29069</v>
      </c>
      <c r="AA3751">
        <v>0.33097535243475668</v>
      </c>
      <c r="AB3751" t="str">
        <f>HYPERLINK("Melting_Curves/meltCurve_Q5JUR7_TEX30.pdf", "Melting_Curves/meltCurve_Q5JUR7_TEX30.pdf")</f>
        <v>Melting_Curves/meltCurve_Q5JUR7_TEX30.pdf</v>
      </c>
    </row>
    <row r="3752" spans="1:28" x14ac:dyDescent="0.25">
      <c r="A3752" t="s">
        <v>3756</v>
      </c>
      <c r="B3752">
        <v>0.99542014353169495</v>
      </c>
      <c r="C3752">
        <v>0.94715105922285803</v>
      </c>
      <c r="D3752">
        <v>0.93920680163536796</v>
      </c>
      <c r="E3752">
        <v>0.96462091831485697</v>
      </c>
      <c r="F3752">
        <v>0.75229226944139405</v>
      </c>
      <c r="G3752">
        <v>0.37853925433484997</v>
      </c>
      <c r="H3752">
        <v>0.16131940445580001</v>
      </c>
      <c r="I3752">
        <v>0.12464803822163199</v>
      </c>
      <c r="J3752">
        <v>8.6150418992994707E-2</v>
      </c>
      <c r="K3752">
        <v>0.108539498821557</v>
      </c>
      <c r="L3752">
        <v>1335.8477948796599</v>
      </c>
      <c r="M3752">
        <v>25.6285757190293</v>
      </c>
      <c r="N3752">
        <v>52.547328847629899</v>
      </c>
      <c r="O3752">
        <v>51.8091301905366</v>
      </c>
      <c r="P3752">
        <v>-0.112119244368724</v>
      </c>
      <c r="Q3752">
        <v>9.3397960326489005E-2</v>
      </c>
      <c r="R3752">
        <v>0.99555020768768598</v>
      </c>
      <c r="S3752" t="s">
        <v>10154</v>
      </c>
      <c r="T3752" t="s">
        <v>12802</v>
      </c>
      <c r="U3752" t="s">
        <v>12802</v>
      </c>
      <c r="V3752" t="s">
        <v>12802</v>
      </c>
      <c r="W3752" t="s">
        <v>16500</v>
      </c>
      <c r="X3752">
        <v>3</v>
      </c>
      <c r="Y3752" t="s">
        <v>22735</v>
      </c>
      <c r="Z3752" t="s">
        <v>29070</v>
      </c>
      <c r="AA3752">
        <v>0.55810901895813159</v>
      </c>
      <c r="AB3752" t="str">
        <f>HYPERLINK("Melting_Curves/meltCurve_Q5JUW8_DLG3.pdf", "Melting_Curves/meltCurve_Q5JUW8_DLG3.pdf")</f>
        <v>Melting_Curves/meltCurve_Q5JUW8_DLG3.pdf</v>
      </c>
    </row>
    <row r="3753" spans="1:28" x14ac:dyDescent="0.25">
      <c r="A3753" t="s">
        <v>3757</v>
      </c>
      <c r="B3753">
        <v>0.99542014353169495</v>
      </c>
      <c r="C3753">
        <v>0.99317203458874204</v>
      </c>
      <c r="D3753">
        <v>1.01958330746593</v>
      </c>
      <c r="E3753">
        <v>0.60863905785695505</v>
      </c>
      <c r="F3753">
        <v>0.198730377437386</v>
      </c>
      <c r="G3753">
        <v>0.102345191098551</v>
      </c>
      <c r="H3753">
        <v>7.7446104765618098E-2</v>
      </c>
      <c r="I3753">
        <v>6.19299381858869E-2</v>
      </c>
      <c r="J3753">
        <v>6.1306319340864501E-2</v>
      </c>
      <c r="K3753">
        <v>6.4178470062339704E-2</v>
      </c>
      <c r="L3753">
        <v>1572.7485564257599</v>
      </c>
      <c r="M3753">
        <v>33.357042564999297</v>
      </c>
      <c r="N3753">
        <v>47.3701837458255</v>
      </c>
      <c r="O3753">
        <v>46.980434801162801</v>
      </c>
      <c r="P3753">
        <v>-0.16470094961741899</v>
      </c>
      <c r="Q3753">
        <v>7.2137273766932603E-2</v>
      </c>
      <c r="R3753">
        <v>0.99748222305365697</v>
      </c>
      <c r="S3753" t="s">
        <v>10155</v>
      </c>
      <c r="T3753" t="s">
        <v>12802</v>
      </c>
      <c r="U3753" t="s">
        <v>12802</v>
      </c>
      <c r="V3753" t="s">
        <v>12802</v>
      </c>
      <c r="W3753" t="s">
        <v>16501</v>
      </c>
      <c r="X3753">
        <v>8</v>
      </c>
      <c r="Y3753" t="s">
        <v>22736</v>
      </c>
      <c r="Z3753" t="s">
        <v>29071</v>
      </c>
      <c r="AA3753">
        <v>0.39039528871438139</v>
      </c>
      <c r="AB3753" t="str">
        <f>HYPERLINK("Melting_Curves/meltCurve_Q5JVF3_3_PCID2.pdf", "Melting_Curves/meltCurve_Q5JVF3_3_PCID2.pdf")</f>
        <v>Melting_Curves/meltCurve_Q5JVF3_3_PCID2.pdf</v>
      </c>
    </row>
    <row r="3754" spans="1:28" x14ac:dyDescent="0.25">
      <c r="A3754" t="s">
        <v>3758</v>
      </c>
      <c r="B3754">
        <v>0.99542014353169495</v>
      </c>
      <c r="C3754">
        <v>0.92100904196965105</v>
      </c>
      <c r="D3754">
        <v>0.73969127051914296</v>
      </c>
      <c r="E3754">
        <v>0.46473318060199198</v>
      </c>
      <c r="F3754">
        <v>0.21049113154021401</v>
      </c>
      <c r="G3754">
        <v>0.108060261031299</v>
      </c>
      <c r="H3754">
        <v>8.3847125202314798E-2</v>
      </c>
      <c r="I3754">
        <v>5.6410290747664703E-2</v>
      </c>
      <c r="J3754">
        <v>5.3434084180612497E-2</v>
      </c>
      <c r="K3754">
        <v>3.1331534998306099E-2</v>
      </c>
      <c r="L3754">
        <v>748.77247724396204</v>
      </c>
      <c r="M3754">
        <v>16.3583397254225</v>
      </c>
      <c r="N3754">
        <v>45.994134439504997</v>
      </c>
      <c r="O3754">
        <v>45.105490141925998</v>
      </c>
      <c r="P3754">
        <v>-8.7246555980146204E-2</v>
      </c>
      <c r="Q3754">
        <v>3.7795790652487699E-2</v>
      </c>
      <c r="R3754">
        <v>0.99916637276757403</v>
      </c>
      <c r="S3754" t="s">
        <v>10156</v>
      </c>
      <c r="T3754" t="s">
        <v>12802</v>
      </c>
      <c r="U3754" t="s">
        <v>12802</v>
      </c>
      <c r="V3754" t="s">
        <v>12802</v>
      </c>
      <c r="W3754" t="s">
        <v>16502</v>
      </c>
      <c r="X3754">
        <v>5</v>
      </c>
      <c r="Y3754" t="s">
        <v>22737</v>
      </c>
      <c r="Z3754" t="s">
        <v>29072</v>
      </c>
      <c r="AA3754">
        <v>0.33804418332468222</v>
      </c>
      <c r="AB3754" t="str">
        <f>HYPERLINK("Melting_Curves/meltCurve_Q5JVZ5_ELMO2.pdf", "Melting_Curves/meltCurve_Q5JVZ5_ELMO2.pdf")</f>
        <v>Melting_Curves/meltCurve_Q5JVZ5_ELMO2.pdf</v>
      </c>
    </row>
    <row r="3755" spans="1:28" x14ac:dyDescent="0.25">
      <c r="A3755" t="s">
        <v>3759</v>
      </c>
      <c r="B3755">
        <v>0.99542014353169495</v>
      </c>
      <c r="C3755">
        <v>0.956363653644701</v>
      </c>
      <c r="D3755">
        <v>0.941430346562797</v>
      </c>
      <c r="E3755">
        <v>0.74000819644454596</v>
      </c>
      <c r="F3755">
        <v>0.64715190233303199</v>
      </c>
      <c r="G3755">
        <v>0.34064207540365199</v>
      </c>
      <c r="H3755">
        <v>0.14664631749447299</v>
      </c>
      <c r="I3755">
        <v>0.10065851584709801</v>
      </c>
      <c r="J3755">
        <v>0.103037350300937</v>
      </c>
      <c r="K3755">
        <v>8.3813473045474901E-2</v>
      </c>
      <c r="L3755">
        <v>723.51078013577603</v>
      </c>
      <c r="M3755">
        <v>14.172317611595499</v>
      </c>
      <c r="N3755">
        <v>51.275263393632798</v>
      </c>
      <c r="O3755">
        <v>50.066823984169297</v>
      </c>
      <c r="P3755">
        <v>-6.8648892042248194E-2</v>
      </c>
      <c r="Q3755">
        <v>3.005339183258E-2</v>
      </c>
      <c r="R3755">
        <v>0.98997061118746499</v>
      </c>
      <c r="S3755" t="s">
        <v>10157</v>
      </c>
      <c r="T3755" t="s">
        <v>12802</v>
      </c>
      <c r="U3755" t="s">
        <v>12802</v>
      </c>
      <c r="V3755" t="s">
        <v>12802</v>
      </c>
      <c r="W3755" t="s">
        <v>16503</v>
      </c>
      <c r="X3755">
        <v>4</v>
      </c>
      <c r="Y3755" t="s">
        <v>22738</v>
      </c>
      <c r="Z3755" t="s">
        <v>29073</v>
      </c>
      <c r="AA3755">
        <v>0.50527389578647497</v>
      </c>
      <c r="AB3755" t="str">
        <f>HYPERLINK("Melting_Curves/meltCurve_Q5JW30_STAU1.pdf", "Melting_Curves/meltCurve_Q5JW30_STAU1.pdf")</f>
        <v>Melting_Curves/meltCurve_Q5JW30_STAU1.pdf</v>
      </c>
    </row>
    <row r="3756" spans="1:28" x14ac:dyDescent="0.25">
      <c r="A3756" t="s">
        <v>3760</v>
      </c>
      <c r="B3756">
        <v>0.99542014353169495</v>
      </c>
      <c r="C3756">
        <v>0.97524389432159497</v>
      </c>
      <c r="D3756">
        <v>0.97160748569342803</v>
      </c>
      <c r="E3756">
        <v>0.89994070578431196</v>
      </c>
      <c r="F3756">
        <v>0.74912036269058502</v>
      </c>
      <c r="G3756">
        <v>0.59784607250208199</v>
      </c>
      <c r="H3756">
        <v>0.54816244874946396</v>
      </c>
      <c r="I3756">
        <v>0.47270286312753801</v>
      </c>
      <c r="J3756">
        <v>0.64487760120924498</v>
      </c>
      <c r="K3756">
        <v>0.604393782531642</v>
      </c>
      <c r="L3756">
        <v>1215.1019652202101</v>
      </c>
      <c r="M3756">
        <v>24.699545796193199</v>
      </c>
      <c r="O3756">
        <v>48.876243669644303</v>
      </c>
      <c r="P3756">
        <v>-5.52049070910322E-2</v>
      </c>
      <c r="Q3756">
        <v>0.56304131503940502</v>
      </c>
      <c r="R3756">
        <v>0.94582971799050197</v>
      </c>
      <c r="S3756" t="s">
        <v>10158</v>
      </c>
      <c r="T3756" t="s">
        <v>12802</v>
      </c>
      <c r="U3756" t="s">
        <v>12802</v>
      </c>
      <c r="V3756" t="s">
        <v>12802</v>
      </c>
      <c r="W3756" t="s">
        <v>16504</v>
      </c>
      <c r="X3756">
        <v>2</v>
      </c>
      <c r="Y3756" t="s">
        <v>22739</v>
      </c>
      <c r="Z3756" t="s">
        <v>29074</v>
      </c>
      <c r="AA3756">
        <v>0.74454464375019369</v>
      </c>
      <c r="AB3756" t="str">
        <f>HYPERLINK("Melting_Curves/meltCurve_Q5JWB9_TMEM230.pdf", "Melting_Curves/meltCurve_Q5JWB9_TMEM230.pdf")</f>
        <v>Melting_Curves/meltCurve_Q5JWB9_TMEM230.pdf</v>
      </c>
    </row>
    <row r="3757" spans="1:28" x14ac:dyDescent="0.25">
      <c r="A3757" t="s">
        <v>3761</v>
      </c>
      <c r="B3757">
        <v>0.99542014353169495</v>
      </c>
      <c r="C3757">
        <v>0.79249858403040396</v>
      </c>
      <c r="D3757">
        <v>0.76275112804663103</v>
      </c>
      <c r="E3757">
        <v>0.49087603851081102</v>
      </c>
      <c r="F3757">
        <v>0.28782420802138298</v>
      </c>
      <c r="G3757">
        <v>0.137520627208714</v>
      </c>
      <c r="H3757">
        <v>7.2115073990562897E-2</v>
      </c>
      <c r="I3757">
        <v>6.3190495560349197E-2</v>
      </c>
      <c r="J3757">
        <v>4.6540615335376997E-2</v>
      </c>
      <c r="K3757">
        <v>4.0948295267963702E-2</v>
      </c>
      <c r="L3757">
        <v>564.80316243988705</v>
      </c>
      <c r="M3757">
        <v>12.196509737544799</v>
      </c>
      <c r="N3757">
        <v>46.353186041308497</v>
      </c>
      <c r="O3757">
        <v>45.116456425042003</v>
      </c>
      <c r="P3757">
        <v>-6.7204524896704504E-2</v>
      </c>
      <c r="Q3757">
        <v>5.8328656040255904E-3</v>
      </c>
      <c r="R3757">
        <v>0.99017386201748203</v>
      </c>
      <c r="S3757" t="s">
        <v>10159</v>
      </c>
      <c r="T3757" t="s">
        <v>12802</v>
      </c>
      <c r="U3757" t="s">
        <v>12802</v>
      </c>
      <c r="V3757" t="s">
        <v>12802</v>
      </c>
      <c r="W3757" t="s">
        <v>16505</v>
      </c>
      <c r="X3757">
        <v>3</v>
      </c>
      <c r="Y3757" t="s">
        <v>22740</v>
      </c>
      <c r="Z3757" t="s">
        <v>29075</v>
      </c>
      <c r="AA3757">
        <v>0.34717752841214722</v>
      </c>
      <c r="AB3757" t="str">
        <f>HYPERLINK("Melting_Curves/meltCurve_Q5JWT2_MED23.pdf", "Melting_Curves/meltCurve_Q5JWT2_MED23.pdf")</f>
        <v>Melting_Curves/meltCurve_Q5JWT2_MED23.pdf</v>
      </c>
    </row>
    <row r="3758" spans="1:28" x14ac:dyDescent="0.25">
      <c r="A3758" t="s">
        <v>3762</v>
      </c>
      <c r="B3758">
        <v>0.99542014353169495</v>
      </c>
      <c r="C3758">
        <v>0.72518652786639204</v>
      </c>
      <c r="D3758">
        <v>0.656506818386841</v>
      </c>
      <c r="E3758">
        <v>0.65207279324007394</v>
      </c>
      <c r="F3758">
        <v>0.43997674320632202</v>
      </c>
      <c r="G3758">
        <v>0.28109161723380799</v>
      </c>
      <c r="H3758">
        <v>8.6321015744273699E-2</v>
      </c>
      <c r="I3758">
        <v>7.9806408688766997E-2</v>
      </c>
      <c r="J3758">
        <v>0.14254334275153899</v>
      </c>
      <c r="K3758">
        <v>0.119867965919284</v>
      </c>
      <c r="L3758">
        <v>399.995691762776</v>
      </c>
      <c r="M3758">
        <v>8.3959566374730201</v>
      </c>
      <c r="N3758">
        <v>47.641470990922002</v>
      </c>
      <c r="O3758">
        <v>45.168808981266601</v>
      </c>
      <c r="P3758">
        <v>-4.6513737650106503E-2</v>
      </c>
      <c r="Q3758">
        <v>0</v>
      </c>
      <c r="R3758">
        <v>0.94478038338132697</v>
      </c>
      <c r="S3758" t="s">
        <v>10160</v>
      </c>
      <c r="T3758" t="s">
        <v>12802</v>
      </c>
      <c r="U3758" t="s">
        <v>12802</v>
      </c>
      <c r="V3758" t="s">
        <v>12802</v>
      </c>
      <c r="W3758" t="s">
        <v>16506</v>
      </c>
      <c r="X3758">
        <v>1</v>
      </c>
      <c r="Y3758" t="s">
        <v>22741</v>
      </c>
      <c r="Z3758" t="s">
        <v>29076</v>
      </c>
      <c r="AA3758">
        <v>0.40577666032576831</v>
      </c>
      <c r="AB3758" t="str">
        <f>HYPERLINK("Melting_Curves/meltCurve_Q5JXC2_MIIP.pdf", "Melting_Curves/meltCurve_Q5JXC2_MIIP.pdf")</f>
        <v>Melting_Curves/meltCurve_Q5JXC2_MIIP.pdf</v>
      </c>
    </row>
    <row r="3759" spans="1:28" x14ac:dyDescent="0.25">
      <c r="A3759" t="s">
        <v>3763</v>
      </c>
      <c r="B3759">
        <v>0.99542014353169495</v>
      </c>
      <c r="C3759">
        <v>1.0004617823755499</v>
      </c>
      <c r="D3759">
        <v>0.99035636658465298</v>
      </c>
      <c r="E3759">
        <v>0.89074753471936197</v>
      </c>
      <c r="F3759">
        <v>0.61445801812665402</v>
      </c>
      <c r="G3759">
        <v>0.34282686646357802</v>
      </c>
      <c r="H3759">
        <v>0.14646787301435099</v>
      </c>
      <c r="I3759">
        <v>9.7669605323534095E-2</v>
      </c>
      <c r="J3759">
        <v>8.6708567533526903E-2</v>
      </c>
      <c r="K3759">
        <v>0.111724277884324</v>
      </c>
      <c r="L3759">
        <v>1059.4018569331899</v>
      </c>
      <c r="M3759">
        <v>20.730730578297301</v>
      </c>
      <c r="N3759">
        <v>51.537035872501797</v>
      </c>
      <c r="O3759">
        <v>50.634578757014197</v>
      </c>
      <c r="P3759">
        <v>-9.4158193564087E-2</v>
      </c>
      <c r="Q3759">
        <v>8.0104629798697993E-2</v>
      </c>
      <c r="R3759">
        <v>0.99873616898962803</v>
      </c>
      <c r="S3759" t="s">
        <v>10161</v>
      </c>
      <c r="T3759" t="s">
        <v>12802</v>
      </c>
      <c r="U3759" t="s">
        <v>12802</v>
      </c>
      <c r="V3759" t="s">
        <v>12802</v>
      </c>
      <c r="W3759" t="s">
        <v>16507</v>
      </c>
      <c r="X3759">
        <v>7</v>
      </c>
      <c r="Y3759" t="s">
        <v>22742</v>
      </c>
      <c r="Z3759" t="s">
        <v>29077</v>
      </c>
      <c r="AA3759">
        <v>0.52387638051933505</v>
      </c>
      <c r="AB3759" t="str">
        <f>HYPERLINK("Melting_Curves/meltCurve_Q5JXX2_MORF4L2.pdf", "Melting_Curves/meltCurve_Q5JXX2_MORF4L2.pdf")</f>
        <v>Melting_Curves/meltCurve_Q5JXX2_MORF4L2.pdf</v>
      </c>
    </row>
    <row r="3760" spans="1:28" x14ac:dyDescent="0.25">
      <c r="A3760" t="s">
        <v>3764</v>
      </c>
      <c r="B3760">
        <v>0.99542014353169495</v>
      </c>
      <c r="C3760">
        <v>0.89543522643082996</v>
      </c>
      <c r="D3760">
        <v>0.711315127514211</v>
      </c>
      <c r="E3760">
        <v>0.46119637858686902</v>
      </c>
      <c r="F3760">
        <v>0.32058448099887998</v>
      </c>
      <c r="G3760">
        <v>0.184484998265003</v>
      </c>
      <c r="H3760">
        <v>0.11352888466571399</v>
      </c>
      <c r="I3760">
        <v>7.8240363675254401E-2</v>
      </c>
      <c r="J3760">
        <v>7.5083114284570596E-2</v>
      </c>
      <c r="K3760">
        <v>7.79182705890724E-2</v>
      </c>
      <c r="L3760">
        <v>598.881743215028</v>
      </c>
      <c r="M3760">
        <v>13.0407938092689</v>
      </c>
      <c r="N3760">
        <v>46.343294642739899</v>
      </c>
      <c r="O3760">
        <v>44.884082880684801</v>
      </c>
      <c r="P3760">
        <v>-6.8603450519298295E-2</v>
      </c>
      <c r="Q3760">
        <v>5.5681669105594397E-2</v>
      </c>
      <c r="R3760">
        <v>0.99715048254196104</v>
      </c>
      <c r="S3760" t="s">
        <v>10162</v>
      </c>
      <c r="T3760" t="s">
        <v>12802</v>
      </c>
      <c r="U3760" t="s">
        <v>12802</v>
      </c>
      <c r="V3760" t="s">
        <v>12802</v>
      </c>
      <c r="W3760" t="s">
        <v>16508</v>
      </c>
      <c r="X3760">
        <v>4</v>
      </c>
      <c r="Y3760" t="s">
        <v>22743</v>
      </c>
      <c r="Z3760" t="s">
        <v>29078</v>
      </c>
      <c r="AA3760">
        <v>0.36484448159864602</v>
      </c>
      <c r="AB3760" t="str">
        <f>HYPERLINK("Melting_Curves/meltCurve_Q5JY65_CRNKL1.pdf", "Melting_Curves/meltCurve_Q5JY65_CRNKL1.pdf")</f>
        <v>Melting_Curves/meltCurve_Q5JY65_CRNKL1.pdf</v>
      </c>
    </row>
    <row r="3761" spans="1:28" x14ac:dyDescent="0.25">
      <c r="A3761" t="s">
        <v>3765</v>
      </c>
      <c r="B3761">
        <v>0.99542014353169495</v>
      </c>
      <c r="C3761">
        <v>0.67427020117030401</v>
      </c>
      <c r="D3761">
        <v>0.397379172906839</v>
      </c>
      <c r="E3761">
        <v>0.30043374738853801</v>
      </c>
      <c r="F3761">
        <v>0.20905479079674899</v>
      </c>
      <c r="G3761">
        <v>0.13628231879776501</v>
      </c>
      <c r="H3761">
        <v>6.4987638563304403E-2</v>
      </c>
      <c r="I3761">
        <v>4.4732411658749097E-2</v>
      </c>
      <c r="J3761">
        <v>8.3797661440191296E-2</v>
      </c>
      <c r="K3761">
        <v>7.0345215430486802E-2</v>
      </c>
      <c r="L3761">
        <v>631.17878541797597</v>
      </c>
      <c r="M3761">
        <v>15.037145874336</v>
      </c>
      <c r="N3761">
        <v>42.4611710067187</v>
      </c>
      <c r="O3761">
        <v>41.253282648492103</v>
      </c>
      <c r="P3761">
        <v>-8.3923800746103394E-2</v>
      </c>
      <c r="Q3761">
        <v>7.9137538691155501E-2</v>
      </c>
      <c r="R3761">
        <v>0.971643463738184</v>
      </c>
      <c r="S3761" t="s">
        <v>10163</v>
      </c>
      <c r="T3761" t="s">
        <v>12802</v>
      </c>
      <c r="U3761" t="s">
        <v>12802</v>
      </c>
      <c r="V3761" t="s">
        <v>12802</v>
      </c>
      <c r="W3761" t="s">
        <v>16509</v>
      </c>
      <c r="X3761">
        <v>1</v>
      </c>
      <c r="Y3761" t="s">
        <v>22744</v>
      </c>
      <c r="Z3761" t="s">
        <v>29079</v>
      </c>
      <c r="AA3761">
        <v>0.25831098007416148</v>
      </c>
      <c r="AB3761" t="str">
        <f>HYPERLINK("Melting_Curves/meltCurve_Q5JYC0_C20orf112.pdf", "Melting_Curves/meltCurve_Q5JYC0_C20orf112.pdf")</f>
        <v>Melting_Curves/meltCurve_Q5JYC0_C20orf112.pdf</v>
      </c>
    </row>
    <row r="3762" spans="1:28" x14ac:dyDescent="0.25">
      <c r="A3762" t="s">
        <v>3766</v>
      </c>
      <c r="B3762">
        <v>0.99542014353169495</v>
      </c>
      <c r="C3762">
        <v>0.94314984122882695</v>
      </c>
      <c r="D3762">
        <v>0.83596346261910304</v>
      </c>
      <c r="E3762">
        <v>0.51421371159456397</v>
      </c>
      <c r="F3762">
        <v>0.172763695760903</v>
      </c>
      <c r="G3762">
        <v>0.100674289834859</v>
      </c>
      <c r="H3762">
        <v>6.7346264506955397E-2</v>
      </c>
      <c r="I3762">
        <v>5.2208604897930701E-2</v>
      </c>
      <c r="J3762">
        <v>5.8094583883176801E-2</v>
      </c>
      <c r="K3762">
        <v>6.1698052757753197E-2</v>
      </c>
      <c r="L3762">
        <v>991.29115747712501</v>
      </c>
      <c r="M3762">
        <v>21.417741020181499</v>
      </c>
      <c r="N3762">
        <v>46.518702053215698</v>
      </c>
      <c r="O3762">
        <v>45.885846490397697</v>
      </c>
      <c r="P3762">
        <v>-0.110708587974869</v>
      </c>
      <c r="Q3762">
        <v>5.1285779141210103E-2</v>
      </c>
      <c r="R3762">
        <v>0.998410637678109</v>
      </c>
      <c r="S3762" t="s">
        <v>10164</v>
      </c>
      <c r="T3762" t="s">
        <v>12802</v>
      </c>
      <c r="U3762" t="s">
        <v>12802</v>
      </c>
      <c r="V3762" t="s">
        <v>12802</v>
      </c>
      <c r="W3762" t="s">
        <v>16510</v>
      </c>
      <c r="X3762">
        <v>20</v>
      </c>
      <c r="Y3762" t="s">
        <v>22745</v>
      </c>
      <c r="Z3762" t="s">
        <v>29080</v>
      </c>
      <c r="AA3762">
        <v>0.35567310508495192</v>
      </c>
      <c r="AB3762" t="str">
        <f>HYPERLINK("Melting_Curves/meltCurve_Q5LJA5_UCHL5.pdf", "Melting_Curves/meltCurve_Q5LJA5_UCHL5.pdf")</f>
        <v>Melting_Curves/meltCurve_Q5LJA5_UCHL5.pdf</v>
      </c>
    </row>
    <row r="3763" spans="1:28" x14ac:dyDescent="0.25">
      <c r="A3763" t="s">
        <v>3767</v>
      </c>
      <c r="B3763">
        <v>0.99542014353169495</v>
      </c>
      <c r="C3763">
        <v>0.96322596962516904</v>
      </c>
      <c r="D3763">
        <v>1.02729210215266</v>
      </c>
      <c r="E3763">
        <v>0.74829146635472399</v>
      </c>
      <c r="F3763">
        <v>0.51599789777789495</v>
      </c>
      <c r="G3763">
        <v>0.29852586878585302</v>
      </c>
      <c r="H3763">
        <v>0.24951692843439699</v>
      </c>
      <c r="I3763">
        <v>0.210279158147545</v>
      </c>
      <c r="J3763">
        <v>0.27043880666574999</v>
      </c>
      <c r="K3763">
        <v>0.40308271038813998</v>
      </c>
      <c r="L3763">
        <v>1217.09253713716</v>
      </c>
      <c r="M3763">
        <v>25.242921628053001</v>
      </c>
      <c r="N3763">
        <v>49.818281694824101</v>
      </c>
      <c r="O3763">
        <v>47.915663295525597</v>
      </c>
      <c r="P3763">
        <v>-9.5082061766538495E-2</v>
      </c>
      <c r="Q3763">
        <v>0.27807705516923298</v>
      </c>
      <c r="R3763">
        <v>0.96883665787070306</v>
      </c>
      <c r="S3763" t="s">
        <v>10165</v>
      </c>
      <c r="T3763" t="s">
        <v>12802</v>
      </c>
      <c r="U3763" t="s">
        <v>12802</v>
      </c>
      <c r="V3763" t="s">
        <v>12802</v>
      </c>
      <c r="W3763" t="s">
        <v>16511</v>
      </c>
      <c r="X3763">
        <v>12</v>
      </c>
      <c r="Y3763" t="s">
        <v>22746</v>
      </c>
      <c r="Z3763" t="s">
        <v>29081</v>
      </c>
      <c r="AA3763">
        <v>0.55401526998011952</v>
      </c>
      <c r="AB3763" t="str">
        <f>HYPERLINK("Melting_Curves/meltCurve_Q5M775_SPECC1.pdf", "Melting_Curves/meltCurve_Q5M775_SPECC1.pdf")</f>
        <v>Melting_Curves/meltCurve_Q5M775_SPECC1.pdf</v>
      </c>
    </row>
    <row r="3764" spans="1:28" x14ac:dyDescent="0.25">
      <c r="A3764" t="s">
        <v>3768</v>
      </c>
      <c r="B3764">
        <v>0.99542014353169495</v>
      </c>
      <c r="C3764">
        <v>1.05436094676518</v>
      </c>
      <c r="D3764">
        <v>0.85398564894585804</v>
      </c>
      <c r="E3764">
        <v>0.53719755931119695</v>
      </c>
      <c r="F3764">
        <v>0.109641173942118</v>
      </c>
      <c r="G3764">
        <v>5.7297143676821698E-2</v>
      </c>
      <c r="H3764">
        <v>4.66747575126292E-2</v>
      </c>
      <c r="I3764">
        <v>6.2937725472884704E-2</v>
      </c>
      <c r="J3764">
        <v>4.1001024515548198E-2</v>
      </c>
      <c r="K3764">
        <v>8.55513272374607E-2</v>
      </c>
      <c r="L3764">
        <v>1320.9689367575199</v>
      </c>
      <c r="M3764">
        <v>28.436008006863101</v>
      </c>
      <c r="N3764">
        <v>46.623138171352103</v>
      </c>
      <c r="O3764">
        <v>46.226170506849499</v>
      </c>
      <c r="P3764">
        <v>-0.14625570432455301</v>
      </c>
      <c r="Q3764">
        <v>4.8982310908274103E-2</v>
      </c>
      <c r="R3764">
        <v>0.99286375115571701</v>
      </c>
      <c r="S3764" t="s">
        <v>10166</v>
      </c>
      <c r="T3764" t="s">
        <v>12802</v>
      </c>
      <c r="U3764" t="s">
        <v>12802</v>
      </c>
      <c r="V3764" t="s">
        <v>12802</v>
      </c>
      <c r="W3764" t="s">
        <v>16512</v>
      </c>
      <c r="X3764">
        <v>7</v>
      </c>
      <c r="Y3764" t="s">
        <v>22747</v>
      </c>
      <c r="Z3764" t="s">
        <v>29082</v>
      </c>
      <c r="AA3764">
        <v>0.35478276255871583</v>
      </c>
      <c r="AB3764" t="str">
        <f>HYPERLINK("Melting_Curves/meltCurve_Q5MIZ7_3_SMEK2.pdf", "Melting_Curves/meltCurve_Q5MIZ7_3_SMEK2.pdf")</f>
        <v>Melting_Curves/meltCurve_Q5MIZ7_3_SMEK2.pdf</v>
      </c>
    </row>
    <row r="3765" spans="1:28" x14ac:dyDescent="0.25">
      <c r="A3765" t="s">
        <v>3769</v>
      </c>
      <c r="B3765">
        <v>0.99542014353169495</v>
      </c>
      <c r="C3765">
        <v>0.96229479873062296</v>
      </c>
      <c r="D3765">
        <v>1.06409562484243</v>
      </c>
      <c r="E3765">
        <v>0.97822705070965099</v>
      </c>
      <c r="F3765">
        <v>0.84650274850034302</v>
      </c>
      <c r="G3765">
        <v>0.62489123333538299</v>
      </c>
      <c r="H3765">
        <v>0.57043121944417496</v>
      </c>
      <c r="I3765">
        <v>0.49348382881117903</v>
      </c>
      <c r="J3765">
        <v>0.53953638730764597</v>
      </c>
      <c r="K3765">
        <v>0.42669960458895201</v>
      </c>
      <c r="L3765">
        <v>1237.19809187539</v>
      </c>
      <c r="M3765">
        <v>23.797908872368499</v>
      </c>
      <c r="N3765">
        <v>61.066380226801201</v>
      </c>
      <c r="O3765">
        <v>51.624762235760301</v>
      </c>
      <c r="P3765">
        <v>-5.929841794422E-2</v>
      </c>
      <c r="Q3765">
        <v>0.48546459509265699</v>
      </c>
      <c r="R3765">
        <v>0.97371137753523895</v>
      </c>
      <c r="S3765" t="s">
        <v>10167</v>
      </c>
      <c r="T3765" t="s">
        <v>12802</v>
      </c>
      <c r="U3765" t="s">
        <v>12802</v>
      </c>
      <c r="V3765" t="s">
        <v>12802</v>
      </c>
      <c r="W3765" t="s">
        <v>16513</v>
      </c>
      <c r="X3765">
        <v>6</v>
      </c>
      <c r="Y3765" t="s">
        <v>22748</v>
      </c>
      <c r="Z3765" t="s">
        <v>29083</v>
      </c>
      <c r="AA3765">
        <v>0.74749645090944838</v>
      </c>
      <c r="AB3765" t="str">
        <f>HYPERLINK("Melting_Curves/meltCurve_Q5MNZ6_WDR45B.pdf", "Melting_Curves/meltCurve_Q5MNZ6_WDR45B.pdf")</f>
        <v>Melting_Curves/meltCurve_Q5MNZ6_WDR45B.pdf</v>
      </c>
    </row>
    <row r="3766" spans="1:28" x14ac:dyDescent="0.25">
      <c r="A3766" t="s">
        <v>3770</v>
      </c>
      <c r="B3766">
        <v>0.99542014353169495</v>
      </c>
      <c r="C3766">
        <v>1.02967760588517</v>
      </c>
      <c r="D3766">
        <v>0.93157451083147702</v>
      </c>
      <c r="E3766">
        <v>0.856334079276175</v>
      </c>
      <c r="F3766">
        <v>0.56496410077140702</v>
      </c>
      <c r="G3766">
        <v>0.18116583796526201</v>
      </c>
      <c r="H3766">
        <v>7.42116977470514E-2</v>
      </c>
      <c r="I3766">
        <v>4.5640512469975199E-2</v>
      </c>
      <c r="J3766">
        <v>4.8933359781558702E-2</v>
      </c>
      <c r="K3766">
        <v>2.84486118770166E-2</v>
      </c>
      <c r="L3766">
        <v>1175.44170220921</v>
      </c>
      <c r="M3766">
        <v>23.319194375130099</v>
      </c>
      <c r="N3766">
        <v>50.524304314650003</v>
      </c>
      <c r="O3766">
        <v>50.040316705558702</v>
      </c>
      <c r="P3766">
        <v>-0.113424370603386</v>
      </c>
      <c r="Q3766">
        <v>2.6434503875697801E-2</v>
      </c>
      <c r="R3766">
        <v>0.99669384221579804</v>
      </c>
      <c r="S3766" t="s">
        <v>10168</v>
      </c>
      <c r="T3766" t="s">
        <v>12802</v>
      </c>
      <c r="U3766" t="s">
        <v>12802</v>
      </c>
      <c r="V3766" t="s">
        <v>12802</v>
      </c>
      <c r="W3766" t="s">
        <v>16514</v>
      </c>
      <c r="X3766">
        <v>5</v>
      </c>
      <c r="Y3766" t="s">
        <v>22749</v>
      </c>
      <c r="Z3766" t="s">
        <v>29084</v>
      </c>
      <c r="AA3766">
        <v>0.47124258830332288</v>
      </c>
      <c r="AB3766" t="str">
        <f>HYPERLINK("Melting_Curves/meltCurve_Q5NDL2_EOGT.pdf", "Melting_Curves/meltCurve_Q5NDL2_EOGT.pdf")</f>
        <v>Melting_Curves/meltCurve_Q5NDL2_EOGT.pdf</v>
      </c>
    </row>
    <row r="3767" spans="1:28" x14ac:dyDescent="0.25">
      <c r="A3767" t="s">
        <v>3771</v>
      </c>
      <c r="B3767">
        <v>0.99542014353169495</v>
      </c>
      <c r="C3767">
        <v>1.00888236129332</v>
      </c>
      <c r="D3767">
        <v>0.98139822100175</v>
      </c>
      <c r="E3767">
        <v>0.88096449907484797</v>
      </c>
      <c r="F3767">
        <v>0.49631707709407202</v>
      </c>
      <c r="G3767">
        <v>0.27313433776215601</v>
      </c>
      <c r="H3767">
        <v>0.175875312280664</v>
      </c>
      <c r="I3767">
        <v>0.111606849135735</v>
      </c>
      <c r="J3767">
        <v>0.118223593199585</v>
      </c>
      <c r="K3767">
        <v>0.13288247853375099</v>
      </c>
      <c r="L3767">
        <v>1203.6204423972199</v>
      </c>
      <c r="M3767">
        <v>24.1670483834531</v>
      </c>
      <c r="N3767">
        <v>50.401822249365303</v>
      </c>
      <c r="O3767">
        <v>49.4669447067009</v>
      </c>
      <c r="P3767">
        <v>-0.106924088005059</v>
      </c>
      <c r="Q3767">
        <v>0.124572223392345</v>
      </c>
      <c r="R3767">
        <v>0.99815458722805706</v>
      </c>
      <c r="S3767" t="s">
        <v>10169</v>
      </c>
      <c r="T3767" t="s">
        <v>12802</v>
      </c>
      <c r="U3767" t="s">
        <v>12802</v>
      </c>
      <c r="V3767" t="s">
        <v>12802</v>
      </c>
      <c r="W3767" t="s">
        <v>16515</v>
      </c>
      <c r="X3767">
        <v>8</v>
      </c>
      <c r="Y3767" t="s">
        <v>22750</v>
      </c>
      <c r="Z3767" t="s">
        <v>29085</v>
      </c>
      <c r="AA3767">
        <v>0.50635955638155283</v>
      </c>
      <c r="AB3767" t="str">
        <f>HYPERLINK("Melting_Curves/meltCurve_Q5QJE6_DNTTIP2.pdf", "Melting_Curves/meltCurve_Q5QJE6_DNTTIP2.pdf")</f>
        <v>Melting_Curves/meltCurve_Q5QJE6_DNTTIP2.pdf</v>
      </c>
    </row>
    <row r="3768" spans="1:28" x14ac:dyDescent="0.25">
      <c r="A3768" t="s">
        <v>3772</v>
      </c>
      <c r="B3768">
        <v>0.99542014353169495</v>
      </c>
      <c r="C3768">
        <v>1.00202515827655</v>
      </c>
      <c r="D3768">
        <v>0.99865341996171497</v>
      </c>
      <c r="E3768">
        <v>0.960160538525617</v>
      </c>
      <c r="F3768">
        <v>0.75717113091712795</v>
      </c>
      <c r="G3768">
        <v>0.56885783175571702</v>
      </c>
      <c r="H3768">
        <v>0.36581141986000798</v>
      </c>
      <c r="I3768">
        <v>0.234422183634207</v>
      </c>
      <c r="J3768">
        <v>0.31441285196061802</v>
      </c>
      <c r="K3768">
        <v>0.39774498723658802</v>
      </c>
      <c r="L3768">
        <v>1181.8686877648399</v>
      </c>
      <c r="M3768">
        <v>22.744462721986999</v>
      </c>
      <c r="N3768">
        <v>54.2378997850196</v>
      </c>
      <c r="O3768">
        <v>51.566219929191497</v>
      </c>
      <c r="P3768">
        <v>-7.6373045460216102E-2</v>
      </c>
      <c r="Q3768">
        <v>0.30740190241412202</v>
      </c>
      <c r="R3768">
        <v>0.97842765156404699</v>
      </c>
      <c r="S3768" t="s">
        <v>10170</v>
      </c>
      <c r="T3768" t="s">
        <v>12802</v>
      </c>
      <c r="U3768" t="s">
        <v>12802</v>
      </c>
      <c r="V3768" t="s">
        <v>12802</v>
      </c>
      <c r="W3768" t="s">
        <v>16516</v>
      </c>
      <c r="X3768">
        <v>15</v>
      </c>
      <c r="Y3768" t="s">
        <v>22751</v>
      </c>
      <c r="Z3768" t="s">
        <v>29086</v>
      </c>
      <c r="AA3768">
        <v>0.66009000740416302</v>
      </c>
      <c r="AB3768" t="str">
        <f>HYPERLINK("Melting_Curves/meltCurve_Q5QNY5_PEX19.pdf", "Melting_Curves/meltCurve_Q5QNY5_PEX19.pdf")</f>
        <v>Melting_Curves/meltCurve_Q5QNY5_PEX19.pdf</v>
      </c>
    </row>
    <row r="3769" spans="1:28" x14ac:dyDescent="0.25">
      <c r="A3769" t="s">
        <v>3773</v>
      </c>
      <c r="B3769">
        <v>0.99542014353169495</v>
      </c>
      <c r="C3769">
        <v>0.86962164975118394</v>
      </c>
      <c r="D3769">
        <v>0.98550870131203105</v>
      </c>
      <c r="E3769">
        <v>0.58335088706611304</v>
      </c>
      <c r="F3769">
        <v>0.46709515537810198</v>
      </c>
      <c r="G3769">
        <v>0.21757622207719901</v>
      </c>
      <c r="H3769">
        <v>0.189483068025948</v>
      </c>
      <c r="I3769">
        <v>0.14781087446444099</v>
      </c>
      <c r="J3769">
        <v>0.13250743635361101</v>
      </c>
      <c r="K3769">
        <v>8.4715055999433894E-2</v>
      </c>
      <c r="L3769">
        <v>730.535648840627</v>
      </c>
      <c r="M3769">
        <v>15.171140941578599</v>
      </c>
      <c r="N3769">
        <v>48.872186916984099</v>
      </c>
      <c r="O3769">
        <v>47.339592381519701</v>
      </c>
      <c r="P3769">
        <v>-7.2110063130080101E-2</v>
      </c>
      <c r="Q3769">
        <v>0.100046330259721</v>
      </c>
      <c r="R3769">
        <v>0.97349942390903699</v>
      </c>
      <c r="S3769" t="s">
        <v>10171</v>
      </c>
      <c r="T3769" t="s">
        <v>12802</v>
      </c>
      <c r="U3769" t="s">
        <v>12802</v>
      </c>
      <c r="V3769" t="s">
        <v>12802</v>
      </c>
      <c r="W3769" t="s">
        <v>16517</v>
      </c>
      <c r="X3769">
        <v>9</v>
      </c>
      <c r="Y3769" t="s">
        <v>22752</v>
      </c>
      <c r="Z3769" t="s">
        <v>29087</v>
      </c>
      <c r="AA3769">
        <v>0.45400141514975911</v>
      </c>
      <c r="AB3769" t="str">
        <f>HYPERLINK("Melting_Curves/meltCurve_Q5QNZ2_ATP5F1.pdf", "Melting_Curves/meltCurve_Q5QNZ2_ATP5F1.pdf")</f>
        <v>Melting_Curves/meltCurve_Q5QNZ2_ATP5F1.pdf</v>
      </c>
    </row>
    <row r="3770" spans="1:28" x14ac:dyDescent="0.25">
      <c r="A3770" t="s">
        <v>3774</v>
      </c>
      <c r="B3770">
        <v>0.99542014353169495</v>
      </c>
      <c r="C3770">
        <v>0.97242360751641899</v>
      </c>
      <c r="D3770">
        <v>0.89554288661801595</v>
      </c>
      <c r="E3770">
        <v>0.73548268960583996</v>
      </c>
      <c r="F3770">
        <v>0.54881904510459101</v>
      </c>
      <c r="G3770">
        <v>0.354139292303774</v>
      </c>
      <c r="H3770">
        <v>0.25200384075645199</v>
      </c>
      <c r="I3770">
        <v>0.21270120329252901</v>
      </c>
      <c r="J3770">
        <v>0.25872227020938898</v>
      </c>
      <c r="K3770">
        <v>0.28436188218835801</v>
      </c>
      <c r="L3770">
        <v>779.73342528493902</v>
      </c>
      <c r="M3770">
        <v>16.044935471930799</v>
      </c>
      <c r="N3770">
        <v>50.497484483085302</v>
      </c>
      <c r="O3770">
        <v>47.8607659055006</v>
      </c>
      <c r="P3770">
        <v>-6.4818820974115204E-2</v>
      </c>
      <c r="Q3770">
        <v>0.226662447464723</v>
      </c>
      <c r="R3770">
        <v>0.99221837208658303</v>
      </c>
      <c r="S3770" t="s">
        <v>10172</v>
      </c>
      <c r="T3770" t="s">
        <v>12802</v>
      </c>
      <c r="U3770" t="s">
        <v>12802</v>
      </c>
      <c r="V3770" t="s">
        <v>12802</v>
      </c>
      <c r="W3770" t="s">
        <v>16518</v>
      </c>
      <c r="X3770">
        <v>4</v>
      </c>
      <c r="Y3770" t="s">
        <v>22753</v>
      </c>
      <c r="Z3770" t="s">
        <v>29088</v>
      </c>
      <c r="AA3770">
        <v>0.54064245210892925</v>
      </c>
      <c r="AB3770" t="str">
        <f>HYPERLINK("Melting_Curves/meltCurve_Q5QP56_BCL2L1.pdf", "Melting_Curves/meltCurve_Q5QP56_BCL2L1.pdf")</f>
        <v>Melting_Curves/meltCurve_Q5QP56_BCL2L1.pdf</v>
      </c>
    </row>
    <row r="3771" spans="1:28" x14ac:dyDescent="0.25">
      <c r="A3771" t="s">
        <v>3775</v>
      </c>
      <c r="B3771">
        <v>0.99542014353169495</v>
      </c>
      <c r="C3771">
        <v>0.93095036875342196</v>
      </c>
      <c r="D3771">
        <v>0.85774576502461397</v>
      </c>
      <c r="E3771">
        <v>0.724409740649545</v>
      </c>
      <c r="F3771">
        <v>0.63649613894394597</v>
      </c>
      <c r="G3771">
        <v>0.41997486447905502</v>
      </c>
      <c r="H3771">
        <v>0.32001351135550499</v>
      </c>
      <c r="I3771">
        <v>0.19911026235920001</v>
      </c>
      <c r="J3771">
        <v>0.14527752407349501</v>
      </c>
      <c r="K3771">
        <v>0.16280125483905</v>
      </c>
      <c r="L3771">
        <v>467.18676104741201</v>
      </c>
      <c r="M3771">
        <v>8.9657412589017493</v>
      </c>
      <c r="N3771">
        <v>52.245896304492398</v>
      </c>
      <c r="O3771">
        <v>49.711450364128901</v>
      </c>
      <c r="P3771">
        <v>-4.45944831685764E-2</v>
      </c>
      <c r="Q3771">
        <v>1.1693854111665399E-2</v>
      </c>
      <c r="R3771">
        <v>0.99411773511026302</v>
      </c>
      <c r="S3771" t="s">
        <v>10173</v>
      </c>
      <c r="T3771" t="s">
        <v>12802</v>
      </c>
      <c r="U3771" t="s">
        <v>12802</v>
      </c>
      <c r="V3771" t="s">
        <v>12802</v>
      </c>
      <c r="W3771" t="s">
        <v>16519</v>
      </c>
      <c r="X3771">
        <v>9</v>
      </c>
      <c r="Y3771" t="s">
        <v>22754</v>
      </c>
      <c r="Z3771" t="s">
        <v>29089</v>
      </c>
      <c r="AA3771">
        <v>0.53636293700067295</v>
      </c>
      <c r="AB3771" t="str">
        <f>HYPERLINK("Melting_Curves/meltCurve_Q5QP82_2_DCAF10.pdf", "Melting_Curves/meltCurve_Q5QP82_2_DCAF10.pdf")</f>
        <v>Melting_Curves/meltCurve_Q5QP82_2_DCAF10.pdf</v>
      </c>
    </row>
    <row r="3772" spans="1:28" x14ac:dyDescent="0.25">
      <c r="A3772" t="s">
        <v>3776</v>
      </c>
      <c r="B3772">
        <v>0.99542014353169495</v>
      </c>
      <c r="C3772">
        <v>0.99296660355511901</v>
      </c>
      <c r="D3772">
        <v>1.0029940801186901</v>
      </c>
      <c r="E3772">
        <v>0.88714018765798297</v>
      </c>
      <c r="F3772">
        <v>0.92793272713075403</v>
      </c>
      <c r="G3772">
        <v>1.32908166951009</v>
      </c>
      <c r="H3772">
        <v>0.929373546611164</v>
      </c>
      <c r="I3772">
        <v>0.44584034033155501</v>
      </c>
      <c r="J3772">
        <v>0.23086298907632199</v>
      </c>
      <c r="K3772">
        <v>0</v>
      </c>
      <c r="L3772">
        <v>2443.2850713581302</v>
      </c>
      <c r="M3772">
        <v>40.191770772255403</v>
      </c>
      <c r="N3772">
        <v>60.907441359249098</v>
      </c>
      <c r="O3772">
        <v>60.640769142249098</v>
      </c>
      <c r="P3772">
        <v>-0.15955285616763601</v>
      </c>
      <c r="Q3772">
        <v>3.7077696211826397E-2</v>
      </c>
      <c r="R3772">
        <v>0.90629389833532104</v>
      </c>
      <c r="S3772" t="s">
        <v>10174</v>
      </c>
      <c r="T3772" t="s">
        <v>12802</v>
      </c>
      <c r="U3772" t="s">
        <v>12802</v>
      </c>
      <c r="V3772" t="s">
        <v>12802</v>
      </c>
      <c r="W3772" t="s">
        <v>16520</v>
      </c>
      <c r="X3772">
        <v>1</v>
      </c>
      <c r="Y3772" t="s">
        <v>22755</v>
      </c>
      <c r="Z3772" t="s">
        <v>29090</v>
      </c>
      <c r="AA3772">
        <v>0.80321531324180284</v>
      </c>
      <c r="AB3772" t="str">
        <f>HYPERLINK("Melting_Curves/meltCurve_Q5QPA5_MRPS18A.pdf", "Melting_Curves/meltCurve_Q5QPA5_MRPS18A.pdf")</f>
        <v>Melting_Curves/meltCurve_Q5QPA5_MRPS18A.pdf</v>
      </c>
    </row>
    <row r="3773" spans="1:28" x14ac:dyDescent="0.25">
      <c r="A3773" t="s">
        <v>3777</v>
      </c>
      <c r="B3773">
        <v>0.99542014353169495</v>
      </c>
      <c r="C3773">
        <v>0.98259405326996496</v>
      </c>
      <c r="D3773">
        <v>0.84037681919700902</v>
      </c>
      <c r="E3773">
        <v>0.719414780668441</v>
      </c>
      <c r="F3773">
        <v>0.489180679128351</v>
      </c>
      <c r="G3773">
        <v>0.20222320990766901</v>
      </c>
      <c r="H3773">
        <v>3.7987737192846399E-2</v>
      </c>
      <c r="I3773">
        <v>2.15723476272018E-2</v>
      </c>
      <c r="J3773">
        <v>0</v>
      </c>
      <c r="K3773">
        <v>0</v>
      </c>
      <c r="L3773">
        <v>797.73354448530301</v>
      </c>
      <c r="M3773">
        <v>16.1618130228224</v>
      </c>
      <c r="N3773">
        <v>49.359161860304503</v>
      </c>
      <c r="O3773">
        <v>48.622032844511999</v>
      </c>
      <c r="P3773">
        <v>-8.3105490089432896E-2</v>
      </c>
      <c r="Q3773">
        <v>0</v>
      </c>
      <c r="R3773">
        <v>0.99175246162344</v>
      </c>
      <c r="S3773" t="s">
        <v>10175</v>
      </c>
      <c r="T3773" t="s">
        <v>12802</v>
      </c>
      <c r="U3773" t="s">
        <v>12802</v>
      </c>
      <c r="V3773" t="s">
        <v>12802</v>
      </c>
      <c r="W3773" t="s">
        <v>16521</v>
      </c>
      <c r="X3773">
        <v>2</v>
      </c>
      <c r="Y3773" t="s">
        <v>22756</v>
      </c>
      <c r="Z3773" t="s">
        <v>29091</v>
      </c>
      <c r="AA3773">
        <v>0.4309305066039279</v>
      </c>
      <c r="AB3773" t="str">
        <f>HYPERLINK("Melting_Curves/meltCurve_Q5QPC2_TTPAL.pdf", "Melting_Curves/meltCurve_Q5QPC2_TTPAL.pdf")</f>
        <v>Melting_Curves/meltCurve_Q5QPC2_TTPAL.pdf</v>
      </c>
    </row>
    <row r="3774" spans="1:28" x14ac:dyDescent="0.25">
      <c r="A3774" t="s">
        <v>3778</v>
      </c>
      <c r="B3774">
        <v>0.99542014353169495</v>
      </c>
      <c r="C3774">
        <v>0.90613450455261901</v>
      </c>
      <c r="D3774">
        <v>0.75818342146651496</v>
      </c>
      <c r="E3774">
        <v>0.73381188227966998</v>
      </c>
      <c r="F3774">
        <v>0.669113351083236</v>
      </c>
      <c r="G3774">
        <v>0.53720295138862595</v>
      </c>
      <c r="H3774">
        <v>0.41917139530165398</v>
      </c>
      <c r="I3774">
        <v>0.178261971155877</v>
      </c>
      <c r="J3774">
        <v>6.5138124199515396E-2</v>
      </c>
      <c r="K3774">
        <v>4.80942329808716E-2</v>
      </c>
      <c r="L3774">
        <v>477.38041429708397</v>
      </c>
      <c r="M3774">
        <v>9.0430794664587992</v>
      </c>
      <c r="N3774">
        <v>52.789585233803102</v>
      </c>
      <c r="O3774">
        <v>50.399998997135498</v>
      </c>
      <c r="P3774">
        <v>-4.4888538082249699E-2</v>
      </c>
      <c r="Q3774">
        <v>0</v>
      </c>
      <c r="R3774">
        <v>0.94555494364641801</v>
      </c>
      <c r="S3774" t="s">
        <v>10176</v>
      </c>
      <c r="T3774" t="s">
        <v>12802</v>
      </c>
      <c r="U3774" t="s">
        <v>12802</v>
      </c>
      <c r="V3774" t="s">
        <v>12802</v>
      </c>
      <c r="W3774" t="s">
        <v>16522</v>
      </c>
      <c r="X3774">
        <v>11</v>
      </c>
      <c r="Y3774" t="s">
        <v>22757</v>
      </c>
      <c r="Z3774" t="s">
        <v>29092</v>
      </c>
      <c r="AA3774">
        <v>0.54993110101244325</v>
      </c>
      <c r="AB3774" t="str">
        <f>HYPERLINK("Melting_Curves/meltCurve_Q5QPK2_DPM1.pdf", "Melting_Curves/meltCurve_Q5QPK2_DPM1.pdf")</f>
        <v>Melting_Curves/meltCurve_Q5QPK2_DPM1.pdf</v>
      </c>
    </row>
    <row r="3775" spans="1:28" x14ac:dyDescent="0.25">
      <c r="A3775" t="s">
        <v>3779</v>
      </c>
      <c r="B3775">
        <v>0.99542014353169495</v>
      </c>
      <c r="C3775">
        <v>1.1266668408589799</v>
      </c>
      <c r="D3775">
        <v>1.1523104916904701</v>
      </c>
      <c r="E3775">
        <v>0.98509919815033098</v>
      </c>
      <c r="F3775">
        <v>0.66812958297375202</v>
      </c>
      <c r="G3775">
        <v>0.25156306123481997</v>
      </c>
      <c r="H3775">
        <v>0.15953033445561901</v>
      </c>
      <c r="I3775">
        <v>0.100488951946304</v>
      </c>
      <c r="J3775">
        <v>0.11783003800436199</v>
      </c>
      <c r="K3775">
        <v>0.13711209388307399</v>
      </c>
      <c r="L3775">
        <v>1784.7187587717899</v>
      </c>
      <c r="M3775">
        <v>35.017681625190797</v>
      </c>
      <c r="N3775">
        <v>51.386725236940698</v>
      </c>
      <c r="O3775">
        <v>50.800867241047499</v>
      </c>
      <c r="P3775">
        <v>-0.15086018253854699</v>
      </c>
      <c r="Q3775">
        <v>0.12457934117006</v>
      </c>
      <c r="R3775">
        <v>0.97817083149935802</v>
      </c>
      <c r="S3775" t="s">
        <v>10177</v>
      </c>
      <c r="T3775" t="s">
        <v>12802</v>
      </c>
      <c r="U3775" t="s">
        <v>12802</v>
      </c>
      <c r="V3775" t="s">
        <v>12802</v>
      </c>
      <c r="W3775" t="s">
        <v>16523</v>
      </c>
      <c r="X3775">
        <v>6</v>
      </c>
      <c r="Y3775" t="s">
        <v>19868</v>
      </c>
      <c r="Z3775" t="s">
        <v>29093</v>
      </c>
      <c r="AA3775">
        <v>0.53614118405234312</v>
      </c>
      <c r="AB3775" t="str">
        <f>HYPERLINK("Melting_Curves/meltCurve_Q5R372_4_RABGAP1L.pdf", "Melting_Curves/meltCurve_Q5R372_4_RABGAP1L.pdf")</f>
        <v>Melting_Curves/meltCurve_Q5R372_4_RABGAP1L.pdf</v>
      </c>
    </row>
    <row r="3776" spans="1:28" x14ac:dyDescent="0.25">
      <c r="A3776" t="s">
        <v>3780</v>
      </c>
      <c r="B3776">
        <v>0.99542014353169495</v>
      </c>
      <c r="C3776">
        <v>1.03770439828484</v>
      </c>
      <c r="D3776">
        <v>0.94110049308461396</v>
      </c>
      <c r="E3776">
        <v>0.86831465005605701</v>
      </c>
      <c r="F3776">
        <v>0.56559615308483702</v>
      </c>
      <c r="G3776">
        <v>0.38895273960883697</v>
      </c>
      <c r="H3776">
        <v>0.29027416680943902</v>
      </c>
      <c r="I3776">
        <v>0.27995221140695198</v>
      </c>
      <c r="J3776">
        <v>0.431579970785335</v>
      </c>
      <c r="K3776">
        <v>0.48051869958097798</v>
      </c>
      <c r="L3776">
        <v>1471.93204563268</v>
      </c>
      <c r="M3776">
        <v>30.217561678185099</v>
      </c>
      <c r="N3776">
        <v>50.954368270576197</v>
      </c>
      <c r="O3776">
        <v>48.499325731909501</v>
      </c>
      <c r="P3776">
        <v>-9.8473463279900905E-2</v>
      </c>
      <c r="Q3776">
        <v>0.36780285161692</v>
      </c>
      <c r="R3776">
        <v>0.95599087967197305</v>
      </c>
      <c r="S3776" t="s">
        <v>10178</v>
      </c>
      <c r="T3776" t="s">
        <v>12802</v>
      </c>
      <c r="U3776" t="s">
        <v>12802</v>
      </c>
      <c r="V3776" t="s">
        <v>12802</v>
      </c>
      <c r="W3776" t="s">
        <v>16524</v>
      </c>
      <c r="X3776">
        <v>3</v>
      </c>
      <c r="Y3776" t="s">
        <v>22758</v>
      </c>
      <c r="Z3776" t="s">
        <v>29094</v>
      </c>
      <c r="AA3776">
        <v>0.61833377741053008</v>
      </c>
      <c r="AB3776" t="str">
        <f>HYPERLINK("Melting_Curves/meltCurve_Q5R3B4_MPC2.pdf", "Melting_Curves/meltCurve_Q5R3B4_MPC2.pdf")</f>
        <v>Melting_Curves/meltCurve_Q5R3B4_MPC2.pdf</v>
      </c>
    </row>
    <row r="3777" spans="1:28" x14ac:dyDescent="0.25">
      <c r="A3777" t="s">
        <v>3781</v>
      </c>
      <c r="B3777">
        <v>0.99542014353169495</v>
      </c>
      <c r="C3777">
        <v>1.04138373664814</v>
      </c>
      <c r="D3777">
        <v>0.98231151379163795</v>
      </c>
      <c r="E3777">
        <v>0.943117123106747</v>
      </c>
      <c r="F3777">
        <v>0.72009691049039304</v>
      </c>
      <c r="G3777">
        <v>0.46647324912927002</v>
      </c>
      <c r="H3777">
        <v>0.14614592160714299</v>
      </c>
      <c r="I3777">
        <v>8.5091359461874794E-2</v>
      </c>
      <c r="J3777">
        <v>8.9317379426486598E-2</v>
      </c>
      <c r="K3777">
        <v>8.5547355055016094E-2</v>
      </c>
      <c r="L3777">
        <v>1111.70224985864</v>
      </c>
      <c r="M3777">
        <v>21.1350307142155</v>
      </c>
      <c r="N3777">
        <v>52.889286817422096</v>
      </c>
      <c r="O3777">
        <v>52.135883249110002</v>
      </c>
      <c r="P3777">
        <v>-9.5816132356585496E-2</v>
      </c>
      <c r="Q3777">
        <v>5.4588167962452902E-2</v>
      </c>
      <c r="R3777">
        <v>0.99497918912102301</v>
      </c>
      <c r="S3777" t="s">
        <v>10179</v>
      </c>
      <c r="T3777" t="s">
        <v>12802</v>
      </c>
      <c r="U3777" t="s">
        <v>12802</v>
      </c>
      <c r="V3777" t="s">
        <v>12802</v>
      </c>
      <c r="W3777" t="s">
        <v>16525</v>
      </c>
      <c r="X3777">
        <v>11</v>
      </c>
      <c r="Y3777" t="s">
        <v>22759</v>
      </c>
      <c r="Z3777" t="s">
        <v>29095</v>
      </c>
      <c r="AA3777">
        <v>0.55727266758703697</v>
      </c>
      <c r="AB3777" t="str">
        <f>HYPERLINK("Melting_Curves/meltCurve_Q5R3I4_TTC38.pdf", "Melting_Curves/meltCurve_Q5R3I4_TTC38.pdf")</f>
        <v>Melting_Curves/meltCurve_Q5R3I4_TTC38.pdf</v>
      </c>
    </row>
    <row r="3778" spans="1:28" x14ac:dyDescent="0.25">
      <c r="A3778" t="s">
        <v>3782</v>
      </c>
      <c r="B3778">
        <v>0.99542014353169495</v>
      </c>
      <c r="C3778">
        <v>0.93724516260719504</v>
      </c>
      <c r="D3778">
        <v>0.89521867989789505</v>
      </c>
      <c r="E3778">
        <v>0.72738701183908705</v>
      </c>
      <c r="F3778">
        <v>0.65649446701652403</v>
      </c>
      <c r="G3778">
        <v>0.471475556180108</v>
      </c>
      <c r="H3778">
        <v>0.39985049246867499</v>
      </c>
      <c r="I3778">
        <v>0.362185984246163</v>
      </c>
      <c r="J3778">
        <v>0.470483235788413</v>
      </c>
      <c r="K3778">
        <v>0.53697551212253603</v>
      </c>
      <c r="L3778">
        <v>735.60494602334199</v>
      </c>
      <c r="M3778">
        <v>15.595729497089099</v>
      </c>
      <c r="N3778">
        <v>53.993350262201702</v>
      </c>
      <c r="O3778">
        <v>46.411998322287197</v>
      </c>
      <c r="P3778">
        <v>-4.78551681144323E-2</v>
      </c>
      <c r="Q3778">
        <v>0.43039243669937899</v>
      </c>
      <c r="R3778">
        <v>0.94091262818600296</v>
      </c>
      <c r="S3778" t="s">
        <v>10180</v>
      </c>
      <c r="T3778" t="s">
        <v>12802</v>
      </c>
      <c r="U3778" t="s">
        <v>12802</v>
      </c>
      <c r="V3778" t="s">
        <v>12802</v>
      </c>
      <c r="W3778" t="s">
        <v>16526</v>
      </c>
      <c r="X3778">
        <v>7</v>
      </c>
      <c r="Y3778" t="s">
        <v>22760</v>
      </c>
      <c r="Z3778" t="s">
        <v>29096</v>
      </c>
      <c r="AA3778">
        <v>0.63534994351274732</v>
      </c>
      <c r="AB3778" t="str">
        <f>HYPERLINK("Melting_Curves/meltCurve_Q5RI15_COX20.pdf", "Melting_Curves/meltCurve_Q5RI15_COX20.pdf")</f>
        <v>Melting_Curves/meltCurve_Q5RI15_COX20.pdf</v>
      </c>
    </row>
    <row r="3779" spans="1:28" x14ac:dyDescent="0.25">
      <c r="A3779" t="s">
        <v>3783</v>
      </c>
      <c r="B3779">
        <v>0.99542014353169495</v>
      </c>
      <c r="C3779">
        <v>0.93580470024794604</v>
      </c>
      <c r="D3779">
        <v>1.1815787447102399</v>
      </c>
      <c r="E3779">
        <v>1.19131613678893</v>
      </c>
      <c r="F3779">
        <v>1.0544457933890199</v>
      </c>
      <c r="G3779">
        <v>0.67474849743694698</v>
      </c>
      <c r="H3779">
        <v>0.51566516695262798</v>
      </c>
      <c r="I3779">
        <v>0.40709436317344799</v>
      </c>
      <c r="J3779">
        <v>0.274940242818492</v>
      </c>
      <c r="K3779">
        <v>0.14566635835481601</v>
      </c>
      <c r="L3779">
        <v>1155.30393699709</v>
      </c>
      <c r="M3779">
        <v>20.494678362653701</v>
      </c>
      <c r="N3779">
        <v>57.6876543974711</v>
      </c>
      <c r="O3779">
        <v>55.842454092650698</v>
      </c>
      <c r="P3779">
        <v>-7.4614055367403898E-2</v>
      </c>
      <c r="Q3779">
        <v>0.186811405923372</v>
      </c>
      <c r="R3779">
        <v>0.91445598073848</v>
      </c>
      <c r="S3779" t="s">
        <v>10181</v>
      </c>
      <c r="T3779" t="s">
        <v>12802</v>
      </c>
      <c r="U3779" t="s">
        <v>12802</v>
      </c>
      <c r="V3779" t="s">
        <v>12802</v>
      </c>
      <c r="W3779" t="s">
        <v>16527</v>
      </c>
      <c r="X3779">
        <v>11</v>
      </c>
      <c r="Y3779" t="s">
        <v>22761</v>
      </c>
      <c r="Z3779" t="s">
        <v>29097</v>
      </c>
      <c r="AA3779">
        <v>0.71970211984402943</v>
      </c>
      <c r="AB3779" t="str">
        <f>HYPERLINK("Melting_Curves/meltCurve_Q5RKV6_EXOSC6.pdf", "Melting_Curves/meltCurve_Q5RKV6_EXOSC6.pdf")</f>
        <v>Melting_Curves/meltCurve_Q5RKV6_EXOSC6.pdf</v>
      </c>
    </row>
    <row r="3780" spans="1:28" x14ac:dyDescent="0.25">
      <c r="A3780" t="s">
        <v>3784</v>
      </c>
      <c r="B3780">
        <v>0.99542014353169495</v>
      </c>
      <c r="C3780">
        <v>0.95068413037126298</v>
      </c>
      <c r="D3780">
        <v>0.95339701616333905</v>
      </c>
      <c r="E3780">
        <v>0.77580794806744302</v>
      </c>
      <c r="F3780">
        <v>0.62010152630503501</v>
      </c>
      <c r="G3780">
        <v>0.304404478384668</v>
      </c>
      <c r="H3780">
        <v>8.7598124862472496E-2</v>
      </c>
      <c r="I3780">
        <v>4.9327545568984603E-2</v>
      </c>
      <c r="J3780">
        <v>4.19887962245689E-2</v>
      </c>
      <c r="K3780">
        <v>4.8384532300257799E-2</v>
      </c>
      <c r="L3780">
        <v>837.15774325014797</v>
      </c>
      <c r="M3780">
        <v>16.406999121760599</v>
      </c>
      <c r="N3780">
        <v>51.024428276376497</v>
      </c>
      <c r="O3780">
        <v>50.2844918448558</v>
      </c>
      <c r="P3780">
        <v>-8.1576666821033095E-2</v>
      </c>
      <c r="Q3780">
        <v>0</v>
      </c>
      <c r="R3780">
        <v>0.993190884463658</v>
      </c>
      <c r="S3780" t="s">
        <v>10182</v>
      </c>
      <c r="T3780" t="s">
        <v>12802</v>
      </c>
      <c r="U3780" t="s">
        <v>12802</v>
      </c>
      <c r="V3780" t="s">
        <v>12802</v>
      </c>
      <c r="W3780" t="s">
        <v>16528</v>
      </c>
      <c r="X3780">
        <v>13</v>
      </c>
      <c r="Y3780" t="s">
        <v>22762</v>
      </c>
      <c r="Z3780" t="s">
        <v>29098</v>
      </c>
      <c r="AA3780">
        <v>0.48527152818905839</v>
      </c>
      <c r="AB3780" t="str">
        <f>HYPERLINK("Melting_Curves/meltCurve_Q5SNW6_MTHFR.pdf", "Melting_Curves/meltCurve_Q5SNW6_MTHFR.pdf")</f>
        <v>Melting_Curves/meltCurve_Q5SNW6_MTHFR.pdf</v>
      </c>
    </row>
    <row r="3781" spans="1:28" x14ac:dyDescent="0.25">
      <c r="A3781" t="s">
        <v>3785</v>
      </c>
      <c r="B3781">
        <v>0.99542014353169495</v>
      </c>
      <c r="C3781">
        <v>0.79205958522681996</v>
      </c>
      <c r="D3781">
        <v>1.01229664659507</v>
      </c>
      <c r="E3781">
        <v>0.97522802026328004</v>
      </c>
      <c r="F3781">
        <v>0.64827008701783195</v>
      </c>
      <c r="G3781">
        <v>7.2581954151878403E-2</v>
      </c>
      <c r="H3781">
        <v>0.12535424358366201</v>
      </c>
      <c r="I3781">
        <v>0.13593446261066899</v>
      </c>
      <c r="J3781">
        <v>0</v>
      </c>
      <c r="K3781">
        <v>0</v>
      </c>
      <c r="L3781">
        <v>3419.6992835738001</v>
      </c>
      <c r="M3781">
        <v>67.616459353145302</v>
      </c>
      <c r="N3781">
        <v>50.676875512341802</v>
      </c>
      <c r="O3781">
        <v>50.530773929082699</v>
      </c>
      <c r="P3781">
        <v>-0.31326374017680703</v>
      </c>
      <c r="Q3781">
        <v>6.3573918231047105E-2</v>
      </c>
      <c r="R3781">
        <v>0.96591511254429396</v>
      </c>
      <c r="S3781" t="s">
        <v>10183</v>
      </c>
      <c r="T3781" t="s">
        <v>12802</v>
      </c>
      <c r="U3781" t="s">
        <v>12802</v>
      </c>
      <c r="V3781" t="s">
        <v>12802</v>
      </c>
      <c r="W3781" t="s">
        <v>16529</v>
      </c>
      <c r="X3781">
        <v>3</v>
      </c>
      <c r="Y3781" t="s">
        <v>22763</v>
      </c>
      <c r="Z3781" t="s">
        <v>29099</v>
      </c>
      <c r="AA3781">
        <v>0.48844467667976338</v>
      </c>
      <c r="AB3781" t="str">
        <f>HYPERLINK("Melting_Curves/meltCurve_Q5SR50_PIK3CD.pdf", "Melting_Curves/meltCurve_Q5SR50_PIK3CD.pdf")</f>
        <v>Melting_Curves/meltCurve_Q5SR50_PIK3CD.pdf</v>
      </c>
    </row>
    <row r="3782" spans="1:28" x14ac:dyDescent="0.25">
      <c r="A3782" t="s">
        <v>3786</v>
      </c>
      <c r="B3782">
        <v>0.99542014353169495</v>
      </c>
      <c r="C3782">
        <v>1.0883302341788299</v>
      </c>
      <c r="D3782">
        <v>1.1116394410953001</v>
      </c>
      <c r="E3782">
        <v>0.94255661084790698</v>
      </c>
      <c r="F3782">
        <v>0.93152779197997004</v>
      </c>
      <c r="G3782">
        <v>0.68838391011424804</v>
      </c>
      <c r="H3782">
        <v>0.49850473137252199</v>
      </c>
      <c r="I3782">
        <v>0.34157546902490898</v>
      </c>
      <c r="J3782">
        <v>0.545117891629053</v>
      </c>
      <c r="K3782">
        <v>0.53938703047589598</v>
      </c>
      <c r="L3782">
        <v>1959.2972639059899</v>
      </c>
      <c r="M3782">
        <v>36.887525534278502</v>
      </c>
      <c r="N3782">
        <v>57.721674865204001</v>
      </c>
      <c r="O3782">
        <v>52.960063624693298</v>
      </c>
      <c r="P3782">
        <v>-9.1650718655025804E-2</v>
      </c>
      <c r="Q3782">
        <v>0.47366339091646897</v>
      </c>
      <c r="R3782">
        <v>0.92556943967576499</v>
      </c>
      <c r="S3782" t="s">
        <v>10184</v>
      </c>
      <c r="T3782" t="s">
        <v>12802</v>
      </c>
      <c r="U3782" t="s">
        <v>12802</v>
      </c>
      <c r="V3782" t="s">
        <v>12802</v>
      </c>
      <c r="W3782" t="s">
        <v>16530</v>
      </c>
      <c r="X3782">
        <v>2</v>
      </c>
      <c r="Y3782" t="s">
        <v>22764</v>
      </c>
      <c r="Z3782" t="s">
        <v>29100</v>
      </c>
      <c r="AA3782">
        <v>0.75865747311185239</v>
      </c>
      <c r="AB3782" t="str">
        <f>HYPERLINK("Melting_Curves/meltCurve_Q5SR56_HIATL1.pdf", "Melting_Curves/meltCurve_Q5SR56_HIATL1.pdf")</f>
        <v>Melting_Curves/meltCurve_Q5SR56_HIATL1.pdf</v>
      </c>
    </row>
    <row r="3783" spans="1:28" x14ac:dyDescent="0.25">
      <c r="A3783" t="s">
        <v>3787</v>
      </c>
      <c r="B3783">
        <v>0.99542014353169495</v>
      </c>
      <c r="C3783">
        <v>0.86438338274934601</v>
      </c>
      <c r="D3783">
        <v>0.87223915336437796</v>
      </c>
      <c r="E3783">
        <v>0.55583584282862197</v>
      </c>
      <c r="F3783">
        <v>0.31141077049847998</v>
      </c>
      <c r="G3783">
        <v>0.123504268658177</v>
      </c>
      <c r="H3783">
        <v>6.8866930487791397E-2</v>
      </c>
      <c r="I3783">
        <v>5.2078488051773703E-2</v>
      </c>
      <c r="J3783">
        <v>4.8856461921081201E-2</v>
      </c>
      <c r="K3783">
        <v>6.5010923393123504E-2</v>
      </c>
      <c r="L3783">
        <v>763.67150025536296</v>
      </c>
      <c r="M3783">
        <v>16.196042392795501</v>
      </c>
      <c r="N3783">
        <v>47.3472818259348</v>
      </c>
      <c r="O3783">
        <v>46.450467749722698</v>
      </c>
      <c r="P3783">
        <v>-8.4354648358386505E-2</v>
      </c>
      <c r="Q3783">
        <v>3.2351190412013002E-2</v>
      </c>
      <c r="R3783">
        <v>0.99200119742227699</v>
      </c>
      <c r="S3783" t="s">
        <v>10185</v>
      </c>
      <c r="T3783" t="s">
        <v>12802</v>
      </c>
      <c r="U3783" t="s">
        <v>12802</v>
      </c>
      <c r="V3783" t="s">
        <v>12802</v>
      </c>
      <c r="W3783" t="s">
        <v>16531</v>
      </c>
      <c r="X3783">
        <v>10</v>
      </c>
      <c r="Y3783" t="s">
        <v>22765</v>
      </c>
      <c r="Z3783" t="s">
        <v>29101</v>
      </c>
      <c r="AA3783">
        <v>0.37869934484585183</v>
      </c>
      <c r="AB3783" t="str">
        <f>HYPERLINK("Melting_Curves/meltCurve_Q5SRE5_NUP188.pdf", "Melting_Curves/meltCurve_Q5SRE5_NUP188.pdf")</f>
        <v>Melting_Curves/meltCurve_Q5SRE5_NUP188.pdf</v>
      </c>
    </row>
    <row r="3784" spans="1:28" x14ac:dyDescent="0.25">
      <c r="A3784" t="s">
        <v>3788</v>
      </c>
      <c r="B3784">
        <v>0.99542014353169495</v>
      </c>
      <c r="C3784">
        <v>0.98853940769147597</v>
      </c>
      <c r="D3784">
        <v>0.86896250051887602</v>
      </c>
      <c r="E3784">
        <v>0.76468118715142297</v>
      </c>
      <c r="F3784">
        <v>0.98372155988603505</v>
      </c>
      <c r="G3784">
        <v>0.85187197138185999</v>
      </c>
      <c r="H3784">
        <v>0.15688069059954199</v>
      </c>
      <c r="I3784">
        <v>0.109807095854923</v>
      </c>
      <c r="J3784">
        <v>8.09509047771758E-2</v>
      </c>
      <c r="K3784">
        <v>0.11885080320248</v>
      </c>
      <c r="L3784">
        <v>3729.1177513115299</v>
      </c>
      <c r="M3784">
        <v>67.696479637258406</v>
      </c>
      <c r="N3784">
        <v>55.273285098141201</v>
      </c>
      <c r="O3784">
        <v>55.037834227926197</v>
      </c>
      <c r="P3784">
        <v>-0.27596225300080401</v>
      </c>
      <c r="Q3784">
        <v>0.102561262055515</v>
      </c>
      <c r="R3784">
        <v>0.95258939733654602</v>
      </c>
      <c r="S3784" t="s">
        <v>10186</v>
      </c>
      <c r="T3784" t="s">
        <v>12802</v>
      </c>
      <c r="U3784" t="s">
        <v>12802</v>
      </c>
      <c r="V3784" t="s">
        <v>12802</v>
      </c>
      <c r="W3784" t="s">
        <v>16532</v>
      </c>
      <c r="X3784">
        <v>4</v>
      </c>
      <c r="Y3784" t="s">
        <v>22766</v>
      </c>
      <c r="Z3784" t="s">
        <v>29102</v>
      </c>
      <c r="AA3784">
        <v>0.64477884090355397</v>
      </c>
      <c r="AB3784" t="str">
        <f>HYPERLINK("Melting_Curves/meltCurve_Q5SRN1_CDC40.pdf", "Melting_Curves/meltCurve_Q5SRN1_CDC40.pdf")</f>
        <v>Melting_Curves/meltCurve_Q5SRN1_CDC40.pdf</v>
      </c>
    </row>
    <row r="3785" spans="1:28" x14ac:dyDescent="0.25">
      <c r="A3785" t="s">
        <v>3789</v>
      </c>
      <c r="B3785">
        <v>0.99542014353169495</v>
      </c>
      <c r="C3785">
        <v>0.920572277291827</v>
      </c>
      <c r="D3785">
        <v>0.963194282566468</v>
      </c>
      <c r="E3785">
        <v>0.855227019537799</v>
      </c>
      <c r="F3785">
        <v>0.68723276482381301</v>
      </c>
      <c r="G3785">
        <v>0.38123040313450501</v>
      </c>
      <c r="H3785">
        <v>0.170243368611012</v>
      </c>
      <c r="I3785">
        <v>6.7415118134574695E-2</v>
      </c>
      <c r="J3785">
        <v>6.1611410817772098E-2</v>
      </c>
      <c r="K3785">
        <v>5.4300906015871099E-2</v>
      </c>
      <c r="L3785">
        <v>876.02297418723504</v>
      </c>
      <c r="M3785">
        <v>16.8062003107657</v>
      </c>
      <c r="N3785">
        <v>52.199151966208298</v>
      </c>
      <c r="O3785">
        <v>51.403762553525702</v>
      </c>
      <c r="P3785">
        <v>-8.0777096730734299E-2</v>
      </c>
      <c r="Q3785">
        <v>1.17984597842152E-2</v>
      </c>
      <c r="R3785">
        <v>0.99451303574827798</v>
      </c>
      <c r="S3785" t="s">
        <v>10187</v>
      </c>
      <c r="T3785" t="s">
        <v>12802</v>
      </c>
      <c r="U3785" t="s">
        <v>12802</v>
      </c>
      <c r="V3785" t="s">
        <v>12802</v>
      </c>
      <c r="W3785" t="s">
        <v>16533</v>
      </c>
      <c r="X3785">
        <v>7</v>
      </c>
      <c r="Y3785" t="s">
        <v>22767</v>
      </c>
      <c r="Z3785" t="s">
        <v>29103</v>
      </c>
      <c r="AA3785">
        <v>0.52635325205266847</v>
      </c>
      <c r="AB3785" t="str">
        <f>HYPERLINK("Melting_Curves/meltCurve_Q5SRQ6_CSNK2B.pdf", "Melting_Curves/meltCurve_Q5SRQ6_CSNK2B.pdf")</f>
        <v>Melting_Curves/meltCurve_Q5SRQ6_CSNK2B.pdf</v>
      </c>
    </row>
    <row r="3786" spans="1:28" x14ac:dyDescent="0.25">
      <c r="A3786" t="s">
        <v>3790</v>
      </c>
      <c r="B3786">
        <v>0.99542014353169495</v>
      </c>
      <c r="C3786">
        <v>0.93352310945929196</v>
      </c>
      <c r="D3786">
        <v>0.83936769303802194</v>
      </c>
      <c r="E3786">
        <v>0.59616651284969402</v>
      </c>
      <c r="F3786">
        <v>0.47807953943111098</v>
      </c>
      <c r="G3786">
        <v>0.40137608125964203</v>
      </c>
      <c r="H3786">
        <v>0.30484589015239499</v>
      </c>
      <c r="I3786">
        <v>0.24665804788062201</v>
      </c>
      <c r="J3786">
        <v>0.32483566443855699</v>
      </c>
      <c r="K3786">
        <v>0.43943824250707603</v>
      </c>
      <c r="L3786">
        <v>764.11868530850802</v>
      </c>
      <c r="M3786">
        <v>16.6964097746162</v>
      </c>
      <c r="N3786">
        <v>48.881088284034099</v>
      </c>
      <c r="O3786">
        <v>45.124053911652503</v>
      </c>
      <c r="P3786">
        <v>-6.2212169832281297E-2</v>
      </c>
      <c r="Q3786">
        <v>0.32750112093996198</v>
      </c>
      <c r="R3786">
        <v>0.96440108963343596</v>
      </c>
      <c r="S3786" t="s">
        <v>10188</v>
      </c>
      <c r="T3786" t="s">
        <v>12802</v>
      </c>
      <c r="U3786" t="s">
        <v>12802</v>
      </c>
      <c r="V3786" t="s">
        <v>12802</v>
      </c>
      <c r="W3786" t="s">
        <v>16534</v>
      </c>
      <c r="X3786">
        <v>3</v>
      </c>
      <c r="Y3786" t="s">
        <v>22768</v>
      </c>
      <c r="Z3786" t="s">
        <v>29104</v>
      </c>
      <c r="AA3786">
        <v>0.5366562194064054</v>
      </c>
      <c r="AB3786" t="str">
        <f>HYPERLINK("Melting_Curves/meltCurve_Q5SSJ5_HP1BP3.pdf", "Melting_Curves/meltCurve_Q5SSJ5_HP1BP3.pdf")</f>
        <v>Melting_Curves/meltCurve_Q5SSJ5_HP1BP3.pdf</v>
      </c>
    </row>
    <row r="3787" spans="1:28" x14ac:dyDescent="0.25">
      <c r="A3787" t="s">
        <v>3791</v>
      </c>
      <c r="B3787">
        <v>0.99542014353169495</v>
      </c>
      <c r="C3787">
        <v>0.99974502729449499</v>
      </c>
      <c r="D3787">
        <v>1.01861407939419</v>
      </c>
      <c r="E3787">
        <v>0.75720733552505703</v>
      </c>
      <c r="F3787">
        <v>0.49259562240257698</v>
      </c>
      <c r="G3787">
        <v>0.20884763731751199</v>
      </c>
      <c r="H3787">
        <v>8.7279428801225703E-2</v>
      </c>
      <c r="I3787">
        <v>4.8787470616008598E-2</v>
      </c>
      <c r="J3787">
        <v>4.5587125481094198E-2</v>
      </c>
      <c r="K3787">
        <v>3.9276329791213198E-2</v>
      </c>
      <c r="L3787">
        <v>978.09557977235795</v>
      </c>
      <c r="M3787">
        <v>19.6544761470801</v>
      </c>
      <c r="N3787">
        <v>49.916172526374503</v>
      </c>
      <c r="O3787">
        <v>49.257947793446803</v>
      </c>
      <c r="P3787">
        <v>-9.6864866076139894E-2</v>
      </c>
      <c r="Q3787">
        <v>2.8985002856006001E-2</v>
      </c>
      <c r="R3787">
        <v>0.99652191897442299</v>
      </c>
      <c r="S3787" t="s">
        <v>10189</v>
      </c>
      <c r="T3787" t="s">
        <v>12802</v>
      </c>
      <c r="U3787" t="s">
        <v>12802</v>
      </c>
      <c r="V3787" t="s">
        <v>12802</v>
      </c>
      <c r="W3787" t="s">
        <v>16535</v>
      </c>
      <c r="X3787">
        <v>8</v>
      </c>
      <c r="Y3787" t="s">
        <v>22769</v>
      </c>
      <c r="Z3787" t="s">
        <v>29105</v>
      </c>
      <c r="AA3787">
        <v>0.45532878837107482</v>
      </c>
      <c r="AB3787" t="str">
        <f>HYPERLINK("Melting_Curves/meltCurve_Q5ST30_VARS2.pdf", "Melting_Curves/meltCurve_Q5ST30_VARS2.pdf")</f>
        <v>Melting_Curves/meltCurve_Q5ST30_VARS2.pdf</v>
      </c>
    </row>
    <row r="3788" spans="1:28" x14ac:dyDescent="0.25">
      <c r="A3788" t="s">
        <v>3792</v>
      </c>
      <c r="B3788">
        <v>0.99542014353169495</v>
      </c>
      <c r="C3788">
        <v>0.84982758079190102</v>
      </c>
      <c r="D3788">
        <v>0.90361474381391205</v>
      </c>
      <c r="E3788">
        <v>0.80009820939246001</v>
      </c>
      <c r="F3788">
        <v>0.46681661374344802</v>
      </c>
      <c r="G3788">
        <v>0.14287713836281299</v>
      </c>
      <c r="H3788">
        <v>9.13630870400335E-2</v>
      </c>
      <c r="I3788">
        <v>6.2353043165582198E-2</v>
      </c>
      <c r="J3788">
        <v>4.7118997531928802E-2</v>
      </c>
      <c r="K3788">
        <v>6.6606015825555698E-2</v>
      </c>
      <c r="L3788">
        <v>1003.66552546785</v>
      </c>
      <c r="M3788">
        <v>20.322725413072401</v>
      </c>
      <c r="N3788">
        <v>49.584456268304102</v>
      </c>
      <c r="O3788">
        <v>48.915640158030101</v>
      </c>
      <c r="P3788">
        <v>-9.9819546155439795E-2</v>
      </c>
      <c r="Q3788">
        <v>3.8989540099127799E-2</v>
      </c>
      <c r="R3788">
        <v>0.98161887674975201</v>
      </c>
      <c r="S3788" t="s">
        <v>10190</v>
      </c>
      <c r="T3788" t="s">
        <v>12802</v>
      </c>
      <c r="U3788" t="s">
        <v>12802</v>
      </c>
      <c r="V3788" t="s">
        <v>12802</v>
      </c>
      <c r="W3788" t="s">
        <v>16536</v>
      </c>
      <c r="X3788">
        <v>2</v>
      </c>
      <c r="Y3788" t="s">
        <v>22770</v>
      </c>
      <c r="Z3788" t="s">
        <v>29106</v>
      </c>
      <c r="AA3788">
        <v>0.44807537505264111</v>
      </c>
      <c r="AB3788" t="str">
        <f>HYPERLINK("Melting_Curves/meltCurve_Q5SVK8_DNMBP.pdf", "Melting_Curves/meltCurve_Q5SVK8_DNMBP.pdf")</f>
        <v>Melting_Curves/meltCurve_Q5SVK8_DNMBP.pdf</v>
      </c>
    </row>
    <row r="3789" spans="1:28" x14ac:dyDescent="0.25">
      <c r="A3789" t="s">
        <v>3793</v>
      </c>
      <c r="B3789">
        <v>0.99542014353169495</v>
      </c>
      <c r="C3789">
        <v>0.90962514472475198</v>
      </c>
      <c r="D3789">
        <v>0.87857848819748596</v>
      </c>
      <c r="E3789">
        <v>0.66518224367059198</v>
      </c>
      <c r="F3789">
        <v>0.42165012730375401</v>
      </c>
      <c r="G3789">
        <v>0.21703611241491499</v>
      </c>
      <c r="H3789">
        <v>0.11882527252679601</v>
      </c>
      <c r="I3789">
        <v>8.2529105961479193E-2</v>
      </c>
      <c r="J3789">
        <v>8.6164102333703502E-2</v>
      </c>
      <c r="K3789">
        <v>0.116715413607532</v>
      </c>
      <c r="L3789">
        <v>730.16997389579296</v>
      </c>
      <c r="M3789">
        <v>15.1079218309238</v>
      </c>
      <c r="N3789">
        <v>48.769652489481899</v>
      </c>
      <c r="O3789">
        <v>47.507233703221999</v>
      </c>
      <c r="P3789">
        <v>-7.4452016860319895E-2</v>
      </c>
      <c r="Q3789">
        <v>6.3627153512175905E-2</v>
      </c>
      <c r="R3789">
        <v>0.995390370620448</v>
      </c>
      <c r="S3789" t="s">
        <v>10191</v>
      </c>
      <c r="T3789" t="s">
        <v>12802</v>
      </c>
      <c r="U3789" t="s">
        <v>12802</v>
      </c>
      <c r="V3789" t="s">
        <v>12802</v>
      </c>
      <c r="W3789" t="s">
        <v>16537</v>
      </c>
      <c r="X3789">
        <v>18</v>
      </c>
      <c r="Y3789" t="s">
        <v>22771</v>
      </c>
      <c r="Z3789" t="s">
        <v>29107</v>
      </c>
      <c r="AA3789">
        <v>0.43750281773174682</v>
      </c>
      <c r="AB3789" t="str">
        <f>HYPERLINK("Melting_Curves/meltCurve_Q5SW79_CEP170.pdf", "Melting_Curves/meltCurve_Q5SW79_CEP170.pdf")</f>
        <v>Melting_Curves/meltCurve_Q5SW79_CEP170.pdf</v>
      </c>
    </row>
    <row r="3790" spans="1:28" x14ac:dyDescent="0.25">
      <c r="A3790" t="s">
        <v>3794</v>
      </c>
      <c r="B3790">
        <v>0.99542014353169495</v>
      </c>
      <c r="C3790">
        <v>1.0259492557996801</v>
      </c>
      <c r="D3790">
        <v>0.89226458706067702</v>
      </c>
      <c r="E3790">
        <v>0.47889443230977002</v>
      </c>
      <c r="F3790">
        <v>0.182130398837093</v>
      </c>
      <c r="G3790">
        <v>0.106128266909901</v>
      </c>
      <c r="H3790">
        <v>7.4186689049108107E-2</v>
      </c>
      <c r="I3790">
        <v>3.3564400479653998E-2</v>
      </c>
      <c r="J3790">
        <v>3.2102816418953198E-2</v>
      </c>
      <c r="K3790">
        <v>2.1885856167108399E-2</v>
      </c>
      <c r="L3790">
        <v>1146.8714321305699</v>
      </c>
      <c r="M3790">
        <v>24.723361908630199</v>
      </c>
      <c r="N3790">
        <v>46.566588262386702</v>
      </c>
      <c r="O3790">
        <v>46.087873472587901</v>
      </c>
      <c r="P3790">
        <v>-0.12805130903279799</v>
      </c>
      <c r="Q3790">
        <v>4.5189838295579703E-2</v>
      </c>
      <c r="R3790">
        <v>0.99715999760121798</v>
      </c>
      <c r="S3790" t="s">
        <v>10192</v>
      </c>
      <c r="T3790" t="s">
        <v>12802</v>
      </c>
      <c r="U3790" t="s">
        <v>12802</v>
      </c>
      <c r="V3790" t="s">
        <v>12802</v>
      </c>
      <c r="W3790" t="s">
        <v>16538</v>
      </c>
      <c r="X3790">
        <v>2</v>
      </c>
      <c r="Y3790" t="s">
        <v>22772</v>
      </c>
      <c r="Z3790" t="s">
        <v>29108</v>
      </c>
      <c r="AA3790">
        <v>0.35211967406951822</v>
      </c>
      <c r="AB3790" t="str">
        <f>HYPERLINK("Melting_Curves/meltCurve_Q5SW96_LDLRAP1.pdf", "Melting_Curves/meltCurve_Q5SW96_LDLRAP1.pdf")</f>
        <v>Melting_Curves/meltCurve_Q5SW96_LDLRAP1.pdf</v>
      </c>
    </row>
    <row r="3791" spans="1:28" x14ac:dyDescent="0.25">
      <c r="A3791" t="s">
        <v>3795</v>
      </c>
      <c r="B3791">
        <v>0.99542014353169495</v>
      </c>
      <c r="C3791">
        <v>0.95166407848687196</v>
      </c>
      <c r="D3791">
        <v>1.02340991604263</v>
      </c>
      <c r="E3791">
        <v>0.74277979616476697</v>
      </c>
      <c r="F3791">
        <v>0.36814661133472898</v>
      </c>
      <c r="G3791">
        <v>0.19092536475458699</v>
      </c>
      <c r="H3791">
        <v>0.13735791343166001</v>
      </c>
      <c r="I3791">
        <v>0.103901420408016</v>
      </c>
      <c r="J3791">
        <v>0.12735189573779199</v>
      </c>
      <c r="K3791">
        <v>0.14774892698178099</v>
      </c>
      <c r="L3791">
        <v>1281.3386076402501</v>
      </c>
      <c r="M3791">
        <v>26.526314685105199</v>
      </c>
      <c r="N3791">
        <v>48.845072875541703</v>
      </c>
      <c r="O3791">
        <v>48.032420400426702</v>
      </c>
      <c r="P3791">
        <v>-0.12050205042537999</v>
      </c>
      <c r="Q3791">
        <v>0.12721496649653299</v>
      </c>
      <c r="R3791">
        <v>0.99537939653980601</v>
      </c>
      <c r="S3791" t="s">
        <v>10193</v>
      </c>
      <c r="T3791" t="s">
        <v>12802</v>
      </c>
      <c r="U3791" t="s">
        <v>12802</v>
      </c>
      <c r="V3791" t="s">
        <v>12802</v>
      </c>
      <c r="W3791" t="s">
        <v>16539</v>
      </c>
      <c r="X3791">
        <v>8</v>
      </c>
      <c r="Y3791" t="s">
        <v>22773</v>
      </c>
      <c r="Z3791" t="s">
        <v>29109</v>
      </c>
      <c r="AA3791">
        <v>0.46273766087035462</v>
      </c>
      <c r="AB3791" t="str">
        <f>HYPERLINK("Melting_Curves/meltCurve_Q5SWX8_2_ODR4.pdf", "Melting_Curves/meltCurve_Q5SWX8_2_ODR4.pdf")</f>
        <v>Melting_Curves/meltCurve_Q5SWX8_2_ODR4.pdf</v>
      </c>
    </row>
    <row r="3792" spans="1:28" x14ac:dyDescent="0.25">
      <c r="A3792" t="s">
        <v>3796</v>
      </c>
      <c r="B3792">
        <v>0.99542014353169495</v>
      </c>
      <c r="C3792">
        <v>0.96795432744833498</v>
      </c>
      <c r="D3792">
        <v>0.88431492867303896</v>
      </c>
      <c r="E3792">
        <v>0.77179874506352297</v>
      </c>
      <c r="F3792">
        <v>0.80548203371217397</v>
      </c>
      <c r="G3792">
        <v>0.50610464385291898</v>
      </c>
      <c r="H3792">
        <v>0.25977251725721001</v>
      </c>
      <c r="I3792">
        <v>0.105048880152951</v>
      </c>
      <c r="J3792">
        <v>8.8603192580021403E-2</v>
      </c>
      <c r="K3792">
        <v>0.115734895212828</v>
      </c>
      <c r="L3792">
        <v>701.24619257581799</v>
      </c>
      <c r="M3792">
        <v>13.1078846199157</v>
      </c>
      <c r="N3792">
        <v>53.498040687893997</v>
      </c>
      <c r="O3792">
        <v>52.298839845776101</v>
      </c>
      <c r="P3792">
        <v>-6.2669301493884402E-2</v>
      </c>
      <c r="Q3792">
        <v>0</v>
      </c>
      <c r="R3792">
        <v>0.97254724773430001</v>
      </c>
      <c r="S3792" t="s">
        <v>10194</v>
      </c>
      <c r="T3792" t="s">
        <v>12802</v>
      </c>
      <c r="U3792" t="s">
        <v>12802</v>
      </c>
      <c r="V3792" t="s">
        <v>12802</v>
      </c>
      <c r="W3792" t="s">
        <v>16540</v>
      </c>
      <c r="X3792">
        <v>15</v>
      </c>
      <c r="Y3792" t="s">
        <v>19628</v>
      </c>
      <c r="Z3792" t="s">
        <v>29110</v>
      </c>
      <c r="AA3792">
        <v>0.56872031353324515</v>
      </c>
      <c r="AB3792" t="str">
        <f>HYPERLINK("Melting_Curves/meltCurve_Q5SX86_GDI2.pdf", "Melting_Curves/meltCurve_Q5SX86_GDI2.pdf")</f>
        <v>Melting_Curves/meltCurve_Q5SX86_GDI2.pdf</v>
      </c>
    </row>
    <row r="3793" spans="1:28" x14ac:dyDescent="0.25">
      <c r="A3793" t="s">
        <v>3797</v>
      </c>
      <c r="B3793">
        <v>0.99542014353169495</v>
      </c>
      <c r="C3793">
        <v>0.952558251282562</v>
      </c>
      <c r="D3793">
        <v>0.92038533831139402</v>
      </c>
      <c r="E3793">
        <v>0.86827934248512695</v>
      </c>
      <c r="F3793">
        <v>0.65301056639872601</v>
      </c>
      <c r="G3793">
        <v>0.50440032520064404</v>
      </c>
      <c r="H3793">
        <v>0.32992099364560101</v>
      </c>
      <c r="I3793">
        <v>0.220279084413561</v>
      </c>
      <c r="J3793">
        <v>0.35422598079560103</v>
      </c>
      <c r="K3793">
        <v>0.47996608218070702</v>
      </c>
      <c r="L3793">
        <v>978.24719057768698</v>
      </c>
      <c r="M3793">
        <v>19.623045864669201</v>
      </c>
      <c r="N3793">
        <v>52.872010969782401</v>
      </c>
      <c r="O3793">
        <v>49.342886101396402</v>
      </c>
      <c r="P3793">
        <v>-6.59187905917831E-2</v>
      </c>
      <c r="Q3793">
        <v>0.33700212809750402</v>
      </c>
      <c r="R3793">
        <v>0.93812705430271803</v>
      </c>
      <c r="S3793" t="s">
        <v>10195</v>
      </c>
      <c r="T3793" t="s">
        <v>12802</v>
      </c>
      <c r="U3793" t="s">
        <v>12802</v>
      </c>
      <c r="V3793" t="s">
        <v>12802</v>
      </c>
      <c r="W3793" t="s">
        <v>16541</v>
      </c>
      <c r="X3793">
        <v>3</v>
      </c>
      <c r="Y3793" t="s">
        <v>22774</v>
      </c>
      <c r="Z3793" t="s">
        <v>29111</v>
      </c>
      <c r="AA3793">
        <v>0.63005979931197886</v>
      </c>
      <c r="AB3793" t="str">
        <f>HYPERLINK("Melting_Curves/meltCurve_Q5SXM8_DNLZ.pdf", "Melting_Curves/meltCurve_Q5SXM8_DNLZ.pdf")</f>
        <v>Melting_Curves/meltCurve_Q5SXM8_DNLZ.pdf</v>
      </c>
    </row>
    <row r="3794" spans="1:28" x14ac:dyDescent="0.25">
      <c r="A3794" t="s">
        <v>3798</v>
      </c>
      <c r="B3794">
        <v>0.99542014353169495</v>
      </c>
      <c r="C3794">
        <v>0.56050146563532</v>
      </c>
      <c r="D3794">
        <v>0.40094442233328598</v>
      </c>
      <c r="E3794">
        <v>0.20956431578531301</v>
      </c>
      <c r="F3794">
        <v>0.13549064703046401</v>
      </c>
      <c r="G3794">
        <v>7.23436406577639E-2</v>
      </c>
      <c r="H3794">
        <v>3.76306935362202E-2</v>
      </c>
      <c r="I3794">
        <v>3.1956381009274601E-2</v>
      </c>
      <c r="J3794">
        <v>2.5233171707451301E-2</v>
      </c>
      <c r="K3794">
        <v>2.3305207640412301E-2</v>
      </c>
      <c r="L3794">
        <v>646.18811618810696</v>
      </c>
      <c r="M3794">
        <v>15.587874764605999</v>
      </c>
      <c r="N3794">
        <v>41.662254874802201</v>
      </c>
      <c r="O3794">
        <v>40.790257530850603</v>
      </c>
      <c r="P3794">
        <v>-9.1972951294092303E-2</v>
      </c>
      <c r="Q3794">
        <v>3.7386576906597198E-2</v>
      </c>
      <c r="R3794">
        <v>0.96895184766986397</v>
      </c>
      <c r="S3794" t="s">
        <v>10196</v>
      </c>
      <c r="T3794" t="s">
        <v>12802</v>
      </c>
      <c r="U3794" t="s">
        <v>12802</v>
      </c>
      <c r="V3794" t="s">
        <v>12802</v>
      </c>
      <c r="W3794" t="s">
        <v>16542</v>
      </c>
      <c r="X3794">
        <v>1</v>
      </c>
      <c r="Y3794" t="s">
        <v>22775</v>
      </c>
      <c r="Z3794" t="s">
        <v>29112</v>
      </c>
      <c r="AA3794">
        <v>0.20745761232725751</v>
      </c>
      <c r="AB3794" t="str">
        <f>HYPERLINK("Melting_Curves/meltCurve_Q5SY16_NOL9.pdf", "Melting_Curves/meltCurve_Q5SY16_NOL9.pdf")</f>
        <v>Melting_Curves/meltCurve_Q5SY16_NOL9.pdf</v>
      </c>
    </row>
    <row r="3795" spans="1:28" x14ac:dyDescent="0.25">
      <c r="A3795" t="s">
        <v>3799</v>
      </c>
      <c r="B3795">
        <v>0.99542014353169495</v>
      </c>
      <c r="C3795">
        <v>0.82439066840011499</v>
      </c>
      <c r="D3795">
        <v>0.78722214439734395</v>
      </c>
      <c r="E3795">
        <v>0.61064565297580797</v>
      </c>
      <c r="F3795">
        <v>0.47393028494905198</v>
      </c>
      <c r="G3795">
        <v>0.20855551492409299</v>
      </c>
      <c r="H3795">
        <v>0.100892438902039</v>
      </c>
      <c r="I3795">
        <v>6.4862571627698595E-2</v>
      </c>
      <c r="J3795">
        <v>6.1178687396700002E-2</v>
      </c>
      <c r="K3795">
        <v>5.1035727665378498E-2</v>
      </c>
      <c r="L3795">
        <v>533.34666996652095</v>
      </c>
      <c r="M3795">
        <v>11.046439637348501</v>
      </c>
      <c r="N3795">
        <v>48.282223770675699</v>
      </c>
      <c r="O3795">
        <v>46.780882012669899</v>
      </c>
      <c r="P3795">
        <v>-5.9052473377777998E-2</v>
      </c>
      <c r="Q3795">
        <v>0</v>
      </c>
      <c r="R3795">
        <v>0.98452833505567405</v>
      </c>
      <c r="S3795" t="s">
        <v>10197</v>
      </c>
      <c r="T3795" t="s">
        <v>12802</v>
      </c>
      <c r="U3795" t="s">
        <v>12802</v>
      </c>
      <c r="V3795" t="s">
        <v>12802</v>
      </c>
      <c r="W3795" t="s">
        <v>16543</v>
      </c>
      <c r="X3795">
        <v>2</v>
      </c>
      <c r="Y3795" t="s">
        <v>22776</v>
      </c>
      <c r="Z3795" t="s">
        <v>29113</v>
      </c>
      <c r="AA3795">
        <v>0.41068059642331328</v>
      </c>
      <c r="AB3795" t="str">
        <f>HYPERLINK("Melting_Curves/meltCurve_Q5SZE3_CERS2.pdf", "Melting_Curves/meltCurve_Q5SZE3_CERS2.pdf")</f>
        <v>Melting_Curves/meltCurve_Q5SZE3_CERS2.pdf</v>
      </c>
    </row>
    <row r="3796" spans="1:28" x14ac:dyDescent="0.25">
      <c r="A3796" t="s">
        <v>3800</v>
      </c>
      <c r="B3796">
        <v>0.99542014353169495</v>
      </c>
      <c r="C3796">
        <v>0.92333972347315796</v>
      </c>
      <c r="D3796">
        <v>0.91610227123218602</v>
      </c>
      <c r="E3796">
        <v>0.69297343277619095</v>
      </c>
      <c r="F3796">
        <v>0.34746441694324698</v>
      </c>
      <c r="G3796">
        <v>0.129641784353381</v>
      </c>
      <c r="H3796">
        <v>9.0070460523026502E-2</v>
      </c>
      <c r="I3796">
        <v>7.0688295924505595E-2</v>
      </c>
      <c r="J3796">
        <v>8.5038004638926606E-2</v>
      </c>
      <c r="K3796">
        <v>9.7187193481956299E-2</v>
      </c>
      <c r="L3796">
        <v>1017.43085370648</v>
      </c>
      <c r="M3796">
        <v>21.1756922063778</v>
      </c>
      <c r="N3796">
        <v>48.392975615027602</v>
      </c>
      <c r="O3796">
        <v>47.624759377701999</v>
      </c>
      <c r="P3796">
        <v>-0.103355747805306</v>
      </c>
      <c r="Q3796">
        <v>7.0223239657207004E-2</v>
      </c>
      <c r="R3796">
        <v>0.99569168194984004</v>
      </c>
      <c r="S3796" t="s">
        <v>10198</v>
      </c>
      <c r="T3796" t="s">
        <v>12802</v>
      </c>
      <c r="U3796" t="s">
        <v>12802</v>
      </c>
      <c r="V3796" t="s">
        <v>12802</v>
      </c>
      <c r="W3796" t="s">
        <v>16544</v>
      </c>
      <c r="X3796">
        <v>5</v>
      </c>
      <c r="Y3796" t="s">
        <v>22777</v>
      </c>
      <c r="Z3796" t="s">
        <v>29114</v>
      </c>
      <c r="AA3796">
        <v>0.42356092109942162</v>
      </c>
      <c r="AB3796" t="str">
        <f>HYPERLINK("Melting_Curves/meltCurve_Q5SZR4_TDRKH.pdf", "Melting_Curves/meltCurve_Q5SZR4_TDRKH.pdf")</f>
        <v>Melting_Curves/meltCurve_Q5SZR4_TDRKH.pdf</v>
      </c>
    </row>
    <row r="3797" spans="1:28" x14ac:dyDescent="0.25">
      <c r="A3797" t="s">
        <v>3801</v>
      </c>
      <c r="B3797">
        <v>0.99542014353169495</v>
      </c>
      <c r="C3797">
        <v>1.0243708614625</v>
      </c>
      <c r="D3797">
        <v>0.96195456603195895</v>
      </c>
      <c r="E3797">
        <v>0.69834392166273596</v>
      </c>
      <c r="F3797">
        <v>0.55724412209086405</v>
      </c>
      <c r="G3797">
        <v>0.37532292086684899</v>
      </c>
      <c r="H3797">
        <v>0.20775588997553601</v>
      </c>
      <c r="I3797">
        <v>0.15226341070438201</v>
      </c>
      <c r="J3797">
        <v>0.133431425894637</v>
      </c>
      <c r="K3797">
        <v>0.13838546162231199</v>
      </c>
      <c r="L3797">
        <v>700.939302664867</v>
      </c>
      <c r="M3797">
        <v>14.008782893986799</v>
      </c>
      <c r="N3797">
        <v>50.834002119377502</v>
      </c>
      <c r="O3797">
        <v>49.049190476605801</v>
      </c>
      <c r="P3797">
        <v>-6.4360114006906596E-2</v>
      </c>
      <c r="Q3797">
        <v>9.8738314502499702E-2</v>
      </c>
      <c r="R3797">
        <v>0.99147297631984699</v>
      </c>
      <c r="S3797" t="s">
        <v>10199</v>
      </c>
      <c r="T3797" t="s">
        <v>12802</v>
      </c>
      <c r="U3797" t="s">
        <v>12802</v>
      </c>
      <c r="V3797" t="s">
        <v>12802</v>
      </c>
      <c r="W3797" t="s">
        <v>16545</v>
      </c>
      <c r="X3797">
        <v>4</v>
      </c>
      <c r="Y3797" t="s">
        <v>22778</v>
      </c>
      <c r="Z3797" t="s">
        <v>29115</v>
      </c>
      <c r="AA3797">
        <v>0.5110646788820139</v>
      </c>
      <c r="AB3797" t="str">
        <f>HYPERLINK("Melting_Curves/meltCurve_Q5T097_UTRN.pdf", "Melting_Curves/meltCurve_Q5T097_UTRN.pdf")</f>
        <v>Melting_Curves/meltCurve_Q5T097_UTRN.pdf</v>
      </c>
    </row>
    <row r="3798" spans="1:28" x14ac:dyDescent="0.25">
      <c r="A3798" t="s">
        <v>3802</v>
      </c>
      <c r="B3798">
        <v>0.99542014353169495</v>
      </c>
      <c r="C3798">
        <v>1.1512870861575899</v>
      </c>
      <c r="D3798">
        <v>1.2863248305244901</v>
      </c>
      <c r="E3798">
        <v>1.20551398866966</v>
      </c>
      <c r="F3798">
        <v>1.10039349609151</v>
      </c>
      <c r="G3798">
        <v>0.83898864693979902</v>
      </c>
      <c r="H3798">
        <v>0.67891088849426995</v>
      </c>
      <c r="I3798">
        <v>0.59603822894988701</v>
      </c>
      <c r="J3798">
        <v>0.92196233276439399</v>
      </c>
      <c r="K3798">
        <v>1.2324119822631301</v>
      </c>
      <c r="L3798">
        <v>5676.8930313747296</v>
      </c>
      <c r="M3798">
        <v>108.41665749251401</v>
      </c>
      <c r="O3798">
        <v>52.344006783781097</v>
      </c>
      <c r="P3798">
        <v>-7.6353635994825197E-2</v>
      </c>
      <c r="Q3798">
        <v>0.85254461160833295</v>
      </c>
      <c r="R3798">
        <v>0.209047983180953</v>
      </c>
      <c r="S3798" t="s">
        <v>10200</v>
      </c>
      <c r="T3798" t="s">
        <v>12802</v>
      </c>
      <c r="U3798" t="s">
        <v>12802</v>
      </c>
      <c r="V3798" t="s">
        <v>12802</v>
      </c>
      <c r="W3798" t="s">
        <v>16546</v>
      </c>
      <c r="X3798">
        <v>2</v>
      </c>
      <c r="Y3798" t="s">
        <v>22779</v>
      </c>
      <c r="Z3798" t="s">
        <v>29116</v>
      </c>
      <c r="AA3798">
        <v>0.92812281404258123</v>
      </c>
      <c r="AB3798" t="str">
        <f>HYPERLINK("Melting_Curves/meltCurve_Q5T0Z6_PKIB.pdf", "Melting_Curves/meltCurve_Q5T0Z6_PKIB.pdf")</f>
        <v>Melting_Curves/meltCurve_Q5T0Z6_PKIB.pdf</v>
      </c>
    </row>
    <row r="3799" spans="1:28" x14ac:dyDescent="0.25">
      <c r="A3799" t="s">
        <v>3803</v>
      </c>
      <c r="B3799">
        <v>0.99542014353169495</v>
      </c>
      <c r="C3799">
        <v>0.91304942368668396</v>
      </c>
      <c r="D3799">
        <v>0.75347327997495495</v>
      </c>
      <c r="E3799">
        <v>0.54890439953590897</v>
      </c>
      <c r="F3799">
        <v>0.400629129331733</v>
      </c>
      <c r="G3799">
        <v>0.175336659779041</v>
      </c>
      <c r="H3799">
        <v>0.130084180584918</v>
      </c>
      <c r="I3799">
        <v>9.4707687623617101E-2</v>
      </c>
      <c r="J3799">
        <v>0.158178721978735</v>
      </c>
      <c r="K3799">
        <v>0.15820106330325501</v>
      </c>
      <c r="L3799">
        <v>639.35769215657899</v>
      </c>
      <c r="M3799">
        <v>13.7495080935134</v>
      </c>
      <c r="N3799">
        <v>47.296545447248</v>
      </c>
      <c r="O3799">
        <v>45.5498674939113</v>
      </c>
      <c r="P3799">
        <v>-6.7677705505710395E-2</v>
      </c>
      <c r="Q3799">
        <v>0.103306698106067</v>
      </c>
      <c r="R3799">
        <v>0.98828336318330301</v>
      </c>
      <c r="S3799" t="s">
        <v>10201</v>
      </c>
      <c r="T3799" t="s">
        <v>12802</v>
      </c>
      <c r="U3799" t="s">
        <v>12802</v>
      </c>
      <c r="V3799" t="s">
        <v>12802</v>
      </c>
      <c r="W3799" t="s">
        <v>16547</v>
      </c>
      <c r="X3799">
        <v>2</v>
      </c>
      <c r="Y3799" t="s">
        <v>22780</v>
      </c>
      <c r="Z3799" t="s">
        <v>29117</v>
      </c>
      <c r="AA3799">
        <v>0.41117646339407798</v>
      </c>
      <c r="AB3799" t="str">
        <f>HYPERLINK("Melting_Curves/meltCurve_Q5T114_C9orf156.pdf", "Melting_Curves/meltCurve_Q5T114_C9orf156.pdf")</f>
        <v>Melting_Curves/meltCurve_Q5T114_C9orf156.pdf</v>
      </c>
    </row>
    <row r="3800" spans="1:28" x14ac:dyDescent="0.25">
      <c r="A3800" t="s">
        <v>3804</v>
      </c>
      <c r="B3800">
        <v>0.99542014353169495</v>
      </c>
      <c r="C3800">
        <v>1.1038783239643499</v>
      </c>
      <c r="D3800">
        <v>0.7013654830721</v>
      </c>
      <c r="E3800">
        <v>0.68271837359535703</v>
      </c>
      <c r="F3800">
        <v>0.49297492227602302</v>
      </c>
      <c r="G3800">
        <v>0.44372461206268399</v>
      </c>
      <c r="H3800">
        <v>0.21431860458638599</v>
      </c>
      <c r="I3800">
        <v>0.122575823328787</v>
      </c>
      <c r="J3800">
        <v>0.13983532514366201</v>
      </c>
      <c r="K3800">
        <v>0.22928544451839</v>
      </c>
      <c r="L3800">
        <v>546.45467692816999</v>
      </c>
      <c r="M3800">
        <v>11.162176044434</v>
      </c>
      <c r="N3800">
        <v>50.079486227626901</v>
      </c>
      <c r="O3800">
        <v>47.463467399126998</v>
      </c>
      <c r="P3800">
        <v>-5.22978305465829E-2</v>
      </c>
      <c r="Q3800">
        <v>0.110766546377321</v>
      </c>
      <c r="R3800">
        <v>0.93475689661990202</v>
      </c>
      <c r="S3800" t="s">
        <v>10202</v>
      </c>
      <c r="T3800" t="s">
        <v>12802</v>
      </c>
      <c r="U3800" t="s">
        <v>12802</v>
      </c>
      <c r="V3800" t="s">
        <v>12802</v>
      </c>
      <c r="W3800" t="s">
        <v>16548</v>
      </c>
      <c r="X3800">
        <v>6</v>
      </c>
      <c r="Y3800" t="s">
        <v>22781</v>
      </c>
      <c r="Z3800" t="s">
        <v>29118</v>
      </c>
      <c r="AA3800">
        <v>0.49423699498974782</v>
      </c>
      <c r="AB3800" t="str">
        <f>HYPERLINK("Melting_Curves/meltCurve_Q5T123_SH3BGRL3.pdf", "Melting_Curves/meltCurve_Q5T123_SH3BGRL3.pdf")</f>
        <v>Melting_Curves/meltCurve_Q5T123_SH3BGRL3.pdf</v>
      </c>
    </row>
    <row r="3801" spans="1:28" x14ac:dyDescent="0.25">
      <c r="A3801" t="s">
        <v>3805</v>
      </c>
      <c r="B3801">
        <v>0.99542014353169495</v>
      </c>
      <c r="C3801">
        <v>1.04628713091075</v>
      </c>
      <c r="D3801">
        <v>1.0018060745831701</v>
      </c>
      <c r="E3801">
        <v>0.87275652563283401</v>
      </c>
      <c r="F3801">
        <v>0.60782893267998905</v>
      </c>
      <c r="G3801">
        <v>0.16507413363223</v>
      </c>
      <c r="H3801">
        <v>9.5728999345955704E-2</v>
      </c>
      <c r="I3801">
        <v>6.0118869671165497E-2</v>
      </c>
      <c r="J3801">
        <v>4.9739718959476598E-2</v>
      </c>
      <c r="K3801">
        <v>5.5519255625790902E-2</v>
      </c>
      <c r="L3801">
        <v>1406.2817746200899</v>
      </c>
      <c r="M3801">
        <v>27.796073748755902</v>
      </c>
      <c r="N3801">
        <v>50.780050159080602</v>
      </c>
      <c r="O3801">
        <v>50.333131188090498</v>
      </c>
      <c r="P3801">
        <v>-0.13133747407038199</v>
      </c>
      <c r="Q3801">
        <v>4.8704799797165403E-2</v>
      </c>
      <c r="R3801">
        <v>0.99613664134191104</v>
      </c>
      <c r="S3801" t="s">
        <v>10203</v>
      </c>
      <c r="T3801" t="s">
        <v>12802</v>
      </c>
      <c r="U3801" t="s">
        <v>12802</v>
      </c>
      <c r="V3801" t="s">
        <v>12802</v>
      </c>
      <c r="W3801" t="s">
        <v>16549</v>
      </c>
      <c r="X3801">
        <v>10</v>
      </c>
      <c r="Y3801" t="s">
        <v>22782</v>
      </c>
      <c r="Z3801" t="s">
        <v>29119</v>
      </c>
      <c r="AA3801">
        <v>0.48656623124904669</v>
      </c>
      <c r="AB3801" t="str">
        <f>HYPERLINK("Melting_Curves/meltCurve_Q5T160_RARS2.pdf", "Melting_Curves/meltCurve_Q5T160_RARS2.pdf")</f>
        <v>Melting_Curves/meltCurve_Q5T160_RARS2.pdf</v>
      </c>
    </row>
    <row r="3802" spans="1:28" x14ac:dyDescent="0.25">
      <c r="A3802" t="s">
        <v>3806</v>
      </c>
      <c r="B3802">
        <v>0.99542014353169495</v>
      </c>
      <c r="C3802">
        <v>1.1242024146858201</v>
      </c>
      <c r="D3802">
        <v>1.00879549206139</v>
      </c>
      <c r="E3802">
        <v>0.95253018344042495</v>
      </c>
      <c r="F3802">
        <v>0.56478043192074601</v>
      </c>
      <c r="G3802">
        <v>0.44720615501354799</v>
      </c>
      <c r="H3802">
        <v>0.138506255094103</v>
      </c>
      <c r="I3802">
        <v>9.0828187822179607E-2</v>
      </c>
      <c r="J3802">
        <v>5.7862535294034102E-2</v>
      </c>
      <c r="K3802">
        <v>6.5115553950917907E-2</v>
      </c>
      <c r="L3802">
        <v>962.35803902940904</v>
      </c>
      <c r="M3802">
        <v>18.574660733017701</v>
      </c>
      <c r="N3802">
        <v>52.041577503349203</v>
      </c>
      <c r="O3802">
        <v>51.220956732005199</v>
      </c>
      <c r="P3802">
        <v>-8.7071143805113299E-2</v>
      </c>
      <c r="Q3802">
        <v>3.9622360510617002E-2</v>
      </c>
      <c r="R3802">
        <v>0.97817760104110696</v>
      </c>
      <c r="S3802" t="s">
        <v>10204</v>
      </c>
      <c r="T3802" t="s">
        <v>12802</v>
      </c>
      <c r="U3802" t="s">
        <v>12802</v>
      </c>
      <c r="V3802" t="s">
        <v>12802</v>
      </c>
      <c r="W3802" t="s">
        <v>16550</v>
      </c>
      <c r="X3802">
        <v>2</v>
      </c>
      <c r="Y3802" t="s">
        <v>22783</v>
      </c>
      <c r="Z3802" t="s">
        <v>29120</v>
      </c>
      <c r="AA3802">
        <v>0.52768194693880943</v>
      </c>
      <c r="AB3802" t="str">
        <f>HYPERLINK("Melting_Curves/meltCurve_Q5T171_PYGO2.pdf", "Melting_Curves/meltCurve_Q5T171_PYGO2.pdf")</f>
        <v>Melting_Curves/meltCurve_Q5T171_PYGO2.pdf</v>
      </c>
    </row>
    <row r="3803" spans="1:28" x14ac:dyDescent="0.25">
      <c r="A3803" t="s">
        <v>3807</v>
      </c>
      <c r="B3803">
        <v>0.99542014353169495</v>
      </c>
      <c r="C3803">
        <v>0.86260973084429504</v>
      </c>
      <c r="D3803">
        <v>0.83053584901162802</v>
      </c>
      <c r="E3803">
        <v>0.77666228936023396</v>
      </c>
      <c r="F3803">
        <v>0.47965642933063601</v>
      </c>
      <c r="G3803">
        <v>0.36903124899567502</v>
      </c>
      <c r="H3803">
        <v>0.25216896694798002</v>
      </c>
      <c r="I3803">
        <v>0.24882176367968001</v>
      </c>
      <c r="J3803">
        <v>0.44170201144100202</v>
      </c>
      <c r="K3803">
        <v>0.57055426743097304</v>
      </c>
      <c r="L3803">
        <v>845.81334220671897</v>
      </c>
      <c r="M3803">
        <v>18.158221434417101</v>
      </c>
      <c r="N3803">
        <v>50.184664320626197</v>
      </c>
      <c r="O3803">
        <v>46.026265922734702</v>
      </c>
      <c r="P3803">
        <v>-6.2701353594682499E-2</v>
      </c>
      <c r="Q3803">
        <v>0.36430521986624997</v>
      </c>
      <c r="R3803">
        <v>0.83536412529106596</v>
      </c>
      <c r="S3803" t="s">
        <v>10205</v>
      </c>
      <c r="T3803" t="s">
        <v>12802</v>
      </c>
      <c r="U3803" t="s">
        <v>12802</v>
      </c>
      <c r="V3803" t="s">
        <v>12802</v>
      </c>
      <c r="W3803" t="s">
        <v>16551</v>
      </c>
      <c r="X3803">
        <v>3</v>
      </c>
      <c r="Y3803" t="s">
        <v>22784</v>
      </c>
      <c r="Z3803" t="s">
        <v>29121</v>
      </c>
      <c r="AA3803">
        <v>0.57736342557824849</v>
      </c>
      <c r="AB3803" t="str">
        <f>HYPERLINK("Melting_Curves/meltCurve_Q5T179_CKS1B.pdf", "Melting_Curves/meltCurve_Q5T179_CKS1B.pdf")</f>
        <v>Melting_Curves/meltCurve_Q5T179_CKS1B.pdf</v>
      </c>
    </row>
    <row r="3804" spans="1:28" x14ac:dyDescent="0.25">
      <c r="A3804" t="s">
        <v>3808</v>
      </c>
      <c r="B3804">
        <v>0.99542014353169495</v>
      </c>
      <c r="C3804">
        <v>1.04407836128022</v>
      </c>
      <c r="D3804">
        <v>0.96235737091296503</v>
      </c>
      <c r="E3804">
        <v>0.95546620721940501</v>
      </c>
      <c r="F3804">
        <v>0.75523042547406605</v>
      </c>
      <c r="G3804">
        <v>0.56997474790835601</v>
      </c>
      <c r="H3804">
        <v>0.24622293008288201</v>
      </c>
      <c r="I3804">
        <v>0.10524926105030399</v>
      </c>
      <c r="J3804">
        <v>9.7587343846339297E-2</v>
      </c>
      <c r="K3804">
        <v>0.104245295433256</v>
      </c>
      <c r="L3804">
        <v>1001.8425006188</v>
      </c>
      <c r="M3804">
        <v>18.657594619383399</v>
      </c>
      <c r="N3804">
        <v>54.0048927740973</v>
      </c>
      <c r="O3804">
        <v>53.090779583393001</v>
      </c>
      <c r="P3804">
        <v>-8.3417336772161801E-2</v>
      </c>
      <c r="Q3804">
        <v>5.0573870246699397E-2</v>
      </c>
      <c r="R3804">
        <v>0.99306647996665498</v>
      </c>
      <c r="S3804" t="s">
        <v>10206</v>
      </c>
      <c r="T3804" t="s">
        <v>12802</v>
      </c>
      <c r="U3804" t="s">
        <v>12802</v>
      </c>
      <c r="V3804" t="s">
        <v>12802</v>
      </c>
      <c r="W3804" t="s">
        <v>16552</v>
      </c>
      <c r="X3804">
        <v>9</v>
      </c>
      <c r="Y3804" t="s">
        <v>22785</v>
      </c>
      <c r="Z3804" t="s">
        <v>29122</v>
      </c>
      <c r="AA3804">
        <v>0.59170064927932375</v>
      </c>
      <c r="AB3804" t="str">
        <f>HYPERLINK("Melting_Curves/meltCurve_Q5T1C6_THEM4.pdf", "Melting_Curves/meltCurve_Q5T1C6_THEM4.pdf")</f>
        <v>Melting_Curves/meltCurve_Q5T1C6_THEM4.pdf</v>
      </c>
    </row>
    <row r="3805" spans="1:28" x14ac:dyDescent="0.25">
      <c r="A3805" t="s">
        <v>3809</v>
      </c>
      <c r="B3805">
        <v>0.99542014353169495</v>
      </c>
      <c r="C3805">
        <v>0.98074039607903796</v>
      </c>
      <c r="D3805">
        <v>0.96415213699074098</v>
      </c>
      <c r="E3805">
        <v>0.64277728167730097</v>
      </c>
      <c r="F3805">
        <v>0.182053014238646</v>
      </c>
      <c r="G3805">
        <v>9.3875165476884306E-2</v>
      </c>
      <c r="H3805">
        <v>5.4471057140603303E-2</v>
      </c>
      <c r="I3805">
        <v>4.3189814777273898E-2</v>
      </c>
      <c r="J3805">
        <v>4.5025193333757298E-2</v>
      </c>
      <c r="K3805">
        <v>3.7063574476735903E-2</v>
      </c>
      <c r="L3805">
        <v>1460.3671235956001</v>
      </c>
      <c r="M3805">
        <v>30.8334635961793</v>
      </c>
      <c r="N3805">
        <v>47.517463072609402</v>
      </c>
      <c r="O3805">
        <v>47.165172615017099</v>
      </c>
      <c r="P3805">
        <v>-0.15564411826841201</v>
      </c>
      <c r="Q3805">
        <v>4.76661049203067E-2</v>
      </c>
      <c r="R3805">
        <v>0.99938923992505502</v>
      </c>
      <c r="S3805" t="s">
        <v>10207</v>
      </c>
      <c r="T3805" t="s">
        <v>12802</v>
      </c>
      <c r="U3805" t="s">
        <v>12802</v>
      </c>
      <c r="V3805" t="s">
        <v>12802</v>
      </c>
      <c r="W3805" t="s">
        <v>16553</v>
      </c>
      <c r="X3805">
        <v>11</v>
      </c>
      <c r="Y3805" t="s">
        <v>22786</v>
      </c>
      <c r="Z3805" t="s">
        <v>29123</v>
      </c>
      <c r="AA3805">
        <v>0.38190911947973449</v>
      </c>
      <c r="AB3805" t="str">
        <f>HYPERLINK("Melting_Curves/meltCurve_Q5T1M5_FKBP15.pdf", "Melting_Curves/meltCurve_Q5T1M5_FKBP15.pdf")</f>
        <v>Melting_Curves/meltCurve_Q5T1M5_FKBP15.pdf</v>
      </c>
    </row>
    <row r="3806" spans="1:28" x14ac:dyDescent="0.25">
      <c r="A3806" t="s">
        <v>3810</v>
      </c>
      <c r="B3806">
        <v>0.99542014353169495</v>
      </c>
      <c r="C3806">
        <v>1.01698938820231</v>
      </c>
      <c r="D3806">
        <v>0.95602865491960598</v>
      </c>
      <c r="E3806">
        <v>0.83607500350183495</v>
      </c>
      <c r="F3806">
        <v>0.62713523666208104</v>
      </c>
      <c r="G3806">
        <v>0.227711886578329</v>
      </c>
      <c r="H3806">
        <v>0.128857533579774</v>
      </c>
      <c r="I3806">
        <v>0.10260310145981701</v>
      </c>
      <c r="J3806">
        <v>0.14023287713500701</v>
      </c>
      <c r="K3806">
        <v>8.4579720160578103E-2</v>
      </c>
      <c r="L3806">
        <v>1162.8109739255201</v>
      </c>
      <c r="M3806">
        <v>23.0286260897457</v>
      </c>
      <c r="N3806">
        <v>50.934921915522402</v>
      </c>
      <c r="O3806">
        <v>50.117994435623999</v>
      </c>
      <c r="P3806">
        <v>-0.104496450432097</v>
      </c>
      <c r="Q3806">
        <v>9.0339667174645394E-2</v>
      </c>
      <c r="R3806">
        <v>0.99347734620588701</v>
      </c>
      <c r="S3806" t="s">
        <v>10208</v>
      </c>
      <c r="T3806" t="s">
        <v>12802</v>
      </c>
      <c r="U3806" t="s">
        <v>12802</v>
      </c>
      <c r="V3806" t="s">
        <v>12802</v>
      </c>
      <c r="W3806" t="s">
        <v>16554</v>
      </c>
      <c r="X3806">
        <v>8</v>
      </c>
      <c r="Y3806" t="s">
        <v>22787</v>
      </c>
      <c r="Z3806" t="s">
        <v>29124</v>
      </c>
      <c r="AA3806">
        <v>0.50882062699892239</v>
      </c>
      <c r="AB3806" t="str">
        <f>HYPERLINK("Melting_Curves/meltCurve_Q5T1V6_DDX59.pdf", "Melting_Curves/meltCurve_Q5T1V6_DDX59.pdf")</f>
        <v>Melting_Curves/meltCurve_Q5T1V6_DDX59.pdf</v>
      </c>
    </row>
    <row r="3807" spans="1:28" x14ac:dyDescent="0.25">
      <c r="A3807" t="s">
        <v>3811</v>
      </c>
      <c r="B3807">
        <v>0.99542014353169495</v>
      </c>
      <c r="C3807">
        <v>0.95681030391406996</v>
      </c>
      <c r="D3807">
        <v>0.96258735163528697</v>
      </c>
      <c r="E3807">
        <v>0.83809810794237805</v>
      </c>
      <c r="F3807">
        <v>0.64585366041183001</v>
      </c>
      <c r="G3807">
        <v>0.46714030433386</v>
      </c>
      <c r="H3807">
        <v>0.300901258415884</v>
      </c>
      <c r="I3807">
        <v>0.16175443496821601</v>
      </c>
      <c r="J3807">
        <v>0.104808344404188</v>
      </c>
      <c r="K3807">
        <v>9.3488783957567906E-2</v>
      </c>
      <c r="L3807">
        <v>630.89634408463496</v>
      </c>
      <c r="M3807">
        <v>11.904685434578701</v>
      </c>
      <c r="N3807">
        <v>53.027862389169798</v>
      </c>
      <c r="O3807">
        <v>51.566622736062598</v>
      </c>
      <c r="P3807">
        <v>-5.7521339792200601E-2</v>
      </c>
      <c r="Q3807">
        <v>3.6044427207950298E-3</v>
      </c>
      <c r="R3807">
        <v>0.99839618722358103</v>
      </c>
      <c r="S3807" t="s">
        <v>10209</v>
      </c>
      <c r="T3807" t="s">
        <v>12802</v>
      </c>
      <c r="U3807" t="s">
        <v>12802</v>
      </c>
      <c r="V3807" t="s">
        <v>12802</v>
      </c>
      <c r="W3807" t="s">
        <v>16555</v>
      </c>
      <c r="X3807">
        <v>2</v>
      </c>
      <c r="Y3807" t="s">
        <v>22788</v>
      </c>
      <c r="Z3807" t="s">
        <v>29125</v>
      </c>
      <c r="AA3807">
        <v>0.55597194917497927</v>
      </c>
      <c r="AB3807" t="str">
        <f>HYPERLINK("Melting_Curves/meltCurve_Q5T1Z0_LHPP.pdf", "Melting_Curves/meltCurve_Q5T1Z0_LHPP.pdf")</f>
        <v>Melting_Curves/meltCurve_Q5T1Z0_LHPP.pdf</v>
      </c>
    </row>
    <row r="3808" spans="1:28" x14ac:dyDescent="0.25">
      <c r="A3808" t="s">
        <v>3812</v>
      </c>
      <c r="B3808">
        <v>0.99542014353169495</v>
      </c>
      <c r="C3808">
        <v>1.02291956706855</v>
      </c>
      <c r="D3808">
        <v>0.92684732724809504</v>
      </c>
      <c r="E3808">
        <v>0.72564858809649202</v>
      </c>
      <c r="F3808">
        <v>0.33779355024447499</v>
      </c>
      <c r="G3808">
        <v>7.0116865642350396E-2</v>
      </c>
      <c r="H3808">
        <v>4.8029199596467301E-2</v>
      </c>
      <c r="I3808">
        <v>1.0845867998385701E-2</v>
      </c>
      <c r="J3808">
        <v>2.1460255236809798E-2</v>
      </c>
      <c r="K3808">
        <v>0</v>
      </c>
      <c r="L3808">
        <v>1111.9394547321599</v>
      </c>
      <c r="M3808">
        <v>22.899186240294199</v>
      </c>
      <c r="N3808">
        <v>48.576551949022303</v>
      </c>
      <c r="O3808">
        <v>48.192266738444602</v>
      </c>
      <c r="P3808">
        <v>-0.118276678146466</v>
      </c>
      <c r="Q3808">
        <v>4.3466955892943202E-3</v>
      </c>
      <c r="R3808">
        <v>0.99830479069193001</v>
      </c>
      <c r="S3808" t="s">
        <v>10210</v>
      </c>
      <c r="T3808" t="s">
        <v>12802</v>
      </c>
      <c r="U3808" t="s">
        <v>12802</v>
      </c>
      <c r="V3808" t="s">
        <v>12802</v>
      </c>
      <c r="W3808" t="s">
        <v>16172</v>
      </c>
      <c r="X3808">
        <v>19</v>
      </c>
      <c r="Y3808" t="s">
        <v>22415</v>
      </c>
      <c r="Z3808" t="s">
        <v>29126</v>
      </c>
      <c r="AA3808">
        <v>0.39808320203662267</v>
      </c>
      <c r="AB3808" t="str">
        <f>HYPERLINK("Melting_Curves/meltCurve_Q5T1Z4_PUM1.pdf", "Melting_Curves/meltCurve_Q5T1Z4_PUM1.pdf")</f>
        <v>Melting_Curves/meltCurve_Q5T1Z4_PUM1.pdf</v>
      </c>
    </row>
    <row r="3809" spans="1:28" x14ac:dyDescent="0.25">
      <c r="A3809" t="s">
        <v>3813</v>
      </c>
      <c r="B3809">
        <v>0.99542014353169495</v>
      </c>
      <c r="C3809">
        <v>0.86037956330357701</v>
      </c>
      <c r="D3809">
        <v>0.89853626951315302</v>
      </c>
      <c r="E3809">
        <v>0.73832635379629397</v>
      </c>
      <c r="F3809">
        <v>0.43700830541751501</v>
      </c>
      <c r="G3809">
        <v>0.23168336099674</v>
      </c>
      <c r="H3809">
        <v>8.4698319534650998E-2</v>
      </c>
      <c r="I3809">
        <v>6.7528413619160205E-2</v>
      </c>
      <c r="J3809">
        <v>9.6920566324758997E-2</v>
      </c>
      <c r="K3809">
        <v>0.120437819930321</v>
      </c>
      <c r="L3809">
        <v>807.71494553685102</v>
      </c>
      <c r="M3809">
        <v>16.525163272204701</v>
      </c>
      <c r="N3809">
        <v>49.269111077403899</v>
      </c>
      <c r="O3809">
        <v>48.178919829101503</v>
      </c>
      <c r="P3809">
        <v>-8.0481933420938401E-2</v>
      </c>
      <c r="Q3809">
        <v>6.1488026520926602E-2</v>
      </c>
      <c r="R3809">
        <v>0.984152334112678</v>
      </c>
      <c r="S3809" t="s">
        <v>10211</v>
      </c>
      <c r="T3809" t="s">
        <v>12802</v>
      </c>
      <c r="U3809" t="s">
        <v>12802</v>
      </c>
      <c r="V3809" t="s">
        <v>12802</v>
      </c>
      <c r="W3809" t="s">
        <v>16556</v>
      </c>
      <c r="X3809">
        <v>12</v>
      </c>
      <c r="Y3809" t="s">
        <v>22789</v>
      </c>
      <c r="Z3809" t="s">
        <v>29127</v>
      </c>
      <c r="AA3809">
        <v>0.45036528019788552</v>
      </c>
      <c r="AB3809" t="str">
        <f>HYPERLINK("Melting_Curves/meltCurve_Q5T200_ZC3H13.pdf", "Melting_Curves/meltCurve_Q5T200_ZC3H13.pdf")</f>
        <v>Melting_Curves/meltCurve_Q5T200_ZC3H13.pdf</v>
      </c>
    </row>
    <row r="3810" spans="1:28" x14ac:dyDescent="0.25">
      <c r="A3810" t="s">
        <v>3814</v>
      </c>
      <c r="B3810">
        <v>0.99542014353169495</v>
      </c>
      <c r="C3810">
        <v>0.99279812875599005</v>
      </c>
      <c r="D3810">
        <v>0.79076920713621801</v>
      </c>
      <c r="E3810">
        <v>0.542826306672472</v>
      </c>
      <c r="F3810">
        <v>0.29108675633398201</v>
      </c>
      <c r="G3810">
        <v>0.135182279771491</v>
      </c>
      <c r="H3810">
        <v>0.107213587371827</v>
      </c>
      <c r="I3810">
        <v>5.4200870087272597E-2</v>
      </c>
      <c r="J3810">
        <v>8.4994322235244002E-2</v>
      </c>
      <c r="K3810">
        <v>9.1460580699031305E-2</v>
      </c>
      <c r="L3810">
        <v>803.26534486626099</v>
      </c>
      <c r="M3810">
        <v>17.232166279042701</v>
      </c>
      <c r="N3810">
        <v>47.007814475320799</v>
      </c>
      <c r="O3810">
        <v>46.000152698857597</v>
      </c>
      <c r="P3810">
        <v>-8.7367594266927404E-2</v>
      </c>
      <c r="Q3810">
        <v>6.7166596509080606E-2</v>
      </c>
      <c r="R3810">
        <v>0.99662127105477605</v>
      </c>
      <c r="S3810" t="s">
        <v>10212</v>
      </c>
      <c r="T3810" t="s">
        <v>12802</v>
      </c>
      <c r="U3810" t="s">
        <v>12802</v>
      </c>
      <c r="V3810" t="s">
        <v>12802</v>
      </c>
      <c r="W3810" t="s">
        <v>16557</v>
      </c>
      <c r="X3810">
        <v>2</v>
      </c>
      <c r="Y3810" t="s">
        <v>22790</v>
      </c>
      <c r="Z3810" t="s">
        <v>29128</v>
      </c>
      <c r="AA3810">
        <v>0.38244310975700019</v>
      </c>
      <c r="AB3810" t="str">
        <f>HYPERLINK("Melting_Curves/meltCurve_Q5T280_C9orf114.pdf", "Melting_Curves/meltCurve_Q5T280_C9orf114.pdf")</f>
        <v>Melting_Curves/meltCurve_Q5T280_C9orf114.pdf</v>
      </c>
    </row>
    <row r="3811" spans="1:28" x14ac:dyDescent="0.25">
      <c r="A3811" t="s">
        <v>3815</v>
      </c>
      <c r="B3811">
        <v>0.99542014353169495</v>
      </c>
      <c r="C3811">
        <v>0.892266851162687</v>
      </c>
      <c r="D3811">
        <v>0.88705706902489001</v>
      </c>
      <c r="E3811">
        <v>0.51239580965715903</v>
      </c>
      <c r="F3811">
        <v>0.340517358578588</v>
      </c>
      <c r="G3811">
        <v>0.197439625599869</v>
      </c>
      <c r="H3811">
        <v>0.12878175639881501</v>
      </c>
      <c r="I3811">
        <v>0.10583651403848</v>
      </c>
      <c r="J3811">
        <v>9.0777778023481803E-2</v>
      </c>
      <c r="K3811">
        <v>0.13448778962979799</v>
      </c>
      <c r="L3811">
        <v>779.88258564505395</v>
      </c>
      <c r="M3811">
        <v>16.704588123881798</v>
      </c>
      <c r="N3811">
        <v>47.324776034111302</v>
      </c>
      <c r="O3811">
        <v>46.033068769735799</v>
      </c>
      <c r="P3811">
        <v>-8.1578850299763001E-2</v>
      </c>
      <c r="Q3811">
        <v>0.1008279395037</v>
      </c>
      <c r="R3811">
        <v>0.99066630175507298</v>
      </c>
      <c r="S3811" t="s">
        <v>10213</v>
      </c>
      <c r="T3811" t="s">
        <v>12802</v>
      </c>
      <c r="U3811" t="s">
        <v>12802</v>
      </c>
      <c r="V3811" t="s">
        <v>12802</v>
      </c>
      <c r="W3811" t="s">
        <v>16558</v>
      </c>
      <c r="X3811">
        <v>1</v>
      </c>
      <c r="Y3811" t="s">
        <v>22791</v>
      </c>
      <c r="Z3811" t="s">
        <v>29129</v>
      </c>
      <c r="AA3811">
        <v>0.40784736801606541</v>
      </c>
      <c r="AB3811" t="str">
        <f>HYPERLINK("Melting_Curves/meltCurve_Q5T2D3_OTUD3.pdf", "Melting_Curves/meltCurve_Q5T2D3_OTUD3.pdf")</f>
        <v>Melting_Curves/meltCurve_Q5T2D3_OTUD3.pdf</v>
      </c>
    </row>
    <row r="3812" spans="1:28" x14ac:dyDescent="0.25">
      <c r="A3812" t="s">
        <v>3816</v>
      </c>
      <c r="B3812">
        <v>0.99542014353169495</v>
      </c>
      <c r="C3812">
        <v>0.93688108418351401</v>
      </c>
      <c r="D3812">
        <v>0.86831774592103605</v>
      </c>
      <c r="E3812">
        <v>0.68572294905227105</v>
      </c>
      <c r="F3812">
        <v>0.49554425197187302</v>
      </c>
      <c r="G3812">
        <v>0.249882834400243</v>
      </c>
      <c r="H3812">
        <v>6.14278800738546E-2</v>
      </c>
      <c r="I3812">
        <v>6.5485041501506996E-2</v>
      </c>
      <c r="J3812">
        <v>4.78757172380153E-2</v>
      </c>
      <c r="K3812">
        <v>4.3171205057461401E-2</v>
      </c>
      <c r="L3812">
        <v>682.27409233368803</v>
      </c>
      <c r="M3812">
        <v>13.8006618049476</v>
      </c>
      <c r="N3812">
        <v>49.4378052877844</v>
      </c>
      <c r="O3812">
        <v>48.434428183494802</v>
      </c>
      <c r="P3812">
        <v>-7.1243709072685804E-2</v>
      </c>
      <c r="Q3812">
        <v>0</v>
      </c>
      <c r="R3812">
        <v>0.99410063261988302</v>
      </c>
      <c r="S3812" t="s">
        <v>10214</v>
      </c>
      <c r="T3812" t="s">
        <v>12802</v>
      </c>
      <c r="U3812" t="s">
        <v>12802</v>
      </c>
      <c r="V3812" t="s">
        <v>12802</v>
      </c>
      <c r="W3812" t="s">
        <v>16559</v>
      </c>
      <c r="X3812">
        <v>1</v>
      </c>
      <c r="Y3812" t="s">
        <v>22792</v>
      </c>
      <c r="Z3812" t="s">
        <v>29130</v>
      </c>
      <c r="AA3812">
        <v>0.43862449835828299</v>
      </c>
      <c r="AB3812" t="str">
        <f>HYPERLINK("Melting_Curves/meltCurve_Q5T2J3_BCKDHB.pdf", "Melting_Curves/meltCurve_Q5T2J3_BCKDHB.pdf")</f>
        <v>Melting_Curves/meltCurve_Q5T2J3_BCKDHB.pdf</v>
      </c>
    </row>
    <row r="3813" spans="1:28" x14ac:dyDescent="0.25">
      <c r="A3813" t="s">
        <v>3817</v>
      </c>
      <c r="B3813">
        <v>0.99542014353169495</v>
      </c>
      <c r="C3813">
        <v>1.0717176935608399</v>
      </c>
      <c r="D3813">
        <v>1.00791010044048</v>
      </c>
      <c r="E3813">
        <v>0.94135482876232601</v>
      </c>
      <c r="F3813">
        <v>0.72705531974100202</v>
      </c>
      <c r="G3813">
        <v>0.50215916446786202</v>
      </c>
      <c r="H3813">
        <v>0.26003098741920999</v>
      </c>
      <c r="I3813">
        <v>0.18388460880178301</v>
      </c>
      <c r="J3813">
        <v>0.21357959342112201</v>
      </c>
      <c r="K3813">
        <v>0.341385254944711</v>
      </c>
      <c r="L3813">
        <v>1226.7125597219499</v>
      </c>
      <c r="M3813">
        <v>23.712136743694799</v>
      </c>
      <c r="N3813">
        <v>53.140534954093503</v>
      </c>
      <c r="O3813">
        <v>51.369799241662399</v>
      </c>
      <c r="P3813">
        <v>-8.8498251918279203E-2</v>
      </c>
      <c r="Q3813">
        <v>0.233124857938423</v>
      </c>
      <c r="R3813">
        <v>0.97755409280628203</v>
      </c>
      <c r="S3813" t="s">
        <v>10215</v>
      </c>
      <c r="T3813" t="s">
        <v>12802</v>
      </c>
      <c r="U3813" t="s">
        <v>12802</v>
      </c>
      <c r="V3813" t="s">
        <v>12802</v>
      </c>
      <c r="W3813" t="s">
        <v>16560</v>
      </c>
      <c r="X3813">
        <v>6</v>
      </c>
      <c r="Y3813" t="s">
        <v>22793</v>
      </c>
      <c r="Z3813" t="s">
        <v>29131</v>
      </c>
      <c r="AA3813">
        <v>0.61721653278793509</v>
      </c>
      <c r="AB3813" t="str">
        <f>HYPERLINK("Melting_Curves/meltCurve_Q5T2R2_3_PDSS1.pdf", "Melting_Curves/meltCurve_Q5T2R2_3_PDSS1.pdf")</f>
        <v>Melting_Curves/meltCurve_Q5T2R2_3_PDSS1.pdf</v>
      </c>
    </row>
    <row r="3814" spans="1:28" x14ac:dyDescent="0.25">
      <c r="A3814" t="s">
        <v>3818</v>
      </c>
      <c r="B3814">
        <v>0.99542014353169495</v>
      </c>
      <c r="C3814">
        <v>0.95981963446894802</v>
      </c>
      <c r="D3814">
        <v>1.0065572290028399</v>
      </c>
      <c r="E3814">
        <v>0.85449043111362299</v>
      </c>
      <c r="F3814">
        <v>0.80225092787657304</v>
      </c>
      <c r="G3814">
        <v>0.56747906006361204</v>
      </c>
      <c r="H3814">
        <v>0.45114039156257002</v>
      </c>
      <c r="I3814">
        <v>0.34382767851057899</v>
      </c>
      <c r="J3814">
        <v>0.463653297635442</v>
      </c>
      <c r="K3814">
        <v>0.60875807490255796</v>
      </c>
      <c r="L3814">
        <v>1137.5581296442199</v>
      </c>
      <c r="M3814">
        <v>22.504729231138001</v>
      </c>
      <c r="N3814">
        <v>56.814491024002997</v>
      </c>
      <c r="O3814">
        <v>50.153454970476702</v>
      </c>
      <c r="P3814">
        <v>-6.0776747077335297E-2</v>
      </c>
      <c r="Q3814">
        <v>0.458228959719439</v>
      </c>
      <c r="R3814">
        <v>0.91010190044379702</v>
      </c>
      <c r="S3814" t="s">
        <v>10216</v>
      </c>
      <c r="T3814" t="s">
        <v>12802</v>
      </c>
      <c r="U3814" t="s">
        <v>12802</v>
      </c>
      <c r="V3814" t="s">
        <v>12802</v>
      </c>
      <c r="W3814" t="s">
        <v>16561</v>
      </c>
      <c r="X3814">
        <v>7</v>
      </c>
      <c r="Y3814" t="s">
        <v>22794</v>
      </c>
      <c r="Z3814" t="s">
        <v>29132</v>
      </c>
      <c r="AA3814">
        <v>0.70866764132715232</v>
      </c>
      <c r="AB3814" t="str">
        <f>HYPERLINK("Melting_Curves/meltCurve_Q5T3J3_2_LRIF1.pdf", "Melting_Curves/meltCurve_Q5T3J3_2_LRIF1.pdf")</f>
        <v>Melting_Curves/meltCurve_Q5T3J3_2_LRIF1.pdf</v>
      </c>
    </row>
    <row r="3815" spans="1:28" x14ac:dyDescent="0.25">
      <c r="A3815" t="s">
        <v>3819</v>
      </c>
      <c r="B3815">
        <v>0.99542014353169495</v>
      </c>
      <c r="C3815">
        <v>0.94866936744661601</v>
      </c>
      <c r="D3815">
        <v>1.0535746048320001</v>
      </c>
      <c r="E3815">
        <v>0.51425168267924504</v>
      </c>
      <c r="F3815">
        <v>0.16318749842161101</v>
      </c>
      <c r="G3815">
        <v>0.10454584133406</v>
      </c>
      <c r="H3815">
        <v>5.8941939878640701E-2</v>
      </c>
      <c r="I3815">
        <v>4.2441381149787599E-2</v>
      </c>
      <c r="J3815">
        <v>3.6642718983910499E-2</v>
      </c>
      <c r="K3815">
        <v>4.25179378924221E-2</v>
      </c>
      <c r="L3815">
        <v>1919.63125627767</v>
      </c>
      <c r="M3815">
        <v>41.185419753196001</v>
      </c>
      <c r="N3815">
        <v>46.766348029378896</v>
      </c>
      <c r="O3815">
        <v>46.5000037720961</v>
      </c>
      <c r="P3815">
        <v>-0.20714251459468</v>
      </c>
      <c r="Q3815">
        <v>6.4512634975380498E-2</v>
      </c>
      <c r="R3815">
        <v>0.99110093057459603</v>
      </c>
      <c r="S3815" t="s">
        <v>10217</v>
      </c>
      <c r="T3815" t="s">
        <v>12802</v>
      </c>
      <c r="U3815" t="s">
        <v>12802</v>
      </c>
      <c r="V3815" t="s">
        <v>12802</v>
      </c>
      <c r="W3815" t="s">
        <v>16562</v>
      </c>
      <c r="X3815">
        <v>14</v>
      </c>
      <c r="Y3815" t="s">
        <v>22795</v>
      </c>
      <c r="Z3815" t="s">
        <v>29133</v>
      </c>
      <c r="AA3815">
        <v>0.36700692125437412</v>
      </c>
      <c r="AB3815" t="str">
        <f>HYPERLINK("Melting_Curves/meltCurve_Q5T3Q7_HEATR1.pdf", "Melting_Curves/meltCurve_Q5T3Q7_HEATR1.pdf")</f>
        <v>Melting_Curves/meltCurve_Q5T3Q7_HEATR1.pdf</v>
      </c>
    </row>
    <row r="3816" spans="1:28" x14ac:dyDescent="0.25">
      <c r="A3816" t="s">
        <v>3820</v>
      </c>
      <c r="B3816">
        <v>0.99542014353169495</v>
      </c>
      <c r="C3816">
        <v>1.30864070228463</v>
      </c>
      <c r="D3816">
        <v>1.0088894594106199</v>
      </c>
      <c r="E3816">
        <v>1.0134458829306401</v>
      </c>
      <c r="F3816">
        <v>1.1536255377429701</v>
      </c>
      <c r="G3816">
        <v>0.77522320043614701</v>
      </c>
      <c r="H3816">
        <v>0.30788587962282299</v>
      </c>
      <c r="I3816">
        <v>0.28906958628477403</v>
      </c>
      <c r="J3816">
        <v>0.300765257933851</v>
      </c>
      <c r="K3816">
        <v>0.150984750391807</v>
      </c>
      <c r="L3816">
        <v>3219.77835385355</v>
      </c>
      <c r="M3816">
        <v>58.944366423285501</v>
      </c>
      <c r="N3816">
        <v>55.2772969211589</v>
      </c>
      <c r="O3816">
        <v>54.561244039775097</v>
      </c>
      <c r="P3816">
        <v>-0.20232904909145399</v>
      </c>
      <c r="Q3816">
        <v>0.250864994736685</v>
      </c>
      <c r="R3816">
        <v>0.91780062456139799</v>
      </c>
      <c r="S3816" t="s">
        <v>10218</v>
      </c>
      <c r="T3816" t="s">
        <v>12802</v>
      </c>
      <c r="U3816" t="s">
        <v>12802</v>
      </c>
      <c r="V3816" t="s">
        <v>12802</v>
      </c>
      <c r="W3816" t="s">
        <v>16563</v>
      </c>
      <c r="X3816">
        <v>3</v>
      </c>
      <c r="Y3816" t="s">
        <v>22796</v>
      </c>
      <c r="Z3816" t="s">
        <v>29134</v>
      </c>
      <c r="AA3816">
        <v>0.6922534518171074</v>
      </c>
      <c r="AB3816" t="str">
        <f>HYPERLINK("Melting_Curves/meltCurve_Q5T3U5_2_ABCC10.pdf", "Melting_Curves/meltCurve_Q5T3U5_2_ABCC10.pdf")</f>
        <v>Melting_Curves/meltCurve_Q5T3U5_2_ABCC10.pdf</v>
      </c>
    </row>
    <row r="3817" spans="1:28" x14ac:dyDescent="0.25">
      <c r="A3817" t="s">
        <v>3821</v>
      </c>
      <c r="B3817">
        <v>0.99542014353169495</v>
      </c>
      <c r="C3817">
        <v>1.0491647576338201</v>
      </c>
      <c r="D3817">
        <v>0.97809822111113398</v>
      </c>
      <c r="E3817">
        <v>0.93881035017521697</v>
      </c>
      <c r="F3817">
        <v>0.69838184445421203</v>
      </c>
      <c r="G3817">
        <v>0.411666690924546</v>
      </c>
      <c r="H3817">
        <v>0.133334825986864</v>
      </c>
      <c r="I3817">
        <v>9.4985148057114097E-2</v>
      </c>
      <c r="J3817">
        <v>8.9836248053143594E-2</v>
      </c>
      <c r="K3817">
        <v>9.1000299546323701E-2</v>
      </c>
      <c r="L3817">
        <v>1148.2913905370499</v>
      </c>
      <c r="M3817">
        <v>22.0451748604256</v>
      </c>
      <c r="N3817">
        <v>52.429584639420398</v>
      </c>
      <c r="O3817">
        <v>51.665171048095701</v>
      </c>
      <c r="P3817">
        <v>-9.9541677649670396E-2</v>
      </c>
      <c r="Q3817">
        <v>6.6875255062557204E-2</v>
      </c>
      <c r="R3817">
        <v>0.99605374780315104</v>
      </c>
      <c r="S3817" t="s">
        <v>10219</v>
      </c>
      <c r="T3817" t="s">
        <v>12802</v>
      </c>
      <c r="U3817" t="s">
        <v>12802</v>
      </c>
      <c r="V3817" t="s">
        <v>12802</v>
      </c>
      <c r="W3817" t="s">
        <v>16564</v>
      </c>
      <c r="X3817">
        <v>10</v>
      </c>
      <c r="Y3817" t="s">
        <v>22797</v>
      </c>
      <c r="Z3817" t="s">
        <v>29135</v>
      </c>
      <c r="AA3817">
        <v>0.54645897245705888</v>
      </c>
      <c r="AB3817" t="str">
        <f>HYPERLINK("Melting_Curves/meltCurve_Q5T440_IBA57.pdf", "Melting_Curves/meltCurve_Q5T440_IBA57.pdf")</f>
        <v>Melting_Curves/meltCurve_Q5T440_IBA57.pdf</v>
      </c>
    </row>
    <row r="3818" spans="1:28" x14ac:dyDescent="0.25">
      <c r="A3818" t="s">
        <v>3822</v>
      </c>
      <c r="B3818">
        <v>0.99542014353169495</v>
      </c>
      <c r="C3818">
        <v>0.81283465200043203</v>
      </c>
      <c r="D3818">
        <v>0.63106389792940798</v>
      </c>
      <c r="E3818">
        <v>0.41371600680962101</v>
      </c>
      <c r="F3818">
        <v>0.221719951473107</v>
      </c>
      <c r="G3818">
        <v>0.10234347984813499</v>
      </c>
      <c r="H3818">
        <v>7.97448983895125E-2</v>
      </c>
      <c r="I3818">
        <v>5.2344080571198201E-2</v>
      </c>
      <c r="J3818">
        <v>7.9722076946897105E-2</v>
      </c>
      <c r="K3818">
        <v>0.109122430378454</v>
      </c>
      <c r="L3818">
        <v>628.12856002882904</v>
      </c>
      <c r="M3818">
        <v>14.117269756110099</v>
      </c>
      <c r="N3818">
        <v>44.885993576800097</v>
      </c>
      <c r="O3818">
        <v>43.629399287546697</v>
      </c>
      <c r="P3818">
        <v>-7.6207293695188E-2</v>
      </c>
      <c r="Q3818">
        <v>5.8046892246161698E-2</v>
      </c>
      <c r="R3818">
        <v>0.99253718587287298</v>
      </c>
      <c r="S3818" t="s">
        <v>10220</v>
      </c>
      <c r="T3818" t="s">
        <v>12802</v>
      </c>
      <c r="U3818" t="s">
        <v>12802</v>
      </c>
      <c r="V3818" t="s">
        <v>12802</v>
      </c>
      <c r="W3818" t="s">
        <v>16565</v>
      </c>
      <c r="X3818">
        <v>6</v>
      </c>
      <c r="Y3818" t="s">
        <v>22798</v>
      </c>
      <c r="Z3818" t="s">
        <v>29136</v>
      </c>
      <c r="AA3818">
        <v>0.31916544603693109</v>
      </c>
      <c r="AB3818" t="str">
        <f>HYPERLINK("Melting_Curves/meltCurve_Q5T447_HECTD3.pdf", "Melting_Curves/meltCurve_Q5T447_HECTD3.pdf")</f>
        <v>Melting_Curves/meltCurve_Q5T447_HECTD3.pdf</v>
      </c>
    </row>
    <row r="3819" spans="1:28" x14ac:dyDescent="0.25">
      <c r="A3819" t="s">
        <v>3823</v>
      </c>
      <c r="B3819">
        <v>0.99542014353169495</v>
      </c>
      <c r="C3819">
        <v>0.96630595027904798</v>
      </c>
      <c r="D3819">
        <v>0.79748780429266597</v>
      </c>
      <c r="E3819">
        <v>0.52157175466051098</v>
      </c>
      <c r="F3819">
        <v>0.28088919715534499</v>
      </c>
      <c r="G3819">
        <v>0.11387162311881401</v>
      </c>
      <c r="H3819">
        <v>6.0658825490723198E-2</v>
      </c>
      <c r="I3819">
        <v>4.2614889528406197E-2</v>
      </c>
      <c r="J3819">
        <v>4.7482947742281699E-2</v>
      </c>
      <c r="K3819">
        <v>4.7271510182409701E-2</v>
      </c>
      <c r="L3819">
        <v>775.57304001016598</v>
      </c>
      <c r="M3819">
        <v>16.606601161169699</v>
      </c>
      <c r="N3819">
        <v>46.876700842737797</v>
      </c>
      <c r="O3819">
        <v>46.041253406116503</v>
      </c>
      <c r="P3819">
        <v>-8.74830277614283E-2</v>
      </c>
      <c r="Q3819">
        <v>2.9890890352953298E-2</v>
      </c>
      <c r="R3819">
        <v>0.99888886277331201</v>
      </c>
      <c r="S3819" t="s">
        <v>10221</v>
      </c>
      <c r="T3819" t="s">
        <v>12802</v>
      </c>
      <c r="U3819" t="s">
        <v>12802</v>
      </c>
      <c r="V3819" t="s">
        <v>12802</v>
      </c>
      <c r="W3819" t="s">
        <v>16566</v>
      </c>
      <c r="X3819">
        <v>3</v>
      </c>
      <c r="Y3819" t="s">
        <v>22799</v>
      </c>
      <c r="Z3819" t="s">
        <v>29137</v>
      </c>
      <c r="AA3819">
        <v>0.3618458569841308</v>
      </c>
      <c r="AB3819" t="str">
        <f>HYPERLINK("Melting_Curves/meltCurve_Q5T4B9_COQ4.pdf", "Melting_Curves/meltCurve_Q5T4B9_COQ4.pdf")</f>
        <v>Melting_Curves/meltCurve_Q5T4B9_COQ4.pdf</v>
      </c>
    </row>
    <row r="3820" spans="1:28" x14ac:dyDescent="0.25">
      <c r="A3820" t="s">
        <v>3824</v>
      </c>
      <c r="B3820">
        <v>0.99542014353169495</v>
      </c>
      <c r="C3820">
        <v>1.1470166360523499</v>
      </c>
      <c r="D3820">
        <v>0.99298682995395904</v>
      </c>
      <c r="E3820">
        <v>0.83194832546096098</v>
      </c>
      <c r="F3820">
        <v>0.707140242142687</v>
      </c>
      <c r="G3820">
        <v>0.37341672581769397</v>
      </c>
      <c r="H3820">
        <v>0.18479062899686199</v>
      </c>
      <c r="I3820">
        <v>0.152213672400833</v>
      </c>
      <c r="J3820">
        <v>0.110818421946523</v>
      </c>
      <c r="K3820">
        <v>0.16693611163502001</v>
      </c>
      <c r="L3820">
        <v>1032.89449028279</v>
      </c>
      <c r="M3820">
        <v>20.078265208116399</v>
      </c>
      <c r="N3820">
        <v>52.132135782306399</v>
      </c>
      <c r="O3820">
        <v>50.941258748790403</v>
      </c>
      <c r="P3820">
        <v>-8.7060130211674497E-2</v>
      </c>
      <c r="Q3820">
        <v>0.116495180300198</v>
      </c>
      <c r="R3820">
        <v>0.97865836363826897</v>
      </c>
      <c r="S3820" t="s">
        <v>10222</v>
      </c>
      <c r="T3820" t="s">
        <v>12802</v>
      </c>
      <c r="U3820" t="s">
        <v>12802</v>
      </c>
      <c r="V3820" t="s">
        <v>12802</v>
      </c>
      <c r="W3820" t="s">
        <v>16567</v>
      </c>
      <c r="X3820">
        <v>2</v>
      </c>
      <c r="Y3820" t="s">
        <v>22800</v>
      </c>
      <c r="Z3820" t="s">
        <v>29138</v>
      </c>
      <c r="AA3820">
        <v>0.55329362694933759</v>
      </c>
      <c r="AB3820" t="str">
        <f>HYPERLINK("Melting_Curves/meltCurve_Q5T4F4_7_ZFYVE27.pdf", "Melting_Curves/meltCurve_Q5T4F4_7_ZFYVE27.pdf")</f>
        <v>Melting_Curves/meltCurve_Q5T4F4_7_ZFYVE27.pdf</v>
      </c>
    </row>
    <row r="3821" spans="1:28" x14ac:dyDescent="0.25">
      <c r="A3821" t="s">
        <v>3825</v>
      </c>
      <c r="B3821">
        <v>0.99542014353169495</v>
      </c>
      <c r="C3821">
        <v>0.83982263586853401</v>
      </c>
      <c r="D3821">
        <v>0.79782249472142197</v>
      </c>
      <c r="E3821">
        <v>0.48506640055427702</v>
      </c>
      <c r="F3821">
        <v>0.170388880498792</v>
      </c>
      <c r="G3821">
        <v>9.1723130681856502E-2</v>
      </c>
      <c r="H3821">
        <v>6.3300162957320494E-2</v>
      </c>
      <c r="I3821">
        <v>4.9432881533054897E-2</v>
      </c>
      <c r="J3821">
        <v>5.5228383251978798E-2</v>
      </c>
      <c r="K3821">
        <v>6.6828322437688506E-2</v>
      </c>
      <c r="L3821">
        <v>799.84116018968803</v>
      </c>
      <c r="M3821">
        <v>17.443660978799301</v>
      </c>
      <c r="N3821">
        <v>46.064999409049797</v>
      </c>
      <c r="O3821">
        <v>45.262939917092403</v>
      </c>
      <c r="P3821">
        <v>-9.2632393885335201E-2</v>
      </c>
      <c r="Q3821">
        <v>3.8600823485853197E-2</v>
      </c>
      <c r="R3821">
        <v>0.98976429412568601</v>
      </c>
      <c r="S3821" t="s">
        <v>10223</v>
      </c>
      <c r="T3821" t="s">
        <v>12802</v>
      </c>
      <c r="U3821" t="s">
        <v>12802</v>
      </c>
      <c r="V3821" t="s">
        <v>12802</v>
      </c>
      <c r="W3821" t="s">
        <v>16568</v>
      </c>
      <c r="X3821">
        <v>63</v>
      </c>
      <c r="Y3821" t="s">
        <v>22801</v>
      </c>
      <c r="Z3821" t="s">
        <v>29139</v>
      </c>
      <c r="AA3821">
        <v>0.33887491888814553</v>
      </c>
      <c r="AB3821" t="str">
        <f>HYPERLINK("Melting_Curves/meltCurve_Q5T4S7_3_UBR4.pdf", "Melting_Curves/meltCurve_Q5T4S7_3_UBR4.pdf")</f>
        <v>Melting_Curves/meltCurve_Q5T4S7_3_UBR4.pdf</v>
      </c>
    </row>
    <row r="3822" spans="1:28" x14ac:dyDescent="0.25">
      <c r="A3822" t="s">
        <v>3826</v>
      </c>
      <c r="B3822">
        <v>0.99542014353169495</v>
      </c>
      <c r="C3822">
        <v>0.89293691227302097</v>
      </c>
      <c r="D3822">
        <v>0.98953165934146303</v>
      </c>
      <c r="E3822">
        <v>0.87635943747803402</v>
      </c>
      <c r="F3822">
        <v>0.68075463326752905</v>
      </c>
      <c r="G3822">
        <v>0.46783816073206802</v>
      </c>
      <c r="H3822">
        <v>0.24268125421348199</v>
      </c>
      <c r="I3822">
        <v>7.2010066096152403E-2</v>
      </c>
      <c r="J3822">
        <v>5.4260382146064899E-2</v>
      </c>
      <c r="K3822">
        <v>5.2620403325653799E-2</v>
      </c>
      <c r="L3822">
        <v>803.61509703569698</v>
      </c>
      <c r="M3822">
        <v>15.1879108037576</v>
      </c>
      <c r="N3822">
        <v>52.911508868206901</v>
      </c>
      <c r="O3822">
        <v>52.019640495725703</v>
      </c>
      <c r="P3822">
        <v>-7.2998249893221304E-2</v>
      </c>
      <c r="Q3822">
        <v>0</v>
      </c>
      <c r="R3822">
        <v>0.99031971017911802</v>
      </c>
      <c r="S3822" t="s">
        <v>10224</v>
      </c>
      <c r="T3822" t="s">
        <v>12802</v>
      </c>
      <c r="U3822" t="s">
        <v>12802</v>
      </c>
      <c r="V3822" t="s">
        <v>12802</v>
      </c>
      <c r="W3822" t="s">
        <v>16569</v>
      </c>
      <c r="X3822">
        <v>23</v>
      </c>
      <c r="Y3822" t="s">
        <v>22802</v>
      </c>
      <c r="Z3822" t="s">
        <v>29140</v>
      </c>
      <c r="AA3822">
        <v>0.54813845904985325</v>
      </c>
      <c r="AB3822" t="str">
        <f>HYPERLINK("Melting_Curves/meltCurve_Q5T4U5_ACADM.pdf", "Melting_Curves/meltCurve_Q5T4U5_ACADM.pdf")</f>
        <v>Melting_Curves/meltCurve_Q5T4U5_ACADM.pdf</v>
      </c>
    </row>
    <row r="3823" spans="1:28" x14ac:dyDescent="0.25">
      <c r="A3823" t="s">
        <v>3827</v>
      </c>
      <c r="B3823">
        <v>0.99542014353169495</v>
      </c>
      <c r="C3823">
        <v>0.92866166372988901</v>
      </c>
      <c r="D3823">
        <v>0.95058715996165799</v>
      </c>
      <c r="E3823">
        <v>0.78697004914905799</v>
      </c>
      <c r="F3823">
        <v>0.44702938216647797</v>
      </c>
      <c r="G3823">
        <v>0.17965973574982699</v>
      </c>
      <c r="H3823">
        <v>9.6050500077229706E-2</v>
      </c>
      <c r="I3823">
        <v>7.4747529058996495E-2</v>
      </c>
      <c r="J3823">
        <v>8.7096528678453994E-2</v>
      </c>
      <c r="K3823">
        <v>9.69072967496315E-2</v>
      </c>
      <c r="L3823">
        <v>1080.75608036368</v>
      </c>
      <c r="M3823">
        <v>21.979864228824798</v>
      </c>
      <c r="N3823">
        <v>49.524425437123497</v>
      </c>
      <c r="O3823">
        <v>48.768699273659102</v>
      </c>
      <c r="P3823">
        <v>-0.104482395969309</v>
      </c>
      <c r="Q3823">
        <v>7.2722863625044307E-2</v>
      </c>
      <c r="R3823">
        <v>0.99613186019806299</v>
      </c>
      <c r="S3823" t="s">
        <v>10225</v>
      </c>
      <c r="T3823" t="s">
        <v>12802</v>
      </c>
      <c r="U3823" t="s">
        <v>12802</v>
      </c>
      <c r="V3823" t="s">
        <v>12802</v>
      </c>
      <c r="W3823" t="s">
        <v>16570</v>
      </c>
      <c r="X3823">
        <v>4</v>
      </c>
      <c r="Y3823" t="s">
        <v>22803</v>
      </c>
      <c r="Z3823" t="s">
        <v>29141</v>
      </c>
      <c r="AA3823">
        <v>0.45916389899477289</v>
      </c>
      <c r="AB3823" t="str">
        <f>HYPERLINK("Melting_Curves/meltCurve_Q5T4U8_RABGGTB.pdf", "Melting_Curves/meltCurve_Q5T4U8_RABGGTB.pdf")</f>
        <v>Melting_Curves/meltCurve_Q5T4U8_RABGGTB.pdf</v>
      </c>
    </row>
    <row r="3824" spans="1:28" x14ac:dyDescent="0.25">
      <c r="A3824" t="s">
        <v>3828</v>
      </c>
      <c r="B3824">
        <v>0.99542014353169495</v>
      </c>
      <c r="C3824">
        <v>1.06880392666535</v>
      </c>
      <c r="D3824">
        <v>1.0133735133028201</v>
      </c>
      <c r="E3824">
        <v>0.91622976545588397</v>
      </c>
      <c r="F3824">
        <v>0.70763635353941301</v>
      </c>
      <c r="G3824">
        <v>0.336795659787888</v>
      </c>
      <c r="H3824">
        <v>0.118096300237341</v>
      </c>
      <c r="I3824">
        <v>6.3496401119021897E-2</v>
      </c>
      <c r="J3824">
        <v>5.5636659580031403E-2</v>
      </c>
      <c r="K3824">
        <v>6.62842467916155E-2</v>
      </c>
      <c r="L3824">
        <v>1239.66331829205</v>
      </c>
      <c r="M3824">
        <v>23.901603381953102</v>
      </c>
      <c r="N3824">
        <v>52.075047041185599</v>
      </c>
      <c r="O3824">
        <v>51.506311142132901</v>
      </c>
      <c r="P3824">
        <v>-0.110690310669398</v>
      </c>
      <c r="Q3824">
        <v>4.5895276819866299E-2</v>
      </c>
      <c r="R3824">
        <v>0.99639541385557995</v>
      </c>
      <c r="S3824" t="s">
        <v>10226</v>
      </c>
      <c r="T3824" t="s">
        <v>12802</v>
      </c>
      <c r="U3824" t="s">
        <v>12802</v>
      </c>
      <c r="V3824" t="s">
        <v>12802</v>
      </c>
      <c r="W3824" t="s">
        <v>16571</v>
      </c>
      <c r="X3824">
        <v>15</v>
      </c>
      <c r="Y3824" t="s">
        <v>22804</v>
      </c>
      <c r="Z3824" t="s">
        <v>29142</v>
      </c>
      <c r="AA3824">
        <v>0.52782049479222926</v>
      </c>
      <c r="AB3824" t="str">
        <f>HYPERLINK("Melting_Curves/meltCurve_Q5T5C0_3_STXBP5.pdf", "Melting_Curves/meltCurve_Q5T5C0_3_STXBP5.pdf")</f>
        <v>Melting_Curves/meltCurve_Q5T5C0_3_STXBP5.pdf</v>
      </c>
    </row>
    <row r="3825" spans="1:28" x14ac:dyDescent="0.25">
      <c r="A3825" t="s">
        <v>3829</v>
      </c>
      <c r="B3825">
        <v>0.99542014353169495</v>
      </c>
      <c r="C3825">
        <v>0.94515459900522403</v>
      </c>
      <c r="D3825">
        <v>0.88833620449534001</v>
      </c>
      <c r="E3825">
        <v>0.84699974403086797</v>
      </c>
      <c r="F3825">
        <v>0.71446991358923795</v>
      </c>
      <c r="G3825">
        <v>0.54512238860514695</v>
      </c>
      <c r="H3825">
        <v>0.13541511586639399</v>
      </c>
      <c r="I3825">
        <v>5.4040741885166797E-2</v>
      </c>
      <c r="J3825">
        <v>5.1537744840141397E-2</v>
      </c>
      <c r="K3825">
        <v>6.18016701542927E-2</v>
      </c>
      <c r="L3825">
        <v>870.47538889078999</v>
      </c>
      <c r="M3825">
        <v>16.421880761908501</v>
      </c>
      <c r="N3825">
        <v>53.007045994593902</v>
      </c>
      <c r="O3825">
        <v>52.239709046816401</v>
      </c>
      <c r="P3825">
        <v>-7.8594621661585706E-2</v>
      </c>
      <c r="Q3825">
        <v>0</v>
      </c>
      <c r="R3825">
        <v>0.97567385572954601</v>
      </c>
      <c r="S3825" t="s">
        <v>10227</v>
      </c>
      <c r="T3825" t="s">
        <v>12802</v>
      </c>
      <c r="U3825" t="s">
        <v>12802</v>
      </c>
      <c r="V3825" t="s">
        <v>12802</v>
      </c>
      <c r="W3825" t="s">
        <v>16572</v>
      </c>
      <c r="X3825">
        <v>32</v>
      </c>
      <c r="Y3825" t="s">
        <v>22805</v>
      </c>
      <c r="Z3825" t="s">
        <v>29143</v>
      </c>
      <c r="AA3825">
        <v>0.54979938451149502</v>
      </c>
      <c r="AB3825" t="str">
        <f>HYPERLINK("Melting_Curves/meltCurve_Q5T5C7_SARS.pdf", "Melting_Curves/meltCurve_Q5T5C7_SARS.pdf")</f>
        <v>Melting_Curves/meltCurve_Q5T5C7_SARS.pdf</v>
      </c>
    </row>
    <row r="3826" spans="1:28" x14ac:dyDescent="0.25">
      <c r="A3826" t="s">
        <v>3830</v>
      </c>
      <c r="B3826">
        <v>0.99542014353169495</v>
      </c>
      <c r="C3826">
        <v>0.92384623292702095</v>
      </c>
      <c r="D3826">
        <v>0.96615290342083704</v>
      </c>
      <c r="E3826">
        <v>0.78177110788682902</v>
      </c>
      <c r="F3826">
        <v>0.66067183426668996</v>
      </c>
      <c r="G3826">
        <v>0.48484390614616801</v>
      </c>
      <c r="H3826">
        <v>0.48642126293329402</v>
      </c>
      <c r="I3826">
        <v>0.40027889127872801</v>
      </c>
      <c r="J3826">
        <v>0.42784326892917601</v>
      </c>
      <c r="K3826">
        <v>0.31381902257679101</v>
      </c>
      <c r="L3826">
        <v>615.45337016583505</v>
      </c>
      <c r="M3826">
        <v>12.3855990171041</v>
      </c>
      <c r="N3826">
        <v>54.782043058699998</v>
      </c>
      <c r="O3826">
        <v>48.448979942321401</v>
      </c>
      <c r="P3826">
        <v>-4.2072161357148002E-2</v>
      </c>
      <c r="Q3826">
        <v>0.341842496461153</v>
      </c>
      <c r="R3826">
        <v>0.97717880552829295</v>
      </c>
      <c r="S3826" t="s">
        <v>10228</v>
      </c>
      <c r="T3826" t="s">
        <v>12802</v>
      </c>
      <c r="U3826" t="s">
        <v>12802</v>
      </c>
      <c r="V3826" t="s">
        <v>12802</v>
      </c>
      <c r="W3826" t="s">
        <v>16573</v>
      </c>
      <c r="X3826">
        <v>15</v>
      </c>
      <c r="Y3826" t="s">
        <v>22806</v>
      </c>
      <c r="Z3826" t="s">
        <v>29144</v>
      </c>
      <c r="AA3826">
        <v>0.63833268794067211</v>
      </c>
      <c r="AB3826" t="str">
        <f>HYPERLINK("Melting_Curves/meltCurve_Q5T5U3_ARHGAP21.pdf", "Melting_Curves/meltCurve_Q5T5U3_ARHGAP21.pdf")</f>
        <v>Melting_Curves/meltCurve_Q5T5U3_ARHGAP21.pdf</v>
      </c>
    </row>
    <row r="3827" spans="1:28" x14ac:dyDescent="0.25">
      <c r="A3827" t="s">
        <v>3831</v>
      </c>
      <c r="B3827">
        <v>0.99542014353169495</v>
      </c>
      <c r="C3827">
        <v>0.76950424349569002</v>
      </c>
      <c r="D3827">
        <v>0.22767061093402</v>
      </c>
      <c r="E3827">
        <v>0.142355353477323</v>
      </c>
      <c r="F3827">
        <v>0.124491802330189</v>
      </c>
      <c r="G3827">
        <v>8.9170017951778896E-2</v>
      </c>
      <c r="H3827">
        <v>5.2151541541730399E-2</v>
      </c>
      <c r="I3827">
        <v>4.9383792713109699E-2</v>
      </c>
      <c r="J3827">
        <v>4.0023717019961103E-2</v>
      </c>
      <c r="K3827">
        <v>2.04297309972723E-2</v>
      </c>
      <c r="L3827">
        <v>1432.8338680496199</v>
      </c>
      <c r="M3827">
        <v>34.817864209749402</v>
      </c>
      <c r="N3827">
        <v>41.331347126364697</v>
      </c>
      <c r="O3827">
        <v>41.0172197583057</v>
      </c>
      <c r="P3827">
        <v>-0.19735862887069699</v>
      </c>
      <c r="Q3827">
        <v>7.0009229489298802E-2</v>
      </c>
      <c r="R3827">
        <v>0.98975160136238605</v>
      </c>
      <c r="S3827" t="s">
        <v>10229</v>
      </c>
      <c r="T3827" t="s">
        <v>12802</v>
      </c>
      <c r="U3827" t="s">
        <v>12802</v>
      </c>
      <c r="V3827" t="s">
        <v>12802</v>
      </c>
      <c r="W3827" t="s">
        <v>16574</v>
      </c>
      <c r="X3827">
        <v>3</v>
      </c>
      <c r="Y3827" t="s">
        <v>22807</v>
      </c>
      <c r="Z3827" t="s">
        <v>29145</v>
      </c>
      <c r="AA3827">
        <v>0.20279123298826471</v>
      </c>
      <c r="AB3827" t="str">
        <f>HYPERLINK("Melting_Curves/meltCurve_Q5T5X7_BEND3.pdf", "Melting_Curves/meltCurve_Q5T5X7_BEND3.pdf")</f>
        <v>Melting_Curves/meltCurve_Q5T5X7_BEND3.pdf</v>
      </c>
    </row>
    <row r="3828" spans="1:28" x14ac:dyDescent="0.25">
      <c r="A3828" t="s">
        <v>3832</v>
      </c>
      <c r="B3828">
        <v>0.99542014353169495</v>
      </c>
      <c r="C3828">
        <v>1.0222845715048301</v>
      </c>
      <c r="D3828">
        <v>0.97077254383258904</v>
      </c>
      <c r="E3828">
        <v>0.80619202540468604</v>
      </c>
      <c r="F3828">
        <v>0.393867363870186</v>
      </c>
      <c r="G3828">
        <v>0.16915390388690599</v>
      </c>
      <c r="H3828">
        <v>0.118081142156965</v>
      </c>
      <c r="I3828">
        <v>7.0623691171320696E-2</v>
      </c>
      <c r="J3828">
        <v>0.10240925868758601</v>
      </c>
      <c r="K3828">
        <v>8.4979711083235196E-2</v>
      </c>
      <c r="L3828">
        <v>1274.1095982177101</v>
      </c>
      <c r="M3828">
        <v>26.046873818986001</v>
      </c>
      <c r="N3828">
        <v>49.280244077265202</v>
      </c>
      <c r="O3828">
        <v>48.630449187691497</v>
      </c>
      <c r="P3828">
        <v>-0.12217961908628699</v>
      </c>
      <c r="Q3828">
        <v>8.7555892815266906E-2</v>
      </c>
      <c r="R3828">
        <v>0.99907645641160903</v>
      </c>
      <c r="S3828" t="s">
        <v>10230</v>
      </c>
      <c r="T3828" t="s">
        <v>12802</v>
      </c>
      <c r="U3828" t="s">
        <v>12802</v>
      </c>
      <c r="V3828" t="s">
        <v>12802</v>
      </c>
      <c r="W3828" t="s">
        <v>16575</v>
      </c>
      <c r="X3828">
        <v>14</v>
      </c>
      <c r="Y3828" t="s">
        <v>22808</v>
      </c>
      <c r="Z3828" t="s">
        <v>29146</v>
      </c>
      <c r="AA3828">
        <v>0.45724861346013113</v>
      </c>
      <c r="AB3828" t="str">
        <f>HYPERLINK("Melting_Curves/meltCurve_Q5T5Y3_CAMSAP1.pdf", "Melting_Curves/meltCurve_Q5T5Y3_CAMSAP1.pdf")</f>
        <v>Melting_Curves/meltCurve_Q5T5Y3_CAMSAP1.pdf</v>
      </c>
    </row>
    <row r="3829" spans="1:28" x14ac:dyDescent="0.25">
      <c r="A3829" t="s">
        <v>3833</v>
      </c>
      <c r="B3829">
        <v>0.99542014353169495</v>
      </c>
      <c r="C3829">
        <v>0.97529119743524995</v>
      </c>
      <c r="D3829">
        <v>0.92032944095162195</v>
      </c>
      <c r="E3829">
        <v>0.815961731775662</v>
      </c>
      <c r="F3829">
        <v>0.64993119602594995</v>
      </c>
      <c r="G3829">
        <v>0.52419351102241996</v>
      </c>
      <c r="H3829">
        <v>0.40217889853200001</v>
      </c>
      <c r="I3829">
        <v>0.41674158212069301</v>
      </c>
      <c r="J3829">
        <v>0.71727528381955596</v>
      </c>
      <c r="K3829">
        <v>0.95919801131624005</v>
      </c>
      <c r="L3829">
        <v>1355.2298121737999</v>
      </c>
      <c r="M3829">
        <v>29.185400268515899</v>
      </c>
      <c r="O3829">
        <v>46.218828266444902</v>
      </c>
      <c r="P3829">
        <v>-6.2340526483511897E-2</v>
      </c>
      <c r="Q3829">
        <v>0.60510595955243796</v>
      </c>
      <c r="R3829">
        <v>0.52961107561884602</v>
      </c>
      <c r="S3829" t="s">
        <v>10231</v>
      </c>
      <c r="T3829" t="s">
        <v>12802</v>
      </c>
      <c r="U3829" t="s">
        <v>12802</v>
      </c>
      <c r="V3829" t="s">
        <v>12802</v>
      </c>
      <c r="W3829" t="s">
        <v>16576</v>
      </c>
      <c r="X3829">
        <v>17</v>
      </c>
      <c r="Y3829" t="s">
        <v>22809</v>
      </c>
      <c r="Z3829" t="s">
        <v>29147</v>
      </c>
      <c r="AA3829">
        <v>0.7317044281157693</v>
      </c>
      <c r="AB3829" t="str">
        <f>HYPERLINK("Melting_Curves/meltCurve_Q5T6F2_UBAP2.pdf", "Melting_Curves/meltCurve_Q5T6F2_UBAP2.pdf")</f>
        <v>Melting_Curves/meltCurve_Q5T6F2_UBAP2.pdf</v>
      </c>
    </row>
    <row r="3830" spans="1:28" x14ac:dyDescent="0.25">
      <c r="A3830" t="s">
        <v>3834</v>
      </c>
      <c r="B3830">
        <v>0.99542014353169495</v>
      </c>
      <c r="C3830">
        <v>0.75747274829669498</v>
      </c>
      <c r="D3830">
        <v>0.440273619143147</v>
      </c>
      <c r="E3830">
        <v>0.355198799360115</v>
      </c>
      <c r="F3830">
        <v>0.191624232208498</v>
      </c>
      <c r="G3830">
        <v>0.12929832876939901</v>
      </c>
      <c r="H3830">
        <v>0.106598659034514</v>
      </c>
      <c r="I3830">
        <v>6.5041035242304895E-2</v>
      </c>
      <c r="J3830">
        <v>6.9662024676226203E-2</v>
      </c>
      <c r="K3830">
        <v>4.5001945933102298E-2</v>
      </c>
      <c r="L3830">
        <v>606.80468705125099</v>
      </c>
      <c r="M3830">
        <v>14.1587194850934</v>
      </c>
      <c r="N3830">
        <v>43.306100211106603</v>
      </c>
      <c r="O3830">
        <v>42.029586884705999</v>
      </c>
      <c r="P3830">
        <v>-7.8482000524992504E-2</v>
      </c>
      <c r="Q3830">
        <v>6.8235863382035605E-2</v>
      </c>
      <c r="R3830">
        <v>0.97967060468350697</v>
      </c>
      <c r="S3830" t="s">
        <v>10232</v>
      </c>
      <c r="T3830" t="s">
        <v>12802</v>
      </c>
      <c r="U3830" t="s">
        <v>12802</v>
      </c>
      <c r="V3830" t="s">
        <v>12802</v>
      </c>
      <c r="W3830" t="s">
        <v>16577</v>
      </c>
      <c r="X3830">
        <v>4</v>
      </c>
      <c r="Y3830" t="s">
        <v>22810</v>
      </c>
      <c r="Z3830" t="s">
        <v>29148</v>
      </c>
      <c r="AA3830">
        <v>0.27827488933094369</v>
      </c>
      <c r="AB3830" t="str">
        <f>HYPERLINK("Melting_Curves/meltCurve_Q5T6S3_PHF19.pdf", "Melting_Curves/meltCurve_Q5T6S3_PHF19.pdf")</f>
        <v>Melting_Curves/meltCurve_Q5T6S3_PHF19.pdf</v>
      </c>
    </row>
    <row r="3831" spans="1:28" x14ac:dyDescent="0.25">
      <c r="A3831" t="s">
        <v>3835</v>
      </c>
      <c r="B3831">
        <v>0.99542014353169495</v>
      </c>
      <c r="C3831">
        <v>1.0117726272229399</v>
      </c>
      <c r="D3831">
        <v>0.90955868546887197</v>
      </c>
      <c r="E3831">
        <v>0.45434945156960699</v>
      </c>
      <c r="F3831">
        <v>0.15386540987427599</v>
      </c>
      <c r="G3831">
        <v>8.5087100633636198E-2</v>
      </c>
      <c r="H3831">
        <v>5.3636065447876198E-2</v>
      </c>
      <c r="I3831">
        <v>3.7206384915845103E-2</v>
      </c>
      <c r="J3831">
        <v>4.1680956514818797E-2</v>
      </c>
      <c r="K3831">
        <v>4.3330751362729798E-2</v>
      </c>
      <c r="L3831">
        <v>1315.75030826445</v>
      </c>
      <c r="M3831">
        <v>28.4816083719167</v>
      </c>
      <c r="N3831">
        <v>46.366279098680302</v>
      </c>
      <c r="O3831">
        <v>45.970550801496302</v>
      </c>
      <c r="P3831">
        <v>-0.14722144355278499</v>
      </c>
      <c r="Q3831">
        <v>4.9520442063099898E-2</v>
      </c>
      <c r="R3831">
        <v>0.99898912138220697</v>
      </c>
      <c r="S3831" t="s">
        <v>10233</v>
      </c>
      <c r="T3831" t="s">
        <v>12802</v>
      </c>
      <c r="U3831" t="s">
        <v>12802</v>
      </c>
      <c r="V3831" t="s">
        <v>12802</v>
      </c>
      <c r="W3831" t="s">
        <v>16578</v>
      </c>
      <c r="X3831">
        <v>8</v>
      </c>
      <c r="Y3831" t="s">
        <v>22811</v>
      </c>
      <c r="Z3831" t="s">
        <v>29149</v>
      </c>
      <c r="AA3831">
        <v>0.34693953697945779</v>
      </c>
      <c r="AB3831" t="str">
        <f>HYPERLINK("Melting_Curves/meltCurve_Q5T6V5_C9orf64.pdf", "Melting_Curves/meltCurve_Q5T6V5_C9orf64.pdf")</f>
        <v>Melting_Curves/meltCurve_Q5T6V5_C9orf64.pdf</v>
      </c>
    </row>
    <row r="3832" spans="1:28" x14ac:dyDescent="0.25">
      <c r="A3832" t="s">
        <v>3836</v>
      </c>
      <c r="B3832">
        <v>0.99542014353169495</v>
      </c>
      <c r="C3832">
        <v>0.91820004354399998</v>
      </c>
      <c r="D3832">
        <v>0.95010008964016401</v>
      </c>
      <c r="E3832">
        <v>0.75105959353119001</v>
      </c>
      <c r="F3832">
        <v>0.50846217820655404</v>
      </c>
      <c r="G3832">
        <v>0.28276818317920999</v>
      </c>
      <c r="H3832">
        <v>0.206210984720366</v>
      </c>
      <c r="I3832">
        <v>0.19199361894731901</v>
      </c>
      <c r="J3832">
        <v>0.302150310237008</v>
      </c>
      <c r="K3832">
        <v>0.46869235348862398</v>
      </c>
      <c r="L3832">
        <v>1171.1589479863701</v>
      </c>
      <c r="M3832">
        <v>24.428165966832399</v>
      </c>
      <c r="N3832">
        <v>49.649643738471603</v>
      </c>
      <c r="O3832">
        <v>47.625151930453903</v>
      </c>
      <c r="P3832">
        <v>-9.1804814969299903E-2</v>
      </c>
      <c r="Q3832">
        <v>0.28407990167862002</v>
      </c>
      <c r="R3832">
        <v>0.93274505247927197</v>
      </c>
      <c r="S3832" t="s">
        <v>10234</v>
      </c>
      <c r="T3832" t="s">
        <v>12802</v>
      </c>
      <c r="U3832" t="s">
        <v>12802</v>
      </c>
      <c r="V3832" t="s">
        <v>12802</v>
      </c>
      <c r="W3832" t="s">
        <v>16579</v>
      </c>
      <c r="X3832">
        <v>3</v>
      </c>
      <c r="Y3832" t="s">
        <v>22812</v>
      </c>
      <c r="Z3832" t="s">
        <v>29150</v>
      </c>
      <c r="AA3832">
        <v>0.55160424891128512</v>
      </c>
      <c r="AB3832" t="str">
        <f>HYPERLINK("Melting_Curves/meltCurve_Q5T6Z8_TMEM59.pdf", "Melting_Curves/meltCurve_Q5T6Z8_TMEM59.pdf")</f>
        <v>Melting_Curves/meltCurve_Q5T6Z8_TMEM59.pdf</v>
      </c>
    </row>
    <row r="3833" spans="1:28" x14ac:dyDescent="0.25">
      <c r="A3833" t="s">
        <v>3837</v>
      </c>
      <c r="B3833">
        <v>0.99542014353169495</v>
      </c>
      <c r="C3833">
        <v>1.06957425523754</v>
      </c>
      <c r="D3833">
        <v>0.94547877468033104</v>
      </c>
      <c r="E3833">
        <v>0.87811261493062398</v>
      </c>
      <c r="F3833">
        <v>0.54340313112202199</v>
      </c>
      <c r="G3833">
        <v>0.28499463429394101</v>
      </c>
      <c r="H3833">
        <v>0.13434592615784899</v>
      </c>
      <c r="I3833">
        <v>0.111466610045428</v>
      </c>
      <c r="J3833">
        <v>8.6041650653887705E-2</v>
      </c>
      <c r="K3833">
        <v>9.9057851994582002E-2</v>
      </c>
      <c r="L3833">
        <v>1087.58633988774</v>
      </c>
      <c r="M3833">
        <v>21.606185837382402</v>
      </c>
      <c r="N3833">
        <v>50.784435017701703</v>
      </c>
      <c r="O3833">
        <v>49.911554560109202</v>
      </c>
      <c r="P3833">
        <v>-9.8841743052285602E-2</v>
      </c>
      <c r="Q3833">
        <v>8.6701053527156305E-2</v>
      </c>
      <c r="R3833">
        <v>0.99532999314090398</v>
      </c>
      <c r="S3833" t="s">
        <v>10235</v>
      </c>
      <c r="T3833" t="s">
        <v>12802</v>
      </c>
      <c r="U3833" t="s">
        <v>12802</v>
      </c>
      <c r="V3833" t="s">
        <v>12802</v>
      </c>
      <c r="W3833" t="s">
        <v>16580</v>
      </c>
      <c r="X3833">
        <v>6</v>
      </c>
      <c r="Y3833" t="s">
        <v>22813</v>
      </c>
      <c r="Z3833" t="s">
        <v>29151</v>
      </c>
      <c r="AA3833">
        <v>0.50320464566661383</v>
      </c>
      <c r="AB3833" t="str">
        <f>HYPERLINK("Melting_Curves/meltCurve_Q5T7A4_ADCK3.pdf", "Melting_Curves/meltCurve_Q5T7A4_ADCK3.pdf")</f>
        <v>Melting_Curves/meltCurve_Q5T7A4_ADCK3.pdf</v>
      </c>
    </row>
    <row r="3834" spans="1:28" x14ac:dyDescent="0.25">
      <c r="A3834" t="s">
        <v>3838</v>
      </c>
      <c r="B3834">
        <v>0.99542014353169495</v>
      </c>
      <c r="C3834">
        <v>1.0417616752502801</v>
      </c>
      <c r="D3834">
        <v>1.0114232303225901</v>
      </c>
      <c r="E3834">
        <v>0.87311571033663904</v>
      </c>
      <c r="F3834">
        <v>0.39787854154499602</v>
      </c>
      <c r="G3834">
        <v>0.19011157524258701</v>
      </c>
      <c r="H3834">
        <v>0.164673019927881</v>
      </c>
      <c r="I3834">
        <v>0.12703023586832801</v>
      </c>
      <c r="J3834">
        <v>9.4633122267694603E-2</v>
      </c>
      <c r="K3834">
        <v>9.3054749803119105E-2</v>
      </c>
      <c r="L3834">
        <v>1580.4077878931901</v>
      </c>
      <c r="M3834">
        <v>32.196734965889803</v>
      </c>
      <c r="N3834">
        <v>49.509336755057298</v>
      </c>
      <c r="O3834">
        <v>48.897767776310403</v>
      </c>
      <c r="P3834">
        <v>-0.144804095528282</v>
      </c>
      <c r="Q3834">
        <v>0.120337860112496</v>
      </c>
      <c r="R3834">
        <v>0.99656231369958803</v>
      </c>
      <c r="S3834" t="s">
        <v>10236</v>
      </c>
      <c r="T3834" t="s">
        <v>12802</v>
      </c>
      <c r="U3834" t="s">
        <v>12802</v>
      </c>
      <c r="V3834" t="s">
        <v>12802</v>
      </c>
      <c r="W3834" t="s">
        <v>16581</v>
      </c>
      <c r="X3834">
        <v>3</v>
      </c>
      <c r="Y3834" t="s">
        <v>22814</v>
      </c>
      <c r="Z3834" t="s">
        <v>29152</v>
      </c>
      <c r="AA3834">
        <v>0.47933796501887571</v>
      </c>
      <c r="AB3834" t="str">
        <f>HYPERLINK("Melting_Curves/meltCurve_Q5T7V8_GORAB.pdf", "Melting_Curves/meltCurve_Q5T7V8_GORAB.pdf")</f>
        <v>Melting_Curves/meltCurve_Q5T7V8_GORAB.pdf</v>
      </c>
    </row>
    <row r="3835" spans="1:28" x14ac:dyDescent="0.25">
      <c r="A3835" t="s">
        <v>3839</v>
      </c>
      <c r="B3835">
        <v>0.99542014353169495</v>
      </c>
      <c r="C3835">
        <v>0.78988081406605803</v>
      </c>
      <c r="D3835">
        <v>1.03592594823397</v>
      </c>
      <c r="E3835">
        <v>0.46844978494924699</v>
      </c>
      <c r="F3835">
        <v>0.166511440409674</v>
      </c>
      <c r="G3835">
        <v>8.35970351886067E-2</v>
      </c>
      <c r="H3835">
        <v>6.1648842891345999E-2</v>
      </c>
      <c r="I3835">
        <v>5.5047642086213898E-2</v>
      </c>
      <c r="J3835">
        <v>6.2556260139672901E-2</v>
      </c>
      <c r="K3835">
        <v>7.1016799684086904E-2</v>
      </c>
      <c r="L3835">
        <v>2041.3415798415799</v>
      </c>
      <c r="M3835">
        <v>44.043940756983602</v>
      </c>
      <c r="N3835">
        <v>46.523310401011003</v>
      </c>
      <c r="O3835">
        <v>46.252599585241001</v>
      </c>
      <c r="P3835">
        <v>-0.21984418197245501</v>
      </c>
      <c r="Q3835">
        <v>7.65267244743012E-2</v>
      </c>
      <c r="R3835">
        <v>0.96530377697237302</v>
      </c>
      <c r="S3835" t="s">
        <v>10237</v>
      </c>
      <c r="T3835" t="s">
        <v>12802</v>
      </c>
      <c r="U3835" t="s">
        <v>12802</v>
      </c>
      <c r="V3835" t="s">
        <v>12802</v>
      </c>
      <c r="W3835" t="s">
        <v>16582</v>
      </c>
      <c r="X3835">
        <v>4</v>
      </c>
      <c r="Y3835" t="s">
        <v>22815</v>
      </c>
      <c r="Z3835" t="s">
        <v>29153</v>
      </c>
      <c r="AA3835">
        <v>0.36671340838022132</v>
      </c>
      <c r="AB3835" t="str">
        <f>HYPERLINK("Melting_Curves/meltCurve_Q5T8D3_4_ACBD5.pdf", "Melting_Curves/meltCurve_Q5T8D3_4_ACBD5.pdf")</f>
        <v>Melting_Curves/meltCurve_Q5T8D3_4_ACBD5.pdf</v>
      </c>
    </row>
    <row r="3836" spans="1:28" x14ac:dyDescent="0.25">
      <c r="A3836" t="s">
        <v>3840</v>
      </c>
      <c r="B3836">
        <v>0.99542014353169495</v>
      </c>
      <c r="C3836">
        <v>0.92303446924834898</v>
      </c>
      <c r="D3836">
        <v>0.95475337881428302</v>
      </c>
      <c r="E3836">
        <v>0.87444405677498405</v>
      </c>
      <c r="F3836">
        <v>0.71306115505828105</v>
      </c>
      <c r="G3836">
        <v>0.51870848929800695</v>
      </c>
      <c r="H3836">
        <v>0.31679111712534402</v>
      </c>
      <c r="I3836">
        <v>0.19029282221548899</v>
      </c>
      <c r="J3836">
        <v>0.17277686184851501</v>
      </c>
      <c r="K3836">
        <v>0.20356997466392601</v>
      </c>
      <c r="L3836">
        <v>755.21671767914097</v>
      </c>
      <c r="M3836">
        <v>14.3469756184169</v>
      </c>
      <c r="N3836">
        <v>53.6903692094372</v>
      </c>
      <c r="O3836">
        <v>51.648425710028199</v>
      </c>
      <c r="P3836">
        <v>-6.0951153354052497E-2</v>
      </c>
      <c r="Q3836">
        <v>0.122420374196655</v>
      </c>
      <c r="R3836">
        <v>0.99146234538984301</v>
      </c>
      <c r="S3836" t="s">
        <v>10238</v>
      </c>
      <c r="T3836" t="s">
        <v>12802</v>
      </c>
      <c r="U3836" t="s">
        <v>12802</v>
      </c>
      <c r="V3836" t="s">
        <v>12802</v>
      </c>
      <c r="W3836" t="s">
        <v>16583</v>
      </c>
      <c r="X3836">
        <v>2</v>
      </c>
      <c r="Y3836" t="s">
        <v>22816</v>
      </c>
      <c r="Z3836" t="s">
        <v>29154</v>
      </c>
      <c r="AA3836">
        <v>0.59674847453342594</v>
      </c>
      <c r="AB3836" t="str">
        <f>HYPERLINK("Melting_Curves/meltCurve_Q5T8I0_COX6A1P2.pdf", "Melting_Curves/meltCurve_Q5T8I0_COX6A1P2.pdf")</f>
        <v>Melting_Curves/meltCurve_Q5T8I0_COX6A1P2.pdf</v>
      </c>
    </row>
    <row r="3837" spans="1:28" x14ac:dyDescent="0.25">
      <c r="A3837" t="s">
        <v>3841</v>
      </c>
      <c r="B3837">
        <v>0.99542014353169495</v>
      </c>
      <c r="C3837">
        <v>1.0060567663957101</v>
      </c>
      <c r="D3837">
        <v>0.82447651946508904</v>
      </c>
      <c r="E3837">
        <v>0.67400274288602002</v>
      </c>
      <c r="F3837">
        <v>0.43189778086567299</v>
      </c>
      <c r="G3837">
        <v>0.23373465964747001</v>
      </c>
      <c r="H3837">
        <v>0.118502633476589</v>
      </c>
      <c r="I3837">
        <v>9.3572786623440096E-2</v>
      </c>
      <c r="J3837">
        <v>0.121600469129719</v>
      </c>
      <c r="K3837">
        <v>0.143666046779862</v>
      </c>
      <c r="L3837">
        <v>746.62529517613802</v>
      </c>
      <c r="M3837">
        <v>15.496977737116801</v>
      </c>
      <c r="N3837">
        <v>48.7977365504305</v>
      </c>
      <c r="O3837">
        <v>47.397899523219003</v>
      </c>
      <c r="P3837">
        <v>-7.4452087152897806E-2</v>
      </c>
      <c r="Q3837">
        <v>8.9226611208329004E-2</v>
      </c>
      <c r="R3837">
        <v>0.99226122248764503</v>
      </c>
      <c r="S3837" t="s">
        <v>10239</v>
      </c>
      <c r="T3837" t="s">
        <v>12802</v>
      </c>
      <c r="U3837" t="s">
        <v>12802</v>
      </c>
      <c r="V3837" t="s">
        <v>12802</v>
      </c>
      <c r="W3837" t="s">
        <v>16584</v>
      </c>
      <c r="X3837">
        <v>3</v>
      </c>
      <c r="Y3837" t="s">
        <v>22817</v>
      </c>
      <c r="Z3837" t="s">
        <v>29155</v>
      </c>
      <c r="AA3837">
        <v>0.44752057708813331</v>
      </c>
      <c r="AB3837" t="str">
        <f>HYPERLINK("Melting_Curves/meltCurve_Q5T8I3_2_FAM102B.pdf", "Melting_Curves/meltCurve_Q5T8I3_2_FAM102B.pdf")</f>
        <v>Melting_Curves/meltCurve_Q5T8I3_2_FAM102B.pdf</v>
      </c>
    </row>
    <row r="3838" spans="1:28" x14ac:dyDescent="0.25">
      <c r="A3838" t="s">
        <v>3842</v>
      </c>
      <c r="B3838">
        <v>0.99542014353169495</v>
      </c>
      <c r="C3838">
        <v>0.98862924860123602</v>
      </c>
      <c r="D3838">
        <v>0.95465493498628595</v>
      </c>
      <c r="E3838">
        <v>0.54001637917948797</v>
      </c>
      <c r="F3838">
        <v>0.193656277687071</v>
      </c>
      <c r="G3838">
        <v>9.9249295319156397E-2</v>
      </c>
      <c r="H3838">
        <v>6.4289008412871607E-2</v>
      </c>
      <c r="I3838">
        <v>4.1559738157929203E-2</v>
      </c>
      <c r="J3838">
        <v>3.9652410786794302E-2</v>
      </c>
      <c r="K3838">
        <v>4.8353630790318798E-2</v>
      </c>
      <c r="L3838">
        <v>1289.90745051525</v>
      </c>
      <c r="M3838">
        <v>27.5510767458073</v>
      </c>
      <c r="N3838">
        <v>47.009187850867796</v>
      </c>
      <c r="O3838">
        <v>46.574200674554902</v>
      </c>
      <c r="P3838">
        <v>-0.14008097351495399</v>
      </c>
      <c r="Q3838">
        <v>5.2799457581254802E-2</v>
      </c>
      <c r="R3838">
        <v>0.99866051424132196</v>
      </c>
      <c r="S3838" t="s">
        <v>10240</v>
      </c>
      <c r="T3838" t="s">
        <v>12802</v>
      </c>
      <c r="U3838" t="s">
        <v>12802</v>
      </c>
      <c r="V3838" t="s">
        <v>12802</v>
      </c>
      <c r="W3838" t="s">
        <v>16585</v>
      </c>
      <c r="X3838">
        <v>22</v>
      </c>
      <c r="Y3838" t="s">
        <v>22818</v>
      </c>
      <c r="Z3838" t="s">
        <v>29156</v>
      </c>
      <c r="AA3838">
        <v>0.36932993390494451</v>
      </c>
      <c r="AB3838" t="str">
        <f>HYPERLINK("Melting_Curves/meltCurve_Q5T8P6_2_RBM26.pdf", "Melting_Curves/meltCurve_Q5T8P6_2_RBM26.pdf")</f>
        <v>Melting_Curves/meltCurve_Q5T8P6_2_RBM26.pdf</v>
      </c>
    </row>
    <row r="3839" spans="1:28" x14ac:dyDescent="0.25">
      <c r="A3839" t="s">
        <v>3843</v>
      </c>
      <c r="B3839">
        <v>0.99542014353169495</v>
      </c>
      <c r="C3839">
        <v>0.89865679145067201</v>
      </c>
      <c r="D3839">
        <v>0.81576220195302995</v>
      </c>
      <c r="E3839">
        <v>0.68040972460812799</v>
      </c>
      <c r="F3839">
        <v>0.54380514611598596</v>
      </c>
      <c r="G3839">
        <v>0.39746037246228699</v>
      </c>
      <c r="H3839">
        <v>0.28360281384512998</v>
      </c>
      <c r="I3839">
        <v>0.26022468499844398</v>
      </c>
      <c r="J3839">
        <v>0.25152331554929203</v>
      </c>
      <c r="K3839">
        <v>0.21063741279551301</v>
      </c>
      <c r="L3839">
        <v>486.84692676604101</v>
      </c>
      <c r="M3839">
        <v>9.9746981892095796</v>
      </c>
      <c r="N3839">
        <v>50.7757570709757</v>
      </c>
      <c r="O3839">
        <v>46.968045081742702</v>
      </c>
      <c r="P3839">
        <v>-4.4604535911123601E-2</v>
      </c>
      <c r="Q3839">
        <v>0.16029159725299599</v>
      </c>
      <c r="R3839">
        <v>0.99599333917382005</v>
      </c>
      <c r="S3839" t="s">
        <v>10241</v>
      </c>
      <c r="T3839" t="s">
        <v>12802</v>
      </c>
      <c r="U3839" t="s">
        <v>12802</v>
      </c>
      <c r="V3839" t="s">
        <v>12802</v>
      </c>
      <c r="W3839" t="s">
        <v>16586</v>
      </c>
      <c r="X3839">
        <v>3</v>
      </c>
      <c r="Y3839" t="s">
        <v>22819</v>
      </c>
      <c r="Z3839" t="s">
        <v>29157</v>
      </c>
      <c r="AA3839">
        <v>0.5225716759422171</v>
      </c>
      <c r="AB3839" t="str">
        <f>HYPERLINK("Melting_Curves/meltCurve_Q5T8U5_SURF4.pdf", "Melting_Curves/meltCurve_Q5T8U5_SURF4.pdf")</f>
        <v>Melting_Curves/meltCurve_Q5T8U5_SURF4.pdf</v>
      </c>
    </row>
    <row r="3840" spans="1:28" x14ac:dyDescent="0.25">
      <c r="A3840" t="s">
        <v>3844</v>
      </c>
      <c r="B3840">
        <v>0.99542014353169495</v>
      </c>
      <c r="C3840">
        <v>0.90685816571598699</v>
      </c>
      <c r="D3840">
        <v>0.94428419360292504</v>
      </c>
      <c r="E3840">
        <v>0.675048064761957</v>
      </c>
      <c r="F3840">
        <v>0.37538761105656898</v>
      </c>
      <c r="G3840">
        <v>0.14765295320080599</v>
      </c>
      <c r="H3840">
        <v>8.6666407451154406E-2</v>
      </c>
      <c r="I3840">
        <v>6.0303519643906602E-2</v>
      </c>
      <c r="J3840">
        <v>5.1918954801901201E-2</v>
      </c>
      <c r="K3840">
        <v>6.5915027518939406E-2</v>
      </c>
      <c r="L3840">
        <v>919.55195697732904</v>
      </c>
      <c r="M3840">
        <v>19.0275253352312</v>
      </c>
      <c r="N3840">
        <v>48.569600132811502</v>
      </c>
      <c r="O3840">
        <v>47.803147907187501</v>
      </c>
      <c r="P3840">
        <v>-9.5010771915498199E-2</v>
      </c>
      <c r="Q3840">
        <v>4.5249618131234903E-2</v>
      </c>
      <c r="R3840">
        <v>0.99496648931637999</v>
      </c>
      <c r="S3840" t="s">
        <v>10242</v>
      </c>
      <c r="T3840" t="s">
        <v>12802</v>
      </c>
      <c r="U3840" t="s">
        <v>12802</v>
      </c>
      <c r="V3840" t="s">
        <v>12802</v>
      </c>
      <c r="W3840" t="s">
        <v>16587</v>
      </c>
      <c r="X3840">
        <v>38</v>
      </c>
      <c r="Y3840" t="s">
        <v>22820</v>
      </c>
      <c r="Z3840" t="s">
        <v>29158</v>
      </c>
      <c r="AA3840">
        <v>0.41952016731597858</v>
      </c>
      <c r="AB3840" t="str">
        <f>HYPERLINK("Melting_Curves/meltCurve_Q5T9A4_ATAD3B.pdf", "Melting_Curves/meltCurve_Q5T9A4_ATAD3B.pdf")</f>
        <v>Melting_Curves/meltCurve_Q5T9A4_ATAD3B.pdf</v>
      </c>
    </row>
    <row r="3841" spans="1:28" x14ac:dyDescent="0.25">
      <c r="A3841" t="s">
        <v>3845</v>
      </c>
      <c r="B3841">
        <v>0.99542014353169495</v>
      </c>
      <c r="C3841">
        <v>1.0213723558615599</v>
      </c>
      <c r="D3841">
        <v>0.903610140098694</v>
      </c>
      <c r="E3841">
        <v>0.85885230038902804</v>
      </c>
      <c r="F3841">
        <v>0.51632903327851298</v>
      </c>
      <c r="G3841">
        <v>0.21909803272433501</v>
      </c>
      <c r="H3841">
        <v>9.0605136079810106E-2</v>
      </c>
      <c r="I3841">
        <v>6.34146680837991E-2</v>
      </c>
      <c r="J3841">
        <v>7.2659598637158998E-2</v>
      </c>
      <c r="K3841">
        <v>9.4545820919960694E-2</v>
      </c>
      <c r="L3841">
        <v>1125.4612175991199</v>
      </c>
      <c r="M3841">
        <v>22.510872189180201</v>
      </c>
      <c r="N3841">
        <v>50.294605427430703</v>
      </c>
      <c r="O3841">
        <v>49.606803212031302</v>
      </c>
      <c r="P3841">
        <v>-0.10635992824000499</v>
      </c>
      <c r="Q3841">
        <v>6.2485284356795699E-2</v>
      </c>
      <c r="R3841">
        <v>0.99521746287086499</v>
      </c>
      <c r="S3841" t="s">
        <v>10243</v>
      </c>
      <c r="T3841" t="s">
        <v>12802</v>
      </c>
      <c r="U3841" t="s">
        <v>12802</v>
      </c>
      <c r="V3841" t="s">
        <v>12802</v>
      </c>
      <c r="W3841" t="s">
        <v>16588</v>
      </c>
      <c r="X3841">
        <v>16</v>
      </c>
      <c r="Y3841" t="s">
        <v>22821</v>
      </c>
      <c r="Z3841" t="s">
        <v>29159</v>
      </c>
      <c r="AA3841">
        <v>0.47860810703080192</v>
      </c>
      <c r="AB3841" t="str">
        <f>HYPERLINK("Melting_Curves/meltCurve_Q5T9B7_AK1.pdf", "Melting_Curves/meltCurve_Q5T9B7_AK1.pdf")</f>
        <v>Melting_Curves/meltCurve_Q5T9B7_AK1.pdf</v>
      </c>
    </row>
    <row r="3842" spans="1:28" x14ac:dyDescent="0.25">
      <c r="A3842" t="s">
        <v>3846</v>
      </c>
      <c r="B3842">
        <v>0.99542014353169495</v>
      </c>
      <c r="C3842">
        <v>1.07283683981957</v>
      </c>
      <c r="D3842">
        <v>0.94231408754568302</v>
      </c>
      <c r="E3842">
        <v>0.79656065436571399</v>
      </c>
      <c r="F3842">
        <v>0.65786400514824805</v>
      </c>
      <c r="G3842">
        <v>0.44039249092904598</v>
      </c>
      <c r="H3842">
        <v>0.29427459791835198</v>
      </c>
      <c r="I3842">
        <v>0.15804101289701999</v>
      </c>
      <c r="J3842">
        <v>0.22276569177303701</v>
      </c>
      <c r="K3842">
        <v>0.183600209421732</v>
      </c>
      <c r="L3842">
        <v>747.73337979843097</v>
      </c>
      <c r="M3842">
        <v>14.5980831287527</v>
      </c>
      <c r="N3842">
        <v>52.452006806691699</v>
      </c>
      <c r="O3842">
        <v>50.288939499848901</v>
      </c>
      <c r="P3842">
        <v>-6.2054689163932898E-2</v>
      </c>
      <c r="Q3842">
        <v>0.14500722058594101</v>
      </c>
      <c r="R3842">
        <v>0.98711886191460896</v>
      </c>
      <c r="S3842" t="s">
        <v>10244</v>
      </c>
      <c r="T3842" t="s">
        <v>12802</v>
      </c>
      <c r="U3842" t="s">
        <v>12802</v>
      </c>
      <c r="V3842" t="s">
        <v>12802</v>
      </c>
      <c r="W3842" t="s">
        <v>16589</v>
      </c>
      <c r="X3842">
        <v>16</v>
      </c>
      <c r="Y3842" t="s">
        <v>21082</v>
      </c>
      <c r="Z3842" t="s">
        <v>29160</v>
      </c>
      <c r="AA3842">
        <v>0.56794641929740375</v>
      </c>
      <c r="AB3842" t="str">
        <f>HYPERLINK("Melting_Curves/meltCurve_Q5T9W8_HSP90AB1.pdf", "Melting_Curves/meltCurve_Q5T9W8_HSP90AB1.pdf")</f>
        <v>Melting_Curves/meltCurve_Q5T9W8_HSP90AB1.pdf</v>
      </c>
    </row>
    <row r="3843" spans="1:28" x14ac:dyDescent="0.25">
      <c r="A3843" t="s">
        <v>3847</v>
      </c>
      <c r="B3843">
        <v>0.99542014353169495</v>
      </c>
      <c r="C3843">
        <v>0.93549705407571504</v>
      </c>
      <c r="D3843">
        <v>0.92670050499628298</v>
      </c>
      <c r="E3843">
        <v>0.79456439104783805</v>
      </c>
      <c r="F3843">
        <v>0.42390513172620098</v>
      </c>
      <c r="G3843">
        <v>0.18020357357874001</v>
      </c>
      <c r="H3843">
        <v>0.1289817809445</v>
      </c>
      <c r="I3843">
        <v>0.24973485927619299</v>
      </c>
      <c r="J3843">
        <v>0.476413773072282</v>
      </c>
      <c r="K3843">
        <v>0.70944751248079496</v>
      </c>
      <c r="L3843">
        <v>2035.4698313730901</v>
      </c>
      <c r="M3843">
        <v>42.931655681036602</v>
      </c>
      <c r="N3843">
        <v>48.7921610564009</v>
      </c>
      <c r="O3843">
        <v>47.309347775040798</v>
      </c>
      <c r="P3843">
        <v>-0.14710659506315801</v>
      </c>
      <c r="Q3843">
        <v>0.35157356378419402</v>
      </c>
      <c r="R3843">
        <v>0.75413508997509204</v>
      </c>
      <c r="S3843" t="s">
        <v>10245</v>
      </c>
      <c r="T3843" t="s">
        <v>12802</v>
      </c>
      <c r="U3843" t="s">
        <v>12802</v>
      </c>
      <c r="V3843" t="s">
        <v>12802</v>
      </c>
      <c r="W3843" t="s">
        <v>16590</v>
      </c>
      <c r="X3843">
        <v>17</v>
      </c>
      <c r="Y3843" t="s">
        <v>22044</v>
      </c>
      <c r="Z3843" t="s">
        <v>29161</v>
      </c>
      <c r="AA3843">
        <v>0.57846083405246285</v>
      </c>
      <c r="AB3843" t="str">
        <f>HYPERLINK("Melting_Curves/meltCurve_Q5TA02_GSTO1.pdf", "Melting_Curves/meltCurve_Q5TA02_GSTO1.pdf")</f>
        <v>Melting_Curves/meltCurve_Q5TA02_GSTO1.pdf</v>
      </c>
    </row>
    <row r="3844" spans="1:28" x14ac:dyDescent="0.25">
      <c r="A3844" t="s">
        <v>3848</v>
      </c>
      <c r="B3844">
        <v>0.99542014353169495</v>
      </c>
      <c r="C3844">
        <v>1.09157996191773</v>
      </c>
      <c r="D3844">
        <v>0.82078278413485395</v>
      </c>
      <c r="E3844">
        <v>0.63528004162816898</v>
      </c>
      <c r="F3844">
        <v>0.52292465641660602</v>
      </c>
      <c r="G3844">
        <v>0.28351625728682101</v>
      </c>
      <c r="H3844">
        <v>0.13474775787323701</v>
      </c>
      <c r="I3844">
        <v>0.10561927610017</v>
      </c>
      <c r="J3844">
        <v>0.103738170490392</v>
      </c>
      <c r="K3844">
        <v>0.118484042256825</v>
      </c>
      <c r="L3844">
        <v>663.92863979871504</v>
      </c>
      <c r="M3844">
        <v>13.556760617197201</v>
      </c>
      <c r="N3844">
        <v>49.479782046013199</v>
      </c>
      <c r="O3844">
        <v>47.945212997250103</v>
      </c>
      <c r="P3844">
        <v>-6.6124936043799001E-2</v>
      </c>
      <c r="Q3844">
        <v>6.4703244441823501E-2</v>
      </c>
      <c r="R3844">
        <v>0.97698345056071001</v>
      </c>
      <c r="S3844" t="s">
        <v>10246</v>
      </c>
      <c r="T3844" t="s">
        <v>12802</v>
      </c>
      <c r="U3844" t="s">
        <v>12802</v>
      </c>
      <c r="V3844" t="s">
        <v>12802</v>
      </c>
      <c r="W3844" t="s">
        <v>16591</v>
      </c>
      <c r="X3844">
        <v>6</v>
      </c>
      <c r="Y3844" t="s">
        <v>22822</v>
      </c>
      <c r="Z3844" t="s">
        <v>29162</v>
      </c>
      <c r="AA3844">
        <v>0.46148819920903861</v>
      </c>
      <c r="AB3844" t="str">
        <f>HYPERLINK("Melting_Curves/meltCurve_Q5TA31_RNF187.pdf", "Melting_Curves/meltCurve_Q5TA31_RNF187.pdf")</f>
        <v>Melting_Curves/meltCurve_Q5TA31_RNF187.pdf</v>
      </c>
    </row>
    <row r="3845" spans="1:28" x14ac:dyDescent="0.25">
      <c r="A3845" t="s">
        <v>3849</v>
      </c>
      <c r="B3845">
        <v>0.99542014353169495</v>
      </c>
      <c r="C3845">
        <v>1.01172135302477</v>
      </c>
      <c r="D3845">
        <v>0.97418192728278896</v>
      </c>
      <c r="E3845">
        <v>0.72421174263224397</v>
      </c>
      <c r="F3845">
        <v>0.56622775173472495</v>
      </c>
      <c r="G3845">
        <v>0.327818190639106</v>
      </c>
      <c r="H3845">
        <v>0.1200586895657</v>
      </c>
      <c r="I3845">
        <v>7.3701275840710595E-2</v>
      </c>
      <c r="J3845">
        <v>6.08422034552039E-2</v>
      </c>
      <c r="K3845">
        <v>4.7777782623457103E-2</v>
      </c>
      <c r="L3845">
        <v>746.52924765884802</v>
      </c>
      <c r="M3845">
        <v>14.7342443864187</v>
      </c>
      <c r="N3845">
        <v>50.724453795561203</v>
      </c>
      <c r="O3845">
        <v>49.760442473637902</v>
      </c>
      <c r="P3845">
        <v>-7.3413603594530502E-2</v>
      </c>
      <c r="Q3845">
        <v>8.3786936363864101E-3</v>
      </c>
      <c r="R3845">
        <v>0.993845185309851</v>
      </c>
      <c r="S3845" t="s">
        <v>10247</v>
      </c>
      <c r="T3845" t="s">
        <v>12802</v>
      </c>
      <c r="U3845" t="s">
        <v>12802</v>
      </c>
      <c r="V3845" t="s">
        <v>12802</v>
      </c>
      <c r="W3845" t="s">
        <v>16592</v>
      </c>
      <c r="X3845">
        <v>5</v>
      </c>
      <c r="Y3845" t="s">
        <v>22823</v>
      </c>
      <c r="Z3845" t="s">
        <v>29163</v>
      </c>
      <c r="AA3845">
        <v>0.48083683859087972</v>
      </c>
      <c r="AB3845" t="str">
        <f>HYPERLINK("Melting_Curves/meltCurve_Q5TA45_2_CPSF3L.pdf", "Melting_Curves/meltCurve_Q5TA45_2_CPSF3L.pdf")</f>
        <v>Melting_Curves/meltCurve_Q5TA45_2_CPSF3L.pdf</v>
      </c>
    </row>
    <row r="3846" spans="1:28" x14ac:dyDescent="0.25">
      <c r="A3846" t="s">
        <v>3850</v>
      </c>
      <c r="B3846">
        <v>0.99542014353169495</v>
      </c>
      <c r="C3846">
        <v>1.04470958392895</v>
      </c>
      <c r="D3846">
        <v>0.881950204105453</v>
      </c>
      <c r="E3846">
        <v>0.55475528236167004</v>
      </c>
      <c r="F3846">
        <v>0.15399689244405099</v>
      </c>
      <c r="G3846">
        <v>0.10844518294184</v>
      </c>
      <c r="H3846">
        <v>5.1561879314543001E-2</v>
      </c>
      <c r="I3846">
        <v>3.9232218066085803E-2</v>
      </c>
      <c r="J3846">
        <v>5.3607803554247199E-2</v>
      </c>
      <c r="K3846">
        <v>4.4547827359843299E-2</v>
      </c>
      <c r="L3846">
        <v>1230.01986074362</v>
      </c>
      <c r="M3846">
        <v>26.334443197034201</v>
      </c>
      <c r="N3846">
        <v>46.888450255302601</v>
      </c>
      <c r="O3846">
        <v>46.440806621433602</v>
      </c>
      <c r="P3846">
        <v>-0.13492057362280899</v>
      </c>
      <c r="Q3846">
        <v>4.8280356893543999E-2</v>
      </c>
      <c r="R3846">
        <v>0.99641413223801201</v>
      </c>
      <c r="S3846" t="s">
        <v>10248</v>
      </c>
      <c r="T3846" t="s">
        <v>12802</v>
      </c>
      <c r="U3846" t="s">
        <v>12802</v>
      </c>
      <c r="V3846" t="s">
        <v>12802</v>
      </c>
      <c r="W3846" t="s">
        <v>16593</v>
      </c>
      <c r="X3846">
        <v>3</v>
      </c>
      <c r="Y3846" t="s">
        <v>22824</v>
      </c>
      <c r="Z3846" t="s">
        <v>29164</v>
      </c>
      <c r="AA3846">
        <v>0.36341001754684749</v>
      </c>
      <c r="AB3846" t="str">
        <f>HYPERLINK("Melting_Curves/meltCurve_Q5TA50_GLTPD1.pdf", "Melting_Curves/meltCurve_Q5TA50_GLTPD1.pdf")</f>
        <v>Melting_Curves/meltCurve_Q5TA50_GLTPD1.pdf</v>
      </c>
    </row>
    <row r="3847" spans="1:28" x14ac:dyDescent="0.25">
      <c r="A3847" t="s">
        <v>3851</v>
      </c>
      <c r="B3847">
        <v>0.99542014353169495</v>
      </c>
      <c r="C3847">
        <v>1.0519621257566001</v>
      </c>
      <c r="D3847">
        <v>0.67555828751455504</v>
      </c>
      <c r="E3847">
        <v>0.634896716444596</v>
      </c>
      <c r="F3847">
        <v>0.46928858319974798</v>
      </c>
      <c r="G3847">
        <v>0.31141611537137298</v>
      </c>
      <c r="H3847">
        <v>0.199761452947919</v>
      </c>
      <c r="I3847">
        <v>0.23706668208711201</v>
      </c>
      <c r="J3847">
        <v>0.29610276765452898</v>
      </c>
      <c r="K3847">
        <v>0.146832460733681</v>
      </c>
      <c r="L3847">
        <v>603.92557070052999</v>
      </c>
      <c r="M3847">
        <v>12.893314081771599</v>
      </c>
      <c r="N3847">
        <v>48.620874066517302</v>
      </c>
      <c r="O3847">
        <v>45.756356711159299</v>
      </c>
      <c r="P3847">
        <v>-5.7199215498101398E-2</v>
      </c>
      <c r="Q3847">
        <v>0.18818382649690099</v>
      </c>
      <c r="R3847">
        <v>0.94778291573288198</v>
      </c>
      <c r="S3847" t="s">
        <v>10249</v>
      </c>
      <c r="T3847" t="s">
        <v>12802</v>
      </c>
      <c r="U3847" t="s">
        <v>12802</v>
      </c>
      <c r="V3847" t="s">
        <v>12802</v>
      </c>
      <c r="W3847" t="s">
        <v>16594</v>
      </c>
      <c r="X3847">
        <v>5</v>
      </c>
      <c r="Y3847" t="s">
        <v>22825</v>
      </c>
      <c r="Z3847" t="s">
        <v>29165</v>
      </c>
      <c r="AA3847">
        <v>0.47835279819988041</v>
      </c>
      <c r="AB3847" t="str">
        <f>HYPERLINK("Melting_Curves/meltCurve_Q5TA58_AGO1.pdf", "Melting_Curves/meltCurve_Q5TA58_AGO1.pdf")</f>
        <v>Melting_Curves/meltCurve_Q5TA58_AGO1.pdf</v>
      </c>
    </row>
    <row r="3848" spans="1:28" x14ac:dyDescent="0.25">
      <c r="A3848" t="s">
        <v>3852</v>
      </c>
      <c r="B3848">
        <v>0.99542014353169495</v>
      </c>
      <c r="C3848">
        <v>0.98164623457538103</v>
      </c>
      <c r="D3848">
        <v>0.83588563200706201</v>
      </c>
      <c r="E3848">
        <v>1.02672069784617</v>
      </c>
      <c r="F3848">
        <v>0.64795710528058503</v>
      </c>
      <c r="G3848">
        <v>0.353010557654521</v>
      </c>
      <c r="H3848">
        <v>0.16133634281421699</v>
      </c>
      <c r="I3848">
        <v>0.14376762142970201</v>
      </c>
      <c r="J3848">
        <v>0.174152737062167</v>
      </c>
      <c r="K3848">
        <v>7.4379438605956499E-2</v>
      </c>
      <c r="L3848">
        <v>1323.70396256807</v>
      </c>
      <c r="M3848">
        <v>25.791841969573401</v>
      </c>
      <c r="N3848">
        <v>51.8882321921242</v>
      </c>
      <c r="O3848">
        <v>51.017035490847</v>
      </c>
      <c r="P3848">
        <v>-0.110901063817748</v>
      </c>
      <c r="Q3848">
        <v>0.12254793025227</v>
      </c>
      <c r="R3848">
        <v>0.97206421335925497</v>
      </c>
      <c r="S3848" t="s">
        <v>10250</v>
      </c>
      <c r="T3848" t="s">
        <v>12802</v>
      </c>
      <c r="U3848" t="s">
        <v>12802</v>
      </c>
      <c r="V3848" t="s">
        <v>12802</v>
      </c>
      <c r="W3848" t="s">
        <v>16595</v>
      </c>
      <c r="X3848">
        <v>3</v>
      </c>
      <c r="Y3848" t="s">
        <v>22826</v>
      </c>
      <c r="Z3848" t="s">
        <v>29166</v>
      </c>
      <c r="AA3848">
        <v>0.54878207607187468</v>
      </c>
      <c r="AB3848" t="str">
        <f>HYPERLINK("Melting_Curves/meltCurve_Q5TAA8_HPS1.pdf", "Melting_Curves/meltCurve_Q5TAA8_HPS1.pdf")</f>
        <v>Melting_Curves/meltCurve_Q5TAA8_HPS1.pdf</v>
      </c>
    </row>
    <row r="3849" spans="1:28" x14ac:dyDescent="0.25">
      <c r="A3849" t="s">
        <v>3853</v>
      </c>
      <c r="B3849">
        <v>0.99542014353169495</v>
      </c>
      <c r="C3849">
        <v>0.98539217272130397</v>
      </c>
      <c r="D3849">
        <v>0.95449266931294297</v>
      </c>
      <c r="E3849">
        <v>0.96285194405963903</v>
      </c>
      <c r="F3849">
        <v>0.73448365602939703</v>
      </c>
      <c r="G3849">
        <v>0.34051228359029001</v>
      </c>
      <c r="H3849">
        <v>0.12928698051794599</v>
      </c>
      <c r="I3849">
        <v>8.4251033821523894E-2</v>
      </c>
      <c r="J3849">
        <v>9.43284772437782E-2</v>
      </c>
      <c r="K3849">
        <v>8.3974874743657807E-2</v>
      </c>
      <c r="L3849">
        <v>1406.8533989110199</v>
      </c>
      <c r="M3849">
        <v>27.105864600983601</v>
      </c>
      <c r="N3849">
        <v>52.2264574367507</v>
      </c>
      <c r="O3849">
        <v>51.622173795510299</v>
      </c>
      <c r="P3849">
        <v>-0.12110469142336799</v>
      </c>
      <c r="Q3849">
        <v>7.7450784970770695E-2</v>
      </c>
      <c r="R3849">
        <v>0.99848279143779295</v>
      </c>
      <c r="S3849" t="s">
        <v>10251</v>
      </c>
      <c r="T3849" t="s">
        <v>12802</v>
      </c>
      <c r="U3849" t="s">
        <v>12802</v>
      </c>
      <c r="V3849" t="s">
        <v>12802</v>
      </c>
      <c r="W3849" t="s">
        <v>16596</v>
      </c>
      <c r="X3849">
        <v>5</v>
      </c>
      <c r="Y3849" t="s">
        <v>22827</v>
      </c>
      <c r="Z3849" t="s">
        <v>29167</v>
      </c>
      <c r="AA3849">
        <v>0.54276245384075217</v>
      </c>
      <c r="AB3849" t="str">
        <f>HYPERLINK("Melting_Curves/meltCurve_Q5TAW7_CAB39L.pdf", "Melting_Curves/meltCurve_Q5TAW7_CAB39L.pdf")</f>
        <v>Melting_Curves/meltCurve_Q5TAW7_CAB39L.pdf</v>
      </c>
    </row>
    <row r="3850" spans="1:28" x14ac:dyDescent="0.25">
      <c r="A3850" t="s">
        <v>3854</v>
      </c>
      <c r="B3850">
        <v>0.99542014353169495</v>
      </c>
      <c r="C3850">
        <v>0.90914466009407702</v>
      </c>
      <c r="D3850">
        <v>0.87839980654946304</v>
      </c>
      <c r="E3850">
        <v>0.47612144629761</v>
      </c>
      <c r="F3850">
        <v>0.14237272639578399</v>
      </c>
      <c r="G3850">
        <v>9.0215945602651795E-2</v>
      </c>
      <c r="H3850">
        <v>5.62132012652189E-2</v>
      </c>
      <c r="I3850">
        <v>4.48602152749367E-2</v>
      </c>
      <c r="J3850">
        <v>4.3743345202688001E-2</v>
      </c>
      <c r="K3850">
        <v>3.1816850455881902E-2</v>
      </c>
      <c r="L3850">
        <v>1110.9675085956701</v>
      </c>
      <c r="M3850">
        <v>24.050055575816799</v>
      </c>
      <c r="N3850">
        <v>46.360543671695503</v>
      </c>
      <c r="O3850">
        <v>45.878144835901601</v>
      </c>
      <c r="P3850">
        <v>-0.12563136494919599</v>
      </c>
      <c r="Q3850">
        <v>4.1392057864579598E-2</v>
      </c>
      <c r="R3850">
        <v>0.995960422541041</v>
      </c>
      <c r="S3850" t="s">
        <v>10252</v>
      </c>
      <c r="T3850" t="s">
        <v>12802</v>
      </c>
      <c r="U3850" t="s">
        <v>12802</v>
      </c>
      <c r="V3850" t="s">
        <v>12802</v>
      </c>
      <c r="W3850" t="s">
        <v>16597</v>
      </c>
      <c r="X3850">
        <v>14</v>
      </c>
      <c r="Y3850" t="s">
        <v>22828</v>
      </c>
      <c r="Z3850" t="s">
        <v>29168</v>
      </c>
      <c r="AA3850">
        <v>0.3437897043629326</v>
      </c>
      <c r="AB3850" t="str">
        <f>HYPERLINK("Melting_Curves/meltCurve_Q5TAX3_ZCCHC11.pdf", "Melting_Curves/meltCurve_Q5TAX3_ZCCHC11.pdf")</f>
        <v>Melting_Curves/meltCurve_Q5TAX3_ZCCHC11.pdf</v>
      </c>
    </row>
    <row r="3851" spans="1:28" x14ac:dyDescent="0.25">
      <c r="A3851" t="s">
        <v>3855</v>
      </c>
      <c r="B3851">
        <v>0.99542014353169495</v>
      </c>
      <c r="C3851">
        <v>1.0263707273201299</v>
      </c>
      <c r="D3851">
        <v>1.0499484300807</v>
      </c>
      <c r="E3851">
        <v>0.82433785212253596</v>
      </c>
      <c r="F3851">
        <v>0.28389815232800097</v>
      </c>
      <c r="G3851">
        <v>0.14660737881646199</v>
      </c>
      <c r="H3851">
        <v>6.3061711353905994E-2</v>
      </c>
      <c r="I3851">
        <v>4.4203501026934697E-2</v>
      </c>
      <c r="J3851">
        <v>4.6946317425215302E-2</v>
      </c>
      <c r="K3851">
        <v>4.30539277216994E-2</v>
      </c>
      <c r="L3851">
        <v>1656.2994463446901</v>
      </c>
      <c r="M3851">
        <v>34.071348702196801</v>
      </c>
      <c r="N3851">
        <v>48.790625170775598</v>
      </c>
      <c r="O3851">
        <v>48.446103310763</v>
      </c>
      <c r="P3851">
        <v>-0.165548578176338</v>
      </c>
      <c r="Q3851">
        <v>5.8428143781752102E-2</v>
      </c>
      <c r="R3851">
        <v>0.99567602342195605</v>
      </c>
      <c r="S3851" t="s">
        <v>10253</v>
      </c>
      <c r="T3851" t="s">
        <v>12802</v>
      </c>
      <c r="U3851" t="s">
        <v>12802</v>
      </c>
      <c r="V3851" t="s">
        <v>12802</v>
      </c>
      <c r="W3851" t="s">
        <v>16598</v>
      </c>
      <c r="X3851">
        <v>9</v>
      </c>
      <c r="Y3851" t="s">
        <v>22829</v>
      </c>
      <c r="Z3851" t="s">
        <v>29169</v>
      </c>
      <c r="AA3851">
        <v>0.42726981890220161</v>
      </c>
      <c r="AB3851" t="str">
        <f>HYPERLINK("Melting_Curves/meltCurve_Q5TBB1_RNASEH2B.pdf", "Melting_Curves/meltCurve_Q5TBB1_RNASEH2B.pdf")</f>
        <v>Melting_Curves/meltCurve_Q5TBB1_RNASEH2B.pdf</v>
      </c>
    </row>
    <row r="3852" spans="1:28" x14ac:dyDescent="0.25">
      <c r="A3852" t="s">
        <v>3856</v>
      </c>
      <c r="B3852">
        <v>0.99542014353169495</v>
      </c>
      <c r="C3852">
        <v>0.95099555234259303</v>
      </c>
      <c r="D3852">
        <v>0.924061998907585</v>
      </c>
      <c r="E3852">
        <v>0.85066958775870805</v>
      </c>
      <c r="F3852">
        <v>0.380590048996306</v>
      </c>
      <c r="G3852">
        <v>0.19602851584514999</v>
      </c>
      <c r="H3852">
        <v>0.106094944175928</v>
      </c>
      <c r="I3852">
        <v>7.8515769459350196E-2</v>
      </c>
      <c r="J3852">
        <v>8.3647701066883198E-2</v>
      </c>
      <c r="K3852">
        <v>8.2529012501465104E-2</v>
      </c>
      <c r="L3852">
        <v>1302.8537609989401</v>
      </c>
      <c r="M3852">
        <v>26.5607015199632</v>
      </c>
      <c r="N3852">
        <v>49.398547850677602</v>
      </c>
      <c r="O3852">
        <v>48.776413553733597</v>
      </c>
      <c r="P3852">
        <v>-0.124561880353457</v>
      </c>
      <c r="Q3852">
        <v>8.5021585055694099E-2</v>
      </c>
      <c r="R3852">
        <v>0.99470301425520702</v>
      </c>
      <c r="S3852" t="s">
        <v>10254</v>
      </c>
      <c r="T3852" t="s">
        <v>12802</v>
      </c>
      <c r="U3852" t="s">
        <v>12802</v>
      </c>
      <c r="V3852" t="s">
        <v>12802</v>
      </c>
      <c r="W3852" t="s">
        <v>16599</v>
      </c>
      <c r="X3852">
        <v>10</v>
      </c>
      <c r="Y3852" t="s">
        <v>22830</v>
      </c>
      <c r="Z3852" t="s">
        <v>29170</v>
      </c>
      <c r="AA3852">
        <v>0.4596261722990112</v>
      </c>
      <c r="AB3852" t="str">
        <f>HYPERLINK("Melting_Curves/meltCurve_Q5TBP5_TAF4.pdf", "Melting_Curves/meltCurve_Q5TBP5_TAF4.pdf")</f>
        <v>Melting_Curves/meltCurve_Q5TBP5_TAF4.pdf</v>
      </c>
    </row>
    <row r="3853" spans="1:28" x14ac:dyDescent="0.25">
      <c r="A3853" t="s">
        <v>3857</v>
      </c>
      <c r="B3853">
        <v>0.99542014353169495</v>
      </c>
      <c r="C3853">
        <v>0.970791563694969</v>
      </c>
      <c r="D3853">
        <v>0.85381660868737796</v>
      </c>
      <c r="E3853">
        <v>0.603492520781723</v>
      </c>
      <c r="F3853">
        <v>0.27008834440346102</v>
      </c>
      <c r="G3853">
        <v>0.14358148180830901</v>
      </c>
      <c r="H3853">
        <v>0.13032056547585399</v>
      </c>
      <c r="I3853">
        <v>0.109576214767757</v>
      </c>
      <c r="J3853">
        <v>0.1067700872003</v>
      </c>
      <c r="K3853">
        <v>0.103721177254624</v>
      </c>
      <c r="L3853">
        <v>959.45911514835495</v>
      </c>
      <c r="M3853">
        <v>20.459801288898099</v>
      </c>
      <c r="N3853">
        <v>47.407232433613999</v>
      </c>
      <c r="O3853">
        <v>46.453741030620598</v>
      </c>
      <c r="P3853">
        <v>-9.9189191550627401E-2</v>
      </c>
      <c r="Q3853">
        <v>9.9195176641223501E-2</v>
      </c>
      <c r="R3853">
        <v>0.99861239575913996</v>
      </c>
      <c r="S3853" t="s">
        <v>10255</v>
      </c>
      <c r="T3853" t="s">
        <v>12802</v>
      </c>
      <c r="U3853" t="s">
        <v>12802</v>
      </c>
      <c r="V3853" t="s">
        <v>12802</v>
      </c>
      <c r="W3853" t="s">
        <v>16600</v>
      </c>
      <c r="X3853">
        <v>3</v>
      </c>
      <c r="Y3853" t="s">
        <v>22831</v>
      </c>
      <c r="Z3853" t="s">
        <v>29171</v>
      </c>
      <c r="AA3853">
        <v>0.40757925459953132</v>
      </c>
      <c r="AB3853" t="str">
        <f>HYPERLINK("Melting_Curves/meltCurve_Q5TBP9_LSM14B.pdf", "Melting_Curves/meltCurve_Q5TBP9_LSM14B.pdf")</f>
        <v>Melting_Curves/meltCurve_Q5TBP9_LSM14B.pdf</v>
      </c>
    </row>
    <row r="3854" spans="1:28" x14ac:dyDescent="0.25">
      <c r="A3854" t="s">
        <v>3858</v>
      </c>
      <c r="B3854">
        <v>0.99542014353169495</v>
      </c>
      <c r="C3854">
        <v>0.83977862224188005</v>
      </c>
      <c r="D3854">
        <v>0.79368553804712605</v>
      </c>
      <c r="E3854">
        <v>0.65814299075086902</v>
      </c>
      <c r="F3854">
        <v>0.36689119099379602</v>
      </c>
      <c r="G3854">
        <v>0.14134456470586801</v>
      </c>
      <c r="H3854">
        <v>5.8830598000386501E-2</v>
      </c>
      <c r="I3854">
        <v>4.07233378317075E-2</v>
      </c>
      <c r="J3854">
        <v>4.7654357593431902E-2</v>
      </c>
      <c r="K3854">
        <v>6.0697056052405898E-2</v>
      </c>
      <c r="L3854">
        <v>635.70276338674398</v>
      </c>
      <c r="M3854">
        <v>13.2737974655788</v>
      </c>
      <c r="N3854">
        <v>47.891551346178296</v>
      </c>
      <c r="O3854">
        <v>46.84372928562</v>
      </c>
      <c r="P3854">
        <v>-7.0852384660097995E-2</v>
      </c>
      <c r="Q3854">
        <v>0</v>
      </c>
      <c r="R3854">
        <v>0.98457629129059399</v>
      </c>
      <c r="S3854" t="s">
        <v>10256</v>
      </c>
      <c r="T3854" t="s">
        <v>12802</v>
      </c>
      <c r="U3854" t="s">
        <v>12802</v>
      </c>
      <c r="V3854" t="s">
        <v>12802</v>
      </c>
      <c r="W3854" t="s">
        <v>16601</v>
      </c>
      <c r="X3854">
        <v>1</v>
      </c>
      <c r="Y3854" t="s">
        <v>22832</v>
      </c>
      <c r="Z3854" t="s">
        <v>29172</v>
      </c>
      <c r="AA3854">
        <v>0.39002645536424557</v>
      </c>
      <c r="AB3854" t="str">
        <f>HYPERLINK("Melting_Curves/meltCurve_Q5TC82_2_RC3H1.pdf", "Melting_Curves/meltCurve_Q5TC82_2_RC3H1.pdf")</f>
        <v>Melting_Curves/meltCurve_Q5TC82_2_RC3H1.pdf</v>
      </c>
    </row>
    <row r="3855" spans="1:28" x14ac:dyDescent="0.25">
      <c r="A3855" t="s">
        <v>3859</v>
      </c>
      <c r="B3855">
        <v>0.99542014353169495</v>
      </c>
      <c r="C3855">
        <v>1.1217898638708901</v>
      </c>
      <c r="D3855">
        <v>0.95367547655051399</v>
      </c>
      <c r="E3855">
        <v>0.64372305716307698</v>
      </c>
      <c r="F3855">
        <v>0.180776419960991</v>
      </c>
      <c r="G3855">
        <v>0.14766746101233499</v>
      </c>
      <c r="H3855">
        <v>0.11717297056973899</v>
      </c>
      <c r="I3855">
        <v>3.310366805336E-2</v>
      </c>
      <c r="J3855">
        <v>2.6161530357217098E-2</v>
      </c>
      <c r="K3855">
        <v>5.1230911237096201E-2</v>
      </c>
      <c r="L3855">
        <v>1472.95302071471</v>
      </c>
      <c r="M3855">
        <v>31.138810728425401</v>
      </c>
      <c r="N3855">
        <v>47.520805025875298</v>
      </c>
      <c r="O3855">
        <v>47.108981760365403</v>
      </c>
      <c r="P3855">
        <v>-0.15425103154988901</v>
      </c>
      <c r="Q3855">
        <v>6.6557758395837802E-2</v>
      </c>
      <c r="R3855">
        <v>0.98638951435609601</v>
      </c>
      <c r="S3855" t="s">
        <v>10257</v>
      </c>
      <c r="T3855" t="s">
        <v>12802</v>
      </c>
      <c r="U3855" t="s">
        <v>12802</v>
      </c>
      <c r="V3855" t="s">
        <v>12802</v>
      </c>
      <c r="W3855" t="s">
        <v>16602</v>
      </c>
      <c r="X3855">
        <v>2</v>
      </c>
      <c r="Y3855" t="s">
        <v>22833</v>
      </c>
      <c r="Z3855" t="s">
        <v>29173</v>
      </c>
      <c r="AA3855">
        <v>0.39218779501122569</v>
      </c>
      <c r="AB3855" t="str">
        <f>HYPERLINK("Melting_Curves/meltCurve_Q5TCQ9_3_MAGI3.pdf", "Melting_Curves/meltCurve_Q5TCQ9_3_MAGI3.pdf")</f>
        <v>Melting_Curves/meltCurve_Q5TCQ9_3_MAGI3.pdf</v>
      </c>
    </row>
    <row r="3856" spans="1:28" x14ac:dyDescent="0.25">
      <c r="A3856" t="s">
        <v>3860</v>
      </c>
      <c r="B3856">
        <v>0.99542014353169495</v>
      </c>
      <c r="C3856">
        <v>0.97563108372031804</v>
      </c>
      <c r="D3856">
        <v>0.98162162487845595</v>
      </c>
      <c r="E3856">
        <v>0.92410647226972298</v>
      </c>
      <c r="F3856">
        <v>0.75085600535276997</v>
      </c>
      <c r="G3856">
        <v>0.57667353970921198</v>
      </c>
      <c r="H3856">
        <v>0.44852830983355702</v>
      </c>
      <c r="I3856">
        <v>0.47597542741945598</v>
      </c>
      <c r="J3856">
        <v>0.68976467551360099</v>
      </c>
      <c r="K3856">
        <v>0.73593221526601205</v>
      </c>
      <c r="L3856">
        <v>1709.6475438085699</v>
      </c>
      <c r="M3856">
        <v>34.6934846235579</v>
      </c>
      <c r="O3856">
        <v>49.115770098727303</v>
      </c>
      <c r="P3856">
        <v>-7.3591637534865598E-2</v>
      </c>
      <c r="Q3856">
        <v>0.58326506733654004</v>
      </c>
      <c r="R3856">
        <v>0.82748594124711505</v>
      </c>
      <c r="S3856" t="s">
        <v>10258</v>
      </c>
      <c r="T3856" t="s">
        <v>12802</v>
      </c>
      <c r="U3856" t="s">
        <v>12802</v>
      </c>
      <c r="V3856" t="s">
        <v>12802</v>
      </c>
      <c r="W3856" t="s">
        <v>16603</v>
      </c>
      <c r="X3856">
        <v>12</v>
      </c>
      <c r="Y3856" t="s">
        <v>22834</v>
      </c>
      <c r="Z3856" t="s">
        <v>29174</v>
      </c>
      <c r="AA3856">
        <v>0.75571868330443948</v>
      </c>
      <c r="AB3856" t="str">
        <f>HYPERLINK("Melting_Curves/meltCurve_Q5TD07_NQO2.pdf", "Melting_Curves/meltCurve_Q5TD07_NQO2.pdf")</f>
        <v>Melting_Curves/meltCurve_Q5TD07_NQO2.pdf</v>
      </c>
    </row>
    <row r="3857" spans="1:28" x14ac:dyDescent="0.25">
      <c r="A3857" t="s">
        <v>3861</v>
      </c>
      <c r="B3857">
        <v>0.99542014353169495</v>
      </c>
      <c r="C3857">
        <v>0.86131526975185102</v>
      </c>
      <c r="D3857">
        <v>0.85834378258855504</v>
      </c>
      <c r="E3857">
        <v>0.68807324271131498</v>
      </c>
      <c r="F3857">
        <v>0.49242403622627801</v>
      </c>
      <c r="G3857">
        <v>0.21729276764224201</v>
      </c>
      <c r="H3857">
        <v>0.11480489999848301</v>
      </c>
      <c r="I3857">
        <v>7.1952521156559104E-2</v>
      </c>
      <c r="J3857">
        <v>0.124153408532273</v>
      </c>
      <c r="K3857">
        <v>0.151053381966987</v>
      </c>
      <c r="L3857">
        <v>678.31751587625195</v>
      </c>
      <c r="M3857">
        <v>13.945839426087099</v>
      </c>
      <c r="N3857">
        <v>49.142784300751003</v>
      </c>
      <c r="O3857">
        <v>47.672028945186803</v>
      </c>
      <c r="P3857">
        <v>-6.8275898265515098E-2</v>
      </c>
      <c r="Q3857">
        <v>6.6556193832892199E-2</v>
      </c>
      <c r="R3857">
        <v>0.97926472906857298</v>
      </c>
      <c r="S3857" t="s">
        <v>10259</v>
      </c>
      <c r="T3857" t="s">
        <v>12802</v>
      </c>
      <c r="U3857" t="s">
        <v>12802</v>
      </c>
      <c r="V3857" t="s">
        <v>12802</v>
      </c>
      <c r="W3857" t="s">
        <v>16604</v>
      </c>
      <c r="X3857">
        <v>3</v>
      </c>
      <c r="Y3857" t="s">
        <v>22835</v>
      </c>
      <c r="Z3857" t="s">
        <v>29175</v>
      </c>
      <c r="AA3857">
        <v>0.4514373215888996</v>
      </c>
      <c r="AB3857" t="str">
        <f>HYPERLINK("Melting_Curves/meltCurve_Q5TDG9_DNAJC16.pdf", "Melting_Curves/meltCurve_Q5TDG9_DNAJC16.pdf")</f>
        <v>Melting_Curves/meltCurve_Q5TDG9_DNAJC16.pdf</v>
      </c>
    </row>
    <row r="3858" spans="1:28" x14ac:dyDescent="0.25">
      <c r="A3858" t="s">
        <v>3862</v>
      </c>
      <c r="B3858">
        <v>0.99542014353169495</v>
      </c>
      <c r="C3858">
        <v>1.01675522558932</v>
      </c>
      <c r="D3858">
        <v>0.95527159372909098</v>
      </c>
      <c r="E3858">
        <v>0.81724087987007599</v>
      </c>
      <c r="F3858">
        <v>0.45706879969228198</v>
      </c>
      <c r="G3858">
        <v>0.18296869524447501</v>
      </c>
      <c r="H3858">
        <v>9.1285934136343505E-2</v>
      </c>
      <c r="I3858">
        <v>6.3171552257742195E-2</v>
      </c>
      <c r="J3858">
        <v>6.07993829356097E-2</v>
      </c>
      <c r="K3858">
        <v>6.9352306174700298E-2</v>
      </c>
      <c r="L3858">
        <v>1133.37777797986</v>
      </c>
      <c r="M3858">
        <v>22.897689846699201</v>
      </c>
      <c r="N3858">
        <v>49.756881239454898</v>
      </c>
      <c r="O3858">
        <v>49.124580994156403</v>
      </c>
      <c r="P3858">
        <v>-0.10997470155816901</v>
      </c>
      <c r="Q3858">
        <v>5.6261441295268597E-2</v>
      </c>
      <c r="R3858">
        <v>0.99946520974448605</v>
      </c>
      <c r="S3858" t="s">
        <v>10260</v>
      </c>
      <c r="T3858" t="s">
        <v>12802</v>
      </c>
      <c r="U3858" t="s">
        <v>12802</v>
      </c>
      <c r="V3858" t="s">
        <v>12802</v>
      </c>
      <c r="W3858" t="s">
        <v>16605</v>
      </c>
      <c r="X3858">
        <v>22</v>
      </c>
      <c r="Y3858" t="s">
        <v>22836</v>
      </c>
      <c r="Z3858" t="s">
        <v>29176</v>
      </c>
      <c r="AA3858">
        <v>0.4591068904659687</v>
      </c>
      <c r="AB3858" t="str">
        <f>HYPERLINK("Melting_Curves/meltCurve_Q5TDH0_DDI2.pdf", "Melting_Curves/meltCurve_Q5TDH0_DDI2.pdf")</f>
        <v>Melting_Curves/meltCurve_Q5TDH0_DDI2.pdf</v>
      </c>
    </row>
    <row r="3859" spans="1:28" x14ac:dyDescent="0.25">
      <c r="A3859" t="s">
        <v>3863</v>
      </c>
      <c r="B3859">
        <v>0.99542014353169495</v>
      </c>
      <c r="C3859">
        <v>1.01189909959541</v>
      </c>
      <c r="D3859">
        <v>0.99498398961685397</v>
      </c>
      <c r="E3859">
        <v>0.91839726704693603</v>
      </c>
      <c r="F3859">
        <v>0.770919113422178</v>
      </c>
      <c r="G3859">
        <v>0.55821955602812201</v>
      </c>
      <c r="H3859">
        <v>0.26208134453508902</v>
      </c>
      <c r="I3859">
        <v>0.109280411356109</v>
      </c>
      <c r="J3859">
        <v>0.115945414356964</v>
      </c>
      <c r="K3859">
        <v>0.12713051633021299</v>
      </c>
      <c r="L3859">
        <v>993.15589500747501</v>
      </c>
      <c r="M3859">
        <v>18.5441156271369</v>
      </c>
      <c r="N3859">
        <v>53.991264945890102</v>
      </c>
      <c r="O3859">
        <v>52.945248653490701</v>
      </c>
      <c r="P3859">
        <v>-8.1491851273481797E-2</v>
      </c>
      <c r="Q3859">
        <v>6.9372330083511999E-2</v>
      </c>
      <c r="R3859">
        <v>0.99506765907950101</v>
      </c>
      <c r="S3859" t="s">
        <v>10261</v>
      </c>
      <c r="T3859" t="s">
        <v>12802</v>
      </c>
      <c r="U3859" t="s">
        <v>12802</v>
      </c>
      <c r="V3859" t="s">
        <v>12802</v>
      </c>
      <c r="W3859" t="s">
        <v>16606</v>
      </c>
      <c r="X3859">
        <v>6</v>
      </c>
      <c r="Y3859" t="s">
        <v>22837</v>
      </c>
      <c r="Z3859" t="s">
        <v>29177</v>
      </c>
      <c r="AA3859">
        <v>0.59563822152620249</v>
      </c>
      <c r="AB3859" t="str">
        <f>HYPERLINK("Melting_Curves/meltCurve_Q5TEU4_NDUFAF5.pdf", "Melting_Curves/meltCurve_Q5TEU4_NDUFAF5.pdf")</f>
        <v>Melting_Curves/meltCurve_Q5TEU4_NDUFAF5.pdf</v>
      </c>
    </row>
    <row r="3860" spans="1:28" x14ac:dyDescent="0.25">
      <c r="A3860" t="s">
        <v>3864</v>
      </c>
      <c r="B3860">
        <v>0.99542014353169495</v>
      </c>
      <c r="C3860">
        <v>0.999091043024944</v>
      </c>
      <c r="D3860">
        <v>0.91229860024127896</v>
      </c>
      <c r="E3860">
        <v>0.93174132599655501</v>
      </c>
      <c r="F3860">
        <v>0.76073585238267605</v>
      </c>
      <c r="G3860">
        <v>0.68984595853943498</v>
      </c>
      <c r="H3860">
        <v>0.32351115488128102</v>
      </c>
      <c r="I3860">
        <v>0.11309675564454</v>
      </c>
      <c r="J3860">
        <v>6.20840074269942E-2</v>
      </c>
      <c r="K3860">
        <v>7.1540707761451897E-2</v>
      </c>
      <c r="L3860">
        <v>923.8897409873</v>
      </c>
      <c r="M3860">
        <v>16.779032620751401</v>
      </c>
      <c r="N3860">
        <v>55.062159064678099</v>
      </c>
      <c r="O3860">
        <v>54.297880682929303</v>
      </c>
      <c r="P3860">
        <v>-7.7259573176935895E-2</v>
      </c>
      <c r="Q3860">
        <v>0</v>
      </c>
      <c r="R3860">
        <v>0.98280023456241905</v>
      </c>
      <c r="S3860" t="s">
        <v>10262</v>
      </c>
      <c r="T3860" t="s">
        <v>12802</v>
      </c>
      <c r="U3860" t="s">
        <v>12802</v>
      </c>
      <c r="V3860" t="s">
        <v>12802</v>
      </c>
      <c r="W3860" t="s">
        <v>16607</v>
      </c>
      <c r="X3860">
        <v>14</v>
      </c>
      <c r="Y3860" t="s">
        <v>22838</v>
      </c>
      <c r="Z3860" t="s">
        <v>29178</v>
      </c>
      <c r="AA3860">
        <v>0.61523792101222896</v>
      </c>
      <c r="AB3860" t="str">
        <f>HYPERLINK("Melting_Curves/meltCurve_Q5TFE4_NT5DC1.pdf", "Melting_Curves/meltCurve_Q5TFE4_NT5DC1.pdf")</f>
        <v>Melting_Curves/meltCurve_Q5TFE4_NT5DC1.pdf</v>
      </c>
    </row>
    <row r="3861" spans="1:28" x14ac:dyDescent="0.25">
      <c r="A3861" t="s">
        <v>3865</v>
      </c>
      <c r="B3861">
        <v>0.99542014353169495</v>
      </c>
      <c r="C3861">
        <v>1.06693902833438</v>
      </c>
      <c r="D3861">
        <v>1.02890617060884</v>
      </c>
      <c r="E3861">
        <v>1.00095127862955</v>
      </c>
      <c r="F3861">
        <v>0.94730781375699102</v>
      </c>
      <c r="G3861">
        <v>0.64327485214719804</v>
      </c>
      <c r="H3861">
        <v>0.47447480870009001</v>
      </c>
      <c r="I3861">
        <v>0.397029587047046</v>
      </c>
      <c r="J3861">
        <v>0.53739765851841703</v>
      </c>
      <c r="K3861">
        <v>0.46884983153877402</v>
      </c>
      <c r="L3861">
        <v>2312.17058634558</v>
      </c>
      <c r="M3861">
        <v>43.707754765046403</v>
      </c>
      <c r="N3861">
        <v>56.344005151350899</v>
      </c>
      <c r="O3861">
        <v>52.790305717359303</v>
      </c>
      <c r="P3861">
        <v>-0.110653389476007</v>
      </c>
      <c r="Q3861">
        <v>0.46541123173247101</v>
      </c>
      <c r="R3861">
        <v>0.97705357044269903</v>
      </c>
      <c r="S3861" t="s">
        <v>10263</v>
      </c>
      <c r="T3861" t="s">
        <v>12802</v>
      </c>
      <c r="U3861" t="s">
        <v>12802</v>
      </c>
      <c r="V3861" t="s">
        <v>12802</v>
      </c>
      <c r="W3861" t="s">
        <v>16608</v>
      </c>
      <c r="X3861">
        <v>3</v>
      </c>
      <c r="Y3861" t="s">
        <v>19964</v>
      </c>
      <c r="Z3861" t="s">
        <v>29179</v>
      </c>
      <c r="AA3861">
        <v>0.75038725434621034</v>
      </c>
      <c r="AB3861" t="str">
        <f>HYPERLINK("Melting_Curves/meltCurve_Q5TGE1_TMEM189.pdf", "Melting_Curves/meltCurve_Q5TGE1_TMEM189.pdf")</f>
        <v>Melting_Curves/meltCurve_Q5TGE1_TMEM189.pdf</v>
      </c>
    </row>
    <row r="3862" spans="1:28" x14ac:dyDescent="0.25">
      <c r="A3862" t="s">
        <v>3866</v>
      </c>
      <c r="B3862">
        <v>0.99542014353169495</v>
      </c>
      <c r="C3862">
        <v>0.992966942950122</v>
      </c>
      <c r="D3862">
        <v>0.9952265341905</v>
      </c>
      <c r="E3862">
        <v>0.95711896077418501</v>
      </c>
      <c r="F3862">
        <v>0.52465368579295601</v>
      </c>
      <c r="G3862">
        <v>0.206197258440139</v>
      </c>
      <c r="H3862">
        <v>0.113304716201942</v>
      </c>
      <c r="I3862">
        <v>7.7292471641485297E-2</v>
      </c>
      <c r="J3862">
        <v>7.2755804067733507E-2</v>
      </c>
      <c r="K3862">
        <v>6.8610448798141502E-2</v>
      </c>
      <c r="L3862">
        <v>1568.1977459055199</v>
      </c>
      <c r="M3862">
        <v>31.221977304926199</v>
      </c>
      <c r="N3862">
        <v>50.5110948109267</v>
      </c>
      <c r="O3862">
        <v>50.022671370463399</v>
      </c>
      <c r="P3862">
        <v>-0.14348969101417</v>
      </c>
      <c r="Q3862">
        <v>8.0430185802672305E-2</v>
      </c>
      <c r="R3862">
        <v>0.99857793500991099</v>
      </c>
      <c r="S3862" t="s">
        <v>10264</v>
      </c>
      <c r="T3862" t="s">
        <v>12802</v>
      </c>
      <c r="U3862" t="s">
        <v>12802</v>
      </c>
      <c r="V3862" t="s">
        <v>12802</v>
      </c>
      <c r="W3862" t="s">
        <v>16609</v>
      </c>
      <c r="X3862">
        <v>9</v>
      </c>
      <c r="Y3862" t="s">
        <v>22839</v>
      </c>
      <c r="Z3862" t="s">
        <v>29180</v>
      </c>
      <c r="AA3862">
        <v>0.49111336341058531</v>
      </c>
      <c r="AB3862" t="str">
        <f>HYPERLINK("Melting_Curves/meltCurve_Q5TH30_NDRG3.pdf", "Melting_Curves/meltCurve_Q5TH30_NDRG3.pdf")</f>
        <v>Melting_Curves/meltCurve_Q5TH30_NDRG3.pdf</v>
      </c>
    </row>
    <row r="3863" spans="1:28" x14ac:dyDescent="0.25">
      <c r="A3863" t="s">
        <v>3867</v>
      </c>
      <c r="B3863">
        <v>0.99542014353169495</v>
      </c>
      <c r="C3863">
        <v>0.87678137027571101</v>
      </c>
      <c r="D3863">
        <v>0.75122111060744101</v>
      </c>
      <c r="E3863">
        <v>0.39410275605392597</v>
      </c>
      <c r="F3863">
        <v>0.20460351233875099</v>
      </c>
      <c r="G3863">
        <v>0.105945725009221</v>
      </c>
      <c r="H3863">
        <v>5.5603491548942903E-2</v>
      </c>
      <c r="I3863">
        <v>4.3478287502333499E-2</v>
      </c>
      <c r="J3863">
        <v>3.00849554368804E-2</v>
      </c>
      <c r="K3863">
        <v>4.5570617907129997E-2</v>
      </c>
      <c r="L3863">
        <v>750.81578792603398</v>
      </c>
      <c r="M3863">
        <v>16.541479956765201</v>
      </c>
      <c r="N3863">
        <v>45.568998138184902</v>
      </c>
      <c r="O3863">
        <v>44.742061449501797</v>
      </c>
      <c r="P3863">
        <v>-8.9523877854538705E-2</v>
      </c>
      <c r="Q3863">
        <v>3.1475483926990601E-2</v>
      </c>
      <c r="R3863">
        <v>0.99784084924246097</v>
      </c>
      <c r="S3863" t="s">
        <v>10265</v>
      </c>
      <c r="T3863" t="s">
        <v>12802</v>
      </c>
      <c r="U3863" t="s">
        <v>12802</v>
      </c>
      <c r="V3863" t="s">
        <v>12802</v>
      </c>
      <c r="W3863" t="s">
        <v>16610</v>
      </c>
      <c r="X3863">
        <v>4</v>
      </c>
      <c r="Y3863" t="s">
        <v>22840</v>
      </c>
      <c r="Z3863" t="s">
        <v>29181</v>
      </c>
      <c r="AA3863">
        <v>0.32105724958615228</v>
      </c>
      <c r="AB3863" t="str">
        <f>HYPERLINK("Melting_Curves/meltCurve_Q5THJ4_2_VPS13D.pdf", "Melting_Curves/meltCurve_Q5THJ4_2_VPS13D.pdf")</f>
        <v>Melting_Curves/meltCurve_Q5THJ4_2_VPS13D.pdf</v>
      </c>
    </row>
    <row r="3864" spans="1:28" x14ac:dyDescent="0.25">
      <c r="A3864" t="s">
        <v>3868</v>
      </c>
      <c r="B3864">
        <v>0.99542014353169495</v>
      </c>
      <c r="C3864">
        <v>0.88581833826637602</v>
      </c>
      <c r="D3864">
        <v>0.76915958932328798</v>
      </c>
      <c r="E3864">
        <v>0.56201190069144602</v>
      </c>
      <c r="F3864">
        <v>0.26396051081577998</v>
      </c>
      <c r="G3864">
        <v>0.24704215156194401</v>
      </c>
      <c r="H3864">
        <v>0.142276013334352</v>
      </c>
      <c r="I3864">
        <v>0.16832316023698901</v>
      </c>
      <c r="J3864">
        <v>0.16030447748757201</v>
      </c>
      <c r="K3864">
        <v>0.19310855053390899</v>
      </c>
      <c r="L3864">
        <v>731.25382529169997</v>
      </c>
      <c r="M3864">
        <v>15.9855144719658</v>
      </c>
      <c r="N3864">
        <v>46.803032655131403</v>
      </c>
      <c r="O3864">
        <v>45.046857919121301</v>
      </c>
      <c r="P3864">
        <v>-7.5266794819247501E-2</v>
      </c>
      <c r="Q3864">
        <v>0.15166552467554001</v>
      </c>
      <c r="R3864">
        <v>0.98946885662808903</v>
      </c>
      <c r="S3864" t="s">
        <v>10266</v>
      </c>
      <c r="T3864" t="s">
        <v>12802</v>
      </c>
      <c r="U3864" t="s">
        <v>12802</v>
      </c>
      <c r="V3864" t="s">
        <v>12802</v>
      </c>
      <c r="W3864" t="s">
        <v>16611</v>
      </c>
      <c r="X3864">
        <v>2</v>
      </c>
      <c r="Y3864" t="s">
        <v>22841</v>
      </c>
      <c r="Z3864" t="s">
        <v>29182</v>
      </c>
      <c r="AA3864">
        <v>0.41636160920053228</v>
      </c>
      <c r="AB3864" t="str">
        <f>HYPERLINK("Melting_Curves/meltCurve_Q5THK1_3_PRR14L.pdf", "Melting_Curves/meltCurve_Q5THK1_3_PRR14L.pdf")</f>
        <v>Melting_Curves/meltCurve_Q5THK1_3_PRR14L.pdf</v>
      </c>
    </row>
    <row r="3865" spans="1:28" x14ac:dyDescent="0.25">
      <c r="A3865" t="s">
        <v>3869</v>
      </c>
      <c r="B3865">
        <v>0.99542014353169495</v>
      </c>
      <c r="C3865">
        <v>0.90035006932744199</v>
      </c>
      <c r="D3865">
        <v>0.89796352013122605</v>
      </c>
      <c r="E3865">
        <v>0.67946754913483598</v>
      </c>
      <c r="F3865">
        <v>0.38437822512709902</v>
      </c>
      <c r="G3865">
        <v>0.19265420437751801</v>
      </c>
      <c r="H3865">
        <v>0.10576063327993999</v>
      </c>
      <c r="I3865">
        <v>4.6757066868962298E-2</v>
      </c>
      <c r="J3865">
        <v>4.9436454935981998E-2</v>
      </c>
      <c r="K3865">
        <v>6.3377204391981398E-2</v>
      </c>
      <c r="L3865">
        <v>766.52486383510995</v>
      </c>
      <c r="M3865">
        <v>15.8032340760676</v>
      </c>
      <c r="N3865">
        <v>48.688792819322103</v>
      </c>
      <c r="O3865">
        <v>47.747541199230902</v>
      </c>
      <c r="P3865">
        <v>-8.0345637365956596E-2</v>
      </c>
      <c r="Q3865">
        <v>2.90615691694254E-2</v>
      </c>
      <c r="R3865">
        <v>0.99581663969464695</v>
      </c>
      <c r="S3865" t="s">
        <v>10267</v>
      </c>
      <c r="T3865" t="s">
        <v>12802</v>
      </c>
      <c r="U3865" t="s">
        <v>12802</v>
      </c>
      <c r="V3865" t="s">
        <v>12802</v>
      </c>
      <c r="W3865" t="s">
        <v>16612</v>
      </c>
      <c r="X3865">
        <v>2</v>
      </c>
      <c r="Y3865" t="s">
        <v>22842</v>
      </c>
      <c r="Z3865" t="s">
        <v>29183</v>
      </c>
      <c r="AA3865">
        <v>0.42079073223481661</v>
      </c>
      <c r="AB3865" t="str">
        <f>HYPERLINK("Melting_Curves/meltCurve_Q5TI78_METTL18.pdf", "Melting_Curves/meltCurve_Q5TI78_METTL18.pdf")</f>
        <v>Melting_Curves/meltCurve_Q5TI78_METTL18.pdf</v>
      </c>
    </row>
    <row r="3866" spans="1:28" x14ac:dyDescent="0.25">
      <c r="A3866" t="s">
        <v>3870</v>
      </c>
      <c r="B3866">
        <v>0.99542014353169495</v>
      </c>
      <c r="C3866">
        <v>1.00046321572691</v>
      </c>
      <c r="D3866">
        <v>1.0339323760525101</v>
      </c>
      <c r="E3866">
        <v>0.94146650335389903</v>
      </c>
      <c r="F3866">
        <v>1.0953822680391401</v>
      </c>
      <c r="G3866">
        <v>0.67005731514912703</v>
      </c>
      <c r="H3866">
        <v>0.59275017777944705</v>
      </c>
      <c r="I3866">
        <v>0.44919726880119099</v>
      </c>
      <c r="J3866">
        <v>0.323590787479557</v>
      </c>
      <c r="K3866">
        <v>0.30903069840266401</v>
      </c>
      <c r="L3866">
        <v>1148.47550800454</v>
      </c>
      <c r="M3866">
        <v>20.5607299130332</v>
      </c>
      <c r="N3866">
        <v>58.491000950269999</v>
      </c>
      <c r="O3866">
        <v>55.337363045883698</v>
      </c>
      <c r="P3866">
        <v>-6.4850505295990499E-2</v>
      </c>
      <c r="Q3866">
        <v>0.30186283521507001</v>
      </c>
      <c r="R3866">
        <v>0.94770729333118697</v>
      </c>
      <c r="S3866" t="s">
        <v>10268</v>
      </c>
      <c r="T3866" t="s">
        <v>12802</v>
      </c>
      <c r="U3866" t="s">
        <v>12802</v>
      </c>
      <c r="V3866" t="s">
        <v>12802</v>
      </c>
      <c r="W3866" t="s">
        <v>16613</v>
      </c>
      <c r="X3866">
        <v>1</v>
      </c>
      <c r="Y3866" t="s">
        <v>22843</v>
      </c>
      <c r="Z3866" t="s">
        <v>29184</v>
      </c>
      <c r="AA3866">
        <v>0.74782536344538453</v>
      </c>
      <c r="AB3866" t="str">
        <f>HYPERLINK("Melting_Curves/meltCurve_Q5TIE1_SLC19A2.pdf", "Melting_Curves/meltCurve_Q5TIE1_SLC19A2.pdf")</f>
        <v>Melting_Curves/meltCurve_Q5TIE1_SLC19A2.pdf</v>
      </c>
    </row>
    <row r="3867" spans="1:28" x14ac:dyDescent="0.25">
      <c r="A3867" t="s">
        <v>3871</v>
      </c>
      <c r="B3867">
        <v>0.99542014353169495</v>
      </c>
      <c r="C3867">
        <v>1.16599946354581</v>
      </c>
      <c r="D3867">
        <v>0.72731299937426297</v>
      </c>
      <c r="E3867">
        <v>0.476230274087862</v>
      </c>
      <c r="F3867">
        <v>0.39465953096720902</v>
      </c>
      <c r="G3867">
        <v>0.314183214546502</v>
      </c>
      <c r="H3867">
        <v>0.28307136872097899</v>
      </c>
      <c r="I3867">
        <v>0.26683528946789298</v>
      </c>
      <c r="J3867">
        <v>0.48103695705193</v>
      </c>
      <c r="K3867">
        <v>0.56867973786885495</v>
      </c>
      <c r="L3867">
        <v>10758.1377254585</v>
      </c>
      <c r="M3867">
        <v>250</v>
      </c>
      <c r="N3867">
        <v>43.3075916167207</v>
      </c>
      <c r="O3867">
        <v>43.029796549732602</v>
      </c>
      <c r="P3867">
        <v>-0.87466458471166397</v>
      </c>
      <c r="Q3867">
        <v>0.39781376687700998</v>
      </c>
      <c r="R3867">
        <v>0.87361843207637702</v>
      </c>
      <c r="S3867" t="s">
        <v>10269</v>
      </c>
      <c r="T3867" t="s">
        <v>12802</v>
      </c>
      <c r="U3867" t="s">
        <v>12802</v>
      </c>
      <c r="V3867" t="s">
        <v>12802</v>
      </c>
      <c r="W3867" t="s">
        <v>16614</v>
      </c>
      <c r="X3867">
        <v>1</v>
      </c>
      <c r="Y3867" t="s">
        <v>22844</v>
      </c>
      <c r="Z3867" t="s">
        <v>29185</v>
      </c>
      <c r="AA3867">
        <v>0.51894988164871703</v>
      </c>
      <c r="AB3867" t="str">
        <f>HYPERLINK("Melting_Curves/meltCurve_Q5TIH2_SFT2D2.pdf", "Melting_Curves/meltCurve_Q5TIH2_SFT2D2.pdf")</f>
        <v>Melting_Curves/meltCurve_Q5TIH2_SFT2D2.pdf</v>
      </c>
    </row>
    <row r="3868" spans="1:28" x14ac:dyDescent="0.25">
      <c r="A3868" t="s">
        <v>3872</v>
      </c>
      <c r="B3868">
        <v>0.99542014353169495</v>
      </c>
      <c r="C3868">
        <v>1.0060662165445799</v>
      </c>
      <c r="D3868">
        <v>0.91371629511474095</v>
      </c>
      <c r="E3868">
        <v>0.86191902005078502</v>
      </c>
      <c r="F3868">
        <v>0.67975464854394596</v>
      </c>
      <c r="G3868">
        <v>0.50861405368086599</v>
      </c>
      <c r="H3868">
        <v>0.172492527929867</v>
      </c>
      <c r="I3868">
        <v>8.9425343441551397E-2</v>
      </c>
      <c r="J3868">
        <v>8.1982249628320999E-2</v>
      </c>
      <c r="K3868">
        <v>8.9709934936777994E-2</v>
      </c>
      <c r="L3868">
        <v>790.39326360388702</v>
      </c>
      <c r="M3868">
        <v>14.977294318561199</v>
      </c>
      <c r="N3868">
        <v>52.840753838240801</v>
      </c>
      <c r="O3868">
        <v>51.858769723790999</v>
      </c>
      <c r="P3868">
        <v>-7.1520556822927503E-2</v>
      </c>
      <c r="Q3868">
        <v>9.5428699629408892E-3</v>
      </c>
      <c r="R3868">
        <v>0.98869342839153895</v>
      </c>
      <c r="S3868" t="s">
        <v>10270</v>
      </c>
      <c r="T3868" t="s">
        <v>12802</v>
      </c>
      <c r="U3868" t="s">
        <v>12802</v>
      </c>
      <c r="V3868" t="s">
        <v>12802</v>
      </c>
      <c r="W3868" t="s">
        <v>16615</v>
      </c>
      <c r="X3868">
        <v>8</v>
      </c>
      <c r="Y3868" t="s">
        <v>22845</v>
      </c>
      <c r="Z3868" t="s">
        <v>29186</v>
      </c>
      <c r="AA3868">
        <v>0.54830844547550972</v>
      </c>
      <c r="AB3868" t="str">
        <f>HYPERLINK("Melting_Curves/meltCurve_Q5U5X0_LYRM7.pdf", "Melting_Curves/meltCurve_Q5U5X0_LYRM7.pdf")</f>
        <v>Melting_Curves/meltCurve_Q5U5X0_LYRM7.pdf</v>
      </c>
    </row>
    <row r="3869" spans="1:28" x14ac:dyDescent="0.25">
      <c r="A3869" t="s">
        <v>3873</v>
      </c>
      <c r="B3869">
        <v>0.99542014353169495</v>
      </c>
      <c r="C3869">
        <v>0.82631800460051097</v>
      </c>
      <c r="D3869">
        <v>0.76327036544178695</v>
      </c>
      <c r="E3869">
        <v>0.19375177778101901</v>
      </c>
      <c r="F3869">
        <v>0.10134748468256</v>
      </c>
      <c r="G3869">
        <v>6.3354025826855301E-2</v>
      </c>
      <c r="H3869">
        <v>5.0006531679904299E-2</v>
      </c>
      <c r="I3869">
        <v>3.6805689655960899E-2</v>
      </c>
      <c r="J3869">
        <v>4.0685743561908599E-2</v>
      </c>
      <c r="K3869">
        <v>4.68100639379294E-2</v>
      </c>
      <c r="L3869">
        <v>1202.3179742132099</v>
      </c>
      <c r="M3869">
        <v>27.157418569891</v>
      </c>
      <c r="N3869">
        <v>44.423868869908098</v>
      </c>
      <c r="O3869">
        <v>44.034217248851498</v>
      </c>
      <c r="P3869">
        <v>-0.14735750040954201</v>
      </c>
      <c r="Q3869">
        <v>4.4282005780405198E-2</v>
      </c>
      <c r="R3869">
        <v>0.98330511560363298</v>
      </c>
      <c r="S3869" t="s">
        <v>10271</v>
      </c>
      <c r="T3869" t="s">
        <v>12802</v>
      </c>
      <c r="U3869" t="s">
        <v>12802</v>
      </c>
      <c r="V3869" t="s">
        <v>12802</v>
      </c>
      <c r="W3869" t="s">
        <v>16616</v>
      </c>
      <c r="X3869">
        <v>49</v>
      </c>
      <c r="Y3869" t="s">
        <v>22846</v>
      </c>
      <c r="Z3869" t="s">
        <v>29187</v>
      </c>
      <c r="AA3869">
        <v>0.28251884565166319</v>
      </c>
      <c r="AB3869" t="str">
        <f>HYPERLINK("Melting_Curves/meltCurve_Q5UIP0_RIF1.pdf", "Melting_Curves/meltCurve_Q5UIP0_RIF1.pdf")</f>
        <v>Melting_Curves/meltCurve_Q5UIP0_RIF1.pdf</v>
      </c>
    </row>
    <row r="3870" spans="1:28" x14ac:dyDescent="0.25">
      <c r="A3870" t="s">
        <v>3874</v>
      </c>
      <c r="B3870">
        <v>0.99542014353169495</v>
      </c>
      <c r="C3870">
        <v>0.90400035913433796</v>
      </c>
      <c r="D3870">
        <v>0.92952819056950098</v>
      </c>
      <c r="E3870">
        <v>0.61315936023526596</v>
      </c>
      <c r="F3870">
        <v>0.17176703213799599</v>
      </c>
      <c r="G3870">
        <v>5.3629155621167199E-2</v>
      </c>
      <c r="H3870">
        <v>2.33924429629595E-2</v>
      </c>
      <c r="I3870">
        <v>1.4498149760497601E-2</v>
      </c>
      <c r="J3870">
        <v>1.0064971871861001E-2</v>
      </c>
      <c r="K3870">
        <v>1.6484439561024699E-2</v>
      </c>
      <c r="L3870">
        <v>1251.34982148787</v>
      </c>
      <c r="M3870">
        <v>26.4632198807256</v>
      </c>
      <c r="N3870">
        <v>47.328286634023002</v>
      </c>
      <c r="O3870">
        <v>47.018840669949697</v>
      </c>
      <c r="P3870">
        <v>-0.13907759689239699</v>
      </c>
      <c r="Q3870">
        <v>1.15797282691096E-2</v>
      </c>
      <c r="R3870">
        <v>0.99507464749453001</v>
      </c>
      <c r="S3870" t="s">
        <v>10272</v>
      </c>
      <c r="T3870" t="s">
        <v>12802</v>
      </c>
      <c r="U3870" t="s">
        <v>12802</v>
      </c>
      <c r="V3870" t="s">
        <v>12802</v>
      </c>
      <c r="W3870" t="s">
        <v>16617</v>
      </c>
      <c r="X3870">
        <v>11</v>
      </c>
      <c r="Y3870" t="s">
        <v>22847</v>
      </c>
      <c r="Z3870" t="s">
        <v>29188</v>
      </c>
      <c r="AA3870">
        <v>0.35792526559201249</v>
      </c>
      <c r="AB3870" t="str">
        <f>HYPERLINK("Melting_Curves/meltCurve_Q5VIR6_4_VPS53.pdf", "Melting_Curves/meltCurve_Q5VIR6_4_VPS53.pdf")</f>
        <v>Melting_Curves/meltCurve_Q5VIR6_4_VPS53.pdf</v>
      </c>
    </row>
    <row r="3871" spans="1:28" x14ac:dyDescent="0.25">
      <c r="A3871" t="s">
        <v>3875</v>
      </c>
      <c r="B3871">
        <v>0.99542014353169495</v>
      </c>
      <c r="C3871">
        <v>0.93722016698455402</v>
      </c>
      <c r="D3871">
        <v>0.84904742949866396</v>
      </c>
      <c r="E3871">
        <v>0.58521414207567701</v>
      </c>
      <c r="F3871">
        <v>0.399933420887984</v>
      </c>
      <c r="G3871">
        <v>0.23323333520817599</v>
      </c>
      <c r="H3871">
        <v>0.113392510585241</v>
      </c>
      <c r="I3871">
        <v>9.0570087701593804E-2</v>
      </c>
      <c r="J3871">
        <v>9.3091536420910004E-2</v>
      </c>
      <c r="K3871">
        <v>0.122524610481112</v>
      </c>
      <c r="L3871">
        <v>684.38794183100003</v>
      </c>
      <c r="M3871">
        <v>14.3697198112538</v>
      </c>
      <c r="N3871">
        <v>48.1567993955113</v>
      </c>
      <c r="O3871">
        <v>46.733203484285198</v>
      </c>
      <c r="P3871">
        <v>-7.1260155834966504E-2</v>
      </c>
      <c r="Q3871">
        <v>7.3101650347264194E-2</v>
      </c>
      <c r="R3871">
        <v>0.99634988704930605</v>
      </c>
      <c r="S3871" t="s">
        <v>10273</v>
      </c>
      <c r="T3871" t="s">
        <v>12802</v>
      </c>
      <c r="U3871" t="s">
        <v>12802</v>
      </c>
      <c r="V3871" t="s">
        <v>12802</v>
      </c>
      <c r="W3871" t="s">
        <v>16618</v>
      </c>
      <c r="X3871">
        <v>10</v>
      </c>
      <c r="Y3871" t="s">
        <v>22848</v>
      </c>
      <c r="Z3871" t="s">
        <v>29189</v>
      </c>
      <c r="AA3871">
        <v>0.42358785643328922</v>
      </c>
      <c r="AB3871" t="str">
        <f>HYPERLINK("Melting_Curves/meltCurve_Q5VSL9_STRIP1.pdf", "Melting_Curves/meltCurve_Q5VSL9_STRIP1.pdf")</f>
        <v>Melting_Curves/meltCurve_Q5VSL9_STRIP1.pdf</v>
      </c>
    </row>
    <row r="3872" spans="1:28" x14ac:dyDescent="0.25">
      <c r="A3872" t="s">
        <v>3876</v>
      </c>
      <c r="B3872">
        <v>0.99542014353169495</v>
      </c>
      <c r="C3872">
        <v>0.99916997338599101</v>
      </c>
      <c r="D3872">
        <v>0.97010432907863897</v>
      </c>
      <c r="E3872">
        <v>0.53395383585376299</v>
      </c>
      <c r="F3872">
        <v>0.208923476281444</v>
      </c>
      <c r="G3872">
        <v>0.115965688748649</v>
      </c>
      <c r="H3872">
        <v>7.6104830504250598E-2</v>
      </c>
      <c r="I3872">
        <v>5.1734655945948199E-2</v>
      </c>
      <c r="J3872">
        <v>5.7569340053251303E-2</v>
      </c>
      <c r="K3872">
        <v>7.1429373433432503E-2</v>
      </c>
      <c r="L3872">
        <v>1339.7227085458301</v>
      </c>
      <c r="M3872">
        <v>28.655131544866101</v>
      </c>
      <c r="N3872">
        <v>47.006324379705603</v>
      </c>
      <c r="O3872">
        <v>46.527417666203299</v>
      </c>
      <c r="P3872">
        <v>-0.142967707994683</v>
      </c>
      <c r="Q3872">
        <v>7.14592705883456E-2</v>
      </c>
      <c r="R3872">
        <v>0.99754807641151999</v>
      </c>
      <c r="S3872" t="s">
        <v>10274</v>
      </c>
      <c r="T3872" t="s">
        <v>12802</v>
      </c>
      <c r="U3872" t="s">
        <v>12802</v>
      </c>
      <c r="V3872" t="s">
        <v>12802</v>
      </c>
      <c r="W3872" t="s">
        <v>16619</v>
      </c>
      <c r="X3872">
        <v>8</v>
      </c>
      <c r="Y3872" t="s">
        <v>22849</v>
      </c>
      <c r="Z3872" t="s">
        <v>29190</v>
      </c>
      <c r="AA3872">
        <v>0.3792329442602097</v>
      </c>
      <c r="AB3872" t="str">
        <f>HYPERLINK("Melting_Curves/meltCurve_Q5VT52_RPRD2.pdf", "Melting_Curves/meltCurve_Q5VT52_RPRD2.pdf")</f>
        <v>Melting_Curves/meltCurve_Q5VT52_RPRD2.pdf</v>
      </c>
    </row>
    <row r="3873" spans="1:28" x14ac:dyDescent="0.25">
      <c r="A3873" t="s">
        <v>3877</v>
      </c>
      <c r="B3873">
        <v>0.99542014353169495</v>
      </c>
      <c r="C3873">
        <v>0.89652587930536898</v>
      </c>
      <c r="D3873">
        <v>1.10968250235795</v>
      </c>
      <c r="E3873">
        <v>0.74010576670151895</v>
      </c>
      <c r="F3873">
        <v>0.72375782544678602</v>
      </c>
      <c r="G3873">
        <v>0.32313338029245497</v>
      </c>
      <c r="H3873">
        <v>0.27544715279436499</v>
      </c>
      <c r="I3873">
        <v>0.23637207988262801</v>
      </c>
      <c r="J3873">
        <v>0.34422625307649302</v>
      </c>
      <c r="K3873">
        <v>0.36579779756644698</v>
      </c>
      <c r="L3873">
        <v>1110.74562450903</v>
      </c>
      <c r="M3873">
        <v>22.330138155156799</v>
      </c>
      <c r="N3873">
        <v>51.727075727233498</v>
      </c>
      <c r="O3873">
        <v>49.348230525505997</v>
      </c>
      <c r="P3873">
        <v>-8.0572840758170602E-2</v>
      </c>
      <c r="Q3873">
        <v>0.28777101300494401</v>
      </c>
      <c r="R3873">
        <v>0.91985307809088002</v>
      </c>
      <c r="S3873" t="s">
        <v>10275</v>
      </c>
      <c r="T3873" t="s">
        <v>12802</v>
      </c>
      <c r="U3873" t="s">
        <v>12802</v>
      </c>
      <c r="V3873" t="s">
        <v>12802</v>
      </c>
      <c r="W3873" t="s">
        <v>16620</v>
      </c>
      <c r="X3873">
        <v>4</v>
      </c>
      <c r="Y3873" t="s">
        <v>22850</v>
      </c>
      <c r="Z3873" t="s">
        <v>29191</v>
      </c>
      <c r="AA3873">
        <v>0.59796349305956997</v>
      </c>
      <c r="AB3873" t="str">
        <f>HYPERLINK("Melting_Curves/meltCurve_Q5VT94_GHITM.pdf", "Melting_Curves/meltCurve_Q5VT94_GHITM.pdf")</f>
        <v>Melting_Curves/meltCurve_Q5VT94_GHITM.pdf</v>
      </c>
    </row>
    <row r="3874" spans="1:28" x14ac:dyDescent="0.25">
      <c r="A3874" t="s">
        <v>3878</v>
      </c>
      <c r="B3874">
        <v>0.99542014353169495</v>
      </c>
      <c r="C3874">
        <v>1.0121673902160899</v>
      </c>
      <c r="D3874">
        <v>0.71545496592709801</v>
      </c>
      <c r="E3874">
        <v>0.46279592362093702</v>
      </c>
      <c r="F3874">
        <v>0.42267952822099097</v>
      </c>
      <c r="G3874">
        <v>0.243005921149374</v>
      </c>
      <c r="H3874">
        <v>0.16892230257924301</v>
      </c>
      <c r="I3874">
        <v>0.104608962554899</v>
      </c>
      <c r="J3874">
        <v>0.10046417650577701</v>
      </c>
      <c r="K3874">
        <v>7.8521613190797604E-2</v>
      </c>
      <c r="L3874">
        <v>584.45050174579796</v>
      </c>
      <c r="M3874">
        <v>12.5223120434978</v>
      </c>
      <c r="N3874">
        <v>47.299307980082098</v>
      </c>
      <c r="O3874">
        <v>45.530440286033397</v>
      </c>
      <c r="P3874">
        <v>-6.3515904523360103E-2</v>
      </c>
      <c r="Q3874">
        <v>7.6427669827593206E-2</v>
      </c>
      <c r="R3874">
        <v>0.97571734328289506</v>
      </c>
      <c r="S3874" t="s">
        <v>10276</v>
      </c>
      <c r="T3874" t="s">
        <v>12802</v>
      </c>
      <c r="U3874" t="s">
        <v>12802</v>
      </c>
      <c r="V3874" t="s">
        <v>12802</v>
      </c>
      <c r="W3874" t="s">
        <v>16621</v>
      </c>
      <c r="X3874">
        <v>2</v>
      </c>
      <c r="Y3874" t="s">
        <v>22851</v>
      </c>
      <c r="Z3874" t="s">
        <v>29192</v>
      </c>
      <c r="AA3874">
        <v>0.40294603171912952</v>
      </c>
      <c r="AB3874" t="str">
        <f>HYPERLINK("Melting_Curves/meltCurve_Q5VTD9_2_GFI1B.pdf", "Melting_Curves/meltCurve_Q5VTD9_2_GFI1B.pdf")</f>
        <v>Melting_Curves/meltCurve_Q5VTD9_2_GFI1B.pdf</v>
      </c>
    </row>
    <row r="3875" spans="1:28" x14ac:dyDescent="0.25">
      <c r="A3875" t="s">
        <v>3879</v>
      </c>
      <c r="B3875">
        <v>0.99542014353169495</v>
      </c>
      <c r="C3875">
        <v>1.0824494716896</v>
      </c>
      <c r="D3875">
        <v>0.76568536511667495</v>
      </c>
      <c r="E3875">
        <v>0.55589800411655899</v>
      </c>
      <c r="F3875">
        <v>0.39680030721303999</v>
      </c>
      <c r="G3875">
        <v>0.23970846781319499</v>
      </c>
      <c r="H3875">
        <v>6.4260233527299399E-2</v>
      </c>
      <c r="I3875">
        <v>4.3804691552640801E-2</v>
      </c>
      <c r="J3875">
        <v>3.8616424782414199E-2</v>
      </c>
      <c r="K3875">
        <v>7.5072712095559102E-2</v>
      </c>
      <c r="L3875">
        <v>661.59765792965197</v>
      </c>
      <c r="M3875">
        <v>13.8381570303447</v>
      </c>
      <c r="N3875">
        <v>47.969155962982498</v>
      </c>
      <c r="O3875">
        <v>46.844432186231003</v>
      </c>
      <c r="P3875">
        <v>-7.22013335848775E-2</v>
      </c>
      <c r="Q3875">
        <v>2.2481920919765599E-2</v>
      </c>
      <c r="R3875">
        <v>0.97710716153025801</v>
      </c>
      <c r="S3875" t="s">
        <v>10277</v>
      </c>
      <c r="T3875" t="s">
        <v>12802</v>
      </c>
      <c r="U3875" t="s">
        <v>12802</v>
      </c>
      <c r="V3875" t="s">
        <v>12802</v>
      </c>
      <c r="W3875" t="s">
        <v>16622</v>
      </c>
      <c r="X3875">
        <v>12</v>
      </c>
      <c r="Y3875" t="s">
        <v>22852</v>
      </c>
      <c r="Z3875" t="s">
        <v>29193</v>
      </c>
      <c r="AA3875">
        <v>0.39943448757752997</v>
      </c>
      <c r="AB3875" t="str">
        <f>HYPERLINK("Melting_Curves/meltCurve_Q5VTL8_PRPF38B.pdf", "Melting_Curves/meltCurve_Q5VTL8_PRPF38B.pdf")</f>
        <v>Melting_Curves/meltCurve_Q5VTL8_PRPF38B.pdf</v>
      </c>
    </row>
    <row r="3876" spans="1:28" x14ac:dyDescent="0.25">
      <c r="A3876" t="s">
        <v>3880</v>
      </c>
      <c r="B3876">
        <v>0.99542014353169495</v>
      </c>
      <c r="C3876">
        <v>0.92774678767458396</v>
      </c>
      <c r="D3876">
        <v>0.87517916489647596</v>
      </c>
      <c r="E3876">
        <v>0.33612711344104701</v>
      </c>
      <c r="F3876">
        <v>0.17599777514150999</v>
      </c>
      <c r="G3876">
        <v>0.10622946855427701</v>
      </c>
      <c r="H3876">
        <v>6.2750744048429105E-2</v>
      </c>
      <c r="I3876">
        <v>5.0272043248806901E-2</v>
      </c>
      <c r="J3876">
        <v>4.9234185229008298E-2</v>
      </c>
      <c r="K3876">
        <v>4.8895245417896999E-2</v>
      </c>
      <c r="L3876">
        <v>1280.3410080640599</v>
      </c>
      <c r="M3876">
        <v>28.206355762203401</v>
      </c>
      <c r="N3876">
        <v>45.622624911725801</v>
      </c>
      <c r="O3876">
        <v>45.165617860809</v>
      </c>
      <c r="P3876">
        <v>-0.14575222240403801</v>
      </c>
      <c r="Q3876">
        <v>6.6460973888270297E-2</v>
      </c>
      <c r="R3876">
        <v>0.99343496309189805</v>
      </c>
      <c r="S3876" t="s">
        <v>10278</v>
      </c>
      <c r="T3876" t="s">
        <v>12802</v>
      </c>
      <c r="U3876" t="s">
        <v>12802</v>
      </c>
      <c r="V3876" t="s">
        <v>12802</v>
      </c>
      <c r="W3876" t="s">
        <v>16623</v>
      </c>
      <c r="X3876">
        <v>32</v>
      </c>
      <c r="Y3876" t="s">
        <v>22853</v>
      </c>
      <c r="Z3876" t="s">
        <v>29194</v>
      </c>
      <c r="AA3876">
        <v>0.33358610696366697</v>
      </c>
      <c r="AB3876" t="str">
        <f>HYPERLINK("Melting_Curves/meltCurve_Q5VTR2_RNF20.pdf", "Melting_Curves/meltCurve_Q5VTR2_RNF20.pdf")</f>
        <v>Melting_Curves/meltCurve_Q5VTR2_RNF20.pdf</v>
      </c>
    </row>
    <row r="3877" spans="1:28" x14ac:dyDescent="0.25">
      <c r="A3877" t="s">
        <v>3881</v>
      </c>
      <c r="B3877">
        <v>0.99542014353169495</v>
      </c>
      <c r="C3877">
        <v>0.82915207854818296</v>
      </c>
      <c r="D3877">
        <v>1.0655996602044699</v>
      </c>
      <c r="E3877">
        <v>0.87484391815389395</v>
      </c>
      <c r="F3877">
        <v>0.65163384714202599</v>
      </c>
      <c r="G3877">
        <v>0.27320705572869097</v>
      </c>
      <c r="H3877">
        <v>0.1291115677279</v>
      </c>
      <c r="I3877">
        <v>6.3562954199437596E-2</v>
      </c>
      <c r="J3877">
        <v>8.1374092700852801E-2</v>
      </c>
      <c r="K3877">
        <v>8.9152376938081104E-2</v>
      </c>
      <c r="L3877">
        <v>1221.24117438087</v>
      </c>
      <c r="M3877">
        <v>23.901729551089101</v>
      </c>
      <c r="N3877">
        <v>51.404819042994703</v>
      </c>
      <c r="O3877">
        <v>50.740643960957399</v>
      </c>
      <c r="P3877">
        <v>-0.109848753127242</v>
      </c>
      <c r="Q3877">
        <v>6.7229708555983397E-2</v>
      </c>
      <c r="R3877">
        <v>0.97588700228794001</v>
      </c>
      <c r="S3877" t="s">
        <v>10279</v>
      </c>
      <c r="T3877" t="s">
        <v>12802</v>
      </c>
      <c r="U3877" t="s">
        <v>12802</v>
      </c>
      <c r="V3877" t="s">
        <v>12802</v>
      </c>
      <c r="W3877" t="s">
        <v>16624</v>
      </c>
      <c r="X3877">
        <v>1</v>
      </c>
      <c r="Y3877" t="s">
        <v>22854</v>
      </c>
      <c r="Z3877" t="s">
        <v>29195</v>
      </c>
      <c r="AA3877">
        <v>0.51439610407052205</v>
      </c>
      <c r="AB3877" t="str">
        <f>HYPERLINK("Melting_Curves/meltCurve_Q5VTU3_DYNLT1.pdf", "Melting_Curves/meltCurve_Q5VTU3_DYNLT1.pdf")</f>
        <v>Melting_Curves/meltCurve_Q5VTU3_DYNLT1.pdf</v>
      </c>
    </row>
    <row r="3878" spans="1:28" x14ac:dyDescent="0.25">
      <c r="A3878" t="s">
        <v>3882</v>
      </c>
      <c r="B3878">
        <v>0.99542014353169495</v>
      </c>
      <c r="C3878">
        <v>0.98210639396684696</v>
      </c>
      <c r="D3878">
        <v>0.83786091749054203</v>
      </c>
      <c r="E3878">
        <v>0.79385359909920405</v>
      </c>
      <c r="F3878">
        <v>0.63563372371711402</v>
      </c>
      <c r="G3878">
        <v>0.55742256531121004</v>
      </c>
      <c r="H3878">
        <v>0.42505454297163697</v>
      </c>
      <c r="I3878">
        <v>0.36312559081277002</v>
      </c>
      <c r="J3878">
        <v>0.556880636029498</v>
      </c>
      <c r="K3878">
        <v>0.64139382436001502</v>
      </c>
      <c r="L3878">
        <v>749.80247957020003</v>
      </c>
      <c r="M3878">
        <v>16.054632201484601</v>
      </c>
      <c r="N3878">
        <v>64.591379441133199</v>
      </c>
      <c r="O3878">
        <v>45.996614189933503</v>
      </c>
      <c r="P3878">
        <v>-4.4144805342147798E-2</v>
      </c>
      <c r="Q3878">
        <v>0.49413868182749199</v>
      </c>
      <c r="R3878">
        <v>0.86264927010846504</v>
      </c>
      <c r="S3878" t="s">
        <v>10280</v>
      </c>
      <c r="T3878" t="s">
        <v>12802</v>
      </c>
      <c r="U3878" t="s">
        <v>12802</v>
      </c>
      <c r="V3878" t="s">
        <v>12802</v>
      </c>
      <c r="W3878" t="s">
        <v>16625</v>
      </c>
      <c r="X3878">
        <v>43</v>
      </c>
      <c r="Y3878" t="s">
        <v>20237</v>
      </c>
      <c r="Z3878" t="s">
        <v>29196</v>
      </c>
      <c r="AA3878">
        <v>0.66786709913582232</v>
      </c>
      <c r="AB3878" t="str">
        <f>HYPERLINK("Melting_Curves/meltCurve_Q5VU58_TPM3.pdf", "Melting_Curves/meltCurve_Q5VU58_TPM3.pdf")</f>
        <v>Melting_Curves/meltCurve_Q5VU58_TPM3.pdf</v>
      </c>
    </row>
    <row r="3879" spans="1:28" x14ac:dyDescent="0.25">
      <c r="A3879" t="s">
        <v>3883</v>
      </c>
      <c r="B3879">
        <v>0.99542014353169495</v>
      </c>
      <c r="C3879">
        <v>1.03027954030723</v>
      </c>
      <c r="D3879">
        <v>1.0149616705611999</v>
      </c>
      <c r="E3879">
        <v>0.86508244940506396</v>
      </c>
      <c r="F3879">
        <v>0.57446596270583405</v>
      </c>
      <c r="G3879">
        <v>0.176074954751234</v>
      </c>
      <c r="H3879">
        <v>0.10470124922599799</v>
      </c>
      <c r="I3879">
        <v>3.42802244658824E-2</v>
      </c>
      <c r="J3879">
        <v>4.1707123531211199E-2</v>
      </c>
      <c r="K3879">
        <v>5.1098708994047302E-2</v>
      </c>
      <c r="L3879">
        <v>1283.2500260694301</v>
      </c>
      <c r="M3879">
        <v>25.429190187874301</v>
      </c>
      <c r="N3879">
        <v>50.624930797689998</v>
      </c>
      <c r="O3879">
        <v>50.154663046487698</v>
      </c>
      <c r="P3879">
        <v>-0.121823814056923</v>
      </c>
      <c r="Q3879">
        <v>3.8906384979888901E-2</v>
      </c>
      <c r="R3879">
        <v>0.99732978210431</v>
      </c>
      <c r="S3879" t="s">
        <v>10281</v>
      </c>
      <c r="T3879" t="s">
        <v>12802</v>
      </c>
      <c r="U3879" t="s">
        <v>12802</v>
      </c>
      <c r="V3879" t="s">
        <v>12802</v>
      </c>
      <c r="W3879" t="s">
        <v>16626</v>
      </c>
      <c r="X3879">
        <v>4</v>
      </c>
      <c r="Y3879" t="s">
        <v>22855</v>
      </c>
      <c r="Z3879" t="s">
        <v>29197</v>
      </c>
      <c r="AA3879">
        <v>0.47841055948426281</v>
      </c>
      <c r="AB3879" t="str">
        <f>HYPERLINK("Melting_Curves/meltCurve_Q5VUC6_NMT2.pdf", "Melting_Curves/meltCurve_Q5VUC6_NMT2.pdf")</f>
        <v>Melting_Curves/meltCurve_Q5VUC6_NMT2.pdf</v>
      </c>
    </row>
    <row r="3880" spans="1:28" x14ac:dyDescent="0.25">
      <c r="A3880" t="s">
        <v>3884</v>
      </c>
      <c r="B3880">
        <v>0.99542014353169495</v>
      </c>
      <c r="C3880">
        <v>0.91307128828220796</v>
      </c>
      <c r="D3880">
        <v>0.88427563491970396</v>
      </c>
      <c r="E3880">
        <v>0.63547376175034698</v>
      </c>
      <c r="F3880">
        <v>0.41166595304527498</v>
      </c>
      <c r="G3880">
        <v>0.20487499618645999</v>
      </c>
      <c r="H3880">
        <v>9.2766573698541702E-2</v>
      </c>
      <c r="I3880">
        <v>4.2589693133192497E-2</v>
      </c>
      <c r="J3880">
        <v>3.7480907694839603E-2</v>
      </c>
      <c r="K3880">
        <v>3.6943550903156902E-2</v>
      </c>
      <c r="L3880">
        <v>678.364702760922</v>
      </c>
      <c r="M3880">
        <v>13.9439098503209</v>
      </c>
      <c r="N3880">
        <v>48.6495330561524</v>
      </c>
      <c r="O3880">
        <v>47.6816798457467</v>
      </c>
      <c r="P3880">
        <v>-7.3119167219481807E-2</v>
      </c>
      <c r="Q3880">
        <v>0</v>
      </c>
      <c r="R3880">
        <v>0.99757772961741498</v>
      </c>
      <c r="S3880" t="s">
        <v>10282</v>
      </c>
      <c r="T3880" t="s">
        <v>12802</v>
      </c>
      <c r="U3880" t="s">
        <v>12802</v>
      </c>
      <c r="V3880" t="s">
        <v>12802</v>
      </c>
      <c r="W3880" t="s">
        <v>16627</v>
      </c>
      <c r="X3880">
        <v>19</v>
      </c>
      <c r="Y3880" t="s">
        <v>22856</v>
      </c>
      <c r="Z3880" t="s">
        <v>29198</v>
      </c>
      <c r="AA3880">
        <v>0.41265812445822347</v>
      </c>
      <c r="AB3880" t="str">
        <f>HYPERLINK("Melting_Curves/meltCurve_Q5VV42_CDKAL1.pdf", "Melting_Curves/meltCurve_Q5VV42_CDKAL1.pdf")</f>
        <v>Melting_Curves/meltCurve_Q5VV42_CDKAL1.pdf</v>
      </c>
    </row>
    <row r="3881" spans="1:28" x14ac:dyDescent="0.25">
      <c r="A3881" t="s">
        <v>3885</v>
      </c>
      <c r="B3881">
        <v>0.99542014353169495</v>
      </c>
      <c r="C3881">
        <v>1.04961703787</v>
      </c>
      <c r="D3881">
        <v>1.0994063777293901</v>
      </c>
      <c r="E3881">
        <v>1.01199593344526</v>
      </c>
      <c r="F3881">
        <v>0.88999032222153696</v>
      </c>
      <c r="G3881">
        <v>0.61536676820859604</v>
      </c>
      <c r="H3881">
        <v>0.49828488312912</v>
      </c>
      <c r="I3881">
        <v>0.40616156282313898</v>
      </c>
      <c r="J3881">
        <v>0.56424111072485195</v>
      </c>
      <c r="K3881">
        <v>0.67012137103243896</v>
      </c>
      <c r="L3881">
        <v>2261.2443634414399</v>
      </c>
      <c r="M3881">
        <v>43.803154264168498</v>
      </c>
      <c r="O3881">
        <v>51.515634322123802</v>
      </c>
      <c r="P3881">
        <v>-9.8710232056559696E-2</v>
      </c>
      <c r="Q3881">
        <v>0.53563970926341098</v>
      </c>
      <c r="R3881">
        <v>0.91473354429091103</v>
      </c>
      <c r="S3881" t="s">
        <v>10283</v>
      </c>
      <c r="T3881" t="s">
        <v>12802</v>
      </c>
      <c r="U3881" t="s">
        <v>12802</v>
      </c>
      <c r="V3881" t="s">
        <v>12802</v>
      </c>
      <c r="W3881" t="s">
        <v>16628</v>
      </c>
      <c r="X3881">
        <v>4</v>
      </c>
      <c r="Y3881" t="s">
        <v>22857</v>
      </c>
      <c r="Z3881" t="s">
        <v>29199</v>
      </c>
      <c r="AA3881">
        <v>0.7633610157102787</v>
      </c>
      <c r="AB3881" t="str">
        <f>HYPERLINK("Melting_Curves/meltCurve_Q5VV50_ZNF691.pdf", "Melting_Curves/meltCurve_Q5VV50_ZNF691.pdf")</f>
        <v>Melting_Curves/meltCurve_Q5VV50_ZNF691.pdf</v>
      </c>
    </row>
    <row r="3882" spans="1:28" x14ac:dyDescent="0.25">
      <c r="A3882" t="s">
        <v>3886</v>
      </c>
      <c r="B3882">
        <v>0.99542014353169495</v>
      </c>
      <c r="C3882">
        <v>0.98674674853992494</v>
      </c>
      <c r="D3882">
        <v>0.91726615341245799</v>
      </c>
      <c r="E3882">
        <v>0.83935499108254297</v>
      </c>
      <c r="F3882">
        <v>0.52762732564244796</v>
      </c>
      <c r="G3882">
        <v>0.196975569331725</v>
      </c>
      <c r="H3882">
        <v>0.16044891682819401</v>
      </c>
      <c r="I3882">
        <v>9.9727540250922703E-2</v>
      </c>
      <c r="J3882">
        <v>8.8109565174982293E-2</v>
      </c>
      <c r="K3882">
        <v>8.7623069121642194E-2</v>
      </c>
      <c r="L3882">
        <v>1078.2808074954901</v>
      </c>
      <c r="M3882">
        <v>21.632893390616299</v>
      </c>
      <c r="N3882">
        <v>50.266751469627302</v>
      </c>
      <c r="O3882">
        <v>49.424437404373002</v>
      </c>
      <c r="P3882">
        <v>-0.10033524157948601</v>
      </c>
      <c r="Q3882">
        <v>8.3082543553701302E-2</v>
      </c>
      <c r="R3882">
        <v>0.99595226205397103</v>
      </c>
      <c r="S3882" t="s">
        <v>10284</v>
      </c>
      <c r="T3882" t="s">
        <v>12802</v>
      </c>
      <c r="U3882" t="s">
        <v>12802</v>
      </c>
      <c r="V3882" t="s">
        <v>12802</v>
      </c>
      <c r="W3882" t="s">
        <v>16629</v>
      </c>
      <c r="X3882">
        <v>3</v>
      </c>
      <c r="Y3882" t="s">
        <v>22858</v>
      </c>
      <c r="Z3882" t="s">
        <v>29200</v>
      </c>
      <c r="AA3882">
        <v>0.4861538418563871</v>
      </c>
      <c r="AB3882" t="str">
        <f>HYPERLINK("Melting_Curves/meltCurve_Q5VVD7_PLEKHM2.pdf", "Melting_Curves/meltCurve_Q5VVD7_PLEKHM2.pdf")</f>
        <v>Melting_Curves/meltCurve_Q5VVD7_PLEKHM2.pdf</v>
      </c>
    </row>
    <row r="3883" spans="1:28" x14ac:dyDescent="0.25">
      <c r="A3883" t="s">
        <v>3887</v>
      </c>
      <c r="B3883">
        <v>0.99542014353169495</v>
      </c>
      <c r="C3883">
        <v>0.94299493867958195</v>
      </c>
      <c r="D3883">
        <v>0.83670888347191197</v>
      </c>
      <c r="E3883">
        <v>0.37728361234163199</v>
      </c>
      <c r="F3883">
        <v>0.185611415151616</v>
      </c>
      <c r="G3883">
        <v>9.9845682092955898E-2</v>
      </c>
      <c r="H3883">
        <v>6.5344100947573897E-2</v>
      </c>
      <c r="I3883">
        <v>5.5647520517742501E-2</v>
      </c>
      <c r="J3883">
        <v>5.3437722329200403E-2</v>
      </c>
      <c r="K3883">
        <v>4.48971311659737E-2</v>
      </c>
      <c r="L3883">
        <v>1058.9083121716201</v>
      </c>
      <c r="M3883">
        <v>23.258216013173499</v>
      </c>
      <c r="N3883">
        <v>45.7749751589607</v>
      </c>
      <c r="O3883">
        <v>45.195809742142004</v>
      </c>
      <c r="P3883">
        <v>-0.121078748858213</v>
      </c>
      <c r="Q3883">
        <v>5.8887159774012203E-2</v>
      </c>
      <c r="R3883">
        <v>0.99752862054750902</v>
      </c>
      <c r="S3883" t="s">
        <v>10285</v>
      </c>
      <c r="T3883" t="s">
        <v>12802</v>
      </c>
      <c r="U3883" t="s">
        <v>12802</v>
      </c>
      <c r="V3883" t="s">
        <v>12802</v>
      </c>
      <c r="W3883" t="s">
        <v>16630</v>
      </c>
      <c r="X3883">
        <v>3</v>
      </c>
      <c r="Y3883" t="s">
        <v>22859</v>
      </c>
      <c r="Z3883" t="s">
        <v>29201</v>
      </c>
      <c r="AA3883">
        <v>0.33543640915298778</v>
      </c>
      <c r="AB3883" t="str">
        <f>HYPERLINK("Melting_Curves/meltCurve_Q5VVJ2_2_MYSM1.pdf", "Melting_Curves/meltCurve_Q5VVJ2_2_MYSM1.pdf")</f>
        <v>Melting_Curves/meltCurve_Q5VVJ2_2_MYSM1.pdf</v>
      </c>
    </row>
    <row r="3884" spans="1:28" x14ac:dyDescent="0.25">
      <c r="A3884" t="s">
        <v>3888</v>
      </c>
      <c r="B3884">
        <v>0.99542014353169495</v>
      </c>
      <c r="C3884">
        <v>0.99493376121268196</v>
      </c>
      <c r="D3884">
        <v>0.90491413126272302</v>
      </c>
      <c r="E3884">
        <v>0.62767653472971696</v>
      </c>
      <c r="F3884">
        <v>0.20686801162215601</v>
      </c>
      <c r="G3884">
        <v>0.117995564237241</v>
      </c>
      <c r="H3884">
        <v>7.3809087843966795E-2</v>
      </c>
      <c r="I3884">
        <v>5.0652975761266199E-2</v>
      </c>
      <c r="J3884">
        <v>5.4995385665479402E-2</v>
      </c>
      <c r="K3884">
        <v>5.20154417453614E-2</v>
      </c>
      <c r="L3884">
        <v>1191.23823912641</v>
      </c>
      <c r="M3884">
        <v>25.2099019015807</v>
      </c>
      <c r="N3884">
        <v>47.473818441440599</v>
      </c>
      <c r="O3884">
        <v>46.958476655280499</v>
      </c>
      <c r="P3884">
        <v>-0.12678370230653299</v>
      </c>
      <c r="Q3884">
        <v>5.5372542382902103E-2</v>
      </c>
      <c r="R3884">
        <v>0.99875885398847897</v>
      </c>
      <c r="S3884" t="s">
        <v>10286</v>
      </c>
      <c r="T3884" t="s">
        <v>12802</v>
      </c>
      <c r="U3884" t="s">
        <v>12802</v>
      </c>
      <c r="V3884" t="s">
        <v>12802</v>
      </c>
      <c r="W3884" t="s">
        <v>16631</v>
      </c>
      <c r="X3884">
        <v>18</v>
      </c>
      <c r="Y3884" t="s">
        <v>22860</v>
      </c>
      <c r="Z3884" t="s">
        <v>29202</v>
      </c>
      <c r="AA3884">
        <v>0.38603820768139657</v>
      </c>
      <c r="AB3884" t="str">
        <f>HYPERLINK("Melting_Curves/meltCurve_Q5VVQ6_YOD1.pdf", "Melting_Curves/meltCurve_Q5VVQ6_YOD1.pdf")</f>
        <v>Melting_Curves/meltCurve_Q5VVQ6_YOD1.pdf</v>
      </c>
    </row>
    <row r="3885" spans="1:28" x14ac:dyDescent="0.25">
      <c r="A3885" t="s">
        <v>3889</v>
      </c>
      <c r="B3885">
        <v>0.99542014353169495</v>
      </c>
      <c r="C3885">
        <v>0.97894965910937304</v>
      </c>
      <c r="D3885">
        <v>1.0414885402957299</v>
      </c>
      <c r="E3885">
        <v>0.92507209969126303</v>
      </c>
      <c r="F3885">
        <v>0.29595111245711497</v>
      </c>
      <c r="G3885">
        <v>0.13693081201469101</v>
      </c>
      <c r="H3885">
        <v>7.96368296723486E-2</v>
      </c>
      <c r="I3885">
        <v>5.8607147815611001E-2</v>
      </c>
      <c r="J3885">
        <v>6.3700789179572004E-2</v>
      </c>
      <c r="K3885">
        <v>6.8082793429544194E-2</v>
      </c>
      <c r="L3885">
        <v>2259.4089953368798</v>
      </c>
      <c r="M3885">
        <v>46.138200570804997</v>
      </c>
      <c r="N3885">
        <v>49.149227807578299</v>
      </c>
      <c r="O3885">
        <v>48.878746114928298</v>
      </c>
      <c r="P3885">
        <v>-0.21775488178767499</v>
      </c>
      <c r="Q3885">
        <v>7.7244478210061501E-2</v>
      </c>
      <c r="R3885">
        <v>0.99727854279611305</v>
      </c>
      <c r="S3885" t="s">
        <v>10287</v>
      </c>
      <c r="T3885" t="s">
        <v>12802</v>
      </c>
      <c r="U3885" t="s">
        <v>12802</v>
      </c>
      <c r="V3885" t="s">
        <v>12802</v>
      </c>
      <c r="W3885" t="s">
        <v>16632</v>
      </c>
      <c r="X3885">
        <v>11</v>
      </c>
      <c r="Y3885" t="s">
        <v>22861</v>
      </c>
      <c r="Z3885" t="s">
        <v>29203</v>
      </c>
      <c r="AA3885">
        <v>0.44778107950379931</v>
      </c>
      <c r="AB3885" t="str">
        <f>HYPERLINK("Melting_Curves/meltCurve_Q5VW32_BROX.pdf", "Melting_Curves/meltCurve_Q5VW32_BROX.pdf")</f>
        <v>Melting_Curves/meltCurve_Q5VW32_BROX.pdf</v>
      </c>
    </row>
    <row r="3886" spans="1:28" x14ac:dyDescent="0.25">
      <c r="A3886" t="s">
        <v>3890</v>
      </c>
      <c r="B3886">
        <v>0.99542014353169495</v>
      </c>
      <c r="C3886">
        <v>1.24380445251225</v>
      </c>
      <c r="D3886">
        <v>0.85646293485307801</v>
      </c>
      <c r="E3886">
        <v>0.84518932157065096</v>
      </c>
      <c r="F3886">
        <v>0.78150010399745895</v>
      </c>
      <c r="G3886">
        <v>0.33461229920066599</v>
      </c>
      <c r="H3886">
        <v>0.13364916552753001</v>
      </c>
      <c r="I3886">
        <v>0.112592365864406</v>
      </c>
      <c r="J3886">
        <v>0.22179290406677099</v>
      </c>
      <c r="K3886">
        <v>0</v>
      </c>
      <c r="L3886">
        <v>1225.45861572886</v>
      </c>
      <c r="M3886">
        <v>23.618138167187901</v>
      </c>
      <c r="N3886">
        <v>52.2983510049174</v>
      </c>
      <c r="O3886">
        <v>51.518635269536297</v>
      </c>
      <c r="P3886">
        <v>-0.104882066468336</v>
      </c>
      <c r="Q3886">
        <v>8.4891155330723903E-2</v>
      </c>
      <c r="R3886">
        <v>0.93185233485987096</v>
      </c>
      <c r="S3886" t="s">
        <v>10288</v>
      </c>
      <c r="T3886" t="s">
        <v>12802</v>
      </c>
      <c r="U3886" t="s">
        <v>12802</v>
      </c>
      <c r="V3886" t="s">
        <v>12802</v>
      </c>
      <c r="W3886" t="s">
        <v>16633</v>
      </c>
      <c r="X3886">
        <v>2</v>
      </c>
      <c r="Y3886" t="s">
        <v>22862</v>
      </c>
      <c r="Z3886" t="s">
        <v>29204</v>
      </c>
      <c r="AA3886">
        <v>0.54794783668211011</v>
      </c>
      <c r="AB3886" t="str">
        <f>HYPERLINK("Melting_Curves/meltCurve_Q5VW52_GPAM.pdf", "Melting_Curves/meltCurve_Q5VW52_GPAM.pdf")</f>
        <v>Melting_Curves/meltCurve_Q5VW52_GPAM.pdf</v>
      </c>
    </row>
    <row r="3887" spans="1:28" x14ac:dyDescent="0.25">
      <c r="A3887" t="s">
        <v>3891</v>
      </c>
      <c r="B3887">
        <v>0.99542014353169495</v>
      </c>
      <c r="C3887">
        <v>0.92996141964229595</v>
      </c>
      <c r="D3887">
        <v>0.94180001652331902</v>
      </c>
      <c r="E3887">
        <v>0.83608829053997302</v>
      </c>
      <c r="F3887">
        <v>0.62553570300180406</v>
      </c>
      <c r="G3887">
        <v>0.34364688696929202</v>
      </c>
      <c r="H3887">
        <v>0.25110268610270298</v>
      </c>
      <c r="I3887">
        <v>0.106970705530934</v>
      </c>
      <c r="J3887">
        <v>0.116974359147065</v>
      </c>
      <c r="K3887">
        <v>0.102179566000434</v>
      </c>
      <c r="L3887">
        <v>773.35859440854301</v>
      </c>
      <c r="M3887">
        <v>15.08633043277</v>
      </c>
      <c r="N3887">
        <v>51.740260406069901</v>
      </c>
      <c r="O3887">
        <v>50.386808947254799</v>
      </c>
      <c r="P3887">
        <v>-6.9989989412650902E-2</v>
      </c>
      <c r="Q3887">
        <v>6.5054574046079103E-2</v>
      </c>
      <c r="R3887">
        <v>0.99457811802191598</v>
      </c>
      <c r="S3887" t="s">
        <v>10289</v>
      </c>
      <c r="T3887" t="s">
        <v>12802</v>
      </c>
      <c r="U3887" t="s">
        <v>12802</v>
      </c>
      <c r="V3887" t="s">
        <v>12802</v>
      </c>
      <c r="W3887" t="s">
        <v>15594</v>
      </c>
      <c r="X3887">
        <v>12</v>
      </c>
      <c r="Y3887" t="s">
        <v>21856</v>
      </c>
      <c r="Z3887" t="s">
        <v>29205</v>
      </c>
      <c r="AA3887">
        <v>0.52799914642571311</v>
      </c>
      <c r="AB3887" t="str">
        <f>HYPERLINK("Melting_Curves/meltCurve_Q5VWC4_PSMD4.pdf", "Melting_Curves/meltCurve_Q5VWC4_PSMD4.pdf")</f>
        <v>Melting_Curves/meltCurve_Q5VWC4_PSMD4.pdf</v>
      </c>
    </row>
    <row r="3888" spans="1:28" x14ac:dyDescent="0.25">
      <c r="A3888" t="s">
        <v>3892</v>
      </c>
      <c r="B3888">
        <v>0.99542014353169495</v>
      </c>
      <c r="C3888">
        <v>1.0424962647651199</v>
      </c>
      <c r="D3888">
        <v>0.87968868839953895</v>
      </c>
      <c r="E3888">
        <v>0.64568747542003901</v>
      </c>
      <c r="F3888">
        <v>0.38902054444667</v>
      </c>
      <c r="G3888">
        <v>0.21505797578521499</v>
      </c>
      <c r="H3888">
        <v>0.13454489475863399</v>
      </c>
      <c r="I3888">
        <v>0.114867367793775</v>
      </c>
      <c r="J3888">
        <v>0.10999799397137699</v>
      </c>
      <c r="K3888">
        <v>0.12754204729399901</v>
      </c>
      <c r="L3888">
        <v>864.616405840428</v>
      </c>
      <c r="M3888">
        <v>18.074353971513499</v>
      </c>
      <c r="N3888">
        <v>48.473489364664303</v>
      </c>
      <c r="O3888">
        <v>47.262611448590299</v>
      </c>
      <c r="P3888">
        <v>-8.5505940033835298E-2</v>
      </c>
      <c r="Q3888">
        <v>0.105686124104535</v>
      </c>
      <c r="R3888">
        <v>0.99584492744100095</v>
      </c>
      <c r="S3888" t="s">
        <v>10290</v>
      </c>
      <c r="T3888" t="s">
        <v>12802</v>
      </c>
      <c r="U3888" t="s">
        <v>12802</v>
      </c>
      <c r="V3888" t="s">
        <v>12802</v>
      </c>
      <c r="W3888" t="s">
        <v>16634</v>
      </c>
      <c r="X3888">
        <v>2</v>
      </c>
      <c r="Y3888" t="s">
        <v>22863</v>
      </c>
      <c r="Z3888" t="s">
        <v>29206</v>
      </c>
      <c r="AA3888">
        <v>0.44292773876944741</v>
      </c>
      <c r="AB3888" t="str">
        <f>HYPERLINK("Melting_Curves/meltCurve_Q5VWJ9_SNX30.pdf", "Melting_Curves/meltCurve_Q5VWJ9_SNX30.pdf")</f>
        <v>Melting_Curves/meltCurve_Q5VWJ9_SNX30.pdf</v>
      </c>
    </row>
    <row r="3889" spans="1:28" x14ac:dyDescent="0.25">
      <c r="A3889" t="s">
        <v>3893</v>
      </c>
      <c r="B3889">
        <v>0.99542014353169495</v>
      </c>
      <c r="C3889">
        <v>0.84469814110748997</v>
      </c>
      <c r="D3889">
        <v>0.74781920130509905</v>
      </c>
      <c r="E3889">
        <v>0.72313074773999597</v>
      </c>
      <c r="F3889">
        <v>0.51218287414038699</v>
      </c>
      <c r="G3889">
        <v>0.382458432008843</v>
      </c>
      <c r="H3889">
        <v>0.33461179299229599</v>
      </c>
      <c r="I3889">
        <v>0.119255505765836</v>
      </c>
      <c r="J3889">
        <v>0.30215649951651802</v>
      </c>
      <c r="K3889">
        <v>0.203802837144199</v>
      </c>
      <c r="L3889">
        <v>422.22776066601801</v>
      </c>
      <c r="M3889">
        <v>8.6143003451707898</v>
      </c>
      <c r="N3889">
        <v>50.515472285006901</v>
      </c>
      <c r="O3889">
        <v>46.587900518749102</v>
      </c>
      <c r="P3889">
        <v>-4.1042449536723598E-2</v>
      </c>
      <c r="Q3889">
        <v>0.112896248442411</v>
      </c>
      <c r="R3889">
        <v>0.95291808948757795</v>
      </c>
      <c r="S3889" t="s">
        <v>10291</v>
      </c>
      <c r="T3889" t="s">
        <v>12802</v>
      </c>
      <c r="U3889" t="s">
        <v>12802</v>
      </c>
      <c r="V3889" t="s">
        <v>12802</v>
      </c>
      <c r="W3889" t="s">
        <v>16635</v>
      </c>
      <c r="X3889">
        <v>2</v>
      </c>
      <c r="Y3889" t="s">
        <v>22864</v>
      </c>
      <c r="Z3889" t="s">
        <v>29207</v>
      </c>
      <c r="AA3889">
        <v>0.5065641181389029</v>
      </c>
      <c r="AB3889" t="str">
        <f>HYPERLINK("Melting_Curves/meltCurve_Q5VWP2_FAM46C.pdf", "Melting_Curves/meltCurve_Q5VWP2_FAM46C.pdf")</f>
        <v>Melting_Curves/meltCurve_Q5VWP2_FAM46C.pdf</v>
      </c>
    </row>
    <row r="3890" spans="1:28" x14ac:dyDescent="0.25">
      <c r="A3890" t="s">
        <v>3894</v>
      </c>
      <c r="B3890">
        <v>0.99542014353169495</v>
      </c>
      <c r="C3890">
        <v>0.87216502218807301</v>
      </c>
      <c r="D3890">
        <v>0.72667015545240599</v>
      </c>
      <c r="E3890">
        <v>0.56028253731629396</v>
      </c>
      <c r="F3890">
        <v>0.33469084747994698</v>
      </c>
      <c r="G3890">
        <v>0.20203304795205501</v>
      </c>
      <c r="H3890">
        <v>9.2240923542107903E-2</v>
      </c>
      <c r="I3890">
        <v>5.4815892922034898E-2</v>
      </c>
      <c r="J3890">
        <v>4.27197799033356E-2</v>
      </c>
      <c r="K3890">
        <v>5.0799139944371401E-2</v>
      </c>
      <c r="L3890">
        <v>541.55505001784695</v>
      </c>
      <c r="M3890">
        <v>11.482481827779001</v>
      </c>
      <c r="N3890">
        <v>47.1635886016659</v>
      </c>
      <c r="O3890">
        <v>45.801119630835402</v>
      </c>
      <c r="P3890">
        <v>-6.2693694143909698E-2</v>
      </c>
      <c r="Q3890">
        <v>0</v>
      </c>
      <c r="R3890">
        <v>0.99667540717276804</v>
      </c>
      <c r="S3890" t="s">
        <v>10292</v>
      </c>
      <c r="T3890" t="s">
        <v>12802</v>
      </c>
      <c r="U3890" t="s">
        <v>12802</v>
      </c>
      <c r="V3890" t="s">
        <v>12802</v>
      </c>
      <c r="W3890" t="s">
        <v>16636</v>
      </c>
      <c r="X3890">
        <v>5</v>
      </c>
      <c r="Y3890" t="s">
        <v>22865</v>
      </c>
      <c r="Z3890" t="s">
        <v>29208</v>
      </c>
      <c r="AA3890">
        <v>0.37369141634054448</v>
      </c>
      <c r="AB3890" t="str">
        <f>HYPERLINK("Melting_Curves/meltCurve_Q5VWQ0_RSBN1.pdf", "Melting_Curves/meltCurve_Q5VWQ0_RSBN1.pdf")</f>
        <v>Melting_Curves/meltCurve_Q5VWQ0_RSBN1.pdf</v>
      </c>
    </row>
    <row r="3891" spans="1:28" x14ac:dyDescent="0.25">
      <c r="A3891" t="s">
        <v>3895</v>
      </c>
      <c r="B3891">
        <v>0.99542014353169495</v>
      </c>
      <c r="C3891">
        <v>0.75879714079929395</v>
      </c>
      <c r="D3891">
        <v>0.728181785925618</v>
      </c>
      <c r="E3891">
        <v>0.323256992919151</v>
      </c>
      <c r="F3891">
        <v>9.4511439358241897E-2</v>
      </c>
      <c r="G3891">
        <v>5.2468532246546198E-2</v>
      </c>
      <c r="H3891">
        <v>3.9563283930866E-2</v>
      </c>
      <c r="I3891">
        <v>2.95478858098751E-2</v>
      </c>
      <c r="J3891">
        <v>2.83551810010607E-2</v>
      </c>
      <c r="K3891">
        <v>7.0959263424856299E-3</v>
      </c>
      <c r="L3891">
        <v>734.23588050419301</v>
      </c>
      <c r="M3891">
        <v>16.478767594965301</v>
      </c>
      <c r="N3891">
        <v>44.585174668450797</v>
      </c>
      <c r="O3891">
        <v>43.915847063058898</v>
      </c>
      <c r="P3891">
        <v>-9.3320596223014501E-2</v>
      </c>
      <c r="Q3891">
        <v>5.2740451216085902E-3</v>
      </c>
      <c r="R3891">
        <v>0.98184196375925503</v>
      </c>
      <c r="S3891" t="s">
        <v>10293</v>
      </c>
      <c r="T3891" t="s">
        <v>12802</v>
      </c>
      <c r="U3891" t="s">
        <v>12802</v>
      </c>
      <c r="V3891" t="s">
        <v>12802</v>
      </c>
      <c r="W3891" t="s">
        <v>16637</v>
      </c>
      <c r="X3891">
        <v>7</v>
      </c>
      <c r="Y3891" t="s">
        <v>22866</v>
      </c>
      <c r="Z3891" t="s">
        <v>29209</v>
      </c>
      <c r="AA3891">
        <v>0.2756609351584815</v>
      </c>
      <c r="AB3891" t="str">
        <f>HYPERLINK("Melting_Curves/meltCurve_Q5VWV2_PARD3.pdf", "Melting_Curves/meltCurve_Q5VWV2_PARD3.pdf")</f>
        <v>Melting_Curves/meltCurve_Q5VWV2_PARD3.pdf</v>
      </c>
    </row>
    <row r="3892" spans="1:28" x14ac:dyDescent="0.25">
      <c r="A3892" t="s">
        <v>3896</v>
      </c>
      <c r="B3892">
        <v>0.99542014353169495</v>
      </c>
      <c r="C3892">
        <v>1.08867979278503</v>
      </c>
      <c r="D3892">
        <v>0.83896067327980395</v>
      </c>
      <c r="E3892">
        <v>0.80276491753882595</v>
      </c>
      <c r="F3892">
        <v>0.60064422611991597</v>
      </c>
      <c r="G3892">
        <v>0.29978087237636403</v>
      </c>
      <c r="H3892">
        <v>6.6976634538759294E-2</v>
      </c>
      <c r="I3892">
        <v>4.8573580136512702E-2</v>
      </c>
      <c r="J3892">
        <v>4.1175520610873997E-2</v>
      </c>
      <c r="K3892">
        <v>5.0257750307947997E-2</v>
      </c>
      <c r="L3892">
        <v>834.05327955179496</v>
      </c>
      <c r="M3892">
        <v>16.400598584751901</v>
      </c>
      <c r="N3892">
        <v>50.855051865211898</v>
      </c>
      <c r="O3892">
        <v>50.117004982325</v>
      </c>
      <c r="P3892">
        <v>-8.1817360684965798E-2</v>
      </c>
      <c r="Q3892">
        <v>0</v>
      </c>
      <c r="R3892">
        <v>0.98120801223631904</v>
      </c>
      <c r="S3892" t="s">
        <v>10294</v>
      </c>
      <c r="T3892" t="s">
        <v>12802</v>
      </c>
      <c r="U3892" t="s">
        <v>12802</v>
      </c>
      <c r="V3892" t="s">
        <v>12802</v>
      </c>
      <c r="W3892" t="s">
        <v>16638</v>
      </c>
      <c r="X3892">
        <v>7</v>
      </c>
      <c r="Y3892" t="s">
        <v>22867</v>
      </c>
      <c r="Z3892" t="s">
        <v>29210</v>
      </c>
      <c r="AA3892">
        <v>0.47972757259258109</v>
      </c>
      <c r="AB3892" t="str">
        <f>HYPERLINK("Melting_Curves/meltCurve_Q5VWZ2_LYPLAL1.pdf", "Melting_Curves/meltCurve_Q5VWZ2_LYPLAL1.pdf")</f>
        <v>Melting_Curves/meltCurve_Q5VWZ2_LYPLAL1.pdf</v>
      </c>
    </row>
    <row r="3893" spans="1:28" x14ac:dyDescent="0.25">
      <c r="A3893" t="s">
        <v>3897</v>
      </c>
      <c r="B3893">
        <v>0.99542014353169495</v>
      </c>
      <c r="C3893">
        <v>0.88550152349834399</v>
      </c>
      <c r="D3893">
        <v>0.85372842780789804</v>
      </c>
      <c r="E3893">
        <v>0.28300603604332603</v>
      </c>
      <c r="F3893">
        <v>0.11217519843502</v>
      </c>
      <c r="G3893">
        <v>6.6308830294204105E-2</v>
      </c>
      <c r="H3893">
        <v>4.3927572339954001E-2</v>
      </c>
      <c r="I3893">
        <v>3.4099212613890803E-2</v>
      </c>
      <c r="J3893">
        <v>3.9379870307100703E-2</v>
      </c>
      <c r="K3893">
        <v>4.2992067902480897E-2</v>
      </c>
      <c r="L3893">
        <v>1383.17672853064</v>
      </c>
      <c r="M3893">
        <v>30.682758383757299</v>
      </c>
      <c r="N3893">
        <v>45.223670547557902</v>
      </c>
      <c r="O3893">
        <v>44.889728950796602</v>
      </c>
      <c r="P3893">
        <v>-0.162940741111468</v>
      </c>
      <c r="Q3893">
        <v>4.6458061719507802E-2</v>
      </c>
      <c r="R3893">
        <v>0.99203175070405203</v>
      </c>
      <c r="S3893" t="s">
        <v>10295</v>
      </c>
      <c r="T3893" t="s">
        <v>12802</v>
      </c>
      <c r="U3893" t="s">
        <v>12802</v>
      </c>
      <c r="V3893" t="s">
        <v>12802</v>
      </c>
      <c r="W3893" t="s">
        <v>16639</v>
      </c>
      <c r="X3893">
        <v>38</v>
      </c>
      <c r="Y3893" t="s">
        <v>22868</v>
      </c>
      <c r="Z3893" t="s">
        <v>29211</v>
      </c>
      <c r="AA3893">
        <v>0.30839159003228439</v>
      </c>
      <c r="AB3893" t="str">
        <f>HYPERLINK("Melting_Curves/meltCurve_Q5VY93_ARHGEF2.pdf", "Melting_Curves/meltCurve_Q5VY93_ARHGEF2.pdf")</f>
        <v>Melting_Curves/meltCurve_Q5VY93_ARHGEF2.pdf</v>
      </c>
    </row>
    <row r="3894" spans="1:28" x14ac:dyDescent="0.25">
      <c r="A3894" t="s">
        <v>3898</v>
      </c>
      <c r="B3894">
        <v>0.99542014353169495</v>
      </c>
      <c r="C3894">
        <v>0.98445683597051503</v>
      </c>
      <c r="D3894">
        <v>0.94283956851029005</v>
      </c>
      <c r="E3894">
        <v>0.81482663617666995</v>
      </c>
      <c r="F3894">
        <v>0.484822324958819</v>
      </c>
      <c r="G3894">
        <v>0.15251440636676</v>
      </c>
      <c r="H3894">
        <v>8.3044988018714294E-2</v>
      </c>
      <c r="I3894">
        <v>4.5713870859908398E-2</v>
      </c>
      <c r="J3894">
        <v>5.44011513714883E-2</v>
      </c>
      <c r="K3894">
        <v>5.3247733050553997E-2</v>
      </c>
      <c r="L3894">
        <v>1125.33233486371</v>
      </c>
      <c r="M3894">
        <v>22.6610655809273</v>
      </c>
      <c r="N3894">
        <v>49.8383227341169</v>
      </c>
      <c r="O3894">
        <v>49.277429012482003</v>
      </c>
      <c r="P3894">
        <v>-0.11047485426287</v>
      </c>
      <c r="Q3894">
        <v>3.90905679736748E-2</v>
      </c>
      <c r="R3894">
        <v>0.99832132398073703</v>
      </c>
      <c r="S3894" t="s">
        <v>10296</v>
      </c>
      <c r="T3894" t="s">
        <v>12802</v>
      </c>
      <c r="U3894" t="s">
        <v>12802</v>
      </c>
      <c r="V3894" t="s">
        <v>12802</v>
      </c>
      <c r="W3894" t="s">
        <v>16640</v>
      </c>
      <c r="X3894">
        <v>11</v>
      </c>
      <c r="Y3894" t="s">
        <v>22869</v>
      </c>
      <c r="Z3894" t="s">
        <v>29212</v>
      </c>
      <c r="AA3894">
        <v>0.45465493524401579</v>
      </c>
      <c r="AB3894" t="str">
        <f>HYPERLINK("Melting_Curves/meltCurve_Q5VZE5_NAA35.pdf", "Melting_Curves/meltCurve_Q5VZE5_NAA35.pdf")</f>
        <v>Melting_Curves/meltCurve_Q5VZE5_NAA35.pdf</v>
      </c>
    </row>
    <row r="3895" spans="1:28" x14ac:dyDescent="0.25">
      <c r="A3895" t="s">
        <v>3899</v>
      </c>
      <c r="B3895">
        <v>0.99542014353169495</v>
      </c>
      <c r="C3895">
        <v>0.89165855114185599</v>
      </c>
      <c r="D3895">
        <v>0.91221837534004602</v>
      </c>
      <c r="E3895">
        <v>0.75151316132820201</v>
      </c>
      <c r="F3895">
        <v>0.76306750508871202</v>
      </c>
      <c r="G3895">
        <v>0.44280050912597702</v>
      </c>
      <c r="H3895">
        <v>0.33536960702896701</v>
      </c>
      <c r="I3895">
        <v>0.27845549233436601</v>
      </c>
      <c r="J3895">
        <v>0.37014233546715702</v>
      </c>
      <c r="K3895">
        <v>0.32157506020281301</v>
      </c>
      <c r="L3895">
        <v>616.853760549556</v>
      </c>
      <c r="M3895">
        <v>12.2541120211662</v>
      </c>
      <c r="N3895">
        <v>53.518901605232202</v>
      </c>
      <c r="O3895">
        <v>49.054254507234198</v>
      </c>
      <c r="P3895">
        <v>-4.6311256510970497E-2</v>
      </c>
      <c r="Q3895">
        <v>0.25861315922737599</v>
      </c>
      <c r="R3895">
        <v>0.94637240107074005</v>
      </c>
      <c r="S3895" t="s">
        <v>10297</v>
      </c>
      <c r="T3895" t="s">
        <v>12802</v>
      </c>
      <c r="U3895" t="s">
        <v>12802</v>
      </c>
      <c r="V3895" t="s">
        <v>12802</v>
      </c>
      <c r="W3895" t="s">
        <v>16641</v>
      </c>
      <c r="X3895">
        <v>1</v>
      </c>
      <c r="Y3895" t="s">
        <v>22870</v>
      </c>
      <c r="Z3895" t="s">
        <v>29213</v>
      </c>
      <c r="AA3895">
        <v>0.60805725693357005</v>
      </c>
      <c r="AB3895" t="str">
        <f>HYPERLINK("Melting_Curves/meltCurve_Q5VZI3_2_C9orf91.pdf", "Melting_Curves/meltCurve_Q5VZI3_2_C9orf91.pdf")</f>
        <v>Melting_Curves/meltCurve_Q5VZI3_2_C9orf91.pdf</v>
      </c>
    </row>
    <row r="3896" spans="1:28" x14ac:dyDescent="0.25">
      <c r="A3896" t="s">
        <v>3900</v>
      </c>
      <c r="B3896">
        <v>0.99542014353169495</v>
      </c>
      <c r="C3896">
        <v>0.80604390783914304</v>
      </c>
      <c r="D3896">
        <v>0.56259282330998295</v>
      </c>
      <c r="E3896">
        <v>0.30093547809816901</v>
      </c>
      <c r="F3896">
        <v>0.21862864403014101</v>
      </c>
      <c r="G3896">
        <v>0.1435873570233</v>
      </c>
      <c r="H3896">
        <v>9.5152784343376304E-2</v>
      </c>
      <c r="I3896">
        <v>7.8707246105522405E-2</v>
      </c>
      <c r="J3896">
        <v>9.8528511266885305E-2</v>
      </c>
      <c r="K3896">
        <v>0.11101784384241099</v>
      </c>
      <c r="L3896">
        <v>708.92105707667497</v>
      </c>
      <c r="M3896">
        <v>16.386608114188999</v>
      </c>
      <c r="N3896">
        <v>43.838196960362303</v>
      </c>
      <c r="O3896">
        <v>42.633324769224103</v>
      </c>
      <c r="P3896">
        <v>-8.67902465127528E-2</v>
      </c>
      <c r="Q3896">
        <v>9.6849691795636503E-2</v>
      </c>
      <c r="R3896">
        <v>0.99468656118688703</v>
      </c>
      <c r="S3896" t="s">
        <v>10298</v>
      </c>
      <c r="T3896" t="s">
        <v>12802</v>
      </c>
      <c r="U3896" t="s">
        <v>12802</v>
      </c>
      <c r="V3896" t="s">
        <v>12802</v>
      </c>
      <c r="W3896" t="s">
        <v>16642</v>
      </c>
      <c r="X3896">
        <v>10</v>
      </c>
      <c r="Y3896" t="s">
        <v>22871</v>
      </c>
      <c r="Z3896" t="s">
        <v>29214</v>
      </c>
      <c r="AA3896">
        <v>0.30474020425275689</v>
      </c>
      <c r="AB3896" t="str">
        <f>HYPERLINK("Melting_Curves/meltCurve_Q5VZL5_4_ZMYM4.pdf", "Melting_Curves/meltCurve_Q5VZL5_4_ZMYM4.pdf")</f>
        <v>Melting_Curves/meltCurve_Q5VZL5_4_ZMYM4.pdf</v>
      </c>
    </row>
    <row r="3897" spans="1:28" x14ac:dyDescent="0.25">
      <c r="A3897" t="s">
        <v>3901</v>
      </c>
      <c r="B3897">
        <v>0.99542014353169495</v>
      </c>
      <c r="C3897">
        <v>0.86658378610711895</v>
      </c>
      <c r="D3897">
        <v>0.95581614482642197</v>
      </c>
      <c r="E3897">
        <v>0.80920883702733104</v>
      </c>
      <c r="F3897">
        <v>0.52505135412974102</v>
      </c>
      <c r="G3897">
        <v>0.20706278496175201</v>
      </c>
      <c r="H3897">
        <v>0.11090963585647</v>
      </c>
      <c r="I3897">
        <v>6.9111039745522296E-2</v>
      </c>
      <c r="J3897">
        <v>5.8404401636577397E-2</v>
      </c>
      <c r="K3897">
        <v>6.4405210069791302E-2</v>
      </c>
      <c r="L3897">
        <v>973.449080931411</v>
      </c>
      <c r="M3897">
        <v>19.481029205882098</v>
      </c>
      <c r="N3897">
        <v>50.203684741957602</v>
      </c>
      <c r="O3897">
        <v>49.451481393412003</v>
      </c>
      <c r="P3897">
        <v>-9.4203753065831897E-2</v>
      </c>
      <c r="Q3897">
        <v>4.3511187394748699E-2</v>
      </c>
      <c r="R3897">
        <v>0.98808513550925203</v>
      </c>
      <c r="S3897" t="s">
        <v>10299</v>
      </c>
      <c r="T3897" t="s">
        <v>12802</v>
      </c>
      <c r="U3897" t="s">
        <v>12802</v>
      </c>
      <c r="V3897" t="s">
        <v>12802</v>
      </c>
      <c r="W3897" t="s">
        <v>16643</v>
      </c>
      <c r="X3897">
        <v>2</v>
      </c>
      <c r="Y3897" t="s">
        <v>22872</v>
      </c>
      <c r="Z3897" t="s">
        <v>29215</v>
      </c>
      <c r="AA3897">
        <v>0.47019085418025092</v>
      </c>
      <c r="AB3897" t="str">
        <f>HYPERLINK("Melting_Curves/meltCurve_Q5VZR0_GLIPR2.pdf", "Melting_Curves/meltCurve_Q5VZR0_GLIPR2.pdf")</f>
        <v>Melting_Curves/meltCurve_Q5VZR0_GLIPR2.pdf</v>
      </c>
    </row>
    <row r="3898" spans="1:28" x14ac:dyDescent="0.25">
      <c r="A3898" t="s">
        <v>3902</v>
      </c>
      <c r="B3898">
        <v>0.99542014353169495</v>
      </c>
      <c r="C3898">
        <v>0.82538898894016299</v>
      </c>
      <c r="D3898">
        <v>0.78550965124681504</v>
      </c>
      <c r="E3898">
        <v>0.59108610247986904</v>
      </c>
      <c r="F3898">
        <v>0.46623728003975201</v>
      </c>
      <c r="G3898">
        <v>0.64692226286477805</v>
      </c>
      <c r="H3898">
        <v>0.43337180216248999</v>
      </c>
      <c r="I3898">
        <v>7.6159937255720206E-2</v>
      </c>
      <c r="J3898">
        <v>7.1893613253969202E-2</v>
      </c>
      <c r="K3898">
        <v>8.0227562885948706E-2</v>
      </c>
      <c r="L3898">
        <v>382.03410337430802</v>
      </c>
      <c r="M3898">
        <v>7.4997282380411301</v>
      </c>
      <c r="N3898">
        <v>50.939725989998799</v>
      </c>
      <c r="O3898">
        <v>47.695269749865901</v>
      </c>
      <c r="P3898">
        <v>-3.9367178443875002E-2</v>
      </c>
      <c r="Q3898">
        <v>0</v>
      </c>
      <c r="R3898">
        <v>0.869761359272337</v>
      </c>
      <c r="S3898" t="s">
        <v>10300</v>
      </c>
      <c r="T3898" t="s">
        <v>12802</v>
      </c>
      <c r="U3898" t="s">
        <v>12802</v>
      </c>
      <c r="V3898" t="s">
        <v>12802</v>
      </c>
      <c r="W3898" t="s">
        <v>16644</v>
      </c>
      <c r="X3898">
        <v>20</v>
      </c>
      <c r="Y3898" t="s">
        <v>22873</v>
      </c>
      <c r="Z3898" t="s">
        <v>29216</v>
      </c>
      <c r="AA3898">
        <v>0.50087903864999084</v>
      </c>
      <c r="AB3898" t="str">
        <f>HYPERLINK("Melting_Curves/meltCurve_Q5VZU9_TPP2.pdf", "Melting_Curves/meltCurve_Q5VZU9_TPP2.pdf")</f>
        <v>Melting_Curves/meltCurve_Q5VZU9_TPP2.pdf</v>
      </c>
    </row>
    <row r="3899" spans="1:28" x14ac:dyDescent="0.25">
      <c r="A3899" t="s">
        <v>3903</v>
      </c>
      <c r="B3899">
        <v>0.99542014353169495</v>
      </c>
      <c r="C3899">
        <v>0.88304060222123604</v>
      </c>
      <c r="D3899">
        <v>0.66638231984696195</v>
      </c>
      <c r="E3899">
        <v>0.62199971414027699</v>
      </c>
      <c r="F3899">
        <v>0.20726194245007501</v>
      </c>
      <c r="G3899">
        <v>9.6609812093630301E-2</v>
      </c>
      <c r="H3899">
        <v>8.8686446280105996E-2</v>
      </c>
      <c r="I3899">
        <v>8.0883911354592997E-2</v>
      </c>
      <c r="J3899">
        <v>7.5695295089202003E-2</v>
      </c>
      <c r="K3899">
        <v>7.6586152974952207E-2</v>
      </c>
      <c r="L3899">
        <v>649.71095062674306</v>
      </c>
      <c r="M3899">
        <v>14.082803336397101</v>
      </c>
      <c r="N3899">
        <v>46.402558765600197</v>
      </c>
      <c r="O3899">
        <v>45.234680818810297</v>
      </c>
      <c r="P3899">
        <v>-7.4807046676026695E-2</v>
      </c>
      <c r="Q3899">
        <v>3.8988114376628698E-2</v>
      </c>
      <c r="R3899">
        <v>0.972171390926447</v>
      </c>
      <c r="S3899" t="s">
        <v>10301</v>
      </c>
      <c r="T3899" t="s">
        <v>12802</v>
      </c>
      <c r="U3899" t="s">
        <v>12802</v>
      </c>
      <c r="V3899" t="s">
        <v>12802</v>
      </c>
      <c r="W3899" t="s">
        <v>16645</v>
      </c>
      <c r="X3899">
        <v>8</v>
      </c>
      <c r="Y3899" t="s">
        <v>22874</v>
      </c>
      <c r="Z3899" t="s">
        <v>29217</v>
      </c>
      <c r="AA3899">
        <v>0.35644927701939488</v>
      </c>
      <c r="AB3899" t="str">
        <f>HYPERLINK("Melting_Curves/meltCurve_Q5VZZ6_CELF2.pdf", "Melting_Curves/meltCurve_Q5VZZ6_CELF2.pdf")</f>
        <v>Melting_Curves/meltCurve_Q5VZZ6_CELF2.pdf</v>
      </c>
    </row>
    <row r="3900" spans="1:28" x14ac:dyDescent="0.25">
      <c r="A3900" t="s">
        <v>3904</v>
      </c>
      <c r="B3900">
        <v>0.99542014353169495</v>
      </c>
      <c r="C3900">
        <v>0.895909020957947</v>
      </c>
      <c r="D3900">
        <v>0.90869958826948705</v>
      </c>
      <c r="E3900">
        <v>0.77884419423844897</v>
      </c>
      <c r="F3900">
        <v>0.43138447534421298</v>
      </c>
      <c r="G3900">
        <v>0.25585286263172502</v>
      </c>
      <c r="H3900">
        <v>0.14419024082728801</v>
      </c>
      <c r="I3900">
        <v>0.116394918310152</v>
      </c>
      <c r="J3900">
        <v>0.30408789574336498</v>
      </c>
      <c r="K3900">
        <v>0.34800091786654203</v>
      </c>
      <c r="L3900">
        <v>1229.5158800183201</v>
      </c>
      <c r="M3900">
        <v>25.566086654569599</v>
      </c>
      <c r="N3900">
        <v>49.229185511960701</v>
      </c>
      <c r="O3900">
        <v>47.800332770025797</v>
      </c>
      <c r="P3900">
        <v>-0.10389098624812799</v>
      </c>
      <c r="Q3900">
        <v>0.223039074342572</v>
      </c>
      <c r="R3900">
        <v>0.94637471922710503</v>
      </c>
      <c r="S3900" t="s">
        <v>10302</v>
      </c>
      <c r="T3900" t="s">
        <v>12802</v>
      </c>
      <c r="U3900" t="s">
        <v>12802</v>
      </c>
      <c r="V3900" t="s">
        <v>12802</v>
      </c>
      <c r="W3900" t="s">
        <v>16646</v>
      </c>
      <c r="X3900">
        <v>1</v>
      </c>
      <c r="Y3900" t="s">
        <v>22875</v>
      </c>
      <c r="Z3900" t="s">
        <v>29218</v>
      </c>
      <c r="AA3900">
        <v>0.5166415244679331</v>
      </c>
      <c r="AB3900" t="str">
        <f>HYPERLINK("Melting_Curves/meltCurve_Q5W0A2_ITM2B.pdf", "Melting_Curves/meltCurve_Q5W0A2_ITM2B.pdf")</f>
        <v>Melting_Curves/meltCurve_Q5W0A2_ITM2B.pdf</v>
      </c>
    </row>
    <row r="3901" spans="1:28" x14ac:dyDescent="0.25">
      <c r="A3901" t="s">
        <v>3905</v>
      </c>
      <c r="B3901">
        <v>0.99542014353169495</v>
      </c>
      <c r="C3901">
        <v>0.94296960891931503</v>
      </c>
      <c r="D3901">
        <v>0.94467276611204898</v>
      </c>
      <c r="E3901">
        <v>0.86360802953653504</v>
      </c>
      <c r="F3901">
        <v>0.47757924611517699</v>
      </c>
      <c r="G3901">
        <v>0.18985277720635699</v>
      </c>
      <c r="H3901">
        <v>3.3369623874243699E-2</v>
      </c>
      <c r="I3901">
        <v>4.8359490382760099E-2</v>
      </c>
      <c r="J3901">
        <v>0</v>
      </c>
      <c r="K3901">
        <v>0</v>
      </c>
      <c r="L3901">
        <v>1120.4884302226601</v>
      </c>
      <c r="M3901">
        <v>22.3669180181036</v>
      </c>
      <c r="N3901">
        <v>50.101695624010503</v>
      </c>
      <c r="O3901">
        <v>49.700504433970103</v>
      </c>
      <c r="P3901">
        <v>-0.112362741515317</v>
      </c>
      <c r="Q3901">
        <v>1.3164705034794601E-3</v>
      </c>
      <c r="R3901">
        <v>0.99657449827582101</v>
      </c>
      <c r="S3901" t="s">
        <v>10303</v>
      </c>
      <c r="T3901" t="s">
        <v>12802</v>
      </c>
      <c r="U3901" t="s">
        <v>12802</v>
      </c>
      <c r="V3901" t="s">
        <v>12802</v>
      </c>
      <c r="W3901" t="s">
        <v>16647</v>
      </c>
      <c r="X3901">
        <v>4</v>
      </c>
      <c r="Y3901" t="s">
        <v>22876</v>
      </c>
      <c r="Z3901" t="s">
        <v>29219</v>
      </c>
      <c r="AA3901">
        <v>0.4480315231085798</v>
      </c>
      <c r="AB3901" t="str">
        <f>HYPERLINK("Melting_Curves/meltCurve_Q5W0V3_FAM160B1.pdf", "Melting_Curves/meltCurve_Q5W0V3_FAM160B1.pdf")</f>
        <v>Melting_Curves/meltCurve_Q5W0V3_FAM160B1.pdf</v>
      </c>
    </row>
    <row r="3902" spans="1:28" x14ac:dyDescent="0.25">
      <c r="A3902" t="s">
        <v>3906</v>
      </c>
      <c r="B3902">
        <v>0.99542014353169495</v>
      </c>
      <c r="C3902">
        <v>1.0391985649992499</v>
      </c>
      <c r="D3902">
        <v>0.69242673808636102</v>
      </c>
      <c r="E3902">
        <v>0.66611834437926098</v>
      </c>
      <c r="F3902">
        <v>0.472202596310759</v>
      </c>
      <c r="G3902">
        <v>0.32649701824840499</v>
      </c>
      <c r="H3902">
        <v>9.9589172198374099E-2</v>
      </c>
      <c r="I3902">
        <v>5.5747381293919998E-2</v>
      </c>
      <c r="J3902">
        <v>2.0659242396760299E-2</v>
      </c>
      <c r="K3902">
        <v>3.1126533973453701E-2</v>
      </c>
      <c r="L3902">
        <v>571.72028835975595</v>
      </c>
      <c r="M3902">
        <v>11.658193356437099</v>
      </c>
      <c r="N3902">
        <v>49.0402103231363</v>
      </c>
      <c r="O3902">
        <v>47.663956779050899</v>
      </c>
      <c r="P3902">
        <v>-6.1164332360812E-2</v>
      </c>
      <c r="Q3902">
        <v>0</v>
      </c>
      <c r="R3902">
        <v>0.96857520333157099</v>
      </c>
      <c r="S3902" t="s">
        <v>10304</v>
      </c>
      <c r="T3902" t="s">
        <v>12802</v>
      </c>
      <c r="U3902" t="s">
        <v>12802</v>
      </c>
      <c r="V3902" t="s">
        <v>12802</v>
      </c>
      <c r="W3902" t="s">
        <v>16648</v>
      </c>
      <c r="X3902">
        <v>4</v>
      </c>
      <c r="Y3902" t="s">
        <v>22877</v>
      </c>
      <c r="Z3902" t="s">
        <v>29220</v>
      </c>
      <c r="AA3902">
        <v>0.43213056978021602</v>
      </c>
      <c r="AB3902" t="str">
        <f>HYPERLINK("Melting_Curves/meltCurve_Q5W111_2_SPRYD7.pdf", "Melting_Curves/meltCurve_Q5W111_2_SPRYD7.pdf")</f>
        <v>Melting_Curves/meltCurve_Q5W111_2_SPRYD7.pdf</v>
      </c>
    </row>
    <row r="3903" spans="1:28" x14ac:dyDescent="0.25">
      <c r="A3903" t="s">
        <v>3907</v>
      </c>
      <c r="B3903">
        <v>0.99542014353169495</v>
      </c>
      <c r="C3903">
        <v>0.74833832229457198</v>
      </c>
      <c r="D3903">
        <v>0.85774265013538897</v>
      </c>
      <c r="E3903">
        <v>0.62915305916473796</v>
      </c>
      <c r="F3903">
        <v>0.51671206303025197</v>
      </c>
      <c r="G3903">
        <v>0.315237597138462</v>
      </c>
      <c r="H3903">
        <v>0.349011904085124</v>
      </c>
      <c r="I3903">
        <v>0.33598880861684999</v>
      </c>
      <c r="J3903">
        <v>0.50319363264719397</v>
      </c>
      <c r="K3903">
        <v>0.52831411713341103</v>
      </c>
      <c r="L3903">
        <v>625.79807500445395</v>
      </c>
      <c r="M3903">
        <v>14.108463033083</v>
      </c>
      <c r="N3903">
        <v>50.038425950709602</v>
      </c>
      <c r="O3903">
        <v>43.493616166657198</v>
      </c>
      <c r="P3903">
        <v>-4.8722899455907499E-2</v>
      </c>
      <c r="Q3903">
        <v>0.39926486294897701</v>
      </c>
      <c r="R3903">
        <v>0.82025905596713</v>
      </c>
      <c r="S3903" t="s">
        <v>10305</v>
      </c>
      <c r="T3903" t="s">
        <v>12802</v>
      </c>
      <c r="U3903" t="s">
        <v>12802</v>
      </c>
      <c r="V3903" t="s">
        <v>12802</v>
      </c>
      <c r="W3903" t="s">
        <v>16649</v>
      </c>
      <c r="X3903">
        <v>5</v>
      </c>
      <c r="Y3903" t="s">
        <v>22878</v>
      </c>
      <c r="Z3903" t="s">
        <v>29221</v>
      </c>
      <c r="AA3903">
        <v>0.56317525315026429</v>
      </c>
      <c r="AB3903" t="str">
        <f>HYPERLINK("Melting_Curves/meltCurve_Q5W145_NDUFB8.pdf", "Melting_Curves/meltCurve_Q5W145_NDUFB8.pdf")</f>
        <v>Melting_Curves/meltCurve_Q5W145_NDUFB8.pdf</v>
      </c>
    </row>
    <row r="3904" spans="1:28" x14ac:dyDescent="0.25">
      <c r="A3904" t="s">
        <v>3908</v>
      </c>
      <c r="B3904">
        <v>0.99542014353169495</v>
      </c>
      <c r="C3904">
        <v>0.80245815688369104</v>
      </c>
      <c r="D3904">
        <v>0.82965239703718396</v>
      </c>
      <c r="E3904">
        <v>0.69931788180575005</v>
      </c>
      <c r="F3904">
        <v>0.445495350241084</v>
      </c>
      <c r="G3904">
        <v>0.32306786713159003</v>
      </c>
      <c r="H3904">
        <v>0.26247853840577601</v>
      </c>
      <c r="I3904">
        <v>0.23376433671223601</v>
      </c>
      <c r="J3904">
        <v>0.28049170418427999</v>
      </c>
      <c r="K3904">
        <v>0.30714335083628902</v>
      </c>
      <c r="L3904">
        <v>582.68878262058604</v>
      </c>
      <c r="M3904">
        <v>12.4372713085536</v>
      </c>
      <c r="N3904">
        <v>49.283457515352801</v>
      </c>
      <c r="O3904">
        <v>45.688466969349903</v>
      </c>
      <c r="P3904">
        <v>-5.2452216698855102E-2</v>
      </c>
      <c r="Q3904">
        <v>0.22942625441480799</v>
      </c>
      <c r="R3904">
        <v>0.96078509853938798</v>
      </c>
      <c r="S3904" t="s">
        <v>10306</v>
      </c>
      <c r="T3904" t="s">
        <v>12802</v>
      </c>
      <c r="U3904" t="s">
        <v>12802</v>
      </c>
      <c r="V3904" t="s">
        <v>12802</v>
      </c>
      <c r="W3904" t="s">
        <v>16650</v>
      </c>
      <c r="X3904">
        <v>2</v>
      </c>
      <c r="Y3904" t="s">
        <v>22879</v>
      </c>
      <c r="Z3904" t="s">
        <v>29222</v>
      </c>
      <c r="AA3904">
        <v>0.50649827190638086</v>
      </c>
      <c r="AB3904" t="str">
        <f>HYPERLINK("Melting_Curves/meltCurve_Q5XKP0_QIL1.pdf", "Melting_Curves/meltCurve_Q5XKP0_QIL1.pdf")</f>
        <v>Melting_Curves/meltCurve_Q5XKP0_QIL1.pdf</v>
      </c>
    </row>
    <row r="3905" spans="1:28" x14ac:dyDescent="0.25">
      <c r="A3905" t="s">
        <v>3909</v>
      </c>
      <c r="B3905">
        <v>0.99542014353169495</v>
      </c>
      <c r="C3905">
        <v>0.95453150160707401</v>
      </c>
      <c r="D3905">
        <v>0.92635831038509597</v>
      </c>
      <c r="E3905">
        <v>0.74644644413223005</v>
      </c>
      <c r="F3905">
        <v>0.21794402706902699</v>
      </c>
      <c r="G3905">
        <v>0.148392064013537</v>
      </c>
      <c r="H3905">
        <v>7.5342444058142097E-2</v>
      </c>
      <c r="I3905">
        <v>4.3161450403994002E-2</v>
      </c>
      <c r="J3905">
        <v>6.9946745663007695E-2</v>
      </c>
      <c r="K3905">
        <v>5.07259014563076E-2</v>
      </c>
      <c r="L3905">
        <v>1489.5099961777701</v>
      </c>
      <c r="M3905">
        <v>31.0898107007833</v>
      </c>
      <c r="N3905">
        <v>48.128681685018101</v>
      </c>
      <c r="O3905">
        <v>47.713000002308299</v>
      </c>
      <c r="P3905">
        <v>-0.152167484487087</v>
      </c>
      <c r="Q3905">
        <v>6.5889968434685406E-2</v>
      </c>
      <c r="R3905">
        <v>0.99433917146895401</v>
      </c>
      <c r="S3905" t="s">
        <v>10307</v>
      </c>
      <c r="T3905" t="s">
        <v>12802</v>
      </c>
      <c r="U3905" t="s">
        <v>12802</v>
      </c>
      <c r="V3905" t="s">
        <v>12802</v>
      </c>
      <c r="W3905" t="s">
        <v>16651</v>
      </c>
      <c r="X3905">
        <v>3</v>
      </c>
      <c r="Y3905" t="s">
        <v>22880</v>
      </c>
      <c r="Z3905" t="s">
        <v>29223</v>
      </c>
      <c r="AA3905">
        <v>0.41073243336950621</v>
      </c>
      <c r="AB3905" t="str">
        <f>HYPERLINK("Melting_Curves/meltCurve_Q5XPI4_RNF123.pdf", "Melting_Curves/meltCurve_Q5XPI4_RNF123.pdf")</f>
        <v>Melting_Curves/meltCurve_Q5XPI4_RNF123.pdf</v>
      </c>
    </row>
    <row r="3906" spans="1:28" x14ac:dyDescent="0.25">
      <c r="A3906" t="s">
        <v>3910</v>
      </c>
      <c r="B3906">
        <v>0.99542014353169495</v>
      </c>
      <c r="C3906">
        <v>1.0660628862146799</v>
      </c>
      <c r="D3906">
        <v>0.98571660234856495</v>
      </c>
      <c r="E3906">
        <v>0.91591139995981297</v>
      </c>
      <c r="F3906">
        <v>0.79050013813730802</v>
      </c>
      <c r="G3906">
        <v>0.59692987205276005</v>
      </c>
      <c r="H3906">
        <v>0.26229499250058502</v>
      </c>
      <c r="I3906">
        <v>0.104169785467223</v>
      </c>
      <c r="J3906">
        <v>4.18300052107747E-2</v>
      </c>
      <c r="K3906">
        <v>4.4204819223357603E-2</v>
      </c>
      <c r="L3906">
        <v>984.89725541315204</v>
      </c>
      <c r="M3906">
        <v>18.109723094466698</v>
      </c>
      <c r="N3906">
        <v>54.3849997976466</v>
      </c>
      <c r="O3906">
        <v>53.734865354977302</v>
      </c>
      <c r="P3906">
        <v>-8.4259053523225394E-2</v>
      </c>
      <c r="Q3906">
        <v>0</v>
      </c>
      <c r="R3906">
        <v>0.99372680549898096</v>
      </c>
      <c r="S3906" t="s">
        <v>10308</v>
      </c>
      <c r="T3906" t="s">
        <v>12802</v>
      </c>
      <c r="U3906" t="s">
        <v>12802</v>
      </c>
      <c r="V3906" t="s">
        <v>12802</v>
      </c>
      <c r="W3906" t="s">
        <v>16652</v>
      </c>
      <c r="X3906">
        <v>3</v>
      </c>
      <c r="Y3906" t="s">
        <v>22881</v>
      </c>
      <c r="Z3906" t="s">
        <v>29224</v>
      </c>
      <c r="AA3906">
        <v>0.59273279323086114</v>
      </c>
      <c r="AB3906" t="str">
        <f>HYPERLINK("Melting_Curves/meltCurve_Q5XUX1_3_FBXW9.pdf", "Melting_Curves/meltCurve_Q5XUX1_3_FBXW9.pdf")</f>
        <v>Melting_Curves/meltCurve_Q5XUX1_3_FBXW9.pdf</v>
      </c>
    </row>
    <row r="3907" spans="1:28" x14ac:dyDescent="0.25">
      <c r="A3907" t="s">
        <v>3911</v>
      </c>
      <c r="B3907">
        <v>0.99542014353169495</v>
      </c>
      <c r="C3907">
        <v>0.84336205725729696</v>
      </c>
      <c r="D3907">
        <v>0.88746717823134702</v>
      </c>
      <c r="E3907">
        <v>0.44644752208673599</v>
      </c>
      <c r="F3907">
        <v>0.18892179976059001</v>
      </c>
      <c r="G3907">
        <v>8.5153066916375295E-2</v>
      </c>
      <c r="H3907">
        <v>7.2788384322830801E-2</v>
      </c>
      <c r="I3907">
        <v>5.0587764615690603E-2</v>
      </c>
      <c r="J3907">
        <v>4.5308135550961103E-2</v>
      </c>
      <c r="K3907">
        <v>5.9381739050748499E-2</v>
      </c>
      <c r="L3907">
        <v>990.065086236002</v>
      </c>
      <c r="M3907">
        <v>21.501762178872799</v>
      </c>
      <c r="N3907">
        <v>46.270962844297301</v>
      </c>
      <c r="O3907">
        <v>45.6530316131985</v>
      </c>
      <c r="P3907">
        <v>-0.111898782183842</v>
      </c>
      <c r="Q3907">
        <v>4.9679039394417597E-2</v>
      </c>
      <c r="R3907">
        <v>0.986318182106386</v>
      </c>
      <c r="S3907" t="s">
        <v>10309</v>
      </c>
      <c r="T3907" t="s">
        <v>12802</v>
      </c>
      <c r="U3907" t="s">
        <v>12802</v>
      </c>
      <c r="V3907" t="s">
        <v>12802</v>
      </c>
      <c r="W3907" t="s">
        <v>16653</v>
      </c>
      <c r="X3907">
        <v>9</v>
      </c>
      <c r="Y3907" t="s">
        <v>22882</v>
      </c>
      <c r="Z3907" t="s">
        <v>29225</v>
      </c>
      <c r="AA3907">
        <v>0.34694861774676761</v>
      </c>
      <c r="AB3907" t="str">
        <f>HYPERLINK("Melting_Curves/meltCurve_Q63HN8_RNF213.pdf", "Melting_Curves/meltCurve_Q63HN8_RNF213.pdf")</f>
        <v>Melting_Curves/meltCurve_Q63HN8_RNF213.pdf</v>
      </c>
    </row>
    <row r="3908" spans="1:28" x14ac:dyDescent="0.25">
      <c r="A3908" t="s">
        <v>3912</v>
      </c>
      <c r="B3908">
        <v>0.99542014353169495</v>
      </c>
      <c r="C3908">
        <v>0.97480985573424195</v>
      </c>
      <c r="D3908">
        <v>0.93507238396065295</v>
      </c>
      <c r="E3908">
        <v>0.50891200145220405</v>
      </c>
      <c r="F3908">
        <v>0.22515390811306599</v>
      </c>
      <c r="G3908">
        <v>0.14341500315599701</v>
      </c>
      <c r="H3908">
        <v>0.12292886162427299</v>
      </c>
      <c r="I3908">
        <v>7.1836332459995003E-2</v>
      </c>
      <c r="J3908">
        <v>0.10755463446810599</v>
      </c>
      <c r="K3908">
        <v>0.16716481718626</v>
      </c>
      <c r="L3908">
        <v>1336.4703981451701</v>
      </c>
      <c r="M3908">
        <v>28.85248358122</v>
      </c>
      <c r="N3908">
        <v>46.769192631476201</v>
      </c>
      <c r="O3908">
        <v>46.100026332020697</v>
      </c>
      <c r="P3908">
        <v>-0.137562601408937</v>
      </c>
      <c r="Q3908">
        <v>0.120826014252172</v>
      </c>
      <c r="R3908">
        <v>0.99562123450306705</v>
      </c>
      <c r="S3908" t="s">
        <v>10310</v>
      </c>
      <c r="T3908" t="s">
        <v>12802</v>
      </c>
      <c r="U3908" t="s">
        <v>12802</v>
      </c>
      <c r="V3908" t="s">
        <v>12802</v>
      </c>
      <c r="W3908" t="s">
        <v>16654</v>
      </c>
      <c r="X3908">
        <v>2</v>
      </c>
      <c r="Y3908" t="s">
        <v>22883</v>
      </c>
      <c r="Z3908" t="s">
        <v>29226</v>
      </c>
      <c r="AA3908">
        <v>0.39944198755974442</v>
      </c>
      <c r="AB3908" t="str">
        <f>HYPERLINK("Melting_Curves/meltCurve_Q643R3_LPCAT4.pdf", "Melting_Curves/meltCurve_Q643R3_LPCAT4.pdf")</f>
        <v>Melting_Curves/meltCurve_Q643R3_LPCAT4.pdf</v>
      </c>
    </row>
    <row r="3909" spans="1:28" x14ac:dyDescent="0.25">
      <c r="A3909" t="s">
        <v>3913</v>
      </c>
      <c r="B3909">
        <v>0.99542014353169495</v>
      </c>
      <c r="C3909">
        <v>0.98497040767805499</v>
      </c>
      <c r="D3909">
        <v>1.06983805531081</v>
      </c>
      <c r="E3909">
        <v>0.75838771578724995</v>
      </c>
      <c r="F3909">
        <v>0.60861127682414196</v>
      </c>
      <c r="G3909">
        <v>0.267877142038637</v>
      </c>
      <c r="H3909">
        <v>0.10189232205702201</v>
      </c>
      <c r="I3909">
        <v>6.6688105791404301E-2</v>
      </c>
      <c r="J3909">
        <v>5.42533464835325E-2</v>
      </c>
      <c r="K3909">
        <v>7.0986074058559195E-2</v>
      </c>
      <c r="L3909">
        <v>962.34282880496596</v>
      </c>
      <c r="M3909">
        <v>18.999990159048899</v>
      </c>
      <c r="N3909">
        <v>50.853044784253498</v>
      </c>
      <c r="O3909">
        <v>50.098581940894597</v>
      </c>
      <c r="P3909">
        <v>-9.13475592912142E-2</v>
      </c>
      <c r="Q3909">
        <v>3.6588816949129299E-2</v>
      </c>
      <c r="R3909">
        <v>0.98688950620179705</v>
      </c>
      <c r="S3909" t="s">
        <v>10311</v>
      </c>
      <c r="T3909" t="s">
        <v>12802</v>
      </c>
      <c r="U3909" t="s">
        <v>12802</v>
      </c>
      <c r="V3909" t="s">
        <v>12802</v>
      </c>
      <c r="W3909" t="s">
        <v>16655</v>
      </c>
      <c r="X3909">
        <v>6</v>
      </c>
      <c r="Y3909" t="s">
        <v>22884</v>
      </c>
      <c r="Z3909" t="s">
        <v>29227</v>
      </c>
      <c r="AA3909">
        <v>0.48871046502864463</v>
      </c>
      <c r="AB3909" t="str">
        <f>HYPERLINK("Melting_Curves/meltCurve_Q658P3_3_STEAP3.pdf", "Melting_Curves/meltCurve_Q658P3_3_STEAP3.pdf")</f>
        <v>Melting_Curves/meltCurve_Q658P3_3_STEAP3.pdf</v>
      </c>
    </row>
    <row r="3910" spans="1:28" x14ac:dyDescent="0.25">
      <c r="A3910" t="s">
        <v>3914</v>
      </c>
      <c r="B3910">
        <v>0.99542014353169495</v>
      </c>
      <c r="C3910">
        <v>0.983542655863198</v>
      </c>
      <c r="D3910">
        <v>0.93077871723120498</v>
      </c>
      <c r="E3910">
        <v>0.59867419627066798</v>
      </c>
      <c r="F3910">
        <v>0.271137528031835</v>
      </c>
      <c r="G3910">
        <v>0.14465998287100701</v>
      </c>
      <c r="H3910">
        <v>0.103687416490495</v>
      </c>
      <c r="I3910">
        <v>7.4499839500941301E-2</v>
      </c>
      <c r="J3910">
        <v>7.8061882190982396E-2</v>
      </c>
      <c r="K3910">
        <v>7.7756557828924197E-2</v>
      </c>
      <c r="L3910">
        <v>1081.2795339674101</v>
      </c>
      <c r="M3910">
        <v>22.897528735400002</v>
      </c>
      <c r="N3910">
        <v>47.585264981029098</v>
      </c>
      <c r="O3910">
        <v>46.866784011685702</v>
      </c>
      <c r="P3910">
        <v>-0.112362956666651</v>
      </c>
      <c r="Q3910">
        <v>8.0077118864587404E-2</v>
      </c>
      <c r="R3910">
        <v>0.99943342707260796</v>
      </c>
      <c r="S3910" t="s">
        <v>10312</v>
      </c>
      <c r="T3910" t="s">
        <v>12802</v>
      </c>
      <c r="U3910" t="s">
        <v>12802</v>
      </c>
      <c r="V3910" t="s">
        <v>12802</v>
      </c>
      <c r="W3910" t="s">
        <v>16656</v>
      </c>
      <c r="X3910">
        <v>12</v>
      </c>
      <c r="Y3910" t="s">
        <v>22885</v>
      </c>
      <c r="Z3910" t="s">
        <v>29228</v>
      </c>
      <c r="AA3910">
        <v>0.40277839012704192</v>
      </c>
      <c r="AB3910" t="str">
        <f>HYPERLINK("Melting_Curves/meltCurve_Q66GS9_CEP135.pdf", "Melting_Curves/meltCurve_Q66GS9_CEP135.pdf")</f>
        <v>Melting_Curves/meltCurve_Q66GS9_CEP135.pdf</v>
      </c>
    </row>
    <row r="3911" spans="1:28" x14ac:dyDescent="0.25">
      <c r="A3911" t="s">
        <v>3915</v>
      </c>
      <c r="B3911">
        <v>0.99542014353169495</v>
      </c>
      <c r="C3911">
        <v>1.00897696096037</v>
      </c>
      <c r="D3911">
        <v>0.92661826418468496</v>
      </c>
      <c r="E3911">
        <v>0.76252902321760196</v>
      </c>
      <c r="F3911">
        <v>0.30516519848955598</v>
      </c>
      <c r="G3911">
        <v>9.8746062405264706E-2</v>
      </c>
      <c r="H3911">
        <v>5.6762231660341597E-2</v>
      </c>
      <c r="I3911">
        <v>4.4694804613850302E-2</v>
      </c>
      <c r="J3911">
        <v>3.7388877402338601E-2</v>
      </c>
      <c r="K3911">
        <v>1.57591809838694E-2</v>
      </c>
      <c r="L3911">
        <v>1254.49761389633</v>
      </c>
      <c r="M3911">
        <v>25.879209313005699</v>
      </c>
      <c r="N3911">
        <v>48.596410941348701</v>
      </c>
      <c r="O3911">
        <v>48.188433692190003</v>
      </c>
      <c r="P3911">
        <v>-0.13006286466650899</v>
      </c>
      <c r="Q3911">
        <v>3.12758715738191E-2</v>
      </c>
      <c r="R3911">
        <v>0.99861925223428605</v>
      </c>
      <c r="S3911" t="s">
        <v>10313</v>
      </c>
      <c r="T3911" t="s">
        <v>12802</v>
      </c>
      <c r="U3911" t="s">
        <v>12802</v>
      </c>
      <c r="V3911" t="s">
        <v>12802</v>
      </c>
      <c r="W3911" t="s">
        <v>16657</v>
      </c>
      <c r="X3911">
        <v>8</v>
      </c>
      <c r="Y3911" t="s">
        <v>22886</v>
      </c>
      <c r="Z3911" t="s">
        <v>29229</v>
      </c>
      <c r="AA3911">
        <v>0.40958143972008793</v>
      </c>
      <c r="AB3911" t="str">
        <f>HYPERLINK("Melting_Curves/meltCurve_Q66K14_2_TBC1D9B.pdf", "Melting_Curves/meltCurve_Q66K14_2_TBC1D9B.pdf")</f>
        <v>Melting_Curves/meltCurve_Q66K14_2_TBC1D9B.pdf</v>
      </c>
    </row>
    <row r="3912" spans="1:28" x14ac:dyDescent="0.25">
      <c r="A3912" t="s">
        <v>3916</v>
      </c>
      <c r="B3912">
        <v>0.99542014353169495</v>
      </c>
      <c r="C3912">
        <v>0.975878545222016</v>
      </c>
      <c r="D3912">
        <v>1.0867996002547899</v>
      </c>
      <c r="E3912">
        <v>0.78255350826539605</v>
      </c>
      <c r="F3912">
        <v>0.66813465156206198</v>
      </c>
      <c r="G3912">
        <v>0.31917054557177099</v>
      </c>
      <c r="H3912">
        <v>0.21990065454362201</v>
      </c>
      <c r="I3912">
        <v>0.15956198392496601</v>
      </c>
      <c r="J3912">
        <v>0.176118629229707</v>
      </c>
      <c r="K3912">
        <v>0.237040903980722</v>
      </c>
      <c r="L3912">
        <v>1069.39505733344</v>
      </c>
      <c r="M3912">
        <v>21.211014146338599</v>
      </c>
      <c r="N3912">
        <v>51.4599347125869</v>
      </c>
      <c r="O3912">
        <v>49.975239604266001</v>
      </c>
      <c r="P3912">
        <v>-8.75716604509406E-2</v>
      </c>
      <c r="Q3912">
        <v>0.17471115522060299</v>
      </c>
      <c r="R3912">
        <v>0.97646514077485003</v>
      </c>
      <c r="S3912" t="s">
        <v>10314</v>
      </c>
      <c r="T3912" t="s">
        <v>12802</v>
      </c>
      <c r="U3912" t="s">
        <v>12802</v>
      </c>
      <c r="V3912" t="s">
        <v>12802</v>
      </c>
      <c r="W3912" t="s">
        <v>16658</v>
      </c>
      <c r="X3912">
        <v>3</v>
      </c>
      <c r="Y3912" t="s">
        <v>22887</v>
      </c>
      <c r="Z3912" t="s">
        <v>29230</v>
      </c>
      <c r="AA3912">
        <v>0.55360046438620958</v>
      </c>
      <c r="AB3912" t="str">
        <f>HYPERLINK("Melting_Curves/meltCurve_Q66K64_DCAF15.pdf", "Melting_Curves/meltCurve_Q66K64_DCAF15.pdf")</f>
        <v>Melting_Curves/meltCurve_Q66K64_DCAF15.pdf</v>
      </c>
    </row>
    <row r="3913" spans="1:28" x14ac:dyDescent="0.25">
      <c r="A3913" t="s">
        <v>3917</v>
      </c>
      <c r="B3913">
        <v>0.99542014353169495</v>
      </c>
      <c r="C3913">
        <v>0.97255375990474202</v>
      </c>
      <c r="D3913">
        <v>0.92663877475298695</v>
      </c>
      <c r="E3913">
        <v>0.798721923325035</v>
      </c>
      <c r="F3913">
        <v>0.67517792335724403</v>
      </c>
      <c r="G3913">
        <v>0.36453710208787798</v>
      </c>
      <c r="H3913">
        <v>0.15049606658463399</v>
      </c>
      <c r="I3913">
        <v>0.108723061284953</v>
      </c>
      <c r="J3913">
        <v>0.12620676989745899</v>
      </c>
      <c r="K3913">
        <v>0.14738139117429599</v>
      </c>
      <c r="L3913">
        <v>859.27060553560796</v>
      </c>
      <c r="M3913">
        <v>16.804027399939098</v>
      </c>
      <c r="N3913">
        <v>51.690979069063403</v>
      </c>
      <c r="O3913">
        <v>50.427098666338203</v>
      </c>
      <c r="P3913">
        <v>-7.6423559225360593E-2</v>
      </c>
      <c r="Q3913">
        <v>8.2703448181027803E-2</v>
      </c>
      <c r="R3913">
        <v>0.98849648081642905</v>
      </c>
      <c r="S3913" t="s">
        <v>10315</v>
      </c>
      <c r="T3913" t="s">
        <v>12802</v>
      </c>
      <c r="U3913" t="s">
        <v>12802</v>
      </c>
      <c r="V3913" t="s">
        <v>12802</v>
      </c>
      <c r="W3913" t="s">
        <v>16659</v>
      </c>
      <c r="X3913">
        <v>7</v>
      </c>
      <c r="Y3913" t="s">
        <v>22888</v>
      </c>
      <c r="Z3913" t="s">
        <v>29231</v>
      </c>
      <c r="AA3913">
        <v>0.53061262586795299</v>
      </c>
      <c r="AB3913" t="str">
        <f>HYPERLINK("Melting_Curves/meltCurve_Q66LE6_PPP2R2D.pdf", "Melting_Curves/meltCurve_Q66LE6_PPP2R2D.pdf")</f>
        <v>Melting_Curves/meltCurve_Q66LE6_PPP2R2D.pdf</v>
      </c>
    </row>
    <row r="3914" spans="1:28" x14ac:dyDescent="0.25">
      <c r="A3914" t="s">
        <v>3918</v>
      </c>
      <c r="B3914">
        <v>0.99542014353169495</v>
      </c>
      <c r="C3914">
        <v>1.01335289167396</v>
      </c>
      <c r="D3914">
        <v>0.87017233623150503</v>
      </c>
      <c r="E3914">
        <v>0.83185166709860503</v>
      </c>
      <c r="F3914">
        <v>0.61756238482423198</v>
      </c>
      <c r="G3914">
        <v>0.46670798274745201</v>
      </c>
      <c r="H3914">
        <v>0.339753826412865</v>
      </c>
      <c r="I3914">
        <v>0.36010672202884503</v>
      </c>
      <c r="J3914">
        <v>0.57427314114640204</v>
      </c>
      <c r="K3914">
        <v>0.79169118871658195</v>
      </c>
      <c r="L3914">
        <v>1215.8724606318001</v>
      </c>
      <c r="M3914">
        <v>25.705211003122901</v>
      </c>
      <c r="O3914">
        <v>47.017143553673698</v>
      </c>
      <c r="P3914">
        <v>-6.7493776879049297E-2</v>
      </c>
      <c r="Q3914">
        <v>0.50619726547692401</v>
      </c>
      <c r="R3914">
        <v>0.72959367919747498</v>
      </c>
      <c r="S3914" t="s">
        <v>10316</v>
      </c>
      <c r="T3914" t="s">
        <v>12802</v>
      </c>
      <c r="U3914" t="s">
        <v>12802</v>
      </c>
      <c r="V3914" t="s">
        <v>12802</v>
      </c>
      <c r="W3914" t="s">
        <v>12938</v>
      </c>
      <c r="X3914">
        <v>10</v>
      </c>
      <c r="Y3914" t="s">
        <v>19260</v>
      </c>
      <c r="Z3914" t="s">
        <v>29232</v>
      </c>
      <c r="AA3914">
        <v>0.67968584782793728</v>
      </c>
      <c r="AB3914" t="str">
        <f>HYPERLINK("Melting_Curves/meltCurve_Q66PJ3_ARL6IP4.pdf", "Melting_Curves/meltCurve_Q66PJ3_ARL6IP4.pdf")</f>
        <v>Melting_Curves/meltCurve_Q66PJ3_ARL6IP4.pdf</v>
      </c>
    </row>
    <row r="3915" spans="1:28" x14ac:dyDescent="0.25">
      <c r="A3915" t="s">
        <v>3919</v>
      </c>
      <c r="B3915">
        <v>0.99542014353169495</v>
      </c>
      <c r="C3915">
        <v>1.0141464318732201</v>
      </c>
      <c r="D3915">
        <v>0.92182255741583397</v>
      </c>
      <c r="E3915">
        <v>0.816663771751585</v>
      </c>
      <c r="F3915">
        <v>0.64079807948266199</v>
      </c>
      <c r="G3915">
        <v>0.29437481882855498</v>
      </c>
      <c r="H3915">
        <v>0.149512365163011</v>
      </c>
      <c r="I3915">
        <v>0.101937391774545</v>
      </c>
      <c r="J3915">
        <v>0.107473390929174</v>
      </c>
      <c r="K3915">
        <v>9.9029508729984103E-2</v>
      </c>
      <c r="L3915">
        <v>924.593562935617</v>
      </c>
      <c r="M3915">
        <v>18.190638156596201</v>
      </c>
      <c r="N3915">
        <v>51.254151877571502</v>
      </c>
      <c r="O3915">
        <v>50.225661727034101</v>
      </c>
      <c r="P3915">
        <v>-8.4194129287871303E-2</v>
      </c>
      <c r="Q3915">
        <v>7.0179729938204594E-2</v>
      </c>
      <c r="R3915">
        <v>0.99424261888605603</v>
      </c>
      <c r="S3915" t="s">
        <v>10317</v>
      </c>
      <c r="T3915" t="s">
        <v>12802</v>
      </c>
      <c r="U3915" t="s">
        <v>12802</v>
      </c>
      <c r="V3915" t="s">
        <v>12802</v>
      </c>
      <c r="W3915" t="s">
        <v>16660</v>
      </c>
      <c r="X3915">
        <v>7</v>
      </c>
      <c r="Y3915" t="s">
        <v>22889</v>
      </c>
      <c r="Z3915" t="s">
        <v>29233</v>
      </c>
      <c r="AA3915">
        <v>0.51299525058696538</v>
      </c>
      <c r="AB3915" t="str">
        <f>HYPERLINK("Melting_Curves/meltCurve_Q66S35_PFKFB4.pdf", "Melting_Curves/meltCurve_Q66S35_PFKFB4.pdf")</f>
        <v>Melting_Curves/meltCurve_Q66S35_PFKFB4.pdf</v>
      </c>
    </row>
    <row r="3916" spans="1:28" x14ac:dyDescent="0.25">
      <c r="A3916" t="s">
        <v>3920</v>
      </c>
      <c r="B3916">
        <v>0.99542014353169495</v>
      </c>
      <c r="C3916">
        <v>1.04663408442627</v>
      </c>
      <c r="D3916">
        <v>1.02074704497691</v>
      </c>
      <c r="E3916">
        <v>0.90212667670648605</v>
      </c>
      <c r="F3916">
        <v>0.75121975814823405</v>
      </c>
      <c r="G3916">
        <v>0.57100071418435205</v>
      </c>
      <c r="H3916">
        <v>0.41084176018340302</v>
      </c>
      <c r="I3916">
        <v>0.37499029087489699</v>
      </c>
      <c r="J3916">
        <v>0.49905495343724099</v>
      </c>
      <c r="K3916">
        <v>0.70516781646698501</v>
      </c>
      <c r="L3916">
        <v>1435.6241772442399</v>
      </c>
      <c r="M3916">
        <v>28.751852313167699</v>
      </c>
      <c r="N3916">
        <v>65.441160218372602</v>
      </c>
      <c r="O3916">
        <v>49.691863929157499</v>
      </c>
      <c r="P3916">
        <v>-7.2405327784983695E-2</v>
      </c>
      <c r="Q3916">
        <v>0.499450970824175</v>
      </c>
      <c r="R3916">
        <v>0.87570652954529804</v>
      </c>
      <c r="S3916" t="s">
        <v>10318</v>
      </c>
      <c r="T3916" t="s">
        <v>12802</v>
      </c>
      <c r="U3916" t="s">
        <v>12802</v>
      </c>
      <c r="V3916" t="s">
        <v>12802</v>
      </c>
      <c r="W3916" t="s">
        <v>16661</v>
      </c>
      <c r="X3916">
        <v>7</v>
      </c>
      <c r="Y3916" t="s">
        <v>22890</v>
      </c>
      <c r="Z3916" t="s">
        <v>29234</v>
      </c>
      <c r="AA3916">
        <v>0.71854891395744758</v>
      </c>
      <c r="AB3916" t="str">
        <f>HYPERLINK("Melting_Curves/meltCurve_Q674X7_3_KAZN.pdf", "Melting_Curves/meltCurve_Q674X7_3_KAZN.pdf")</f>
        <v>Melting_Curves/meltCurve_Q674X7_3_KAZN.pdf</v>
      </c>
    </row>
    <row r="3917" spans="1:28" x14ac:dyDescent="0.25">
      <c r="A3917" t="s">
        <v>3921</v>
      </c>
      <c r="B3917">
        <v>0.99542014353169495</v>
      </c>
      <c r="C3917">
        <v>0.96229486458146496</v>
      </c>
      <c r="D3917">
        <v>0.98872479970021898</v>
      </c>
      <c r="E3917">
        <v>0.48649370876396703</v>
      </c>
      <c r="F3917">
        <v>0.20460841368785801</v>
      </c>
      <c r="G3917">
        <v>0.113870977034234</v>
      </c>
      <c r="H3917">
        <v>7.2339595153166902E-2</v>
      </c>
      <c r="I3917">
        <v>5.1823433411373E-2</v>
      </c>
      <c r="J3917">
        <v>5.4598390662624501E-2</v>
      </c>
      <c r="K3917">
        <v>5.8292672563462301E-2</v>
      </c>
      <c r="L3917">
        <v>1420.9643166912001</v>
      </c>
      <c r="M3917">
        <v>30.562868295362101</v>
      </c>
      <c r="N3917">
        <v>46.730967697004402</v>
      </c>
      <c r="O3917">
        <v>46.2954927827844</v>
      </c>
      <c r="P3917">
        <v>-0.15315804496066701</v>
      </c>
      <c r="Q3917">
        <v>7.2013621339317893E-2</v>
      </c>
      <c r="R3917">
        <v>0.99412553666001702</v>
      </c>
      <c r="S3917" t="s">
        <v>10319</v>
      </c>
      <c r="T3917" t="s">
        <v>12802</v>
      </c>
      <c r="U3917" t="s">
        <v>12802</v>
      </c>
      <c r="V3917" t="s">
        <v>12802</v>
      </c>
      <c r="W3917" t="s">
        <v>16662</v>
      </c>
      <c r="X3917">
        <v>11</v>
      </c>
      <c r="Y3917" t="s">
        <v>22891</v>
      </c>
      <c r="Z3917" t="s">
        <v>29235</v>
      </c>
      <c r="AA3917">
        <v>0.37080896608806041</v>
      </c>
      <c r="AB3917" t="str">
        <f>HYPERLINK("Melting_Curves/meltCurve_Q68CQ4_DIEXF.pdf", "Melting_Curves/meltCurve_Q68CQ4_DIEXF.pdf")</f>
        <v>Melting_Curves/meltCurve_Q68CQ4_DIEXF.pdf</v>
      </c>
    </row>
    <row r="3918" spans="1:28" x14ac:dyDescent="0.25">
      <c r="A3918" t="s">
        <v>3922</v>
      </c>
      <c r="B3918">
        <v>0.99542014353169495</v>
      </c>
      <c r="C3918">
        <v>0.81392780692660904</v>
      </c>
      <c r="D3918">
        <v>0.87975689382939304</v>
      </c>
      <c r="E3918">
        <v>0.74142534240172897</v>
      </c>
      <c r="F3918">
        <v>0.40847144573356797</v>
      </c>
      <c r="G3918">
        <v>0.218380398926589</v>
      </c>
      <c r="H3918">
        <v>0.12951615870163599</v>
      </c>
      <c r="I3918">
        <v>7.7920705147185895E-2</v>
      </c>
      <c r="J3918">
        <v>0.10177813231379</v>
      </c>
      <c r="K3918">
        <v>0.10090744788683501</v>
      </c>
      <c r="L3918">
        <v>723.84754784163795</v>
      </c>
      <c r="M3918">
        <v>14.871771037556</v>
      </c>
      <c r="N3918">
        <v>49.066757075747397</v>
      </c>
      <c r="O3918">
        <v>47.817957644927702</v>
      </c>
      <c r="P3918">
        <v>-7.3381879569989705E-2</v>
      </c>
      <c r="Q3918">
        <v>5.6304782116425797E-2</v>
      </c>
      <c r="R3918">
        <v>0.97610131581892101</v>
      </c>
      <c r="S3918" t="s">
        <v>10320</v>
      </c>
      <c r="T3918" t="s">
        <v>12802</v>
      </c>
      <c r="U3918" t="s">
        <v>12802</v>
      </c>
      <c r="V3918" t="s">
        <v>12802</v>
      </c>
      <c r="W3918" t="s">
        <v>16663</v>
      </c>
      <c r="X3918">
        <v>2</v>
      </c>
      <c r="Y3918" t="s">
        <v>22892</v>
      </c>
      <c r="Z3918" t="s">
        <v>29236</v>
      </c>
      <c r="AA3918">
        <v>0.44423350415820712</v>
      </c>
      <c r="AB3918" t="str">
        <f>HYPERLINK("Melting_Curves/meltCurve_Q68D10_2_SPTY2D1.pdf", "Melting_Curves/meltCurve_Q68D10_2_SPTY2D1.pdf")</f>
        <v>Melting_Curves/meltCurve_Q68D10_2_SPTY2D1.pdf</v>
      </c>
    </row>
    <row r="3919" spans="1:28" x14ac:dyDescent="0.25">
      <c r="A3919" t="s">
        <v>3923</v>
      </c>
      <c r="B3919">
        <v>0.99542014353169495</v>
      </c>
      <c r="C3919">
        <v>0.95385649600133204</v>
      </c>
      <c r="D3919">
        <v>0.903871479899094</v>
      </c>
      <c r="E3919">
        <v>0.76334653404604103</v>
      </c>
      <c r="F3919">
        <v>0.60313161306151497</v>
      </c>
      <c r="G3919">
        <v>0.31209490544322899</v>
      </c>
      <c r="H3919">
        <v>0.145767259422621</v>
      </c>
      <c r="I3919">
        <v>9.4038552832837505E-2</v>
      </c>
      <c r="J3919">
        <v>5.6446385540572498E-2</v>
      </c>
      <c r="K3919">
        <v>4.5725197492243998E-2</v>
      </c>
      <c r="L3919">
        <v>701.36887809944596</v>
      </c>
      <c r="M3919">
        <v>13.7628440398561</v>
      </c>
      <c r="N3919">
        <v>50.9610430732751</v>
      </c>
      <c r="O3919">
        <v>49.921274565290403</v>
      </c>
      <c r="P3919">
        <v>-6.89324893607485E-2</v>
      </c>
      <c r="Q3919">
        <v>0</v>
      </c>
      <c r="R3919">
        <v>0.99619974259903399</v>
      </c>
      <c r="S3919" t="s">
        <v>10321</v>
      </c>
      <c r="T3919" t="s">
        <v>12802</v>
      </c>
      <c r="U3919" t="s">
        <v>12802</v>
      </c>
      <c r="V3919" t="s">
        <v>12802</v>
      </c>
      <c r="W3919" t="s">
        <v>16664</v>
      </c>
      <c r="X3919">
        <v>5</v>
      </c>
      <c r="Y3919" t="s">
        <v>22893</v>
      </c>
      <c r="Z3919" t="s">
        <v>29237</v>
      </c>
      <c r="AA3919">
        <v>0.48783485167864332</v>
      </c>
      <c r="AB3919" t="str">
        <f>HYPERLINK("Melting_Curves/meltCurve_Q68D85_NCR3LG1.pdf", "Melting_Curves/meltCurve_Q68D85_NCR3LG1.pdf")</f>
        <v>Melting_Curves/meltCurve_Q68D85_NCR3LG1.pdf</v>
      </c>
    </row>
    <row r="3920" spans="1:28" x14ac:dyDescent="0.25">
      <c r="A3920" t="s">
        <v>3924</v>
      </c>
      <c r="B3920">
        <v>0.99542014353169495</v>
      </c>
      <c r="C3920">
        <v>1.0162330529071799</v>
      </c>
      <c r="D3920">
        <v>0.929541541186096</v>
      </c>
      <c r="E3920">
        <v>0.88057091148455202</v>
      </c>
      <c r="F3920">
        <v>0.72529342629458105</v>
      </c>
      <c r="G3920">
        <v>0.55527884366259395</v>
      </c>
      <c r="H3920">
        <v>0.36204837785338001</v>
      </c>
      <c r="I3920">
        <v>0.29657076922624898</v>
      </c>
      <c r="J3920">
        <v>0.411821283247707</v>
      </c>
      <c r="K3920">
        <v>0.37852229542490301</v>
      </c>
      <c r="L3920">
        <v>922.61630128221202</v>
      </c>
      <c r="M3920">
        <v>18.119384464430201</v>
      </c>
      <c r="N3920">
        <v>54.299876104552197</v>
      </c>
      <c r="O3920">
        <v>50.3106837544263</v>
      </c>
      <c r="P3920">
        <v>-5.95895797208289E-2</v>
      </c>
      <c r="Q3920">
        <v>0.33820083192989497</v>
      </c>
      <c r="R3920">
        <v>0.97719546530116297</v>
      </c>
      <c r="S3920" t="s">
        <v>10322</v>
      </c>
      <c r="T3920" t="s">
        <v>12802</v>
      </c>
      <c r="U3920" t="s">
        <v>12802</v>
      </c>
      <c r="V3920" t="s">
        <v>12802</v>
      </c>
      <c r="W3920" t="s">
        <v>16665</v>
      </c>
      <c r="X3920">
        <v>9</v>
      </c>
      <c r="Y3920" t="s">
        <v>22894</v>
      </c>
      <c r="Z3920" t="s">
        <v>29238</v>
      </c>
      <c r="AA3920">
        <v>0.6554227685932984</v>
      </c>
      <c r="AB3920" t="str">
        <f>HYPERLINK("Melting_Curves/meltCurve_Q68D91_MBLAC2.pdf", "Melting_Curves/meltCurve_Q68D91_MBLAC2.pdf")</f>
        <v>Melting_Curves/meltCurve_Q68D91_MBLAC2.pdf</v>
      </c>
    </row>
    <row r="3921" spans="1:28" x14ac:dyDescent="0.25">
      <c r="A3921" t="s">
        <v>3925</v>
      </c>
      <c r="B3921">
        <v>0.99542014353169495</v>
      </c>
      <c r="C3921">
        <v>1.0541431555026</v>
      </c>
      <c r="D3921">
        <v>0.99004519035173899</v>
      </c>
      <c r="E3921">
        <v>0.86869373640709202</v>
      </c>
      <c r="F3921">
        <v>0.78172704702343998</v>
      </c>
      <c r="G3921">
        <v>0.47988966664779598</v>
      </c>
      <c r="H3921">
        <v>0.28787131068399502</v>
      </c>
      <c r="I3921">
        <v>0.17250702974412799</v>
      </c>
      <c r="J3921">
        <v>0.17079581018706899</v>
      </c>
      <c r="K3921">
        <v>0.18320884392814599</v>
      </c>
      <c r="L3921">
        <v>979.89864293336802</v>
      </c>
      <c r="M3921">
        <v>18.633440848729901</v>
      </c>
      <c r="N3921">
        <v>53.5430150805973</v>
      </c>
      <c r="O3921">
        <v>51.993711822401899</v>
      </c>
      <c r="P3921">
        <v>-7.6932909355514403E-2</v>
      </c>
      <c r="Q3921">
        <v>0.14135982452787901</v>
      </c>
      <c r="R3921">
        <v>0.99260534382071197</v>
      </c>
      <c r="S3921" t="s">
        <v>10323</v>
      </c>
      <c r="T3921" t="s">
        <v>12802</v>
      </c>
      <c r="U3921" t="s">
        <v>12802</v>
      </c>
      <c r="V3921" t="s">
        <v>12802</v>
      </c>
      <c r="W3921" t="s">
        <v>16666</v>
      </c>
      <c r="X3921">
        <v>4</v>
      </c>
      <c r="Y3921" t="s">
        <v>22895</v>
      </c>
      <c r="Z3921" t="s">
        <v>29239</v>
      </c>
      <c r="AA3921">
        <v>0.59963922623653343</v>
      </c>
      <c r="AB3921" t="str">
        <f>HYPERLINK("Melting_Curves/meltCurve_Q68DH5_LMBRD2.pdf", "Melting_Curves/meltCurve_Q68DH5_LMBRD2.pdf")</f>
        <v>Melting_Curves/meltCurve_Q68DH5_LMBRD2.pdf</v>
      </c>
    </row>
    <row r="3922" spans="1:28" x14ac:dyDescent="0.25">
      <c r="A3922" t="s">
        <v>3926</v>
      </c>
      <c r="B3922">
        <v>0.99542014353169495</v>
      </c>
      <c r="C3922">
        <v>1.02481127760532</v>
      </c>
      <c r="D3922">
        <v>0.99967185215925602</v>
      </c>
      <c r="E3922">
        <v>0.86420313976101304</v>
      </c>
      <c r="F3922">
        <v>0.53448144842970802</v>
      </c>
      <c r="G3922">
        <v>0.19841827960692501</v>
      </c>
      <c r="H3922">
        <v>0.12346475326954801</v>
      </c>
      <c r="I3922">
        <v>9.9340904890602502E-2</v>
      </c>
      <c r="J3922">
        <v>7.6507790946956394E-2</v>
      </c>
      <c r="K3922">
        <v>7.6588377626319301E-2</v>
      </c>
      <c r="L3922">
        <v>1267.63707659899</v>
      </c>
      <c r="M3922">
        <v>25.324064877217701</v>
      </c>
      <c r="N3922">
        <v>50.399986403913701</v>
      </c>
      <c r="O3922">
        <v>49.7475936825536</v>
      </c>
      <c r="P3922">
        <v>-0.117180812325701</v>
      </c>
      <c r="Q3922">
        <v>7.9232972528649304E-2</v>
      </c>
      <c r="R3922">
        <v>0.99895695906284798</v>
      </c>
      <c r="S3922" t="s">
        <v>10324</v>
      </c>
      <c r="T3922" t="s">
        <v>12802</v>
      </c>
      <c r="U3922" t="s">
        <v>12802</v>
      </c>
      <c r="V3922" t="s">
        <v>12802</v>
      </c>
      <c r="W3922" t="s">
        <v>16667</v>
      </c>
      <c r="X3922">
        <v>2</v>
      </c>
      <c r="Y3922" t="s">
        <v>22896</v>
      </c>
      <c r="Z3922" t="s">
        <v>29240</v>
      </c>
      <c r="AA3922">
        <v>0.48783160931347352</v>
      </c>
      <c r="AB3922" t="str">
        <f>HYPERLINK("Melting_Curves/meltCurve_Q68DM5_DKFZp781L1143.pdf", "Melting_Curves/meltCurve_Q68DM5_DKFZp781L1143.pdf")</f>
        <v>Melting_Curves/meltCurve_Q68DM5_DKFZp781L1143.pdf</v>
      </c>
    </row>
    <row r="3923" spans="1:28" x14ac:dyDescent="0.25">
      <c r="A3923" t="s">
        <v>3927</v>
      </c>
      <c r="B3923">
        <v>0.99542014353169495</v>
      </c>
      <c r="C3923">
        <v>0.94783594536536897</v>
      </c>
      <c r="D3923">
        <v>0.99321198687892298</v>
      </c>
      <c r="E3923">
        <v>0.64939337600005498</v>
      </c>
      <c r="F3923">
        <v>0.28273128234321399</v>
      </c>
      <c r="G3923">
        <v>0.13698771646726901</v>
      </c>
      <c r="H3923">
        <v>7.27313064536316E-2</v>
      </c>
      <c r="I3923">
        <v>4.5123768368105603E-2</v>
      </c>
      <c r="J3923">
        <v>4.5189726968707801E-2</v>
      </c>
      <c r="K3923">
        <v>5.4361735310910299E-2</v>
      </c>
      <c r="L3923">
        <v>1152.29924874879</v>
      </c>
      <c r="M3923">
        <v>24.104949504204502</v>
      </c>
      <c r="N3923">
        <v>48.027119845301698</v>
      </c>
      <c r="O3923">
        <v>47.478079077019203</v>
      </c>
      <c r="P3923">
        <v>-0.12018897648973</v>
      </c>
      <c r="Q3923">
        <v>5.30986681562318E-2</v>
      </c>
      <c r="R3923">
        <v>0.99628216373261502</v>
      </c>
      <c r="S3923" t="s">
        <v>10325</v>
      </c>
      <c r="T3923" t="s">
        <v>12802</v>
      </c>
      <c r="U3923" t="s">
        <v>12802</v>
      </c>
      <c r="V3923" t="s">
        <v>12802</v>
      </c>
      <c r="W3923" t="s">
        <v>16668</v>
      </c>
      <c r="X3923">
        <v>9</v>
      </c>
      <c r="Y3923" t="s">
        <v>22897</v>
      </c>
      <c r="Z3923" t="s">
        <v>29241</v>
      </c>
      <c r="AA3923">
        <v>0.40273994127599722</v>
      </c>
      <c r="AB3923" t="str">
        <f>HYPERLINK("Melting_Curves/meltCurve_Q68E01_2_INTS3.pdf", "Melting_Curves/meltCurve_Q68E01_2_INTS3.pdf")</f>
        <v>Melting_Curves/meltCurve_Q68E01_2_INTS3.pdf</v>
      </c>
    </row>
    <row r="3924" spans="1:28" x14ac:dyDescent="0.25">
      <c r="A3924" t="s">
        <v>3928</v>
      </c>
      <c r="B3924">
        <v>0.99542014353169495</v>
      </c>
      <c r="C3924">
        <v>0.96976221780969596</v>
      </c>
      <c r="D3924">
        <v>0.96534905754761902</v>
      </c>
      <c r="E3924">
        <v>0.59169156591750405</v>
      </c>
      <c r="F3924">
        <v>0.21766907074956399</v>
      </c>
      <c r="G3924">
        <v>0.140885264286642</v>
      </c>
      <c r="H3924">
        <v>9.4017999038985195E-2</v>
      </c>
      <c r="I3924">
        <v>6.5550060351751996E-2</v>
      </c>
      <c r="J3924">
        <v>7.7073739462406796E-2</v>
      </c>
      <c r="K3924">
        <v>8.9431451803841502E-2</v>
      </c>
      <c r="L3924">
        <v>1331.35293950141</v>
      </c>
      <c r="M3924">
        <v>28.3147745080616</v>
      </c>
      <c r="N3924">
        <v>47.336830000943003</v>
      </c>
      <c r="O3924">
        <v>46.7870646245957</v>
      </c>
      <c r="P3924">
        <v>-0.138227694649254</v>
      </c>
      <c r="Q3924">
        <v>8.63829443065081E-2</v>
      </c>
      <c r="R3924">
        <v>0.99815318083917104</v>
      </c>
      <c r="S3924" t="s">
        <v>10326</v>
      </c>
      <c r="T3924" t="s">
        <v>12802</v>
      </c>
      <c r="U3924" t="s">
        <v>12802</v>
      </c>
      <c r="V3924" t="s">
        <v>12802</v>
      </c>
      <c r="W3924" t="s">
        <v>16669</v>
      </c>
      <c r="X3924">
        <v>8</v>
      </c>
      <c r="Y3924" t="s">
        <v>22898</v>
      </c>
      <c r="Z3924" t="s">
        <v>29242</v>
      </c>
      <c r="AA3924">
        <v>0.39749327737987677</v>
      </c>
      <c r="AB3924" t="str">
        <f>HYPERLINK("Melting_Curves/meltCurve_Q68EM7_6_ARHGAP17.pdf", "Melting_Curves/meltCurve_Q68EM7_6_ARHGAP17.pdf")</f>
        <v>Melting_Curves/meltCurve_Q68EM7_6_ARHGAP17.pdf</v>
      </c>
    </row>
    <row r="3925" spans="1:28" x14ac:dyDescent="0.25">
      <c r="A3925" t="s">
        <v>3929</v>
      </c>
      <c r="B3925">
        <v>0.99542014353169495</v>
      </c>
      <c r="C3925">
        <v>0.93527968674428696</v>
      </c>
      <c r="D3925">
        <v>0.91471925570157897</v>
      </c>
      <c r="E3925">
        <v>0.58411122660284198</v>
      </c>
      <c r="F3925">
        <v>0.349576434813057</v>
      </c>
      <c r="G3925">
        <v>0.21280064163514001</v>
      </c>
      <c r="H3925">
        <v>0.14086251796073199</v>
      </c>
      <c r="I3925">
        <v>9.3854304871624994E-2</v>
      </c>
      <c r="J3925">
        <v>0.109273938983559</v>
      </c>
      <c r="K3925">
        <v>0.14790048444277101</v>
      </c>
      <c r="L3925">
        <v>866.73838916139198</v>
      </c>
      <c r="M3925">
        <v>18.348761961823499</v>
      </c>
      <c r="N3925">
        <v>47.9018702476451</v>
      </c>
      <c r="O3925">
        <v>46.6865414140319</v>
      </c>
      <c r="P3925">
        <v>-8.7211980969218006E-2</v>
      </c>
      <c r="Q3925">
        <v>0.112432912873971</v>
      </c>
      <c r="R3925">
        <v>0.99513793034230502</v>
      </c>
      <c r="S3925" t="s">
        <v>10327</v>
      </c>
      <c r="T3925" t="s">
        <v>12802</v>
      </c>
      <c r="U3925" t="s">
        <v>12802</v>
      </c>
      <c r="V3925" t="s">
        <v>12802</v>
      </c>
      <c r="W3925" t="s">
        <v>16670</v>
      </c>
      <c r="X3925">
        <v>5</v>
      </c>
      <c r="Y3925" t="s">
        <v>22899</v>
      </c>
      <c r="Z3925" t="s">
        <v>29243</v>
      </c>
      <c r="AA3925">
        <v>0.4290210511423807</v>
      </c>
      <c r="AB3925" t="str">
        <f>HYPERLINK("Melting_Curves/meltCurve_Q69YH5_CDCA2.pdf", "Melting_Curves/meltCurve_Q69YH5_CDCA2.pdf")</f>
        <v>Melting_Curves/meltCurve_Q69YH5_CDCA2.pdf</v>
      </c>
    </row>
    <row r="3926" spans="1:28" x14ac:dyDescent="0.25">
      <c r="A3926" t="s">
        <v>3930</v>
      </c>
      <c r="B3926">
        <v>0.99542014353169495</v>
      </c>
      <c r="C3926">
        <v>1.01028199475902</v>
      </c>
      <c r="D3926">
        <v>0.90756785787956396</v>
      </c>
      <c r="E3926">
        <v>0.71347102643020099</v>
      </c>
      <c r="F3926">
        <v>0.40703321906858603</v>
      </c>
      <c r="G3926">
        <v>0.24700163193364499</v>
      </c>
      <c r="H3926">
        <v>0.14892960474570699</v>
      </c>
      <c r="I3926">
        <v>0.12699314382382901</v>
      </c>
      <c r="J3926">
        <v>0.17108149934577499</v>
      </c>
      <c r="K3926">
        <v>0.239159915603469</v>
      </c>
      <c r="L3926">
        <v>1014.79467924185</v>
      </c>
      <c r="M3926">
        <v>21.152611839732302</v>
      </c>
      <c r="N3926">
        <v>48.897066856189603</v>
      </c>
      <c r="O3926">
        <v>47.552293362906099</v>
      </c>
      <c r="P3926">
        <v>-9.2918425879546504E-2</v>
      </c>
      <c r="Q3926">
        <v>0.164477650176202</v>
      </c>
      <c r="R3926">
        <v>0.99156624893852896</v>
      </c>
      <c r="S3926" t="s">
        <v>10328</v>
      </c>
      <c r="T3926" t="s">
        <v>12802</v>
      </c>
      <c r="U3926" t="s">
        <v>12802</v>
      </c>
      <c r="V3926" t="s">
        <v>12802</v>
      </c>
      <c r="W3926" t="s">
        <v>16671</v>
      </c>
      <c r="X3926">
        <v>5</v>
      </c>
      <c r="Z3926" t="s">
        <v>29244</v>
      </c>
      <c r="AA3926">
        <v>0.48000113509818998</v>
      </c>
      <c r="AB3926" t="str">
        <f>HYPERLINK("Melting_Curves/meltCurve_Q69YL0_.pdf", "Melting_Curves/meltCurve_Q69YL0_.pdf")</f>
        <v>Melting_Curves/meltCurve_Q69YL0_.pdf</v>
      </c>
    </row>
    <row r="3927" spans="1:28" x14ac:dyDescent="0.25">
      <c r="A3927" t="s">
        <v>3931</v>
      </c>
      <c r="B3927">
        <v>0.99542014353169495</v>
      </c>
      <c r="C3927">
        <v>1.05908229386332</v>
      </c>
      <c r="D3927">
        <v>1.1715862242655399</v>
      </c>
      <c r="E3927">
        <v>0.83552618788664801</v>
      </c>
      <c r="F3927">
        <v>0.85355568502123502</v>
      </c>
      <c r="G3927">
        <v>0.716831286637309</v>
      </c>
      <c r="H3927">
        <v>0.53444562946173602</v>
      </c>
      <c r="I3927">
        <v>0.380160839273954</v>
      </c>
      <c r="J3927">
        <v>0.61440629765443699</v>
      </c>
      <c r="K3927">
        <v>0.60652648876878901</v>
      </c>
      <c r="L3927">
        <v>1107.87314998734</v>
      </c>
      <c r="M3927">
        <v>21.451347100839602</v>
      </c>
      <c r="O3927">
        <v>51.2033141700702</v>
      </c>
      <c r="P3927">
        <v>-4.9740706337758803E-2</v>
      </c>
      <c r="Q3927">
        <v>0.52509720635338697</v>
      </c>
      <c r="R3927">
        <v>0.83483246172201098</v>
      </c>
      <c r="S3927" t="s">
        <v>10329</v>
      </c>
      <c r="T3927" t="s">
        <v>12802</v>
      </c>
      <c r="U3927" t="s">
        <v>12802</v>
      </c>
      <c r="V3927" t="s">
        <v>12802</v>
      </c>
      <c r="W3927" t="s">
        <v>16672</v>
      </c>
      <c r="X3927">
        <v>1</v>
      </c>
      <c r="Y3927" t="s">
        <v>22900</v>
      </c>
      <c r="Z3927" t="s">
        <v>29245</v>
      </c>
      <c r="AA3927">
        <v>0.76244136709160237</v>
      </c>
      <c r="AB3927" t="str">
        <f>HYPERLINK("Melting_Curves/meltCurve_Q69YM1_DKFZp762C0813.pdf", "Melting_Curves/meltCurve_Q69YM1_DKFZp762C0813.pdf")</f>
        <v>Melting_Curves/meltCurve_Q69YM1_DKFZp762C0813.pdf</v>
      </c>
    </row>
    <row r="3928" spans="1:28" x14ac:dyDescent="0.25">
      <c r="A3928" t="s">
        <v>3932</v>
      </c>
      <c r="B3928">
        <v>0.99542014353169495</v>
      </c>
      <c r="C3928">
        <v>1.05035051113918</v>
      </c>
      <c r="D3928">
        <v>1.0154241587817701</v>
      </c>
      <c r="E3928">
        <v>0.97952228874404801</v>
      </c>
      <c r="F3928">
        <v>0.52652991914005398</v>
      </c>
      <c r="G3928">
        <v>0.15422579701479799</v>
      </c>
      <c r="H3928">
        <v>8.0145485863660895E-2</v>
      </c>
      <c r="I3928">
        <v>5.4257175476057802E-2</v>
      </c>
      <c r="J3928">
        <v>5.8483927306793901E-2</v>
      </c>
      <c r="K3928">
        <v>7.2994139521037602E-2</v>
      </c>
      <c r="L3928">
        <v>1936.73124575714</v>
      </c>
      <c r="M3928">
        <v>38.570029893187098</v>
      </c>
      <c r="N3928">
        <v>50.404434217498903</v>
      </c>
      <c r="O3928">
        <v>50.078959512539697</v>
      </c>
      <c r="P3928">
        <v>-0.179450577456501</v>
      </c>
      <c r="Q3928">
        <v>6.8014550179584701E-2</v>
      </c>
      <c r="R3928">
        <v>0.997763932810386</v>
      </c>
      <c r="S3928" t="s">
        <v>10330</v>
      </c>
      <c r="T3928" t="s">
        <v>12802</v>
      </c>
      <c r="U3928" t="s">
        <v>12802</v>
      </c>
      <c r="V3928" t="s">
        <v>12802</v>
      </c>
      <c r="W3928" t="s">
        <v>16673</v>
      </c>
      <c r="X3928">
        <v>19</v>
      </c>
      <c r="Y3928" t="s">
        <v>22901</v>
      </c>
      <c r="Z3928" t="s">
        <v>29246</v>
      </c>
      <c r="AA3928">
        <v>0.48198112194084503</v>
      </c>
      <c r="AB3928" t="str">
        <f>HYPERLINK("Melting_Curves/meltCurve_Q69YN2_CWF19L1.pdf", "Melting_Curves/meltCurve_Q69YN2_CWF19L1.pdf")</f>
        <v>Melting_Curves/meltCurve_Q69YN2_CWF19L1.pdf</v>
      </c>
    </row>
    <row r="3929" spans="1:28" x14ac:dyDescent="0.25">
      <c r="A3929" t="s">
        <v>3933</v>
      </c>
      <c r="B3929">
        <v>0.99542014353169495</v>
      </c>
      <c r="C3929">
        <v>0.89419677503988804</v>
      </c>
      <c r="D3929">
        <v>0.889868903356407</v>
      </c>
      <c r="E3929">
        <v>0.58207596649937898</v>
      </c>
      <c r="F3929">
        <v>0.21289824799686399</v>
      </c>
      <c r="G3929">
        <v>0.13726103180854901</v>
      </c>
      <c r="H3929">
        <v>9.34954472467973E-2</v>
      </c>
      <c r="I3929">
        <v>7.4009009631764794E-2</v>
      </c>
      <c r="J3929">
        <v>7.9547746926340507E-2</v>
      </c>
      <c r="K3929">
        <v>5.7968550268566003E-2</v>
      </c>
      <c r="L3929">
        <v>1008.42804754467</v>
      </c>
      <c r="M3929">
        <v>21.525187208254</v>
      </c>
      <c r="N3929">
        <v>47.16952132494</v>
      </c>
      <c r="O3929">
        <v>46.450022819447902</v>
      </c>
      <c r="P3929">
        <v>-0.107966155577901</v>
      </c>
      <c r="Q3929">
        <v>6.8085546095257202E-2</v>
      </c>
      <c r="R3929">
        <v>0.99333922080145098</v>
      </c>
      <c r="S3929" t="s">
        <v>10331</v>
      </c>
      <c r="T3929" t="s">
        <v>12802</v>
      </c>
      <c r="U3929" t="s">
        <v>12802</v>
      </c>
      <c r="V3929" t="s">
        <v>12802</v>
      </c>
      <c r="W3929" t="s">
        <v>16674</v>
      </c>
      <c r="X3929">
        <v>9</v>
      </c>
      <c r="Y3929" t="s">
        <v>22902</v>
      </c>
      <c r="Z3929" t="s">
        <v>29247</v>
      </c>
      <c r="AA3929">
        <v>0.38456872826116151</v>
      </c>
      <c r="AB3929" t="str">
        <f>HYPERLINK("Melting_Curves/meltCurve_Q69YN4_3_KIAA1429.pdf", "Melting_Curves/meltCurve_Q69YN4_3_KIAA1429.pdf")</f>
        <v>Melting_Curves/meltCurve_Q69YN4_3_KIAA1429.pdf</v>
      </c>
    </row>
    <row r="3930" spans="1:28" x14ac:dyDescent="0.25">
      <c r="A3930" t="s">
        <v>3934</v>
      </c>
      <c r="B3930">
        <v>0.99542014353169495</v>
      </c>
      <c r="C3930">
        <v>1.08291928118328</v>
      </c>
      <c r="D3930">
        <v>1.0386644230026401</v>
      </c>
      <c r="E3930">
        <v>0.80683265185846698</v>
      </c>
      <c r="F3930">
        <v>0.33010230039432797</v>
      </c>
      <c r="G3930">
        <v>0.19055903750941</v>
      </c>
      <c r="H3930">
        <v>0.11970397278805101</v>
      </c>
      <c r="I3930">
        <v>8.5405639791504201E-2</v>
      </c>
      <c r="J3930">
        <v>0.102965015636291</v>
      </c>
      <c r="K3930">
        <v>0.114156346590421</v>
      </c>
      <c r="L3930">
        <v>1544.48148971608</v>
      </c>
      <c r="M3930">
        <v>31.830877602541701</v>
      </c>
      <c r="N3930">
        <v>48.909826479149501</v>
      </c>
      <c r="O3930">
        <v>48.331186630792402</v>
      </c>
      <c r="P3930">
        <v>-0.146265153285394</v>
      </c>
      <c r="Q3930">
        <v>0.11166367974935</v>
      </c>
      <c r="R3930">
        <v>0.99267104202079903</v>
      </c>
      <c r="S3930" t="s">
        <v>10332</v>
      </c>
      <c r="T3930" t="s">
        <v>12802</v>
      </c>
      <c r="U3930" t="s">
        <v>12802</v>
      </c>
      <c r="V3930" t="s">
        <v>12802</v>
      </c>
      <c r="W3930" t="s">
        <v>16675</v>
      </c>
      <c r="X3930">
        <v>4</v>
      </c>
      <c r="Y3930" t="s">
        <v>22903</v>
      </c>
      <c r="Z3930" t="s">
        <v>29248</v>
      </c>
      <c r="AA3930">
        <v>0.45754641431818538</v>
      </c>
      <c r="AB3930" t="str">
        <f>HYPERLINK("Melting_Curves/meltCurve_Q69YQ0_2_SPECC1L.pdf", "Melting_Curves/meltCurve_Q69YQ0_2_SPECC1L.pdf")</f>
        <v>Melting_Curves/meltCurve_Q69YQ0_2_SPECC1L.pdf</v>
      </c>
    </row>
    <row r="3931" spans="1:28" x14ac:dyDescent="0.25">
      <c r="A3931" t="s">
        <v>3935</v>
      </c>
      <c r="B3931">
        <v>0.99542014353169495</v>
      </c>
      <c r="C3931">
        <v>0.91376576300245005</v>
      </c>
      <c r="D3931">
        <v>0.86352857358533996</v>
      </c>
      <c r="E3931">
        <v>0.73880913233249601</v>
      </c>
      <c r="F3931">
        <v>0.55206249753606995</v>
      </c>
      <c r="G3931">
        <v>0.36515609034799801</v>
      </c>
      <c r="H3931">
        <v>0.28418409098026698</v>
      </c>
      <c r="I3931">
        <v>0.25829665366728799</v>
      </c>
      <c r="J3931">
        <v>0.401506790029803</v>
      </c>
      <c r="K3931">
        <v>0.56687958666614202</v>
      </c>
      <c r="L3931">
        <v>868.50270311786096</v>
      </c>
      <c r="M3931">
        <v>18.5031273075654</v>
      </c>
      <c r="N3931">
        <v>50.541246437138298</v>
      </c>
      <c r="O3931">
        <v>46.400223046416897</v>
      </c>
      <c r="P3931">
        <v>-6.3177199102452397E-2</v>
      </c>
      <c r="Q3931">
        <v>0.366311399973761</v>
      </c>
      <c r="R3931">
        <v>0.88484934301462803</v>
      </c>
      <c r="S3931" t="s">
        <v>10333</v>
      </c>
      <c r="T3931" t="s">
        <v>12802</v>
      </c>
      <c r="U3931" t="s">
        <v>12802</v>
      </c>
      <c r="V3931" t="s">
        <v>12802</v>
      </c>
      <c r="W3931" t="s">
        <v>16676</v>
      </c>
      <c r="X3931">
        <v>5</v>
      </c>
      <c r="Y3931" t="s">
        <v>22904</v>
      </c>
      <c r="Z3931" t="s">
        <v>29249</v>
      </c>
      <c r="AA3931">
        <v>0.58588520273090661</v>
      </c>
      <c r="AB3931" t="str">
        <f>HYPERLINK("Melting_Curves/meltCurve_Q69YU5_C12orf73.pdf", "Melting_Curves/meltCurve_Q69YU5_C12orf73.pdf")</f>
        <v>Melting_Curves/meltCurve_Q69YU5_C12orf73.pdf</v>
      </c>
    </row>
    <row r="3932" spans="1:28" x14ac:dyDescent="0.25">
      <c r="A3932" t="s">
        <v>3936</v>
      </c>
      <c r="B3932">
        <v>0.99542014353169495</v>
      </c>
      <c r="C3932">
        <v>1.00719268911233</v>
      </c>
      <c r="D3932">
        <v>1.0735744782374901</v>
      </c>
      <c r="E3932">
        <v>0.83126473854849103</v>
      </c>
      <c r="F3932">
        <v>0.47514606199299297</v>
      </c>
      <c r="G3932">
        <v>0.18175341446908999</v>
      </c>
      <c r="H3932">
        <v>0.126310963336489</v>
      </c>
      <c r="I3932">
        <v>0.103930797420695</v>
      </c>
      <c r="J3932">
        <v>9.0227420876728304E-2</v>
      </c>
      <c r="K3932">
        <v>0.129479245378362</v>
      </c>
      <c r="L3932">
        <v>1362.7844573354801</v>
      </c>
      <c r="M3932">
        <v>27.5597774891984</v>
      </c>
      <c r="N3932">
        <v>49.874456403064201</v>
      </c>
      <c r="O3932">
        <v>49.190162927673398</v>
      </c>
      <c r="P3932">
        <v>-0.12537445223669999</v>
      </c>
      <c r="Q3932">
        <v>0.10490809914584399</v>
      </c>
      <c r="R3932">
        <v>0.99405961791999597</v>
      </c>
      <c r="S3932" t="s">
        <v>10334</v>
      </c>
      <c r="T3932" t="s">
        <v>12802</v>
      </c>
      <c r="U3932" t="s">
        <v>12802</v>
      </c>
      <c r="V3932" t="s">
        <v>12802</v>
      </c>
      <c r="W3932" t="s">
        <v>16677</v>
      </c>
      <c r="X3932">
        <v>4</v>
      </c>
      <c r="Y3932" t="s">
        <v>22905</v>
      </c>
      <c r="Z3932" t="s">
        <v>29250</v>
      </c>
      <c r="AA3932">
        <v>0.48275501052797531</v>
      </c>
      <c r="AB3932" t="str">
        <f>HYPERLINK("Melting_Curves/meltCurve_Q6AI08_HEATR6.pdf", "Melting_Curves/meltCurve_Q6AI08_HEATR6.pdf")</f>
        <v>Melting_Curves/meltCurve_Q6AI08_HEATR6.pdf</v>
      </c>
    </row>
    <row r="3933" spans="1:28" x14ac:dyDescent="0.25">
      <c r="A3933" t="s">
        <v>3937</v>
      </c>
      <c r="B3933">
        <v>0.99542014353169495</v>
      </c>
      <c r="C3933">
        <v>0.83866793369970105</v>
      </c>
      <c r="D3933">
        <v>1.1256249302291499</v>
      </c>
      <c r="E3933">
        <v>0.52126375725094398</v>
      </c>
      <c r="F3933">
        <v>9.6731115726719996E-2</v>
      </c>
      <c r="G3933">
        <v>1.9187548540051801E-2</v>
      </c>
      <c r="H3933">
        <v>0</v>
      </c>
      <c r="I3933">
        <v>2.9322978649285701E-2</v>
      </c>
      <c r="J3933">
        <v>3.4653570108097199E-2</v>
      </c>
      <c r="K3933">
        <v>0</v>
      </c>
      <c r="L3933">
        <v>3191.5627499372799</v>
      </c>
      <c r="M3933">
        <v>68.445388685033805</v>
      </c>
      <c r="N3933">
        <v>46.6692415936174</v>
      </c>
      <c r="O3933">
        <v>46.589575129834202</v>
      </c>
      <c r="P3933">
        <v>-0.35683335053454002</v>
      </c>
      <c r="Q3933">
        <v>2.8439435985012699E-2</v>
      </c>
      <c r="R3933">
        <v>0.97476923795353798</v>
      </c>
      <c r="S3933" t="s">
        <v>10335</v>
      </c>
      <c r="T3933" t="s">
        <v>12802</v>
      </c>
      <c r="U3933" t="s">
        <v>12802</v>
      </c>
      <c r="V3933" t="s">
        <v>12802</v>
      </c>
      <c r="W3933" t="s">
        <v>16678</v>
      </c>
      <c r="X3933">
        <v>1</v>
      </c>
      <c r="Y3933" t="s">
        <v>22906</v>
      </c>
      <c r="Z3933" t="s">
        <v>29251</v>
      </c>
      <c r="AA3933">
        <v>0.34135236018718929</v>
      </c>
      <c r="AB3933" t="str">
        <f>HYPERLINK("Melting_Curves/meltCurve_Q6AI12_ANKRD40.pdf", "Melting_Curves/meltCurve_Q6AI12_ANKRD40.pdf")</f>
        <v>Melting_Curves/meltCurve_Q6AI12_ANKRD40.pdf</v>
      </c>
    </row>
    <row r="3934" spans="1:28" x14ac:dyDescent="0.25">
      <c r="A3934" t="s">
        <v>3938</v>
      </c>
      <c r="B3934">
        <v>0.99542014353169495</v>
      </c>
      <c r="C3934">
        <v>1.0184386171937001</v>
      </c>
      <c r="D3934">
        <v>0.84283276895867698</v>
      </c>
      <c r="E3934">
        <v>0.71113616416951697</v>
      </c>
      <c r="F3934">
        <v>0.55888404876004305</v>
      </c>
      <c r="G3934">
        <v>0.52269296749421801</v>
      </c>
      <c r="H3934">
        <v>0.35125830203134001</v>
      </c>
      <c r="I3934">
        <v>0.31121164322608402</v>
      </c>
      <c r="J3934">
        <v>0.47245756720068799</v>
      </c>
      <c r="K3934">
        <v>0.36386703939527298</v>
      </c>
      <c r="L3934">
        <v>681.80262133202405</v>
      </c>
      <c r="M3934">
        <v>14.4127894144648</v>
      </c>
      <c r="N3934">
        <v>52.027119955962299</v>
      </c>
      <c r="O3934">
        <v>46.422675931744401</v>
      </c>
      <c r="P3934">
        <v>-4.9306340034117498E-2</v>
      </c>
      <c r="Q3934">
        <v>0.36482471675338402</v>
      </c>
      <c r="R3934">
        <v>0.95629008756795297</v>
      </c>
      <c r="S3934" t="s">
        <v>10336</v>
      </c>
      <c r="T3934" t="s">
        <v>12802</v>
      </c>
      <c r="U3934" t="s">
        <v>12802</v>
      </c>
      <c r="V3934" t="s">
        <v>12802</v>
      </c>
      <c r="W3934" t="s">
        <v>16679</v>
      </c>
      <c r="X3934">
        <v>5</v>
      </c>
      <c r="Y3934" t="s">
        <v>22907</v>
      </c>
      <c r="Z3934" t="s">
        <v>29252</v>
      </c>
      <c r="AA3934">
        <v>0.59824221600359484</v>
      </c>
      <c r="AB3934" t="str">
        <f>HYPERLINK("Melting_Curves/meltCurve_Q6BCY4_2_CYB5R2.pdf", "Melting_Curves/meltCurve_Q6BCY4_2_CYB5R2.pdf")</f>
        <v>Melting_Curves/meltCurve_Q6BCY4_2_CYB5R2.pdf</v>
      </c>
    </row>
    <row r="3935" spans="1:28" x14ac:dyDescent="0.25">
      <c r="A3935" t="s">
        <v>3939</v>
      </c>
      <c r="B3935">
        <v>0.99542014353169495</v>
      </c>
      <c r="C3935">
        <v>0.93657703553117</v>
      </c>
      <c r="D3935">
        <v>1.0604580003825099</v>
      </c>
      <c r="E3935">
        <v>0.76300750852843502</v>
      </c>
      <c r="F3935">
        <v>0.68258225264674699</v>
      </c>
      <c r="G3935">
        <v>0.344089567677554</v>
      </c>
      <c r="H3935">
        <v>0.20325360135908699</v>
      </c>
      <c r="I3935">
        <v>7.81259916047084E-2</v>
      </c>
      <c r="J3935">
        <v>5.9280887633087802E-2</v>
      </c>
      <c r="K3935">
        <v>6.3005855461581994E-2</v>
      </c>
      <c r="L3935">
        <v>807.541190094233</v>
      </c>
      <c r="M3935">
        <v>15.596714189110999</v>
      </c>
      <c r="N3935">
        <v>51.885735686165901</v>
      </c>
      <c r="O3935">
        <v>50.947602822893998</v>
      </c>
      <c r="P3935">
        <v>-7.5302039919941E-2</v>
      </c>
      <c r="Q3935">
        <v>1.6170765788021901E-2</v>
      </c>
      <c r="R3935">
        <v>0.983217572110473</v>
      </c>
      <c r="S3935" t="s">
        <v>10337</v>
      </c>
      <c r="T3935" t="s">
        <v>12802</v>
      </c>
      <c r="U3935" t="s">
        <v>12802</v>
      </c>
      <c r="V3935" t="s">
        <v>12802</v>
      </c>
      <c r="W3935" t="s">
        <v>16680</v>
      </c>
      <c r="X3935">
        <v>7</v>
      </c>
      <c r="Y3935" t="s">
        <v>22908</v>
      </c>
      <c r="Z3935" t="s">
        <v>29253</v>
      </c>
      <c r="AA3935">
        <v>0.51893369626421249</v>
      </c>
      <c r="AB3935" t="str">
        <f>HYPERLINK("Melting_Curves/meltCurve_Q6BDS2_UHRF1BP1.pdf", "Melting_Curves/meltCurve_Q6BDS2_UHRF1BP1.pdf")</f>
        <v>Melting_Curves/meltCurve_Q6BDS2_UHRF1BP1.pdf</v>
      </c>
    </row>
    <row r="3936" spans="1:28" x14ac:dyDescent="0.25">
      <c r="A3936" t="s">
        <v>3940</v>
      </c>
      <c r="B3936">
        <v>0.99542014353169495</v>
      </c>
      <c r="C3936">
        <v>1.0180110860043099</v>
      </c>
      <c r="D3936">
        <v>0.99473801460327604</v>
      </c>
      <c r="E3936">
        <v>0.88717744969316903</v>
      </c>
      <c r="F3936">
        <v>0.70103344253654898</v>
      </c>
      <c r="G3936">
        <v>0.55604841181226905</v>
      </c>
      <c r="H3936">
        <v>0.292435672157143</v>
      </c>
      <c r="I3936">
        <v>0.21244743791703599</v>
      </c>
      <c r="J3936">
        <v>0.276892611634661</v>
      </c>
      <c r="K3936">
        <v>0.42849995139927699</v>
      </c>
      <c r="L3936">
        <v>1044.4111361677301</v>
      </c>
      <c r="M3936">
        <v>20.401565275226901</v>
      </c>
      <c r="N3936">
        <v>53.4404058754996</v>
      </c>
      <c r="O3936">
        <v>50.708463472420803</v>
      </c>
      <c r="P3936">
        <v>-7.1615508599578201E-2</v>
      </c>
      <c r="Q3936">
        <v>0.28801483531412603</v>
      </c>
      <c r="R3936">
        <v>0.95725485818908795</v>
      </c>
      <c r="S3936" t="s">
        <v>10338</v>
      </c>
      <c r="T3936" t="s">
        <v>12802</v>
      </c>
      <c r="U3936" t="s">
        <v>12802</v>
      </c>
      <c r="V3936" t="s">
        <v>12802</v>
      </c>
      <c r="W3936" t="s">
        <v>16681</v>
      </c>
      <c r="X3936">
        <v>7</v>
      </c>
      <c r="Y3936" t="s">
        <v>22909</v>
      </c>
      <c r="Z3936" t="s">
        <v>29254</v>
      </c>
      <c r="AA3936">
        <v>0.63384977772193807</v>
      </c>
      <c r="AB3936" t="str">
        <f>HYPERLINK("Melting_Curves/meltCurve_Q6DD87_ZNF787.pdf", "Melting_Curves/meltCurve_Q6DD87_ZNF787.pdf")</f>
        <v>Melting_Curves/meltCurve_Q6DD87_ZNF787.pdf</v>
      </c>
    </row>
    <row r="3937" spans="1:28" x14ac:dyDescent="0.25">
      <c r="A3937" t="s">
        <v>3941</v>
      </c>
      <c r="B3937">
        <v>0.99542014353169495</v>
      </c>
      <c r="C3937">
        <v>1.0153297095697</v>
      </c>
      <c r="D3937">
        <v>1.02456663030335</v>
      </c>
      <c r="E3937">
        <v>0.94606664704838905</v>
      </c>
      <c r="F3937">
        <v>0.73629492416323805</v>
      </c>
      <c r="G3937">
        <v>0.20041906038784499</v>
      </c>
      <c r="H3937">
        <v>0.10448347310933299</v>
      </c>
      <c r="I3937">
        <v>7.2540793515813703E-2</v>
      </c>
      <c r="J3937">
        <v>7.6708457534093694E-2</v>
      </c>
      <c r="K3937">
        <v>9.4848658444574005E-2</v>
      </c>
      <c r="L3937">
        <v>2030.91161755384</v>
      </c>
      <c r="M3937">
        <v>39.584658564625201</v>
      </c>
      <c r="N3937">
        <v>51.538350526278897</v>
      </c>
      <c r="O3937">
        <v>51.175087200056403</v>
      </c>
      <c r="P3937">
        <v>-0.177545353381906</v>
      </c>
      <c r="Q3937">
        <v>8.1878346467758698E-2</v>
      </c>
      <c r="R3937">
        <v>0.99845566972710598</v>
      </c>
      <c r="S3937" t="s">
        <v>10339</v>
      </c>
      <c r="T3937" t="s">
        <v>12802</v>
      </c>
      <c r="U3937" t="s">
        <v>12802</v>
      </c>
      <c r="V3937" t="s">
        <v>12802</v>
      </c>
      <c r="W3937" t="s">
        <v>16682</v>
      </c>
      <c r="X3937">
        <v>18</v>
      </c>
      <c r="Y3937" t="s">
        <v>22910</v>
      </c>
      <c r="Z3937" t="s">
        <v>29255</v>
      </c>
      <c r="AA3937">
        <v>0.52300482985456187</v>
      </c>
      <c r="AB3937" t="str">
        <f>HYPERLINK("Melting_Curves/meltCurve_Q6DD88_ATL3.pdf", "Melting_Curves/meltCurve_Q6DD88_ATL3.pdf")</f>
        <v>Melting_Curves/meltCurve_Q6DD88_ATL3.pdf</v>
      </c>
    </row>
    <row r="3938" spans="1:28" x14ac:dyDescent="0.25">
      <c r="A3938" t="s">
        <v>3942</v>
      </c>
      <c r="B3938">
        <v>0.99542014353169495</v>
      </c>
      <c r="C3938">
        <v>0.98313640668414903</v>
      </c>
      <c r="D3938">
        <v>0.92996956990983404</v>
      </c>
      <c r="E3938">
        <v>0.913004564088438</v>
      </c>
      <c r="F3938">
        <v>0.78561500428648001</v>
      </c>
      <c r="G3938">
        <v>0.66263215476151505</v>
      </c>
      <c r="H3938">
        <v>0.51185916982701696</v>
      </c>
      <c r="I3938">
        <v>0.45236981597509501</v>
      </c>
      <c r="J3938">
        <v>0.56352638462013604</v>
      </c>
      <c r="K3938">
        <v>0.31289106732218602</v>
      </c>
      <c r="L3938">
        <v>575.31956548461903</v>
      </c>
      <c r="M3938">
        <v>10.7276343924351</v>
      </c>
      <c r="N3938">
        <v>59.597403599896097</v>
      </c>
      <c r="O3938">
        <v>51.866895657827001</v>
      </c>
      <c r="P3938">
        <v>-3.46975157041743E-2</v>
      </c>
      <c r="Q3938">
        <v>0.32921516938172601</v>
      </c>
      <c r="R3938">
        <v>0.94599781666825</v>
      </c>
      <c r="S3938" t="s">
        <v>10340</v>
      </c>
      <c r="T3938" t="s">
        <v>12802</v>
      </c>
      <c r="U3938" t="s">
        <v>12802</v>
      </c>
      <c r="V3938" t="s">
        <v>12802</v>
      </c>
      <c r="W3938" t="s">
        <v>16683</v>
      </c>
      <c r="X3938">
        <v>9</v>
      </c>
      <c r="Y3938" t="s">
        <v>22911</v>
      </c>
      <c r="Z3938" t="s">
        <v>29256</v>
      </c>
      <c r="AA3938">
        <v>0.71414399302637799</v>
      </c>
      <c r="AB3938" t="str">
        <f>HYPERLINK("Melting_Curves/meltCurve_Q6DHV7_ADAL.pdf", "Melting_Curves/meltCurve_Q6DHV7_ADAL.pdf")</f>
        <v>Melting_Curves/meltCurve_Q6DHV7_ADAL.pdf</v>
      </c>
    </row>
    <row r="3939" spans="1:28" x14ac:dyDescent="0.25">
      <c r="A3939" t="s">
        <v>3943</v>
      </c>
      <c r="B3939">
        <v>0.99542014353169495</v>
      </c>
      <c r="C3939">
        <v>1.0326114331840299</v>
      </c>
      <c r="D3939">
        <v>0.90642446383869502</v>
      </c>
      <c r="E3939">
        <v>0.85731994725618299</v>
      </c>
      <c r="F3939">
        <v>0.69772415692705603</v>
      </c>
      <c r="G3939">
        <v>0.36322287401364201</v>
      </c>
      <c r="H3939">
        <v>0.215326530420756</v>
      </c>
      <c r="I3939">
        <v>0.140942895474023</v>
      </c>
      <c r="J3939">
        <v>0.20126773440493401</v>
      </c>
      <c r="K3939">
        <v>0.182601187604888</v>
      </c>
      <c r="L3939">
        <v>1021.36617699404</v>
      </c>
      <c r="M3939">
        <v>19.9856675900817</v>
      </c>
      <c r="N3939">
        <v>52.043521775131602</v>
      </c>
      <c r="O3939">
        <v>50.601533450297097</v>
      </c>
      <c r="P3939">
        <v>-8.3802379655142006E-2</v>
      </c>
      <c r="Q3939">
        <v>0.151313770192258</v>
      </c>
      <c r="R3939">
        <v>0.98829989434051702</v>
      </c>
      <c r="S3939" t="s">
        <v>10341</v>
      </c>
      <c r="T3939" t="s">
        <v>12802</v>
      </c>
      <c r="U3939" t="s">
        <v>12802</v>
      </c>
      <c r="V3939" t="s">
        <v>12802</v>
      </c>
      <c r="W3939" t="s">
        <v>16684</v>
      </c>
      <c r="X3939">
        <v>5</v>
      </c>
      <c r="Y3939" t="s">
        <v>22912</v>
      </c>
      <c r="Z3939" t="s">
        <v>29257</v>
      </c>
      <c r="AA3939">
        <v>0.56144924224162718</v>
      </c>
      <c r="AB3939" t="str">
        <f>HYPERLINK("Melting_Curves/meltCurve_Q6DKK2_TTC19.pdf", "Melting_Curves/meltCurve_Q6DKK2_TTC19.pdf")</f>
        <v>Melting_Curves/meltCurve_Q6DKK2_TTC19.pdf</v>
      </c>
    </row>
    <row r="3940" spans="1:28" x14ac:dyDescent="0.25">
      <c r="A3940" t="s">
        <v>3944</v>
      </c>
      <c r="B3940">
        <v>0.99542014353169495</v>
      </c>
      <c r="C3940">
        <v>0.95418412434246302</v>
      </c>
      <c r="D3940">
        <v>0.909739268062283</v>
      </c>
      <c r="E3940">
        <v>0.618944160593351</v>
      </c>
      <c r="F3940">
        <v>0.48812379856194699</v>
      </c>
      <c r="G3940">
        <v>0.29378274697269502</v>
      </c>
      <c r="H3940">
        <v>0.35397452145031899</v>
      </c>
      <c r="I3940">
        <v>0.13693080014572701</v>
      </c>
      <c r="J3940">
        <v>0.13420451553759699</v>
      </c>
      <c r="K3940">
        <v>0.14549015319067701</v>
      </c>
      <c r="L3940">
        <v>598.61432215858702</v>
      </c>
      <c r="M3940">
        <v>12.291971811315401</v>
      </c>
      <c r="N3940">
        <v>49.779767720117199</v>
      </c>
      <c r="O3940">
        <v>47.464494953594503</v>
      </c>
      <c r="P3940">
        <v>-5.7177031737744799E-2</v>
      </c>
      <c r="Q3940">
        <v>0.117055228428231</v>
      </c>
      <c r="R3940">
        <v>0.97710407544725197</v>
      </c>
      <c r="S3940" t="s">
        <v>10342</v>
      </c>
      <c r="T3940" t="s">
        <v>12802</v>
      </c>
      <c r="U3940" t="s">
        <v>12802</v>
      </c>
      <c r="V3940" t="s">
        <v>12802</v>
      </c>
      <c r="W3940" t="s">
        <v>16685</v>
      </c>
      <c r="X3940">
        <v>3</v>
      </c>
      <c r="Y3940" t="s">
        <v>22913</v>
      </c>
      <c r="Z3940" t="s">
        <v>29258</v>
      </c>
      <c r="AA3940">
        <v>0.48719268936094812</v>
      </c>
      <c r="AB3940" t="str">
        <f>HYPERLINK("Melting_Curves/meltCurve_Q6DT37_CDC42BPG.pdf", "Melting_Curves/meltCurve_Q6DT37_CDC42BPG.pdf")</f>
        <v>Melting_Curves/meltCurve_Q6DT37_CDC42BPG.pdf</v>
      </c>
    </row>
    <row r="3941" spans="1:28" x14ac:dyDescent="0.25">
      <c r="A3941" t="s">
        <v>3945</v>
      </c>
      <c r="B3941">
        <v>0.99542014353169495</v>
      </c>
      <c r="C3941">
        <v>1.0684276309263401</v>
      </c>
      <c r="D3941">
        <v>1.03388706770479</v>
      </c>
      <c r="E3941">
        <v>1.02363077314785</v>
      </c>
      <c r="F3941">
        <v>0.86150649427227799</v>
      </c>
      <c r="G3941">
        <v>0.74987299863394596</v>
      </c>
      <c r="H3941">
        <v>0.65139345081034805</v>
      </c>
      <c r="I3941">
        <v>0.64598314678514701</v>
      </c>
      <c r="J3941">
        <v>1.0124762505528599</v>
      </c>
      <c r="K3941">
        <v>1.19596323120571</v>
      </c>
      <c r="L3941">
        <v>12419.8800175001</v>
      </c>
      <c r="M3941">
        <v>250</v>
      </c>
      <c r="O3941">
        <v>49.676341034185903</v>
      </c>
      <c r="P3941">
        <v>-0.18729009760643001</v>
      </c>
      <c r="Q3941">
        <v>0.851137812369549</v>
      </c>
      <c r="R3941">
        <v>0.22815050408301599</v>
      </c>
      <c r="S3941" t="s">
        <v>10343</v>
      </c>
      <c r="T3941" t="s">
        <v>12802</v>
      </c>
      <c r="U3941" t="s">
        <v>12802</v>
      </c>
      <c r="V3941" t="s">
        <v>12802</v>
      </c>
      <c r="W3941" t="s">
        <v>16686</v>
      </c>
      <c r="X3941">
        <v>3</v>
      </c>
      <c r="Y3941" t="s">
        <v>22914</v>
      </c>
      <c r="Z3941" t="s">
        <v>29259</v>
      </c>
      <c r="AA3941">
        <v>0.91406749437584633</v>
      </c>
      <c r="AB3941" t="str">
        <f>HYPERLINK("Melting_Curves/meltCurve_Q6EEV4_2_POLR2M.pdf", "Melting_Curves/meltCurve_Q6EEV4_2_POLR2M.pdf")</f>
        <v>Melting_Curves/meltCurve_Q6EEV4_2_POLR2M.pdf</v>
      </c>
    </row>
    <row r="3942" spans="1:28" x14ac:dyDescent="0.25">
      <c r="A3942" t="s">
        <v>3946</v>
      </c>
      <c r="B3942">
        <v>0.99542014353169495</v>
      </c>
      <c r="C3942">
        <v>1.27828499422535</v>
      </c>
      <c r="D3942">
        <v>1.1378759401693399</v>
      </c>
      <c r="E3942">
        <v>1.04791910365834</v>
      </c>
      <c r="F3942">
        <v>0.78504064535943896</v>
      </c>
      <c r="G3942">
        <v>0.60327918251881496</v>
      </c>
      <c r="H3942">
        <v>0.49117832354759899</v>
      </c>
      <c r="I3942">
        <v>0.31446052713243999</v>
      </c>
      <c r="J3942">
        <v>0.25657904168018503</v>
      </c>
      <c r="K3942">
        <v>0.15984371133095401</v>
      </c>
      <c r="L3942">
        <v>875.07772781905896</v>
      </c>
      <c r="M3942">
        <v>15.933180364626001</v>
      </c>
      <c r="N3942">
        <v>56.266046641996802</v>
      </c>
      <c r="O3942">
        <v>54.078417824786797</v>
      </c>
      <c r="P3942">
        <v>-6.2002466611194899E-2</v>
      </c>
      <c r="Q3942">
        <v>0.15830288809333601</v>
      </c>
      <c r="R3942">
        <v>0.91596501593827295</v>
      </c>
      <c r="S3942" t="s">
        <v>10344</v>
      </c>
      <c r="T3942" t="s">
        <v>12802</v>
      </c>
      <c r="U3942" t="s">
        <v>12802</v>
      </c>
      <c r="V3942" t="s">
        <v>12802</v>
      </c>
      <c r="W3942" t="s">
        <v>16687</v>
      </c>
      <c r="X3942">
        <v>2</v>
      </c>
      <c r="Y3942" t="s">
        <v>22915</v>
      </c>
      <c r="Z3942" t="s">
        <v>29260</v>
      </c>
      <c r="AA3942">
        <v>0.6727894150230096</v>
      </c>
      <c r="AB3942" t="str">
        <f>HYPERLINK("Melting_Curves/meltCurve_Q6EMK4_VASN.pdf", "Melting_Curves/meltCurve_Q6EMK4_VASN.pdf")</f>
        <v>Melting_Curves/meltCurve_Q6EMK4_VASN.pdf</v>
      </c>
    </row>
    <row r="3943" spans="1:28" x14ac:dyDescent="0.25">
      <c r="A3943" t="s">
        <v>3947</v>
      </c>
      <c r="B3943">
        <v>0.99542014353169495</v>
      </c>
      <c r="C3943">
        <v>1.0509347379760401</v>
      </c>
      <c r="D3943">
        <v>1.08375417886343</v>
      </c>
      <c r="E3943">
        <v>1.0126866551762299</v>
      </c>
      <c r="F3943">
        <v>0.69692264181818298</v>
      </c>
      <c r="G3943">
        <v>0.27138382277946399</v>
      </c>
      <c r="H3943">
        <v>0.108805784977869</v>
      </c>
      <c r="I3943">
        <v>7.3837808932158105E-2</v>
      </c>
      <c r="J3943">
        <v>7.5147487192912907E-2</v>
      </c>
      <c r="K3943">
        <v>9.1874712041808707E-2</v>
      </c>
      <c r="L3943">
        <v>1674.2711877572101</v>
      </c>
      <c r="M3943">
        <v>32.5558416020123</v>
      </c>
      <c r="N3943">
        <v>51.704762662253302</v>
      </c>
      <c r="O3943">
        <v>51.234797232251097</v>
      </c>
      <c r="P3943">
        <v>-0.146140457812138</v>
      </c>
      <c r="Q3943">
        <v>8.0049400884293298E-2</v>
      </c>
      <c r="R3943">
        <v>0.99339425154405803</v>
      </c>
      <c r="S3943" t="s">
        <v>10345</v>
      </c>
      <c r="T3943" t="s">
        <v>12802</v>
      </c>
      <c r="U3943" t="s">
        <v>12802</v>
      </c>
      <c r="V3943" t="s">
        <v>12802</v>
      </c>
      <c r="W3943" t="s">
        <v>16688</v>
      </c>
      <c r="X3943">
        <v>17</v>
      </c>
      <c r="Y3943" t="s">
        <v>22916</v>
      </c>
      <c r="Z3943" t="s">
        <v>29261</v>
      </c>
      <c r="AA3943">
        <v>0.52738884000737074</v>
      </c>
      <c r="AB3943" t="str">
        <f>HYPERLINK("Melting_Curves/meltCurve_Q6FI81_CIAPIN1.pdf", "Melting_Curves/meltCurve_Q6FI81_CIAPIN1.pdf")</f>
        <v>Melting_Curves/meltCurve_Q6FI81_CIAPIN1.pdf</v>
      </c>
    </row>
    <row r="3944" spans="1:28" x14ac:dyDescent="0.25">
      <c r="A3944" t="s">
        <v>3948</v>
      </c>
      <c r="B3944">
        <v>0.99542014353169495</v>
      </c>
      <c r="C3944">
        <v>1.0910879277536401</v>
      </c>
      <c r="D3944">
        <v>1.0444748504918799</v>
      </c>
      <c r="E3944">
        <v>0.96252804746856202</v>
      </c>
      <c r="F3944">
        <v>0.79317813294996797</v>
      </c>
      <c r="G3944">
        <v>0.621306283273383</v>
      </c>
      <c r="H3944">
        <v>0.472736681407881</v>
      </c>
      <c r="I3944">
        <v>0.47408335717689098</v>
      </c>
      <c r="J3944">
        <v>0.77884623583291801</v>
      </c>
      <c r="K3944">
        <v>1.0218945178761301</v>
      </c>
      <c r="L3944">
        <v>3199.1843862825799</v>
      </c>
      <c r="M3944">
        <v>64.329362594065898</v>
      </c>
      <c r="O3944">
        <v>49.683332629328802</v>
      </c>
      <c r="P3944">
        <v>-0.105601276071507</v>
      </c>
      <c r="Q3944">
        <v>0.67376504952724903</v>
      </c>
      <c r="R3944">
        <v>0.54381100793361303</v>
      </c>
      <c r="S3944" t="s">
        <v>10346</v>
      </c>
      <c r="T3944" t="s">
        <v>12802</v>
      </c>
      <c r="U3944" t="s">
        <v>12802</v>
      </c>
      <c r="V3944" t="s">
        <v>12802</v>
      </c>
      <c r="W3944" t="s">
        <v>16689</v>
      </c>
      <c r="X3944">
        <v>8</v>
      </c>
      <c r="Y3944" t="s">
        <v>22917</v>
      </c>
      <c r="Z3944" t="s">
        <v>29262</v>
      </c>
      <c r="AA3944">
        <v>0.81264319042321709</v>
      </c>
      <c r="AB3944" t="str">
        <f>HYPERLINK("Melting_Curves/meltCurve_Q6FIF0_2_ZFAND6.pdf", "Melting_Curves/meltCurve_Q6FIF0_2_ZFAND6.pdf")</f>
        <v>Melting_Curves/meltCurve_Q6FIF0_2_ZFAND6.pdf</v>
      </c>
    </row>
    <row r="3945" spans="1:28" x14ac:dyDescent="0.25">
      <c r="A3945" t="s">
        <v>3949</v>
      </c>
      <c r="B3945">
        <v>0.99542014353169495</v>
      </c>
      <c r="C3945">
        <v>0.95924168954871603</v>
      </c>
      <c r="D3945">
        <v>0.91797553186567604</v>
      </c>
      <c r="E3945">
        <v>0.88488463973156595</v>
      </c>
      <c r="F3945">
        <v>0.71436655344866895</v>
      </c>
      <c r="G3945">
        <v>0.50359381172709905</v>
      </c>
      <c r="H3945">
        <v>0.14397658361862301</v>
      </c>
      <c r="I3945">
        <v>8.5915106907044403E-2</v>
      </c>
      <c r="J3945">
        <v>9.9551090858948699E-2</v>
      </c>
      <c r="K3945">
        <v>0.117804432192524</v>
      </c>
      <c r="L3945">
        <v>950.516712343981</v>
      </c>
      <c r="M3945">
        <v>18.0692342639842</v>
      </c>
      <c r="N3945">
        <v>52.914703959526904</v>
      </c>
      <c r="O3945">
        <v>51.972541007385601</v>
      </c>
      <c r="P3945">
        <v>-8.2548494094275504E-2</v>
      </c>
      <c r="Q3945">
        <v>5.0309180861886897E-2</v>
      </c>
      <c r="R3945">
        <v>0.98442650742696403</v>
      </c>
      <c r="S3945" t="s">
        <v>10347</v>
      </c>
      <c r="T3945" t="s">
        <v>12802</v>
      </c>
      <c r="U3945" t="s">
        <v>12802</v>
      </c>
      <c r="V3945" t="s">
        <v>12802</v>
      </c>
      <c r="W3945" t="s">
        <v>16690</v>
      </c>
      <c r="X3945">
        <v>9</v>
      </c>
      <c r="Y3945" t="s">
        <v>22918</v>
      </c>
      <c r="Z3945" t="s">
        <v>29263</v>
      </c>
      <c r="AA3945">
        <v>0.5582597253335525</v>
      </c>
      <c r="AB3945" t="str">
        <f>HYPERLINK("Melting_Curves/meltCurve_Q6GMV2_SMYD5.pdf", "Melting_Curves/meltCurve_Q6GMV2_SMYD5.pdf")</f>
        <v>Melting_Curves/meltCurve_Q6GMV2_SMYD5.pdf</v>
      </c>
    </row>
    <row r="3946" spans="1:28" x14ac:dyDescent="0.25">
      <c r="A3946" t="s">
        <v>3950</v>
      </c>
      <c r="B3946">
        <v>0.99542014353169495</v>
      </c>
      <c r="C3946">
        <v>1.0251152475374199</v>
      </c>
      <c r="D3946">
        <v>1.08291619702646</v>
      </c>
      <c r="E3946">
        <v>1.03796093630687</v>
      </c>
      <c r="F3946">
        <v>0.80934072307460503</v>
      </c>
      <c r="G3946">
        <v>0.68790271964573901</v>
      </c>
      <c r="H3946">
        <v>0.50709635845411904</v>
      </c>
      <c r="I3946">
        <v>0.39710409439104799</v>
      </c>
      <c r="J3946">
        <v>0.42928794573685802</v>
      </c>
      <c r="K3946">
        <v>0.35644262746102201</v>
      </c>
      <c r="L3946">
        <v>1064.2025321705601</v>
      </c>
      <c r="M3946">
        <v>19.888946652796601</v>
      </c>
      <c r="N3946">
        <v>57.380721948919899</v>
      </c>
      <c r="O3946">
        <v>52.975115179345401</v>
      </c>
      <c r="P3946">
        <v>-5.9188241051052803E-2</v>
      </c>
      <c r="Q3946">
        <v>0.36941867799753902</v>
      </c>
      <c r="R3946">
        <v>0.97501397316622196</v>
      </c>
      <c r="S3946" t="s">
        <v>10348</v>
      </c>
      <c r="T3946" t="s">
        <v>12802</v>
      </c>
      <c r="U3946" t="s">
        <v>12802</v>
      </c>
      <c r="V3946" t="s">
        <v>12802</v>
      </c>
      <c r="W3946" t="s">
        <v>16691</v>
      </c>
      <c r="X3946">
        <v>6</v>
      </c>
      <c r="Y3946" t="s">
        <v>22919</v>
      </c>
      <c r="Z3946" t="s">
        <v>29264</v>
      </c>
      <c r="AA3946">
        <v>0.72424877951380806</v>
      </c>
      <c r="AB3946" t="str">
        <f>HYPERLINK("Melting_Curves/meltCurve_Q6GMV3_PTRHD1.pdf", "Melting_Curves/meltCurve_Q6GMV3_PTRHD1.pdf")</f>
        <v>Melting_Curves/meltCurve_Q6GMV3_PTRHD1.pdf</v>
      </c>
    </row>
    <row r="3947" spans="1:28" x14ac:dyDescent="0.25">
      <c r="A3947" t="s">
        <v>3951</v>
      </c>
      <c r="B3947">
        <v>0.99542014353169495</v>
      </c>
      <c r="C3947">
        <v>1.0237635394540801</v>
      </c>
      <c r="D3947">
        <v>0.99536140477380597</v>
      </c>
      <c r="E3947">
        <v>0.732621843725349</v>
      </c>
      <c r="F3947">
        <v>0.33627945381734597</v>
      </c>
      <c r="G3947">
        <v>0.18124546618536899</v>
      </c>
      <c r="H3947">
        <v>9.7214870643064194E-2</v>
      </c>
      <c r="I3947">
        <v>6.4549401949746801E-2</v>
      </c>
      <c r="J3947">
        <v>7.9414274982045299E-2</v>
      </c>
      <c r="K3947">
        <v>6.16999628831802E-2</v>
      </c>
      <c r="L3947">
        <v>1183.3089221801799</v>
      </c>
      <c r="M3947">
        <v>24.443192591288501</v>
      </c>
      <c r="N3947">
        <v>48.7302010882497</v>
      </c>
      <c r="O3947">
        <v>48.0900564690685</v>
      </c>
      <c r="P3947">
        <v>-0.117659925674565</v>
      </c>
      <c r="Q3947">
        <v>7.40674180945953E-2</v>
      </c>
      <c r="R3947">
        <v>0.997622735060819</v>
      </c>
      <c r="S3947" t="s">
        <v>10349</v>
      </c>
      <c r="T3947" t="s">
        <v>12802</v>
      </c>
      <c r="U3947" t="s">
        <v>12802</v>
      </c>
      <c r="V3947" t="s">
        <v>12802</v>
      </c>
      <c r="W3947" t="s">
        <v>16692</v>
      </c>
      <c r="X3947">
        <v>9</v>
      </c>
      <c r="Y3947" t="s">
        <v>22920</v>
      </c>
      <c r="Z3947" t="s">
        <v>29265</v>
      </c>
      <c r="AA3947">
        <v>0.43454356212933998</v>
      </c>
      <c r="AB3947" t="str">
        <f>HYPERLINK("Melting_Curves/meltCurve_Q6GQQ9_OTUD7B.pdf", "Melting_Curves/meltCurve_Q6GQQ9_OTUD7B.pdf")</f>
        <v>Melting_Curves/meltCurve_Q6GQQ9_OTUD7B.pdf</v>
      </c>
    </row>
    <row r="3948" spans="1:28" x14ac:dyDescent="0.25">
      <c r="A3948" t="s">
        <v>3952</v>
      </c>
      <c r="B3948">
        <v>0.99542014353169495</v>
      </c>
      <c r="C3948">
        <v>0.72580948628926001</v>
      </c>
      <c r="D3948">
        <v>0.559660004264667</v>
      </c>
      <c r="E3948">
        <v>0.51793334312636996</v>
      </c>
      <c r="F3948">
        <v>0.30610631772971197</v>
      </c>
      <c r="G3948">
        <v>0.13963653855618599</v>
      </c>
      <c r="H3948">
        <v>6.4501129533303406E-2</v>
      </c>
      <c r="I3948">
        <v>4.7337079458328997E-2</v>
      </c>
      <c r="J3948">
        <v>7.2080519639326102E-2</v>
      </c>
      <c r="K3948">
        <v>9.4134508433599801E-2</v>
      </c>
      <c r="L3948">
        <v>448.95147592868898</v>
      </c>
      <c r="M3948">
        <v>9.9352842266637698</v>
      </c>
      <c r="N3948">
        <v>45.259205244615302</v>
      </c>
      <c r="O3948">
        <v>43.471240851267702</v>
      </c>
      <c r="P3948">
        <v>-5.6719724044840297E-2</v>
      </c>
      <c r="Q3948">
        <v>7.7996996034495197E-3</v>
      </c>
      <c r="R3948">
        <v>0.96613515079825196</v>
      </c>
      <c r="S3948" t="s">
        <v>10350</v>
      </c>
      <c r="T3948" t="s">
        <v>12802</v>
      </c>
      <c r="U3948" t="s">
        <v>12802</v>
      </c>
      <c r="V3948" t="s">
        <v>12802</v>
      </c>
      <c r="W3948" t="s">
        <v>16693</v>
      </c>
      <c r="X3948">
        <v>7</v>
      </c>
      <c r="Y3948" t="s">
        <v>22921</v>
      </c>
      <c r="Z3948" t="s">
        <v>29266</v>
      </c>
      <c r="AA3948">
        <v>0.32763524312638559</v>
      </c>
      <c r="AB3948" t="str">
        <f>HYPERLINK("Melting_Curves/meltCurve_Q6I9Y2_THOC7.pdf", "Melting_Curves/meltCurve_Q6I9Y2_THOC7.pdf")</f>
        <v>Melting_Curves/meltCurve_Q6I9Y2_THOC7.pdf</v>
      </c>
    </row>
    <row r="3949" spans="1:28" x14ac:dyDescent="0.25">
      <c r="A3949" t="s">
        <v>3953</v>
      </c>
      <c r="B3949">
        <v>0.99542014353169495</v>
      </c>
      <c r="C3949">
        <v>0.72027241438800804</v>
      </c>
      <c r="D3949">
        <v>0.72120435861156595</v>
      </c>
      <c r="E3949">
        <v>0.61696852397783197</v>
      </c>
      <c r="F3949">
        <v>0.59222503259745096</v>
      </c>
      <c r="G3949">
        <v>0.29205327521478602</v>
      </c>
      <c r="H3949">
        <v>0.33750333082490802</v>
      </c>
      <c r="I3949">
        <v>0.39315879705182799</v>
      </c>
      <c r="J3949">
        <v>0.207584594881877</v>
      </c>
      <c r="K3949">
        <v>0.112815706911724</v>
      </c>
      <c r="L3949">
        <v>294.94233639426</v>
      </c>
      <c r="M3949">
        <v>5.8563061102635796</v>
      </c>
      <c r="N3949">
        <v>50.363203285409</v>
      </c>
      <c r="O3949">
        <v>45.424487781713601</v>
      </c>
      <c r="P3949">
        <v>-3.2344776212564298E-2</v>
      </c>
      <c r="Q3949">
        <v>0</v>
      </c>
      <c r="R3949">
        <v>0.90481648750608101</v>
      </c>
      <c r="S3949" t="s">
        <v>10351</v>
      </c>
      <c r="T3949" t="s">
        <v>12802</v>
      </c>
      <c r="U3949" t="s">
        <v>12802</v>
      </c>
      <c r="V3949" t="s">
        <v>12802</v>
      </c>
      <c r="W3949" t="s">
        <v>16694</v>
      </c>
      <c r="X3949">
        <v>3</v>
      </c>
      <c r="Y3949" t="s">
        <v>22922</v>
      </c>
      <c r="Z3949" t="s">
        <v>29267</v>
      </c>
      <c r="AA3949">
        <v>0.49031767684999228</v>
      </c>
      <c r="AB3949" t="str">
        <f>HYPERLINK("Melting_Curves/meltCurve_Q6IA69_NADSYN1.pdf", "Melting_Curves/meltCurve_Q6IA69_NADSYN1.pdf")</f>
        <v>Melting_Curves/meltCurve_Q6IA69_NADSYN1.pdf</v>
      </c>
    </row>
    <row r="3950" spans="1:28" x14ac:dyDescent="0.25">
      <c r="A3950" t="s">
        <v>3954</v>
      </c>
      <c r="B3950">
        <v>0.99542014353169495</v>
      </c>
      <c r="C3950">
        <v>0.94425165931502197</v>
      </c>
      <c r="D3950">
        <v>0.88818012648535904</v>
      </c>
      <c r="E3950">
        <v>0.71408529027676204</v>
      </c>
      <c r="F3950">
        <v>0.49072411689703499</v>
      </c>
      <c r="G3950">
        <v>0.224857000833009</v>
      </c>
      <c r="H3950">
        <v>0.133916949769781</v>
      </c>
      <c r="I3950">
        <v>9.2063335018976997E-2</v>
      </c>
      <c r="J3950">
        <v>5.0254257902210199E-2</v>
      </c>
      <c r="K3950">
        <v>5.4068295869176899E-2</v>
      </c>
      <c r="L3950">
        <v>707.75343611717506</v>
      </c>
      <c r="M3950">
        <v>14.301656042619401</v>
      </c>
      <c r="N3950">
        <v>49.6304390112007</v>
      </c>
      <c r="O3950">
        <v>48.5501274973184</v>
      </c>
      <c r="P3950">
        <v>-7.21667914621065E-2</v>
      </c>
      <c r="Q3950">
        <v>2.0174899799020402E-2</v>
      </c>
      <c r="R3950">
        <v>0.99788384783456996</v>
      </c>
      <c r="S3950" t="s">
        <v>10352</v>
      </c>
      <c r="T3950" t="s">
        <v>12802</v>
      </c>
      <c r="U3950" t="s">
        <v>12802</v>
      </c>
      <c r="V3950" t="s">
        <v>12802</v>
      </c>
      <c r="W3950" t="s">
        <v>16695</v>
      </c>
      <c r="X3950">
        <v>11</v>
      </c>
      <c r="Y3950" t="s">
        <v>22923</v>
      </c>
      <c r="Z3950" t="s">
        <v>29268</v>
      </c>
      <c r="AA3950">
        <v>0.4503556026857537</v>
      </c>
      <c r="AB3950" t="str">
        <f>HYPERLINK("Melting_Curves/meltCurve_Q6IA86_3_ELP2.pdf", "Melting_Curves/meltCurve_Q6IA86_3_ELP2.pdf")</f>
        <v>Melting_Curves/meltCurve_Q6IA86_3_ELP2.pdf</v>
      </c>
    </row>
    <row r="3951" spans="1:28" x14ac:dyDescent="0.25">
      <c r="A3951" t="s">
        <v>3955</v>
      </c>
      <c r="B3951">
        <v>0.99542014353169495</v>
      </c>
      <c r="C3951">
        <v>0.91125908468675199</v>
      </c>
      <c r="D3951">
        <v>0.93505259426217402</v>
      </c>
      <c r="E3951">
        <v>0.82633021570691301</v>
      </c>
      <c r="F3951">
        <v>0.69318602776674298</v>
      </c>
      <c r="G3951">
        <v>0.50695093007530201</v>
      </c>
      <c r="H3951">
        <v>0.347654592903406</v>
      </c>
      <c r="I3951">
        <v>0.22002166215757499</v>
      </c>
      <c r="J3951">
        <v>0.174193356426632</v>
      </c>
      <c r="K3951">
        <v>0.15055055847181401</v>
      </c>
      <c r="L3951">
        <v>548.23695593718298</v>
      </c>
      <c r="M3951">
        <v>10.216787500418199</v>
      </c>
      <c r="N3951">
        <v>53.873913338911997</v>
      </c>
      <c r="O3951">
        <v>51.726481787198601</v>
      </c>
      <c r="P3951">
        <v>-4.8420891412701797E-2</v>
      </c>
      <c r="Q3951">
        <v>1.9840390523524602E-2</v>
      </c>
      <c r="R3951">
        <v>0.99521926656845605</v>
      </c>
      <c r="S3951" t="s">
        <v>10353</v>
      </c>
      <c r="T3951" t="s">
        <v>12802</v>
      </c>
      <c r="U3951" t="s">
        <v>12802</v>
      </c>
      <c r="V3951" t="s">
        <v>12802</v>
      </c>
      <c r="W3951" t="s">
        <v>16696</v>
      </c>
      <c r="X3951">
        <v>6</v>
      </c>
      <c r="Y3951" t="s">
        <v>22924</v>
      </c>
      <c r="Z3951" t="s">
        <v>29269</v>
      </c>
      <c r="AA3951">
        <v>0.58313296678925153</v>
      </c>
      <c r="AB3951" t="str">
        <f>HYPERLINK("Melting_Curves/meltCurve_Q6IAA8_LAMTOR1.pdf", "Melting_Curves/meltCurve_Q6IAA8_LAMTOR1.pdf")</f>
        <v>Melting_Curves/meltCurve_Q6IAA8_LAMTOR1.pdf</v>
      </c>
    </row>
    <row r="3952" spans="1:28" x14ac:dyDescent="0.25">
      <c r="A3952" t="s">
        <v>3956</v>
      </c>
      <c r="B3952">
        <v>0.99542014353169495</v>
      </c>
      <c r="C3952">
        <v>0.93590062744564195</v>
      </c>
      <c r="D3952">
        <v>0.84575292011663605</v>
      </c>
      <c r="E3952">
        <v>0.75144263943756395</v>
      </c>
      <c r="F3952">
        <v>0.42537504294526801</v>
      </c>
      <c r="G3952">
        <v>0.14217003051001501</v>
      </c>
      <c r="H3952">
        <v>5.6607707681837503E-2</v>
      </c>
      <c r="I3952">
        <v>3.3098157130786801E-2</v>
      </c>
      <c r="J3952">
        <v>3.6833512098167001E-2</v>
      </c>
      <c r="K3952">
        <v>4.08231069231514E-2</v>
      </c>
      <c r="L3952">
        <v>843.80931965257605</v>
      </c>
      <c r="M3952">
        <v>17.211215124424001</v>
      </c>
      <c r="N3952">
        <v>49.054038536199499</v>
      </c>
      <c r="O3952">
        <v>48.379219327828999</v>
      </c>
      <c r="P3952">
        <v>-8.8520176264996003E-2</v>
      </c>
      <c r="Q3952">
        <v>4.7687199700244699E-3</v>
      </c>
      <c r="R3952">
        <v>0.99192774828726604</v>
      </c>
      <c r="S3952" t="s">
        <v>10354</v>
      </c>
      <c r="T3952" t="s">
        <v>12802</v>
      </c>
      <c r="U3952" t="s">
        <v>12802</v>
      </c>
      <c r="V3952" t="s">
        <v>12802</v>
      </c>
      <c r="W3952" t="s">
        <v>16697</v>
      </c>
      <c r="X3952">
        <v>3</v>
      </c>
      <c r="Y3952" t="s">
        <v>22925</v>
      </c>
      <c r="Z3952" t="s">
        <v>29270</v>
      </c>
      <c r="AA3952">
        <v>0.42083560422430488</v>
      </c>
      <c r="AB3952" t="str">
        <f>HYPERLINK("Melting_Curves/meltCurve_Q6IAN0_DHRS7B.pdf", "Melting_Curves/meltCurve_Q6IAN0_DHRS7B.pdf")</f>
        <v>Melting_Curves/meltCurve_Q6IAN0_DHRS7B.pdf</v>
      </c>
    </row>
    <row r="3953" spans="1:28" x14ac:dyDescent="0.25">
      <c r="A3953" t="s">
        <v>3957</v>
      </c>
      <c r="B3953">
        <v>0.99542014353169495</v>
      </c>
      <c r="C3953">
        <v>1.0177642943316501</v>
      </c>
      <c r="D3953">
        <v>0.98668084269438205</v>
      </c>
      <c r="E3953">
        <v>0.92891531919760095</v>
      </c>
      <c r="F3953">
        <v>0.605244707757432</v>
      </c>
      <c r="G3953">
        <v>0.28055542995795002</v>
      </c>
      <c r="H3953">
        <v>0.16078682692948801</v>
      </c>
      <c r="I3953">
        <v>7.4867365774752101E-2</v>
      </c>
      <c r="J3953">
        <v>0.32165974790799501</v>
      </c>
      <c r="K3953">
        <v>7.3300757995695895E-2</v>
      </c>
      <c r="L3953">
        <v>1466.97414174603</v>
      </c>
      <c r="M3953">
        <v>29.076282346391</v>
      </c>
      <c r="N3953">
        <v>51.0873038860477</v>
      </c>
      <c r="O3953">
        <v>50.215761625086799</v>
      </c>
      <c r="P3953">
        <v>-0.122813198268978</v>
      </c>
      <c r="Q3953">
        <v>0.151595421735469</v>
      </c>
      <c r="R3953">
        <v>0.97164046338763299</v>
      </c>
      <c r="S3953" t="s">
        <v>10355</v>
      </c>
      <c r="T3953" t="s">
        <v>12802</v>
      </c>
      <c r="U3953" t="s">
        <v>12802</v>
      </c>
      <c r="V3953" t="s">
        <v>12802</v>
      </c>
      <c r="W3953" t="s">
        <v>16698</v>
      </c>
      <c r="X3953">
        <v>11</v>
      </c>
      <c r="Y3953" t="s">
        <v>22926</v>
      </c>
      <c r="Z3953" t="s">
        <v>29271</v>
      </c>
      <c r="AA3953">
        <v>0.53761145483304362</v>
      </c>
      <c r="AB3953" t="str">
        <f>HYPERLINK("Melting_Curves/meltCurve_Q6IBS0_TWF2.pdf", "Melting_Curves/meltCurve_Q6IBS0_TWF2.pdf")</f>
        <v>Melting_Curves/meltCurve_Q6IBS0_TWF2.pdf</v>
      </c>
    </row>
    <row r="3954" spans="1:28" x14ac:dyDescent="0.25">
      <c r="A3954" t="s">
        <v>3958</v>
      </c>
      <c r="B3954">
        <v>0.99542014353169495</v>
      </c>
      <c r="C3954">
        <v>0.84869301828295696</v>
      </c>
      <c r="D3954">
        <v>0.90394640588773201</v>
      </c>
      <c r="E3954">
        <v>0.55484208710989402</v>
      </c>
      <c r="F3954">
        <v>0.18465492239098799</v>
      </c>
      <c r="G3954">
        <v>0.100784649150771</v>
      </c>
      <c r="H3954">
        <v>6.2192910184226298E-2</v>
      </c>
      <c r="I3954">
        <v>5.0639629065637001E-2</v>
      </c>
      <c r="J3954">
        <v>5.9640739533843398E-2</v>
      </c>
      <c r="K3954">
        <v>5.9122192903570701E-2</v>
      </c>
      <c r="L3954">
        <v>1062.27342558808</v>
      </c>
      <c r="M3954">
        <v>22.739247306378701</v>
      </c>
      <c r="N3954">
        <v>46.933285633844399</v>
      </c>
      <c r="O3954">
        <v>46.358626261253796</v>
      </c>
      <c r="P3954">
        <v>-0.116486922214782</v>
      </c>
      <c r="Q3954">
        <v>5.0088555954450303E-2</v>
      </c>
      <c r="R3954">
        <v>0.98667281167328003</v>
      </c>
      <c r="S3954" t="s">
        <v>10356</v>
      </c>
      <c r="T3954" t="s">
        <v>12802</v>
      </c>
      <c r="U3954" t="s">
        <v>12802</v>
      </c>
      <c r="V3954" t="s">
        <v>12802</v>
      </c>
      <c r="W3954" t="s">
        <v>16699</v>
      </c>
      <c r="X3954">
        <v>5</v>
      </c>
      <c r="Y3954" t="s">
        <v>22927</v>
      </c>
      <c r="Z3954" t="s">
        <v>29272</v>
      </c>
      <c r="AA3954">
        <v>0.36733348992565862</v>
      </c>
      <c r="AB3954" t="str">
        <f>HYPERLINK("Melting_Curves/meltCurve_Q6IBW4_2_NCAPH2.pdf", "Melting_Curves/meltCurve_Q6IBW4_2_NCAPH2.pdf")</f>
        <v>Melting_Curves/meltCurve_Q6IBW4_2_NCAPH2.pdf</v>
      </c>
    </row>
    <row r="3955" spans="1:28" x14ac:dyDescent="0.25">
      <c r="A3955" t="s">
        <v>3959</v>
      </c>
      <c r="B3955">
        <v>0.99542014353169495</v>
      </c>
      <c r="C3955">
        <v>0.90796048306147004</v>
      </c>
      <c r="D3955">
        <v>0.81552749151141901</v>
      </c>
      <c r="E3955">
        <v>0.52293504828326798</v>
      </c>
      <c r="F3955">
        <v>0.31764006156042102</v>
      </c>
      <c r="G3955">
        <v>0.18350760798964399</v>
      </c>
      <c r="H3955">
        <v>0.15348925164385899</v>
      </c>
      <c r="I3955">
        <v>0.122349409119702</v>
      </c>
      <c r="J3955">
        <v>0.121091162179063</v>
      </c>
      <c r="K3955">
        <v>0.10341852237414</v>
      </c>
      <c r="L3955">
        <v>728.88417214304604</v>
      </c>
      <c r="M3955">
        <v>15.7252238276221</v>
      </c>
      <c r="N3955">
        <v>47.043912072526503</v>
      </c>
      <c r="O3955">
        <v>45.621111865210899</v>
      </c>
      <c r="P3955">
        <v>-7.7274439927807997E-2</v>
      </c>
      <c r="Q3955">
        <v>0.10333871335401699</v>
      </c>
      <c r="R3955">
        <v>0.99855743050877499</v>
      </c>
      <c r="S3955" t="s">
        <v>10357</v>
      </c>
      <c r="T3955" t="s">
        <v>12802</v>
      </c>
      <c r="U3955" t="s">
        <v>12802</v>
      </c>
      <c r="V3955" t="s">
        <v>12802</v>
      </c>
      <c r="W3955" t="s">
        <v>16700</v>
      </c>
      <c r="X3955">
        <v>2</v>
      </c>
      <c r="Y3955" t="s">
        <v>22928</v>
      </c>
      <c r="Z3955" t="s">
        <v>29273</v>
      </c>
      <c r="AA3955">
        <v>0.4015929050531844</v>
      </c>
      <c r="AB3955" t="str">
        <f>HYPERLINK("Melting_Curves/meltCurve_Q6IC98_GRAMD4.pdf", "Melting_Curves/meltCurve_Q6IC98_GRAMD4.pdf")</f>
        <v>Melting_Curves/meltCurve_Q6IC98_GRAMD4.pdf</v>
      </c>
    </row>
    <row r="3956" spans="1:28" x14ac:dyDescent="0.25">
      <c r="A3956" t="s">
        <v>3960</v>
      </c>
      <c r="B3956">
        <v>0.99542014353169495</v>
      </c>
      <c r="C3956">
        <v>0.83657548656292102</v>
      </c>
      <c r="D3956">
        <v>0.71710150596272404</v>
      </c>
      <c r="E3956">
        <v>0.46515344071133702</v>
      </c>
      <c r="F3956">
        <v>0.204157649520923</v>
      </c>
      <c r="G3956">
        <v>0.122248890097341</v>
      </c>
      <c r="H3956">
        <v>6.1719042331727099E-2</v>
      </c>
      <c r="I3956">
        <v>4.9582066517970501E-2</v>
      </c>
      <c r="J3956">
        <v>5.34874635320014E-2</v>
      </c>
      <c r="K3956">
        <v>6.0995025736278401E-2</v>
      </c>
      <c r="L3956">
        <v>653.93997592930202</v>
      </c>
      <c r="M3956">
        <v>14.368564746111399</v>
      </c>
      <c r="N3956">
        <v>45.711137014107798</v>
      </c>
      <c r="O3956">
        <v>44.657534589866501</v>
      </c>
      <c r="P3956">
        <v>-7.8004773911224304E-2</v>
      </c>
      <c r="Q3956">
        <v>3.03598892562096E-2</v>
      </c>
      <c r="R3956">
        <v>0.99512504295080195</v>
      </c>
      <c r="S3956" t="s">
        <v>10358</v>
      </c>
      <c r="T3956" t="s">
        <v>12802</v>
      </c>
      <c r="U3956" t="s">
        <v>12802</v>
      </c>
      <c r="V3956" t="s">
        <v>12802</v>
      </c>
      <c r="W3956" t="s">
        <v>16701</v>
      </c>
      <c r="X3956">
        <v>1</v>
      </c>
      <c r="Y3956" t="s">
        <v>22929</v>
      </c>
      <c r="Z3956" t="s">
        <v>29274</v>
      </c>
      <c r="AA3956">
        <v>0.33011083827339649</v>
      </c>
      <c r="AB3956" t="str">
        <f>HYPERLINK("Melting_Curves/meltCurve_Q6ICB0_DESI1.pdf", "Melting_Curves/meltCurve_Q6ICB0_DESI1.pdf")</f>
        <v>Melting_Curves/meltCurve_Q6ICB0_DESI1.pdf</v>
      </c>
    </row>
    <row r="3957" spans="1:28" x14ac:dyDescent="0.25">
      <c r="A3957" t="s">
        <v>3961</v>
      </c>
      <c r="B3957">
        <v>0.99542014353169495</v>
      </c>
      <c r="C3957">
        <v>0.95415360816941097</v>
      </c>
      <c r="D3957">
        <v>0.83327420130480701</v>
      </c>
      <c r="E3957">
        <v>0.75242602113075396</v>
      </c>
      <c r="F3957">
        <v>0.45081176221095298</v>
      </c>
      <c r="G3957">
        <v>0.23785374770074399</v>
      </c>
      <c r="H3957">
        <v>0.13336209301873</v>
      </c>
      <c r="I3957">
        <v>8.5892879510522699E-2</v>
      </c>
      <c r="J3957">
        <v>4.7668226462220999E-2</v>
      </c>
      <c r="K3957">
        <v>7.7345448881895207E-2</v>
      </c>
      <c r="L3957">
        <v>700.65374822890203</v>
      </c>
      <c r="M3957">
        <v>14.2095099460659</v>
      </c>
      <c r="N3957">
        <v>49.499237265441799</v>
      </c>
      <c r="O3957">
        <v>48.363017395931003</v>
      </c>
      <c r="P3957">
        <v>-7.15073342665139E-2</v>
      </c>
      <c r="Q3957">
        <v>2.66015397074706E-2</v>
      </c>
      <c r="R3957">
        <v>0.99457584717547898</v>
      </c>
      <c r="S3957" t="s">
        <v>10359</v>
      </c>
      <c r="T3957" t="s">
        <v>12802</v>
      </c>
      <c r="U3957" t="s">
        <v>12802</v>
      </c>
      <c r="V3957" t="s">
        <v>12802</v>
      </c>
      <c r="W3957" t="s">
        <v>16702</v>
      </c>
      <c r="X3957">
        <v>2</v>
      </c>
      <c r="Y3957" t="s">
        <v>22930</v>
      </c>
      <c r="Z3957" t="s">
        <v>29275</v>
      </c>
      <c r="AA3957">
        <v>0.4485103024584865</v>
      </c>
      <c r="AB3957" t="str">
        <f>HYPERLINK("Melting_Curves/meltCurve_Q6IN84_MRM1.pdf", "Melting_Curves/meltCurve_Q6IN84_MRM1.pdf")</f>
        <v>Melting_Curves/meltCurve_Q6IN84_MRM1.pdf</v>
      </c>
    </row>
    <row r="3958" spans="1:28" x14ac:dyDescent="0.25">
      <c r="A3958" t="s">
        <v>3962</v>
      </c>
      <c r="B3958">
        <v>0.99542014353169495</v>
      </c>
      <c r="C3958">
        <v>0.96421972342975104</v>
      </c>
      <c r="D3958">
        <v>0.95806331360383401</v>
      </c>
      <c r="E3958">
        <v>0.70664738737482202</v>
      </c>
      <c r="F3958">
        <v>0.48351956644854899</v>
      </c>
      <c r="G3958">
        <v>0.25548457113977802</v>
      </c>
      <c r="H3958">
        <v>0.141819784032376</v>
      </c>
      <c r="I3958">
        <v>7.2710436498734599E-2</v>
      </c>
      <c r="J3958">
        <v>5.5814062895762503E-2</v>
      </c>
      <c r="K3958">
        <v>5.6003534002789901E-2</v>
      </c>
      <c r="L3958">
        <v>765.513508160436</v>
      </c>
      <c r="M3958">
        <v>15.4354489802513</v>
      </c>
      <c r="N3958">
        <v>49.804492436857103</v>
      </c>
      <c r="O3958">
        <v>48.784446366001198</v>
      </c>
      <c r="P3958">
        <v>-7.6615529109667596E-2</v>
      </c>
      <c r="Q3958">
        <v>3.1499872702071101E-2</v>
      </c>
      <c r="R3958">
        <v>0.99781797399696304</v>
      </c>
      <c r="S3958" t="s">
        <v>10360</v>
      </c>
      <c r="T3958" t="s">
        <v>12802</v>
      </c>
      <c r="U3958" t="s">
        <v>12802</v>
      </c>
      <c r="V3958" t="s">
        <v>12802</v>
      </c>
      <c r="W3958" t="s">
        <v>16703</v>
      </c>
      <c r="X3958">
        <v>9</v>
      </c>
      <c r="Y3958" t="s">
        <v>22931</v>
      </c>
      <c r="Z3958" t="s">
        <v>29276</v>
      </c>
      <c r="AA3958">
        <v>0.45772303300316319</v>
      </c>
      <c r="AB3958" t="str">
        <f>HYPERLINK("Melting_Curves/meltCurve_Q6IN85_SMEK1.pdf", "Melting_Curves/meltCurve_Q6IN85_SMEK1.pdf")</f>
        <v>Melting_Curves/meltCurve_Q6IN85_SMEK1.pdf</v>
      </c>
    </row>
    <row r="3959" spans="1:28" x14ac:dyDescent="0.25">
      <c r="A3959" t="s">
        <v>3963</v>
      </c>
      <c r="B3959">
        <v>0.99542014353169495</v>
      </c>
      <c r="C3959">
        <v>1.0539450402225901</v>
      </c>
      <c r="D3959">
        <v>0.91876994869017903</v>
      </c>
      <c r="E3959">
        <v>0.80946427890568295</v>
      </c>
      <c r="F3959">
        <v>0.59203827570149603</v>
      </c>
      <c r="G3959">
        <v>0.36789355661702799</v>
      </c>
      <c r="H3959">
        <v>0.143134551683163</v>
      </c>
      <c r="I3959">
        <v>8.4212604369466496E-2</v>
      </c>
      <c r="J3959">
        <v>5.8581664954974098E-2</v>
      </c>
      <c r="K3959">
        <v>6.3396094654461096E-2</v>
      </c>
      <c r="L3959">
        <v>776.19942998523402</v>
      </c>
      <c r="M3959">
        <v>15.136532503976101</v>
      </c>
      <c r="N3959">
        <v>51.376101675766499</v>
      </c>
      <c r="O3959">
        <v>50.409807562307002</v>
      </c>
      <c r="P3959">
        <v>-7.4025417487910902E-2</v>
      </c>
      <c r="Q3959">
        <v>1.3976750002843E-2</v>
      </c>
      <c r="R3959">
        <v>0.99462458226277894</v>
      </c>
      <c r="S3959" t="s">
        <v>10361</v>
      </c>
      <c r="T3959" t="s">
        <v>12802</v>
      </c>
      <c r="U3959" t="s">
        <v>12802</v>
      </c>
      <c r="V3959" t="s">
        <v>12802</v>
      </c>
      <c r="W3959" t="s">
        <v>16704</v>
      </c>
      <c r="X3959">
        <v>3</v>
      </c>
      <c r="Y3959" t="s">
        <v>22932</v>
      </c>
      <c r="Z3959" t="s">
        <v>29277</v>
      </c>
      <c r="AA3959">
        <v>0.50269506081833037</v>
      </c>
      <c r="AB3959" t="str">
        <f>HYPERLINK("Melting_Curves/meltCurve_Q6IPR3_TYW3.pdf", "Melting_Curves/meltCurve_Q6IPR3_TYW3.pdf")</f>
        <v>Melting_Curves/meltCurve_Q6IPR3_TYW3.pdf</v>
      </c>
    </row>
    <row r="3960" spans="1:28" x14ac:dyDescent="0.25">
      <c r="A3960" t="s">
        <v>3964</v>
      </c>
      <c r="B3960">
        <v>0.99542014353169495</v>
      </c>
      <c r="C3960">
        <v>1.0351549624808301</v>
      </c>
      <c r="D3960">
        <v>0.98176607677983896</v>
      </c>
      <c r="E3960">
        <v>0.94377682898260995</v>
      </c>
      <c r="F3960">
        <v>0.71151710093138898</v>
      </c>
      <c r="G3960">
        <v>0.61881745595598403</v>
      </c>
      <c r="H3960">
        <v>0.33204874273796797</v>
      </c>
      <c r="I3960">
        <v>0.19023921321399301</v>
      </c>
      <c r="J3960">
        <v>0.117839980877199</v>
      </c>
      <c r="K3960">
        <v>0.130907298659762</v>
      </c>
      <c r="L3960">
        <v>781.58993223562197</v>
      </c>
      <c r="M3960">
        <v>14.3783393982856</v>
      </c>
      <c r="N3960">
        <v>54.6923534882024</v>
      </c>
      <c r="O3960">
        <v>53.339799027138</v>
      </c>
      <c r="P3960">
        <v>-6.4569497482872995E-2</v>
      </c>
      <c r="Q3960">
        <v>4.1971864608745302E-2</v>
      </c>
      <c r="R3960">
        <v>0.99075292745460997</v>
      </c>
      <c r="S3960" t="s">
        <v>10362</v>
      </c>
      <c r="T3960" t="s">
        <v>12802</v>
      </c>
      <c r="U3960" t="s">
        <v>12802</v>
      </c>
      <c r="V3960" t="s">
        <v>12802</v>
      </c>
      <c r="W3960" t="s">
        <v>16705</v>
      </c>
      <c r="X3960">
        <v>7</v>
      </c>
      <c r="Y3960" t="s">
        <v>22933</v>
      </c>
      <c r="Z3960" t="s">
        <v>29278</v>
      </c>
      <c r="AA3960">
        <v>0.61152110451897235</v>
      </c>
      <c r="AB3960" t="str">
        <f>HYPERLINK("Melting_Curves/meltCurve_Q6IQ22_RAB12.pdf", "Melting_Curves/meltCurve_Q6IQ22_RAB12.pdf")</f>
        <v>Melting_Curves/meltCurve_Q6IQ22_RAB12.pdf</v>
      </c>
    </row>
    <row r="3961" spans="1:28" x14ac:dyDescent="0.25">
      <c r="A3961" t="s">
        <v>3965</v>
      </c>
      <c r="B3961">
        <v>0.99542014353169495</v>
      </c>
      <c r="C3961">
        <v>1.07715108077421</v>
      </c>
      <c r="D3961">
        <v>1.1298801895683299</v>
      </c>
      <c r="E3961">
        <v>0.95948474256728</v>
      </c>
      <c r="F3961">
        <v>0.68186569872430003</v>
      </c>
      <c r="G3961">
        <v>0.38071855289865097</v>
      </c>
      <c r="H3961">
        <v>0.27741654078394901</v>
      </c>
      <c r="I3961">
        <v>0.234708612772875</v>
      </c>
      <c r="J3961">
        <v>0.25360040931160099</v>
      </c>
      <c r="K3961">
        <v>0.29721704123818798</v>
      </c>
      <c r="L3961">
        <v>1606.4935401753</v>
      </c>
      <c r="M3961">
        <v>31.676694338546</v>
      </c>
      <c r="N3961">
        <v>51.936117047308898</v>
      </c>
      <c r="O3961">
        <v>50.514485315112502</v>
      </c>
      <c r="P3961">
        <v>-0.115613645218849</v>
      </c>
      <c r="Q3961">
        <v>0.26253262134156502</v>
      </c>
      <c r="R3961">
        <v>0.97976599855239799</v>
      </c>
      <c r="S3961" t="s">
        <v>10363</v>
      </c>
      <c r="T3961" t="s">
        <v>12802</v>
      </c>
      <c r="U3961" t="s">
        <v>12802</v>
      </c>
      <c r="V3961" t="s">
        <v>12802</v>
      </c>
      <c r="W3961" t="s">
        <v>16706</v>
      </c>
      <c r="X3961">
        <v>7</v>
      </c>
      <c r="Y3961" t="s">
        <v>22934</v>
      </c>
      <c r="Z3961" t="s">
        <v>29279</v>
      </c>
      <c r="AA3961">
        <v>0.60379758366824154</v>
      </c>
      <c r="AB3961" t="str">
        <f>HYPERLINK("Melting_Curves/meltCurve_Q6IQ49_2_SDE2.pdf", "Melting_Curves/meltCurve_Q6IQ49_2_SDE2.pdf")</f>
        <v>Melting_Curves/meltCurve_Q6IQ49_2_SDE2.pdf</v>
      </c>
    </row>
    <row r="3962" spans="1:28" x14ac:dyDescent="0.25">
      <c r="A3962" t="s">
        <v>3966</v>
      </c>
      <c r="B3962">
        <v>0.99542014353169495</v>
      </c>
      <c r="C3962">
        <v>0.96897195752281196</v>
      </c>
      <c r="D3962">
        <v>0.85114109921876002</v>
      </c>
      <c r="E3962">
        <v>0.76847032116106595</v>
      </c>
      <c r="F3962">
        <v>0.73238761147654596</v>
      </c>
      <c r="G3962">
        <v>0.51222446508489705</v>
      </c>
      <c r="H3962">
        <v>0.63391963481845703</v>
      </c>
      <c r="I3962">
        <v>0.49114551874883999</v>
      </c>
      <c r="J3962">
        <v>0.57605762890013401</v>
      </c>
      <c r="K3962">
        <v>0.54578222884477301</v>
      </c>
      <c r="L3962">
        <v>588.32019683583303</v>
      </c>
      <c r="M3962">
        <v>12.5775028860905</v>
      </c>
      <c r="O3962">
        <v>45.640395170175502</v>
      </c>
      <c r="P3962">
        <v>-3.2511346281335597E-2</v>
      </c>
      <c r="Q3962">
        <v>0.52819483638918996</v>
      </c>
      <c r="R3962">
        <v>0.92600128205838905</v>
      </c>
      <c r="S3962" t="s">
        <v>10364</v>
      </c>
      <c r="T3962" t="s">
        <v>12802</v>
      </c>
      <c r="U3962" t="s">
        <v>12802</v>
      </c>
      <c r="V3962" t="s">
        <v>12802</v>
      </c>
      <c r="W3962" t="s">
        <v>16707</v>
      </c>
      <c r="X3962">
        <v>1</v>
      </c>
      <c r="Y3962" t="s">
        <v>22935</v>
      </c>
      <c r="Z3962" t="s">
        <v>29280</v>
      </c>
      <c r="AA3962">
        <v>0.69644252808183549</v>
      </c>
      <c r="AB3962" t="str">
        <f>HYPERLINK("Melting_Curves/meltCurve_Q6J164_GRM5.pdf", "Melting_Curves/meltCurve_Q6J164_GRM5.pdf")</f>
        <v>Melting_Curves/meltCurve_Q6J164_GRM5.pdf</v>
      </c>
    </row>
    <row r="3963" spans="1:28" x14ac:dyDescent="0.25">
      <c r="A3963" t="s">
        <v>3967</v>
      </c>
      <c r="B3963">
        <v>0.99542014353169495</v>
      </c>
      <c r="C3963">
        <v>1.02536159272183</v>
      </c>
      <c r="D3963">
        <v>1.00573423886817</v>
      </c>
      <c r="E3963">
        <v>0.75251558182533895</v>
      </c>
      <c r="F3963">
        <v>0.34803102851406598</v>
      </c>
      <c r="G3963">
        <v>0.112901000698387</v>
      </c>
      <c r="H3963">
        <v>7.7231098916903093E-2</v>
      </c>
      <c r="I3963">
        <v>5.8948901762684698E-2</v>
      </c>
      <c r="J3963">
        <v>5.5815354439227097E-2</v>
      </c>
      <c r="K3963">
        <v>7.3955142434902199E-2</v>
      </c>
      <c r="L3963">
        <v>1302.78163181585</v>
      </c>
      <c r="M3963">
        <v>26.8351715738184</v>
      </c>
      <c r="N3963">
        <v>48.781073833200402</v>
      </c>
      <c r="O3963">
        <v>48.2803548675248</v>
      </c>
      <c r="P3963">
        <v>-0.13058091085117901</v>
      </c>
      <c r="Q3963">
        <v>6.0273826757903597E-2</v>
      </c>
      <c r="R3963">
        <v>0.99839665305108705</v>
      </c>
      <c r="S3963" t="s">
        <v>10365</v>
      </c>
      <c r="T3963" t="s">
        <v>12802</v>
      </c>
      <c r="U3963" t="s">
        <v>12802</v>
      </c>
      <c r="V3963" t="s">
        <v>12802</v>
      </c>
      <c r="W3963" t="s">
        <v>13053</v>
      </c>
      <c r="X3963">
        <v>12</v>
      </c>
      <c r="Y3963" t="s">
        <v>22936</v>
      </c>
      <c r="Z3963" t="s">
        <v>29281</v>
      </c>
      <c r="AA3963">
        <v>0.42901075555194162</v>
      </c>
      <c r="AB3963" t="str">
        <f>HYPERLINK("Melting_Curves/meltCurve_Q6JHV3_USP3.pdf", "Melting_Curves/meltCurve_Q6JHV3_USP3.pdf")</f>
        <v>Melting_Curves/meltCurve_Q6JHV3_USP3.pdf</v>
      </c>
    </row>
    <row r="3964" spans="1:28" x14ac:dyDescent="0.25">
      <c r="A3964" t="s">
        <v>3968</v>
      </c>
      <c r="B3964">
        <v>0.99542014353169495</v>
      </c>
      <c r="C3964">
        <v>0.83273922501398501</v>
      </c>
      <c r="D3964">
        <v>0.83720025833883105</v>
      </c>
      <c r="E3964">
        <v>0.38415965871431801</v>
      </c>
      <c r="F3964">
        <v>0.24814161682684099</v>
      </c>
      <c r="G3964">
        <v>0.152980619227291</v>
      </c>
      <c r="H3964">
        <v>0.17617193525432301</v>
      </c>
      <c r="I3964">
        <v>0.162902923856177</v>
      </c>
      <c r="J3964">
        <v>0.17752695969937299</v>
      </c>
      <c r="K3964">
        <v>0.13229829341803601</v>
      </c>
      <c r="L3964">
        <v>972.902168365168</v>
      </c>
      <c r="M3964">
        <v>21.649864069834099</v>
      </c>
      <c r="N3964">
        <v>45.712039736553898</v>
      </c>
      <c r="O3964">
        <v>44.559912961847303</v>
      </c>
      <c r="P3964">
        <v>-0.102828503036173</v>
      </c>
      <c r="Q3964">
        <v>0.15345088920835201</v>
      </c>
      <c r="R3964">
        <v>0.97935291993874096</v>
      </c>
      <c r="S3964" t="s">
        <v>10366</v>
      </c>
      <c r="T3964" t="s">
        <v>12802</v>
      </c>
      <c r="U3964" t="s">
        <v>12802</v>
      </c>
      <c r="V3964" t="s">
        <v>12802</v>
      </c>
      <c r="W3964" t="s">
        <v>16708</v>
      </c>
      <c r="X3964">
        <v>19</v>
      </c>
      <c r="Y3964" t="s">
        <v>22937</v>
      </c>
      <c r="Z3964" t="s">
        <v>29282</v>
      </c>
      <c r="AA3964">
        <v>0.38686230858543752</v>
      </c>
      <c r="AB3964" t="str">
        <f>HYPERLINK("Melting_Curves/meltCurve_Q6KC79_2_NIPBL.pdf", "Melting_Curves/meltCurve_Q6KC79_2_NIPBL.pdf")</f>
        <v>Melting_Curves/meltCurve_Q6KC79_2_NIPBL.pdf</v>
      </c>
    </row>
    <row r="3965" spans="1:28" x14ac:dyDescent="0.25">
      <c r="A3965" t="s">
        <v>3969</v>
      </c>
      <c r="B3965">
        <v>0.99542014353169495</v>
      </c>
      <c r="C3965">
        <v>1.0090323554768901</v>
      </c>
      <c r="D3965">
        <v>0.97596839375972699</v>
      </c>
      <c r="E3965">
        <v>0.77373335234831397</v>
      </c>
      <c r="F3965">
        <v>0.63973736143872395</v>
      </c>
      <c r="G3965">
        <v>0.392130367700461</v>
      </c>
      <c r="H3965">
        <v>0.25504405873539598</v>
      </c>
      <c r="I3965">
        <v>0.18583716909133599</v>
      </c>
      <c r="J3965">
        <v>0.20009649381299299</v>
      </c>
      <c r="K3965">
        <v>0.174857322854862</v>
      </c>
      <c r="L3965">
        <v>781.12356996881499</v>
      </c>
      <c r="M3965">
        <v>15.421662171819101</v>
      </c>
      <c r="N3965">
        <v>51.8406748943653</v>
      </c>
      <c r="O3965">
        <v>49.822301399726697</v>
      </c>
      <c r="P3965">
        <v>-6.5857397238470103E-2</v>
      </c>
      <c r="Q3965">
        <v>0.149023047613356</v>
      </c>
      <c r="R3965">
        <v>0.99477946000337802</v>
      </c>
      <c r="S3965" t="s">
        <v>10367</v>
      </c>
      <c r="T3965" t="s">
        <v>12802</v>
      </c>
      <c r="U3965" t="s">
        <v>12802</v>
      </c>
      <c r="V3965" t="s">
        <v>12802</v>
      </c>
      <c r="W3965" t="s">
        <v>16709</v>
      </c>
      <c r="X3965">
        <v>9</v>
      </c>
      <c r="Y3965" t="s">
        <v>22938</v>
      </c>
      <c r="Z3965" t="s">
        <v>29283</v>
      </c>
      <c r="AA3965">
        <v>0.5529762133653392</v>
      </c>
      <c r="AB3965" t="str">
        <f>HYPERLINK("Melting_Curves/meltCurve_Q6KCM7_SLC25A25.pdf", "Melting_Curves/meltCurve_Q6KCM7_SLC25A25.pdf")</f>
        <v>Melting_Curves/meltCurve_Q6KCM7_SLC25A25.pdf</v>
      </c>
    </row>
    <row r="3966" spans="1:28" x14ac:dyDescent="0.25">
      <c r="A3966" t="s">
        <v>3970</v>
      </c>
      <c r="B3966">
        <v>0.99542014353169495</v>
      </c>
      <c r="C3966">
        <v>0.90031130851771601</v>
      </c>
      <c r="D3966">
        <v>0.87210397467923395</v>
      </c>
      <c r="E3966">
        <v>0.647396717790506</v>
      </c>
      <c r="F3966">
        <v>0.28597861396212698</v>
      </c>
      <c r="G3966">
        <v>0.13487470549960501</v>
      </c>
      <c r="H3966">
        <v>7.3040433205463107E-2</v>
      </c>
      <c r="I3966">
        <v>4.2000691262202502E-2</v>
      </c>
      <c r="J3966">
        <v>3.6245016156582599E-2</v>
      </c>
      <c r="K3966">
        <v>6.7447951718983795E-2</v>
      </c>
      <c r="L3966">
        <v>868.19225980591204</v>
      </c>
      <c r="M3966">
        <v>18.224369066081199</v>
      </c>
      <c r="N3966">
        <v>47.823565278784102</v>
      </c>
      <c r="O3966">
        <v>47.076596908414402</v>
      </c>
      <c r="P3966">
        <v>-9.3499746722254098E-2</v>
      </c>
      <c r="Q3966">
        <v>3.3943384919127101E-2</v>
      </c>
      <c r="R3966">
        <v>0.99456023435570395</v>
      </c>
      <c r="S3966" t="s">
        <v>10368</v>
      </c>
      <c r="T3966" t="s">
        <v>12802</v>
      </c>
      <c r="U3966" t="s">
        <v>12802</v>
      </c>
      <c r="V3966" t="s">
        <v>12802</v>
      </c>
      <c r="W3966" t="s">
        <v>16710</v>
      </c>
      <c r="X3966">
        <v>4</v>
      </c>
      <c r="Y3966" t="s">
        <v>22939</v>
      </c>
      <c r="Z3966" t="s">
        <v>29284</v>
      </c>
      <c r="AA3966">
        <v>0.39165423950375239</v>
      </c>
      <c r="AB3966" t="str">
        <f>HYPERLINK("Melting_Curves/meltCurve_Q6N063_OGFOD2.pdf", "Melting_Curves/meltCurve_Q6N063_OGFOD2.pdf")</f>
        <v>Melting_Curves/meltCurve_Q6N063_OGFOD2.pdf</v>
      </c>
    </row>
    <row r="3967" spans="1:28" x14ac:dyDescent="0.25">
      <c r="A3967" t="s">
        <v>3971</v>
      </c>
      <c r="B3967">
        <v>0.99542014353169495</v>
      </c>
      <c r="C3967">
        <v>0.97216027891396894</v>
      </c>
      <c r="D3967">
        <v>0.99827511566907901</v>
      </c>
      <c r="E3967">
        <v>0.63555586421047205</v>
      </c>
      <c r="F3967">
        <v>0.270381744164714</v>
      </c>
      <c r="G3967">
        <v>0.15459324163902399</v>
      </c>
      <c r="H3967">
        <v>9.94010984286295E-2</v>
      </c>
      <c r="I3967">
        <v>7.87587123523497E-2</v>
      </c>
      <c r="J3967">
        <v>0.13064310849511401</v>
      </c>
      <c r="K3967">
        <v>0.12555350102709101</v>
      </c>
      <c r="L3967">
        <v>1359.17799194393</v>
      </c>
      <c r="M3967">
        <v>28.718589288634</v>
      </c>
      <c r="N3967">
        <v>47.74979919375</v>
      </c>
      <c r="O3967">
        <v>47.099780171566202</v>
      </c>
      <c r="P3967">
        <v>-0.135339197468657</v>
      </c>
      <c r="Q3967">
        <v>0.112157588348908</v>
      </c>
      <c r="R3967">
        <v>0.99636027394003901</v>
      </c>
      <c r="S3967" t="s">
        <v>10369</v>
      </c>
      <c r="T3967" t="s">
        <v>12802</v>
      </c>
      <c r="U3967" t="s">
        <v>12802</v>
      </c>
      <c r="V3967" t="s">
        <v>12802</v>
      </c>
      <c r="W3967" t="s">
        <v>16711</v>
      </c>
      <c r="X3967">
        <v>15</v>
      </c>
      <c r="Y3967" t="s">
        <v>22940</v>
      </c>
      <c r="Z3967" t="s">
        <v>29285</v>
      </c>
      <c r="AA3967">
        <v>0.42346627777079793</v>
      </c>
      <c r="AB3967" t="str">
        <f>HYPERLINK("Melting_Curves/meltCurve_Q6N069_NAA16.pdf", "Melting_Curves/meltCurve_Q6N069_NAA16.pdf")</f>
        <v>Melting_Curves/meltCurve_Q6N069_NAA16.pdf</v>
      </c>
    </row>
    <row r="3968" spans="1:28" x14ac:dyDescent="0.25">
      <c r="A3968" t="s">
        <v>3972</v>
      </c>
      <c r="B3968">
        <v>0.99542014353169495</v>
      </c>
      <c r="C3968">
        <v>0.93972233755901802</v>
      </c>
      <c r="D3968">
        <v>0.96588775631735801</v>
      </c>
      <c r="E3968">
        <v>0.80206402740308702</v>
      </c>
      <c r="F3968">
        <v>0.60743723610966405</v>
      </c>
      <c r="G3968">
        <v>0.45065659246237899</v>
      </c>
      <c r="H3968">
        <v>0.26511919998070699</v>
      </c>
      <c r="I3968">
        <v>0.18100707750970799</v>
      </c>
      <c r="J3968">
        <v>0.17944669635469701</v>
      </c>
      <c r="K3968">
        <v>0.22795047467283</v>
      </c>
      <c r="L3968">
        <v>734.78653470659799</v>
      </c>
      <c r="M3968">
        <v>14.4767405810813</v>
      </c>
      <c r="N3968">
        <v>52.080231250417597</v>
      </c>
      <c r="O3968">
        <v>49.817336894989197</v>
      </c>
      <c r="P3968">
        <v>-6.1472583394373101E-2</v>
      </c>
      <c r="Q3968">
        <v>0.15394078766140801</v>
      </c>
      <c r="R3968">
        <v>0.99144639838231796</v>
      </c>
      <c r="S3968" t="s">
        <v>10370</v>
      </c>
      <c r="T3968" t="s">
        <v>12802</v>
      </c>
      <c r="U3968" t="s">
        <v>12802</v>
      </c>
      <c r="V3968" t="s">
        <v>12802</v>
      </c>
      <c r="W3968" t="s">
        <v>16712</v>
      </c>
      <c r="X3968">
        <v>6</v>
      </c>
      <c r="Y3968" t="s">
        <v>22941</v>
      </c>
      <c r="Z3968" t="s">
        <v>29286</v>
      </c>
      <c r="AA3968">
        <v>0.55993021786509756</v>
      </c>
      <c r="AB3968" t="str">
        <f>HYPERLINK("Melting_Curves/meltCurve_Q6NSH3_CT45A5.pdf", "Melting_Curves/meltCurve_Q6NSH3_CT45A5.pdf")</f>
        <v>Melting_Curves/meltCurve_Q6NSH3_CT45A5.pdf</v>
      </c>
    </row>
    <row r="3969" spans="1:28" x14ac:dyDescent="0.25">
      <c r="A3969" t="s">
        <v>3973</v>
      </c>
      <c r="B3969">
        <v>0.99542014353169495</v>
      </c>
      <c r="C3969">
        <v>0.97048345325586305</v>
      </c>
      <c r="D3969">
        <v>1.0108109738254201</v>
      </c>
      <c r="E3969">
        <v>0.85860642627805295</v>
      </c>
      <c r="F3969">
        <v>0.889464288003179</v>
      </c>
      <c r="G3969">
        <v>0.60559625325439903</v>
      </c>
      <c r="H3969">
        <v>0.56846152132182304</v>
      </c>
      <c r="I3969">
        <v>0.53648666220739405</v>
      </c>
      <c r="J3969">
        <v>0.68083034777518103</v>
      </c>
      <c r="K3969">
        <v>0.85240486478836597</v>
      </c>
      <c r="L3969">
        <v>12589.0680066447</v>
      </c>
      <c r="M3969">
        <v>250</v>
      </c>
      <c r="O3969">
        <v>50.353050568128303</v>
      </c>
      <c r="P3969">
        <v>-0.43597666764245002</v>
      </c>
      <c r="Q3969">
        <v>0.64875592437043605</v>
      </c>
      <c r="R3969">
        <v>0.71938050457494296</v>
      </c>
      <c r="S3969" t="s">
        <v>10371</v>
      </c>
      <c r="T3969" t="s">
        <v>12802</v>
      </c>
      <c r="U3969" t="s">
        <v>12802</v>
      </c>
      <c r="V3969" t="s">
        <v>12802</v>
      </c>
      <c r="W3969" t="s">
        <v>16713</v>
      </c>
      <c r="X3969">
        <v>4</v>
      </c>
      <c r="Y3969" t="s">
        <v>22942</v>
      </c>
      <c r="Z3969" t="s">
        <v>29287</v>
      </c>
      <c r="AA3969">
        <v>0.80516401277517713</v>
      </c>
      <c r="AB3969" t="str">
        <f>HYPERLINK("Melting_Curves/meltCurve_Q6NT16_SLC18B1.pdf", "Melting_Curves/meltCurve_Q6NT16_SLC18B1.pdf")</f>
        <v>Melting_Curves/meltCurve_Q6NT16_SLC18B1.pdf</v>
      </c>
    </row>
    <row r="3970" spans="1:28" x14ac:dyDescent="0.25">
      <c r="A3970" t="s">
        <v>3974</v>
      </c>
      <c r="B3970">
        <v>0.99542014353169495</v>
      </c>
      <c r="C3970">
        <v>1.1021976754090601</v>
      </c>
      <c r="D3970">
        <v>1.09972172542472</v>
      </c>
      <c r="E3970">
        <v>0.91973631654107202</v>
      </c>
      <c r="F3970">
        <v>0.63786882307526604</v>
      </c>
      <c r="G3970">
        <v>0.40191045813982601</v>
      </c>
      <c r="H3970">
        <v>0.32230689286714997</v>
      </c>
      <c r="I3970">
        <v>0.104795829683737</v>
      </c>
      <c r="J3970">
        <v>0.19805599034015101</v>
      </c>
      <c r="K3970">
        <v>0.18207522993421801</v>
      </c>
      <c r="L3970">
        <v>1077.8824956040501</v>
      </c>
      <c r="M3970">
        <v>21.029254776513799</v>
      </c>
      <c r="N3970">
        <v>52.276471225121099</v>
      </c>
      <c r="O3970">
        <v>50.799567488340898</v>
      </c>
      <c r="P3970">
        <v>-8.6076230846026405E-2</v>
      </c>
      <c r="Q3970">
        <v>0.16829764476874401</v>
      </c>
      <c r="R3970">
        <v>0.9727392436333</v>
      </c>
      <c r="S3970" t="s">
        <v>10372</v>
      </c>
      <c r="T3970" t="s">
        <v>12802</v>
      </c>
      <c r="U3970" t="s">
        <v>12802</v>
      </c>
      <c r="V3970" t="s">
        <v>12802</v>
      </c>
      <c r="W3970" t="s">
        <v>16714</v>
      </c>
      <c r="X3970">
        <v>1</v>
      </c>
      <c r="Y3970" t="s">
        <v>22943</v>
      </c>
      <c r="Z3970" t="s">
        <v>29288</v>
      </c>
      <c r="AA3970">
        <v>0.57351987752616607</v>
      </c>
      <c r="AB3970" t="str">
        <f>HYPERLINK("Melting_Curves/meltCurve_Q6NTE8_C5orf45.pdf", "Melting_Curves/meltCurve_Q6NTE8_C5orf45.pdf")</f>
        <v>Melting_Curves/meltCurve_Q6NTE8_C5orf45.pdf</v>
      </c>
    </row>
    <row r="3971" spans="1:28" x14ac:dyDescent="0.25">
      <c r="A3971" t="s">
        <v>3975</v>
      </c>
      <c r="B3971">
        <v>0.99542014353169495</v>
      </c>
      <c r="C3971">
        <v>0.87396645399121298</v>
      </c>
      <c r="D3971">
        <v>0.89168228636049296</v>
      </c>
      <c r="E3971">
        <v>0.70436505263831795</v>
      </c>
      <c r="F3971">
        <v>0.59450401111617002</v>
      </c>
      <c r="G3971">
        <v>0.385605859362809</v>
      </c>
      <c r="H3971">
        <v>0.28328022752100601</v>
      </c>
      <c r="I3971">
        <v>0.26581899146631199</v>
      </c>
      <c r="J3971">
        <v>0.31065561525504098</v>
      </c>
      <c r="K3971">
        <v>0.15190880206465099</v>
      </c>
      <c r="L3971">
        <v>515.07534594240406</v>
      </c>
      <c r="M3971">
        <v>10.363308057135299</v>
      </c>
      <c r="N3971">
        <v>51.4876590907608</v>
      </c>
      <c r="O3971">
        <v>47.957978645248502</v>
      </c>
      <c r="P3971">
        <v>-4.58865448466877E-2</v>
      </c>
      <c r="Q3971">
        <v>0.15096896899176701</v>
      </c>
      <c r="R3971">
        <v>0.97657036014764198</v>
      </c>
      <c r="S3971" t="s">
        <v>10373</v>
      </c>
      <c r="T3971" t="s">
        <v>12802</v>
      </c>
      <c r="U3971" t="s">
        <v>12802</v>
      </c>
      <c r="V3971" t="s">
        <v>12802</v>
      </c>
      <c r="W3971" t="s">
        <v>16715</v>
      </c>
      <c r="X3971">
        <v>15</v>
      </c>
      <c r="Y3971" t="s">
        <v>22944</v>
      </c>
      <c r="Z3971" t="s">
        <v>29289</v>
      </c>
      <c r="AA3971">
        <v>0.53902446484543498</v>
      </c>
      <c r="AB3971" t="str">
        <f>HYPERLINK("Melting_Curves/meltCurve_Q6NUK1_SLC25A24.pdf", "Melting_Curves/meltCurve_Q6NUK1_SLC25A24.pdf")</f>
        <v>Melting_Curves/meltCurve_Q6NUK1_SLC25A24.pdf</v>
      </c>
    </row>
    <row r="3972" spans="1:28" x14ac:dyDescent="0.25">
      <c r="A3972" t="s">
        <v>3976</v>
      </c>
      <c r="B3972">
        <v>0.99542014353169495</v>
      </c>
      <c r="C3972">
        <v>1.01074899059164</v>
      </c>
      <c r="D3972">
        <v>0.97000157537632503</v>
      </c>
      <c r="E3972">
        <v>0.84976461706907203</v>
      </c>
      <c r="F3972">
        <v>0.62489045583908298</v>
      </c>
      <c r="G3972">
        <v>0.39020673354628999</v>
      </c>
      <c r="H3972">
        <v>0.26999374720535901</v>
      </c>
      <c r="I3972">
        <v>0.23236812278744701</v>
      </c>
      <c r="J3972">
        <v>0.29315968509871099</v>
      </c>
      <c r="K3972">
        <v>0.33232436637846802</v>
      </c>
      <c r="L3972">
        <v>1112.4048157493301</v>
      </c>
      <c r="M3972">
        <v>22.3342274795883</v>
      </c>
      <c r="N3972">
        <v>51.612749009324403</v>
      </c>
      <c r="O3972">
        <v>49.413032067149203</v>
      </c>
      <c r="P3972">
        <v>-8.2365807739076702E-2</v>
      </c>
      <c r="Q3972">
        <v>0.27109926415325503</v>
      </c>
      <c r="R3972">
        <v>0.99090749020011404</v>
      </c>
      <c r="S3972" t="s">
        <v>10374</v>
      </c>
      <c r="T3972" t="s">
        <v>12802</v>
      </c>
      <c r="U3972" t="s">
        <v>12802</v>
      </c>
      <c r="V3972" t="s">
        <v>12802</v>
      </c>
      <c r="W3972" t="s">
        <v>16716</v>
      </c>
      <c r="X3972">
        <v>4</v>
      </c>
      <c r="Y3972" t="s">
        <v>22945</v>
      </c>
      <c r="Z3972" t="s">
        <v>29290</v>
      </c>
      <c r="AA3972">
        <v>0.59013666641484996</v>
      </c>
      <c r="AB3972" t="str">
        <f>HYPERLINK("Melting_Curves/meltCurve_Q6NUK4_2_REEP3.pdf", "Melting_Curves/meltCurve_Q6NUK4_2_REEP3.pdf")</f>
        <v>Melting_Curves/meltCurve_Q6NUK4_2_REEP3.pdf</v>
      </c>
    </row>
    <row r="3973" spans="1:28" x14ac:dyDescent="0.25">
      <c r="A3973" t="s">
        <v>3977</v>
      </c>
      <c r="B3973">
        <v>0.99542014353169495</v>
      </c>
      <c r="C3973">
        <v>1.0668936098348001</v>
      </c>
      <c r="D3973">
        <v>1.0101053593114799</v>
      </c>
      <c r="E3973">
        <v>0.78014295613664997</v>
      </c>
      <c r="F3973">
        <v>0.54023979782337095</v>
      </c>
      <c r="G3973">
        <v>0.33824214036114703</v>
      </c>
      <c r="H3973">
        <v>0.120754108408039</v>
      </c>
      <c r="I3973">
        <v>7.7454177785722306E-2</v>
      </c>
      <c r="J3973">
        <v>6.7358337870410401E-2</v>
      </c>
      <c r="K3973">
        <v>6.0481154070496701E-2</v>
      </c>
      <c r="L3973">
        <v>861.38901982439097</v>
      </c>
      <c r="M3973">
        <v>17.024225087543002</v>
      </c>
      <c r="N3973">
        <v>50.830294161920797</v>
      </c>
      <c r="O3973">
        <v>49.915159048823398</v>
      </c>
      <c r="P3973">
        <v>-8.2077737901271805E-2</v>
      </c>
      <c r="Q3973">
        <v>3.7448801365375997E-2</v>
      </c>
      <c r="R3973">
        <v>0.99167193652382502</v>
      </c>
      <c r="S3973" t="s">
        <v>10375</v>
      </c>
      <c r="T3973" t="s">
        <v>12802</v>
      </c>
      <c r="U3973" t="s">
        <v>12802</v>
      </c>
      <c r="V3973" t="s">
        <v>12802</v>
      </c>
      <c r="W3973" t="s">
        <v>16717</v>
      </c>
      <c r="X3973">
        <v>6</v>
      </c>
      <c r="Y3973" t="s">
        <v>22946</v>
      </c>
      <c r="Z3973" t="s">
        <v>29291</v>
      </c>
      <c r="AA3973">
        <v>0.49013771538990342</v>
      </c>
      <c r="AB3973" t="str">
        <f>HYPERLINK("Melting_Curves/meltCurve_Q6NUM9_RETSAT.pdf", "Melting_Curves/meltCurve_Q6NUM9_RETSAT.pdf")</f>
        <v>Melting_Curves/meltCurve_Q6NUM9_RETSAT.pdf</v>
      </c>
    </row>
    <row r="3974" spans="1:28" x14ac:dyDescent="0.25">
      <c r="A3974" t="s">
        <v>3978</v>
      </c>
      <c r="B3974">
        <v>0.99542014353169495</v>
      </c>
      <c r="C3974">
        <v>0.82712756057243098</v>
      </c>
      <c r="D3974">
        <v>0.82742386716071603</v>
      </c>
      <c r="E3974">
        <v>0.27740183759210402</v>
      </c>
      <c r="F3974">
        <v>0.11743857977838</v>
      </c>
      <c r="G3974">
        <v>7.2587974201566097E-2</v>
      </c>
      <c r="H3974">
        <v>7.9068151596615399E-2</v>
      </c>
      <c r="I3974">
        <v>7.1635388993671306E-2</v>
      </c>
      <c r="J3974">
        <v>3.1423819024151499E-2</v>
      </c>
      <c r="K3974">
        <v>1.2704638554134701E-2</v>
      </c>
      <c r="L3974">
        <v>1163.4216450311801</v>
      </c>
      <c r="M3974">
        <v>25.927315220480299</v>
      </c>
      <c r="N3974">
        <v>45.0514238980914</v>
      </c>
      <c r="O3974">
        <v>44.608037227082001</v>
      </c>
      <c r="P3974">
        <v>-0.138196791400541</v>
      </c>
      <c r="Q3974">
        <v>4.8938734596237002E-2</v>
      </c>
      <c r="R3974">
        <v>0.98062960058738902</v>
      </c>
      <c r="S3974" t="s">
        <v>10376</v>
      </c>
      <c r="T3974" t="s">
        <v>12802</v>
      </c>
      <c r="U3974" t="s">
        <v>12802</v>
      </c>
      <c r="V3974" t="s">
        <v>12802</v>
      </c>
      <c r="W3974" t="s">
        <v>16718</v>
      </c>
      <c r="X3974">
        <v>3</v>
      </c>
      <c r="Y3974" t="s">
        <v>22947</v>
      </c>
      <c r="Z3974" t="s">
        <v>29292</v>
      </c>
      <c r="AA3974">
        <v>0.30573744482675258</v>
      </c>
      <c r="AB3974" t="str">
        <f>HYPERLINK("Melting_Curves/meltCurve_Q6NUQ1_RINT1.pdf", "Melting_Curves/meltCurve_Q6NUQ1_RINT1.pdf")</f>
        <v>Melting_Curves/meltCurve_Q6NUQ1_RINT1.pdf</v>
      </c>
    </row>
    <row r="3975" spans="1:28" x14ac:dyDescent="0.25">
      <c r="A3975" t="s">
        <v>3979</v>
      </c>
      <c r="B3975">
        <v>0.99542014353169495</v>
      </c>
      <c r="C3975">
        <v>1.1022443122023899</v>
      </c>
      <c r="D3975">
        <v>1.09726846212215</v>
      </c>
      <c r="E3975">
        <v>1.01327792148678</v>
      </c>
      <c r="F3975">
        <v>0.63619866686730897</v>
      </c>
      <c r="G3975">
        <v>0.117114942780511</v>
      </c>
      <c r="H3975">
        <v>6.7276002287145503E-2</v>
      </c>
      <c r="I3975">
        <v>3.8265113436335402E-2</v>
      </c>
      <c r="J3975">
        <v>3.59639178666291E-2</v>
      </c>
      <c r="K3975">
        <v>3.3914932625980602E-2</v>
      </c>
      <c r="L3975">
        <v>2327.5378256600002</v>
      </c>
      <c r="M3975">
        <v>45.858283255221799</v>
      </c>
      <c r="N3975">
        <v>50.856774616649801</v>
      </c>
      <c r="O3975">
        <v>50.658780576723601</v>
      </c>
      <c r="P3975">
        <v>-0.216387765517915</v>
      </c>
      <c r="Q3975">
        <v>4.3843222418224997E-2</v>
      </c>
      <c r="R3975">
        <v>0.990361000504273</v>
      </c>
      <c r="S3975" t="s">
        <v>10377</v>
      </c>
      <c r="T3975" t="s">
        <v>12802</v>
      </c>
      <c r="U3975" t="s">
        <v>12802</v>
      </c>
      <c r="V3975" t="s">
        <v>12802</v>
      </c>
      <c r="W3975" t="s">
        <v>16719</v>
      </c>
      <c r="X3975">
        <v>19</v>
      </c>
      <c r="Y3975" t="s">
        <v>22948</v>
      </c>
      <c r="Z3975" t="s">
        <v>29293</v>
      </c>
      <c r="AA3975">
        <v>0.48478811181876402</v>
      </c>
      <c r="AB3975" t="str">
        <f>HYPERLINK("Melting_Curves/meltCurve_Q6NUQ4_2_TMEM214.pdf", "Melting_Curves/meltCurve_Q6NUQ4_2_TMEM214.pdf")</f>
        <v>Melting_Curves/meltCurve_Q6NUQ4_2_TMEM214.pdf</v>
      </c>
    </row>
    <row r="3976" spans="1:28" x14ac:dyDescent="0.25">
      <c r="A3976" t="s">
        <v>3980</v>
      </c>
      <c r="B3976">
        <v>0.99542014353169495</v>
      </c>
      <c r="C3976">
        <v>1.0839903308166201</v>
      </c>
      <c r="D3976">
        <v>0.92169742745288996</v>
      </c>
      <c r="E3976">
        <v>0.76202119055488104</v>
      </c>
      <c r="F3976">
        <v>0.54448204509879305</v>
      </c>
      <c r="G3976">
        <v>0.33899111156440898</v>
      </c>
      <c r="H3976">
        <v>0.26785903194237598</v>
      </c>
      <c r="I3976">
        <v>0.23208703270609901</v>
      </c>
      <c r="J3976">
        <v>0.26035674028110001</v>
      </c>
      <c r="K3976">
        <v>0.294018338564417</v>
      </c>
      <c r="L3976">
        <v>953.55153274968097</v>
      </c>
      <c r="M3976">
        <v>19.589186964960501</v>
      </c>
      <c r="N3976">
        <v>50.457185118304501</v>
      </c>
      <c r="O3976">
        <v>48.178680214107203</v>
      </c>
      <c r="P3976">
        <v>-7.6294791304545501E-2</v>
      </c>
      <c r="Q3976">
        <v>0.24945277424278101</v>
      </c>
      <c r="R3976">
        <v>0.98678315034255104</v>
      </c>
      <c r="S3976" t="s">
        <v>10378</v>
      </c>
      <c r="T3976" t="s">
        <v>12802</v>
      </c>
      <c r="U3976" t="s">
        <v>12802</v>
      </c>
      <c r="V3976" t="s">
        <v>12802</v>
      </c>
      <c r="W3976" t="s">
        <v>16720</v>
      </c>
      <c r="X3976">
        <v>1</v>
      </c>
      <c r="Y3976" t="s">
        <v>22949</v>
      </c>
      <c r="Z3976" t="s">
        <v>29294</v>
      </c>
      <c r="AA3976">
        <v>0.55186815126091482</v>
      </c>
      <c r="AB3976" t="str">
        <f>HYPERLINK("Melting_Curves/meltCurve_Q6NVH7_SWSAP1.pdf", "Melting_Curves/meltCurve_Q6NVH7_SWSAP1.pdf")</f>
        <v>Melting_Curves/meltCurve_Q6NVH7_SWSAP1.pdf</v>
      </c>
    </row>
    <row r="3977" spans="1:28" x14ac:dyDescent="0.25">
      <c r="A3977" t="s">
        <v>3981</v>
      </c>
      <c r="B3977">
        <v>0.99542014353169495</v>
      </c>
      <c r="C3977">
        <v>0.96845033595220598</v>
      </c>
      <c r="D3977">
        <v>0.85284665975501806</v>
      </c>
      <c r="E3977">
        <v>0.79171190076913101</v>
      </c>
      <c r="F3977">
        <v>0.45399002017545598</v>
      </c>
      <c r="G3977">
        <v>0.110837717375409</v>
      </c>
      <c r="H3977">
        <v>7.1522902802769295E-2</v>
      </c>
      <c r="I3977">
        <v>4.7950491740980102E-2</v>
      </c>
      <c r="J3977">
        <v>4.0302619784054097E-2</v>
      </c>
      <c r="K3977">
        <v>3.7946009098655399E-2</v>
      </c>
      <c r="L3977">
        <v>995.14262342627796</v>
      </c>
      <c r="M3977">
        <v>20.191981461852599</v>
      </c>
      <c r="N3977">
        <v>49.383180112916598</v>
      </c>
      <c r="O3977">
        <v>48.808296595433902</v>
      </c>
      <c r="P3977">
        <v>-0.10137403762276399</v>
      </c>
      <c r="Q3977">
        <v>1.9860626309431299E-2</v>
      </c>
      <c r="R3977">
        <v>0.98995335148910801</v>
      </c>
      <c r="S3977" t="s">
        <v>10379</v>
      </c>
      <c r="T3977" t="s">
        <v>12802</v>
      </c>
      <c r="U3977" t="s">
        <v>12802</v>
      </c>
      <c r="V3977" t="s">
        <v>12802</v>
      </c>
      <c r="W3977" t="s">
        <v>16721</v>
      </c>
      <c r="X3977">
        <v>10</v>
      </c>
      <c r="Y3977" t="s">
        <v>22950</v>
      </c>
      <c r="Z3977" t="s">
        <v>29295</v>
      </c>
      <c r="AA3977">
        <v>0.43389237920877538</v>
      </c>
      <c r="AB3977" t="str">
        <f>HYPERLINK("Melting_Curves/meltCurve_Q6NVY1_HIBCH.pdf", "Melting_Curves/meltCurve_Q6NVY1_HIBCH.pdf")</f>
        <v>Melting_Curves/meltCurve_Q6NVY1_HIBCH.pdf</v>
      </c>
    </row>
    <row r="3978" spans="1:28" x14ac:dyDescent="0.25">
      <c r="A3978" t="s">
        <v>3982</v>
      </c>
      <c r="B3978">
        <v>0.99542014353169495</v>
      </c>
      <c r="C3978">
        <v>0.85400168842645396</v>
      </c>
      <c r="D3978">
        <v>0.40686394346980698</v>
      </c>
      <c r="E3978">
        <v>0.163404223283143</v>
      </c>
      <c r="F3978">
        <v>7.8409979011402203E-2</v>
      </c>
      <c r="G3978">
        <v>4.7483585639676702E-2</v>
      </c>
      <c r="H3978">
        <v>4.0061388608660202E-2</v>
      </c>
      <c r="I3978">
        <v>2.7639079795009801E-2</v>
      </c>
      <c r="J3978">
        <v>1.89234352351224E-2</v>
      </c>
      <c r="K3978">
        <v>2.6074289055120301E-2</v>
      </c>
      <c r="L3978">
        <v>1068.9188380662999</v>
      </c>
      <c r="M3978">
        <v>25.217532498348302</v>
      </c>
      <c r="N3978">
        <v>42.524164002543003</v>
      </c>
      <c r="O3978">
        <v>42.124087378727197</v>
      </c>
      <c r="P3978">
        <v>-0.14385674091335901</v>
      </c>
      <c r="Q3978">
        <v>3.8803396929268798E-2</v>
      </c>
      <c r="R3978">
        <v>0.99680660159435197</v>
      </c>
      <c r="S3978" t="s">
        <v>10380</v>
      </c>
      <c r="T3978" t="s">
        <v>12802</v>
      </c>
      <c r="U3978" t="s">
        <v>12802</v>
      </c>
      <c r="V3978" t="s">
        <v>12802</v>
      </c>
      <c r="W3978" t="s">
        <v>16722</v>
      </c>
      <c r="X3978">
        <v>11</v>
      </c>
      <c r="Y3978" t="s">
        <v>22951</v>
      </c>
      <c r="Z3978" t="s">
        <v>29296</v>
      </c>
      <c r="AA3978">
        <v>0.2195689409818038</v>
      </c>
      <c r="AB3978" t="str">
        <f>HYPERLINK("Melting_Curves/meltCurve_Q6NXE6_2_ARMC6.pdf", "Melting_Curves/meltCurve_Q6NXE6_2_ARMC6.pdf")</f>
        <v>Melting_Curves/meltCurve_Q6NXE6_2_ARMC6.pdf</v>
      </c>
    </row>
    <row r="3979" spans="1:28" x14ac:dyDescent="0.25">
      <c r="A3979" t="s">
        <v>3983</v>
      </c>
      <c r="B3979">
        <v>0.99542014353169495</v>
      </c>
      <c r="C3979">
        <v>1.10098561150172</v>
      </c>
      <c r="D3979">
        <v>1.05909338760551</v>
      </c>
      <c r="E3979">
        <v>0.599001662470241</v>
      </c>
      <c r="F3979">
        <v>0.44197817087177599</v>
      </c>
      <c r="G3979">
        <v>0.26270203955583998</v>
      </c>
      <c r="H3979">
        <v>0.16801599392538</v>
      </c>
      <c r="I3979">
        <v>0.12295315952230999</v>
      </c>
      <c r="J3979">
        <v>0.14771367654363299</v>
      </c>
      <c r="K3979">
        <v>0.174198276643415</v>
      </c>
      <c r="L3979">
        <v>1031.9658838621799</v>
      </c>
      <c r="M3979">
        <v>21.537602640640898</v>
      </c>
      <c r="N3979">
        <v>48.759604761821599</v>
      </c>
      <c r="O3979">
        <v>47.507272256529902</v>
      </c>
      <c r="P3979">
        <v>-9.5688236303270502E-2</v>
      </c>
      <c r="Q3979">
        <v>0.1557505267996</v>
      </c>
      <c r="R3979">
        <v>0.96909408249475404</v>
      </c>
      <c r="S3979" t="s">
        <v>10381</v>
      </c>
      <c r="T3979" t="s">
        <v>12802</v>
      </c>
      <c r="U3979" t="s">
        <v>12802</v>
      </c>
      <c r="V3979" t="s">
        <v>12802</v>
      </c>
      <c r="W3979" t="s">
        <v>16723</v>
      </c>
      <c r="X3979">
        <v>4</v>
      </c>
      <c r="Y3979" t="s">
        <v>22952</v>
      </c>
      <c r="Z3979" t="s">
        <v>29297</v>
      </c>
      <c r="AA3979">
        <v>0.47252798700477938</v>
      </c>
      <c r="AB3979" t="str">
        <f>HYPERLINK("Melting_Curves/meltCurve_Q6NXT1_ANKRD54.pdf", "Melting_Curves/meltCurve_Q6NXT1_ANKRD54.pdf")</f>
        <v>Melting_Curves/meltCurve_Q6NXT1_ANKRD54.pdf</v>
      </c>
    </row>
    <row r="3980" spans="1:28" x14ac:dyDescent="0.25">
      <c r="A3980" t="s">
        <v>3984</v>
      </c>
      <c r="B3980">
        <v>0.99542014353169495</v>
      </c>
      <c r="C3980">
        <v>0.93672771815292499</v>
      </c>
      <c r="D3980">
        <v>0.95863504003963995</v>
      </c>
      <c r="E3980">
        <v>0.79665822443706102</v>
      </c>
      <c r="F3980">
        <v>0.67713884106278799</v>
      </c>
      <c r="G3980">
        <v>0.42803610343857301</v>
      </c>
      <c r="H3980">
        <v>0.37541266200062001</v>
      </c>
      <c r="I3980">
        <v>0.35705948105971902</v>
      </c>
      <c r="J3980">
        <v>0.50512328329627698</v>
      </c>
      <c r="K3980">
        <v>0.53030863452341304</v>
      </c>
      <c r="L3980">
        <v>1048.76518053308</v>
      </c>
      <c r="M3980">
        <v>21.695980206470502</v>
      </c>
      <c r="N3980">
        <v>53.221435305913801</v>
      </c>
      <c r="O3980">
        <v>47.9341221243509</v>
      </c>
      <c r="P3980">
        <v>-6.4310814170890906E-2</v>
      </c>
      <c r="Q3980">
        <v>0.43167199605721801</v>
      </c>
      <c r="R3980">
        <v>0.93062629176023404</v>
      </c>
      <c r="S3980" t="s">
        <v>10382</v>
      </c>
      <c r="T3980" t="s">
        <v>12802</v>
      </c>
      <c r="U3980" t="s">
        <v>12802</v>
      </c>
      <c r="V3980" t="s">
        <v>12802</v>
      </c>
      <c r="W3980" t="s">
        <v>16724</v>
      </c>
      <c r="X3980">
        <v>9</v>
      </c>
      <c r="Y3980" t="s">
        <v>22953</v>
      </c>
      <c r="Z3980" t="s">
        <v>29298</v>
      </c>
      <c r="AA3980">
        <v>0.6528927476768881</v>
      </c>
      <c r="AB3980" t="str">
        <f>HYPERLINK("Melting_Curves/meltCurve_Q6NXT6_TAPT1.pdf", "Melting_Curves/meltCurve_Q6NXT6_TAPT1.pdf")</f>
        <v>Melting_Curves/meltCurve_Q6NXT6_TAPT1.pdf</v>
      </c>
    </row>
    <row r="3981" spans="1:28" x14ac:dyDescent="0.25">
      <c r="A3981" t="s">
        <v>3985</v>
      </c>
      <c r="B3981">
        <v>0.99542014353169495</v>
      </c>
      <c r="C3981">
        <v>1.0895104445552599</v>
      </c>
      <c r="D3981">
        <v>1.00174550532351</v>
      </c>
      <c r="E3981">
        <v>0.77281417953486897</v>
      </c>
      <c r="F3981">
        <v>0.40190416834005999</v>
      </c>
      <c r="G3981">
        <v>0.18683198889959399</v>
      </c>
      <c r="H3981">
        <v>0.12101683616919499</v>
      </c>
      <c r="I3981">
        <v>8.5636647839556601E-2</v>
      </c>
      <c r="J3981">
        <v>0.10208671782145499</v>
      </c>
      <c r="K3981">
        <v>0.13833173831018999</v>
      </c>
      <c r="L3981">
        <v>1250.10367546269</v>
      </c>
      <c r="M3981">
        <v>25.648106485870901</v>
      </c>
      <c r="N3981">
        <v>49.203840080250004</v>
      </c>
      <c r="O3981">
        <v>48.447177998765603</v>
      </c>
      <c r="P3981">
        <v>-0.118155426600842</v>
      </c>
      <c r="Q3981">
        <v>0.107267040714881</v>
      </c>
      <c r="R3981">
        <v>0.99290851687117598</v>
      </c>
      <c r="S3981" t="s">
        <v>10383</v>
      </c>
      <c r="T3981" t="s">
        <v>12802</v>
      </c>
      <c r="U3981" t="s">
        <v>12802</v>
      </c>
      <c r="V3981" t="s">
        <v>12802</v>
      </c>
      <c r="W3981" t="s">
        <v>16725</v>
      </c>
      <c r="X3981">
        <v>12</v>
      </c>
      <c r="Y3981" t="s">
        <v>22954</v>
      </c>
      <c r="Z3981" t="s">
        <v>29299</v>
      </c>
      <c r="AA3981">
        <v>0.46395243021552268</v>
      </c>
      <c r="AB3981" t="str">
        <f>HYPERLINK("Melting_Curves/meltCurve_Q6NYC8_PPP1R18.pdf", "Melting_Curves/meltCurve_Q6NYC8_PPP1R18.pdf")</f>
        <v>Melting_Curves/meltCurve_Q6NYC8_PPP1R18.pdf</v>
      </c>
    </row>
    <row r="3982" spans="1:28" x14ac:dyDescent="0.25">
      <c r="A3982" t="s">
        <v>3986</v>
      </c>
      <c r="B3982">
        <v>0.99542014353169495</v>
      </c>
      <c r="C3982">
        <v>0.91752517570750602</v>
      </c>
      <c r="D3982">
        <v>0.94488030008289203</v>
      </c>
      <c r="E3982">
        <v>0.63591011377930196</v>
      </c>
      <c r="F3982">
        <v>0.34252696103731001</v>
      </c>
      <c r="G3982">
        <v>0.16644935236400299</v>
      </c>
      <c r="H3982">
        <v>9.3062299991895595E-2</v>
      </c>
      <c r="I3982">
        <v>6.0591725454872902E-2</v>
      </c>
      <c r="J3982">
        <v>6.5871418170378504E-2</v>
      </c>
      <c r="K3982">
        <v>7.2627908027639701E-2</v>
      </c>
      <c r="L3982">
        <v>913.57083622037101</v>
      </c>
      <c r="M3982">
        <v>19.0675414342723</v>
      </c>
      <c r="N3982">
        <v>48.223816262473299</v>
      </c>
      <c r="O3982">
        <v>47.394692100068703</v>
      </c>
      <c r="P3982">
        <v>-9.4755214329315607E-2</v>
      </c>
      <c r="Q3982">
        <v>5.7934621948292499E-2</v>
      </c>
      <c r="R3982">
        <v>0.99574463904122301</v>
      </c>
      <c r="S3982" t="s">
        <v>10384</v>
      </c>
      <c r="T3982" t="s">
        <v>12802</v>
      </c>
      <c r="U3982" t="s">
        <v>12802</v>
      </c>
      <c r="V3982" t="s">
        <v>12802</v>
      </c>
      <c r="W3982" t="s">
        <v>16726</v>
      </c>
      <c r="X3982">
        <v>16</v>
      </c>
      <c r="Y3982" t="s">
        <v>22955</v>
      </c>
      <c r="Z3982" t="s">
        <v>29300</v>
      </c>
      <c r="AA3982">
        <v>0.41414454385028587</v>
      </c>
      <c r="AB3982" t="str">
        <f>HYPERLINK("Melting_Curves/meltCurve_Q6NZI2_PTRF.pdf", "Melting_Curves/meltCurve_Q6NZI2_PTRF.pdf")</f>
        <v>Melting_Curves/meltCurve_Q6NZI2_PTRF.pdf</v>
      </c>
    </row>
    <row r="3983" spans="1:28" x14ac:dyDescent="0.25">
      <c r="A3983" t="s">
        <v>3987</v>
      </c>
      <c r="B3983">
        <v>0.99542014353169495</v>
      </c>
      <c r="C3983">
        <v>0.90776019313042899</v>
      </c>
      <c r="D3983">
        <v>0.98387034551978303</v>
      </c>
      <c r="E3983">
        <v>0.92101157042487702</v>
      </c>
      <c r="F3983">
        <v>0.851334336543486</v>
      </c>
      <c r="G3983">
        <v>0.24773289701786899</v>
      </c>
      <c r="H3983">
        <v>0.142724695306053</v>
      </c>
      <c r="I3983">
        <v>0.103491457940451</v>
      </c>
      <c r="J3983">
        <v>0.104378375446895</v>
      </c>
      <c r="K3983">
        <v>0.124897772377338</v>
      </c>
      <c r="L3983">
        <v>2425.0170137331102</v>
      </c>
      <c r="M3983">
        <v>46.760138080327501</v>
      </c>
      <c r="N3983">
        <v>52.152762266491997</v>
      </c>
      <c r="O3983">
        <v>51.766191481449098</v>
      </c>
      <c r="P3983">
        <v>-0.19981680448290801</v>
      </c>
      <c r="Q3983">
        <v>0.115165737025339</v>
      </c>
      <c r="R3983">
        <v>0.99042436561854996</v>
      </c>
      <c r="S3983" t="s">
        <v>10385</v>
      </c>
      <c r="T3983" t="s">
        <v>12802</v>
      </c>
      <c r="U3983" t="s">
        <v>12802</v>
      </c>
      <c r="V3983" t="s">
        <v>12802</v>
      </c>
      <c r="W3983" t="s">
        <v>16727</v>
      </c>
      <c r="X3983">
        <v>11</v>
      </c>
      <c r="Y3983" t="s">
        <v>22956</v>
      </c>
      <c r="Z3983" t="s">
        <v>29301</v>
      </c>
      <c r="AA3983">
        <v>0.55579125037106414</v>
      </c>
      <c r="AB3983" t="str">
        <f>HYPERLINK("Melting_Curves/meltCurve_Q6NZY4_ZCCHC8.pdf", "Melting_Curves/meltCurve_Q6NZY4_ZCCHC8.pdf")</f>
        <v>Melting_Curves/meltCurve_Q6NZY4_ZCCHC8.pdf</v>
      </c>
    </row>
    <row r="3984" spans="1:28" x14ac:dyDescent="0.25">
      <c r="A3984" t="s">
        <v>3988</v>
      </c>
      <c r="B3984">
        <v>0.99542014353169495</v>
      </c>
      <c r="C3984">
        <v>0.97183741260913503</v>
      </c>
      <c r="D3984">
        <v>0.98833376742669499</v>
      </c>
      <c r="E3984">
        <v>0.803783217953567</v>
      </c>
      <c r="F3984">
        <v>0.37257074726637301</v>
      </c>
      <c r="G3984">
        <v>0.160132335468474</v>
      </c>
      <c r="H3984">
        <v>9.0417907009223406E-2</v>
      </c>
      <c r="I3984">
        <v>7.1526467494331003E-2</v>
      </c>
      <c r="J3984">
        <v>6.4653335880725096E-2</v>
      </c>
      <c r="K3984">
        <v>3.0979417630087699E-2</v>
      </c>
      <c r="L3984">
        <v>1255.0059230990501</v>
      </c>
      <c r="M3984">
        <v>25.633309810186098</v>
      </c>
      <c r="N3984">
        <v>49.199836371099998</v>
      </c>
      <c r="O3984">
        <v>48.6649207286723</v>
      </c>
      <c r="P3984">
        <v>-0.123949240811332</v>
      </c>
      <c r="Q3984">
        <v>5.8739714183934102E-2</v>
      </c>
      <c r="R3984">
        <v>0.99861303823717495</v>
      </c>
      <c r="S3984" t="s">
        <v>10386</v>
      </c>
      <c r="T3984" t="s">
        <v>12802</v>
      </c>
      <c r="U3984" t="s">
        <v>12802</v>
      </c>
      <c r="V3984" t="s">
        <v>12802</v>
      </c>
      <c r="W3984" t="s">
        <v>16728</v>
      </c>
      <c r="X3984">
        <v>4</v>
      </c>
      <c r="Y3984" t="s">
        <v>22957</v>
      </c>
      <c r="Z3984" t="s">
        <v>29302</v>
      </c>
      <c r="AA3984">
        <v>0.44172993255801779</v>
      </c>
      <c r="AB3984" t="str">
        <f>HYPERLINK("Melting_Curves/meltCurve_Q6P087_2_RPUSD3.pdf", "Melting_Curves/meltCurve_Q6P087_2_RPUSD3.pdf")</f>
        <v>Melting_Curves/meltCurve_Q6P087_2_RPUSD3.pdf</v>
      </c>
    </row>
    <row r="3985" spans="1:28" x14ac:dyDescent="0.25">
      <c r="A3985" t="s">
        <v>3989</v>
      </c>
      <c r="B3985">
        <v>0.99542014353169495</v>
      </c>
      <c r="C3985">
        <v>1.07272403149911</v>
      </c>
      <c r="D3985">
        <v>1.01629122540538</v>
      </c>
      <c r="E3985">
        <v>1.1131380597292699</v>
      </c>
      <c r="F3985">
        <v>0.95567471513646995</v>
      </c>
      <c r="G3985">
        <v>0.88345743194605797</v>
      </c>
      <c r="H3985">
        <v>0.55233489966125704</v>
      </c>
      <c r="I3985">
        <v>0.467116349489481</v>
      </c>
      <c r="J3985">
        <v>0.54211303366743402</v>
      </c>
      <c r="K3985">
        <v>0.60911210573749697</v>
      </c>
      <c r="L3985">
        <v>3912.4300582532701</v>
      </c>
      <c r="M3985">
        <v>71.646881013720602</v>
      </c>
      <c r="O3985">
        <v>54.5646272659611</v>
      </c>
      <c r="P3985">
        <v>-0.15125848470815001</v>
      </c>
      <c r="Q3985">
        <v>0.53922007498732205</v>
      </c>
      <c r="R3985">
        <v>0.94566465198627703</v>
      </c>
      <c r="S3985" t="s">
        <v>10387</v>
      </c>
      <c r="T3985" t="s">
        <v>12802</v>
      </c>
      <c r="U3985" t="s">
        <v>12802</v>
      </c>
      <c r="V3985" t="s">
        <v>12802</v>
      </c>
      <c r="W3985" t="s">
        <v>16729</v>
      </c>
      <c r="X3985">
        <v>1</v>
      </c>
      <c r="Y3985" t="s">
        <v>22958</v>
      </c>
      <c r="Z3985" t="s">
        <v>29303</v>
      </c>
      <c r="AA3985">
        <v>0.81019266240848553</v>
      </c>
      <c r="AB3985" t="str">
        <f>HYPERLINK("Melting_Curves/meltCurve_Q6P161_MRPL54.pdf", "Melting_Curves/meltCurve_Q6P161_MRPL54.pdf")</f>
        <v>Melting_Curves/meltCurve_Q6P161_MRPL54.pdf</v>
      </c>
    </row>
    <row r="3986" spans="1:28" x14ac:dyDescent="0.25">
      <c r="A3986" t="s">
        <v>3990</v>
      </c>
      <c r="B3986">
        <v>0.99542014353169495</v>
      </c>
      <c r="C3986">
        <v>0.878789947976088</v>
      </c>
      <c r="D3986">
        <v>0.86536097010225399</v>
      </c>
      <c r="E3986">
        <v>0.48113382986594999</v>
      </c>
      <c r="F3986">
        <v>0.206122952968603</v>
      </c>
      <c r="G3986">
        <v>0.12624437870528901</v>
      </c>
      <c r="H3986">
        <v>6.89408685989919E-2</v>
      </c>
      <c r="I3986">
        <v>4.5486778671191101E-2</v>
      </c>
      <c r="J3986">
        <v>5.1640471302494301E-2</v>
      </c>
      <c r="K3986">
        <v>4.8789010207483802E-2</v>
      </c>
      <c r="L3986">
        <v>892.47001835017602</v>
      </c>
      <c r="M3986">
        <v>19.285091956114002</v>
      </c>
      <c r="N3986">
        <v>46.510712967871797</v>
      </c>
      <c r="O3986">
        <v>45.788734943638197</v>
      </c>
      <c r="P3986">
        <v>-0.100449438186183</v>
      </c>
      <c r="Q3986">
        <v>4.6044526896070699E-2</v>
      </c>
      <c r="R3986">
        <v>0.99355636469547703</v>
      </c>
      <c r="S3986" t="s">
        <v>10388</v>
      </c>
      <c r="T3986" t="s">
        <v>12802</v>
      </c>
      <c r="U3986" t="s">
        <v>12802</v>
      </c>
      <c r="V3986" t="s">
        <v>12802</v>
      </c>
      <c r="W3986" t="s">
        <v>16730</v>
      </c>
      <c r="X3986">
        <v>21</v>
      </c>
      <c r="Y3986" t="s">
        <v>22959</v>
      </c>
      <c r="Z3986" t="s">
        <v>29304</v>
      </c>
      <c r="AA3986">
        <v>0.3544761904687827</v>
      </c>
      <c r="AB3986" t="str">
        <f>HYPERLINK("Melting_Curves/meltCurve_Q6P1J9_CDC73.pdf", "Melting_Curves/meltCurve_Q6P1J9_CDC73.pdf")</f>
        <v>Melting_Curves/meltCurve_Q6P1J9_CDC73.pdf</v>
      </c>
    </row>
    <row r="3987" spans="1:28" x14ac:dyDescent="0.25">
      <c r="A3987" t="s">
        <v>3991</v>
      </c>
      <c r="B3987">
        <v>0.99542014353169495</v>
      </c>
      <c r="C3987">
        <v>0.91239659391890504</v>
      </c>
      <c r="D3987">
        <v>0.93867216526316199</v>
      </c>
      <c r="E3987">
        <v>0.75447833585901902</v>
      </c>
      <c r="F3987">
        <v>0.42332224305949001</v>
      </c>
      <c r="G3987">
        <v>0.166500439774424</v>
      </c>
      <c r="H3987">
        <v>0.11884430745859099</v>
      </c>
      <c r="I3987">
        <v>8.6359335063686593E-2</v>
      </c>
      <c r="J3987">
        <v>8.5985253779241905E-2</v>
      </c>
      <c r="K3987">
        <v>0.125894993210518</v>
      </c>
      <c r="L3987">
        <v>1039.5623228557299</v>
      </c>
      <c r="M3987">
        <v>21.326519320758901</v>
      </c>
      <c r="N3987">
        <v>49.184102873331099</v>
      </c>
      <c r="O3987">
        <v>48.322554002784798</v>
      </c>
      <c r="P3987">
        <v>-0.100773983603043</v>
      </c>
      <c r="Q3987">
        <v>8.6671123986230197E-2</v>
      </c>
      <c r="R3987">
        <v>0.99348572514334099</v>
      </c>
      <c r="S3987" t="s">
        <v>10389</v>
      </c>
      <c r="T3987" t="s">
        <v>12802</v>
      </c>
      <c r="U3987" t="s">
        <v>12802</v>
      </c>
      <c r="V3987" t="s">
        <v>12802</v>
      </c>
      <c r="W3987" t="s">
        <v>16731</v>
      </c>
      <c r="X3987">
        <v>2</v>
      </c>
      <c r="Y3987" t="s">
        <v>22960</v>
      </c>
      <c r="Z3987" t="s">
        <v>29305</v>
      </c>
      <c r="AA3987">
        <v>0.45491275386791918</v>
      </c>
      <c r="AB3987" t="str">
        <f>HYPERLINK("Melting_Curves/meltCurve_Q6P1K2_4_PMF1.pdf", "Melting_Curves/meltCurve_Q6P1K2_4_PMF1.pdf")</f>
        <v>Melting_Curves/meltCurve_Q6P1K2_4_PMF1.pdf</v>
      </c>
    </row>
    <row r="3988" spans="1:28" x14ac:dyDescent="0.25">
      <c r="A3988" t="s">
        <v>3992</v>
      </c>
      <c r="B3988">
        <v>0.99542014353169495</v>
      </c>
      <c r="C3988">
        <v>0.99064125464221997</v>
      </c>
      <c r="D3988">
        <v>0.96108219780808701</v>
      </c>
      <c r="E3988">
        <v>0.65651094961626499</v>
      </c>
      <c r="F3988">
        <v>0.44971684265464201</v>
      </c>
      <c r="G3988">
        <v>0.22275045255725701</v>
      </c>
      <c r="H3988">
        <v>8.8547457682200098E-2</v>
      </c>
      <c r="I3988">
        <v>6.9794657886171702E-2</v>
      </c>
      <c r="J3988">
        <v>7.5026093719803705E-2</v>
      </c>
      <c r="K3988">
        <v>8.0990506976462096E-2</v>
      </c>
      <c r="L3988">
        <v>837.95372281776099</v>
      </c>
      <c r="M3988">
        <v>17.169798760674301</v>
      </c>
      <c r="N3988">
        <v>49.125991726794297</v>
      </c>
      <c r="O3988">
        <v>48.156336398681603</v>
      </c>
      <c r="P3988">
        <v>-8.4396180901612702E-2</v>
      </c>
      <c r="Q3988">
        <v>5.3228422717361598E-2</v>
      </c>
      <c r="R3988">
        <v>0.99477749892576495</v>
      </c>
      <c r="S3988" t="s">
        <v>10390</v>
      </c>
      <c r="T3988" t="s">
        <v>12802</v>
      </c>
      <c r="U3988" t="s">
        <v>12802</v>
      </c>
      <c r="V3988" t="s">
        <v>12802</v>
      </c>
      <c r="W3988" t="s">
        <v>16732</v>
      </c>
      <c r="X3988">
        <v>6</v>
      </c>
      <c r="Y3988" t="s">
        <v>22961</v>
      </c>
      <c r="Z3988" t="s">
        <v>29306</v>
      </c>
      <c r="AA3988">
        <v>0.44211140862580772</v>
      </c>
      <c r="AB3988" t="str">
        <f>HYPERLINK("Melting_Curves/meltCurve_Q6P1K8_GTF2H2C.pdf", "Melting_Curves/meltCurve_Q6P1K8_GTF2H2C.pdf")</f>
        <v>Melting_Curves/meltCurve_Q6P1K8_GTF2H2C.pdf</v>
      </c>
    </row>
    <row r="3989" spans="1:28" x14ac:dyDescent="0.25">
      <c r="A3989" t="s">
        <v>3993</v>
      </c>
      <c r="B3989">
        <v>0.99542014353169495</v>
      </c>
      <c r="C3989">
        <v>0.96699556022476396</v>
      </c>
      <c r="D3989">
        <v>1.0016956571017801</v>
      </c>
      <c r="E3989">
        <v>0.80557488059538696</v>
      </c>
      <c r="F3989">
        <v>0.52710083665865703</v>
      </c>
      <c r="G3989">
        <v>0.27189461508856899</v>
      </c>
      <c r="H3989">
        <v>0.156613553951471</v>
      </c>
      <c r="I3989">
        <v>0.202871215885324</v>
      </c>
      <c r="J3989">
        <v>0.15725328008990799</v>
      </c>
      <c r="K3989">
        <v>0.215877339687295</v>
      </c>
      <c r="L3989">
        <v>1146.00749784141</v>
      </c>
      <c r="M3989">
        <v>23.232727605604399</v>
      </c>
      <c r="N3989">
        <v>50.246676352882503</v>
      </c>
      <c r="O3989">
        <v>48.966191827689798</v>
      </c>
      <c r="P3989">
        <v>-9.8079801353207804E-2</v>
      </c>
      <c r="Q3989">
        <v>0.17314779781550099</v>
      </c>
      <c r="R3989">
        <v>0.99398862573181701</v>
      </c>
      <c r="S3989" t="s">
        <v>10391</v>
      </c>
      <c r="T3989" t="s">
        <v>12802</v>
      </c>
      <c r="U3989" t="s">
        <v>12802</v>
      </c>
      <c r="V3989" t="s">
        <v>12802</v>
      </c>
      <c r="W3989" t="s">
        <v>16733</v>
      </c>
      <c r="X3989">
        <v>5</v>
      </c>
      <c r="Y3989" t="s">
        <v>22962</v>
      </c>
      <c r="Z3989" t="s">
        <v>29307</v>
      </c>
      <c r="AA3989">
        <v>0.52116615658039755</v>
      </c>
      <c r="AB3989" t="str">
        <f>HYPERLINK("Melting_Curves/meltCurve_Q6P1L8_MRPL14.pdf", "Melting_Curves/meltCurve_Q6P1L8_MRPL14.pdf")</f>
        <v>Melting_Curves/meltCurve_Q6P1L8_MRPL14.pdf</v>
      </c>
    </row>
    <row r="3990" spans="1:28" x14ac:dyDescent="0.25">
      <c r="A3990" t="s">
        <v>3994</v>
      </c>
      <c r="B3990">
        <v>0.99542014353169495</v>
      </c>
      <c r="C3990">
        <v>0.946024170784732</v>
      </c>
      <c r="D3990">
        <v>0.98139285504021001</v>
      </c>
      <c r="E3990">
        <v>0.729728719316042</v>
      </c>
      <c r="F3990">
        <v>0.27247097075446503</v>
      </c>
      <c r="G3990">
        <v>0.157394860502936</v>
      </c>
      <c r="H3990">
        <v>0.111032265676049</v>
      </c>
      <c r="I3990">
        <v>7.7571940131425501E-2</v>
      </c>
      <c r="J3990">
        <v>7.8283722219082599E-2</v>
      </c>
      <c r="K3990">
        <v>5.6477624094378003E-2</v>
      </c>
      <c r="L3990">
        <v>1357.94651571554</v>
      </c>
      <c r="M3990">
        <v>28.2907758018302</v>
      </c>
      <c r="N3990">
        <v>48.309275928079302</v>
      </c>
      <c r="O3990">
        <v>47.761712565479797</v>
      </c>
      <c r="P3990">
        <v>-0.13580461568992</v>
      </c>
      <c r="Q3990">
        <v>8.2922620499053107E-2</v>
      </c>
      <c r="R3990">
        <v>0.99656841976427202</v>
      </c>
      <c r="S3990" t="s">
        <v>10392</v>
      </c>
      <c r="T3990" t="s">
        <v>12802</v>
      </c>
      <c r="U3990" t="s">
        <v>12802</v>
      </c>
      <c r="V3990" t="s">
        <v>12802</v>
      </c>
      <c r="W3990" t="s">
        <v>16734</v>
      </c>
      <c r="X3990">
        <v>18</v>
      </c>
      <c r="Y3990" t="s">
        <v>22963</v>
      </c>
      <c r="Z3990" t="s">
        <v>29308</v>
      </c>
      <c r="AA3990">
        <v>0.42528205864052032</v>
      </c>
      <c r="AB3990" t="str">
        <f>HYPERLINK("Melting_Curves/meltCurve_Q6P1M0_SLC27A4.pdf", "Melting_Curves/meltCurve_Q6P1M0_SLC27A4.pdf")</f>
        <v>Melting_Curves/meltCurve_Q6P1M0_SLC27A4.pdf</v>
      </c>
    </row>
    <row r="3991" spans="1:28" x14ac:dyDescent="0.25">
      <c r="A3991" t="s">
        <v>3995</v>
      </c>
      <c r="B3991">
        <v>0.99542014353169495</v>
      </c>
      <c r="C3991">
        <v>1.0315985313206</v>
      </c>
      <c r="D3991">
        <v>0.90095192960066395</v>
      </c>
      <c r="E3991">
        <v>0.71157003962908705</v>
      </c>
      <c r="F3991">
        <v>0.36364656762771203</v>
      </c>
      <c r="G3991">
        <v>0.11827359590321</v>
      </c>
      <c r="H3991">
        <v>8.1968027820624803E-2</v>
      </c>
      <c r="I3991">
        <v>4.8630182485904699E-2</v>
      </c>
      <c r="J3991">
        <v>5.9977857374827401E-2</v>
      </c>
      <c r="K3991">
        <v>5.7674366581069503E-2</v>
      </c>
      <c r="L3991">
        <v>1022.0489013047199</v>
      </c>
      <c r="M3991">
        <v>21.121049565107199</v>
      </c>
      <c r="N3991">
        <v>48.605856306551402</v>
      </c>
      <c r="O3991">
        <v>47.962551848818997</v>
      </c>
      <c r="P3991">
        <v>-0.10516717534809</v>
      </c>
      <c r="Q3991">
        <v>4.4753406086227E-2</v>
      </c>
      <c r="R3991">
        <v>0.99728411552901997</v>
      </c>
      <c r="S3991" t="s">
        <v>10393</v>
      </c>
      <c r="T3991" t="s">
        <v>12802</v>
      </c>
      <c r="U3991" t="s">
        <v>12802</v>
      </c>
      <c r="V3991" t="s">
        <v>12802</v>
      </c>
      <c r="W3991" t="s">
        <v>16735</v>
      </c>
      <c r="X3991">
        <v>18</v>
      </c>
      <c r="Y3991" t="s">
        <v>22964</v>
      </c>
      <c r="Z3991" t="s">
        <v>29309</v>
      </c>
      <c r="AA3991">
        <v>0.41877228454643972</v>
      </c>
      <c r="AB3991" t="str">
        <f>HYPERLINK("Melting_Curves/meltCurve_Q6P1N0_2_CC2D1A.pdf", "Melting_Curves/meltCurve_Q6P1N0_2_CC2D1A.pdf")</f>
        <v>Melting_Curves/meltCurve_Q6P1N0_2_CC2D1A.pdf</v>
      </c>
    </row>
    <row r="3992" spans="1:28" x14ac:dyDescent="0.25">
      <c r="A3992" t="s">
        <v>3996</v>
      </c>
      <c r="B3992">
        <v>0.99542014353169495</v>
      </c>
      <c r="C3992">
        <v>1.0574616588075501</v>
      </c>
      <c r="D3992">
        <v>0.95192675658158898</v>
      </c>
      <c r="E3992">
        <v>0.55974761288709396</v>
      </c>
      <c r="F3992">
        <v>0.18674371307661999</v>
      </c>
      <c r="G3992">
        <v>0.11687980750162</v>
      </c>
      <c r="H3992">
        <v>7.4991404319007096E-2</v>
      </c>
      <c r="I3992">
        <v>5.66349402462753E-2</v>
      </c>
      <c r="J3992">
        <v>5.8689986731343402E-2</v>
      </c>
      <c r="K3992">
        <v>8.1760010172637496E-2</v>
      </c>
      <c r="L3992">
        <v>1419.8204031560699</v>
      </c>
      <c r="M3992">
        <v>30.332432764487699</v>
      </c>
      <c r="N3992">
        <v>47.056865820627003</v>
      </c>
      <c r="O3992">
        <v>46.606614852079801</v>
      </c>
      <c r="P3992">
        <v>-0.150678157641948</v>
      </c>
      <c r="Q3992">
        <v>7.3921290033052103E-2</v>
      </c>
      <c r="R3992">
        <v>0.99677932026154004</v>
      </c>
      <c r="S3992" t="s">
        <v>10394</v>
      </c>
      <c r="T3992" t="s">
        <v>12802</v>
      </c>
      <c r="U3992" t="s">
        <v>12802</v>
      </c>
      <c r="V3992" t="s">
        <v>12802</v>
      </c>
      <c r="W3992" t="s">
        <v>16736</v>
      </c>
      <c r="X3992">
        <v>10</v>
      </c>
      <c r="Y3992" t="s">
        <v>22965</v>
      </c>
      <c r="Z3992" t="s">
        <v>29310</v>
      </c>
      <c r="AA3992">
        <v>0.38195217854110658</v>
      </c>
      <c r="AB3992" t="str">
        <f>HYPERLINK("Melting_Curves/meltCurve_Q6P1Q9_METTL2B.pdf", "Melting_Curves/meltCurve_Q6P1Q9_METTL2B.pdf")</f>
        <v>Melting_Curves/meltCurve_Q6P1Q9_METTL2B.pdf</v>
      </c>
    </row>
    <row r="3993" spans="1:28" x14ac:dyDescent="0.25">
      <c r="A3993" t="s">
        <v>3997</v>
      </c>
      <c r="B3993">
        <v>0.99542014353169495</v>
      </c>
      <c r="C3993">
        <v>1.01137857901365</v>
      </c>
      <c r="D3993">
        <v>0.897864002654578</v>
      </c>
      <c r="E3993">
        <v>0.62870624117171503</v>
      </c>
      <c r="F3993">
        <v>0.309673516341119</v>
      </c>
      <c r="G3993">
        <v>0.123059246413824</v>
      </c>
      <c r="H3993">
        <v>8.9285097021630094E-2</v>
      </c>
      <c r="I3993">
        <v>5.4017878827105403E-2</v>
      </c>
      <c r="J3993">
        <v>5.46851831996545E-2</v>
      </c>
      <c r="K3993">
        <v>4.0412967906154E-2</v>
      </c>
      <c r="L3993">
        <v>955.65294461033704</v>
      </c>
      <c r="M3993">
        <v>20.0366424754265</v>
      </c>
      <c r="N3993">
        <v>47.921124006417202</v>
      </c>
      <c r="O3993">
        <v>47.227787331861698</v>
      </c>
      <c r="P3993">
        <v>-0.101288171599799</v>
      </c>
      <c r="Q3993">
        <v>4.5057046377974003E-2</v>
      </c>
      <c r="R3993">
        <v>0.99911444108721803</v>
      </c>
      <c r="S3993" t="s">
        <v>10395</v>
      </c>
      <c r="T3993" t="s">
        <v>12802</v>
      </c>
      <c r="U3993" t="s">
        <v>12802</v>
      </c>
      <c r="V3993" t="s">
        <v>12802</v>
      </c>
      <c r="W3993" t="s">
        <v>16737</v>
      </c>
      <c r="X3993">
        <v>8</v>
      </c>
      <c r="Y3993" t="s">
        <v>22966</v>
      </c>
      <c r="Z3993" t="s">
        <v>29311</v>
      </c>
      <c r="AA3993">
        <v>0.3979913151845102</v>
      </c>
      <c r="AB3993" t="str">
        <f>HYPERLINK("Melting_Curves/meltCurve_Q6P1R4_DUS1L.pdf", "Melting_Curves/meltCurve_Q6P1R4_DUS1L.pdf")</f>
        <v>Melting_Curves/meltCurve_Q6P1R4_DUS1L.pdf</v>
      </c>
    </row>
    <row r="3994" spans="1:28" x14ac:dyDescent="0.25">
      <c r="A3994" t="s">
        <v>3998</v>
      </c>
      <c r="B3994">
        <v>0.99542014353169495</v>
      </c>
      <c r="C3994">
        <v>0.92665362528752704</v>
      </c>
      <c r="D3994">
        <v>0.83335655363154804</v>
      </c>
      <c r="E3994">
        <v>0.58476133136852204</v>
      </c>
      <c r="F3994">
        <v>0.35510987678179701</v>
      </c>
      <c r="G3994">
        <v>0.19690857147302501</v>
      </c>
      <c r="H3994">
        <v>0.124934713662064</v>
      </c>
      <c r="I3994">
        <v>6.8291933988419401E-2</v>
      </c>
      <c r="J3994">
        <v>5.8948788151094701E-2</v>
      </c>
      <c r="K3994">
        <v>5.0189892923269898E-2</v>
      </c>
      <c r="L3994">
        <v>659.30813301723401</v>
      </c>
      <c r="M3994">
        <v>13.8325926306882</v>
      </c>
      <c r="N3994">
        <v>47.890629855767202</v>
      </c>
      <c r="O3994">
        <v>46.700352576365397</v>
      </c>
      <c r="P3994">
        <v>-7.1707473745627401E-2</v>
      </c>
      <c r="Q3994">
        <v>3.17650506143414E-2</v>
      </c>
      <c r="R3994">
        <v>0.99953957777090696</v>
      </c>
      <c r="S3994" t="s">
        <v>10396</v>
      </c>
      <c r="T3994" t="s">
        <v>12802</v>
      </c>
      <c r="U3994" t="s">
        <v>12802</v>
      </c>
      <c r="V3994" t="s">
        <v>12802</v>
      </c>
      <c r="W3994" t="s">
        <v>16738</v>
      </c>
      <c r="X3994">
        <v>3</v>
      </c>
      <c r="Y3994" t="s">
        <v>22967</v>
      </c>
      <c r="Z3994" t="s">
        <v>29312</v>
      </c>
      <c r="AA3994">
        <v>0.40054419910906081</v>
      </c>
      <c r="AB3994" t="str">
        <f>HYPERLINK("Melting_Curves/meltCurve_Q6P2C8_2_MED27.pdf", "Melting_Curves/meltCurve_Q6P2C8_2_MED27.pdf")</f>
        <v>Melting_Curves/meltCurve_Q6P2C8_2_MED27.pdf</v>
      </c>
    </row>
    <row r="3995" spans="1:28" x14ac:dyDescent="0.25">
      <c r="A3995" t="s">
        <v>3999</v>
      </c>
      <c r="B3995">
        <v>0.99542014353169495</v>
      </c>
      <c r="C3995">
        <v>0.92366928474560395</v>
      </c>
      <c r="D3995">
        <v>0.95177725554926096</v>
      </c>
      <c r="E3995">
        <v>0.62368168237830801</v>
      </c>
      <c r="F3995">
        <v>0.30457263911170301</v>
      </c>
      <c r="G3995">
        <v>0.16430086504497199</v>
      </c>
      <c r="H3995">
        <v>9.5986060387976496E-2</v>
      </c>
      <c r="I3995">
        <v>5.6540544082074602E-2</v>
      </c>
      <c r="J3995">
        <v>5.8041948387026497E-2</v>
      </c>
      <c r="K3995">
        <v>5.3548599793545502E-2</v>
      </c>
      <c r="L3995">
        <v>960.08153800933701</v>
      </c>
      <c r="M3995">
        <v>20.1232200941668</v>
      </c>
      <c r="N3995">
        <v>47.994907917721797</v>
      </c>
      <c r="O3995">
        <v>47.246453249139002</v>
      </c>
      <c r="P3995">
        <v>-0.10049122369596</v>
      </c>
      <c r="Q3995">
        <v>5.62733016090292E-2</v>
      </c>
      <c r="R3995">
        <v>0.99569134584319896</v>
      </c>
      <c r="S3995" t="s">
        <v>10397</v>
      </c>
      <c r="T3995" t="s">
        <v>12802</v>
      </c>
      <c r="U3995" t="s">
        <v>12802</v>
      </c>
      <c r="V3995" t="s">
        <v>12802</v>
      </c>
      <c r="W3995" t="s">
        <v>16739</v>
      </c>
      <c r="X3995">
        <v>33</v>
      </c>
      <c r="Y3995" t="s">
        <v>22968</v>
      </c>
      <c r="Z3995" t="s">
        <v>29313</v>
      </c>
      <c r="AA3995">
        <v>0.40542933914619639</v>
      </c>
      <c r="AB3995" t="str">
        <f>HYPERLINK("Melting_Curves/meltCurve_Q6P2E9_EDC4.pdf", "Melting_Curves/meltCurve_Q6P2E9_EDC4.pdf")</f>
        <v>Melting_Curves/meltCurve_Q6P2E9_EDC4.pdf</v>
      </c>
    </row>
    <row r="3996" spans="1:28" x14ac:dyDescent="0.25">
      <c r="A3996" t="s">
        <v>4000</v>
      </c>
      <c r="B3996">
        <v>0.99542014353169495</v>
      </c>
      <c r="C3996">
        <v>0.88905756135774805</v>
      </c>
      <c r="D3996">
        <v>0.72419041113816995</v>
      </c>
      <c r="E3996">
        <v>0.30905496216737</v>
      </c>
      <c r="F3996">
        <v>0.140119891617833</v>
      </c>
      <c r="G3996">
        <v>8.1308005627836494E-2</v>
      </c>
      <c r="H3996">
        <v>6.1389663403039897E-2</v>
      </c>
      <c r="I3996">
        <v>4.5125705809153899E-2</v>
      </c>
      <c r="J3996">
        <v>6.8473474493951206E-2</v>
      </c>
      <c r="K3996">
        <v>7.3620757937097298E-2</v>
      </c>
      <c r="L3996">
        <v>947.62776753841501</v>
      </c>
      <c r="M3996">
        <v>21.275980987953801</v>
      </c>
      <c r="N3996">
        <v>44.800751650824701</v>
      </c>
      <c r="O3996">
        <v>44.151917273639199</v>
      </c>
      <c r="P3996">
        <v>-0.11345229572349</v>
      </c>
      <c r="Q3996">
        <v>5.8279191353178897E-2</v>
      </c>
      <c r="R3996">
        <v>0.99781770054659302</v>
      </c>
      <c r="S3996" t="s">
        <v>10398</v>
      </c>
      <c r="T3996" t="s">
        <v>12802</v>
      </c>
      <c r="U3996" t="s">
        <v>12802</v>
      </c>
      <c r="V3996" t="s">
        <v>12802</v>
      </c>
      <c r="W3996" t="s">
        <v>16740</v>
      </c>
      <c r="X3996">
        <v>12</v>
      </c>
      <c r="Y3996" t="s">
        <v>22969</v>
      </c>
      <c r="Z3996" t="s">
        <v>29314</v>
      </c>
      <c r="AA3996">
        <v>0.30586245312560689</v>
      </c>
      <c r="AB3996" t="str">
        <f>HYPERLINK("Melting_Curves/meltCurve_Q6P2H3_2_CEP85.pdf", "Melting_Curves/meltCurve_Q6P2H3_2_CEP85.pdf")</f>
        <v>Melting_Curves/meltCurve_Q6P2H3_2_CEP85.pdf</v>
      </c>
    </row>
    <row r="3997" spans="1:28" x14ac:dyDescent="0.25">
      <c r="A3997" t="s">
        <v>4001</v>
      </c>
      <c r="B3997">
        <v>0.99542014353169495</v>
      </c>
      <c r="C3997">
        <v>0.92316934210034496</v>
      </c>
      <c r="D3997">
        <v>0.98175177822061499</v>
      </c>
      <c r="E3997">
        <v>0.73947052798891399</v>
      </c>
      <c r="F3997">
        <v>0.548982615518124</v>
      </c>
      <c r="G3997">
        <v>0.16032036235484001</v>
      </c>
      <c r="H3997">
        <v>0.16239005468359599</v>
      </c>
      <c r="I3997">
        <v>5.6087273916985002E-2</v>
      </c>
      <c r="J3997">
        <v>0.52091033724244196</v>
      </c>
      <c r="K3997">
        <v>6.07705427914699E-2</v>
      </c>
      <c r="L3997">
        <v>1136.13636336472</v>
      </c>
      <c r="M3997">
        <v>23.300421419942499</v>
      </c>
      <c r="N3997">
        <v>49.712931358804099</v>
      </c>
      <c r="O3997">
        <v>48.405434672838702</v>
      </c>
      <c r="P3997">
        <v>-9.8672720687712198E-2</v>
      </c>
      <c r="Q3997">
        <v>0.18006446214236199</v>
      </c>
      <c r="R3997">
        <v>0.86893800796086695</v>
      </c>
      <c r="S3997" t="s">
        <v>10399</v>
      </c>
      <c r="T3997" t="s">
        <v>12802</v>
      </c>
      <c r="U3997" t="s">
        <v>12802</v>
      </c>
      <c r="V3997" t="s">
        <v>12802</v>
      </c>
      <c r="W3997" t="s">
        <v>16741</v>
      </c>
      <c r="X3997">
        <v>7</v>
      </c>
      <c r="Y3997" t="s">
        <v>22970</v>
      </c>
      <c r="Z3997" t="s">
        <v>29315</v>
      </c>
      <c r="AA3997">
        <v>0.50958416326500833</v>
      </c>
      <c r="AB3997" t="str">
        <f>HYPERLINK("Melting_Curves/meltCurve_Q6P2P2_PRMT10.pdf", "Melting_Curves/meltCurve_Q6P2P2_PRMT10.pdf")</f>
        <v>Melting_Curves/meltCurve_Q6P2P2_PRMT10.pdf</v>
      </c>
    </row>
    <row r="3998" spans="1:28" x14ac:dyDescent="0.25">
      <c r="A3998" t="s">
        <v>4002</v>
      </c>
      <c r="B3998">
        <v>0.99542014353169495</v>
      </c>
      <c r="C3998">
        <v>0.92568546920566097</v>
      </c>
      <c r="D3998">
        <v>0.87178175250498202</v>
      </c>
      <c r="E3998">
        <v>0.67481018056410302</v>
      </c>
      <c r="F3998">
        <v>0.32942757610873802</v>
      </c>
      <c r="G3998">
        <v>0.14264927809321901</v>
      </c>
      <c r="H3998">
        <v>9.6924281700861398E-2</v>
      </c>
      <c r="I3998">
        <v>6.2824741398464307E-2</v>
      </c>
      <c r="J3998">
        <v>6.2923144504447595E-2</v>
      </c>
      <c r="K3998">
        <v>6.6953879350758999E-2</v>
      </c>
      <c r="L3998">
        <v>868.73152875052403</v>
      </c>
      <c r="M3998">
        <v>18.130120648313099</v>
      </c>
      <c r="N3998">
        <v>48.186756307990002</v>
      </c>
      <c r="O3998">
        <v>47.344937783542598</v>
      </c>
      <c r="P3998">
        <v>-9.1110233958962894E-2</v>
      </c>
      <c r="Q3998">
        <v>4.8345843579770301E-2</v>
      </c>
      <c r="R3998">
        <v>0.99669354062106397</v>
      </c>
      <c r="S3998" t="s">
        <v>10400</v>
      </c>
      <c r="T3998" t="s">
        <v>12802</v>
      </c>
      <c r="U3998" t="s">
        <v>12802</v>
      </c>
      <c r="V3998" t="s">
        <v>12802</v>
      </c>
      <c r="W3998" t="s">
        <v>16742</v>
      </c>
      <c r="X3998">
        <v>31</v>
      </c>
      <c r="Y3998" t="s">
        <v>22971</v>
      </c>
      <c r="Z3998" t="s">
        <v>29316</v>
      </c>
      <c r="AA3998">
        <v>0.40965281467284981</v>
      </c>
      <c r="AB3998" t="str">
        <f>HYPERLINK("Melting_Curves/meltCurve_Q6P2Q9_PRPF8.pdf", "Melting_Curves/meltCurve_Q6P2Q9_PRPF8.pdf")</f>
        <v>Melting_Curves/meltCurve_Q6P2Q9_PRPF8.pdf</v>
      </c>
    </row>
    <row r="3999" spans="1:28" x14ac:dyDescent="0.25">
      <c r="A3999" t="s">
        <v>4003</v>
      </c>
      <c r="B3999">
        <v>0.99542014353169495</v>
      </c>
      <c r="C3999">
        <v>1.09653740198556</v>
      </c>
      <c r="D3999">
        <v>0.74874997391280396</v>
      </c>
      <c r="E3999">
        <v>0.92916203399660002</v>
      </c>
      <c r="F3999">
        <v>0.68359513966812602</v>
      </c>
      <c r="G3999">
        <v>0.343982117291255</v>
      </c>
      <c r="H3999">
        <v>0.15894540587643199</v>
      </c>
      <c r="I3999">
        <v>7.2790329149129196E-2</v>
      </c>
      <c r="J3999">
        <v>0</v>
      </c>
      <c r="K3999">
        <v>8.9660365249053006E-2</v>
      </c>
      <c r="L3999">
        <v>943.18625541538495</v>
      </c>
      <c r="M3999">
        <v>18.157324418357199</v>
      </c>
      <c r="N3999">
        <v>52.038231508864499</v>
      </c>
      <c r="O3999">
        <v>51.327442997390598</v>
      </c>
      <c r="P3999">
        <v>-8.7030468665394906E-2</v>
      </c>
      <c r="Q3999">
        <v>1.59699025313014E-2</v>
      </c>
      <c r="R3999">
        <v>0.95650642617594905</v>
      </c>
      <c r="S3999" t="s">
        <v>10401</v>
      </c>
      <c r="T3999" t="s">
        <v>12802</v>
      </c>
      <c r="U3999" t="s">
        <v>12802</v>
      </c>
      <c r="V3999" t="s">
        <v>12802</v>
      </c>
      <c r="W3999" t="s">
        <v>16743</v>
      </c>
      <c r="X3999">
        <v>2</v>
      </c>
      <c r="Y3999" t="s">
        <v>22972</v>
      </c>
      <c r="Z3999" t="s">
        <v>29317</v>
      </c>
      <c r="AA3999">
        <v>0.52090714142470196</v>
      </c>
      <c r="AB3999" t="str">
        <f>HYPERLINK("Melting_Curves/meltCurve_Q6P3S1_5_DENND1B.pdf", "Melting_Curves/meltCurve_Q6P3S1_5_DENND1B.pdf")</f>
        <v>Melting_Curves/meltCurve_Q6P3S1_5_DENND1B.pdf</v>
      </c>
    </row>
    <row r="4000" spans="1:28" x14ac:dyDescent="0.25">
      <c r="A4000" t="s">
        <v>4004</v>
      </c>
      <c r="B4000">
        <v>0.99542014353169495</v>
      </c>
      <c r="C4000">
        <v>0.91192217311517598</v>
      </c>
      <c r="D4000">
        <v>0.96723474784220298</v>
      </c>
      <c r="E4000">
        <v>0.82932353895462696</v>
      </c>
      <c r="F4000">
        <v>0.610999578966818</v>
      </c>
      <c r="G4000">
        <v>0.38871354564570698</v>
      </c>
      <c r="H4000">
        <v>0.183079099911964</v>
      </c>
      <c r="I4000">
        <v>4.8084971787531197E-2</v>
      </c>
      <c r="J4000">
        <v>5.38000850640706E-2</v>
      </c>
      <c r="K4000">
        <v>8.3724857994765395E-2</v>
      </c>
      <c r="L4000">
        <v>771.71369676342294</v>
      </c>
      <c r="M4000">
        <v>14.9290147055081</v>
      </c>
      <c r="N4000">
        <v>51.742619483270602</v>
      </c>
      <c r="O4000">
        <v>50.7913005538406</v>
      </c>
      <c r="P4000">
        <v>-7.2959097167544396E-2</v>
      </c>
      <c r="Q4000">
        <v>7.2201855094869696E-3</v>
      </c>
      <c r="R4000">
        <v>0.99203922510757903</v>
      </c>
      <c r="S4000" t="s">
        <v>10402</v>
      </c>
      <c r="T4000" t="s">
        <v>12802</v>
      </c>
      <c r="U4000" t="s">
        <v>12802</v>
      </c>
      <c r="V4000" t="s">
        <v>12802</v>
      </c>
      <c r="W4000" t="s">
        <v>16744</v>
      </c>
      <c r="X4000">
        <v>2</v>
      </c>
      <c r="Y4000" t="s">
        <v>22973</v>
      </c>
      <c r="Z4000" t="s">
        <v>29318</v>
      </c>
      <c r="AA4000">
        <v>0.51286402714708434</v>
      </c>
      <c r="AB4000" t="str">
        <f>HYPERLINK("Melting_Curves/meltCurve_Q6P3S6_FBXO42.pdf", "Melting_Curves/meltCurve_Q6P3S6_FBXO42.pdf")</f>
        <v>Melting_Curves/meltCurve_Q6P3S6_FBXO42.pdf</v>
      </c>
    </row>
    <row r="4001" spans="1:28" x14ac:dyDescent="0.25">
      <c r="A4001" t="s">
        <v>4005</v>
      </c>
      <c r="B4001">
        <v>0.99542014353169495</v>
      </c>
      <c r="C4001">
        <v>1.04447835167195</v>
      </c>
      <c r="D4001">
        <v>1.0405476989582401</v>
      </c>
      <c r="E4001">
        <v>0.96641484749807105</v>
      </c>
      <c r="F4001">
        <v>0.75131922117281702</v>
      </c>
      <c r="G4001">
        <v>0.35298475382385103</v>
      </c>
      <c r="H4001">
        <v>0.11892129223772401</v>
      </c>
      <c r="I4001">
        <v>8.6550152636029706E-2</v>
      </c>
      <c r="J4001">
        <v>7.9354178020966407E-2</v>
      </c>
      <c r="K4001">
        <v>7.6941417888380298E-2</v>
      </c>
      <c r="L4001">
        <v>1449.3519857332501</v>
      </c>
      <c r="M4001">
        <v>27.824591762034199</v>
      </c>
      <c r="N4001">
        <v>52.373507445252798</v>
      </c>
      <c r="O4001">
        <v>51.822059533663499</v>
      </c>
      <c r="P4001">
        <v>-0.12481356707573101</v>
      </c>
      <c r="Q4001">
        <v>7.0169391914899307E-2</v>
      </c>
      <c r="R4001">
        <v>0.99753956767936403</v>
      </c>
      <c r="S4001" t="s">
        <v>10403</v>
      </c>
      <c r="T4001" t="s">
        <v>12802</v>
      </c>
      <c r="U4001" t="s">
        <v>12802</v>
      </c>
      <c r="V4001" t="s">
        <v>12802</v>
      </c>
      <c r="W4001" t="s">
        <v>16745</v>
      </c>
      <c r="X4001">
        <v>16</v>
      </c>
      <c r="Y4001" t="s">
        <v>22974</v>
      </c>
      <c r="Z4001" t="s">
        <v>29319</v>
      </c>
      <c r="AA4001">
        <v>0.54461079590824779</v>
      </c>
      <c r="AB4001" t="str">
        <f>HYPERLINK("Melting_Curves/meltCurve_Q6P3W7_SCYL2.pdf", "Melting_Curves/meltCurve_Q6P3W7_SCYL2.pdf")</f>
        <v>Melting_Curves/meltCurve_Q6P3W7_SCYL2.pdf</v>
      </c>
    </row>
    <row r="4002" spans="1:28" x14ac:dyDescent="0.25">
      <c r="A4002" t="s">
        <v>4006</v>
      </c>
      <c r="B4002">
        <v>0.99542014353169495</v>
      </c>
      <c r="C4002">
        <v>0.98389538649181896</v>
      </c>
      <c r="D4002">
        <v>0.85669812688956903</v>
      </c>
      <c r="E4002">
        <v>0.36981258581742399</v>
      </c>
      <c r="F4002">
        <v>0.138760036915614</v>
      </c>
      <c r="G4002">
        <v>8.2286381805261405E-2</v>
      </c>
      <c r="H4002">
        <v>5.2319376277046699E-2</v>
      </c>
      <c r="I4002">
        <v>3.6946366872489998E-2</v>
      </c>
      <c r="J4002">
        <v>3.6410100864044698E-2</v>
      </c>
      <c r="K4002">
        <v>3.90195388481267E-2</v>
      </c>
      <c r="L4002">
        <v>1249.8774102658699</v>
      </c>
      <c r="M4002">
        <v>27.426457986417699</v>
      </c>
      <c r="N4002">
        <v>45.739852625538703</v>
      </c>
      <c r="O4002">
        <v>45.331724970785402</v>
      </c>
      <c r="P4002">
        <v>-0.144012650442159</v>
      </c>
      <c r="Q4002">
        <v>4.7885146640409798E-2</v>
      </c>
      <c r="R4002">
        <v>0.99901741549381395</v>
      </c>
      <c r="S4002" t="s">
        <v>10404</v>
      </c>
      <c r="T4002" t="s">
        <v>12802</v>
      </c>
      <c r="U4002" t="s">
        <v>12802</v>
      </c>
      <c r="V4002" t="s">
        <v>12802</v>
      </c>
      <c r="W4002" t="s">
        <v>16746</v>
      </c>
      <c r="X4002">
        <v>20</v>
      </c>
      <c r="Y4002" t="s">
        <v>22975</v>
      </c>
      <c r="Z4002" t="s">
        <v>29320</v>
      </c>
      <c r="AA4002">
        <v>0.32641903029292629</v>
      </c>
      <c r="AB4002" t="str">
        <f>HYPERLINK("Melting_Curves/meltCurve_Q6P3X3_TTC27.pdf", "Melting_Curves/meltCurve_Q6P3X3_TTC27.pdf")</f>
        <v>Melting_Curves/meltCurve_Q6P3X3_TTC27.pdf</v>
      </c>
    </row>
    <row r="4003" spans="1:28" x14ac:dyDescent="0.25">
      <c r="A4003" t="s">
        <v>4007</v>
      </c>
      <c r="B4003">
        <v>0.99542014353169495</v>
      </c>
      <c r="C4003">
        <v>0.91296749851853398</v>
      </c>
      <c r="D4003">
        <v>0.86136872602405401</v>
      </c>
      <c r="E4003">
        <v>0.62355659575234401</v>
      </c>
      <c r="F4003">
        <v>0.36132644638848199</v>
      </c>
      <c r="G4003">
        <v>0.130762847658521</v>
      </c>
      <c r="H4003">
        <v>8.1820113061861002E-2</v>
      </c>
      <c r="I4003">
        <v>5.2133019230908198E-2</v>
      </c>
      <c r="J4003">
        <v>5.2993251299331197E-2</v>
      </c>
      <c r="K4003">
        <v>6.4490117274954503E-2</v>
      </c>
      <c r="L4003">
        <v>769.76705216001596</v>
      </c>
      <c r="M4003">
        <v>16.099508621445501</v>
      </c>
      <c r="N4003">
        <v>47.998143711120797</v>
      </c>
      <c r="O4003">
        <v>47.093625504040602</v>
      </c>
      <c r="P4003">
        <v>-8.2899483004915606E-2</v>
      </c>
      <c r="Q4003">
        <v>3.0097243005317902E-2</v>
      </c>
      <c r="R4003">
        <v>0.99626139318351803</v>
      </c>
      <c r="S4003" t="s">
        <v>10405</v>
      </c>
      <c r="T4003" t="s">
        <v>12802</v>
      </c>
      <c r="U4003" t="s">
        <v>12802</v>
      </c>
      <c r="V4003" t="s">
        <v>12802</v>
      </c>
      <c r="W4003" t="s">
        <v>16747</v>
      </c>
      <c r="X4003">
        <v>5</v>
      </c>
      <c r="Y4003" t="s">
        <v>22976</v>
      </c>
      <c r="Z4003" t="s">
        <v>29321</v>
      </c>
      <c r="AA4003">
        <v>0.39865955101900352</v>
      </c>
      <c r="AB4003" t="str">
        <f>HYPERLINK("Melting_Curves/meltCurve_Q6P444_MTFR2.pdf", "Melting_Curves/meltCurve_Q6P444_MTFR2.pdf")</f>
        <v>Melting_Curves/meltCurve_Q6P444_MTFR2.pdf</v>
      </c>
    </row>
    <row r="4004" spans="1:28" x14ac:dyDescent="0.25">
      <c r="A4004" t="s">
        <v>4008</v>
      </c>
      <c r="B4004">
        <v>0.99542014353169495</v>
      </c>
      <c r="C4004">
        <v>0.88610519639048002</v>
      </c>
      <c r="D4004">
        <v>0.85713894542351798</v>
      </c>
      <c r="E4004">
        <v>0.68302624222126196</v>
      </c>
      <c r="F4004">
        <v>0.65811336682377397</v>
      </c>
      <c r="G4004">
        <v>0.49018657472161598</v>
      </c>
      <c r="H4004">
        <v>0.39861520472443202</v>
      </c>
      <c r="I4004">
        <v>0.28913126542010298</v>
      </c>
      <c r="J4004">
        <v>0.143263862284225</v>
      </c>
      <c r="K4004">
        <v>4.7581813762285603E-2</v>
      </c>
      <c r="L4004">
        <v>434.472816676359</v>
      </c>
      <c r="M4004">
        <v>8.2137214950789197</v>
      </c>
      <c r="N4004">
        <v>52.895976190805499</v>
      </c>
      <c r="O4004">
        <v>50.038240239042501</v>
      </c>
      <c r="P4004">
        <v>-4.1079287473613398E-2</v>
      </c>
      <c r="Q4004">
        <v>0</v>
      </c>
      <c r="R4004">
        <v>0.97001614459144603</v>
      </c>
      <c r="S4004" t="s">
        <v>10406</v>
      </c>
      <c r="T4004" t="s">
        <v>12802</v>
      </c>
      <c r="U4004" t="s">
        <v>12802</v>
      </c>
      <c r="V4004" t="s">
        <v>12802</v>
      </c>
      <c r="W4004" t="s">
        <v>16748</v>
      </c>
      <c r="X4004">
        <v>3</v>
      </c>
      <c r="Y4004" t="s">
        <v>22977</v>
      </c>
      <c r="Z4004" t="s">
        <v>29322</v>
      </c>
      <c r="AA4004">
        <v>0.5525887202798424</v>
      </c>
      <c r="AB4004" t="str">
        <f>HYPERLINK("Melting_Curves/meltCurve_Q6P4A7_SFXN4.pdf", "Melting_Curves/meltCurve_Q6P4A7_SFXN4.pdf")</f>
        <v>Melting_Curves/meltCurve_Q6P4A7_SFXN4.pdf</v>
      </c>
    </row>
    <row r="4005" spans="1:28" x14ac:dyDescent="0.25">
      <c r="A4005" t="s">
        <v>4009</v>
      </c>
      <c r="B4005">
        <v>0.99542014353169495</v>
      </c>
      <c r="C4005">
        <v>0.90831819548646098</v>
      </c>
      <c r="D4005">
        <v>0.899873880704538</v>
      </c>
      <c r="E4005">
        <v>0.75634707458455297</v>
      </c>
      <c r="F4005">
        <v>0.56299184390230606</v>
      </c>
      <c r="G4005">
        <v>0.44384903861323799</v>
      </c>
      <c r="H4005">
        <v>0.322106730884471</v>
      </c>
      <c r="I4005">
        <v>0.33414762310859802</v>
      </c>
      <c r="J4005">
        <v>0.42882861157483398</v>
      </c>
      <c r="K4005">
        <v>0.38147200704821499</v>
      </c>
      <c r="L4005">
        <v>766.42017534334195</v>
      </c>
      <c r="M4005">
        <v>16.065726961128298</v>
      </c>
      <c r="N4005">
        <v>51.613209589685603</v>
      </c>
      <c r="O4005">
        <v>46.984527336650999</v>
      </c>
      <c r="P4005">
        <v>-5.5410295491742499E-2</v>
      </c>
      <c r="Q4005">
        <v>0.351856130658115</v>
      </c>
      <c r="R4005">
        <v>0.97415319084421703</v>
      </c>
      <c r="S4005" t="s">
        <v>10407</v>
      </c>
      <c r="T4005" t="s">
        <v>12802</v>
      </c>
      <c r="U4005" t="s">
        <v>12802</v>
      </c>
      <c r="V4005" t="s">
        <v>12802</v>
      </c>
      <c r="W4005" t="s">
        <v>16749</v>
      </c>
      <c r="X4005">
        <v>4</v>
      </c>
      <c r="Y4005" t="s">
        <v>22978</v>
      </c>
      <c r="Z4005" t="s">
        <v>29323</v>
      </c>
      <c r="AA4005">
        <v>0.59588865249145728</v>
      </c>
      <c r="AB4005" t="str">
        <f>HYPERLINK("Melting_Curves/meltCurve_Q6P4A8_PLBD1.pdf", "Melting_Curves/meltCurve_Q6P4A8_PLBD1.pdf")</f>
        <v>Melting_Curves/meltCurve_Q6P4A8_PLBD1.pdf</v>
      </c>
    </row>
    <row r="4006" spans="1:28" x14ac:dyDescent="0.25">
      <c r="A4006" t="s">
        <v>4010</v>
      </c>
      <c r="B4006">
        <v>0.99542014353169495</v>
      </c>
      <c r="C4006">
        <v>0.87587378944210004</v>
      </c>
      <c r="D4006">
        <v>1.0007316649089699</v>
      </c>
      <c r="E4006">
        <v>0.81870542090382703</v>
      </c>
      <c r="F4006">
        <v>0.76100521269625898</v>
      </c>
      <c r="G4006">
        <v>0.45174866298854099</v>
      </c>
      <c r="H4006">
        <v>0.37913200108982797</v>
      </c>
      <c r="I4006">
        <v>0.33439048693214901</v>
      </c>
      <c r="J4006">
        <v>0.47730290834884798</v>
      </c>
      <c r="K4006">
        <v>0.63825063940992</v>
      </c>
      <c r="L4006">
        <v>1177.1749566271601</v>
      </c>
      <c r="M4006">
        <v>23.8464626011307</v>
      </c>
      <c r="N4006">
        <v>54.510927131920504</v>
      </c>
      <c r="O4006">
        <v>49.021539908630999</v>
      </c>
      <c r="P4006">
        <v>-6.7208076200433495E-2</v>
      </c>
      <c r="Q4006">
        <v>0.44736626497540699</v>
      </c>
      <c r="R4006">
        <v>0.83975426625018201</v>
      </c>
      <c r="S4006" t="s">
        <v>10408</v>
      </c>
      <c r="T4006" t="s">
        <v>12802</v>
      </c>
      <c r="U4006" t="s">
        <v>12802</v>
      </c>
      <c r="V4006" t="s">
        <v>12802</v>
      </c>
      <c r="W4006" t="s">
        <v>16750</v>
      </c>
      <c r="X4006">
        <v>5</v>
      </c>
      <c r="Y4006" t="s">
        <v>22979</v>
      </c>
      <c r="Z4006" t="s">
        <v>29324</v>
      </c>
      <c r="AA4006">
        <v>0.68039236545457904</v>
      </c>
      <c r="AB4006" t="str">
        <f>HYPERLINK("Melting_Curves/meltCurve_Q6P4E1_CASC4.pdf", "Melting_Curves/meltCurve_Q6P4E1_CASC4.pdf")</f>
        <v>Melting_Curves/meltCurve_Q6P4E1_CASC4.pdf</v>
      </c>
    </row>
    <row r="4007" spans="1:28" x14ac:dyDescent="0.25">
      <c r="A4007" t="s">
        <v>4011</v>
      </c>
      <c r="B4007">
        <v>0.99542014353169495</v>
      </c>
      <c r="C4007">
        <v>0.99257423450229498</v>
      </c>
      <c r="D4007">
        <v>0.78548229043876305</v>
      </c>
      <c r="E4007">
        <v>0.65612274291474904</v>
      </c>
      <c r="F4007">
        <v>0.47485855948338002</v>
      </c>
      <c r="G4007">
        <v>0.271751713145781</v>
      </c>
      <c r="H4007">
        <v>0.28049831913668899</v>
      </c>
      <c r="I4007">
        <v>0.22795467957099599</v>
      </c>
      <c r="J4007">
        <v>0.35197133108402501</v>
      </c>
      <c r="K4007">
        <v>0.44635275054393198</v>
      </c>
      <c r="L4007">
        <v>831.20443270086696</v>
      </c>
      <c r="M4007">
        <v>18.0644781987539</v>
      </c>
      <c r="N4007">
        <v>48.613923835513802</v>
      </c>
      <c r="O4007">
        <v>45.460440990981901</v>
      </c>
      <c r="P4007">
        <v>-6.8571346429391E-2</v>
      </c>
      <c r="Q4007">
        <v>0.30977646537218301</v>
      </c>
      <c r="R4007">
        <v>0.94114531950416902</v>
      </c>
      <c r="S4007" t="s">
        <v>10409</v>
      </c>
      <c r="T4007" t="s">
        <v>12802</v>
      </c>
      <c r="U4007" t="s">
        <v>12802</v>
      </c>
      <c r="V4007" t="s">
        <v>12802</v>
      </c>
      <c r="W4007" t="s">
        <v>16751</v>
      </c>
      <c r="X4007">
        <v>1</v>
      </c>
      <c r="Y4007" t="s">
        <v>22980</v>
      </c>
      <c r="Z4007" t="s">
        <v>29325</v>
      </c>
      <c r="AA4007">
        <v>0.528222285491877</v>
      </c>
      <c r="AB4007" t="str">
        <f>HYPERLINK("Melting_Curves/meltCurve_Q6P4F2_FDX1L.pdf", "Melting_Curves/meltCurve_Q6P4F2_FDX1L.pdf")</f>
        <v>Melting_Curves/meltCurve_Q6P4F2_FDX1L.pdf</v>
      </c>
    </row>
    <row r="4008" spans="1:28" x14ac:dyDescent="0.25">
      <c r="A4008" t="s">
        <v>4012</v>
      </c>
      <c r="B4008">
        <v>0.99542014353169495</v>
      </c>
      <c r="C4008">
        <v>0.978957557063454</v>
      </c>
      <c r="D4008">
        <v>0.93232747978823705</v>
      </c>
      <c r="E4008">
        <v>0.82535592247182199</v>
      </c>
      <c r="F4008">
        <v>0.65867268831160097</v>
      </c>
      <c r="G4008">
        <v>0.50332767392412403</v>
      </c>
      <c r="H4008">
        <v>0.33108343527054601</v>
      </c>
      <c r="I4008">
        <v>0.21090903464117799</v>
      </c>
      <c r="J4008">
        <v>0.106639177835526</v>
      </c>
      <c r="K4008">
        <v>0.102983455535595</v>
      </c>
      <c r="L4008">
        <v>584.08947296670499</v>
      </c>
      <c r="M4008">
        <v>10.922203814121801</v>
      </c>
      <c r="N4008">
        <v>53.477254535110397</v>
      </c>
      <c r="O4008">
        <v>51.778319941052303</v>
      </c>
      <c r="P4008">
        <v>-5.2753707853510197E-2</v>
      </c>
      <c r="Q4008">
        <v>0</v>
      </c>
      <c r="R4008">
        <v>0.99837277012252801</v>
      </c>
      <c r="S4008" t="s">
        <v>10410</v>
      </c>
      <c r="T4008" t="s">
        <v>12802</v>
      </c>
      <c r="U4008" t="s">
        <v>12802</v>
      </c>
      <c r="V4008" t="s">
        <v>12802</v>
      </c>
      <c r="W4008" t="s">
        <v>16752</v>
      </c>
      <c r="X4008">
        <v>8</v>
      </c>
      <c r="Y4008" t="s">
        <v>22981</v>
      </c>
      <c r="Z4008" t="s">
        <v>29326</v>
      </c>
      <c r="AA4008">
        <v>0.56935752021068464</v>
      </c>
      <c r="AB4008" t="str">
        <f>HYPERLINK("Melting_Curves/meltCurve_Q6P4I2_WDR73.pdf", "Melting_Curves/meltCurve_Q6P4I2_WDR73.pdf")</f>
        <v>Melting_Curves/meltCurve_Q6P4I2_WDR73.pdf</v>
      </c>
    </row>
    <row r="4009" spans="1:28" x14ac:dyDescent="0.25">
      <c r="A4009" t="s">
        <v>4013</v>
      </c>
      <c r="B4009">
        <v>0.99542014353169495</v>
      </c>
      <c r="C4009">
        <v>1.04812130292224</v>
      </c>
      <c r="D4009">
        <v>0.93237422272474002</v>
      </c>
      <c r="E4009">
        <v>0.93989255491994905</v>
      </c>
      <c r="F4009">
        <v>0.76100408185605495</v>
      </c>
      <c r="G4009">
        <v>0.62131154684253798</v>
      </c>
      <c r="H4009">
        <v>0.51819969712744396</v>
      </c>
      <c r="I4009">
        <v>0.452260725729833</v>
      </c>
      <c r="J4009">
        <v>0.56482243718343506</v>
      </c>
      <c r="K4009">
        <v>0.69518894891078897</v>
      </c>
      <c r="L4009">
        <v>1390.5527273443699</v>
      </c>
      <c r="M4009">
        <v>27.917027550800999</v>
      </c>
      <c r="O4009">
        <v>49.556736495744197</v>
      </c>
      <c r="P4009">
        <v>-6.2250012731524001E-2</v>
      </c>
      <c r="Q4009">
        <v>0.55799311001485996</v>
      </c>
      <c r="R4009">
        <v>0.90458620643016896</v>
      </c>
      <c r="S4009" t="s">
        <v>10411</v>
      </c>
      <c r="T4009" t="s">
        <v>12802</v>
      </c>
      <c r="U4009" t="s">
        <v>12802</v>
      </c>
      <c r="V4009" t="s">
        <v>12802</v>
      </c>
      <c r="W4009" t="s">
        <v>16753</v>
      </c>
      <c r="X4009">
        <v>5</v>
      </c>
      <c r="Y4009" t="s">
        <v>22982</v>
      </c>
      <c r="Z4009" t="s">
        <v>29327</v>
      </c>
      <c r="AA4009">
        <v>0.74984802040435239</v>
      </c>
      <c r="AB4009" t="str">
        <f>HYPERLINK("Melting_Curves/meltCurve_Q6P582_MZT2A.pdf", "Melting_Curves/meltCurve_Q6P582_MZT2A.pdf")</f>
        <v>Melting_Curves/meltCurve_Q6P582_MZT2A.pdf</v>
      </c>
    </row>
    <row r="4010" spans="1:28" x14ac:dyDescent="0.25">
      <c r="A4010" t="s">
        <v>4014</v>
      </c>
      <c r="B4010">
        <v>0.99542014353169495</v>
      </c>
      <c r="C4010">
        <v>0.97999821795026498</v>
      </c>
      <c r="D4010">
        <v>0.98057148829710306</v>
      </c>
      <c r="E4010">
        <v>0.95973651714350094</v>
      </c>
      <c r="F4010">
        <v>0.76925556180922305</v>
      </c>
      <c r="G4010">
        <v>0.64909929894201002</v>
      </c>
      <c r="H4010">
        <v>0.43737396833956999</v>
      </c>
      <c r="I4010">
        <v>0.41688017215328999</v>
      </c>
      <c r="J4010">
        <v>0.62412406217601601</v>
      </c>
      <c r="K4010">
        <v>0.67146798867771895</v>
      </c>
      <c r="L4010">
        <v>1536.00732561378</v>
      </c>
      <c r="M4010">
        <v>30.556216600453599</v>
      </c>
      <c r="O4010">
        <v>50.054430382921801</v>
      </c>
      <c r="P4010">
        <v>-6.9443075059626796E-2</v>
      </c>
      <c r="Q4010">
        <v>0.54498144979183905</v>
      </c>
      <c r="R4010">
        <v>0.87559174841073895</v>
      </c>
      <c r="S4010" t="s">
        <v>10412</v>
      </c>
      <c r="T4010" t="s">
        <v>12802</v>
      </c>
      <c r="U4010" t="s">
        <v>12802</v>
      </c>
      <c r="V4010" t="s">
        <v>12802</v>
      </c>
      <c r="W4010" t="s">
        <v>16754</v>
      </c>
      <c r="X4010">
        <v>6</v>
      </c>
      <c r="Y4010" t="s">
        <v>22983</v>
      </c>
      <c r="Z4010" t="s">
        <v>29328</v>
      </c>
      <c r="AA4010">
        <v>0.74892885446576885</v>
      </c>
      <c r="AB4010" t="str">
        <f>HYPERLINK("Melting_Curves/meltCurve_Q6P587_FAHD1.pdf", "Melting_Curves/meltCurve_Q6P587_FAHD1.pdf")</f>
        <v>Melting_Curves/meltCurve_Q6P587_FAHD1.pdf</v>
      </c>
    </row>
    <row r="4011" spans="1:28" x14ac:dyDescent="0.25">
      <c r="A4011" t="s">
        <v>4015</v>
      </c>
      <c r="B4011">
        <v>0.99542014353169495</v>
      </c>
      <c r="C4011">
        <v>0.92607744334992503</v>
      </c>
      <c r="D4011">
        <v>0.78634396855206601</v>
      </c>
      <c r="E4011">
        <v>0.38549999533031098</v>
      </c>
      <c r="F4011">
        <v>0.15075238605247199</v>
      </c>
      <c r="G4011">
        <v>8.2669585487625402E-2</v>
      </c>
      <c r="H4011">
        <v>2.26161887204759E-2</v>
      </c>
      <c r="I4011">
        <v>0</v>
      </c>
      <c r="J4011">
        <v>0</v>
      </c>
      <c r="K4011">
        <v>0</v>
      </c>
      <c r="L4011">
        <v>882.50267966438298</v>
      </c>
      <c r="M4011">
        <v>19.338779005339301</v>
      </c>
      <c r="N4011">
        <v>45.648903853747903</v>
      </c>
      <c r="O4011">
        <v>45.154292934296102</v>
      </c>
      <c r="P4011">
        <v>-0.10673374198873301</v>
      </c>
      <c r="Q4011">
        <v>3.18286088357485E-3</v>
      </c>
      <c r="R4011">
        <v>0.99866732361732902</v>
      </c>
      <c r="S4011" t="s">
        <v>10413</v>
      </c>
      <c r="T4011" t="s">
        <v>12802</v>
      </c>
      <c r="U4011" t="s">
        <v>12802</v>
      </c>
      <c r="V4011" t="s">
        <v>12802</v>
      </c>
      <c r="W4011" t="s">
        <v>16755</v>
      </c>
      <c r="X4011">
        <v>4</v>
      </c>
      <c r="Y4011" t="s">
        <v>22984</v>
      </c>
      <c r="Z4011" t="s">
        <v>29329</v>
      </c>
      <c r="AA4011">
        <v>0.30403573971846531</v>
      </c>
      <c r="AB4011" t="str">
        <f>HYPERLINK("Melting_Curves/meltCurve_Q6P5X5_C22orf39.pdf", "Melting_Curves/meltCurve_Q6P5X5_C22orf39.pdf")</f>
        <v>Melting_Curves/meltCurve_Q6P5X5_C22orf39.pdf</v>
      </c>
    </row>
    <row r="4012" spans="1:28" x14ac:dyDescent="0.25">
      <c r="A4012" t="s">
        <v>4016</v>
      </c>
      <c r="B4012">
        <v>0.99542014353169495</v>
      </c>
      <c r="C4012">
        <v>1.07273799593676</v>
      </c>
      <c r="D4012">
        <v>0.78406383113543598</v>
      </c>
      <c r="E4012">
        <v>0.71087240969010401</v>
      </c>
      <c r="F4012">
        <v>0.386955281143742</v>
      </c>
      <c r="G4012">
        <v>0.27957658251017697</v>
      </c>
      <c r="H4012">
        <v>0.11653226303966401</v>
      </c>
      <c r="I4012">
        <v>2.10393053442176E-2</v>
      </c>
      <c r="J4012">
        <v>0</v>
      </c>
      <c r="K4012">
        <v>6.81073441546763E-2</v>
      </c>
      <c r="L4012">
        <v>677.484069412851</v>
      </c>
      <c r="M4012">
        <v>13.810148827656199</v>
      </c>
      <c r="N4012">
        <v>49.056953869844598</v>
      </c>
      <c r="O4012">
        <v>48.062668692484401</v>
      </c>
      <c r="P4012">
        <v>-7.1844098465352196E-2</v>
      </c>
      <c r="Q4012">
        <v>0</v>
      </c>
      <c r="R4012">
        <v>0.97965238973695001</v>
      </c>
      <c r="S4012" t="s">
        <v>10414</v>
      </c>
      <c r="T4012" t="s">
        <v>12802</v>
      </c>
      <c r="U4012" t="s">
        <v>12802</v>
      </c>
      <c r="V4012" t="s">
        <v>12802</v>
      </c>
      <c r="W4012" t="s">
        <v>16756</v>
      </c>
      <c r="X4012">
        <v>8</v>
      </c>
      <c r="Y4012" t="s">
        <v>22985</v>
      </c>
      <c r="Z4012" t="s">
        <v>29330</v>
      </c>
      <c r="AA4012">
        <v>0.42625175306577268</v>
      </c>
      <c r="AB4012" t="str">
        <f>HYPERLINK("Melting_Curves/meltCurve_Q6P5Z2_PKN3.pdf", "Melting_Curves/meltCurve_Q6P5Z2_PKN3.pdf")</f>
        <v>Melting_Curves/meltCurve_Q6P5Z2_PKN3.pdf</v>
      </c>
    </row>
    <row r="4013" spans="1:28" x14ac:dyDescent="0.25">
      <c r="A4013" t="s">
        <v>4017</v>
      </c>
      <c r="B4013">
        <v>0.99542014353169495</v>
      </c>
      <c r="C4013">
        <v>1.1336086932904299</v>
      </c>
      <c r="D4013">
        <v>0.993843546025445</v>
      </c>
      <c r="E4013">
        <v>0.41386214956427803</v>
      </c>
      <c r="F4013">
        <v>0.25242726008268801</v>
      </c>
      <c r="G4013">
        <v>0.17881674554222499</v>
      </c>
      <c r="H4013">
        <v>0.102786130876362</v>
      </c>
      <c r="I4013">
        <v>8.3636955406615796E-2</v>
      </c>
      <c r="J4013">
        <v>0.115709215859647</v>
      </c>
      <c r="K4013">
        <v>9.9534568168200901E-2</v>
      </c>
      <c r="L4013">
        <v>2010.5152027455899</v>
      </c>
      <c r="M4013">
        <v>43.784310905664398</v>
      </c>
      <c r="N4013">
        <v>46.245538411869802</v>
      </c>
      <c r="O4013">
        <v>45.823143536735103</v>
      </c>
      <c r="P4013">
        <v>-0.20708399278508899</v>
      </c>
      <c r="Q4013">
        <v>0.13309351607876199</v>
      </c>
      <c r="R4013">
        <v>0.97808950615354395</v>
      </c>
      <c r="S4013" t="s">
        <v>10415</v>
      </c>
      <c r="T4013" t="s">
        <v>12802</v>
      </c>
      <c r="U4013" t="s">
        <v>12802</v>
      </c>
      <c r="V4013" t="s">
        <v>12802</v>
      </c>
      <c r="W4013" t="s">
        <v>16757</v>
      </c>
      <c r="X4013">
        <v>3</v>
      </c>
      <c r="Y4013" t="s">
        <v>22986</v>
      </c>
      <c r="Z4013" t="s">
        <v>29331</v>
      </c>
      <c r="AA4013">
        <v>0.39310808510287643</v>
      </c>
      <c r="AB4013" t="str">
        <f>HYPERLINK("Melting_Curves/meltCurve_Q6P6B7_2_ANKRD16.pdf", "Melting_Curves/meltCurve_Q6P6B7_2_ANKRD16.pdf")</f>
        <v>Melting_Curves/meltCurve_Q6P6B7_2_ANKRD16.pdf</v>
      </c>
    </row>
    <row r="4014" spans="1:28" x14ac:dyDescent="0.25">
      <c r="A4014" t="s">
        <v>4018</v>
      </c>
      <c r="B4014">
        <v>0.99542014353169495</v>
      </c>
      <c r="C4014">
        <v>1.0216570948902699</v>
      </c>
      <c r="D4014">
        <v>0.99556721724767705</v>
      </c>
      <c r="E4014">
        <v>0.81392715464753995</v>
      </c>
      <c r="F4014">
        <v>0.52478560861992596</v>
      </c>
      <c r="G4014">
        <v>0.30017095779959901</v>
      </c>
      <c r="H4014">
        <v>0.23759398587912001</v>
      </c>
      <c r="I4014">
        <v>0.20362620394286801</v>
      </c>
      <c r="J4014">
        <v>0.274375452091842</v>
      </c>
      <c r="K4014">
        <v>0.29892410942182801</v>
      </c>
      <c r="L4014">
        <v>1253.25066273682</v>
      </c>
      <c r="M4014">
        <v>25.628068092721101</v>
      </c>
      <c r="N4014">
        <v>50.239549244615397</v>
      </c>
      <c r="O4014">
        <v>48.606660570724699</v>
      </c>
      <c r="P4014">
        <v>-9.9211659422638196E-2</v>
      </c>
      <c r="Q4014">
        <v>0.24734264650687901</v>
      </c>
      <c r="R4014">
        <v>0.99257058308077895</v>
      </c>
      <c r="S4014" t="s">
        <v>10416</v>
      </c>
      <c r="T4014" t="s">
        <v>12802</v>
      </c>
      <c r="U4014" t="s">
        <v>12802</v>
      </c>
      <c r="V4014" t="s">
        <v>12802</v>
      </c>
      <c r="W4014" t="s">
        <v>16758</v>
      </c>
      <c r="X4014">
        <v>14</v>
      </c>
      <c r="Y4014" t="s">
        <v>22987</v>
      </c>
      <c r="Z4014" t="s">
        <v>29332</v>
      </c>
      <c r="AA4014">
        <v>0.55212233600122862</v>
      </c>
      <c r="AB4014" t="str">
        <f>HYPERLINK("Melting_Curves/meltCurve_Q6P6C2_3_ALKBH5.pdf", "Melting_Curves/meltCurve_Q6P6C2_3_ALKBH5.pdf")</f>
        <v>Melting_Curves/meltCurve_Q6P6C2_3_ALKBH5.pdf</v>
      </c>
    </row>
    <row r="4015" spans="1:28" x14ac:dyDescent="0.25">
      <c r="A4015" t="s">
        <v>4019</v>
      </c>
      <c r="B4015">
        <v>0.99542014353169495</v>
      </c>
      <c r="C4015">
        <v>1.19534078764604</v>
      </c>
      <c r="D4015">
        <v>1.14814360099685</v>
      </c>
      <c r="E4015">
        <v>0.83723817673211098</v>
      </c>
      <c r="F4015">
        <v>0.72247968710629595</v>
      </c>
      <c r="G4015">
        <v>0.28119128943814597</v>
      </c>
      <c r="H4015">
        <v>0.14829648251887201</v>
      </c>
      <c r="I4015">
        <v>6.7690332913859397E-2</v>
      </c>
      <c r="J4015">
        <v>6.8947724132024005E-2</v>
      </c>
      <c r="K4015">
        <v>0.14576410480632801</v>
      </c>
      <c r="L4015">
        <v>1347.93051140744</v>
      </c>
      <c r="M4015">
        <v>26.225173696806898</v>
      </c>
      <c r="N4015">
        <v>51.773460587997299</v>
      </c>
      <c r="O4015">
        <v>51.102280311448197</v>
      </c>
      <c r="P4015">
        <v>-0.11719787379346901</v>
      </c>
      <c r="Q4015">
        <v>8.6524753987016007E-2</v>
      </c>
      <c r="R4015">
        <v>0.95881883276597601</v>
      </c>
      <c r="S4015" t="s">
        <v>10417</v>
      </c>
      <c r="T4015" t="s">
        <v>12802</v>
      </c>
      <c r="U4015" t="s">
        <v>12802</v>
      </c>
      <c r="V4015" t="s">
        <v>12802</v>
      </c>
      <c r="W4015" t="s">
        <v>16759</v>
      </c>
      <c r="X4015">
        <v>3</v>
      </c>
      <c r="Y4015" t="s">
        <v>22988</v>
      </c>
      <c r="Z4015" t="s">
        <v>29333</v>
      </c>
      <c r="AA4015">
        <v>0.53233537446379176</v>
      </c>
      <c r="AB4015" t="str">
        <f>HYPERLINK("Melting_Curves/meltCurve_Q6P9B6_KIAA1609.pdf", "Melting_Curves/meltCurve_Q6P9B6_KIAA1609.pdf")</f>
        <v>Melting_Curves/meltCurve_Q6P9B6_KIAA1609.pdf</v>
      </c>
    </row>
    <row r="4016" spans="1:28" x14ac:dyDescent="0.25">
      <c r="A4016" t="s">
        <v>4020</v>
      </c>
      <c r="B4016">
        <v>0.99542014353169495</v>
      </c>
      <c r="C4016">
        <v>0.93280646389372801</v>
      </c>
      <c r="D4016">
        <v>0.764875721339905</v>
      </c>
      <c r="E4016">
        <v>0.526631127458699</v>
      </c>
      <c r="F4016">
        <v>0.28419783140135102</v>
      </c>
      <c r="G4016">
        <v>0.104779815080801</v>
      </c>
      <c r="H4016">
        <v>6.4045938002223704E-2</v>
      </c>
      <c r="I4016">
        <v>6.7863608653141602E-2</v>
      </c>
      <c r="J4016">
        <v>3.16093044548355E-2</v>
      </c>
      <c r="K4016">
        <v>0</v>
      </c>
      <c r="L4016">
        <v>686.11359407867997</v>
      </c>
      <c r="M4016">
        <v>14.6740884514588</v>
      </c>
      <c r="N4016">
        <v>46.7984142964104</v>
      </c>
      <c r="O4016">
        <v>45.914213574131999</v>
      </c>
      <c r="P4016">
        <v>-7.9390443074769806E-2</v>
      </c>
      <c r="Q4016">
        <v>6.4804454440329498E-3</v>
      </c>
      <c r="R4016">
        <v>0.99782994856610396</v>
      </c>
      <c r="S4016" t="s">
        <v>10418</v>
      </c>
      <c r="T4016" t="s">
        <v>12802</v>
      </c>
      <c r="U4016" t="s">
        <v>12802</v>
      </c>
      <c r="V4016" t="s">
        <v>12802</v>
      </c>
      <c r="W4016" t="s">
        <v>16760</v>
      </c>
      <c r="X4016">
        <v>2</v>
      </c>
      <c r="Y4016" t="s">
        <v>22989</v>
      </c>
      <c r="Z4016" t="s">
        <v>29334</v>
      </c>
      <c r="AA4016">
        <v>0.35300099062890888</v>
      </c>
      <c r="AB4016" t="str">
        <f>HYPERLINK("Melting_Curves/meltCurve_Q6P9B9_INTS5.pdf", "Melting_Curves/meltCurve_Q6P9B9_INTS5.pdf")</f>
        <v>Melting_Curves/meltCurve_Q6P9B9_INTS5.pdf</v>
      </c>
    </row>
    <row r="4017" spans="1:28" x14ac:dyDescent="0.25">
      <c r="A4017" t="s">
        <v>4021</v>
      </c>
      <c r="B4017">
        <v>0.99542014353169495</v>
      </c>
      <c r="C4017">
        <v>0.66589433298110701</v>
      </c>
      <c r="D4017">
        <v>0.77036582278612797</v>
      </c>
      <c r="E4017">
        <v>0.44885195060907002</v>
      </c>
      <c r="F4017">
        <v>0.62520794618716902</v>
      </c>
      <c r="G4017">
        <v>0.20930145757807</v>
      </c>
      <c r="H4017">
        <v>5.8777642800850197E-2</v>
      </c>
      <c r="I4017">
        <v>0</v>
      </c>
      <c r="J4017">
        <v>0</v>
      </c>
      <c r="K4017">
        <v>0</v>
      </c>
      <c r="L4017">
        <v>463.67119152611298</v>
      </c>
      <c r="M4017">
        <v>9.8255680751032592</v>
      </c>
      <c r="N4017">
        <v>47.1902680819097</v>
      </c>
      <c r="O4017">
        <v>45.360159508499699</v>
      </c>
      <c r="P4017">
        <v>-5.4181245428971403E-2</v>
      </c>
      <c r="Q4017">
        <v>0</v>
      </c>
      <c r="R4017">
        <v>0.88200122425731597</v>
      </c>
      <c r="S4017" t="s">
        <v>10419</v>
      </c>
      <c r="T4017" t="s">
        <v>12802</v>
      </c>
      <c r="U4017" t="s">
        <v>12802</v>
      </c>
      <c r="V4017" t="s">
        <v>12802</v>
      </c>
      <c r="W4017" t="s">
        <v>16761</v>
      </c>
      <c r="X4017">
        <v>2</v>
      </c>
      <c r="Y4017" t="s">
        <v>22990</v>
      </c>
      <c r="Z4017" t="s">
        <v>29335</v>
      </c>
      <c r="AA4017">
        <v>0.38329341987121501</v>
      </c>
      <c r="AB4017" t="str">
        <f>HYPERLINK("Melting_Curves/meltCurve_Q6P9F7_LRRC8B.pdf", "Melting_Curves/meltCurve_Q6P9F7_LRRC8B.pdf")</f>
        <v>Melting_Curves/meltCurve_Q6P9F7_LRRC8B.pdf</v>
      </c>
    </row>
    <row r="4018" spans="1:28" x14ac:dyDescent="0.25">
      <c r="A4018" t="s">
        <v>4022</v>
      </c>
      <c r="B4018">
        <v>0.99542014353169495</v>
      </c>
      <c r="C4018">
        <v>0.89977500745531003</v>
      </c>
      <c r="D4018">
        <v>0.970331952617976</v>
      </c>
      <c r="E4018">
        <v>0.772201533358568</v>
      </c>
      <c r="F4018">
        <v>0.50481989132105198</v>
      </c>
      <c r="G4018">
        <v>0.287442125652137</v>
      </c>
      <c r="H4018">
        <v>0.14522409420059301</v>
      </c>
      <c r="I4018">
        <v>0.110823036997239</v>
      </c>
      <c r="J4018">
        <v>0.111967224700559</v>
      </c>
      <c r="K4018">
        <v>9.2534112123947604E-2</v>
      </c>
      <c r="L4018">
        <v>842.68503264820401</v>
      </c>
      <c r="M4018">
        <v>16.941638678275702</v>
      </c>
      <c r="N4018">
        <v>50.243161848993203</v>
      </c>
      <c r="O4018">
        <v>49.062949323014799</v>
      </c>
      <c r="P4018">
        <v>-7.9601155816282104E-2</v>
      </c>
      <c r="Q4018">
        <v>7.7958651381324795E-2</v>
      </c>
      <c r="R4018">
        <v>0.99318082683884901</v>
      </c>
      <c r="S4018" t="s">
        <v>10420</v>
      </c>
      <c r="T4018" t="s">
        <v>12802</v>
      </c>
      <c r="U4018" t="s">
        <v>12802</v>
      </c>
      <c r="V4018" t="s">
        <v>12802</v>
      </c>
      <c r="W4018" t="s">
        <v>16762</v>
      </c>
      <c r="X4018">
        <v>9</v>
      </c>
      <c r="Y4018" t="s">
        <v>22991</v>
      </c>
      <c r="Z4018" t="s">
        <v>29336</v>
      </c>
      <c r="AA4018">
        <v>0.48562829901552312</v>
      </c>
      <c r="AB4018" t="str">
        <f>HYPERLINK("Melting_Curves/meltCurve_Q6PCB5_RSBN1L.pdf", "Melting_Curves/meltCurve_Q6PCB5_RSBN1L.pdf")</f>
        <v>Melting_Curves/meltCurve_Q6PCB5_RSBN1L.pdf</v>
      </c>
    </row>
    <row r="4019" spans="1:28" x14ac:dyDescent="0.25">
      <c r="A4019" t="s">
        <v>4023</v>
      </c>
      <c r="B4019">
        <v>0.99542014353169495</v>
      </c>
      <c r="C4019">
        <v>1.0547291684761599</v>
      </c>
      <c r="D4019">
        <v>1.0374508447162001</v>
      </c>
      <c r="E4019">
        <v>0.99217781901505997</v>
      </c>
      <c r="F4019">
        <v>0.83963490814445596</v>
      </c>
      <c r="G4019">
        <v>0.552735343373146</v>
      </c>
      <c r="H4019">
        <v>0.22954930124092199</v>
      </c>
      <c r="I4019">
        <v>0.11635085249571001</v>
      </c>
      <c r="J4019">
        <v>0.11650559058820401</v>
      </c>
      <c r="K4019">
        <v>9.7800390173412105E-2</v>
      </c>
      <c r="L4019">
        <v>1329.3951113327901</v>
      </c>
      <c r="M4019">
        <v>24.750444584542201</v>
      </c>
      <c r="N4019">
        <v>54.127869479353997</v>
      </c>
      <c r="O4019">
        <v>53.365015000507299</v>
      </c>
      <c r="P4019">
        <v>-0.105910016523956</v>
      </c>
      <c r="Q4019">
        <v>8.6592483275929694E-2</v>
      </c>
      <c r="R4019">
        <v>0.99618301795739705</v>
      </c>
      <c r="S4019" t="s">
        <v>10421</v>
      </c>
      <c r="T4019" t="s">
        <v>12802</v>
      </c>
      <c r="U4019" t="s">
        <v>12802</v>
      </c>
      <c r="V4019" t="s">
        <v>12802</v>
      </c>
      <c r="W4019" t="s">
        <v>16763</v>
      </c>
      <c r="X4019">
        <v>3</v>
      </c>
      <c r="Y4019" t="s">
        <v>22992</v>
      </c>
      <c r="Z4019" t="s">
        <v>29337</v>
      </c>
      <c r="AA4019">
        <v>0.60356555006998858</v>
      </c>
      <c r="AB4019" t="str">
        <f>HYPERLINK("Melting_Curves/meltCurve_Q6PCE3_PGM2L1.pdf", "Melting_Curves/meltCurve_Q6PCE3_PGM2L1.pdf")</f>
        <v>Melting_Curves/meltCurve_Q6PCE3_PGM2L1.pdf</v>
      </c>
    </row>
    <row r="4020" spans="1:28" x14ac:dyDescent="0.25">
      <c r="A4020" t="s">
        <v>4024</v>
      </c>
      <c r="B4020">
        <v>0.99542014353169495</v>
      </c>
      <c r="C4020">
        <v>0.844084675276631</v>
      </c>
      <c r="D4020">
        <v>0.89595758664135805</v>
      </c>
      <c r="E4020">
        <v>0.54139484531860005</v>
      </c>
      <c r="F4020">
        <v>0.22332229894462299</v>
      </c>
      <c r="G4020">
        <v>0.14152314372677499</v>
      </c>
      <c r="H4020">
        <v>0.10071535928344</v>
      </c>
      <c r="I4020">
        <v>7.1527112882361493E-2</v>
      </c>
      <c r="J4020">
        <v>7.2802964926429195E-2</v>
      </c>
      <c r="K4020">
        <v>8.1127278069775502E-2</v>
      </c>
      <c r="L4020">
        <v>927.93556205436505</v>
      </c>
      <c r="M4020">
        <v>19.9160814242702</v>
      </c>
      <c r="N4020">
        <v>46.953505145783197</v>
      </c>
      <c r="O4020">
        <v>46.130152700597598</v>
      </c>
      <c r="P4020">
        <v>-0.100270931551852</v>
      </c>
      <c r="Q4020">
        <v>7.1029784480059699E-2</v>
      </c>
      <c r="R4020">
        <v>0.98607325145174995</v>
      </c>
      <c r="S4020" t="s">
        <v>10422</v>
      </c>
      <c r="T4020" t="s">
        <v>12802</v>
      </c>
      <c r="U4020" t="s">
        <v>12802</v>
      </c>
      <c r="V4020" t="s">
        <v>12802</v>
      </c>
      <c r="W4020" t="s">
        <v>16764</v>
      </c>
      <c r="X4020">
        <v>16</v>
      </c>
      <c r="Y4020" t="s">
        <v>22993</v>
      </c>
      <c r="Z4020" t="s">
        <v>29338</v>
      </c>
      <c r="AA4020">
        <v>0.38031212123149188</v>
      </c>
      <c r="AB4020" t="str">
        <f>HYPERLINK("Melting_Curves/meltCurve_Q6PD62_CTR9.pdf", "Melting_Curves/meltCurve_Q6PD62_CTR9.pdf")</f>
        <v>Melting_Curves/meltCurve_Q6PD62_CTR9.pdf</v>
      </c>
    </row>
    <row r="4021" spans="1:28" x14ac:dyDescent="0.25">
      <c r="A4021" t="s">
        <v>4025</v>
      </c>
      <c r="B4021">
        <v>0.99542014353169495</v>
      </c>
      <c r="C4021">
        <v>1.05796046922075</v>
      </c>
      <c r="D4021">
        <v>1.03686502197523</v>
      </c>
      <c r="E4021">
        <v>0.65439374111205295</v>
      </c>
      <c r="F4021">
        <v>0.28256489423529901</v>
      </c>
      <c r="G4021">
        <v>0.15008641406037601</v>
      </c>
      <c r="H4021">
        <v>8.5789224230461703E-2</v>
      </c>
      <c r="I4021">
        <v>6.06598297105174E-2</v>
      </c>
      <c r="J4021">
        <v>5.5335446842293301E-2</v>
      </c>
      <c r="K4021">
        <v>6.7625581544311197E-2</v>
      </c>
      <c r="L4021">
        <v>1295.92958142835</v>
      </c>
      <c r="M4021">
        <v>27.1292983504276</v>
      </c>
      <c r="N4021">
        <v>48.0482997277145</v>
      </c>
      <c r="O4021">
        <v>47.511365437069401</v>
      </c>
      <c r="P4021">
        <v>-0.13232720990199501</v>
      </c>
      <c r="Q4021">
        <v>7.3034132211043296E-2</v>
      </c>
      <c r="R4021">
        <v>0.99229961031249803</v>
      </c>
      <c r="S4021" t="s">
        <v>10423</v>
      </c>
      <c r="T4021" t="s">
        <v>12802</v>
      </c>
      <c r="U4021" t="s">
        <v>12802</v>
      </c>
      <c r="V4021" t="s">
        <v>12802</v>
      </c>
      <c r="W4021" t="s">
        <v>16765</v>
      </c>
      <c r="X4021">
        <v>8</v>
      </c>
      <c r="Y4021" t="s">
        <v>22994</v>
      </c>
      <c r="Z4021" t="s">
        <v>29339</v>
      </c>
      <c r="AA4021">
        <v>0.41246151211284637</v>
      </c>
      <c r="AB4021" t="str">
        <f>HYPERLINK("Melting_Curves/meltCurve_Q6PD74_AAGAB.pdf", "Melting_Curves/meltCurve_Q6PD74_AAGAB.pdf")</f>
        <v>Melting_Curves/meltCurve_Q6PD74_AAGAB.pdf</v>
      </c>
    </row>
    <row r="4022" spans="1:28" x14ac:dyDescent="0.25">
      <c r="A4022" t="s">
        <v>4026</v>
      </c>
      <c r="B4022">
        <v>0.99542014353169495</v>
      </c>
      <c r="C4022">
        <v>1.1197149738629</v>
      </c>
      <c r="D4022">
        <v>1.0086185392942399</v>
      </c>
      <c r="E4022">
        <v>0.993925393443431</v>
      </c>
      <c r="F4022">
        <v>0.69300271787967804</v>
      </c>
      <c r="G4022">
        <v>0.53267961892806504</v>
      </c>
      <c r="H4022">
        <v>0.31678488215161998</v>
      </c>
      <c r="I4022">
        <v>0.21254617947000801</v>
      </c>
      <c r="J4022">
        <v>0.29190654214651401</v>
      </c>
      <c r="K4022">
        <v>0.38623207970936602</v>
      </c>
      <c r="L4022">
        <v>1256.44557494271</v>
      </c>
      <c r="M4022">
        <v>24.455417170712501</v>
      </c>
      <c r="N4022">
        <v>53.295855213965297</v>
      </c>
      <c r="O4022">
        <v>51.037165224457503</v>
      </c>
      <c r="P4022">
        <v>-8.4728996928989803E-2</v>
      </c>
      <c r="Q4022">
        <v>0.29271086632679699</v>
      </c>
      <c r="R4022">
        <v>0.96215340710330799</v>
      </c>
      <c r="S4022" t="s">
        <v>10424</v>
      </c>
      <c r="T4022" t="s">
        <v>12802</v>
      </c>
      <c r="U4022" t="s">
        <v>12802</v>
      </c>
      <c r="V4022" t="s">
        <v>12802</v>
      </c>
      <c r="W4022" t="s">
        <v>16766</v>
      </c>
      <c r="X4022">
        <v>9</v>
      </c>
      <c r="Y4022" t="s">
        <v>22995</v>
      </c>
      <c r="Z4022" t="s">
        <v>29340</v>
      </c>
      <c r="AA4022">
        <v>0.63817789676935099</v>
      </c>
      <c r="AB4022" t="str">
        <f>HYPERLINK("Melting_Curves/meltCurve_Q6PGN9_2_PSRC1.pdf", "Melting_Curves/meltCurve_Q6PGN9_2_PSRC1.pdf")</f>
        <v>Melting_Curves/meltCurve_Q6PGN9_2_PSRC1.pdf</v>
      </c>
    </row>
    <row r="4023" spans="1:28" x14ac:dyDescent="0.25">
      <c r="A4023" t="s">
        <v>4027</v>
      </c>
      <c r="B4023">
        <v>0.99542014353169495</v>
      </c>
      <c r="C4023">
        <v>0.97239728824403404</v>
      </c>
      <c r="D4023">
        <v>0.96027078781383501</v>
      </c>
      <c r="E4023">
        <v>0.74612105972118403</v>
      </c>
      <c r="F4023">
        <v>0.42968455189211402</v>
      </c>
      <c r="G4023">
        <v>0.22458069939546399</v>
      </c>
      <c r="H4023">
        <v>0.140483538136567</v>
      </c>
      <c r="I4023">
        <v>0.108754699127798</v>
      </c>
      <c r="J4023">
        <v>0.120923138136834</v>
      </c>
      <c r="K4023">
        <v>0.11973838802664601</v>
      </c>
      <c r="L4023">
        <v>1004.43524372473</v>
      </c>
      <c r="M4023">
        <v>20.596980914717701</v>
      </c>
      <c r="N4023">
        <v>49.348803521770002</v>
      </c>
      <c r="O4023">
        <v>48.313448046030402</v>
      </c>
      <c r="P4023">
        <v>-9.5078645456354499E-2</v>
      </c>
      <c r="Q4023">
        <v>0.10793862326123101</v>
      </c>
      <c r="R4023">
        <v>0.99933692034369503</v>
      </c>
      <c r="S4023" t="s">
        <v>10425</v>
      </c>
      <c r="T4023" t="s">
        <v>12802</v>
      </c>
      <c r="U4023" t="s">
        <v>12802</v>
      </c>
      <c r="V4023" t="s">
        <v>12802</v>
      </c>
      <c r="W4023" t="s">
        <v>16767</v>
      </c>
      <c r="X4023">
        <v>2</v>
      </c>
      <c r="Y4023" t="s">
        <v>22996</v>
      </c>
      <c r="Z4023" t="s">
        <v>29341</v>
      </c>
      <c r="AA4023">
        <v>0.4689347168809771</v>
      </c>
      <c r="AB4023" t="str">
        <f>HYPERLINK("Melting_Curves/meltCurve_Q6PHR2_3_ULK3.pdf", "Melting_Curves/meltCurve_Q6PHR2_3_ULK3.pdf")</f>
        <v>Melting_Curves/meltCurve_Q6PHR2_3_ULK3.pdf</v>
      </c>
    </row>
    <row r="4024" spans="1:28" x14ac:dyDescent="0.25">
      <c r="A4024" t="s">
        <v>4028</v>
      </c>
      <c r="B4024">
        <v>0.99542014353169495</v>
      </c>
      <c r="C4024">
        <v>0.99959871071972495</v>
      </c>
      <c r="D4024">
        <v>0.92325166193371799</v>
      </c>
      <c r="E4024">
        <v>0.82020037708946902</v>
      </c>
      <c r="F4024">
        <v>0.67201046240928597</v>
      </c>
      <c r="G4024">
        <v>0.51091962199315499</v>
      </c>
      <c r="H4024">
        <v>0.358433100607286</v>
      </c>
      <c r="I4024">
        <v>0.28720086330849098</v>
      </c>
      <c r="J4024">
        <v>0.14475390465601101</v>
      </c>
      <c r="K4024">
        <v>5.7558332876412897E-2</v>
      </c>
      <c r="L4024">
        <v>555.47751597318597</v>
      </c>
      <c r="M4024">
        <v>10.2999068728379</v>
      </c>
      <c r="N4024">
        <v>53.930324284900003</v>
      </c>
      <c r="O4024">
        <v>52.016128141846401</v>
      </c>
      <c r="P4024">
        <v>-4.95249396926081E-2</v>
      </c>
      <c r="Q4024">
        <v>0</v>
      </c>
      <c r="R4024">
        <v>0.99277976634470499</v>
      </c>
      <c r="S4024" t="s">
        <v>10426</v>
      </c>
      <c r="T4024" t="s">
        <v>12802</v>
      </c>
      <c r="U4024" t="s">
        <v>12802</v>
      </c>
      <c r="V4024" t="s">
        <v>12802</v>
      </c>
      <c r="W4024" t="s">
        <v>16768</v>
      </c>
      <c r="X4024">
        <v>22</v>
      </c>
      <c r="Y4024" t="s">
        <v>22997</v>
      </c>
      <c r="Z4024" t="s">
        <v>29342</v>
      </c>
      <c r="AA4024">
        <v>0.58244535914199724</v>
      </c>
      <c r="AB4024" t="str">
        <f>HYPERLINK("Melting_Curves/meltCurve_Q6PI48_DARS2.pdf", "Melting_Curves/meltCurve_Q6PI48_DARS2.pdf")</f>
        <v>Melting_Curves/meltCurve_Q6PI48_DARS2.pdf</v>
      </c>
    </row>
    <row r="4025" spans="1:28" x14ac:dyDescent="0.25">
      <c r="A4025" t="s">
        <v>4029</v>
      </c>
      <c r="B4025">
        <v>0.99542014353169495</v>
      </c>
      <c r="C4025">
        <v>1.03486063752311</v>
      </c>
      <c r="D4025">
        <v>0.89417367980663198</v>
      </c>
      <c r="E4025">
        <v>0.75543466238330204</v>
      </c>
      <c r="F4025">
        <v>0.58145262812102905</v>
      </c>
      <c r="G4025">
        <v>0.44926317276509298</v>
      </c>
      <c r="H4025">
        <v>0.31921978889828001</v>
      </c>
      <c r="I4025">
        <v>0.26724315110458002</v>
      </c>
      <c r="J4025">
        <v>0.39719178726992599</v>
      </c>
      <c r="K4025">
        <v>0.54929849476085402</v>
      </c>
      <c r="L4025">
        <v>937.51238276369497</v>
      </c>
      <c r="M4025">
        <v>19.676565832100401</v>
      </c>
      <c r="N4025">
        <v>51.424650861459298</v>
      </c>
      <c r="O4025">
        <v>47.162196271333997</v>
      </c>
      <c r="P4025">
        <v>-6.4438542568283103E-2</v>
      </c>
      <c r="Q4025">
        <v>0.38221786991774698</v>
      </c>
      <c r="R4025">
        <v>0.92260893896923302</v>
      </c>
      <c r="S4025" t="s">
        <v>10427</v>
      </c>
      <c r="T4025" t="s">
        <v>12802</v>
      </c>
      <c r="U4025" t="s">
        <v>12802</v>
      </c>
      <c r="V4025" t="s">
        <v>12802</v>
      </c>
      <c r="W4025" t="s">
        <v>16769</v>
      </c>
      <c r="X4025">
        <v>5</v>
      </c>
      <c r="Y4025" t="s">
        <v>22998</v>
      </c>
      <c r="Z4025" t="s">
        <v>29343</v>
      </c>
      <c r="AA4025">
        <v>0.60981370341979757</v>
      </c>
      <c r="AB4025" t="str">
        <f>HYPERLINK("Melting_Curves/meltCurve_Q6PII3_CCDC174.pdf", "Melting_Curves/meltCurve_Q6PII3_CCDC174.pdf")</f>
        <v>Melting_Curves/meltCurve_Q6PII3_CCDC174.pdf</v>
      </c>
    </row>
    <row r="4026" spans="1:28" x14ac:dyDescent="0.25">
      <c r="A4026" t="s">
        <v>4030</v>
      </c>
      <c r="B4026">
        <v>0.99542014353169495</v>
      </c>
      <c r="C4026">
        <v>0.92194904133210098</v>
      </c>
      <c r="D4026">
        <v>0.88042489965411797</v>
      </c>
      <c r="E4026">
        <v>0.75669711909578297</v>
      </c>
      <c r="F4026">
        <v>0.67853348562660798</v>
      </c>
      <c r="G4026">
        <v>0.34022026206059303</v>
      </c>
      <c r="H4026">
        <v>0.27801436248782602</v>
      </c>
      <c r="I4026">
        <v>0.21767383416685701</v>
      </c>
      <c r="J4026">
        <v>0.33825056004884402</v>
      </c>
      <c r="K4026">
        <v>0.32131964332630902</v>
      </c>
      <c r="L4026">
        <v>746.57809804171802</v>
      </c>
      <c r="M4026">
        <v>15.178930151199101</v>
      </c>
      <c r="N4026">
        <v>51.5675698033778</v>
      </c>
      <c r="O4026">
        <v>48.355162134293799</v>
      </c>
      <c r="P4026">
        <v>-5.8704271075841197E-2</v>
      </c>
      <c r="Q4026">
        <v>0.252020842910059</v>
      </c>
      <c r="R4026">
        <v>0.95431187366863002</v>
      </c>
      <c r="S4026" t="s">
        <v>10428</v>
      </c>
      <c r="T4026" t="s">
        <v>12802</v>
      </c>
      <c r="U4026" t="s">
        <v>12802</v>
      </c>
      <c r="V4026" t="s">
        <v>12802</v>
      </c>
      <c r="W4026" t="s">
        <v>16770</v>
      </c>
      <c r="X4026">
        <v>2</v>
      </c>
      <c r="Y4026" t="s">
        <v>22999</v>
      </c>
      <c r="Z4026" t="s">
        <v>29344</v>
      </c>
      <c r="AA4026">
        <v>0.5715500919005374</v>
      </c>
      <c r="AB4026" t="str">
        <f>HYPERLINK("Melting_Curves/meltCurve_Q6PII5_2_HAGHL.pdf", "Melting_Curves/meltCurve_Q6PII5_2_HAGHL.pdf")</f>
        <v>Melting_Curves/meltCurve_Q6PII5_2_HAGHL.pdf</v>
      </c>
    </row>
    <row r="4027" spans="1:28" x14ac:dyDescent="0.25">
      <c r="A4027" t="s">
        <v>4031</v>
      </c>
      <c r="B4027">
        <v>0.99542014353169495</v>
      </c>
      <c r="C4027">
        <v>0.95766672716730505</v>
      </c>
      <c r="D4027">
        <v>0.69900657224829799</v>
      </c>
      <c r="E4027">
        <v>0.70748381886005396</v>
      </c>
      <c r="F4027">
        <v>0.66698934983432701</v>
      </c>
      <c r="G4027">
        <v>0.21989464729646699</v>
      </c>
      <c r="H4027">
        <v>0</v>
      </c>
      <c r="I4027">
        <v>0</v>
      </c>
      <c r="J4027">
        <v>0</v>
      </c>
      <c r="K4027">
        <v>0</v>
      </c>
      <c r="L4027">
        <v>721.48926289832502</v>
      </c>
      <c r="M4027">
        <v>14.488935472062</v>
      </c>
      <c r="N4027">
        <v>49.795890210586897</v>
      </c>
      <c r="O4027">
        <v>48.876136108714498</v>
      </c>
      <c r="P4027">
        <v>-7.4119055351793001E-2</v>
      </c>
      <c r="Q4027">
        <v>0</v>
      </c>
      <c r="R4027">
        <v>0.93278525737748896</v>
      </c>
      <c r="S4027" t="s">
        <v>10429</v>
      </c>
      <c r="T4027" t="s">
        <v>12802</v>
      </c>
      <c r="U4027" t="s">
        <v>12802</v>
      </c>
      <c r="V4027" t="s">
        <v>12802</v>
      </c>
      <c r="W4027" t="s">
        <v>16771</v>
      </c>
      <c r="X4027">
        <v>1</v>
      </c>
      <c r="Y4027" t="s">
        <v>23000</v>
      </c>
      <c r="Z4027" t="s">
        <v>29345</v>
      </c>
      <c r="AA4027">
        <v>0.44865365058540418</v>
      </c>
      <c r="AB4027" t="str">
        <f>HYPERLINK("Melting_Curves/meltCurve_Q6PIJ6_2_FBXO38.pdf", "Melting_Curves/meltCurve_Q6PIJ6_2_FBXO38.pdf")</f>
        <v>Melting_Curves/meltCurve_Q6PIJ6_2_FBXO38.pdf</v>
      </c>
    </row>
    <row r="4028" spans="1:28" x14ac:dyDescent="0.25">
      <c r="A4028" t="s">
        <v>4032</v>
      </c>
      <c r="B4028">
        <v>0.99542014353169495</v>
      </c>
      <c r="C4028">
        <v>0.90551709781640899</v>
      </c>
      <c r="D4028">
        <v>0.78653436971090995</v>
      </c>
      <c r="E4028">
        <v>0.24834770512356899</v>
      </c>
      <c r="F4028">
        <v>8.0077469045117297E-2</v>
      </c>
      <c r="G4028">
        <v>5.7884421873644301E-2</v>
      </c>
      <c r="H4028">
        <v>3.9910242300113502E-2</v>
      </c>
      <c r="I4028">
        <v>2.5054761279702902E-2</v>
      </c>
      <c r="J4028">
        <v>3.1872639643088098E-2</v>
      </c>
      <c r="K4028">
        <v>2.9805516881782599E-2</v>
      </c>
      <c r="L4028">
        <v>1276.57673498041</v>
      </c>
      <c r="M4028">
        <v>28.563345786512301</v>
      </c>
      <c r="N4028">
        <v>44.804534691753801</v>
      </c>
      <c r="O4028">
        <v>44.475482122629998</v>
      </c>
      <c r="P4028">
        <v>-0.15503985096978101</v>
      </c>
      <c r="Q4028">
        <v>3.4368328426579303E-2</v>
      </c>
      <c r="R4028">
        <v>0.99641125187112001</v>
      </c>
      <c r="S4028" t="s">
        <v>10430</v>
      </c>
      <c r="T4028" t="s">
        <v>12802</v>
      </c>
      <c r="U4028" t="s">
        <v>12802</v>
      </c>
      <c r="V4028" t="s">
        <v>12802</v>
      </c>
      <c r="W4028" t="s">
        <v>16772</v>
      </c>
      <c r="X4028">
        <v>6</v>
      </c>
      <c r="Y4028" t="s">
        <v>23001</v>
      </c>
      <c r="Z4028" t="s">
        <v>29346</v>
      </c>
      <c r="AA4028">
        <v>0.28796262702277048</v>
      </c>
      <c r="AB4028" t="str">
        <f>HYPERLINK("Melting_Curves/meltCurve_Q6PIW4_2_FIGNL1.pdf", "Melting_Curves/meltCurve_Q6PIW4_2_FIGNL1.pdf")</f>
        <v>Melting_Curves/meltCurve_Q6PIW4_2_FIGNL1.pdf</v>
      </c>
    </row>
    <row r="4029" spans="1:28" x14ac:dyDescent="0.25">
      <c r="A4029" t="s">
        <v>4033</v>
      </c>
      <c r="B4029">
        <v>0.99542014353169495</v>
      </c>
      <c r="C4029">
        <v>1.1311420782783199</v>
      </c>
      <c r="D4029">
        <v>1.1325058263714101</v>
      </c>
      <c r="E4029">
        <v>0.93052893777883705</v>
      </c>
      <c r="F4029">
        <v>0.30137362410927798</v>
      </c>
      <c r="G4029">
        <v>0</v>
      </c>
      <c r="H4029">
        <v>0.17409196730214699</v>
      </c>
      <c r="I4029">
        <v>0</v>
      </c>
      <c r="J4029">
        <v>0</v>
      </c>
      <c r="K4029">
        <v>0</v>
      </c>
      <c r="L4029">
        <v>2423.2840523168302</v>
      </c>
      <c r="M4029">
        <v>49.255819833952799</v>
      </c>
      <c r="N4029">
        <v>49.265335208106002</v>
      </c>
      <c r="O4029">
        <v>49.1170325737897</v>
      </c>
      <c r="P4029">
        <v>-0.24253430275632001</v>
      </c>
      <c r="Q4029">
        <v>3.2597204426544402E-2</v>
      </c>
      <c r="R4029">
        <v>0.97448848515980802</v>
      </c>
      <c r="S4029" t="s">
        <v>10431</v>
      </c>
      <c r="T4029" t="s">
        <v>12802</v>
      </c>
      <c r="U4029" t="s">
        <v>12802</v>
      </c>
      <c r="V4029" t="s">
        <v>12802</v>
      </c>
      <c r="W4029" t="s">
        <v>16773</v>
      </c>
      <c r="X4029">
        <v>1</v>
      </c>
      <c r="Y4029" t="s">
        <v>23002</v>
      </c>
      <c r="Z4029" t="s">
        <v>29347</v>
      </c>
      <c r="AA4029">
        <v>0.42810427218927138</v>
      </c>
      <c r="AB4029" t="str">
        <f>HYPERLINK("Melting_Curves/meltCurve_Q6PJ61_FBXO46.pdf", "Melting_Curves/meltCurve_Q6PJ61_FBXO46.pdf")</f>
        <v>Melting_Curves/meltCurve_Q6PJ61_FBXO46.pdf</v>
      </c>
    </row>
    <row r="4030" spans="1:28" x14ac:dyDescent="0.25">
      <c r="A4030" t="s">
        <v>4034</v>
      </c>
      <c r="B4030">
        <v>0.99542014353169495</v>
      </c>
      <c r="C4030">
        <v>1.0984281374365099</v>
      </c>
      <c r="D4030">
        <v>0.97247371389314197</v>
      </c>
      <c r="E4030">
        <v>0.54780536993673001</v>
      </c>
      <c r="F4030">
        <v>0.36531845546568198</v>
      </c>
      <c r="G4030">
        <v>0.18408668016913199</v>
      </c>
      <c r="H4030">
        <v>8.4971417526209694E-2</v>
      </c>
      <c r="I4030">
        <v>5.16021138833491E-2</v>
      </c>
      <c r="J4030">
        <v>3.6550848500307799E-2</v>
      </c>
      <c r="K4030">
        <v>3.3873011434483798E-2</v>
      </c>
      <c r="L4030">
        <v>908.04058236527896</v>
      </c>
      <c r="M4030">
        <v>18.982804646358101</v>
      </c>
      <c r="N4030">
        <v>48.072584854752002</v>
      </c>
      <c r="O4030">
        <v>47.313539909217603</v>
      </c>
      <c r="P4030">
        <v>-9.5814190309510702E-2</v>
      </c>
      <c r="Q4030">
        <v>4.4793103629641E-2</v>
      </c>
      <c r="R4030">
        <v>0.98132943075469103</v>
      </c>
      <c r="S4030" t="s">
        <v>10432</v>
      </c>
      <c r="T4030" t="s">
        <v>12802</v>
      </c>
      <c r="U4030" t="s">
        <v>12802</v>
      </c>
      <c r="V4030" t="s">
        <v>12802</v>
      </c>
      <c r="W4030" t="s">
        <v>16774</v>
      </c>
      <c r="X4030">
        <v>8</v>
      </c>
      <c r="Y4030" t="s">
        <v>23003</v>
      </c>
      <c r="Z4030" t="s">
        <v>29348</v>
      </c>
      <c r="AA4030">
        <v>0.40362063166198331</v>
      </c>
      <c r="AB4030" t="str">
        <f>HYPERLINK("Melting_Curves/meltCurve_Q6PJ69_TRIM65.pdf", "Melting_Curves/meltCurve_Q6PJ69_TRIM65.pdf")</f>
        <v>Melting_Curves/meltCurve_Q6PJ69_TRIM65.pdf</v>
      </c>
    </row>
    <row r="4031" spans="1:28" x14ac:dyDescent="0.25">
      <c r="A4031" t="s">
        <v>4035</v>
      </c>
      <c r="B4031">
        <v>0.99542014353169495</v>
      </c>
      <c r="C4031">
        <v>0.83979991402658904</v>
      </c>
      <c r="D4031">
        <v>0.60655677508591999</v>
      </c>
      <c r="E4031">
        <v>0.39741257284181802</v>
      </c>
      <c r="F4031">
        <v>0.20255288722585399</v>
      </c>
      <c r="G4031">
        <v>0.101343045257574</v>
      </c>
      <c r="H4031">
        <v>5.4385255895353098E-2</v>
      </c>
      <c r="I4031">
        <v>4.03287553074652E-2</v>
      </c>
      <c r="J4031">
        <v>3.6597692751712201E-2</v>
      </c>
      <c r="K4031">
        <v>4.8059365073100199E-2</v>
      </c>
      <c r="L4031">
        <v>622.49246673302696</v>
      </c>
      <c r="M4031">
        <v>13.9462416393549</v>
      </c>
      <c r="N4031">
        <v>44.796527680516498</v>
      </c>
      <c r="O4031">
        <v>43.747464601485099</v>
      </c>
      <c r="P4031">
        <v>-7.7755358197062294E-2</v>
      </c>
      <c r="Q4031">
        <v>2.44992719285578E-2</v>
      </c>
      <c r="R4031">
        <v>0.99628459560990501</v>
      </c>
      <c r="S4031" t="s">
        <v>10433</v>
      </c>
      <c r="T4031" t="s">
        <v>12802</v>
      </c>
      <c r="U4031" t="s">
        <v>12802</v>
      </c>
      <c r="V4031" t="s">
        <v>12802</v>
      </c>
      <c r="W4031" t="s">
        <v>16775</v>
      </c>
      <c r="X4031">
        <v>17</v>
      </c>
      <c r="Y4031" t="s">
        <v>23004</v>
      </c>
      <c r="Z4031" t="s">
        <v>29349</v>
      </c>
      <c r="AA4031">
        <v>0.2999887281659267</v>
      </c>
      <c r="AB4031" t="str">
        <f>HYPERLINK("Melting_Curves/meltCurve_Q6PJG6_BRAT1.pdf", "Melting_Curves/meltCurve_Q6PJG6_BRAT1.pdf")</f>
        <v>Melting_Curves/meltCurve_Q6PJG6_BRAT1.pdf</v>
      </c>
    </row>
    <row r="4032" spans="1:28" x14ac:dyDescent="0.25">
      <c r="A4032" t="s">
        <v>4036</v>
      </c>
      <c r="B4032">
        <v>0.99542014353169495</v>
      </c>
      <c r="C4032">
        <v>1.0516614211509301</v>
      </c>
      <c r="D4032">
        <v>1.02143868871776</v>
      </c>
      <c r="E4032">
        <v>0.79806329472288795</v>
      </c>
      <c r="F4032">
        <v>0.568573405191243</v>
      </c>
      <c r="G4032">
        <v>0.28575343020284999</v>
      </c>
      <c r="H4032">
        <v>0.14596331631963799</v>
      </c>
      <c r="I4032">
        <v>0.10929357856203301</v>
      </c>
      <c r="J4032">
        <v>0.12094690299095499</v>
      </c>
      <c r="K4032">
        <v>0.13883838198614301</v>
      </c>
      <c r="L4032">
        <v>1031.0555379662101</v>
      </c>
      <c r="M4032">
        <v>20.5755878696751</v>
      </c>
      <c r="N4032">
        <v>50.703420488385198</v>
      </c>
      <c r="O4032">
        <v>49.644484434822701</v>
      </c>
      <c r="P4032">
        <v>-9.2540372618172898E-2</v>
      </c>
      <c r="Q4032">
        <v>0.106905630924352</v>
      </c>
      <c r="R4032">
        <v>0.99339965115802098</v>
      </c>
      <c r="S4032" t="s">
        <v>10434</v>
      </c>
      <c r="T4032" t="s">
        <v>12802</v>
      </c>
      <c r="U4032" t="s">
        <v>12802</v>
      </c>
      <c r="V4032" t="s">
        <v>12802</v>
      </c>
      <c r="W4032" t="s">
        <v>16776</v>
      </c>
      <c r="X4032">
        <v>19</v>
      </c>
      <c r="Y4032" t="s">
        <v>23005</v>
      </c>
      <c r="Z4032" t="s">
        <v>29350</v>
      </c>
      <c r="AA4032">
        <v>0.50839290708394269</v>
      </c>
      <c r="AB4032" t="str">
        <f>HYPERLINK("Melting_Curves/meltCurve_Q6PJT7_5_ZC3H14.pdf", "Melting_Curves/meltCurve_Q6PJT7_5_ZC3H14.pdf")</f>
        <v>Melting_Curves/meltCurve_Q6PJT7_5_ZC3H14.pdf</v>
      </c>
    </row>
    <row r="4033" spans="1:28" x14ac:dyDescent="0.25">
      <c r="A4033" t="s">
        <v>4037</v>
      </c>
      <c r="B4033">
        <v>0.99542014353169495</v>
      </c>
      <c r="C4033">
        <v>1.2471250898687101</v>
      </c>
      <c r="D4033">
        <v>1.1896624180635</v>
      </c>
      <c r="E4033">
        <v>0.94408542753382396</v>
      </c>
      <c r="F4033">
        <v>0.54597159419666597</v>
      </c>
      <c r="G4033">
        <v>0.27955220325351099</v>
      </c>
      <c r="H4033">
        <v>0.17578179304569999</v>
      </c>
      <c r="I4033">
        <v>0.12666306128371199</v>
      </c>
      <c r="J4033">
        <v>0.16856295604136301</v>
      </c>
      <c r="K4033">
        <v>0.218721835739317</v>
      </c>
      <c r="L4033">
        <v>1729.33233363624</v>
      </c>
      <c r="M4033">
        <v>34.5842064436778</v>
      </c>
      <c r="N4033">
        <v>50.640933547098797</v>
      </c>
      <c r="O4033">
        <v>49.837211579057502</v>
      </c>
      <c r="P4033">
        <v>-0.142872022288758</v>
      </c>
      <c r="Q4033">
        <v>0.176465803780124</v>
      </c>
      <c r="R4033">
        <v>0.94447619095379198</v>
      </c>
      <c r="S4033" t="s">
        <v>10435</v>
      </c>
      <c r="T4033" t="s">
        <v>12802</v>
      </c>
      <c r="U4033" t="s">
        <v>12802</v>
      </c>
      <c r="V4033" t="s">
        <v>12802</v>
      </c>
      <c r="W4033" t="s">
        <v>16777</v>
      </c>
      <c r="X4033">
        <v>8</v>
      </c>
      <c r="Y4033" t="s">
        <v>23006</v>
      </c>
      <c r="Z4033" t="s">
        <v>29351</v>
      </c>
      <c r="AA4033">
        <v>0.53723596971273069</v>
      </c>
      <c r="AB4033" t="str">
        <f>HYPERLINK("Melting_Curves/meltCurve_Q6PJW8_CNST.pdf", "Melting_Curves/meltCurve_Q6PJW8_CNST.pdf")</f>
        <v>Melting_Curves/meltCurve_Q6PJW8_CNST.pdf</v>
      </c>
    </row>
    <row r="4034" spans="1:28" x14ac:dyDescent="0.25">
      <c r="A4034" t="s">
        <v>4038</v>
      </c>
      <c r="B4034">
        <v>0.99542014353169495</v>
      </c>
      <c r="C4034">
        <v>1.0171421570366299</v>
      </c>
      <c r="D4034">
        <v>1.00780527561137</v>
      </c>
      <c r="E4034">
        <v>0.82575442563153001</v>
      </c>
      <c r="F4034">
        <v>0.64729468546654501</v>
      </c>
      <c r="G4034">
        <v>0.35756613670623599</v>
      </c>
      <c r="H4034">
        <v>0.219968450341234</v>
      </c>
      <c r="I4034">
        <v>0.131752319407869</v>
      </c>
      <c r="J4034">
        <v>0.130109019438024</v>
      </c>
      <c r="K4034">
        <v>0.14590803360150001</v>
      </c>
      <c r="L4034">
        <v>927.550333625652</v>
      </c>
      <c r="M4034">
        <v>18.169064234790898</v>
      </c>
      <c r="N4034">
        <v>51.772917358074899</v>
      </c>
      <c r="O4034">
        <v>50.4446849115904</v>
      </c>
      <c r="P4034">
        <v>-7.9973157751538598E-2</v>
      </c>
      <c r="Q4034">
        <v>0.111890357761238</v>
      </c>
      <c r="R4034">
        <v>0.996196677242291</v>
      </c>
      <c r="S4034" t="s">
        <v>10436</v>
      </c>
      <c r="T4034" t="s">
        <v>12802</v>
      </c>
      <c r="U4034" t="s">
        <v>12802</v>
      </c>
      <c r="V4034" t="s">
        <v>12802</v>
      </c>
      <c r="W4034" t="s">
        <v>16778</v>
      </c>
      <c r="X4034">
        <v>4</v>
      </c>
      <c r="Y4034" t="s">
        <v>23007</v>
      </c>
      <c r="Z4034" t="s">
        <v>29352</v>
      </c>
      <c r="AA4034">
        <v>0.54141572429763574</v>
      </c>
      <c r="AB4034" t="str">
        <f>HYPERLINK("Melting_Curves/meltCurve_Q6PK18_OGFOD3.pdf", "Melting_Curves/meltCurve_Q6PK18_OGFOD3.pdf")</f>
        <v>Melting_Curves/meltCurve_Q6PK18_OGFOD3.pdf</v>
      </c>
    </row>
    <row r="4035" spans="1:28" x14ac:dyDescent="0.25">
      <c r="A4035" t="s">
        <v>4039</v>
      </c>
      <c r="B4035">
        <v>0.99542014353169495</v>
      </c>
      <c r="C4035">
        <v>0.95708311901813703</v>
      </c>
      <c r="D4035">
        <v>0.86578057606062098</v>
      </c>
      <c r="E4035">
        <v>0.67550262589816001</v>
      </c>
      <c r="F4035">
        <v>0.52892294124545702</v>
      </c>
      <c r="G4035">
        <v>0.269183008752718</v>
      </c>
      <c r="H4035">
        <v>0.14823460915558601</v>
      </c>
      <c r="I4035">
        <v>0.14627004723999301</v>
      </c>
      <c r="J4035">
        <v>0.123944186966959</v>
      </c>
      <c r="K4035">
        <v>8.4420153362791905E-2</v>
      </c>
      <c r="L4035">
        <v>639.07430948223202</v>
      </c>
      <c r="M4035">
        <v>12.967108716501301</v>
      </c>
      <c r="N4035">
        <v>49.759248010398899</v>
      </c>
      <c r="O4035">
        <v>48.156303018139397</v>
      </c>
      <c r="P4035">
        <v>-6.3410327749613193E-2</v>
      </c>
      <c r="Q4035">
        <v>5.8213489768516501E-2</v>
      </c>
      <c r="R4035">
        <v>0.99456742676703802</v>
      </c>
      <c r="S4035" t="s">
        <v>10437</v>
      </c>
      <c r="T4035" t="s">
        <v>12802</v>
      </c>
      <c r="U4035" t="s">
        <v>12802</v>
      </c>
      <c r="V4035" t="s">
        <v>12802</v>
      </c>
      <c r="W4035" t="s">
        <v>16779</v>
      </c>
      <c r="X4035">
        <v>1</v>
      </c>
      <c r="Y4035" t="s">
        <v>23008</v>
      </c>
      <c r="Z4035" t="s">
        <v>29353</v>
      </c>
      <c r="AA4035">
        <v>0.46870430972261778</v>
      </c>
      <c r="AB4035" t="str">
        <f>HYPERLINK("Melting_Curves/meltCurve_Q6PKC3_2_TXNDC11.pdf", "Melting_Curves/meltCurve_Q6PKC3_2_TXNDC11.pdf")</f>
        <v>Melting_Curves/meltCurve_Q6PKC3_2_TXNDC11.pdf</v>
      </c>
    </row>
    <row r="4036" spans="1:28" x14ac:dyDescent="0.25">
      <c r="A4036" t="s">
        <v>4040</v>
      </c>
      <c r="B4036">
        <v>0.99542014353169495</v>
      </c>
      <c r="C4036">
        <v>0.83826835801216404</v>
      </c>
      <c r="D4036">
        <v>0.85373087937148595</v>
      </c>
      <c r="E4036">
        <v>0.69583563597861997</v>
      </c>
      <c r="F4036">
        <v>0.39588350442832698</v>
      </c>
      <c r="G4036">
        <v>0.25175984417574798</v>
      </c>
      <c r="H4036">
        <v>0.170081736478503</v>
      </c>
      <c r="I4036">
        <v>0.133363248141534</v>
      </c>
      <c r="J4036">
        <v>0.151846729615841</v>
      </c>
      <c r="K4036">
        <v>0.170799420991401</v>
      </c>
      <c r="L4036">
        <v>673.31584003205705</v>
      </c>
      <c r="M4036">
        <v>14.0784385662423</v>
      </c>
      <c r="N4036">
        <v>48.734915603319102</v>
      </c>
      <c r="O4036">
        <v>46.892092446190397</v>
      </c>
      <c r="P4036">
        <v>-6.6400199892821199E-2</v>
      </c>
      <c r="Q4036">
        <v>0.115458377323366</v>
      </c>
      <c r="R4036">
        <v>0.98192936502333605</v>
      </c>
      <c r="S4036" t="s">
        <v>10438</v>
      </c>
      <c r="T4036" t="s">
        <v>12802</v>
      </c>
      <c r="U4036" t="s">
        <v>12802</v>
      </c>
      <c r="V4036" t="s">
        <v>12802</v>
      </c>
      <c r="W4036" t="s">
        <v>16780</v>
      </c>
      <c r="X4036">
        <v>6</v>
      </c>
      <c r="Y4036" t="s">
        <v>23009</v>
      </c>
      <c r="Z4036" t="s">
        <v>29354</v>
      </c>
      <c r="AA4036">
        <v>0.45640688892230308</v>
      </c>
      <c r="AB4036" t="str">
        <f>HYPERLINK("Melting_Curves/meltCurve_Q6PKG0_LARP1.pdf", "Melting_Curves/meltCurve_Q6PKG0_LARP1.pdf")</f>
        <v>Melting_Curves/meltCurve_Q6PKG0_LARP1.pdf</v>
      </c>
    </row>
    <row r="4037" spans="1:28" x14ac:dyDescent="0.25">
      <c r="A4037" t="s">
        <v>4041</v>
      </c>
      <c r="B4037">
        <v>0.99542014353169495</v>
      </c>
      <c r="C4037">
        <v>0.96661844463803903</v>
      </c>
      <c r="D4037">
        <v>0.78814274219424796</v>
      </c>
      <c r="E4037">
        <v>0.54994155987466198</v>
      </c>
      <c r="F4037">
        <v>0.18656719662740601</v>
      </c>
      <c r="G4037">
        <v>0.103254890529348</v>
      </c>
      <c r="H4037">
        <v>6.5825117782422699E-2</v>
      </c>
      <c r="I4037">
        <v>5.2810338114948202E-2</v>
      </c>
      <c r="J4037">
        <v>4.9283207244563601E-2</v>
      </c>
      <c r="K4037">
        <v>6.4830513257417996E-2</v>
      </c>
      <c r="L4037">
        <v>891.73384456713495</v>
      </c>
      <c r="M4037">
        <v>19.216593731049901</v>
      </c>
      <c r="N4037">
        <v>46.626615442598201</v>
      </c>
      <c r="O4037">
        <v>45.910605147458</v>
      </c>
      <c r="P4037">
        <v>-0.100065678096161</v>
      </c>
      <c r="Q4037">
        <v>4.3763780201705502E-2</v>
      </c>
      <c r="R4037">
        <v>0.99601472415916903</v>
      </c>
      <c r="S4037" t="s">
        <v>10439</v>
      </c>
      <c r="T4037" t="s">
        <v>12802</v>
      </c>
      <c r="U4037" t="s">
        <v>12802</v>
      </c>
      <c r="V4037" t="s">
        <v>12802</v>
      </c>
      <c r="W4037" t="s">
        <v>16781</v>
      </c>
      <c r="X4037">
        <v>6</v>
      </c>
      <c r="Y4037" t="s">
        <v>23010</v>
      </c>
      <c r="Z4037" t="s">
        <v>29355</v>
      </c>
      <c r="AA4037">
        <v>0.35706206090034193</v>
      </c>
      <c r="AB4037" t="str">
        <f>HYPERLINK("Melting_Curves/meltCurve_Q6PL24_TMED8.pdf", "Melting_Curves/meltCurve_Q6PL24_TMED8.pdf")</f>
        <v>Melting_Curves/meltCurve_Q6PL24_TMED8.pdf</v>
      </c>
    </row>
    <row r="4038" spans="1:28" x14ac:dyDescent="0.25">
      <c r="A4038" t="s">
        <v>4042</v>
      </c>
      <c r="B4038">
        <v>0.99542014353169495</v>
      </c>
      <c r="C4038">
        <v>0.98731290451724296</v>
      </c>
      <c r="D4038">
        <v>0.98363100612255205</v>
      </c>
      <c r="E4038">
        <v>0.74578398862434503</v>
      </c>
      <c r="F4038">
        <v>0.466416477249953</v>
      </c>
      <c r="G4038">
        <v>0.15273027866597799</v>
      </c>
      <c r="H4038">
        <v>0.106775881596818</v>
      </c>
      <c r="I4038">
        <v>6.4715256570445204E-2</v>
      </c>
      <c r="J4038">
        <v>0.14001937102544901</v>
      </c>
      <c r="K4038">
        <v>6.4828421519399507E-2</v>
      </c>
      <c r="L4038">
        <v>1076.4475171110901</v>
      </c>
      <c r="M4038">
        <v>21.942270134728201</v>
      </c>
      <c r="N4038">
        <v>49.429069438399601</v>
      </c>
      <c r="O4038">
        <v>48.656120424455501</v>
      </c>
      <c r="P4038">
        <v>-0.104186373884499</v>
      </c>
      <c r="Q4038">
        <v>7.5903647396202006E-2</v>
      </c>
      <c r="R4038">
        <v>0.99403152222370705</v>
      </c>
      <c r="S4038" t="s">
        <v>10440</v>
      </c>
      <c r="T4038" t="s">
        <v>12802</v>
      </c>
      <c r="U4038" t="s">
        <v>12802</v>
      </c>
      <c r="V4038" t="s">
        <v>12802</v>
      </c>
      <c r="W4038" t="s">
        <v>16782</v>
      </c>
      <c r="X4038">
        <v>7</v>
      </c>
      <c r="Y4038" t="s">
        <v>23011</v>
      </c>
      <c r="Z4038" t="s">
        <v>29356</v>
      </c>
      <c r="AA4038">
        <v>0.45759045358989159</v>
      </c>
      <c r="AB4038" t="str">
        <f>HYPERLINK("Melting_Curves/meltCurve_Q6PML9_SLC30A9.pdf", "Melting_Curves/meltCurve_Q6PML9_SLC30A9.pdf")</f>
        <v>Melting_Curves/meltCurve_Q6PML9_SLC30A9.pdf</v>
      </c>
    </row>
    <row r="4039" spans="1:28" x14ac:dyDescent="0.25">
      <c r="A4039" t="s">
        <v>4043</v>
      </c>
      <c r="B4039">
        <v>0.99542014353169495</v>
      </c>
      <c r="C4039">
        <v>1.0169920062822499</v>
      </c>
      <c r="D4039">
        <v>0.96965985086411699</v>
      </c>
      <c r="E4039">
        <v>0.85134509522861801</v>
      </c>
      <c r="F4039">
        <v>0.67201839041730005</v>
      </c>
      <c r="G4039">
        <v>0.482293890000417</v>
      </c>
      <c r="H4039">
        <v>0.28056730978321698</v>
      </c>
      <c r="I4039">
        <v>0.18656064151573601</v>
      </c>
      <c r="J4039">
        <v>0.193060390119041</v>
      </c>
      <c r="K4039">
        <v>0.22573726787463899</v>
      </c>
      <c r="L4039">
        <v>830.21928592111203</v>
      </c>
      <c r="M4039">
        <v>16.094775379378</v>
      </c>
      <c r="N4039">
        <v>52.886418497766897</v>
      </c>
      <c r="O4039">
        <v>50.806538844436503</v>
      </c>
      <c r="P4039">
        <v>-6.6236627407404394E-2</v>
      </c>
      <c r="Q4039">
        <v>0.16370473042261699</v>
      </c>
      <c r="R4039">
        <v>0.99452555691276101</v>
      </c>
      <c r="S4039" t="s">
        <v>10441</v>
      </c>
      <c r="T4039" t="s">
        <v>12802</v>
      </c>
      <c r="U4039" t="s">
        <v>12802</v>
      </c>
      <c r="V4039" t="s">
        <v>12802</v>
      </c>
      <c r="W4039" t="s">
        <v>16783</v>
      </c>
      <c r="X4039">
        <v>13</v>
      </c>
      <c r="Y4039" t="s">
        <v>23012</v>
      </c>
      <c r="Z4039" t="s">
        <v>29357</v>
      </c>
      <c r="AA4039">
        <v>0.58520438507044814</v>
      </c>
      <c r="AB4039" t="str">
        <f>HYPERLINK("Melting_Curves/meltCurve_Q6QNY0_BLOC1S3.pdf", "Melting_Curves/meltCurve_Q6QNY0_BLOC1S3.pdf")</f>
        <v>Melting_Curves/meltCurve_Q6QNY0_BLOC1S3.pdf</v>
      </c>
    </row>
    <row r="4040" spans="1:28" x14ac:dyDescent="0.25">
      <c r="A4040" t="s">
        <v>4044</v>
      </c>
      <c r="B4040">
        <v>0.99542014353169495</v>
      </c>
      <c r="C4040">
        <v>0.90386646297330697</v>
      </c>
      <c r="D4040">
        <v>0.92836522195609195</v>
      </c>
      <c r="E4040">
        <v>0.89546804200271302</v>
      </c>
      <c r="F4040">
        <v>0.66807581625361001</v>
      </c>
      <c r="G4040">
        <v>0.55810852344779904</v>
      </c>
      <c r="H4040">
        <v>0.336675116918982</v>
      </c>
      <c r="I4040">
        <v>0.20875971807657101</v>
      </c>
      <c r="J4040">
        <v>0.233027082769516</v>
      </c>
      <c r="K4040">
        <v>0.237160704919157</v>
      </c>
      <c r="L4040">
        <v>692.382817484567</v>
      </c>
      <c r="M4040">
        <v>13.2143630277511</v>
      </c>
      <c r="N4040">
        <v>53.905091705846502</v>
      </c>
      <c r="O4040">
        <v>51.239891870521802</v>
      </c>
      <c r="P4040">
        <v>-5.45150619008812E-2</v>
      </c>
      <c r="Q4040">
        <v>0.15459176502997601</v>
      </c>
      <c r="R4040">
        <v>0.98114645287422997</v>
      </c>
      <c r="S4040" t="s">
        <v>10442</v>
      </c>
      <c r="T4040" t="s">
        <v>12802</v>
      </c>
      <c r="U4040" t="s">
        <v>12802</v>
      </c>
      <c r="V4040" t="s">
        <v>12802</v>
      </c>
      <c r="W4040" t="s">
        <v>16784</v>
      </c>
      <c r="X4040">
        <v>3</v>
      </c>
      <c r="Y4040" t="s">
        <v>23013</v>
      </c>
      <c r="Z4040" t="s">
        <v>29358</v>
      </c>
      <c r="AA4040">
        <v>0.60630844385848282</v>
      </c>
      <c r="AB4040" t="str">
        <f>HYPERLINK("Melting_Curves/meltCurve_Q6QNY1_BLOC1S2.pdf", "Melting_Curves/meltCurve_Q6QNY1_BLOC1S2.pdf")</f>
        <v>Melting_Curves/meltCurve_Q6QNY1_BLOC1S2.pdf</v>
      </c>
    </row>
    <row r="4041" spans="1:28" x14ac:dyDescent="0.25">
      <c r="A4041" t="s">
        <v>4045</v>
      </c>
      <c r="B4041">
        <v>0.99542014353169495</v>
      </c>
      <c r="C4041">
        <v>0.86051926177112303</v>
      </c>
      <c r="D4041">
        <v>0.83683637239722697</v>
      </c>
      <c r="E4041">
        <v>0.44036907079874799</v>
      </c>
      <c r="F4041">
        <v>0.26551206481429901</v>
      </c>
      <c r="G4041">
        <v>0.15199080084462599</v>
      </c>
      <c r="H4041">
        <v>9.4918274390066795E-2</v>
      </c>
      <c r="I4041">
        <v>6.8879187093673494E-2</v>
      </c>
      <c r="J4041">
        <v>8.2229952274816095E-2</v>
      </c>
      <c r="K4041">
        <v>6.8537006736668904E-2</v>
      </c>
      <c r="L4041">
        <v>761.06536299572304</v>
      </c>
      <c r="M4041">
        <v>16.557795554649399</v>
      </c>
      <c r="N4041">
        <v>46.356247857276401</v>
      </c>
      <c r="O4041">
        <v>45.309417171200998</v>
      </c>
      <c r="P4041">
        <v>-8.5395990882507697E-2</v>
      </c>
      <c r="Q4041">
        <v>6.5339951482071904E-2</v>
      </c>
      <c r="R4041">
        <v>0.99112196535832398</v>
      </c>
      <c r="S4041" t="s">
        <v>10443</v>
      </c>
      <c r="T4041" t="s">
        <v>12802</v>
      </c>
      <c r="U4041" t="s">
        <v>12802</v>
      </c>
      <c r="V4041" t="s">
        <v>12802</v>
      </c>
      <c r="W4041" t="s">
        <v>16785</v>
      </c>
      <c r="X4041">
        <v>5</v>
      </c>
      <c r="Y4041" t="s">
        <v>23014</v>
      </c>
      <c r="Z4041" t="s">
        <v>29359</v>
      </c>
      <c r="AA4041">
        <v>0.36245064407437649</v>
      </c>
      <c r="AB4041" t="str">
        <f>HYPERLINK("Melting_Curves/meltCurve_Q6R327_RICTOR.pdf", "Melting_Curves/meltCurve_Q6R327_RICTOR.pdf")</f>
        <v>Melting_Curves/meltCurve_Q6R327_RICTOR.pdf</v>
      </c>
    </row>
    <row r="4042" spans="1:28" x14ac:dyDescent="0.25">
      <c r="A4042" t="s">
        <v>4046</v>
      </c>
      <c r="B4042">
        <v>0.99542014353169495</v>
      </c>
      <c r="C4042">
        <v>0.90525024522633202</v>
      </c>
      <c r="D4042">
        <v>0.61882041324773895</v>
      </c>
      <c r="E4042">
        <v>0.479535671214399</v>
      </c>
      <c r="F4042">
        <v>0.34450626264249101</v>
      </c>
      <c r="G4042">
        <v>0.20300579491118101</v>
      </c>
      <c r="H4042">
        <v>0.119195103981099</v>
      </c>
      <c r="I4042">
        <v>8.6437929604024993E-2</v>
      </c>
      <c r="J4042">
        <v>6.4081826523456994E-2</v>
      </c>
      <c r="K4042">
        <v>4.8898836333000198E-2</v>
      </c>
      <c r="L4042">
        <v>514.05982874044003</v>
      </c>
      <c r="M4042">
        <v>11.1580157105826</v>
      </c>
      <c r="N4042">
        <v>46.318313124109501</v>
      </c>
      <c r="O4042">
        <v>44.665397435997399</v>
      </c>
      <c r="P4042">
        <v>-6.0665946314108203E-2</v>
      </c>
      <c r="Q4042">
        <v>2.89299958848083E-2</v>
      </c>
      <c r="R4042">
        <v>0.987673435618734</v>
      </c>
      <c r="S4042" t="s">
        <v>10444</v>
      </c>
      <c r="T4042" t="s">
        <v>12802</v>
      </c>
      <c r="U4042" t="s">
        <v>12802</v>
      </c>
      <c r="V4042" t="s">
        <v>12802</v>
      </c>
      <c r="W4042" t="s">
        <v>16786</v>
      </c>
      <c r="X4042">
        <v>6</v>
      </c>
      <c r="Y4042" t="s">
        <v>23015</v>
      </c>
      <c r="Z4042" t="s">
        <v>29360</v>
      </c>
      <c r="AA4042">
        <v>0.36020693201419851</v>
      </c>
      <c r="AB4042" t="str">
        <f>HYPERLINK("Melting_Curves/meltCurve_Q6RFH5_2_WDR74.pdf", "Melting_Curves/meltCurve_Q6RFH5_2_WDR74.pdf")</f>
        <v>Melting_Curves/meltCurve_Q6RFH5_2_WDR74.pdf</v>
      </c>
    </row>
    <row r="4043" spans="1:28" x14ac:dyDescent="0.25">
      <c r="A4043" t="s">
        <v>4047</v>
      </c>
      <c r="B4043">
        <v>0.99542014353169495</v>
      </c>
      <c r="C4043">
        <v>1.0176958855902201</v>
      </c>
      <c r="D4043">
        <v>0.87112498815047901</v>
      </c>
      <c r="E4043">
        <v>0.84891393893824096</v>
      </c>
      <c r="F4043">
        <v>0.80174674669152002</v>
      </c>
      <c r="G4043">
        <v>0.63094163768415701</v>
      </c>
      <c r="H4043">
        <v>0.54532633165407796</v>
      </c>
      <c r="I4043">
        <v>0.469682073419315</v>
      </c>
      <c r="J4043">
        <v>0.65345909583470796</v>
      </c>
      <c r="K4043">
        <v>0.83373544378941999</v>
      </c>
      <c r="L4043">
        <v>804.31884384922705</v>
      </c>
      <c r="M4043">
        <v>16.9887638357532</v>
      </c>
      <c r="O4043">
        <v>46.702787581293698</v>
      </c>
      <c r="P4043">
        <v>-3.4258946522576703E-2</v>
      </c>
      <c r="Q4043">
        <v>0.62330657689052904</v>
      </c>
      <c r="R4043">
        <v>0.69882757244135196</v>
      </c>
      <c r="S4043" t="s">
        <v>10445</v>
      </c>
      <c r="T4043" t="s">
        <v>12802</v>
      </c>
      <c r="U4043" t="s">
        <v>12802</v>
      </c>
      <c r="V4043" t="s">
        <v>12802</v>
      </c>
      <c r="W4043" t="s">
        <v>16787</v>
      </c>
      <c r="X4043">
        <v>4</v>
      </c>
      <c r="Y4043" t="s">
        <v>23016</v>
      </c>
      <c r="Z4043" t="s">
        <v>29361</v>
      </c>
      <c r="AA4043">
        <v>0.75991738341115145</v>
      </c>
      <c r="AB4043" t="str">
        <f>HYPERLINK("Melting_Curves/meltCurve_Q6RW13_AGTRAP.pdf", "Melting_Curves/meltCurve_Q6RW13_AGTRAP.pdf")</f>
        <v>Melting_Curves/meltCurve_Q6RW13_AGTRAP.pdf</v>
      </c>
    </row>
    <row r="4044" spans="1:28" x14ac:dyDescent="0.25">
      <c r="A4044" t="s">
        <v>4048</v>
      </c>
      <c r="B4044">
        <v>0.99542014353169495</v>
      </c>
      <c r="C4044">
        <v>0.74298223595337198</v>
      </c>
      <c r="D4044">
        <v>0.30685657063032001</v>
      </c>
      <c r="E4044">
        <v>0.15451625995907201</v>
      </c>
      <c r="F4044">
        <v>0</v>
      </c>
      <c r="G4044">
        <v>0.14077670286628799</v>
      </c>
      <c r="H4044">
        <v>9.8659971668078897E-2</v>
      </c>
      <c r="I4044">
        <v>0</v>
      </c>
      <c r="J4044">
        <v>0</v>
      </c>
      <c r="K4044">
        <v>0</v>
      </c>
      <c r="L4044">
        <v>1052.43604458717</v>
      </c>
      <c r="M4044">
        <v>25.357456714636601</v>
      </c>
      <c r="N4044">
        <v>41.655150602922099</v>
      </c>
      <c r="O4044">
        <v>41.2484623835674</v>
      </c>
      <c r="P4044">
        <v>-0.146933536895195</v>
      </c>
      <c r="Q4044">
        <v>4.3956895558601002E-2</v>
      </c>
      <c r="R4044">
        <v>0.976915536658165</v>
      </c>
      <c r="S4044" t="s">
        <v>10446</v>
      </c>
      <c r="T4044" t="s">
        <v>12802</v>
      </c>
      <c r="U4044" t="s">
        <v>12802</v>
      </c>
      <c r="V4044" t="s">
        <v>12802</v>
      </c>
      <c r="W4044" t="s">
        <v>16788</v>
      </c>
      <c r="X4044">
        <v>2</v>
      </c>
      <c r="Y4044" t="s">
        <v>23017</v>
      </c>
      <c r="Z4044" t="s">
        <v>29362</v>
      </c>
      <c r="AA4044">
        <v>0.19613247799079331</v>
      </c>
      <c r="AB4044" t="str">
        <f>HYPERLINK("Melting_Curves/meltCurve_Q6SPF0_SAMD1.pdf", "Melting_Curves/meltCurve_Q6SPF0_SAMD1.pdf")</f>
        <v>Melting_Curves/meltCurve_Q6SPF0_SAMD1.pdf</v>
      </c>
    </row>
    <row r="4045" spans="1:28" x14ac:dyDescent="0.25">
      <c r="A4045" t="s">
        <v>4049</v>
      </c>
      <c r="B4045">
        <v>0.99542014353169495</v>
      </c>
      <c r="C4045">
        <v>0.96102144076076301</v>
      </c>
      <c r="D4045">
        <v>0.85529215711836803</v>
      </c>
      <c r="E4045">
        <v>0.78476853506180899</v>
      </c>
      <c r="F4045">
        <v>0.648752785092503</v>
      </c>
      <c r="G4045">
        <v>0.40471408470271297</v>
      </c>
      <c r="H4045">
        <v>0.13665450736811499</v>
      </c>
      <c r="I4045">
        <v>7.9161157883531896E-2</v>
      </c>
      <c r="J4045">
        <v>7.6699263853952301E-2</v>
      </c>
      <c r="K4045">
        <v>8.1750198803813401E-2</v>
      </c>
      <c r="L4045">
        <v>680.00582552512003</v>
      </c>
      <c r="M4045">
        <v>13.176576227892401</v>
      </c>
      <c r="N4045">
        <v>51.607171278280902</v>
      </c>
      <c r="O4045">
        <v>50.461936360550503</v>
      </c>
      <c r="P4045">
        <v>-6.5290714145117806E-2</v>
      </c>
      <c r="Q4045">
        <v>0</v>
      </c>
      <c r="R4045">
        <v>0.98578656755015703</v>
      </c>
      <c r="S4045" t="s">
        <v>10447</v>
      </c>
      <c r="T4045" t="s">
        <v>12802</v>
      </c>
      <c r="U4045" t="s">
        <v>12802</v>
      </c>
      <c r="V4045" t="s">
        <v>12802</v>
      </c>
      <c r="W4045" t="s">
        <v>16789</v>
      </c>
      <c r="X4045">
        <v>4</v>
      </c>
      <c r="Y4045" t="s">
        <v>23018</v>
      </c>
      <c r="Z4045" t="s">
        <v>29363</v>
      </c>
      <c r="AA4045">
        <v>0.5095120237890457</v>
      </c>
      <c r="AB4045" t="str">
        <f>HYPERLINK("Melting_Curves/meltCurve_Q6UB28_METAP1D.pdf", "Melting_Curves/meltCurve_Q6UB28_METAP1D.pdf")</f>
        <v>Melting_Curves/meltCurve_Q6UB28_METAP1D.pdf</v>
      </c>
    </row>
    <row r="4046" spans="1:28" x14ac:dyDescent="0.25">
      <c r="A4046" t="s">
        <v>4050</v>
      </c>
      <c r="B4046">
        <v>0.99542014353169495</v>
      </c>
      <c r="C4046">
        <v>0.87535056279894197</v>
      </c>
      <c r="D4046">
        <v>0.85737806723167498</v>
      </c>
      <c r="E4046">
        <v>0.69900935871965497</v>
      </c>
      <c r="F4046">
        <v>0.435077153823902</v>
      </c>
      <c r="G4046">
        <v>0.111800311136351</v>
      </c>
      <c r="H4046">
        <v>5.6368865769789903E-2</v>
      </c>
      <c r="I4046">
        <v>3.7739111780766402E-2</v>
      </c>
      <c r="J4046">
        <v>3.34220921517773E-2</v>
      </c>
      <c r="K4046">
        <v>3.7767202958409497E-2</v>
      </c>
      <c r="L4046">
        <v>776.13571870389706</v>
      </c>
      <c r="M4046">
        <v>15.933376567010701</v>
      </c>
      <c r="N4046">
        <v>48.711314627198099</v>
      </c>
      <c r="O4046">
        <v>47.963385652840103</v>
      </c>
      <c r="P4046">
        <v>-8.3056307904052704E-2</v>
      </c>
      <c r="Q4046">
        <v>0</v>
      </c>
      <c r="R4046">
        <v>0.98645908113022895</v>
      </c>
      <c r="S4046" t="s">
        <v>10448</v>
      </c>
      <c r="T4046" t="s">
        <v>12802</v>
      </c>
      <c r="U4046" t="s">
        <v>12802</v>
      </c>
      <c r="V4046" t="s">
        <v>12802</v>
      </c>
      <c r="W4046" t="s">
        <v>16790</v>
      </c>
      <c r="X4046">
        <v>32</v>
      </c>
      <c r="Y4046" t="s">
        <v>23019</v>
      </c>
      <c r="Z4046" t="s">
        <v>29364</v>
      </c>
      <c r="AA4046">
        <v>0.41001149939009163</v>
      </c>
      <c r="AB4046" t="str">
        <f>HYPERLINK("Melting_Curves/meltCurve_Q6UB35_MTHFD1L.pdf", "Melting_Curves/meltCurve_Q6UB35_MTHFD1L.pdf")</f>
        <v>Melting_Curves/meltCurve_Q6UB35_MTHFD1L.pdf</v>
      </c>
    </row>
    <row r="4047" spans="1:28" x14ac:dyDescent="0.25">
      <c r="A4047" t="s">
        <v>4051</v>
      </c>
      <c r="B4047">
        <v>0.99542014353169495</v>
      </c>
      <c r="C4047">
        <v>0.90960379583920703</v>
      </c>
      <c r="D4047">
        <v>0.90244202593068601</v>
      </c>
      <c r="E4047">
        <v>0.73021708797194596</v>
      </c>
      <c r="F4047">
        <v>0.36009965611464401</v>
      </c>
      <c r="G4047">
        <v>0.13198329431939201</v>
      </c>
      <c r="H4047">
        <v>9.1421961692874407E-2</v>
      </c>
      <c r="I4047">
        <v>7.4790018592600399E-2</v>
      </c>
      <c r="J4047">
        <v>7.7536889068869796E-2</v>
      </c>
      <c r="K4047">
        <v>7.2089098640767693E-2</v>
      </c>
      <c r="L4047">
        <v>1008.01768137865</v>
      </c>
      <c r="M4047">
        <v>20.8484131873305</v>
      </c>
      <c r="N4047">
        <v>48.649367061369297</v>
      </c>
      <c r="O4047">
        <v>47.911619035670398</v>
      </c>
      <c r="P4047">
        <v>-0.102236710356523</v>
      </c>
      <c r="Q4047">
        <v>6.02277408369103E-2</v>
      </c>
      <c r="R4047">
        <v>0.99375213599881596</v>
      </c>
      <c r="S4047" t="s">
        <v>10449</v>
      </c>
      <c r="T4047" t="s">
        <v>12802</v>
      </c>
      <c r="U4047" t="s">
        <v>12802</v>
      </c>
      <c r="V4047" t="s">
        <v>12802</v>
      </c>
      <c r="W4047" t="s">
        <v>16791</v>
      </c>
      <c r="X4047">
        <v>8</v>
      </c>
      <c r="Y4047" t="s">
        <v>23020</v>
      </c>
      <c r="Z4047" t="s">
        <v>29365</v>
      </c>
      <c r="AA4047">
        <v>0.4272032801127702</v>
      </c>
      <c r="AB4047" t="str">
        <f>HYPERLINK("Melting_Curves/meltCurve_Q6ULP2_5_AFTPH.pdf", "Melting_Curves/meltCurve_Q6ULP2_5_AFTPH.pdf")</f>
        <v>Melting_Curves/meltCurve_Q6ULP2_5_AFTPH.pdf</v>
      </c>
    </row>
    <row r="4048" spans="1:28" x14ac:dyDescent="0.25">
      <c r="A4048" t="s">
        <v>4052</v>
      </c>
      <c r="B4048">
        <v>0.99542014353169495</v>
      </c>
      <c r="C4048">
        <v>0.84378049260152399</v>
      </c>
      <c r="D4048">
        <v>0.75264202790942603</v>
      </c>
      <c r="E4048">
        <v>0.56499630678747303</v>
      </c>
      <c r="F4048">
        <v>0.44190534636802298</v>
      </c>
      <c r="G4048">
        <v>0.45103322603545498</v>
      </c>
      <c r="H4048">
        <v>0.51709023719748903</v>
      </c>
      <c r="I4048">
        <v>0.54133211660376501</v>
      </c>
      <c r="J4048">
        <v>0.89115570678085898</v>
      </c>
      <c r="K4048">
        <v>1.31193953882706</v>
      </c>
      <c r="L4048">
        <v>1359.0716454609999</v>
      </c>
      <c r="M4048">
        <v>33.856155380204299</v>
      </c>
      <c r="O4048">
        <v>40.003232286889002</v>
      </c>
      <c r="P4048">
        <v>-6.7955463965016699E-2</v>
      </c>
      <c r="Q4048">
        <v>0.67882606786572597</v>
      </c>
      <c r="R4048">
        <v>0.14284247474790901</v>
      </c>
      <c r="S4048" t="s">
        <v>10450</v>
      </c>
      <c r="T4048" t="s">
        <v>12802</v>
      </c>
      <c r="U4048" t="s">
        <v>12802</v>
      </c>
      <c r="V4048" t="s">
        <v>12802</v>
      </c>
      <c r="W4048" t="s">
        <v>16792</v>
      </c>
      <c r="X4048">
        <v>12</v>
      </c>
      <c r="Y4048" t="s">
        <v>23021</v>
      </c>
      <c r="Z4048" t="s">
        <v>29366</v>
      </c>
      <c r="AA4048">
        <v>0.71427936957290172</v>
      </c>
      <c r="AB4048" t="str">
        <f>HYPERLINK("Melting_Curves/meltCurve_Q6UN15_5_FIP1L1.pdf", "Melting_Curves/meltCurve_Q6UN15_5_FIP1L1.pdf")</f>
        <v>Melting_Curves/meltCurve_Q6UN15_5_FIP1L1.pdf</v>
      </c>
    </row>
    <row r="4049" spans="1:28" x14ac:dyDescent="0.25">
      <c r="A4049" t="s">
        <v>4053</v>
      </c>
      <c r="B4049">
        <v>0.99542014353169495</v>
      </c>
      <c r="C4049">
        <v>1.16846829143827</v>
      </c>
      <c r="D4049">
        <v>0.86030542683461597</v>
      </c>
      <c r="E4049">
        <v>0.58241797573047904</v>
      </c>
      <c r="F4049">
        <v>0.59637174590717201</v>
      </c>
      <c r="G4049">
        <v>0.34606103606161498</v>
      </c>
      <c r="H4049">
        <v>0.18529532249123501</v>
      </c>
      <c r="I4049">
        <v>0.12744879539175799</v>
      </c>
      <c r="J4049">
        <v>0.21172334102138199</v>
      </c>
      <c r="K4049">
        <v>0.33895379320699998</v>
      </c>
      <c r="L4049">
        <v>758.64467175214497</v>
      </c>
      <c r="M4049">
        <v>15.802807704071901</v>
      </c>
      <c r="N4049">
        <v>49.675364856338398</v>
      </c>
      <c r="O4049">
        <v>47.257932604667197</v>
      </c>
      <c r="P4049">
        <v>-6.6389508578599904E-2</v>
      </c>
      <c r="Q4049">
        <v>0.20592032606035399</v>
      </c>
      <c r="R4049">
        <v>0.91452298165412504</v>
      </c>
      <c r="S4049" t="s">
        <v>10451</v>
      </c>
      <c r="T4049" t="s">
        <v>12802</v>
      </c>
      <c r="U4049" t="s">
        <v>12802</v>
      </c>
      <c r="V4049" t="s">
        <v>12802</v>
      </c>
      <c r="W4049" t="s">
        <v>16793</v>
      </c>
      <c r="X4049">
        <v>1</v>
      </c>
      <c r="Y4049" t="s">
        <v>23022</v>
      </c>
      <c r="Z4049" t="s">
        <v>29367</v>
      </c>
      <c r="AA4049">
        <v>0.5132662724854079</v>
      </c>
      <c r="AB4049" t="str">
        <f>HYPERLINK("Melting_Curves/meltCurve_Q6UW56_ATRAID.pdf", "Melting_Curves/meltCurve_Q6UW56_ATRAID.pdf")</f>
        <v>Melting_Curves/meltCurve_Q6UW56_ATRAID.pdf</v>
      </c>
    </row>
    <row r="4050" spans="1:28" x14ac:dyDescent="0.25">
      <c r="A4050" t="s">
        <v>4054</v>
      </c>
      <c r="B4050">
        <v>0.99542014353169495</v>
      </c>
      <c r="C4050">
        <v>0.91414364135049098</v>
      </c>
      <c r="D4050">
        <v>0.94357359745570502</v>
      </c>
      <c r="E4050">
        <v>0.80619514753296795</v>
      </c>
      <c r="F4050">
        <v>0.53231890923415803</v>
      </c>
      <c r="G4050">
        <v>0.232690078462649</v>
      </c>
      <c r="H4050">
        <v>0.15321043482101299</v>
      </c>
      <c r="I4050">
        <v>0.13799422530209701</v>
      </c>
      <c r="J4050">
        <v>0.176561082551695</v>
      </c>
      <c r="K4050">
        <v>0.211970481346549</v>
      </c>
      <c r="L4050">
        <v>1110.0872814664899</v>
      </c>
      <c r="M4050">
        <v>22.510215008793899</v>
      </c>
      <c r="N4050">
        <v>50.137914505672001</v>
      </c>
      <c r="O4050">
        <v>48.9305747150906</v>
      </c>
      <c r="P4050">
        <v>-9.7246778921218205E-2</v>
      </c>
      <c r="Q4050">
        <v>0.15447386537570301</v>
      </c>
      <c r="R4050">
        <v>0.98721485059414404</v>
      </c>
      <c r="S4050" t="s">
        <v>10452</v>
      </c>
      <c r="T4050" t="s">
        <v>12802</v>
      </c>
      <c r="U4050" t="s">
        <v>12802</v>
      </c>
      <c r="V4050" t="s">
        <v>12802</v>
      </c>
      <c r="W4050" t="s">
        <v>16794</v>
      </c>
      <c r="X4050">
        <v>10</v>
      </c>
      <c r="Y4050" t="s">
        <v>23023</v>
      </c>
      <c r="Z4050" t="s">
        <v>29368</v>
      </c>
      <c r="AA4050">
        <v>0.51051888327653328</v>
      </c>
      <c r="AB4050" t="str">
        <f>HYPERLINK("Melting_Curves/meltCurve_Q6UW63_KDELC1.pdf", "Melting_Curves/meltCurve_Q6UW63_KDELC1.pdf")</f>
        <v>Melting_Curves/meltCurve_Q6UW63_KDELC1.pdf</v>
      </c>
    </row>
    <row r="4051" spans="1:28" x14ac:dyDescent="0.25">
      <c r="A4051" t="s">
        <v>4055</v>
      </c>
      <c r="B4051">
        <v>0.99542014353169495</v>
      </c>
      <c r="C4051">
        <v>0.93906747360732601</v>
      </c>
      <c r="D4051">
        <v>0.98326840501344503</v>
      </c>
      <c r="E4051">
        <v>0.79589043054921005</v>
      </c>
      <c r="F4051">
        <v>0.63857424070565805</v>
      </c>
      <c r="G4051">
        <v>0.40008544508843502</v>
      </c>
      <c r="H4051">
        <v>0.366200503273585</v>
      </c>
      <c r="I4051">
        <v>0.356333639864509</v>
      </c>
      <c r="J4051">
        <v>0.62588917592089399</v>
      </c>
      <c r="K4051">
        <v>0.50218122778790997</v>
      </c>
      <c r="L4051">
        <v>1249.9320925019599</v>
      </c>
      <c r="M4051">
        <v>26.096618052263899</v>
      </c>
      <c r="N4051">
        <v>52.573490828976098</v>
      </c>
      <c r="O4051">
        <v>47.617733657439302</v>
      </c>
      <c r="P4051">
        <v>-7.5227426689963503E-2</v>
      </c>
      <c r="Q4051">
        <v>0.450945123753904</v>
      </c>
      <c r="R4051">
        <v>0.88914974581384898</v>
      </c>
      <c r="S4051" t="s">
        <v>10453</v>
      </c>
      <c r="T4051" t="s">
        <v>12802</v>
      </c>
      <c r="U4051" t="s">
        <v>12802</v>
      </c>
      <c r="V4051" t="s">
        <v>12802</v>
      </c>
      <c r="W4051" t="s">
        <v>16795</v>
      </c>
      <c r="X4051">
        <v>4</v>
      </c>
      <c r="Y4051" t="s">
        <v>23024</v>
      </c>
      <c r="Z4051" t="s">
        <v>29369</v>
      </c>
      <c r="AA4051">
        <v>0.65465772980967973</v>
      </c>
      <c r="AB4051" t="str">
        <f>HYPERLINK("Melting_Curves/meltCurve_Q6UW78_C11orf83.pdf", "Melting_Curves/meltCurve_Q6UW78_C11orf83.pdf")</f>
        <v>Melting_Curves/meltCurve_Q6UW78_C11orf83.pdf</v>
      </c>
    </row>
    <row r="4052" spans="1:28" x14ac:dyDescent="0.25">
      <c r="A4052" t="s">
        <v>4056</v>
      </c>
      <c r="B4052">
        <v>0.99542014353169495</v>
      </c>
      <c r="C4052">
        <v>0.90063044779107404</v>
      </c>
      <c r="D4052">
        <v>0.95224889695821902</v>
      </c>
      <c r="E4052">
        <v>0.86841288398928296</v>
      </c>
      <c r="F4052">
        <v>0.70508880824517295</v>
      </c>
      <c r="G4052">
        <v>0.46087540355650802</v>
      </c>
      <c r="H4052">
        <v>0.31574697070021501</v>
      </c>
      <c r="I4052">
        <v>0.30187626740899398</v>
      </c>
      <c r="J4052">
        <v>0.27364876299660601</v>
      </c>
      <c r="K4052">
        <v>0.257137669169338</v>
      </c>
      <c r="L4052">
        <v>849.43676478556597</v>
      </c>
      <c r="M4052">
        <v>16.617652876631801</v>
      </c>
      <c r="N4052">
        <v>53.209746574698201</v>
      </c>
      <c r="O4052">
        <v>50.3934952571624</v>
      </c>
      <c r="P4052">
        <v>-6.2662635488309998E-2</v>
      </c>
      <c r="Q4052">
        <v>0.239946596663178</v>
      </c>
      <c r="R4052">
        <v>0.98745041638629305</v>
      </c>
      <c r="S4052" t="s">
        <v>10454</v>
      </c>
      <c r="T4052" t="s">
        <v>12802</v>
      </c>
      <c r="U4052" t="s">
        <v>12802</v>
      </c>
      <c r="V4052" t="s">
        <v>12802</v>
      </c>
      <c r="W4052" t="s">
        <v>16796</v>
      </c>
      <c r="X4052">
        <v>2</v>
      </c>
      <c r="Y4052" t="s">
        <v>23025</v>
      </c>
      <c r="Z4052" t="s">
        <v>29370</v>
      </c>
      <c r="AA4052">
        <v>0.61083004322224188</v>
      </c>
      <c r="AB4052" t="str">
        <f>HYPERLINK("Melting_Curves/meltCurve_Q6UWB1_IL27RA.pdf", "Melting_Curves/meltCurve_Q6UWB1_IL27RA.pdf")</f>
        <v>Melting_Curves/meltCurve_Q6UWB1_IL27RA.pdf</v>
      </c>
    </row>
    <row r="4053" spans="1:28" x14ac:dyDescent="0.25">
      <c r="A4053" t="s">
        <v>4057</v>
      </c>
      <c r="B4053">
        <v>0.99542014353169495</v>
      </c>
      <c r="C4053">
        <v>0.96987320384814102</v>
      </c>
      <c r="D4053">
        <v>0.86414480854873499</v>
      </c>
      <c r="E4053">
        <v>0.72119282111731897</v>
      </c>
      <c r="F4053">
        <v>0.33965520412091998</v>
      </c>
      <c r="G4053">
        <v>0.160077452009772</v>
      </c>
      <c r="H4053">
        <v>0.120593243432828</v>
      </c>
      <c r="I4053">
        <v>7.6721647514474994E-2</v>
      </c>
      <c r="J4053">
        <v>6.3376234803501699E-2</v>
      </c>
      <c r="K4053">
        <v>5.66475811963962E-2</v>
      </c>
      <c r="L4053">
        <v>904.55114522783299</v>
      </c>
      <c r="M4053">
        <v>18.752884808097502</v>
      </c>
      <c r="N4053">
        <v>48.5396655877786</v>
      </c>
      <c r="O4053">
        <v>47.696841254109003</v>
      </c>
      <c r="P4053">
        <v>-9.2843973218733902E-2</v>
      </c>
      <c r="Q4053">
        <v>5.54672278872375E-2</v>
      </c>
      <c r="R4053">
        <v>0.99623702737478304</v>
      </c>
      <c r="S4053" t="s">
        <v>10455</v>
      </c>
      <c r="T4053" t="s">
        <v>12802</v>
      </c>
      <c r="U4053" t="s">
        <v>12802</v>
      </c>
      <c r="V4053" t="s">
        <v>12802</v>
      </c>
      <c r="W4053" t="s">
        <v>16797</v>
      </c>
      <c r="X4053">
        <v>18</v>
      </c>
      <c r="Y4053" t="s">
        <v>23026</v>
      </c>
      <c r="Z4053" t="s">
        <v>29371</v>
      </c>
      <c r="AA4053">
        <v>0.42320097135561452</v>
      </c>
      <c r="AB4053" t="str">
        <f>HYPERLINK("Melting_Curves/meltCurve_Q6UWE0_LRSAM1.pdf", "Melting_Curves/meltCurve_Q6UWE0_LRSAM1.pdf")</f>
        <v>Melting_Curves/meltCurve_Q6UWE0_LRSAM1.pdf</v>
      </c>
    </row>
    <row r="4054" spans="1:28" x14ac:dyDescent="0.25">
      <c r="A4054" t="s">
        <v>4058</v>
      </c>
      <c r="B4054">
        <v>0.99542014353169495</v>
      </c>
      <c r="C4054">
        <v>0.98790721895760303</v>
      </c>
      <c r="D4054">
        <v>0.94770928456970904</v>
      </c>
      <c r="E4054">
        <v>0.92098312048269804</v>
      </c>
      <c r="F4054">
        <v>0.777518759703278</v>
      </c>
      <c r="G4054">
        <v>0.60180421048937005</v>
      </c>
      <c r="H4054">
        <v>8.5443101466062099E-2</v>
      </c>
      <c r="I4054">
        <v>4.9385061352444699E-2</v>
      </c>
      <c r="J4054">
        <v>4.0375887423859003E-2</v>
      </c>
      <c r="K4054">
        <v>4.1974658922172198E-2</v>
      </c>
      <c r="L4054">
        <v>1274.1165578293501</v>
      </c>
      <c r="M4054">
        <v>23.678239766518999</v>
      </c>
      <c r="N4054">
        <v>53.809600311116</v>
      </c>
      <c r="O4054">
        <v>53.430198588841399</v>
      </c>
      <c r="P4054">
        <v>-0.110792376673</v>
      </c>
      <c r="Q4054">
        <v>0</v>
      </c>
      <c r="R4054">
        <v>0.98155195750469504</v>
      </c>
      <c r="S4054" t="s">
        <v>10456</v>
      </c>
      <c r="T4054" t="s">
        <v>12802</v>
      </c>
      <c r="U4054" t="s">
        <v>12802</v>
      </c>
      <c r="V4054" t="s">
        <v>12802</v>
      </c>
      <c r="W4054" t="s">
        <v>16798</v>
      </c>
      <c r="X4054">
        <v>11</v>
      </c>
      <c r="Y4054" t="s">
        <v>23027</v>
      </c>
      <c r="Z4054" t="s">
        <v>29372</v>
      </c>
      <c r="AA4054">
        <v>0.56987608056113048</v>
      </c>
      <c r="AB4054" t="str">
        <f>HYPERLINK("Melting_Curves/meltCurve_Q6UWP2_DHRS11.pdf", "Melting_Curves/meltCurve_Q6UWP2_DHRS11.pdf")</f>
        <v>Melting_Curves/meltCurve_Q6UWP2_DHRS11.pdf</v>
      </c>
    </row>
    <row r="4055" spans="1:28" x14ac:dyDescent="0.25">
      <c r="A4055" t="s">
        <v>4059</v>
      </c>
      <c r="B4055">
        <v>0.99542014353169495</v>
      </c>
      <c r="C4055">
        <v>0.97523216729894702</v>
      </c>
      <c r="D4055">
        <v>0.88789428328477105</v>
      </c>
      <c r="E4055">
        <v>0.787323475039165</v>
      </c>
      <c r="F4055">
        <v>0.61690746182447498</v>
      </c>
      <c r="G4055">
        <v>0.41125136549386199</v>
      </c>
      <c r="H4055">
        <v>0.235104448881439</v>
      </c>
      <c r="I4055">
        <v>0.12813640753890901</v>
      </c>
      <c r="J4055">
        <v>0.12938501476131001</v>
      </c>
      <c r="K4055">
        <v>0.122098518785244</v>
      </c>
      <c r="L4055">
        <v>628.72394482025504</v>
      </c>
      <c r="M4055">
        <v>12.212328992562099</v>
      </c>
      <c r="N4055">
        <v>51.852555207711703</v>
      </c>
      <c r="O4055">
        <v>50.160651106192702</v>
      </c>
      <c r="P4055">
        <v>-5.8340567887107203E-2</v>
      </c>
      <c r="Q4055">
        <v>4.1708776613555397E-2</v>
      </c>
      <c r="R4055">
        <v>0.99639711798698305</v>
      </c>
      <c r="S4055" t="s">
        <v>10457</v>
      </c>
      <c r="T4055" t="s">
        <v>12802</v>
      </c>
      <c r="U4055" t="s">
        <v>12802</v>
      </c>
      <c r="V4055" t="s">
        <v>12802</v>
      </c>
      <c r="W4055" t="s">
        <v>16799</v>
      </c>
      <c r="X4055">
        <v>8</v>
      </c>
      <c r="Y4055" t="s">
        <v>23028</v>
      </c>
      <c r="Z4055" t="s">
        <v>29373</v>
      </c>
      <c r="AA4055">
        <v>0.52788855736546803</v>
      </c>
      <c r="AB4055" t="str">
        <f>HYPERLINK("Melting_Curves/meltCurve_Q6UWP7_3_LCLAT1.pdf", "Melting_Curves/meltCurve_Q6UWP7_3_LCLAT1.pdf")</f>
        <v>Melting_Curves/meltCurve_Q6UWP7_3_LCLAT1.pdf</v>
      </c>
    </row>
    <row r="4056" spans="1:28" x14ac:dyDescent="0.25">
      <c r="A4056" t="s">
        <v>4060</v>
      </c>
      <c r="B4056">
        <v>0.99542014353169495</v>
      </c>
      <c r="C4056">
        <v>0.91312256593502605</v>
      </c>
      <c r="D4056">
        <v>0.77845661035484304</v>
      </c>
      <c r="E4056">
        <v>0.57798667773041801</v>
      </c>
      <c r="F4056">
        <v>0.450744698514425</v>
      </c>
      <c r="G4056">
        <v>0.35900305719543002</v>
      </c>
      <c r="H4056">
        <v>0.210143847960406</v>
      </c>
      <c r="I4056">
        <v>0.19854782174563901</v>
      </c>
      <c r="J4056">
        <v>0.30009032577128097</v>
      </c>
      <c r="K4056">
        <v>0.273634584310955</v>
      </c>
      <c r="L4056">
        <v>621.276312691876</v>
      </c>
      <c r="M4056">
        <v>13.476425951687601</v>
      </c>
      <c r="N4056">
        <v>48.315591054972003</v>
      </c>
      <c r="O4056">
        <v>45.121373051490799</v>
      </c>
      <c r="P4056">
        <v>-5.7472205068308697E-2</v>
      </c>
      <c r="Q4056">
        <v>0.23041119229624399</v>
      </c>
      <c r="R4056">
        <v>0.981210901935334</v>
      </c>
      <c r="S4056" t="s">
        <v>10458</v>
      </c>
      <c r="T4056" t="s">
        <v>12802</v>
      </c>
      <c r="U4056" t="s">
        <v>12802</v>
      </c>
      <c r="V4056" t="s">
        <v>12802</v>
      </c>
      <c r="W4056" t="s">
        <v>16800</v>
      </c>
      <c r="X4056">
        <v>1</v>
      </c>
      <c r="Y4056" t="s">
        <v>23029</v>
      </c>
      <c r="Z4056" t="s">
        <v>29374</v>
      </c>
      <c r="AA4056">
        <v>0.48544454868110609</v>
      </c>
      <c r="AB4056" t="str">
        <f>HYPERLINK("Melting_Curves/meltCurve_Q6UWS5_PET117.pdf", "Melting_Curves/meltCurve_Q6UWS5_PET117.pdf")</f>
        <v>Melting_Curves/meltCurve_Q6UWS5_PET117.pdf</v>
      </c>
    </row>
    <row r="4057" spans="1:28" x14ac:dyDescent="0.25">
      <c r="A4057" t="s">
        <v>4061</v>
      </c>
      <c r="B4057">
        <v>0.99542014353169495</v>
      </c>
      <c r="C4057">
        <v>1.0671866523751901</v>
      </c>
      <c r="D4057">
        <v>1.01181869394531</v>
      </c>
      <c r="E4057">
        <v>0.95026911628462496</v>
      </c>
      <c r="F4057">
        <v>0.72977408341140104</v>
      </c>
      <c r="G4057">
        <v>0.56689699609808797</v>
      </c>
      <c r="H4057">
        <v>0.32311422494279501</v>
      </c>
      <c r="I4057">
        <v>0.26139694526445001</v>
      </c>
      <c r="J4057">
        <v>0.230508692377946</v>
      </c>
      <c r="K4057">
        <v>0.25894915937560398</v>
      </c>
      <c r="L4057">
        <v>997.81852058014499</v>
      </c>
      <c r="M4057">
        <v>19.007756862301701</v>
      </c>
      <c r="N4057">
        <v>54.146808333127602</v>
      </c>
      <c r="O4057">
        <v>51.924644737463801</v>
      </c>
      <c r="P4057">
        <v>-7.1387512570633402E-2</v>
      </c>
      <c r="Q4057">
        <v>0.219976642395463</v>
      </c>
      <c r="R4057">
        <v>0.99028398660652805</v>
      </c>
      <c r="S4057" t="s">
        <v>10459</v>
      </c>
      <c r="T4057" t="s">
        <v>12802</v>
      </c>
      <c r="U4057" t="s">
        <v>12802</v>
      </c>
      <c r="V4057" t="s">
        <v>12802</v>
      </c>
      <c r="W4057" t="s">
        <v>16801</v>
      </c>
      <c r="X4057">
        <v>3</v>
      </c>
      <c r="Y4057" t="s">
        <v>23030</v>
      </c>
      <c r="Z4057" t="s">
        <v>29375</v>
      </c>
      <c r="AA4057">
        <v>0.63360923371853639</v>
      </c>
      <c r="AB4057" t="str">
        <f>HYPERLINK("Melting_Curves/meltCurve_Q6UWU4_C6orf89.pdf", "Melting_Curves/meltCurve_Q6UWU4_C6orf89.pdf")</f>
        <v>Melting_Curves/meltCurve_Q6UWU4_C6orf89.pdf</v>
      </c>
    </row>
    <row r="4058" spans="1:28" x14ac:dyDescent="0.25">
      <c r="A4058" t="s">
        <v>4062</v>
      </c>
      <c r="B4058">
        <v>0.99542014353169495</v>
      </c>
      <c r="C4058">
        <v>0.92872685228425</v>
      </c>
      <c r="D4058">
        <v>0.85190446270523901</v>
      </c>
      <c r="E4058">
        <v>0.65985571988846103</v>
      </c>
      <c r="F4058">
        <v>0.22934831201414499</v>
      </c>
      <c r="G4058">
        <v>0.13038163935158001</v>
      </c>
      <c r="H4058">
        <v>7.9703205447950301E-2</v>
      </c>
      <c r="I4058">
        <v>5.62132634866018E-2</v>
      </c>
      <c r="J4058">
        <v>6.0333173621764699E-2</v>
      </c>
      <c r="K4058">
        <v>6.6258234776382804E-2</v>
      </c>
      <c r="L4058">
        <v>980.90249725394597</v>
      </c>
      <c r="M4058">
        <v>20.713459730157499</v>
      </c>
      <c r="N4058">
        <v>47.608660458837697</v>
      </c>
      <c r="O4058">
        <v>46.921044577527098</v>
      </c>
      <c r="P4058">
        <v>-0.10461764851960299</v>
      </c>
      <c r="Q4058">
        <v>5.2088776802807601E-2</v>
      </c>
      <c r="R4058">
        <v>0.99306140673337895</v>
      </c>
      <c r="S4058" t="s">
        <v>10460</v>
      </c>
      <c r="T4058" t="s">
        <v>12802</v>
      </c>
      <c r="U4058" t="s">
        <v>12802</v>
      </c>
      <c r="V4058" t="s">
        <v>12802</v>
      </c>
      <c r="W4058" t="s">
        <v>16802</v>
      </c>
      <c r="X4058">
        <v>13</v>
      </c>
      <c r="Y4058" t="s">
        <v>23031</v>
      </c>
      <c r="Z4058" t="s">
        <v>29376</v>
      </c>
      <c r="AA4058">
        <v>0.39090877217292858</v>
      </c>
      <c r="AB4058" t="str">
        <f>HYPERLINK("Melting_Curves/meltCurve_Q6UX04_CWC27.pdf", "Melting_Curves/meltCurve_Q6UX04_CWC27.pdf")</f>
        <v>Melting_Curves/meltCurve_Q6UX04_CWC27.pdf</v>
      </c>
    </row>
    <row r="4059" spans="1:28" x14ac:dyDescent="0.25">
      <c r="A4059" t="s">
        <v>4063</v>
      </c>
      <c r="B4059">
        <v>0.99542014353169495</v>
      </c>
      <c r="C4059">
        <v>0.93525059697718405</v>
      </c>
      <c r="D4059">
        <v>0.86625611886363196</v>
      </c>
      <c r="E4059">
        <v>0.48654290107166198</v>
      </c>
      <c r="F4059">
        <v>0.180202464779189</v>
      </c>
      <c r="G4059">
        <v>7.7135217875913806E-2</v>
      </c>
      <c r="H4059">
        <v>4.2821358277158501E-2</v>
      </c>
      <c r="I4059">
        <v>3.5642654045686201E-2</v>
      </c>
      <c r="J4059">
        <v>3.9546635728925097E-2</v>
      </c>
      <c r="K4059">
        <v>1.45407237701899E-2</v>
      </c>
      <c r="L4059">
        <v>1007.46457037758</v>
      </c>
      <c r="M4059">
        <v>21.719903577319901</v>
      </c>
      <c r="N4059">
        <v>46.5043052585659</v>
      </c>
      <c r="O4059">
        <v>45.996583163746102</v>
      </c>
      <c r="P4059">
        <v>-0.114839597934157</v>
      </c>
      <c r="Q4059">
        <v>2.7232590590128301E-2</v>
      </c>
      <c r="R4059">
        <v>0.99874440687514798</v>
      </c>
      <c r="S4059" t="s">
        <v>10461</v>
      </c>
      <c r="T4059" t="s">
        <v>12802</v>
      </c>
      <c r="U4059" t="s">
        <v>12802</v>
      </c>
      <c r="V4059" t="s">
        <v>12802</v>
      </c>
      <c r="W4059" t="s">
        <v>16803</v>
      </c>
      <c r="X4059">
        <v>2</v>
      </c>
      <c r="Y4059" t="s">
        <v>23032</v>
      </c>
      <c r="Z4059" t="s">
        <v>29377</v>
      </c>
      <c r="AA4059">
        <v>0.34230103154246722</v>
      </c>
      <c r="AB4059" t="str">
        <f>HYPERLINK("Melting_Curves/meltCurve_Q6UX07_DHRS13.pdf", "Melting_Curves/meltCurve_Q6UX07_DHRS13.pdf")</f>
        <v>Melting_Curves/meltCurve_Q6UX07_DHRS13.pdf</v>
      </c>
    </row>
    <row r="4060" spans="1:28" x14ac:dyDescent="0.25">
      <c r="A4060" t="s">
        <v>4064</v>
      </c>
      <c r="B4060">
        <v>0.99542014353169495</v>
      </c>
      <c r="C4060">
        <v>1.04427311064002</v>
      </c>
      <c r="D4060">
        <v>1.0389552598779801</v>
      </c>
      <c r="E4060">
        <v>0.98412236800635</v>
      </c>
      <c r="F4060">
        <v>0.77942971540247996</v>
      </c>
      <c r="G4060">
        <v>0.55242558864175495</v>
      </c>
      <c r="H4060">
        <v>0.342872983959565</v>
      </c>
      <c r="I4060">
        <v>0.26568779376399898</v>
      </c>
      <c r="J4060">
        <v>0.395096706456317</v>
      </c>
      <c r="K4060">
        <v>0.44428289926702902</v>
      </c>
      <c r="L4060">
        <v>1487.7213681621499</v>
      </c>
      <c r="M4060">
        <v>28.8242890326039</v>
      </c>
      <c r="N4060">
        <v>53.974568619954702</v>
      </c>
      <c r="O4060">
        <v>51.366950417817002</v>
      </c>
      <c r="P4060">
        <v>-9.0021755406885506E-2</v>
      </c>
      <c r="Q4060">
        <v>0.35830400535351198</v>
      </c>
      <c r="R4060">
        <v>0.97008541117128799</v>
      </c>
      <c r="S4060" t="s">
        <v>10462</v>
      </c>
      <c r="T4060" t="s">
        <v>12802</v>
      </c>
      <c r="U4060" t="s">
        <v>12802</v>
      </c>
      <c r="V4060" t="s">
        <v>12802</v>
      </c>
      <c r="W4060" t="s">
        <v>16804</v>
      </c>
      <c r="X4060">
        <v>5</v>
      </c>
      <c r="Y4060" t="s">
        <v>23033</v>
      </c>
      <c r="Z4060" t="s">
        <v>29378</v>
      </c>
      <c r="AA4060">
        <v>0.6752363019972939</v>
      </c>
      <c r="AB4060" t="str">
        <f>HYPERLINK("Melting_Curves/meltCurve_Q6UXH1_4_CRELD2.pdf", "Melting_Curves/meltCurve_Q6UXH1_4_CRELD2.pdf")</f>
        <v>Melting_Curves/meltCurve_Q6UXH1_4_CRELD2.pdf</v>
      </c>
    </row>
    <row r="4061" spans="1:28" x14ac:dyDescent="0.25">
      <c r="A4061" t="s">
        <v>4065</v>
      </c>
      <c r="B4061">
        <v>0.99542014353169495</v>
      </c>
      <c r="C4061">
        <v>0.95894155160334604</v>
      </c>
      <c r="D4061">
        <v>0.88633545540582204</v>
      </c>
      <c r="E4061">
        <v>0.77166945771522399</v>
      </c>
      <c r="F4061">
        <v>0.53335977086462705</v>
      </c>
      <c r="G4061">
        <v>0.40628927482233901</v>
      </c>
      <c r="H4061">
        <v>0.171507490555042</v>
      </c>
      <c r="I4061">
        <v>0.110730858887805</v>
      </c>
      <c r="J4061">
        <v>8.9736560270357799E-2</v>
      </c>
      <c r="K4061">
        <v>4.3841816056558201E-2</v>
      </c>
      <c r="L4061">
        <v>615.86654774522503</v>
      </c>
      <c r="M4061">
        <v>12.056037972454201</v>
      </c>
      <c r="N4061">
        <v>51.0836599333823</v>
      </c>
      <c r="O4061">
        <v>49.7390873310231</v>
      </c>
      <c r="P4061">
        <v>-6.06107452697143E-2</v>
      </c>
      <c r="Q4061">
        <v>0</v>
      </c>
      <c r="R4061">
        <v>0.99569074891896303</v>
      </c>
      <c r="S4061" t="s">
        <v>10463</v>
      </c>
      <c r="T4061" t="s">
        <v>12802</v>
      </c>
      <c r="U4061" t="s">
        <v>12802</v>
      </c>
      <c r="V4061" t="s">
        <v>12802</v>
      </c>
      <c r="W4061" t="s">
        <v>16805</v>
      </c>
      <c r="X4061">
        <v>11</v>
      </c>
      <c r="Y4061" t="s">
        <v>23034</v>
      </c>
      <c r="Z4061" t="s">
        <v>29379</v>
      </c>
      <c r="AA4061">
        <v>0.49519337089392851</v>
      </c>
      <c r="AB4061" t="str">
        <f>HYPERLINK("Melting_Curves/meltCurve_Q6UXN9_WDR82.pdf", "Melting_Curves/meltCurve_Q6UXN9_WDR82.pdf")</f>
        <v>Melting_Curves/meltCurve_Q6UXN9_WDR82.pdf</v>
      </c>
    </row>
    <row r="4062" spans="1:28" x14ac:dyDescent="0.25">
      <c r="A4062" t="s">
        <v>4066</v>
      </c>
      <c r="B4062">
        <v>0.99542014353169495</v>
      </c>
      <c r="C4062">
        <v>0.95812583078151403</v>
      </c>
      <c r="D4062">
        <v>0.95668967393953097</v>
      </c>
      <c r="E4062">
        <v>0.82011878742436695</v>
      </c>
      <c r="F4062">
        <v>0.77859764794731801</v>
      </c>
      <c r="G4062">
        <v>0.54679922395493996</v>
      </c>
      <c r="H4062">
        <v>0.51363993320801005</v>
      </c>
      <c r="I4062">
        <v>0.44917522088391798</v>
      </c>
      <c r="J4062">
        <v>0.59545204161080301</v>
      </c>
      <c r="K4062">
        <v>0.70022449059622704</v>
      </c>
      <c r="L4062">
        <v>961.80005411435195</v>
      </c>
      <c r="M4062">
        <v>19.928545371758499</v>
      </c>
      <c r="O4062">
        <v>47.7843398322401</v>
      </c>
      <c r="P4062">
        <v>-4.6311612015239902E-2</v>
      </c>
      <c r="Q4062">
        <v>0.55583371490122602</v>
      </c>
      <c r="R4062">
        <v>0.85958402437697001</v>
      </c>
      <c r="S4062" t="s">
        <v>10464</v>
      </c>
      <c r="T4062" t="s">
        <v>12802</v>
      </c>
      <c r="U4062" t="s">
        <v>12802</v>
      </c>
      <c r="V4062" t="s">
        <v>12802</v>
      </c>
      <c r="W4062" t="s">
        <v>16806</v>
      </c>
      <c r="X4062">
        <v>8</v>
      </c>
      <c r="Y4062" t="s">
        <v>23035</v>
      </c>
      <c r="Z4062" t="s">
        <v>29380</v>
      </c>
      <c r="AA4062">
        <v>0.7284603699349772</v>
      </c>
      <c r="AB4062" t="str">
        <f>HYPERLINK("Melting_Curves/meltCurve_Q6UXV4_APOOL.pdf", "Melting_Curves/meltCurve_Q6UXV4_APOOL.pdf")</f>
        <v>Melting_Curves/meltCurve_Q6UXV4_APOOL.pdf</v>
      </c>
    </row>
    <row r="4063" spans="1:28" x14ac:dyDescent="0.25">
      <c r="A4063" t="s">
        <v>4067</v>
      </c>
      <c r="B4063">
        <v>0.99542014353169495</v>
      </c>
      <c r="C4063">
        <v>0.88243745964639297</v>
      </c>
      <c r="D4063">
        <v>0.861010921267653</v>
      </c>
      <c r="E4063">
        <v>0.79674780373129905</v>
      </c>
      <c r="F4063">
        <v>0.203279542712439</v>
      </c>
      <c r="G4063">
        <v>0.105114103213722</v>
      </c>
      <c r="H4063">
        <v>0</v>
      </c>
      <c r="I4063">
        <v>0</v>
      </c>
      <c r="J4063">
        <v>0</v>
      </c>
      <c r="K4063">
        <v>0</v>
      </c>
      <c r="L4063">
        <v>1466.4326942273201</v>
      </c>
      <c r="M4063">
        <v>30.3604841515644</v>
      </c>
      <c r="N4063">
        <v>48.317340680574198</v>
      </c>
      <c r="O4063">
        <v>48.0926029439632</v>
      </c>
      <c r="P4063">
        <v>-0.15700330533507201</v>
      </c>
      <c r="Q4063">
        <v>5.2002211987199898E-3</v>
      </c>
      <c r="R4063">
        <v>0.98019208186791096</v>
      </c>
      <c r="S4063" t="s">
        <v>10465</v>
      </c>
      <c r="T4063" t="s">
        <v>12802</v>
      </c>
      <c r="U4063" t="s">
        <v>12802</v>
      </c>
      <c r="V4063" t="s">
        <v>12802</v>
      </c>
      <c r="W4063" t="s">
        <v>16807</v>
      </c>
      <c r="X4063">
        <v>1</v>
      </c>
      <c r="Y4063" t="s">
        <v>23036</v>
      </c>
      <c r="Z4063" t="s">
        <v>29381</v>
      </c>
      <c r="AA4063">
        <v>0.38571598510544541</v>
      </c>
      <c r="AB4063" t="str">
        <f>HYPERLINK("Melting_Curves/meltCurve_Q6UY14_2_ADAMTSL4.pdf", "Melting_Curves/meltCurve_Q6UY14_2_ADAMTSL4.pdf")</f>
        <v>Melting_Curves/meltCurve_Q6UY14_2_ADAMTSL4.pdf</v>
      </c>
    </row>
    <row r="4064" spans="1:28" x14ac:dyDescent="0.25">
      <c r="A4064" t="s">
        <v>4068</v>
      </c>
      <c r="B4064">
        <v>0.99542014353169495</v>
      </c>
      <c r="C4064">
        <v>0.91497223201984801</v>
      </c>
      <c r="D4064">
        <v>0.82999336536276802</v>
      </c>
      <c r="E4064">
        <v>0.506614196171294</v>
      </c>
      <c r="F4064">
        <v>0.22396515623757601</v>
      </c>
      <c r="G4064">
        <v>0.12609704800916799</v>
      </c>
      <c r="H4064">
        <v>0.106036021291842</v>
      </c>
      <c r="I4064">
        <v>8.7232133465820705E-2</v>
      </c>
      <c r="J4064">
        <v>8.4779254474282903E-2</v>
      </c>
      <c r="K4064">
        <v>0.116822457845268</v>
      </c>
      <c r="L4064">
        <v>912.67706662672697</v>
      </c>
      <c r="M4064">
        <v>19.804246737535902</v>
      </c>
      <c r="N4064">
        <v>46.535146389391002</v>
      </c>
      <c r="O4064">
        <v>45.6227484344872</v>
      </c>
      <c r="P4064">
        <v>-9.9063756049179497E-2</v>
      </c>
      <c r="Q4064">
        <v>8.7184095728025199E-2</v>
      </c>
      <c r="R4064">
        <v>0.99736997845772202</v>
      </c>
      <c r="S4064" t="s">
        <v>10466</v>
      </c>
      <c r="T4064" t="s">
        <v>12802</v>
      </c>
      <c r="U4064" t="s">
        <v>12802</v>
      </c>
      <c r="V4064" t="s">
        <v>12802</v>
      </c>
      <c r="W4064" t="s">
        <v>16808</v>
      </c>
      <c r="X4064">
        <v>2</v>
      </c>
      <c r="Y4064" t="s">
        <v>23037</v>
      </c>
      <c r="Z4064" t="s">
        <v>29382</v>
      </c>
      <c r="AA4064">
        <v>0.3757851384682877</v>
      </c>
      <c r="AB4064" t="str">
        <f>HYPERLINK("Melting_Curves/meltCurve_Q6VMQ6_2_ATF7IP.pdf", "Melting_Curves/meltCurve_Q6VMQ6_2_ATF7IP.pdf")</f>
        <v>Melting_Curves/meltCurve_Q6VMQ6_2_ATF7IP.pdf</v>
      </c>
    </row>
    <row r="4065" spans="1:28" x14ac:dyDescent="0.25">
      <c r="A4065" t="s">
        <v>4069</v>
      </c>
      <c r="B4065">
        <v>0.99542014353169495</v>
      </c>
      <c r="C4065">
        <v>0.93241876535982804</v>
      </c>
      <c r="D4065">
        <v>0.900052145423752</v>
      </c>
      <c r="E4065">
        <v>0.71112979384039898</v>
      </c>
      <c r="F4065">
        <v>0.47868651173180699</v>
      </c>
      <c r="G4065">
        <v>0.21278348628451799</v>
      </c>
      <c r="H4065">
        <v>0.13815528821905401</v>
      </c>
      <c r="I4065">
        <v>7.0207159552836504E-2</v>
      </c>
      <c r="J4065">
        <v>6.3666075869522595E-2</v>
      </c>
      <c r="K4065">
        <v>3.8462744232444598E-2</v>
      </c>
      <c r="L4065">
        <v>720.93295356272097</v>
      </c>
      <c r="M4065">
        <v>14.591837843663599</v>
      </c>
      <c r="N4065">
        <v>49.529527972697103</v>
      </c>
      <c r="O4065">
        <v>48.506477754870502</v>
      </c>
      <c r="P4065">
        <v>-7.3876641743434196E-2</v>
      </c>
      <c r="Q4065">
        <v>1.7781740831055898E-2</v>
      </c>
      <c r="R4065">
        <v>0.99751956765591698</v>
      </c>
      <c r="S4065" t="s">
        <v>10467</v>
      </c>
      <c r="T4065" t="s">
        <v>12802</v>
      </c>
      <c r="U4065" t="s">
        <v>12802</v>
      </c>
      <c r="V4065" t="s">
        <v>12802</v>
      </c>
      <c r="W4065" t="s">
        <v>16809</v>
      </c>
      <c r="X4065">
        <v>3</v>
      </c>
      <c r="Y4065" t="s">
        <v>23038</v>
      </c>
      <c r="Z4065" t="s">
        <v>29383</v>
      </c>
      <c r="AA4065">
        <v>0.4457688590006848</v>
      </c>
      <c r="AB4065" t="str">
        <f>HYPERLINK("Melting_Curves/meltCurve_Q6VY07_PACS1.pdf", "Melting_Curves/meltCurve_Q6VY07_PACS1.pdf")</f>
        <v>Melting_Curves/meltCurve_Q6VY07_PACS1.pdf</v>
      </c>
    </row>
    <row r="4066" spans="1:28" x14ac:dyDescent="0.25">
      <c r="A4066" t="s">
        <v>4070</v>
      </c>
      <c r="B4066">
        <v>0.99542014353169495</v>
      </c>
      <c r="C4066">
        <v>0.79427541266075197</v>
      </c>
      <c r="D4066">
        <v>0.71453699018250305</v>
      </c>
      <c r="E4066">
        <v>0.44376222455013098</v>
      </c>
      <c r="F4066">
        <v>0.26082767403819301</v>
      </c>
      <c r="G4066">
        <v>0.150499981444254</v>
      </c>
      <c r="H4066">
        <v>0.12515174184356201</v>
      </c>
      <c r="I4066">
        <v>0.10544746468154199</v>
      </c>
      <c r="J4066">
        <v>8.9734497058365198E-2</v>
      </c>
      <c r="K4066">
        <v>0.15359228042124901</v>
      </c>
      <c r="L4066">
        <v>621.64881639398197</v>
      </c>
      <c r="M4066">
        <v>13.8444864362844</v>
      </c>
      <c r="N4066">
        <v>45.575142729861</v>
      </c>
      <c r="O4066">
        <v>43.996531828400997</v>
      </c>
      <c r="P4066">
        <v>-7.1406335302353199E-2</v>
      </c>
      <c r="Q4066">
        <v>9.2433827593337098E-2</v>
      </c>
      <c r="R4066">
        <v>0.98858919829504499</v>
      </c>
      <c r="S4066" t="s">
        <v>10468</v>
      </c>
      <c r="T4066" t="s">
        <v>12802</v>
      </c>
      <c r="U4066" t="s">
        <v>12802</v>
      </c>
      <c r="V4066" t="s">
        <v>12802</v>
      </c>
      <c r="W4066" t="s">
        <v>16810</v>
      </c>
      <c r="X4066">
        <v>5</v>
      </c>
      <c r="Y4066" t="s">
        <v>23039</v>
      </c>
      <c r="Z4066" t="s">
        <v>29384</v>
      </c>
      <c r="AA4066">
        <v>0.35687165874005899</v>
      </c>
      <c r="AB4066" t="str">
        <f>HYPERLINK("Melting_Curves/meltCurve_Q6W2J9_4_BCOR.pdf", "Melting_Curves/meltCurve_Q6W2J9_4_BCOR.pdf")</f>
        <v>Melting_Curves/meltCurve_Q6W2J9_4_BCOR.pdf</v>
      </c>
    </row>
    <row r="4067" spans="1:28" x14ac:dyDescent="0.25">
      <c r="A4067" t="s">
        <v>4071</v>
      </c>
      <c r="B4067">
        <v>0.99542014353169495</v>
      </c>
      <c r="C4067">
        <v>1.0192413994679299</v>
      </c>
      <c r="D4067">
        <v>1.0181182022474899</v>
      </c>
      <c r="E4067">
        <v>0.81577345439718796</v>
      </c>
      <c r="F4067">
        <v>0.47794041719774699</v>
      </c>
      <c r="G4067">
        <v>0.157603490851356</v>
      </c>
      <c r="H4067">
        <v>8.3181029741871498E-2</v>
      </c>
      <c r="I4067">
        <v>5.3680270209729E-2</v>
      </c>
      <c r="J4067">
        <v>5.9896853701389398E-2</v>
      </c>
      <c r="K4067">
        <v>5.3745834574580501E-2</v>
      </c>
      <c r="L4067">
        <v>1218.4478273418199</v>
      </c>
      <c r="M4067">
        <v>24.543021161325701</v>
      </c>
      <c r="N4067">
        <v>49.854082500226703</v>
      </c>
      <c r="O4067">
        <v>49.319301251837203</v>
      </c>
      <c r="P4067">
        <v>-0.118336970942461</v>
      </c>
      <c r="Q4067">
        <v>4.8818914945218901E-2</v>
      </c>
      <c r="R4067">
        <v>0.99813840143742405</v>
      </c>
      <c r="S4067" t="s">
        <v>10469</v>
      </c>
      <c r="T4067" t="s">
        <v>12802</v>
      </c>
      <c r="U4067" t="s">
        <v>12802</v>
      </c>
      <c r="V4067" t="s">
        <v>12802</v>
      </c>
      <c r="W4067" t="s">
        <v>16811</v>
      </c>
      <c r="X4067">
        <v>20</v>
      </c>
      <c r="Y4067" t="s">
        <v>23040</v>
      </c>
      <c r="Z4067" t="s">
        <v>29385</v>
      </c>
      <c r="AA4067">
        <v>0.45833773317378351</v>
      </c>
      <c r="AB4067" t="str">
        <f>HYPERLINK("Melting_Curves/meltCurve_Q6WKZ4_RAB11FIP1.pdf", "Melting_Curves/meltCurve_Q6WKZ4_RAB11FIP1.pdf")</f>
        <v>Melting_Curves/meltCurve_Q6WKZ4_RAB11FIP1.pdf</v>
      </c>
    </row>
    <row r="4068" spans="1:28" x14ac:dyDescent="0.25">
      <c r="A4068" t="s">
        <v>4072</v>
      </c>
      <c r="B4068">
        <v>0.99542014353169495</v>
      </c>
      <c r="C4068">
        <v>1.0169720930709101</v>
      </c>
      <c r="D4068">
        <v>0.89324788098732599</v>
      </c>
      <c r="E4068">
        <v>0.86829294984010796</v>
      </c>
      <c r="F4068">
        <v>0.72048005906658297</v>
      </c>
      <c r="G4068">
        <v>0.62773877127599398</v>
      </c>
      <c r="H4068">
        <v>0.52527220695230503</v>
      </c>
      <c r="I4068">
        <v>0.51697876837485901</v>
      </c>
      <c r="J4068">
        <v>0.65492202969402702</v>
      </c>
      <c r="K4068">
        <v>0.581550455011689</v>
      </c>
      <c r="L4068">
        <v>843.02069328946698</v>
      </c>
      <c r="M4068">
        <v>17.493162945257598</v>
      </c>
      <c r="O4068">
        <v>47.5748956530092</v>
      </c>
      <c r="P4068">
        <v>-4.0167690076893602E-2</v>
      </c>
      <c r="Q4068">
        <v>0.56305942962440403</v>
      </c>
      <c r="R4068">
        <v>0.93837743952267005</v>
      </c>
      <c r="S4068" t="s">
        <v>10470</v>
      </c>
      <c r="T4068" t="s">
        <v>12802</v>
      </c>
      <c r="U4068" t="s">
        <v>12802</v>
      </c>
      <c r="V4068" t="s">
        <v>12802</v>
      </c>
      <c r="W4068" t="s">
        <v>16812</v>
      </c>
      <c r="X4068">
        <v>21</v>
      </c>
      <c r="Y4068" t="s">
        <v>23041</v>
      </c>
      <c r="Z4068" t="s">
        <v>29386</v>
      </c>
      <c r="AA4068">
        <v>0.73340562024079159</v>
      </c>
      <c r="AB4068" t="str">
        <f>HYPERLINK("Melting_Curves/meltCurve_Q6XQN6_NAPRT1.pdf", "Melting_Curves/meltCurve_Q6XQN6_NAPRT1.pdf")</f>
        <v>Melting_Curves/meltCurve_Q6XQN6_NAPRT1.pdf</v>
      </c>
    </row>
    <row r="4069" spans="1:28" x14ac:dyDescent="0.25">
      <c r="A4069" t="s">
        <v>4073</v>
      </c>
      <c r="B4069">
        <v>0.99542014353169495</v>
      </c>
      <c r="C4069">
        <v>1.1375361540770299</v>
      </c>
      <c r="D4069">
        <v>1.1032749696433799</v>
      </c>
      <c r="E4069">
        <v>0.94262320173075997</v>
      </c>
      <c r="F4069">
        <v>0.91610397965836399</v>
      </c>
      <c r="G4069">
        <v>0.60809679976523001</v>
      </c>
      <c r="H4069">
        <v>0.55584851162759297</v>
      </c>
      <c r="I4069">
        <v>0.45971417983182999</v>
      </c>
      <c r="J4069">
        <v>0.59982309202069595</v>
      </c>
      <c r="K4069">
        <v>0.64943322691665495</v>
      </c>
      <c r="L4069">
        <v>2701.9874932751</v>
      </c>
      <c r="M4069">
        <v>52.4271859439012</v>
      </c>
      <c r="O4069">
        <v>51.463107036268198</v>
      </c>
      <c r="P4069">
        <v>-0.110637426880988</v>
      </c>
      <c r="Q4069">
        <v>0.56558877136858199</v>
      </c>
      <c r="R4069">
        <v>0.90540700922468398</v>
      </c>
      <c r="S4069" t="s">
        <v>10471</v>
      </c>
      <c r="T4069" t="s">
        <v>12802</v>
      </c>
      <c r="U4069" t="s">
        <v>12802</v>
      </c>
      <c r="V4069" t="s">
        <v>12802</v>
      </c>
      <c r="W4069" t="s">
        <v>16813</v>
      </c>
      <c r="X4069">
        <v>3</v>
      </c>
      <c r="Y4069" t="s">
        <v>23042</v>
      </c>
      <c r="Z4069" t="s">
        <v>29387</v>
      </c>
      <c r="AA4069">
        <v>0.7770007718929044</v>
      </c>
      <c r="AB4069" t="str">
        <f>HYPERLINK("Melting_Curves/meltCurve_Q6XR72_SLC30A10.pdf", "Melting_Curves/meltCurve_Q6XR72_SLC30A10.pdf")</f>
        <v>Melting_Curves/meltCurve_Q6XR72_SLC30A10.pdf</v>
      </c>
    </row>
    <row r="4070" spans="1:28" x14ac:dyDescent="0.25">
      <c r="A4070" t="s">
        <v>4074</v>
      </c>
      <c r="B4070">
        <v>0.99542014353169495</v>
      </c>
      <c r="C4070">
        <v>0.90461952654496702</v>
      </c>
      <c r="D4070">
        <v>0.82543762342193405</v>
      </c>
      <c r="E4070">
        <v>0.48582380557460397</v>
      </c>
      <c r="F4070">
        <v>0.209398640473556</v>
      </c>
      <c r="G4070">
        <v>0.114852562764097</v>
      </c>
      <c r="H4070">
        <v>6.7362717864229593E-2</v>
      </c>
      <c r="I4070">
        <v>5.05371578482533E-2</v>
      </c>
      <c r="J4070">
        <v>5.2267717861419198E-2</v>
      </c>
      <c r="K4070">
        <v>5.52734272055002E-2</v>
      </c>
      <c r="L4070">
        <v>854.12708727347899</v>
      </c>
      <c r="M4070">
        <v>18.494957137444299</v>
      </c>
      <c r="N4070">
        <v>46.417337566675499</v>
      </c>
      <c r="O4070">
        <v>45.651879065542602</v>
      </c>
      <c r="P4070">
        <v>-9.6747083230553005E-2</v>
      </c>
      <c r="Q4070">
        <v>4.4822806220018101E-2</v>
      </c>
      <c r="R4070">
        <v>0.99797328801633101</v>
      </c>
      <c r="S4070" t="s">
        <v>10472</v>
      </c>
      <c r="T4070" t="s">
        <v>12802</v>
      </c>
      <c r="U4070" t="s">
        <v>12802</v>
      </c>
      <c r="V4070" t="s">
        <v>12802</v>
      </c>
      <c r="W4070" t="s">
        <v>16814</v>
      </c>
      <c r="X4070">
        <v>25</v>
      </c>
      <c r="Y4070" t="s">
        <v>23043</v>
      </c>
      <c r="Z4070" t="s">
        <v>29388</v>
      </c>
      <c r="AA4070">
        <v>0.35176391125952722</v>
      </c>
      <c r="AB4070" t="str">
        <f>HYPERLINK("Melting_Curves/meltCurve_Q6Y7W6_4_GIGYF2.pdf", "Melting_Curves/meltCurve_Q6Y7W6_4_GIGYF2.pdf")</f>
        <v>Melting_Curves/meltCurve_Q6Y7W6_4_GIGYF2.pdf</v>
      </c>
    </row>
    <row r="4071" spans="1:28" x14ac:dyDescent="0.25">
      <c r="A4071" t="s">
        <v>4075</v>
      </c>
      <c r="B4071">
        <v>0.99542014353169495</v>
      </c>
      <c r="C4071">
        <v>0.87623601956274699</v>
      </c>
      <c r="D4071">
        <v>0.90010709046106496</v>
      </c>
      <c r="E4071">
        <v>0.53798303402889003</v>
      </c>
      <c r="F4071">
        <v>0.171937440548207</v>
      </c>
      <c r="G4071">
        <v>0.104431864318209</v>
      </c>
      <c r="H4071">
        <v>8.3026573846356894E-2</v>
      </c>
      <c r="I4071">
        <v>5.62518773766005E-2</v>
      </c>
      <c r="J4071">
        <v>5.7849152854255598E-2</v>
      </c>
      <c r="K4071">
        <v>5.57986959891194E-2</v>
      </c>
      <c r="L4071">
        <v>1105.5337386874</v>
      </c>
      <c r="M4071">
        <v>23.7420004722816</v>
      </c>
      <c r="N4071">
        <v>46.8041466211656</v>
      </c>
      <c r="O4071">
        <v>46.237899108206598</v>
      </c>
      <c r="P4071">
        <v>-0.121023093824176</v>
      </c>
      <c r="Q4071">
        <v>5.7238479394903001E-2</v>
      </c>
      <c r="R4071">
        <v>0.99105446812890596</v>
      </c>
      <c r="S4071" t="s">
        <v>10473</v>
      </c>
      <c r="T4071" t="s">
        <v>12802</v>
      </c>
      <c r="U4071" t="s">
        <v>12802</v>
      </c>
      <c r="V4071" t="s">
        <v>12802</v>
      </c>
      <c r="W4071" t="s">
        <v>16815</v>
      </c>
      <c r="X4071">
        <v>12</v>
      </c>
      <c r="Y4071" t="s">
        <v>23044</v>
      </c>
      <c r="Z4071" t="s">
        <v>29389</v>
      </c>
      <c r="AA4071">
        <v>0.36654217711695092</v>
      </c>
      <c r="AB4071" t="str">
        <f>HYPERLINK("Melting_Curves/meltCurve_Q6YHU6_3_THADA.pdf", "Melting_Curves/meltCurve_Q6YHU6_3_THADA.pdf")</f>
        <v>Melting_Curves/meltCurve_Q6YHU6_3_THADA.pdf</v>
      </c>
    </row>
    <row r="4072" spans="1:28" x14ac:dyDescent="0.25">
      <c r="A4072" t="s">
        <v>4076</v>
      </c>
      <c r="B4072">
        <v>0.99542014353169495</v>
      </c>
      <c r="C4072">
        <v>1.02124273502742</v>
      </c>
      <c r="D4072">
        <v>0.93956025916418096</v>
      </c>
      <c r="E4072">
        <v>0.89571509525246296</v>
      </c>
      <c r="F4072">
        <v>0.526009030466698</v>
      </c>
      <c r="G4072">
        <v>0.189070405835157</v>
      </c>
      <c r="H4072">
        <v>0.11890561589679401</v>
      </c>
      <c r="I4072">
        <v>8.76675756315827E-2</v>
      </c>
      <c r="J4072">
        <v>0.123467845551311</v>
      </c>
      <c r="K4072">
        <v>0.13767718516675201</v>
      </c>
      <c r="L4072">
        <v>1473.75198762224</v>
      </c>
      <c r="M4072">
        <v>29.5332610113058</v>
      </c>
      <c r="N4072">
        <v>50.320411394463001</v>
      </c>
      <c r="O4072">
        <v>49.674304182083297</v>
      </c>
      <c r="P4072">
        <v>-0.13243430458609501</v>
      </c>
      <c r="Q4072">
        <v>0.108999471495706</v>
      </c>
      <c r="R4072">
        <v>0.99658334445704599</v>
      </c>
      <c r="S4072" t="s">
        <v>10474</v>
      </c>
      <c r="T4072" t="s">
        <v>12802</v>
      </c>
      <c r="U4072" t="s">
        <v>12802</v>
      </c>
      <c r="V4072" t="s">
        <v>12802</v>
      </c>
      <c r="W4072" t="s">
        <v>16816</v>
      </c>
      <c r="X4072">
        <v>9</v>
      </c>
      <c r="Y4072" t="s">
        <v>23045</v>
      </c>
      <c r="Z4072" t="s">
        <v>29390</v>
      </c>
      <c r="AA4072">
        <v>0.49780188954147558</v>
      </c>
      <c r="AB4072" t="str">
        <f>HYPERLINK("Melting_Curves/meltCurve_Q6YN16_HSDL2.pdf", "Melting_Curves/meltCurve_Q6YN16_HSDL2.pdf")</f>
        <v>Melting_Curves/meltCurve_Q6YN16_HSDL2.pdf</v>
      </c>
    </row>
    <row r="4073" spans="1:28" x14ac:dyDescent="0.25">
      <c r="A4073" t="s">
        <v>4077</v>
      </c>
      <c r="B4073">
        <v>0.99542014353169495</v>
      </c>
      <c r="C4073">
        <v>0.98869880410949695</v>
      </c>
      <c r="D4073">
        <v>0.93376588547005102</v>
      </c>
      <c r="E4073">
        <v>0.91325805117133296</v>
      </c>
      <c r="F4073">
        <v>0.75121452704054803</v>
      </c>
      <c r="G4073">
        <v>0.603932219957105</v>
      </c>
      <c r="H4073">
        <v>0.46078802407240699</v>
      </c>
      <c r="I4073">
        <v>0.43175525406274101</v>
      </c>
      <c r="J4073">
        <v>0.59212098280705106</v>
      </c>
      <c r="K4073">
        <v>0.55107485662790201</v>
      </c>
      <c r="L4073">
        <v>1152.7182587223299</v>
      </c>
      <c r="M4073">
        <v>23.0887020171924</v>
      </c>
      <c r="O4073">
        <v>49.5556456265886</v>
      </c>
      <c r="P4073">
        <v>-5.7504004442676303E-2</v>
      </c>
      <c r="Q4073">
        <v>0.50632209404251005</v>
      </c>
      <c r="R4073">
        <v>0.94583208228904303</v>
      </c>
      <c r="S4073" t="s">
        <v>10475</v>
      </c>
      <c r="T4073" t="s">
        <v>12802</v>
      </c>
      <c r="U4073" t="s">
        <v>12802</v>
      </c>
      <c r="V4073" t="s">
        <v>12802</v>
      </c>
      <c r="W4073" t="s">
        <v>16817</v>
      </c>
      <c r="X4073">
        <v>16</v>
      </c>
      <c r="Y4073" t="s">
        <v>23046</v>
      </c>
      <c r="Z4073" t="s">
        <v>29391</v>
      </c>
      <c r="AA4073">
        <v>0.72403792829907376</v>
      </c>
      <c r="AB4073" t="str">
        <f>HYPERLINK("Melting_Curves/meltCurve_Q6YP21_3_CCBL2.pdf", "Melting_Curves/meltCurve_Q6YP21_3_CCBL2.pdf")</f>
        <v>Melting_Curves/meltCurve_Q6YP21_3_CCBL2.pdf</v>
      </c>
    </row>
    <row r="4074" spans="1:28" x14ac:dyDescent="0.25">
      <c r="A4074" t="s">
        <v>4078</v>
      </c>
      <c r="B4074">
        <v>0.99542014353169495</v>
      </c>
      <c r="C4074">
        <v>1.0171040600405701</v>
      </c>
      <c r="D4074">
        <v>1.0007872591443701</v>
      </c>
      <c r="E4074">
        <v>0.71478089686175805</v>
      </c>
      <c r="F4074">
        <v>0.46474320542171699</v>
      </c>
      <c r="G4074">
        <v>0.269024867306289</v>
      </c>
      <c r="H4074">
        <v>0.163828798765702</v>
      </c>
      <c r="I4074">
        <v>0.12974070992510001</v>
      </c>
      <c r="J4074">
        <v>0.15734000157238101</v>
      </c>
      <c r="K4074">
        <v>0.11618020269418899</v>
      </c>
      <c r="L4074">
        <v>948.49088989393897</v>
      </c>
      <c r="M4074">
        <v>19.4092380544683</v>
      </c>
      <c r="N4074">
        <v>49.611471413890797</v>
      </c>
      <c r="O4074">
        <v>48.358132446314002</v>
      </c>
      <c r="P4074">
        <v>-8.7682330733286004E-2</v>
      </c>
      <c r="Q4074">
        <v>0.12618965400593399</v>
      </c>
      <c r="R4074">
        <v>0.99471473586349102</v>
      </c>
      <c r="S4074" t="s">
        <v>10476</v>
      </c>
      <c r="T4074" t="s">
        <v>12802</v>
      </c>
      <c r="U4074" t="s">
        <v>12802</v>
      </c>
      <c r="V4074" t="s">
        <v>12802</v>
      </c>
      <c r="W4074" t="s">
        <v>16818</v>
      </c>
      <c r="X4074">
        <v>4</v>
      </c>
      <c r="Y4074" t="s">
        <v>23047</v>
      </c>
      <c r="Z4074" t="s">
        <v>29392</v>
      </c>
      <c r="AA4074">
        <v>0.48402532186545388</v>
      </c>
      <c r="AB4074" t="str">
        <f>HYPERLINK("Melting_Curves/meltCurve_Q6ZN04_MEX3B.pdf", "Melting_Curves/meltCurve_Q6ZN04_MEX3B.pdf")</f>
        <v>Melting_Curves/meltCurve_Q6ZN04_MEX3B.pdf</v>
      </c>
    </row>
    <row r="4075" spans="1:28" x14ac:dyDescent="0.25">
      <c r="A4075" t="s">
        <v>4079</v>
      </c>
      <c r="B4075">
        <v>0.99542014353169495</v>
      </c>
      <c r="C4075">
        <v>0.99147698593734102</v>
      </c>
      <c r="D4075">
        <v>1.0077638363072601</v>
      </c>
      <c r="E4075">
        <v>0.92346093602949497</v>
      </c>
      <c r="F4075">
        <v>0.74054338452665502</v>
      </c>
      <c r="G4075">
        <v>0.54137568220327204</v>
      </c>
      <c r="H4075">
        <v>0.35778527519275699</v>
      </c>
      <c r="I4075">
        <v>0.25965100710129901</v>
      </c>
      <c r="J4075">
        <v>0.37896801545557601</v>
      </c>
      <c r="K4075">
        <v>0.49492897896423799</v>
      </c>
      <c r="L4075">
        <v>1277.8047335961501</v>
      </c>
      <c r="M4075">
        <v>25.065150152156701</v>
      </c>
      <c r="N4075">
        <v>53.838970001607301</v>
      </c>
      <c r="O4075">
        <v>50.658165448146697</v>
      </c>
      <c r="P4075">
        <v>-7.8185727613679895E-2</v>
      </c>
      <c r="Q4075">
        <v>0.36793630957086498</v>
      </c>
      <c r="R4075">
        <v>0.95663063090095801</v>
      </c>
      <c r="S4075" t="s">
        <v>10477</v>
      </c>
      <c r="T4075" t="s">
        <v>12802</v>
      </c>
      <c r="U4075" t="s">
        <v>12802</v>
      </c>
      <c r="V4075" t="s">
        <v>12802</v>
      </c>
      <c r="W4075" t="s">
        <v>16819</v>
      </c>
      <c r="X4075">
        <v>8</v>
      </c>
      <c r="Y4075" t="s">
        <v>23048</v>
      </c>
      <c r="Z4075" t="s">
        <v>29393</v>
      </c>
      <c r="AA4075">
        <v>0.6680127691469584</v>
      </c>
      <c r="AB4075" t="str">
        <f>HYPERLINK("Melting_Curves/meltCurve_Q6ZN17_LIN28B.pdf", "Melting_Curves/meltCurve_Q6ZN17_LIN28B.pdf")</f>
        <v>Melting_Curves/meltCurve_Q6ZN17_LIN28B.pdf</v>
      </c>
    </row>
    <row r="4076" spans="1:28" x14ac:dyDescent="0.25">
      <c r="A4076" t="s">
        <v>4080</v>
      </c>
      <c r="B4076">
        <v>0.99542014353169495</v>
      </c>
      <c r="C4076">
        <v>0.79725319709168596</v>
      </c>
      <c r="D4076">
        <v>0.79669910116943998</v>
      </c>
      <c r="E4076">
        <v>0.56361437914455903</v>
      </c>
      <c r="F4076">
        <v>0.37848517579699098</v>
      </c>
      <c r="G4076">
        <v>0.26144213669849398</v>
      </c>
      <c r="H4076">
        <v>0.19871624878454</v>
      </c>
      <c r="I4076">
        <v>0.17620504801053</v>
      </c>
      <c r="J4076">
        <v>0.19819386198026001</v>
      </c>
      <c r="K4076">
        <v>0.23333868904548299</v>
      </c>
      <c r="L4076">
        <v>577.38904915001899</v>
      </c>
      <c r="M4076">
        <v>12.569673860346001</v>
      </c>
      <c r="N4076">
        <v>47.464320114658598</v>
      </c>
      <c r="O4076">
        <v>44.818936732677301</v>
      </c>
      <c r="P4076">
        <v>-5.8451186439189201E-2</v>
      </c>
      <c r="Q4076">
        <v>0.16650394084661099</v>
      </c>
      <c r="R4076">
        <v>0.97968865093942104</v>
      </c>
      <c r="S4076" t="s">
        <v>10478</v>
      </c>
      <c r="T4076" t="s">
        <v>12802</v>
      </c>
      <c r="U4076" t="s">
        <v>12802</v>
      </c>
      <c r="V4076" t="s">
        <v>12802</v>
      </c>
      <c r="W4076" t="s">
        <v>16820</v>
      </c>
      <c r="X4076">
        <v>2</v>
      </c>
      <c r="Y4076" t="s">
        <v>23049</v>
      </c>
      <c r="Z4076" t="s">
        <v>29394</v>
      </c>
      <c r="AA4076">
        <v>0.4413688647522061</v>
      </c>
      <c r="AB4076" t="str">
        <f>HYPERLINK("Melting_Curves/meltCurve_Q6ZN18_2_AEBP2.pdf", "Melting_Curves/meltCurve_Q6ZN18_2_AEBP2.pdf")</f>
        <v>Melting_Curves/meltCurve_Q6ZN18_2_AEBP2.pdf</v>
      </c>
    </row>
    <row r="4077" spans="1:28" x14ac:dyDescent="0.25">
      <c r="A4077" t="s">
        <v>4081</v>
      </c>
      <c r="B4077">
        <v>0.99542014353169495</v>
      </c>
      <c r="C4077">
        <v>0.95736007743157403</v>
      </c>
      <c r="D4077">
        <v>0.89754657319771203</v>
      </c>
      <c r="E4077">
        <v>0.78433609098882895</v>
      </c>
      <c r="F4077">
        <v>0.695276000990529</v>
      </c>
      <c r="G4077">
        <v>0.488716828072634</v>
      </c>
      <c r="H4077">
        <v>0.32476255833852202</v>
      </c>
      <c r="I4077">
        <v>0.26732326780121601</v>
      </c>
      <c r="J4077">
        <v>0.34417663991500502</v>
      </c>
      <c r="K4077">
        <v>0.25716972155671802</v>
      </c>
      <c r="L4077">
        <v>614.63379710203503</v>
      </c>
      <c r="M4077">
        <v>12.089091562196799</v>
      </c>
      <c r="N4077">
        <v>53.387589523360603</v>
      </c>
      <c r="O4077">
        <v>49.510815284644998</v>
      </c>
      <c r="P4077">
        <v>-4.7682747007976103E-2</v>
      </c>
      <c r="Q4077">
        <v>0.21904541902421601</v>
      </c>
      <c r="R4077">
        <v>0.983342333291083</v>
      </c>
      <c r="S4077" t="s">
        <v>10479</v>
      </c>
      <c r="T4077" t="s">
        <v>12802</v>
      </c>
      <c r="U4077" t="s">
        <v>12802</v>
      </c>
      <c r="V4077" t="s">
        <v>12802</v>
      </c>
      <c r="W4077" t="s">
        <v>16821</v>
      </c>
      <c r="X4077">
        <v>5</v>
      </c>
      <c r="Y4077" t="s">
        <v>23050</v>
      </c>
      <c r="Z4077" t="s">
        <v>29395</v>
      </c>
      <c r="AA4077">
        <v>0.599809529053551</v>
      </c>
      <c r="AB4077" t="str">
        <f>HYPERLINK("Melting_Curves/meltCurve_Q6ZNA5_FRRS1.pdf", "Melting_Curves/meltCurve_Q6ZNA5_FRRS1.pdf")</f>
        <v>Melting_Curves/meltCurve_Q6ZNA5_FRRS1.pdf</v>
      </c>
    </row>
    <row r="4078" spans="1:28" x14ac:dyDescent="0.25">
      <c r="A4078" t="s">
        <v>4082</v>
      </c>
      <c r="B4078">
        <v>0.99542014353169495</v>
      </c>
      <c r="C4078">
        <v>0.90104204005130195</v>
      </c>
      <c r="D4078">
        <v>0.97648301121609804</v>
      </c>
      <c r="E4078">
        <v>0.83342327491879498</v>
      </c>
      <c r="F4078">
        <v>0.65319112753509201</v>
      </c>
      <c r="G4078">
        <v>0.24200225127387701</v>
      </c>
      <c r="H4078">
        <v>7.0728258618368206E-2</v>
      </c>
      <c r="I4078">
        <v>3.79007997270977E-2</v>
      </c>
      <c r="J4078">
        <v>4.27527702427353E-2</v>
      </c>
      <c r="K4078">
        <v>3.7539024578043201E-2</v>
      </c>
      <c r="L4078">
        <v>1102.5717007578901</v>
      </c>
      <c r="M4078">
        <v>21.572890485207601</v>
      </c>
      <c r="N4078">
        <v>51.177244545811597</v>
      </c>
      <c r="O4078">
        <v>50.676029917425602</v>
      </c>
      <c r="P4078">
        <v>-0.104921912988046</v>
      </c>
      <c r="Q4078">
        <v>1.41517684041366E-2</v>
      </c>
      <c r="R4078">
        <v>0.98955447065582602</v>
      </c>
      <c r="S4078" t="s">
        <v>10480</v>
      </c>
      <c r="T4078" t="s">
        <v>12802</v>
      </c>
      <c r="U4078" t="s">
        <v>12802</v>
      </c>
      <c r="V4078" t="s">
        <v>12802</v>
      </c>
      <c r="W4078" t="s">
        <v>16822</v>
      </c>
      <c r="X4078">
        <v>21</v>
      </c>
      <c r="Y4078" t="s">
        <v>23051</v>
      </c>
      <c r="Z4078" t="s">
        <v>29396</v>
      </c>
      <c r="AA4078">
        <v>0.48914175766978968</v>
      </c>
      <c r="AB4078" t="str">
        <f>HYPERLINK("Melting_Curves/meltCurve_Q6ZNB6_NFXL1.pdf", "Melting_Curves/meltCurve_Q6ZNB6_NFXL1.pdf")</f>
        <v>Melting_Curves/meltCurve_Q6ZNB6_NFXL1.pdf</v>
      </c>
    </row>
    <row r="4079" spans="1:28" x14ac:dyDescent="0.25">
      <c r="A4079" t="s">
        <v>4083</v>
      </c>
      <c r="B4079">
        <v>0.99542014353169495</v>
      </c>
      <c r="C4079">
        <v>0.95053458671705804</v>
      </c>
      <c r="D4079">
        <v>0.87519269281062095</v>
      </c>
      <c r="E4079">
        <v>0.55779951862111898</v>
      </c>
      <c r="F4079">
        <v>0.34816215081263702</v>
      </c>
      <c r="G4079">
        <v>0.26169387596704802</v>
      </c>
      <c r="H4079">
        <v>0.17311441344392001</v>
      </c>
      <c r="I4079">
        <v>0.141276374670951</v>
      </c>
      <c r="J4079">
        <v>0.16145589447122999</v>
      </c>
      <c r="K4079">
        <v>0.102764222104823</v>
      </c>
      <c r="L4079">
        <v>775.97108537152303</v>
      </c>
      <c r="M4079">
        <v>16.544514276619001</v>
      </c>
      <c r="N4079">
        <v>47.784065621667899</v>
      </c>
      <c r="O4079">
        <v>46.232855259701502</v>
      </c>
      <c r="P4079">
        <v>-7.7696457968468496E-2</v>
      </c>
      <c r="Q4079">
        <v>0.13158352889816399</v>
      </c>
      <c r="R4079">
        <v>0.99550945819833703</v>
      </c>
      <c r="S4079" t="s">
        <v>10481</v>
      </c>
      <c r="T4079" t="s">
        <v>12802</v>
      </c>
      <c r="U4079" t="s">
        <v>12802</v>
      </c>
      <c r="V4079" t="s">
        <v>12802</v>
      </c>
      <c r="W4079" t="s">
        <v>16823</v>
      </c>
      <c r="X4079">
        <v>7</v>
      </c>
      <c r="Y4079" t="s">
        <v>23052</v>
      </c>
      <c r="Z4079" t="s">
        <v>29397</v>
      </c>
      <c r="AA4079">
        <v>0.43458408130957188</v>
      </c>
      <c r="AB4079" t="str">
        <f>HYPERLINK("Melting_Curves/meltCurve_Q6ZNJ1_2_NBEAL2.pdf", "Melting_Curves/meltCurve_Q6ZNJ1_2_NBEAL2.pdf")</f>
        <v>Melting_Curves/meltCurve_Q6ZNJ1_2_NBEAL2.pdf</v>
      </c>
    </row>
    <row r="4080" spans="1:28" x14ac:dyDescent="0.25">
      <c r="A4080" t="s">
        <v>4084</v>
      </c>
      <c r="B4080">
        <v>0.99542014353169495</v>
      </c>
      <c r="C4080">
        <v>1.06876015607963</v>
      </c>
      <c r="D4080">
        <v>0.91894744040201204</v>
      </c>
      <c r="E4080">
        <v>0.79539950088665001</v>
      </c>
      <c r="F4080">
        <v>0.50242188424526002</v>
      </c>
      <c r="G4080">
        <v>0.18658210435622399</v>
      </c>
      <c r="H4080">
        <v>0.167087088799696</v>
      </c>
      <c r="I4080">
        <v>0.15161971133464899</v>
      </c>
      <c r="J4080">
        <v>0.21441291994193401</v>
      </c>
      <c r="K4080">
        <v>0.29263554581940299</v>
      </c>
      <c r="L4080">
        <v>1262.71393110997</v>
      </c>
      <c r="M4080">
        <v>25.893156460202398</v>
      </c>
      <c r="N4080">
        <v>49.693887587567602</v>
      </c>
      <c r="O4080">
        <v>48.478236456743097</v>
      </c>
      <c r="P4080">
        <v>-0.107942056519487</v>
      </c>
      <c r="Q4080">
        <v>0.19163518243028699</v>
      </c>
      <c r="R4080">
        <v>0.976315384493185</v>
      </c>
      <c r="S4080" t="s">
        <v>10482</v>
      </c>
      <c r="T4080" t="s">
        <v>12802</v>
      </c>
      <c r="U4080" t="s">
        <v>12802</v>
      </c>
      <c r="V4080" t="s">
        <v>12802</v>
      </c>
      <c r="W4080" t="s">
        <v>16824</v>
      </c>
      <c r="X4080">
        <v>4</v>
      </c>
      <c r="Y4080" t="s">
        <v>23053</v>
      </c>
      <c r="Z4080" t="s">
        <v>29398</v>
      </c>
      <c r="AA4080">
        <v>0.51518532126005934</v>
      </c>
      <c r="AB4080" t="str">
        <f>HYPERLINK("Melting_Curves/meltCurve_Q6ZNW5_GDPGP1.pdf", "Melting_Curves/meltCurve_Q6ZNW5_GDPGP1.pdf")</f>
        <v>Melting_Curves/meltCurve_Q6ZNW5_GDPGP1.pdf</v>
      </c>
    </row>
    <row r="4081" spans="1:28" x14ac:dyDescent="0.25">
      <c r="A4081" t="s">
        <v>4085</v>
      </c>
      <c r="B4081">
        <v>0.99542014353169495</v>
      </c>
      <c r="C4081">
        <v>0.95976568759353897</v>
      </c>
      <c r="D4081">
        <v>1.0177220105653999</v>
      </c>
      <c r="E4081">
        <v>0.69582119464789904</v>
      </c>
      <c r="F4081">
        <v>0.65122315912166795</v>
      </c>
      <c r="G4081">
        <v>0.14990891318813099</v>
      </c>
      <c r="H4081">
        <v>4.4780456813388103E-2</v>
      </c>
      <c r="I4081">
        <v>3.3880162886282102E-2</v>
      </c>
      <c r="J4081">
        <v>3.4031824479294599E-2</v>
      </c>
      <c r="K4081">
        <v>5.8219795185145903E-2</v>
      </c>
      <c r="L4081">
        <v>975.356180226579</v>
      </c>
      <c r="M4081">
        <v>19.3721463210798</v>
      </c>
      <c r="N4081">
        <v>50.371764099771603</v>
      </c>
      <c r="O4081">
        <v>49.821056742515502</v>
      </c>
      <c r="P4081">
        <v>-9.6777037332957297E-2</v>
      </c>
      <c r="Q4081">
        <v>4.47626314322239E-3</v>
      </c>
      <c r="R4081">
        <v>0.97140699222860605</v>
      </c>
      <c r="S4081" t="s">
        <v>10483</v>
      </c>
      <c r="T4081" t="s">
        <v>12802</v>
      </c>
      <c r="U4081" t="s">
        <v>12802</v>
      </c>
      <c r="V4081" t="s">
        <v>12802</v>
      </c>
      <c r="W4081" t="s">
        <v>16825</v>
      </c>
      <c r="X4081">
        <v>2</v>
      </c>
      <c r="Y4081" t="s">
        <v>23054</v>
      </c>
      <c r="Z4081" t="s">
        <v>29399</v>
      </c>
      <c r="AA4081">
        <v>0.46125631376564619</v>
      </c>
      <c r="AB4081" t="str">
        <f>HYPERLINK("Melting_Curves/meltCurve_Q6ZPD9_DPY19L3.pdf", "Melting_Curves/meltCurve_Q6ZPD9_DPY19L3.pdf")</f>
        <v>Melting_Curves/meltCurve_Q6ZPD9_DPY19L3.pdf</v>
      </c>
    </row>
    <row r="4082" spans="1:28" x14ac:dyDescent="0.25">
      <c r="A4082" t="s">
        <v>4086</v>
      </c>
      <c r="B4082">
        <v>0.99542014353169495</v>
      </c>
      <c r="C4082">
        <v>1.0546980781101101</v>
      </c>
      <c r="D4082">
        <v>0.98260040311042296</v>
      </c>
      <c r="E4082">
        <v>0.819688186811522</v>
      </c>
      <c r="F4082">
        <v>0.75169024360785697</v>
      </c>
      <c r="G4082">
        <v>0.41189815060631302</v>
      </c>
      <c r="H4082">
        <v>0.211257200084015</v>
      </c>
      <c r="I4082">
        <v>0.144860369597238</v>
      </c>
      <c r="J4082">
        <v>0.13285736122738301</v>
      </c>
      <c r="K4082">
        <v>0.15735221477963501</v>
      </c>
      <c r="L4082">
        <v>964.07810615405299</v>
      </c>
      <c r="M4082">
        <v>18.557847360463001</v>
      </c>
      <c r="N4082">
        <v>52.646738835456901</v>
      </c>
      <c r="O4082">
        <v>51.357948196908197</v>
      </c>
      <c r="P4082">
        <v>-8.0502226006632802E-2</v>
      </c>
      <c r="Q4082">
        <v>0.108895062353808</v>
      </c>
      <c r="R4082">
        <v>0.98807276751489703</v>
      </c>
      <c r="S4082" t="s">
        <v>10484</v>
      </c>
      <c r="T4082" t="s">
        <v>12802</v>
      </c>
      <c r="U4082" t="s">
        <v>12802</v>
      </c>
      <c r="V4082" t="s">
        <v>12802</v>
      </c>
      <c r="W4082" t="s">
        <v>16826</v>
      </c>
      <c r="X4082">
        <v>6</v>
      </c>
      <c r="Y4082" t="s">
        <v>23055</v>
      </c>
      <c r="Z4082" t="s">
        <v>29400</v>
      </c>
      <c r="AA4082">
        <v>0.56586850303885516</v>
      </c>
      <c r="AB4082" t="str">
        <f>HYPERLINK("Melting_Curves/meltCurve_Q6ZRP7_QSOX2.pdf", "Melting_Curves/meltCurve_Q6ZRP7_QSOX2.pdf")</f>
        <v>Melting_Curves/meltCurve_Q6ZRP7_QSOX2.pdf</v>
      </c>
    </row>
    <row r="4083" spans="1:28" x14ac:dyDescent="0.25">
      <c r="A4083" t="s">
        <v>4087</v>
      </c>
      <c r="B4083">
        <v>0.99542014353169495</v>
      </c>
      <c r="C4083">
        <v>0.73934271834335097</v>
      </c>
      <c r="D4083">
        <v>0.737033190979973</v>
      </c>
      <c r="E4083">
        <v>0.41043739147546399</v>
      </c>
      <c r="F4083">
        <v>0.181171982713422</v>
      </c>
      <c r="G4083">
        <v>0.119553824031324</v>
      </c>
      <c r="H4083">
        <v>7.7730209700910394E-2</v>
      </c>
      <c r="I4083">
        <v>5.5407305487453901E-2</v>
      </c>
      <c r="J4083">
        <v>5.5577506237387303E-2</v>
      </c>
      <c r="K4083">
        <v>9.0616403752319497E-2</v>
      </c>
      <c r="L4083">
        <v>622.562739126049</v>
      </c>
      <c r="M4083">
        <v>13.873211083238701</v>
      </c>
      <c r="N4083">
        <v>45.155115937050198</v>
      </c>
      <c r="O4083">
        <v>43.973604889064397</v>
      </c>
      <c r="P4083">
        <v>-7.5632595813712206E-2</v>
      </c>
      <c r="Q4083">
        <v>4.1207721383152297E-2</v>
      </c>
      <c r="R4083">
        <v>0.97805767220655504</v>
      </c>
      <c r="S4083" t="s">
        <v>10485</v>
      </c>
      <c r="T4083" t="s">
        <v>12802</v>
      </c>
      <c r="U4083" t="s">
        <v>12802</v>
      </c>
      <c r="V4083" t="s">
        <v>12802</v>
      </c>
      <c r="W4083" t="s">
        <v>16827</v>
      </c>
      <c r="X4083">
        <v>6</v>
      </c>
      <c r="Y4083" t="s">
        <v>23056</v>
      </c>
      <c r="Z4083" t="s">
        <v>29401</v>
      </c>
      <c r="AA4083">
        <v>0.31962995294068353</v>
      </c>
      <c r="AB4083" t="str">
        <f>HYPERLINK("Melting_Curves/meltCurve_Q6ZRS2_3_SRCAP.pdf", "Melting_Curves/meltCurve_Q6ZRS2_3_SRCAP.pdf")</f>
        <v>Melting_Curves/meltCurve_Q6ZRS2_3_SRCAP.pdf</v>
      </c>
    </row>
    <row r="4084" spans="1:28" x14ac:dyDescent="0.25">
      <c r="A4084" t="s">
        <v>4088</v>
      </c>
      <c r="B4084">
        <v>0.99542014353169495</v>
      </c>
      <c r="C4084">
        <v>1.0247753844159999</v>
      </c>
      <c r="D4084">
        <v>0.93562224630538904</v>
      </c>
      <c r="E4084">
        <v>0.71178822349759596</v>
      </c>
      <c r="F4084">
        <v>0.21459893389670001</v>
      </c>
      <c r="G4084">
        <v>0.112202235171035</v>
      </c>
      <c r="H4084">
        <v>0.13014251992124701</v>
      </c>
      <c r="I4084">
        <v>0.107123952344972</v>
      </c>
      <c r="J4084">
        <v>0.15694798194477499</v>
      </c>
      <c r="K4084">
        <v>0.116401327672634</v>
      </c>
      <c r="L4084">
        <v>1777.15645034514</v>
      </c>
      <c r="M4084">
        <v>37.459805679747298</v>
      </c>
      <c r="N4084">
        <v>47.796701231356003</v>
      </c>
      <c r="O4084">
        <v>47.307111890979797</v>
      </c>
      <c r="P4084">
        <v>-0.17392097334548901</v>
      </c>
      <c r="Q4084">
        <v>0.12143980731055901</v>
      </c>
      <c r="R4084">
        <v>0.99679937789225204</v>
      </c>
      <c r="S4084" t="s">
        <v>10486</v>
      </c>
      <c r="T4084" t="s">
        <v>12802</v>
      </c>
      <c r="U4084" t="s">
        <v>12802</v>
      </c>
      <c r="V4084" t="s">
        <v>12802</v>
      </c>
      <c r="W4084" t="s">
        <v>16828</v>
      </c>
      <c r="X4084">
        <v>5</v>
      </c>
      <c r="Y4084" t="s">
        <v>23057</v>
      </c>
      <c r="Z4084" t="s">
        <v>29402</v>
      </c>
      <c r="AA4084">
        <v>0.43051746063025831</v>
      </c>
      <c r="AB4084" t="str">
        <f>HYPERLINK("Melting_Curves/meltCurve_Q6ZS17_2_FAM65A.pdf", "Melting_Curves/meltCurve_Q6ZS17_2_FAM65A.pdf")</f>
        <v>Melting_Curves/meltCurve_Q6ZS17_2_FAM65A.pdf</v>
      </c>
    </row>
    <row r="4085" spans="1:28" x14ac:dyDescent="0.25">
      <c r="A4085" t="s">
        <v>4089</v>
      </c>
      <c r="B4085">
        <v>0.99542014353169495</v>
      </c>
      <c r="C4085">
        <v>1.01972486063923</v>
      </c>
      <c r="D4085">
        <v>0.94734425531691902</v>
      </c>
      <c r="E4085">
        <v>0.89564549076519995</v>
      </c>
      <c r="F4085">
        <v>0.74305778675803302</v>
      </c>
      <c r="G4085">
        <v>0.54820713716153002</v>
      </c>
      <c r="H4085">
        <v>0.31437681301992099</v>
      </c>
      <c r="I4085">
        <v>0.25168951740885198</v>
      </c>
      <c r="J4085">
        <v>0.35046237260469598</v>
      </c>
      <c r="K4085">
        <v>0.42562112174502498</v>
      </c>
      <c r="L4085">
        <v>1111.6709622087501</v>
      </c>
      <c r="M4085">
        <v>21.700644102079</v>
      </c>
      <c r="N4085">
        <v>53.8011736835644</v>
      </c>
      <c r="O4085">
        <v>50.798463374854002</v>
      </c>
      <c r="P4085">
        <v>-7.2311239627819199E-2</v>
      </c>
      <c r="Q4085">
        <v>0.32292976237509802</v>
      </c>
      <c r="R4085">
        <v>0.96536661338648599</v>
      </c>
      <c r="S4085" t="s">
        <v>10487</v>
      </c>
      <c r="T4085" t="s">
        <v>12802</v>
      </c>
      <c r="U4085" t="s">
        <v>12802</v>
      </c>
      <c r="V4085" t="s">
        <v>12802</v>
      </c>
      <c r="W4085" t="s">
        <v>16829</v>
      </c>
      <c r="X4085">
        <v>4</v>
      </c>
      <c r="Y4085" t="s">
        <v>23058</v>
      </c>
      <c r="Z4085" t="s">
        <v>29403</v>
      </c>
      <c r="AA4085">
        <v>0.65173798823605589</v>
      </c>
      <c r="AB4085" t="str">
        <f>HYPERLINK("Melting_Curves/meltCurve_Q6ZSJ8_C1orf122.pdf", "Melting_Curves/meltCurve_Q6ZSJ8_C1orf122.pdf")</f>
        <v>Melting_Curves/meltCurve_Q6ZSJ8_C1orf122.pdf</v>
      </c>
    </row>
    <row r="4086" spans="1:28" x14ac:dyDescent="0.25">
      <c r="A4086" t="s">
        <v>4090</v>
      </c>
      <c r="B4086">
        <v>0.99542014353169495</v>
      </c>
      <c r="C4086">
        <v>0.90114129687192801</v>
      </c>
      <c r="D4086">
        <v>0.81355083583486498</v>
      </c>
      <c r="E4086">
        <v>0.37750084355221802</v>
      </c>
      <c r="F4086">
        <v>0.12557882442059601</v>
      </c>
      <c r="G4086">
        <v>6.2521083026941801E-2</v>
      </c>
      <c r="H4086">
        <v>2.9176798619993002E-2</v>
      </c>
      <c r="I4086">
        <v>1.7881307478210502E-2</v>
      </c>
      <c r="J4086">
        <v>1.8243965439239802E-2</v>
      </c>
      <c r="K4086">
        <v>1.36052545639754E-2</v>
      </c>
      <c r="L4086">
        <v>989.33767350333801</v>
      </c>
      <c r="M4086">
        <v>21.732237332998501</v>
      </c>
      <c r="N4086">
        <v>45.5943467132726</v>
      </c>
      <c r="O4086">
        <v>45.143780014698201</v>
      </c>
      <c r="P4086">
        <v>-0.118367810028738</v>
      </c>
      <c r="Q4086">
        <v>1.6494587854569299E-2</v>
      </c>
      <c r="R4086">
        <v>0.99725247971627795</v>
      </c>
      <c r="S4086" t="s">
        <v>10488</v>
      </c>
      <c r="T4086" t="s">
        <v>12802</v>
      </c>
      <c r="U4086" t="s">
        <v>12802</v>
      </c>
      <c r="V4086" t="s">
        <v>12802</v>
      </c>
      <c r="W4086" t="s">
        <v>16830</v>
      </c>
      <c r="X4086">
        <v>12</v>
      </c>
      <c r="Y4086" t="s">
        <v>23059</v>
      </c>
      <c r="Z4086" t="s">
        <v>29404</v>
      </c>
      <c r="AA4086">
        <v>0.30678086725365161</v>
      </c>
      <c r="AB4086" t="str">
        <f>HYPERLINK("Melting_Curves/meltCurve_Q6ZT12_UBR3.pdf", "Melting_Curves/meltCurve_Q6ZT12_UBR3.pdf")</f>
        <v>Melting_Curves/meltCurve_Q6ZT12_UBR3.pdf</v>
      </c>
    </row>
    <row r="4087" spans="1:28" x14ac:dyDescent="0.25">
      <c r="A4087" t="s">
        <v>4091</v>
      </c>
      <c r="B4087">
        <v>0.99542014353169495</v>
      </c>
      <c r="C4087">
        <v>1.0952925720820099</v>
      </c>
      <c r="D4087">
        <v>0.94400346210622998</v>
      </c>
      <c r="E4087">
        <v>0.96154094819962599</v>
      </c>
      <c r="F4087">
        <v>0.70562023759244197</v>
      </c>
      <c r="G4087">
        <v>0.52815383487632495</v>
      </c>
      <c r="H4087">
        <v>0.35941779226543502</v>
      </c>
      <c r="I4087">
        <v>0.326641506711351</v>
      </c>
      <c r="J4087">
        <v>0.43124285546129798</v>
      </c>
      <c r="K4087">
        <v>0.45648956577298999</v>
      </c>
      <c r="L4087">
        <v>1395.3179239333899</v>
      </c>
      <c r="M4087">
        <v>27.631940268098798</v>
      </c>
      <c r="N4087">
        <v>53.497243431677802</v>
      </c>
      <c r="O4087">
        <v>50.2343113912424</v>
      </c>
      <c r="P4087">
        <v>-8.33537331501151E-2</v>
      </c>
      <c r="Q4087">
        <v>0.39386395139478603</v>
      </c>
      <c r="R4087">
        <v>0.96508657212247395</v>
      </c>
      <c r="S4087" t="s">
        <v>10489</v>
      </c>
      <c r="T4087" t="s">
        <v>12802</v>
      </c>
      <c r="U4087" t="s">
        <v>12802</v>
      </c>
      <c r="V4087" t="s">
        <v>12802</v>
      </c>
      <c r="W4087" t="s">
        <v>16831</v>
      </c>
      <c r="X4087">
        <v>15</v>
      </c>
      <c r="Y4087" t="s">
        <v>23060</v>
      </c>
      <c r="Z4087" t="s">
        <v>29405</v>
      </c>
      <c r="AA4087">
        <v>0.67095556582006088</v>
      </c>
      <c r="AB4087" t="str">
        <f>HYPERLINK("Melting_Curves/meltCurve_Q6ZT62_SH3BP1.pdf", "Melting_Curves/meltCurve_Q6ZT62_SH3BP1.pdf")</f>
        <v>Melting_Curves/meltCurve_Q6ZT62_SH3BP1.pdf</v>
      </c>
    </row>
    <row r="4088" spans="1:28" x14ac:dyDescent="0.25">
      <c r="A4088" t="s">
        <v>4092</v>
      </c>
      <c r="B4088">
        <v>0.99542014353169495</v>
      </c>
      <c r="C4088">
        <v>0.81225425680053198</v>
      </c>
      <c r="D4088">
        <v>0.72662285301970697</v>
      </c>
      <c r="E4088">
        <v>0.64317727120992796</v>
      </c>
      <c r="F4088">
        <v>0.48511872443633702</v>
      </c>
      <c r="G4088">
        <v>0.33001556196703102</v>
      </c>
      <c r="H4088">
        <v>0.203911887501454</v>
      </c>
      <c r="I4088">
        <v>0.13177610218689501</v>
      </c>
      <c r="J4088">
        <v>0.1683614815516</v>
      </c>
      <c r="K4088">
        <v>0.25627523672108299</v>
      </c>
      <c r="L4088">
        <v>449.09163090670103</v>
      </c>
      <c r="M4088">
        <v>9.4459432660447504</v>
      </c>
      <c r="N4088">
        <v>48.8006050705402</v>
      </c>
      <c r="O4088">
        <v>45.558657556493202</v>
      </c>
      <c r="P4088">
        <v>-4.6263567575174899E-2</v>
      </c>
      <c r="Q4088">
        <v>0.108005356820085</v>
      </c>
      <c r="R4088">
        <v>0.96538466338133999</v>
      </c>
      <c r="S4088" t="s">
        <v>10490</v>
      </c>
      <c r="T4088" t="s">
        <v>12802</v>
      </c>
      <c r="U4088" t="s">
        <v>12802</v>
      </c>
      <c r="V4088" t="s">
        <v>12802</v>
      </c>
      <c r="W4088" t="s">
        <v>16832</v>
      </c>
      <c r="X4088">
        <v>2</v>
      </c>
      <c r="Y4088" t="s">
        <v>23061</v>
      </c>
      <c r="Z4088" t="s">
        <v>29406</v>
      </c>
      <c r="AA4088">
        <v>0.46137932327294517</v>
      </c>
      <c r="AB4088" t="str">
        <f>HYPERLINK("Melting_Curves/meltCurve_Q6ZV70_2_LANCL3.pdf", "Melting_Curves/meltCurve_Q6ZV70_2_LANCL3.pdf")</f>
        <v>Melting_Curves/meltCurve_Q6ZV70_2_LANCL3.pdf</v>
      </c>
    </row>
    <row r="4089" spans="1:28" x14ac:dyDescent="0.25">
      <c r="A4089" t="s">
        <v>4093</v>
      </c>
      <c r="B4089">
        <v>0.99542014353169495</v>
      </c>
      <c r="C4089">
        <v>0.83172861976603996</v>
      </c>
      <c r="D4089">
        <v>0.69823277621539404</v>
      </c>
      <c r="E4089">
        <v>0.41527964226195502</v>
      </c>
      <c r="F4089">
        <v>0.21064635196216699</v>
      </c>
      <c r="G4089">
        <v>0.128720202949201</v>
      </c>
      <c r="H4089">
        <v>9.2270417050519096E-2</v>
      </c>
      <c r="I4089">
        <v>5.9274096654912199E-2</v>
      </c>
      <c r="J4089">
        <v>5.5273980391970498E-2</v>
      </c>
      <c r="K4089">
        <v>4.4334595618483998E-2</v>
      </c>
      <c r="L4089">
        <v>641.51600188088901</v>
      </c>
      <c r="M4089">
        <v>14.2194789368461</v>
      </c>
      <c r="N4089">
        <v>45.374524138919298</v>
      </c>
      <c r="O4089">
        <v>44.251119545174902</v>
      </c>
      <c r="P4089">
        <v>-7.7209362997746403E-2</v>
      </c>
      <c r="Q4089">
        <v>3.9015035739644703E-2</v>
      </c>
      <c r="R4089">
        <v>0.99712174820813404</v>
      </c>
      <c r="S4089" t="s">
        <v>10491</v>
      </c>
      <c r="T4089" t="s">
        <v>12802</v>
      </c>
      <c r="U4089" t="s">
        <v>12802</v>
      </c>
      <c r="V4089" t="s">
        <v>12802</v>
      </c>
      <c r="W4089" t="s">
        <v>16833</v>
      </c>
      <c r="X4089">
        <v>7</v>
      </c>
      <c r="Y4089" t="s">
        <v>23062</v>
      </c>
      <c r="Z4089" t="s">
        <v>29407</v>
      </c>
      <c r="AA4089">
        <v>0.32425409077629669</v>
      </c>
      <c r="AB4089" t="str">
        <f>HYPERLINK("Melting_Curves/meltCurve_Q6ZW49_4_PAXIP1.pdf", "Melting_Curves/meltCurve_Q6ZW49_4_PAXIP1.pdf")</f>
        <v>Melting_Curves/meltCurve_Q6ZW49_4_PAXIP1.pdf</v>
      </c>
    </row>
    <row r="4090" spans="1:28" x14ac:dyDescent="0.25">
      <c r="A4090" t="s">
        <v>4094</v>
      </c>
      <c r="B4090">
        <v>0.99542014353169495</v>
      </c>
      <c r="C4090">
        <v>0.97653544104230705</v>
      </c>
      <c r="D4090">
        <v>1.1094153682651799</v>
      </c>
      <c r="E4090">
        <v>0.71020724460595497</v>
      </c>
      <c r="F4090">
        <v>0.511707030900731</v>
      </c>
      <c r="G4090">
        <v>0.30025671965012801</v>
      </c>
      <c r="H4090">
        <v>0.21925690130473499</v>
      </c>
      <c r="I4090">
        <v>7.8911907952534097E-2</v>
      </c>
      <c r="J4090">
        <v>0.113425869934544</v>
      </c>
      <c r="K4090">
        <v>6.20340732151657E-2</v>
      </c>
      <c r="L4090">
        <v>852.97255247549299</v>
      </c>
      <c r="M4090">
        <v>17.091728528091799</v>
      </c>
      <c r="N4090">
        <v>50.403479777804399</v>
      </c>
      <c r="O4090">
        <v>49.237431171372002</v>
      </c>
      <c r="P4090">
        <v>-8.0046029391920806E-2</v>
      </c>
      <c r="Q4090">
        <v>7.7677273973307398E-2</v>
      </c>
      <c r="R4090">
        <v>0.97447689026272699</v>
      </c>
      <c r="S4090" t="s">
        <v>10492</v>
      </c>
      <c r="T4090" t="s">
        <v>12802</v>
      </c>
      <c r="U4090" t="s">
        <v>12802</v>
      </c>
      <c r="V4090" t="s">
        <v>12802</v>
      </c>
      <c r="W4090" t="s">
        <v>16834</v>
      </c>
      <c r="X4090">
        <v>2</v>
      </c>
      <c r="Y4090" t="s">
        <v>23063</v>
      </c>
      <c r="Z4090" t="s">
        <v>29408</v>
      </c>
      <c r="AA4090">
        <v>0.49027743703057819</v>
      </c>
      <c r="AB4090" t="str">
        <f>HYPERLINK("Melting_Curves/meltCurve_Q6ZWT7_MBOAT2.pdf", "Melting_Curves/meltCurve_Q6ZWT7_MBOAT2.pdf")</f>
        <v>Melting_Curves/meltCurve_Q6ZWT7_MBOAT2.pdf</v>
      </c>
    </row>
    <row r="4091" spans="1:28" x14ac:dyDescent="0.25">
      <c r="A4091" t="s">
        <v>4095</v>
      </c>
      <c r="B4091">
        <v>0.99542014353169495</v>
      </c>
      <c r="C4091">
        <v>0.83633517717178696</v>
      </c>
      <c r="D4091">
        <v>0.95942613423515699</v>
      </c>
      <c r="E4091">
        <v>0.62335521893319101</v>
      </c>
      <c r="F4091">
        <v>0.30411520889704402</v>
      </c>
      <c r="G4091">
        <v>0.12015543440239899</v>
      </c>
      <c r="H4091">
        <v>7.2221360175684896E-2</v>
      </c>
      <c r="I4091">
        <v>3.3804355579218702E-2</v>
      </c>
      <c r="J4091">
        <v>5.8582738938619698E-2</v>
      </c>
      <c r="K4091">
        <v>4.54859117230281E-2</v>
      </c>
      <c r="L4091">
        <v>953.37791673092295</v>
      </c>
      <c r="M4091">
        <v>19.974458494112898</v>
      </c>
      <c r="N4091">
        <v>47.9179190150819</v>
      </c>
      <c r="O4091">
        <v>47.259199708168801</v>
      </c>
      <c r="P4091">
        <v>-0.10168413763076301</v>
      </c>
      <c r="Q4091">
        <v>3.7700813663852299E-2</v>
      </c>
      <c r="R4091">
        <v>0.98321523530475496</v>
      </c>
      <c r="S4091" t="s">
        <v>10493</v>
      </c>
      <c r="T4091" t="s">
        <v>12802</v>
      </c>
      <c r="U4091" t="s">
        <v>12802</v>
      </c>
      <c r="V4091" t="s">
        <v>12802</v>
      </c>
      <c r="W4091" t="s">
        <v>16835</v>
      </c>
      <c r="X4091">
        <v>3</v>
      </c>
      <c r="Y4091" t="s">
        <v>23064</v>
      </c>
      <c r="Z4091" t="s">
        <v>29409</v>
      </c>
      <c r="AA4091">
        <v>0.39453987795226431</v>
      </c>
      <c r="AB4091" t="str">
        <f>HYPERLINK("Melting_Curves/meltCurve_Q6ZXV5_2_TMTC3.pdf", "Melting_Curves/meltCurve_Q6ZXV5_2_TMTC3.pdf")</f>
        <v>Melting_Curves/meltCurve_Q6ZXV5_2_TMTC3.pdf</v>
      </c>
    </row>
    <row r="4092" spans="1:28" x14ac:dyDescent="0.25">
      <c r="A4092" t="s">
        <v>4096</v>
      </c>
      <c r="B4092">
        <v>0.99542014353169495</v>
      </c>
      <c r="C4092">
        <v>0.864891152415738</v>
      </c>
      <c r="D4092">
        <v>0.85977609730334803</v>
      </c>
      <c r="E4092">
        <v>0.57646195259807198</v>
      </c>
      <c r="F4092">
        <v>0.326600922587861</v>
      </c>
      <c r="G4092">
        <v>0.27687380683790402</v>
      </c>
      <c r="H4092">
        <v>0.30209087555157399</v>
      </c>
      <c r="I4092">
        <v>0.28746257613753001</v>
      </c>
      <c r="J4092">
        <v>0.379339596165226</v>
      </c>
      <c r="K4092">
        <v>0.38413609666640097</v>
      </c>
      <c r="L4092">
        <v>1059.89471468086</v>
      </c>
      <c r="M4092">
        <v>23.431889483031799</v>
      </c>
      <c r="N4092">
        <v>47.252452884380702</v>
      </c>
      <c r="O4092">
        <v>44.907406160615899</v>
      </c>
      <c r="P4092">
        <v>-8.9184403781869495E-2</v>
      </c>
      <c r="Q4092">
        <v>0.31632123439540999</v>
      </c>
      <c r="R4092">
        <v>0.95999907843053101</v>
      </c>
      <c r="S4092" t="s">
        <v>10494</v>
      </c>
      <c r="T4092" t="s">
        <v>12802</v>
      </c>
      <c r="U4092" t="s">
        <v>12802</v>
      </c>
      <c r="V4092" t="s">
        <v>12802</v>
      </c>
      <c r="W4092" t="s">
        <v>16836</v>
      </c>
      <c r="X4092">
        <v>1</v>
      </c>
      <c r="Y4092" t="s">
        <v>23065</v>
      </c>
      <c r="Z4092" t="s">
        <v>29410</v>
      </c>
      <c r="AA4092">
        <v>0.5103817977641355</v>
      </c>
      <c r="AB4092" t="str">
        <f>HYPERLINK("Melting_Curves/meltCurve_Q6ZYL4_GTF2H5.pdf", "Melting_Curves/meltCurve_Q6ZYL4_GTF2H5.pdf")</f>
        <v>Melting_Curves/meltCurve_Q6ZYL4_GTF2H5.pdf</v>
      </c>
    </row>
    <row r="4093" spans="1:28" x14ac:dyDescent="0.25">
      <c r="A4093" t="s">
        <v>4097</v>
      </c>
      <c r="B4093">
        <v>0.99542014353169495</v>
      </c>
      <c r="C4093">
        <v>0.91416689293516695</v>
      </c>
      <c r="D4093">
        <v>0.98875477033734605</v>
      </c>
      <c r="E4093">
        <v>0.69445608104982504</v>
      </c>
      <c r="F4093">
        <v>0.53563753737733</v>
      </c>
      <c r="G4093">
        <v>0.17883235990163299</v>
      </c>
      <c r="H4093">
        <v>0.11593891760486801</v>
      </c>
      <c r="I4093">
        <v>8.0607375429963699E-2</v>
      </c>
      <c r="J4093">
        <v>8.0994845882611896E-2</v>
      </c>
      <c r="K4093">
        <v>0.10053091263978001</v>
      </c>
      <c r="L4093">
        <v>883.10453304224802</v>
      </c>
      <c r="M4093">
        <v>17.901424908411698</v>
      </c>
      <c r="N4093">
        <v>49.6899457362017</v>
      </c>
      <c r="O4093">
        <v>48.7282577479113</v>
      </c>
      <c r="P4093">
        <v>-8.6284643982499604E-2</v>
      </c>
      <c r="Q4093">
        <v>6.0568657512220403E-2</v>
      </c>
      <c r="R4093">
        <v>0.98471865780657697</v>
      </c>
      <c r="S4093" t="s">
        <v>10495</v>
      </c>
      <c r="T4093" t="s">
        <v>12802</v>
      </c>
      <c r="U4093" t="s">
        <v>12802</v>
      </c>
      <c r="V4093" t="s">
        <v>12802</v>
      </c>
      <c r="W4093" t="s">
        <v>16837</v>
      </c>
      <c r="X4093">
        <v>16</v>
      </c>
      <c r="Y4093" t="s">
        <v>23066</v>
      </c>
      <c r="Z4093" t="s">
        <v>29411</v>
      </c>
      <c r="AA4093">
        <v>0.46176245605266891</v>
      </c>
      <c r="AB4093" t="str">
        <f>HYPERLINK("Melting_Curves/meltCurve_Q709C8_3_VPS13C.pdf", "Melting_Curves/meltCurve_Q709C8_3_VPS13C.pdf")</f>
        <v>Melting_Curves/meltCurve_Q709C8_3_VPS13C.pdf</v>
      </c>
    </row>
    <row r="4094" spans="1:28" x14ac:dyDescent="0.25">
      <c r="A4094" t="s">
        <v>4098</v>
      </c>
      <c r="B4094">
        <v>0.99542014353169495</v>
      </c>
      <c r="C4094">
        <v>0.87573324084552895</v>
      </c>
      <c r="D4094">
        <v>0.87959910252547202</v>
      </c>
      <c r="E4094">
        <v>0.478262447067553</v>
      </c>
      <c r="F4094">
        <v>0.24737655810355499</v>
      </c>
      <c r="G4094">
        <v>0.108641845404263</v>
      </c>
      <c r="H4094">
        <v>6.7591400796827406E-2</v>
      </c>
      <c r="I4094">
        <v>3.6705956167662798E-2</v>
      </c>
      <c r="J4094">
        <v>5.24781438460626E-2</v>
      </c>
      <c r="K4094">
        <v>4.6986901771903802E-2</v>
      </c>
      <c r="L4094">
        <v>859.53322464605003</v>
      </c>
      <c r="M4094">
        <v>18.499322581943598</v>
      </c>
      <c r="N4094">
        <v>46.669809876065301</v>
      </c>
      <c r="O4094">
        <v>45.930234842775903</v>
      </c>
      <c r="P4094">
        <v>-9.6733415333688205E-2</v>
      </c>
      <c r="Q4094">
        <v>3.9361214048941599E-2</v>
      </c>
      <c r="R4094">
        <v>0.99221774995908596</v>
      </c>
      <c r="S4094" t="s">
        <v>10496</v>
      </c>
      <c r="T4094" t="s">
        <v>12802</v>
      </c>
      <c r="U4094" t="s">
        <v>12802</v>
      </c>
      <c r="V4094" t="s">
        <v>12802</v>
      </c>
      <c r="W4094" t="s">
        <v>16838</v>
      </c>
      <c r="X4094">
        <v>6</v>
      </c>
      <c r="Y4094" t="s">
        <v>23067</v>
      </c>
      <c r="Z4094" t="s">
        <v>29412</v>
      </c>
      <c r="AA4094">
        <v>0.35703779930880603</v>
      </c>
      <c r="AB4094" t="str">
        <f>HYPERLINK("Melting_Curves/meltCurve_Q70CQ2_USP34.pdf", "Melting_Curves/meltCurve_Q70CQ2_USP34.pdf")</f>
        <v>Melting_Curves/meltCurve_Q70CQ2_USP34.pdf</v>
      </c>
    </row>
    <row r="4095" spans="1:28" x14ac:dyDescent="0.25">
      <c r="A4095" t="s">
        <v>4099</v>
      </c>
      <c r="B4095">
        <v>0.99542014353169495</v>
      </c>
      <c r="C4095">
        <v>0.94358948443614599</v>
      </c>
      <c r="D4095">
        <v>0.69451652529876795</v>
      </c>
      <c r="E4095">
        <v>0.44611365100709999</v>
      </c>
      <c r="F4095">
        <v>0.14896475017227701</v>
      </c>
      <c r="G4095">
        <v>0.10766788199217101</v>
      </c>
      <c r="H4095">
        <v>5.4425292520092802E-2</v>
      </c>
      <c r="I4095">
        <v>4.38337284188485E-2</v>
      </c>
      <c r="J4095">
        <v>4.6537136536012602E-2</v>
      </c>
      <c r="K4095">
        <v>4.9590231362626899E-2</v>
      </c>
      <c r="L4095">
        <v>798.36344455836604</v>
      </c>
      <c r="M4095">
        <v>17.613369028753102</v>
      </c>
      <c r="N4095">
        <v>45.530330927850301</v>
      </c>
      <c r="O4095">
        <v>44.7549540083252</v>
      </c>
      <c r="P4095">
        <v>-9.4673928825059595E-2</v>
      </c>
      <c r="Q4095">
        <v>3.7799169958421898E-2</v>
      </c>
      <c r="R4095">
        <v>0.99597269157861001</v>
      </c>
      <c r="S4095" t="s">
        <v>10497</v>
      </c>
      <c r="T4095" t="s">
        <v>12802</v>
      </c>
      <c r="U4095" t="s">
        <v>12802</v>
      </c>
      <c r="V4095" t="s">
        <v>12802</v>
      </c>
      <c r="W4095" t="s">
        <v>16839</v>
      </c>
      <c r="X4095">
        <v>5</v>
      </c>
      <c r="Y4095" t="s">
        <v>23068</v>
      </c>
      <c r="Z4095" t="s">
        <v>29413</v>
      </c>
      <c r="AA4095">
        <v>0.32127176343148611</v>
      </c>
      <c r="AB4095" t="str">
        <f>HYPERLINK("Melting_Curves/meltCurve_Q70IA6_MOB2.pdf", "Melting_Curves/meltCurve_Q70IA6_MOB2.pdf")</f>
        <v>Melting_Curves/meltCurve_Q70IA6_MOB2.pdf</v>
      </c>
    </row>
    <row r="4096" spans="1:28" x14ac:dyDescent="0.25">
      <c r="A4096" t="s">
        <v>4100</v>
      </c>
      <c r="B4096">
        <v>0.99542014353169495</v>
      </c>
      <c r="C4096">
        <v>0.97943069893702805</v>
      </c>
      <c r="D4096">
        <v>0.84583179253693297</v>
      </c>
      <c r="E4096">
        <v>0.398770345621486</v>
      </c>
      <c r="F4096">
        <v>0.191974421529157</v>
      </c>
      <c r="G4096">
        <v>0.114222481004441</v>
      </c>
      <c r="H4096">
        <v>8.5766205149081606E-2</v>
      </c>
      <c r="I4096">
        <v>6.6753534779832702E-2</v>
      </c>
      <c r="J4096">
        <v>5.0268109446932101E-2</v>
      </c>
      <c r="K4096">
        <v>4.8012964231302503E-2</v>
      </c>
      <c r="L4096">
        <v>1094.9148221410201</v>
      </c>
      <c r="M4096">
        <v>23.9771263863963</v>
      </c>
      <c r="N4096">
        <v>45.947172095043697</v>
      </c>
      <c r="O4096">
        <v>45.350872441765198</v>
      </c>
      <c r="P4096">
        <v>-0.123127978748268</v>
      </c>
      <c r="Q4096">
        <v>6.8466481696386999E-2</v>
      </c>
      <c r="R4096">
        <v>0.99782366001770095</v>
      </c>
      <c r="S4096" t="s">
        <v>10498</v>
      </c>
      <c r="T4096" t="s">
        <v>12802</v>
      </c>
      <c r="U4096" t="s">
        <v>12802</v>
      </c>
      <c r="V4096" t="s">
        <v>12802</v>
      </c>
      <c r="W4096" t="s">
        <v>16840</v>
      </c>
      <c r="X4096">
        <v>32</v>
      </c>
      <c r="Y4096" t="s">
        <v>20387</v>
      </c>
      <c r="Z4096" t="s">
        <v>29414</v>
      </c>
      <c r="AA4096">
        <v>0.34590615586087881</v>
      </c>
      <c r="AB4096" t="str">
        <f>HYPERLINK("Melting_Curves/meltCurve_Q70J99_UNC13D.pdf", "Melting_Curves/meltCurve_Q70J99_UNC13D.pdf")</f>
        <v>Melting_Curves/meltCurve_Q70J99_UNC13D.pdf</v>
      </c>
    </row>
    <row r="4097" spans="1:28" x14ac:dyDescent="0.25">
      <c r="A4097" t="s">
        <v>4101</v>
      </c>
      <c r="B4097">
        <v>0.99542014353169495</v>
      </c>
      <c r="C4097">
        <v>1.0474566793975899</v>
      </c>
      <c r="D4097">
        <v>0.94873407060219395</v>
      </c>
      <c r="E4097">
        <v>0.870112574785605</v>
      </c>
      <c r="F4097">
        <v>0.81476393241682799</v>
      </c>
      <c r="G4097">
        <v>0.39012614336042201</v>
      </c>
      <c r="H4097">
        <v>0.181197569034662</v>
      </c>
      <c r="I4097">
        <v>0.112833555542252</v>
      </c>
      <c r="J4097">
        <v>9.2467109392183694E-2</v>
      </c>
      <c r="K4097">
        <v>6.6346996669687103E-2</v>
      </c>
      <c r="L4097">
        <v>1207.7698689589199</v>
      </c>
      <c r="M4097">
        <v>22.978557756356199</v>
      </c>
      <c r="N4097">
        <v>52.895847940929997</v>
      </c>
      <c r="O4097">
        <v>52.167534034103198</v>
      </c>
      <c r="P4097">
        <v>-0.10266130035856599</v>
      </c>
      <c r="Q4097">
        <v>6.7742344514805097E-2</v>
      </c>
      <c r="R4097">
        <v>0.99066053196222903</v>
      </c>
      <c r="S4097" t="s">
        <v>10499</v>
      </c>
      <c r="T4097" t="s">
        <v>12802</v>
      </c>
      <c r="U4097" t="s">
        <v>12802</v>
      </c>
      <c r="V4097" t="s">
        <v>12802</v>
      </c>
      <c r="W4097" t="s">
        <v>16841</v>
      </c>
      <c r="X4097">
        <v>6</v>
      </c>
      <c r="Y4097" t="s">
        <v>23069</v>
      </c>
      <c r="Z4097" t="s">
        <v>29415</v>
      </c>
      <c r="AA4097">
        <v>0.56083534420393222</v>
      </c>
      <c r="AB4097" t="str">
        <f>HYPERLINK("Melting_Curves/meltCurve_Q70UQ0_IKBIP.pdf", "Melting_Curves/meltCurve_Q70UQ0_IKBIP.pdf")</f>
        <v>Melting_Curves/meltCurve_Q70UQ0_IKBIP.pdf</v>
      </c>
    </row>
    <row r="4098" spans="1:28" x14ac:dyDescent="0.25">
      <c r="A4098" t="s">
        <v>4102</v>
      </c>
      <c r="B4098">
        <v>0.99542014353169495</v>
      </c>
      <c r="C4098">
        <v>0.92118216987499302</v>
      </c>
      <c r="D4098">
        <v>0.97775300158171197</v>
      </c>
      <c r="E4098">
        <v>0.84455893182542296</v>
      </c>
      <c r="F4098">
        <v>0.65171948033808902</v>
      </c>
      <c r="G4098">
        <v>0.279663858899176</v>
      </c>
      <c r="H4098">
        <v>0.15317188710756599</v>
      </c>
      <c r="I4098">
        <v>9.3101172130683099E-2</v>
      </c>
      <c r="J4098">
        <v>0.100492292158729</v>
      </c>
      <c r="K4098">
        <v>0.123065551417844</v>
      </c>
      <c r="L4098">
        <v>1086.4506348310199</v>
      </c>
      <c r="M4098">
        <v>21.3535461488867</v>
      </c>
      <c r="N4098">
        <v>51.338834515919402</v>
      </c>
      <c r="O4098">
        <v>50.439251978852703</v>
      </c>
      <c r="P4098">
        <v>-9.6631124612514899E-2</v>
      </c>
      <c r="Q4098">
        <v>8.7012710191315706E-2</v>
      </c>
      <c r="R4098">
        <v>0.99190461722938505</v>
      </c>
      <c r="S4098" t="s">
        <v>10500</v>
      </c>
      <c r="T4098" t="s">
        <v>12802</v>
      </c>
      <c r="U4098" t="s">
        <v>12802</v>
      </c>
      <c r="V4098" t="s">
        <v>12802</v>
      </c>
      <c r="W4098" t="s">
        <v>16842</v>
      </c>
      <c r="X4098">
        <v>13</v>
      </c>
      <c r="Y4098" t="s">
        <v>23069</v>
      </c>
      <c r="Z4098" t="s">
        <v>29416</v>
      </c>
      <c r="AA4098">
        <v>0.52009522542847786</v>
      </c>
      <c r="AB4098" t="str">
        <f>HYPERLINK("Melting_Curves/meltCurve_Q70UQ0_4_IKBIP.pdf", "Melting_Curves/meltCurve_Q70UQ0_4_IKBIP.pdf")</f>
        <v>Melting_Curves/meltCurve_Q70UQ0_4_IKBIP.pdf</v>
      </c>
    </row>
    <row r="4099" spans="1:28" x14ac:dyDescent="0.25">
      <c r="A4099" t="s">
        <v>4103</v>
      </c>
      <c r="B4099">
        <v>0.99542014353169495</v>
      </c>
      <c r="C4099">
        <v>1.0131548370042001</v>
      </c>
      <c r="D4099">
        <v>0.90843731468768196</v>
      </c>
      <c r="E4099">
        <v>0.77650446438917498</v>
      </c>
      <c r="F4099">
        <v>0.39267551223730002</v>
      </c>
      <c r="G4099">
        <v>0.17244622269622301</v>
      </c>
      <c r="H4099">
        <v>0.11806713712719499</v>
      </c>
      <c r="I4099">
        <v>6.7947132928560403E-2</v>
      </c>
      <c r="J4099">
        <v>7.23439926266113E-2</v>
      </c>
      <c r="K4099">
        <v>8.5572628238739207E-2</v>
      </c>
      <c r="L4099">
        <v>1063.99348347054</v>
      </c>
      <c r="M4099">
        <v>21.798425851292201</v>
      </c>
      <c r="N4099">
        <v>49.154314776877698</v>
      </c>
      <c r="O4099">
        <v>48.405355875735602</v>
      </c>
      <c r="P4099">
        <v>-0.104626185409134</v>
      </c>
      <c r="Q4099">
        <v>7.0694384809688704E-2</v>
      </c>
      <c r="R4099">
        <v>0.99772319421309896</v>
      </c>
      <c r="S4099" t="s">
        <v>10501</v>
      </c>
      <c r="T4099" t="s">
        <v>12802</v>
      </c>
      <c r="U4099" t="s">
        <v>12802</v>
      </c>
      <c r="V4099" t="s">
        <v>12802</v>
      </c>
      <c r="W4099" t="s">
        <v>16843</v>
      </c>
      <c r="X4099">
        <v>7</v>
      </c>
      <c r="Y4099" t="s">
        <v>23070</v>
      </c>
      <c r="Z4099" t="s">
        <v>29417</v>
      </c>
      <c r="AA4099">
        <v>0.44697277267315549</v>
      </c>
      <c r="AB4099" t="str">
        <f>HYPERLINK("Melting_Curves/meltCurve_Q70Z53_2_FRA10AC1.pdf", "Melting_Curves/meltCurve_Q70Z53_2_FRA10AC1.pdf")</f>
        <v>Melting_Curves/meltCurve_Q70Z53_2_FRA10AC1.pdf</v>
      </c>
    </row>
    <row r="4100" spans="1:28" x14ac:dyDescent="0.25">
      <c r="A4100" t="s">
        <v>4104</v>
      </c>
      <c r="B4100">
        <v>0.99542014353169495</v>
      </c>
      <c r="C4100">
        <v>0.971915707003708</v>
      </c>
      <c r="D4100">
        <v>0.90108396233752897</v>
      </c>
      <c r="E4100">
        <v>0.85360411623660704</v>
      </c>
      <c r="F4100">
        <v>0.643801677178232</v>
      </c>
      <c r="G4100">
        <v>0.27064349501525398</v>
      </c>
      <c r="H4100">
        <v>0.122208235284398</v>
      </c>
      <c r="I4100">
        <v>9.8700764855962103E-2</v>
      </c>
      <c r="J4100">
        <v>9.7450888553198195E-2</v>
      </c>
      <c r="K4100">
        <v>9.62930201785311E-2</v>
      </c>
      <c r="L4100">
        <v>1059.2574703156699</v>
      </c>
      <c r="M4100">
        <v>20.8317490278077</v>
      </c>
      <c r="N4100">
        <v>51.2289851367983</v>
      </c>
      <c r="O4100">
        <v>50.386611621288303</v>
      </c>
      <c r="P4100">
        <v>-9.5949283625675993E-2</v>
      </c>
      <c r="Q4100">
        <v>7.1719734675689401E-2</v>
      </c>
      <c r="R4100">
        <v>0.99205842509428399</v>
      </c>
      <c r="S4100" t="s">
        <v>10502</v>
      </c>
      <c r="T4100" t="s">
        <v>12802</v>
      </c>
      <c r="U4100" t="s">
        <v>12802</v>
      </c>
      <c r="V4100" t="s">
        <v>12802</v>
      </c>
      <c r="W4100" t="s">
        <v>16844</v>
      </c>
      <c r="X4100">
        <v>6</v>
      </c>
      <c r="Y4100" t="s">
        <v>23071</v>
      </c>
      <c r="Z4100" t="s">
        <v>29418</v>
      </c>
      <c r="AA4100">
        <v>0.51157626929989464</v>
      </c>
      <c r="AB4100" t="str">
        <f>HYPERLINK("Melting_Curves/meltCurve_Q712K3_UBE2R2.pdf", "Melting_Curves/meltCurve_Q712K3_UBE2R2.pdf")</f>
        <v>Melting_Curves/meltCurve_Q712K3_UBE2R2.pdf</v>
      </c>
    </row>
    <row r="4101" spans="1:28" x14ac:dyDescent="0.25">
      <c r="A4101" t="s">
        <v>4105</v>
      </c>
      <c r="B4101">
        <v>0.99542014353169495</v>
      </c>
      <c r="C4101">
        <v>0.88627751662397902</v>
      </c>
      <c r="D4101">
        <v>0.93961391392776705</v>
      </c>
      <c r="E4101">
        <v>0.47934644247942398</v>
      </c>
      <c r="F4101">
        <v>0.20133725741375499</v>
      </c>
      <c r="G4101">
        <v>9.6346984780738096E-2</v>
      </c>
      <c r="H4101">
        <v>5.4720755830511697E-2</v>
      </c>
      <c r="I4101">
        <v>3.3453446937770297E-2</v>
      </c>
      <c r="J4101">
        <v>4.2409700041335499E-2</v>
      </c>
      <c r="K4101">
        <v>4.5419716110195199E-2</v>
      </c>
      <c r="L4101">
        <v>1125.9904817054401</v>
      </c>
      <c r="M4101">
        <v>24.223434481474001</v>
      </c>
      <c r="N4101">
        <v>46.669630680262401</v>
      </c>
      <c r="O4101">
        <v>46.170198283926503</v>
      </c>
      <c r="P4101">
        <v>-0.12512692408638301</v>
      </c>
      <c r="Q4101">
        <v>4.6040007842585703E-2</v>
      </c>
      <c r="R4101">
        <v>0.99057877707873299</v>
      </c>
      <c r="S4101" t="s">
        <v>10503</v>
      </c>
      <c r="T4101" t="s">
        <v>12802</v>
      </c>
      <c r="U4101" t="s">
        <v>12802</v>
      </c>
      <c r="V4101" t="s">
        <v>12802</v>
      </c>
      <c r="W4101" t="s">
        <v>16845</v>
      </c>
      <c r="X4101">
        <v>5</v>
      </c>
      <c r="Y4101" t="s">
        <v>23072</v>
      </c>
      <c r="Z4101" t="s">
        <v>29419</v>
      </c>
      <c r="AA4101">
        <v>0.356083020576973</v>
      </c>
      <c r="AB4101" t="str">
        <f>HYPERLINK("Melting_Curves/meltCurve_Q71RC2_5_LARP4.pdf", "Melting_Curves/meltCurve_Q71RC2_5_LARP4.pdf")</f>
        <v>Melting_Curves/meltCurve_Q71RC2_5_LARP4.pdf</v>
      </c>
    </row>
    <row r="4102" spans="1:28" x14ac:dyDescent="0.25">
      <c r="A4102" t="s">
        <v>4106</v>
      </c>
      <c r="B4102">
        <v>0.99542014353169495</v>
      </c>
      <c r="C4102">
        <v>0.76351733508098896</v>
      </c>
      <c r="D4102">
        <v>0.77269731115865703</v>
      </c>
      <c r="E4102">
        <v>0.46544753706298297</v>
      </c>
      <c r="F4102">
        <v>0.31981637071182001</v>
      </c>
      <c r="G4102">
        <v>0.110063943393279</v>
      </c>
      <c r="H4102">
        <v>8.15324146427234E-2</v>
      </c>
      <c r="I4102">
        <v>2.5592574030121398E-2</v>
      </c>
      <c r="J4102">
        <v>0</v>
      </c>
      <c r="K4102">
        <v>0</v>
      </c>
      <c r="L4102">
        <v>570.67453815707802</v>
      </c>
      <c r="M4102">
        <v>12.344514997457599</v>
      </c>
      <c r="N4102">
        <v>46.228996281239098</v>
      </c>
      <c r="O4102">
        <v>45.066101123935503</v>
      </c>
      <c r="P4102">
        <v>-6.8494869709795E-2</v>
      </c>
      <c r="Q4102">
        <v>0</v>
      </c>
      <c r="R4102">
        <v>0.98162001466064197</v>
      </c>
      <c r="S4102" t="s">
        <v>10504</v>
      </c>
      <c r="T4102" t="s">
        <v>12802</v>
      </c>
      <c r="U4102" t="s">
        <v>12802</v>
      </c>
      <c r="V4102" t="s">
        <v>12802</v>
      </c>
      <c r="W4102" t="s">
        <v>16846</v>
      </c>
      <c r="X4102">
        <v>2</v>
      </c>
      <c r="Y4102" t="s">
        <v>23073</v>
      </c>
      <c r="Z4102" t="s">
        <v>29420</v>
      </c>
      <c r="AA4102">
        <v>0.34014525804237239</v>
      </c>
      <c r="AB4102" t="str">
        <f>HYPERLINK("Melting_Curves/meltCurve_Q71SY5_5_MED25.pdf", "Melting_Curves/meltCurve_Q71SY5_5_MED25.pdf")</f>
        <v>Melting_Curves/meltCurve_Q71SY5_5_MED25.pdf</v>
      </c>
    </row>
    <row r="4103" spans="1:28" x14ac:dyDescent="0.25">
      <c r="A4103" t="s">
        <v>4107</v>
      </c>
      <c r="B4103">
        <v>0.99542014353169495</v>
      </c>
      <c r="C4103">
        <v>0.95725963350880805</v>
      </c>
      <c r="D4103">
        <v>0.92649828650018795</v>
      </c>
      <c r="E4103">
        <v>0.87351248618004596</v>
      </c>
      <c r="F4103">
        <v>0.620233325439004</v>
      </c>
      <c r="G4103">
        <v>0.46578444496941901</v>
      </c>
      <c r="H4103">
        <v>0.17366071427996799</v>
      </c>
      <c r="I4103">
        <v>5.9014692554297102E-2</v>
      </c>
      <c r="J4103">
        <v>4.4950291049617702E-2</v>
      </c>
      <c r="K4103">
        <v>4.4195678548668099E-2</v>
      </c>
      <c r="L4103">
        <v>796.78302651295598</v>
      </c>
      <c r="M4103">
        <v>15.240900837488301</v>
      </c>
      <c r="N4103">
        <v>52.279260068434901</v>
      </c>
      <c r="O4103">
        <v>51.4040357691362</v>
      </c>
      <c r="P4103">
        <v>-7.4130143547633795E-2</v>
      </c>
      <c r="Q4103">
        <v>0</v>
      </c>
      <c r="R4103">
        <v>0.99211316399573901</v>
      </c>
      <c r="S4103" t="s">
        <v>10505</v>
      </c>
      <c r="T4103" t="s">
        <v>12802</v>
      </c>
      <c r="U4103" t="s">
        <v>12802</v>
      </c>
      <c r="V4103" t="s">
        <v>12802</v>
      </c>
      <c r="W4103" t="s">
        <v>16847</v>
      </c>
      <c r="X4103">
        <v>15</v>
      </c>
      <c r="Y4103" t="s">
        <v>19520</v>
      </c>
      <c r="Z4103" t="s">
        <v>29421</v>
      </c>
      <c r="AA4103">
        <v>0.52778566352141432</v>
      </c>
      <c r="AB4103" t="str">
        <f>HYPERLINK("Melting_Curves/meltCurve_Q71TU5_CSNK1A1.pdf", "Melting_Curves/meltCurve_Q71TU5_CSNK1A1.pdf")</f>
        <v>Melting_Curves/meltCurve_Q71TU5_CSNK1A1.pdf</v>
      </c>
    </row>
    <row r="4104" spans="1:28" x14ac:dyDescent="0.25">
      <c r="A4104" t="s">
        <v>4108</v>
      </c>
      <c r="B4104">
        <v>0.99542014353169495</v>
      </c>
      <c r="C4104">
        <v>0.95826860918788603</v>
      </c>
      <c r="D4104">
        <v>0.83538810563205701</v>
      </c>
      <c r="E4104">
        <v>0.412021338772118</v>
      </c>
      <c r="F4104">
        <v>0.20270144070980001</v>
      </c>
      <c r="G4104">
        <v>0.13744061234022401</v>
      </c>
      <c r="H4104">
        <v>8.0616088660208293E-2</v>
      </c>
      <c r="I4104">
        <v>6.4713904053650698E-2</v>
      </c>
      <c r="J4104">
        <v>9.5122897121514102E-2</v>
      </c>
      <c r="K4104">
        <v>8.8794361100506397E-2</v>
      </c>
      <c r="L4104">
        <v>1052.7769634717299</v>
      </c>
      <c r="M4104">
        <v>23.091302241789101</v>
      </c>
      <c r="N4104">
        <v>45.972097591709897</v>
      </c>
      <c r="O4104">
        <v>45.254108934232299</v>
      </c>
      <c r="P4104">
        <v>-0.11647945671778299</v>
      </c>
      <c r="Q4104">
        <v>8.6915332109033294E-2</v>
      </c>
      <c r="R4104">
        <v>0.99813384827805596</v>
      </c>
      <c r="S4104" t="s">
        <v>10506</v>
      </c>
      <c r="T4104" t="s">
        <v>12802</v>
      </c>
      <c r="U4104" t="s">
        <v>12802</v>
      </c>
      <c r="V4104" t="s">
        <v>12802</v>
      </c>
      <c r="W4104" t="s">
        <v>16848</v>
      </c>
      <c r="X4104">
        <v>5</v>
      </c>
      <c r="Y4104" t="s">
        <v>23074</v>
      </c>
      <c r="Z4104" t="s">
        <v>29422</v>
      </c>
      <c r="AA4104">
        <v>0.35729808419981651</v>
      </c>
      <c r="AB4104" t="str">
        <f>HYPERLINK("Melting_Curves/meltCurve_Q71UI9_H2AFV.pdf", "Melting_Curves/meltCurve_Q71UI9_H2AFV.pdf")</f>
        <v>Melting_Curves/meltCurve_Q71UI9_H2AFV.pdf</v>
      </c>
    </row>
    <row r="4105" spans="1:28" x14ac:dyDescent="0.25">
      <c r="A4105" t="s">
        <v>4109</v>
      </c>
      <c r="B4105">
        <v>0.99542014353169495</v>
      </c>
      <c r="C4105">
        <v>1.06829393858372</v>
      </c>
      <c r="D4105">
        <v>1.0019415141852701</v>
      </c>
      <c r="E4105">
        <v>0.70364152360102605</v>
      </c>
      <c r="F4105">
        <v>0.64935769268152699</v>
      </c>
      <c r="G4105">
        <v>0.38861913465131798</v>
      </c>
      <c r="H4105">
        <v>0.17067266666199599</v>
      </c>
      <c r="I4105">
        <v>7.9750452327251101E-2</v>
      </c>
      <c r="J4105">
        <v>8.5914511228231905E-2</v>
      </c>
      <c r="K4105">
        <v>0.15816068420625301</v>
      </c>
      <c r="L4105">
        <v>769.23850170310595</v>
      </c>
      <c r="M4105">
        <v>15.0765876194246</v>
      </c>
      <c r="N4105">
        <v>51.471036110578503</v>
      </c>
      <c r="O4105">
        <v>50.149664285225299</v>
      </c>
      <c r="P4105">
        <v>-7.0534164943422503E-2</v>
      </c>
      <c r="Q4105">
        <v>6.1614062576802998E-2</v>
      </c>
      <c r="R4105">
        <v>0.97414960612407397</v>
      </c>
      <c r="S4105" t="s">
        <v>10507</v>
      </c>
      <c r="T4105" t="s">
        <v>12802</v>
      </c>
      <c r="U4105" t="s">
        <v>12802</v>
      </c>
      <c r="V4105" t="s">
        <v>12802</v>
      </c>
      <c r="W4105" t="s">
        <v>16849</v>
      </c>
      <c r="X4105">
        <v>7</v>
      </c>
      <c r="Y4105" t="s">
        <v>23075</v>
      </c>
      <c r="Z4105" t="s">
        <v>29423</v>
      </c>
      <c r="AA4105">
        <v>0.51896513618594997</v>
      </c>
      <c r="AB4105" t="str">
        <f>HYPERLINK("Melting_Curves/meltCurve_Q765P7_MTSS1L.pdf", "Melting_Curves/meltCurve_Q765P7_MTSS1L.pdf")</f>
        <v>Melting_Curves/meltCurve_Q765P7_MTSS1L.pdf</v>
      </c>
    </row>
    <row r="4106" spans="1:28" x14ac:dyDescent="0.25">
      <c r="A4106" t="s">
        <v>4110</v>
      </c>
      <c r="B4106">
        <v>0.99542014353169495</v>
      </c>
      <c r="C4106">
        <v>1.1056658731018301</v>
      </c>
      <c r="D4106">
        <v>1.0214105589161899</v>
      </c>
      <c r="E4106">
        <v>0.74016585622339703</v>
      </c>
      <c r="F4106">
        <v>0.68847053249802703</v>
      </c>
      <c r="G4106">
        <v>0.39496276395361202</v>
      </c>
      <c r="H4106">
        <v>0.197369907674974</v>
      </c>
      <c r="I4106">
        <v>0.108464612523234</v>
      </c>
      <c r="J4106">
        <v>7.30140090601374E-2</v>
      </c>
      <c r="K4106">
        <v>0.14501448711562201</v>
      </c>
      <c r="L4106">
        <v>815.87815347778803</v>
      </c>
      <c r="M4106">
        <v>15.820593204444799</v>
      </c>
      <c r="N4106">
        <v>52.009717248504899</v>
      </c>
      <c r="O4106">
        <v>50.767781264212203</v>
      </c>
      <c r="P4106">
        <v>-7.3042542767290997E-2</v>
      </c>
      <c r="Q4106">
        <v>6.2512227018223093E-2</v>
      </c>
      <c r="R4106">
        <v>0.97450755212129503</v>
      </c>
      <c r="S4106" t="s">
        <v>10508</v>
      </c>
      <c r="T4106" t="s">
        <v>12802</v>
      </c>
      <c r="U4106" t="s">
        <v>12802</v>
      </c>
      <c r="V4106" t="s">
        <v>12802</v>
      </c>
      <c r="W4106" t="s">
        <v>16850</v>
      </c>
      <c r="X4106">
        <v>3</v>
      </c>
      <c r="Y4106" t="s">
        <v>23076</v>
      </c>
      <c r="Z4106" t="s">
        <v>29424</v>
      </c>
      <c r="AA4106">
        <v>0.53501467060481223</v>
      </c>
      <c r="AB4106" t="str">
        <f>HYPERLINK("Melting_Curves/meltCurve_Q7KYR7_5_BTN2A1.pdf", "Melting_Curves/meltCurve_Q7KYR7_5_BTN2A1.pdf")</f>
        <v>Melting_Curves/meltCurve_Q7KYR7_5_BTN2A1.pdf</v>
      </c>
    </row>
    <row r="4107" spans="1:28" x14ac:dyDescent="0.25">
      <c r="A4107" t="s">
        <v>4111</v>
      </c>
      <c r="B4107">
        <v>0.99542014353169495</v>
      </c>
      <c r="C4107">
        <v>0.96164591459779003</v>
      </c>
      <c r="D4107">
        <v>1.0048677074863099</v>
      </c>
      <c r="E4107">
        <v>0.72105044275076002</v>
      </c>
      <c r="F4107">
        <v>0.211596278019138</v>
      </c>
      <c r="G4107">
        <v>0.12965676161958301</v>
      </c>
      <c r="H4107">
        <v>7.0648552943141693E-2</v>
      </c>
      <c r="I4107">
        <v>5.02462023964661E-2</v>
      </c>
      <c r="J4107">
        <v>6.2050884232248901E-2</v>
      </c>
      <c r="K4107">
        <v>6.8973268027684706E-2</v>
      </c>
      <c r="L4107">
        <v>1636.9020563515301</v>
      </c>
      <c r="M4107">
        <v>34.270619223803799</v>
      </c>
      <c r="N4107">
        <v>47.976288919125103</v>
      </c>
      <c r="O4107">
        <v>47.602258722665397</v>
      </c>
      <c r="P4107">
        <v>-0.167321587737361</v>
      </c>
      <c r="Q4107">
        <v>7.0357800870212497E-2</v>
      </c>
      <c r="R4107">
        <v>0.99752531029388003</v>
      </c>
      <c r="S4107" t="s">
        <v>10509</v>
      </c>
      <c r="T4107" t="s">
        <v>12802</v>
      </c>
      <c r="U4107" t="s">
        <v>12802</v>
      </c>
      <c r="V4107" t="s">
        <v>12802</v>
      </c>
      <c r="W4107" t="s">
        <v>16851</v>
      </c>
      <c r="X4107">
        <v>49</v>
      </c>
      <c r="Y4107" t="s">
        <v>23077</v>
      </c>
      <c r="Z4107" t="s">
        <v>29425</v>
      </c>
      <c r="AA4107">
        <v>0.40810595392870552</v>
      </c>
      <c r="AB4107" t="str">
        <f>HYPERLINK("Melting_Curves/meltCurve_Q7KZ85_SUPT6H.pdf", "Melting_Curves/meltCurve_Q7KZ85_SUPT6H.pdf")</f>
        <v>Melting_Curves/meltCurve_Q7KZ85_SUPT6H.pdf</v>
      </c>
    </row>
    <row r="4108" spans="1:28" x14ac:dyDescent="0.25">
      <c r="A4108" t="s">
        <v>4112</v>
      </c>
      <c r="B4108">
        <v>0.99542014353169495</v>
      </c>
      <c r="C4108">
        <v>1.1874035808016301</v>
      </c>
      <c r="D4108">
        <v>1.1254704602424801</v>
      </c>
      <c r="E4108">
        <v>1.2613405961113899</v>
      </c>
      <c r="F4108">
        <v>1.0344231781815001</v>
      </c>
      <c r="G4108">
        <v>0.67436046258013704</v>
      </c>
      <c r="H4108">
        <v>0.54806721199528896</v>
      </c>
      <c r="I4108">
        <v>0.72186611161843495</v>
      </c>
      <c r="J4108">
        <v>0.85737358132129604</v>
      </c>
      <c r="K4108">
        <v>1.22995089128158</v>
      </c>
      <c r="L4108">
        <v>12951.3094782759</v>
      </c>
      <c r="M4108">
        <v>250</v>
      </c>
      <c r="O4108">
        <v>51.8019026497455</v>
      </c>
      <c r="P4108">
        <v>-0.233672774820884</v>
      </c>
      <c r="Q4108">
        <v>0.80632481539795697</v>
      </c>
      <c r="R4108">
        <v>0.30683678846690898</v>
      </c>
      <c r="S4108" t="s">
        <v>10510</v>
      </c>
      <c r="T4108" t="s">
        <v>12802</v>
      </c>
      <c r="U4108" t="s">
        <v>12802</v>
      </c>
      <c r="V4108" t="s">
        <v>12802</v>
      </c>
      <c r="W4108" t="s">
        <v>16852</v>
      </c>
      <c r="X4108">
        <v>20</v>
      </c>
      <c r="Y4108" t="s">
        <v>23077</v>
      </c>
      <c r="Z4108" t="s">
        <v>29426</v>
      </c>
      <c r="AA4108">
        <v>0.90192266336944382</v>
      </c>
      <c r="AB4108" t="str">
        <f>HYPERLINK("Melting_Curves/meltCurve_Q7KZ85_2_SUPT6H.pdf", "Melting_Curves/meltCurve_Q7KZ85_2_SUPT6H.pdf")</f>
        <v>Melting_Curves/meltCurve_Q7KZ85_2_SUPT6H.pdf</v>
      </c>
    </row>
    <row r="4109" spans="1:28" x14ac:dyDescent="0.25">
      <c r="A4109" t="s">
        <v>4113</v>
      </c>
      <c r="B4109">
        <v>0.99542014353169495</v>
      </c>
      <c r="C4109">
        <v>0.95566258416181205</v>
      </c>
      <c r="D4109">
        <v>0.83313301985438803</v>
      </c>
      <c r="E4109">
        <v>0.26439268773649399</v>
      </c>
      <c r="F4109">
        <v>0.14025028240187401</v>
      </c>
      <c r="G4109">
        <v>7.8256500252238806E-2</v>
      </c>
      <c r="H4109">
        <v>4.9405601879365497E-2</v>
      </c>
      <c r="I4109">
        <v>3.5768691858453203E-2</v>
      </c>
      <c r="J4109">
        <v>3.9608962294802E-2</v>
      </c>
      <c r="K4109">
        <v>4.1675380550697201E-2</v>
      </c>
      <c r="L4109">
        <v>1419.9893741432099</v>
      </c>
      <c r="M4109">
        <v>31.600578036972099</v>
      </c>
      <c r="N4109">
        <v>45.101826468332298</v>
      </c>
      <c r="O4109">
        <v>44.756731519041601</v>
      </c>
      <c r="P4109">
        <v>-0.166809050704114</v>
      </c>
      <c r="Q4109">
        <v>5.4980432653680703E-2</v>
      </c>
      <c r="R4109">
        <v>0.99646920258034399</v>
      </c>
      <c r="S4109" t="s">
        <v>10511</v>
      </c>
      <c r="T4109" t="s">
        <v>12802</v>
      </c>
      <c r="U4109" t="s">
        <v>12802</v>
      </c>
      <c r="V4109" t="s">
        <v>12802</v>
      </c>
      <c r="W4109" t="s">
        <v>16853</v>
      </c>
      <c r="X4109">
        <v>63</v>
      </c>
      <c r="Y4109" t="s">
        <v>23078</v>
      </c>
      <c r="Z4109" t="s">
        <v>29427</v>
      </c>
      <c r="AA4109">
        <v>0.30971502881472868</v>
      </c>
      <c r="AB4109" t="str">
        <f>HYPERLINK("Melting_Curves/meltCurve_Q7KZF4_SND1.pdf", "Melting_Curves/meltCurve_Q7KZF4_SND1.pdf")</f>
        <v>Melting_Curves/meltCurve_Q7KZF4_SND1.pdf</v>
      </c>
    </row>
    <row r="4110" spans="1:28" x14ac:dyDescent="0.25">
      <c r="A4110" t="s">
        <v>4114</v>
      </c>
      <c r="B4110">
        <v>0.99542014353169495</v>
      </c>
      <c r="C4110">
        <v>0.91716496937675696</v>
      </c>
      <c r="D4110">
        <v>0.88514568625532097</v>
      </c>
      <c r="E4110">
        <v>0.76674434674542602</v>
      </c>
      <c r="F4110">
        <v>0.59453128798867505</v>
      </c>
      <c r="G4110">
        <v>0.397037332908871</v>
      </c>
      <c r="H4110">
        <v>0.28265182122975202</v>
      </c>
      <c r="I4110">
        <v>0.19122478649048399</v>
      </c>
      <c r="J4110">
        <v>0.177465241033399</v>
      </c>
      <c r="K4110">
        <v>0.11051091931893001</v>
      </c>
      <c r="L4110">
        <v>528.28774012965005</v>
      </c>
      <c r="M4110">
        <v>10.2696389988355</v>
      </c>
      <c r="N4110">
        <v>51.865195586015602</v>
      </c>
      <c r="O4110">
        <v>49.605664971439097</v>
      </c>
      <c r="P4110">
        <v>-4.9696706055131198E-2</v>
      </c>
      <c r="Q4110">
        <v>4.0217220668585303E-2</v>
      </c>
      <c r="R4110">
        <v>0.99718063199390305</v>
      </c>
      <c r="S4110" t="s">
        <v>10512</v>
      </c>
      <c r="T4110" t="s">
        <v>12802</v>
      </c>
      <c r="U4110" t="s">
        <v>12802</v>
      </c>
      <c r="V4110" t="s">
        <v>12802</v>
      </c>
      <c r="W4110" t="s">
        <v>16854</v>
      </c>
      <c r="X4110">
        <v>5</v>
      </c>
      <c r="Y4110" t="s">
        <v>23079</v>
      </c>
      <c r="Z4110" t="s">
        <v>29428</v>
      </c>
      <c r="AA4110">
        <v>0.529452740595167</v>
      </c>
      <c r="AB4110" t="str">
        <f>HYPERLINK("Melting_Curves/meltCurve_Q7KZN9_2_COX15.pdf", "Melting_Curves/meltCurve_Q7KZN9_2_COX15.pdf")</f>
        <v>Melting_Curves/meltCurve_Q7KZN9_2_COX15.pdf</v>
      </c>
    </row>
    <row r="4111" spans="1:28" x14ac:dyDescent="0.25">
      <c r="A4111" t="s">
        <v>4115</v>
      </c>
      <c r="B4111">
        <v>0.99542014353169495</v>
      </c>
      <c r="C4111">
        <v>0.983228367242726</v>
      </c>
      <c r="D4111">
        <v>0.99906269057556496</v>
      </c>
      <c r="E4111">
        <v>0.83427696139192098</v>
      </c>
      <c r="F4111">
        <v>0.274737015892354</v>
      </c>
      <c r="G4111">
        <v>9.0190598276745304E-2</v>
      </c>
      <c r="H4111">
        <v>5.6727004169359198E-2</v>
      </c>
      <c r="I4111">
        <v>3.6968967610513999E-2</v>
      </c>
      <c r="J4111">
        <v>3.8463694716630303E-2</v>
      </c>
      <c r="K4111">
        <v>3.8742040316031401E-2</v>
      </c>
      <c r="L4111">
        <v>1732.3574795683201</v>
      </c>
      <c r="M4111">
        <v>35.629304706728597</v>
      </c>
      <c r="N4111">
        <v>48.749195529858099</v>
      </c>
      <c r="O4111">
        <v>48.469297172390803</v>
      </c>
      <c r="P4111">
        <v>-0.17559860572678801</v>
      </c>
      <c r="Q4111">
        <v>4.4481715138987903E-2</v>
      </c>
      <c r="R4111">
        <v>0.99954990123592902</v>
      </c>
      <c r="S4111" t="s">
        <v>10513</v>
      </c>
      <c r="T4111" t="s">
        <v>12802</v>
      </c>
      <c r="U4111" t="s">
        <v>12802</v>
      </c>
      <c r="V4111" t="s">
        <v>12802</v>
      </c>
      <c r="W4111" t="s">
        <v>16855</v>
      </c>
      <c r="X4111">
        <v>55</v>
      </c>
      <c r="Y4111" t="s">
        <v>23080</v>
      </c>
      <c r="Z4111" t="s">
        <v>29429</v>
      </c>
      <c r="AA4111">
        <v>0.4186934683639103</v>
      </c>
      <c r="AB4111" t="str">
        <f>HYPERLINK("Melting_Curves/meltCurve_Q7L014_DDX46.pdf", "Melting_Curves/meltCurve_Q7L014_DDX46.pdf")</f>
        <v>Melting_Curves/meltCurve_Q7L014_DDX46.pdf</v>
      </c>
    </row>
    <row r="4112" spans="1:28" x14ac:dyDescent="0.25">
      <c r="A4112" t="s">
        <v>4116</v>
      </c>
      <c r="B4112">
        <v>0.99542014353169495</v>
      </c>
      <c r="C4112">
        <v>0.95810439473343401</v>
      </c>
      <c r="D4112">
        <v>1.0167104076175799</v>
      </c>
      <c r="E4112">
        <v>0.83437939610408796</v>
      </c>
      <c r="F4112">
        <v>0.40968556484930002</v>
      </c>
      <c r="G4112">
        <v>0.22022536296565001</v>
      </c>
      <c r="H4112">
        <v>0.162062947531252</v>
      </c>
      <c r="I4112">
        <v>0.11146712363943399</v>
      </c>
      <c r="J4112">
        <v>0.13400201714455601</v>
      </c>
      <c r="K4112">
        <v>0.157510636337444</v>
      </c>
      <c r="L4112">
        <v>1410.2835266409099</v>
      </c>
      <c r="M4112">
        <v>28.832693390754201</v>
      </c>
      <c r="N4112">
        <v>49.480295654704001</v>
      </c>
      <c r="O4112">
        <v>48.679174902567603</v>
      </c>
      <c r="P4112">
        <v>-0.12722472942831201</v>
      </c>
      <c r="Q4112">
        <v>0.14081594447877399</v>
      </c>
      <c r="R4112">
        <v>0.99672232376004599</v>
      </c>
      <c r="S4112" t="s">
        <v>10514</v>
      </c>
      <c r="T4112" t="s">
        <v>12802</v>
      </c>
      <c r="U4112" t="s">
        <v>12802</v>
      </c>
      <c r="V4112" t="s">
        <v>12802</v>
      </c>
      <c r="W4112" t="s">
        <v>16856</v>
      </c>
      <c r="X4112">
        <v>11</v>
      </c>
      <c r="Y4112" t="s">
        <v>23081</v>
      </c>
      <c r="Z4112" t="s">
        <v>29430</v>
      </c>
      <c r="AA4112">
        <v>0.48758774072910072</v>
      </c>
      <c r="AB4112" t="str">
        <f>HYPERLINK("Melting_Curves/meltCurve_Q7L099_2_RUFY3.pdf", "Melting_Curves/meltCurve_Q7L099_2_RUFY3.pdf")</f>
        <v>Melting_Curves/meltCurve_Q7L099_2_RUFY3.pdf</v>
      </c>
    </row>
    <row r="4113" spans="1:28" x14ac:dyDescent="0.25">
      <c r="A4113" t="s">
        <v>4117</v>
      </c>
      <c r="B4113">
        <v>0.99542014353169495</v>
      </c>
      <c r="C4113">
        <v>1.00839825034777</v>
      </c>
      <c r="D4113">
        <v>1.0171377647675801</v>
      </c>
      <c r="E4113">
        <v>0.76095386193011205</v>
      </c>
      <c r="F4113">
        <v>0.323826317040246</v>
      </c>
      <c r="G4113">
        <v>0.16391833111131601</v>
      </c>
      <c r="H4113">
        <v>0.11649142062965701</v>
      </c>
      <c r="I4113">
        <v>8.5268614072059601E-2</v>
      </c>
      <c r="J4113">
        <v>7.0213570924046398E-2</v>
      </c>
      <c r="K4113">
        <v>6.8463095920039796E-2</v>
      </c>
      <c r="L4113">
        <v>1348.98984002364</v>
      </c>
      <c r="M4113">
        <v>27.870597111336298</v>
      </c>
      <c r="N4113">
        <v>48.730289745064503</v>
      </c>
      <c r="O4113">
        <v>48.154770751659498</v>
      </c>
      <c r="P4113">
        <v>-0.13230576000863101</v>
      </c>
      <c r="Q4113">
        <v>8.5617305791871504E-2</v>
      </c>
      <c r="R4113">
        <v>0.997707662325793</v>
      </c>
      <c r="S4113" t="s">
        <v>10515</v>
      </c>
      <c r="T4113" t="s">
        <v>12802</v>
      </c>
      <c r="U4113" t="s">
        <v>12802</v>
      </c>
      <c r="V4113" t="s">
        <v>12802</v>
      </c>
      <c r="W4113" t="s">
        <v>16857</v>
      </c>
      <c r="X4113">
        <v>12</v>
      </c>
      <c r="Y4113" t="s">
        <v>23081</v>
      </c>
      <c r="Z4113" t="s">
        <v>29431</v>
      </c>
      <c r="AA4113">
        <v>0.43946077056815919</v>
      </c>
      <c r="AB4113" t="str">
        <f>HYPERLINK("Melting_Curves/meltCurve_Q7L099_4_RUFY3.pdf", "Melting_Curves/meltCurve_Q7L099_4_RUFY3.pdf")</f>
        <v>Melting_Curves/meltCurve_Q7L099_4_RUFY3.pdf</v>
      </c>
    </row>
    <row r="4114" spans="1:28" x14ac:dyDescent="0.25">
      <c r="A4114" t="s">
        <v>4118</v>
      </c>
      <c r="B4114">
        <v>0.99542014353169495</v>
      </c>
      <c r="C4114">
        <v>0.91599309072415003</v>
      </c>
      <c r="D4114">
        <v>0.94114663253054998</v>
      </c>
      <c r="E4114">
        <v>0.78081282706128896</v>
      </c>
      <c r="F4114">
        <v>0.48169232450142901</v>
      </c>
      <c r="G4114">
        <v>0.11618381855431099</v>
      </c>
      <c r="H4114">
        <v>7.8872427128896999E-2</v>
      </c>
      <c r="I4114">
        <v>5.7375212587559399E-2</v>
      </c>
      <c r="J4114">
        <v>5.9181615083922598E-2</v>
      </c>
      <c r="K4114">
        <v>6.8058399326415497E-2</v>
      </c>
      <c r="L4114">
        <v>1095.36662471095</v>
      </c>
      <c r="M4114">
        <v>22.185933846863801</v>
      </c>
      <c r="N4114">
        <v>49.572516841312897</v>
      </c>
      <c r="O4114">
        <v>48.976251667779898</v>
      </c>
      <c r="P4114">
        <v>-0.108393500716628</v>
      </c>
      <c r="Q4114">
        <v>4.2890419522345603E-2</v>
      </c>
      <c r="R4114">
        <v>0.991367412882594</v>
      </c>
      <c r="S4114" t="s">
        <v>10516</v>
      </c>
      <c r="T4114" t="s">
        <v>12802</v>
      </c>
      <c r="U4114" t="s">
        <v>12802</v>
      </c>
      <c r="V4114" t="s">
        <v>12802</v>
      </c>
      <c r="W4114" t="s">
        <v>16858</v>
      </c>
      <c r="X4114">
        <v>23</v>
      </c>
      <c r="Y4114" t="s">
        <v>23082</v>
      </c>
      <c r="Z4114" t="s">
        <v>29432</v>
      </c>
      <c r="AA4114">
        <v>0.44803452382368703</v>
      </c>
      <c r="AB4114" t="str">
        <f>HYPERLINK("Melting_Curves/meltCurve_Q7L0Y3_TRMT10C.pdf", "Melting_Curves/meltCurve_Q7L0Y3_TRMT10C.pdf")</f>
        <v>Melting_Curves/meltCurve_Q7L0Y3_TRMT10C.pdf</v>
      </c>
    </row>
    <row r="4115" spans="1:28" x14ac:dyDescent="0.25">
      <c r="A4115" t="s">
        <v>4119</v>
      </c>
      <c r="B4115">
        <v>0.99542014353169495</v>
      </c>
      <c r="C4115">
        <v>0.97372318760568</v>
      </c>
      <c r="D4115">
        <v>0.96551535452715698</v>
      </c>
      <c r="E4115">
        <v>0.71730242204527195</v>
      </c>
      <c r="F4115">
        <v>0.14082416230275399</v>
      </c>
      <c r="G4115">
        <v>8.7696758846592504E-2</v>
      </c>
      <c r="H4115">
        <v>5.5980466586881397E-2</v>
      </c>
      <c r="I4115">
        <v>4.3862354046603699E-2</v>
      </c>
      <c r="J4115">
        <v>4.4318903248175598E-2</v>
      </c>
      <c r="K4115">
        <v>4.7060672236623399E-2</v>
      </c>
      <c r="L4115">
        <v>1956.2368404444101</v>
      </c>
      <c r="M4115">
        <v>41.144387143387704</v>
      </c>
      <c r="N4115">
        <v>47.674568313124198</v>
      </c>
      <c r="O4115">
        <v>47.433754413356603</v>
      </c>
      <c r="P4115">
        <v>-0.205436082450452</v>
      </c>
      <c r="Q4115">
        <v>5.2644917425191499E-2</v>
      </c>
      <c r="R4115">
        <v>0.99874922378728104</v>
      </c>
      <c r="S4115" t="s">
        <v>10517</v>
      </c>
      <c r="T4115" t="s">
        <v>12802</v>
      </c>
      <c r="U4115" t="s">
        <v>12802</v>
      </c>
      <c r="V4115" t="s">
        <v>12802</v>
      </c>
      <c r="W4115" t="s">
        <v>16859</v>
      </c>
      <c r="X4115">
        <v>20</v>
      </c>
      <c r="Y4115" t="s">
        <v>23083</v>
      </c>
      <c r="Z4115" t="s">
        <v>29433</v>
      </c>
      <c r="AA4115">
        <v>0.38860268097763889</v>
      </c>
      <c r="AB4115" t="str">
        <f>HYPERLINK("Melting_Curves/meltCurve_Q7L1Q6_BZW1.pdf", "Melting_Curves/meltCurve_Q7L1Q6_BZW1.pdf")</f>
        <v>Melting_Curves/meltCurve_Q7L1Q6_BZW1.pdf</v>
      </c>
    </row>
    <row r="4116" spans="1:28" x14ac:dyDescent="0.25">
      <c r="A4116" t="s">
        <v>4120</v>
      </c>
      <c r="B4116">
        <v>0.99542014353169495</v>
      </c>
      <c r="C4116">
        <v>1.06857820712616</v>
      </c>
      <c r="D4116">
        <v>1.08349455620498</v>
      </c>
      <c r="E4116">
        <v>0.90152563250124595</v>
      </c>
      <c r="F4116">
        <v>0.68845235155430096</v>
      </c>
      <c r="G4116">
        <v>0.43623506893097103</v>
      </c>
      <c r="H4116">
        <v>0.15042433732437899</v>
      </c>
      <c r="I4116">
        <v>0.103958226667535</v>
      </c>
      <c r="J4116">
        <v>0.115954383763649</v>
      </c>
      <c r="K4116">
        <v>0.20435249203577999</v>
      </c>
      <c r="L4116">
        <v>1174.77775347548</v>
      </c>
      <c r="M4116">
        <v>22.7040092500357</v>
      </c>
      <c r="N4116">
        <v>52.3830185892473</v>
      </c>
      <c r="O4116">
        <v>51.346767465222797</v>
      </c>
      <c r="P4116">
        <v>-9.7158611963695601E-2</v>
      </c>
      <c r="Q4116">
        <v>0.121092028369101</v>
      </c>
      <c r="R4116">
        <v>0.98135081170236804</v>
      </c>
      <c r="S4116" t="s">
        <v>10518</v>
      </c>
      <c r="T4116" t="s">
        <v>12802</v>
      </c>
      <c r="U4116" t="s">
        <v>12802</v>
      </c>
      <c r="V4116" t="s">
        <v>12802</v>
      </c>
      <c r="W4116" t="s">
        <v>16860</v>
      </c>
      <c r="X4116">
        <v>5</v>
      </c>
      <c r="Y4116" t="s">
        <v>23084</v>
      </c>
      <c r="Z4116" t="s">
        <v>29434</v>
      </c>
      <c r="AA4116">
        <v>0.5622544634287876</v>
      </c>
      <c r="AB4116" t="str">
        <f>HYPERLINK("Melting_Curves/meltCurve_Q7L1T6_CYB5R4.pdf", "Melting_Curves/meltCurve_Q7L1T6_CYB5R4.pdf")</f>
        <v>Melting_Curves/meltCurve_Q7L1T6_CYB5R4.pdf</v>
      </c>
    </row>
    <row r="4117" spans="1:28" x14ac:dyDescent="0.25">
      <c r="A4117" t="s">
        <v>4121</v>
      </c>
      <c r="B4117">
        <v>0.99542014353169495</v>
      </c>
      <c r="C4117">
        <v>0.95689966618612199</v>
      </c>
      <c r="D4117">
        <v>1.1193789496720199</v>
      </c>
      <c r="E4117">
        <v>0.964003240064644</v>
      </c>
      <c r="F4117">
        <v>0.82816027194122499</v>
      </c>
      <c r="G4117">
        <v>0.391173004423848</v>
      </c>
      <c r="H4117">
        <v>0.54620713793909403</v>
      </c>
      <c r="I4117">
        <v>0.563816048569318</v>
      </c>
      <c r="J4117">
        <v>9.3150054183766498E-2</v>
      </c>
      <c r="K4117">
        <v>7.1427771605117096E-2</v>
      </c>
      <c r="L4117">
        <v>612.55177943060005</v>
      </c>
      <c r="M4117">
        <v>10.8311366340078</v>
      </c>
      <c r="N4117">
        <v>56.554708928556899</v>
      </c>
      <c r="O4117">
        <v>54.729258603705802</v>
      </c>
      <c r="P4117">
        <v>-4.9493704994257599E-2</v>
      </c>
      <c r="Q4117">
        <v>0</v>
      </c>
      <c r="R4117">
        <v>0.86028575863119705</v>
      </c>
      <c r="S4117" t="s">
        <v>10519</v>
      </c>
      <c r="T4117" t="s">
        <v>12802</v>
      </c>
      <c r="U4117" t="s">
        <v>12802</v>
      </c>
      <c r="V4117" t="s">
        <v>12802</v>
      </c>
      <c r="W4117" t="s">
        <v>16861</v>
      </c>
      <c r="X4117">
        <v>2</v>
      </c>
      <c r="Y4117" t="s">
        <v>23085</v>
      </c>
      <c r="Z4117" t="s">
        <v>29435</v>
      </c>
      <c r="AA4117">
        <v>0.6565138991317736</v>
      </c>
      <c r="AB4117" t="str">
        <f>HYPERLINK("Melting_Curves/meltCurve_Q7L1W4_LRRC8D.pdf", "Melting_Curves/meltCurve_Q7L1W4_LRRC8D.pdf")</f>
        <v>Melting_Curves/meltCurve_Q7L1W4_LRRC8D.pdf</v>
      </c>
    </row>
    <row r="4118" spans="1:28" x14ac:dyDescent="0.25">
      <c r="A4118" t="s">
        <v>4122</v>
      </c>
      <c r="B4118">
        <v>0.99542014353169495</v>
      </c>
      <c r="C4118">
        <v>0.95175105148232098</v>
      </c>
      <c r="D4118">
        <v>0.946338980000479</v>
      </c>
      <c r="E4118">
        <v>0.89718524925024401</v>
      </c>
      <c r="F4118">
        <v>0.72454974604190403</v>
      </c>
      <c r="G4118">
        <v>0.49595526070104001</v>
      </c>
      <c r="H4118">
        <v>0.35018236039370398</v>
      </c>
      <c r="I4118">
        <v>0.26622681269135301</v>
      </c>
      <c r="J4118">
        <v>0.33132734685458598</v>
      </c>
      <c r="K4118">
        <v>0.30460702237350501</v>
      </c>
      <c r="L4118">
        <v>963.62686101711404</v>
      </c>
      <c r="M4118">
        <v>18.798955293435</v>
      </c>
      <c r="N4118">
        <v>53.597883454769502</v>
      </c>
      <c r="O4118">
        <v>50.690121397722301</v>
      </c>
      <c r="P4118">
        <v>-6.6774946593926604E-2</v>
      </c>
      <c r="Q4118">
        <v>0.27981328030212999</v>
      </c>
      <c r="R4118">
        <v>0.99106200312886095</v>
      </c>
      <c r="S4118" t="s">
        <v>10520</v>
      </c>
      <c r="T4118" t="s">
        <v>12802</v>
      </c>
      <c r="U4118" t="s">
        <v>12802</v>
      </c>
      <c r="V4118" t="s">
        <v>12802</v>
      </c>
      <c r="W4118" t="s">
        <v>16862</v>
      </c>
      <c r="X4118">
        <v>8</v>
      </c>
      <c r="Y4118" t="s">
        <v>23086</v>
      </c>
      <c r="Z4118" t="s">
        <v>29436</v>
      </c>
      <c r="AA4118">
        <v>0.6325199032733726</v>
      </c>
      <c r="AB4118" t="str">
        <f>HYPERLINK("Melting_Curves/meltCurve_Q7L266_ASRGL1.pdf", "Melting_Curves/meltCurve_Q7L266_ASRGL1.pdf")</f>
        <v>Melting_Curves/meltCurve_Q7L266_ASRGL1.pdf</v>
      </c>
    </row>
    <row r="4119" spans="1:28" x14ac:dyDescent="0.25">
      <c r="A4119" t="s">
        <v>4123</v>
      </c>
      <c r="B4119">
        <v>0.99542014353169495</v>
      </c>
      <c r="C4119">
        <v>0.989602923219423</v>
      </c>
      <c r="D4119">
        <v>0.98919253090861303</v>
      </c>
      <c r="E4119">
        <v>0.79913951662334703</v>
      </c>
      <c r="F4119">
        <v>0.57076492742724805</v>
      </c>
      <c r="G4119">
        <v>0.196358598297459</v>
      </c>
      <c r="H4119">
        <v>7.6496038161229601E-2</v>
      </c>
      <c r="I4119">
        <v>4.5406301590088197E-2</v>
      </c>
      <c r="J4119">
        <v>4.00045853915489E-2</v>
      </c>
      <c r="K4119">
        <v>2.71222535156408E-2</v>
      </c>
      <c r="L4119">
        <v>1035.4079818801799</v>
      </c>
      <c r="M4119">
        <v>20.550511117352301</v>
      </c>
      <c r="N4119">
        <v>50.461978034536699</v>
      </c>
      <c r="O4119">
        <v>49.913758804461501</v>
      </c>
      <c r="P4119">
        <v>-0.101315770585325</v>
      </c>
      <c r="Q4119">
        <v>1.5712448459799699E-2</v>
      </c>
      <c r="R4119">
        <v>0.99678603756787998</v>
      </c>
      <c r="S4119" t="s">
        <v>10521</v>
      </c>
      <c r="T4119" t="s">
        <v>12802</v>
      </c>
      <c r="U4119" t="s">
        <v>12802</v>
      </c>
      <c r="V4119" t="s">
        <v>12802</v>
      </c>
      <c r="W4119" t="s">
        <v>16863</v>
      </c>
      <c r="X4119">
        <v>7</v>
      </c>
      <c r="Y4119" t="s">
        <v>23087</v>
      </c>
      <c r="Z4119" t="s">
        <v>29437</v>
      </c>
      <c r="AA4119">
        <v>0.46717013718580491</v>
      </c>
      <c r="AB4119" t="str">
        <f>HYPERLINK("Melting_Curves/meltCurve_Q7L273_KCTD9.pdf", "Melting_Curves/meltCurve_Q7L273_KCTD9.pdf")</f>
        <v>Melting_Curves/meltCurve_Q7L273_KCTD9.pdf</v>
      </c>
    </row>
    <row r="4120" spans="1:28" x14ac:dyDescent="0.25">
      <c r="A4120" t="s">
        <v>4124</v>
      </c>
      <c r="B4120">
        <v>0.99542014353169495</v>
      </c>
      <c r="C4120">
        <v>0.94272597635641098</v>
      </c>
      <c r="D4120">
        <v>0.84621867364439496</v>
      </c>
      <c r="E4120">
        <v>0.57054158797096199</v>
      </c>
      <c r="F4120">
        <v>0.37185548853154399</v>
      </c>
      <c r="G4120">
        <v>0.17805765699450801</v>
      </c>
      <c r="H4120">
        <v>0.104835767879716</v>
      </c>
      <c r="I4120">
        <v>7.1830172735935602E-2</v>
      </c>
      <c r="J4120">
        <v>7.9798459214539194E-2</v>
      </c>
      <c r="K4120">
        <v>7.9647036768391993E-2</v>
      </c>
      <c r="L4120">
        <v>717.02183509908696</v>
      </c>
      <c r="M4120">
        <v>15.1101737611492</v>
      </c>
      <c r="N4120">
        <v>47.8118128434851</v>
      </c>
      <c r="O4120">
        <v>46.645054531857198</v>
      </c>
      <c r="P4120">
        <v>-7.6650502173883195E-2</v>
      </c>
      <c r="Q4120">
        <v>5.36135679356761E-2</v>
      </c>
      <c r="R4120">
        <v>0.99822239764046194</v>
      </c>
      <c r="S4120" t="s">
        <v>10522</v>
      </c>
      <c r="T4120" t="s">
        <v>12802</v>
      </c>
      <c r="U4120" t="s">
        <v>12802</v>
      </c>
      <c r="V4120" t="s">
        <v>12802</v>
      </c>
      <c r="W4120" t="s">
        <v>16864</v>
      </c>
      <c r="X4120">
        <v>11</v>
      </c>
      <c r="Y4120" t="s">
        <v>23088</v>
      </c>
      <c r="Z4120" t="s">
        <v>29438</v>
      </c>
      <c r="AA4120">
        <v>0.40419014789577967</v>
      </c>
      <c r="AB4120" t="str">
        <f>HYPERLINK("Melting_Curves/meltCurve_Q7L2H7_EIF3M.pdf", "Melting_Curves/meltCurve_Q7L2H7_EIF3M.pdf")</f>
        <v>Melting_Curves/meltCurve_Q7L2H7_EIF3M.pdf</v>
      </c>
    </row>
    <row r="4121" spans="1:28" x14ac:dyDescent="0.25">
      <c r="A4121" t="s">
        <v>4125</v>
      </c>
      <c r="B4121">
        <v>0.99542014353169495</v>
      </c>
      <c r="C4121">
        <v>0.88890003045993604</v>
      </c>
      <c r="D4121">
        <v>0.86944536733168698</v>
      </c>
      <c r="E4121">
        <v>0.45511876950075097</v>
      </c>
      <c r="F4121">
        <v>0.21139219548932001</v>
      </c>
      <c r="G4121">
        <v>0.125874858074355</v>
      </c>
      <c r="H4121">
        <v>8.3647354091115206E-2</v>
      </c>
      <c r="I4121">
        <v>6.4396564685689994E-2</v>
      </c>
      <c r="J4121">
        <v>8.49871378724395E-2</v>
      </c>
      <c r="K4121">
        <v>0.106768184860593</v>
      </c>
      <c r="L4121">
        <v>999.17684316144005</v>
      </c>
      <c r="M4121">
        <v>21.750826111651499</v>
      </c>
      <c r="N4121">
        <v>46.318146122866303</v>
      </c>
      <c r="O4121">
        <v>45.554411263203399</v>
      </c>
      <c r="P4121">
        <v>-0.109598695939288</v>
      </c>
      <c r="Q4121">
        <v>8.1857895037148201E-2</v>
      </c>
      <c r="R4121">
        <v>0.99314632128368796</v>
      </c>
      <c r="S4121" t="s">
        <v>10523</v>
      </c>
      <c r="T4121" t="s">
        <v>12802</v>
      </c>
      <c r="U4121" t="s">
        <v>12802</v>
      </c>
      <c r="V4121" t="s">
        <v>12802</v>
      </c>
      <c r="W4121" t="s">
        <v>16865</v>
      </c>
      <c r="X4121">
        <v>10</v>
      </c>
      <c r="Y4121" t="s">
        <v>23089</v>
      </c>
      <c r="Z4121" t="s">
        <v>29439</v>
      </c>
      <c r="AA4121">
        <v>0.36550013184502389</v>
      </c>
      <c r="AB4121" t="str">
        <f>HYPERLINK("Melting_Curves/meltCurve_Q7L2J0_MEPCE.pdf", "Melting_Curves/meltCurve_Q7L2J0_MEPCE.pdf")</f>
        <v>Melting_Curves/meltCurve_Q7L2J0_MEPCE.pdf</v>
      </c>
    </row>
    <row r="4122" spans="1:28" x14ac:dyDescent="0.25">
      <c r="A4122" t="s">
        <v>4126</v>
      </c>
      <c r="B4122">
        <v>0.99542014353169495</v>
      </c>
      <c r="C4122">
        <v>0.87607010231028004</v>
      </c>
      <c r="D4122">
        <v>0.63035998727595899</v>
      </c>
      <c r="E4122">
        <v>0.42440752158179801</v>
      </c>
      <c r="F4122">
        <v>0.25667428398182401</v>
      </c>
      <c r="G4122">
        <v>0.18196650239269399</v>
      </c>
      <c r="H4122">
        <v>9.2725778925284996E-2</v>
      </c>
      <c r="I4122">
        <v>6.8108882819127595E-2</v>
      </c>
      <c r="J4122">
        <v>7.2180132770724395E-2</v>
      </c>
      <c r="K4122">
        <v>6.0756757599340502E-2</v>
      </c>
      <c r="L4122">
        <v>599.40112964415596</v>
      </c>
      <c r="M4122">
        <v>13.313270035272099</v>
      </c>
      <c r="N4122">
        <v>45.413625092049202</v>
      </c>
      <c r="O4122">
        <v>44.043381749258501</v>
      </c>
      <c r="P4122">
        <v>-7.1490449149746393E-2</v>
      </c>
      <c r="Q4122">
        <v>5.4124077395653197E-2</v>
      </c>
      <c r="R4122">
        <v>0.99500629343254499</v>
      </c>
      <c r="S4122" t="s">
        <v>10524</v>
      </c>
      <c r="T4122" t="s">
        <v>12802</v>
      </c>
      <c r="U4122" t="s">
        <v>12802</v>
      </c>
      <c r="V4122" t="s">
        <v>12802</v>
      </c>
      <c r="W4122" t="s">
        <v>16866</v>
      </c>
      <c r="X4122">
        <v>1</v>
      </c>
      <c r="Y4122" t="s">
        <v>23090</v>
      </c>
      <c r="Z4122" t="s">
        <v>29440</v>
      </c>
      <c r="AA4122">
        <v>0.33543168859055428</v>
      </c>
      <c r="AB4122" t="str">
        <f>HYPERLINK("Melting_Curves/meltCurve_Q7L3V2_BOP.pdf", "Melting_Curves/meltCurve_Q7L3V2_BOP.pdf")</f>
        <v>Melting_Curves/meltCurve_Q7L3V2_BOP.pdf</v>
      </c>
    </row>
    <row r="4123" spans="1:28" x14ac:dyDescent="0.25">
      <c r="A4123" t="s">
        <v>4127</v>
      </c>
      <c r="B4123">
        <v>0.99542014353169495</v>
      </c>
      <c r="C4123">
        <v>1.02575837036543</v>
      </c>
      <c r="D4123">
        <v>0.96598916655350098</v>
      </c>
      <c r="E4123">
        <v>0.88579431549654597</v>
      </c>
      <c r="F4123">
        <v>0.69649936741763996</v>
      </c>
      <c r="G4123">
        <v>0.50804803553552003</v>
      </c>
      <c r="H4123">
        <v>0.32973973245126598</v>
      </c>
      <c r="I4123">
        <v>0.27694368355603699</v>
      </c>
      <c r="J4123">
        <v>0.43364161061232498</v>
      </c>
      <c r="K4123">
        <v>0.64488184267195603</v>
      </c>
      <c r="L4123">
        <v>1332.2116580347799</v>
      </c>
      <c r="M4123">
        <v>26.810107953704101</v>
      </c>
      <c r="N4123">
        <v>53.425721353707601</v>
      </c>
      <c r="O4123">
        <v>49.416661000013001</v>
      </c>
      <c r="P4123">
        <v>-7.8224195964882601E-2</v>
      </c>
      <c r="Q4123">
        <v>0.423271389582351</v>
      </c>
      <c r="R4123">
        <v>0.87968211961491904</v>
      </c>
      <c r="S4123" t="s">
        <v>10525</v>
      </c>
      <c r="T4123" t="s">
        <v>12802</v>
      </c>
      <c r="U4123" t="s">
        <v>12802</v>
      </c>
      <c r="V4123" t="s">
        <v>12802</v>
      </c>
      <c r="W4123" t="s">
        <v>16867</v>
      </c>
      <c r="X4123">
        <v>13</v>
      </c>
      <c r="Y4123" t="s">
        <v>23091</v>
      </c>
      <c r="Z4123" t="s">
        <v>29441</v>
      </c>
      <c r="AA4123">
        <v>0.67163108318875364</v>
      </c>
      <c r="AB4123" t="str">
        <f>HYPERLINK("Melting_Curves/meltCurve_Q7L4I2_RSRC2.pdf", "Melting_Curves/meltCurve_Q7L4I2_RSRC2.pdf")</f>
        <v>Melting_Curves/meltCurve_Q7L4I2_RSRC2.pdf</v>
      </c>
    </row>
    <row r="4124" spans="1:28" x14ac:dyDescent="0.25">
      <c r="A4124" t="s">
        <v>4128</v>
      </c>
      <c r="B4124">
        <v>0.99542014353169495</v>
      </c>
      <c r="C4124">
        <v>1.0027130634197099</v>
      </c>
      <c r="D4124">
        <v>0.88374434054913698</v>
      </c>
      <c r="E4124">
        <v>0.81382952496712002</v>
      </c>
      <c r="F4124">
        <v>0.65243206794220998</v>
      </c>
      <c r="G4124">
        <v>0.47128903440623698</v>
      </c>
      <c r="H4124">
        <v>0.34805258004731499</v>
      </c>
      <c r="I4124">
        <v>0.30425514797516201</v>
      </c>
      <c r="J4124">
        <v>0.46170330287153799</v>
      </c>
      <c r="K4124">
        <v>0.42177799754753098</v>
      </c>
      <c r="L4124">
        <v>842.89818373960702</v>
      </c>
      <c r="M4124">
        <v>17.255649465167</v>
      </c>
      <c r="N4124">
        <v>52.968378690310601</v>
      </c>
      <c r="O4124">
        <v>48.205780891366601</v>
      </c>
      <c r="P4124">
        <v>-5.6435992265885797E-2</v>
      </c>
      <c r="Q4124">
        <v>0.36939318140468902</v>
      </c>
      <c r="R4124">
        <v>0.96006958498982597</v>
      </c>
      <c r="S4124" t="s">
        <v>10526</v>
      </c>
      <c r="T4124" t="s">
        <v>12802</v>
      </c>
      <c r="U4124" t="s">
        <v>12802</v>
      </c>
      <c r="V4124" t="s">
        <v>12802</v>
      </c>
      <c r="W4124" t="s">
        <v>16868</v>
      </c>
      <c r="X4124">
        <v>10</v>
      </c>
      <c r="Y4124" t="s">
        <v>23092</v>
      </c>
      <c r="Z4124" t="s">
        <v>29442</v>
      </c>
      <c r="AA4124">
        <v>0.62923400278157893</v>
      </c>
      <c r="AB4124" t="str">
        <f>HYPERLINK("Melting_Curves/meltCurve_Q7L523_RRAGA.pdf", "Melting_Curves/meltCurve_Q7L523_RRAGA.pdf")</f>
        <v>Melting_Curves/meltCurve_Q7L523_RRAGA.pdf</v>
      </c>
    </row>
    <row r="4125" spans="1:28" x14ac:dyDescent="0.25">
      <c r="A4125" t="s">
        <v>4129</v>
      </c>
      <c r="B4125">
        <v>0.99542014353169495</v>
      </c>
      <c r="C4125">
        <v>0.91672746475510802</v>
      </c>
      <c r="D4125">
        <v>0.96467799909701801</v>
      </c>
      <c r="E4125">
        <v>0.66499398637235396</v>
      </c>
      <c r="F4125">
        <v>0.37031814421171899</v>
      </c>
      <c r="G4125">
        <v>0.105972604400304</v>
      </c>
      <c r="H4125">
        <v>6.5262400522721697E-2</v>
      </c>
      <c r="I4125">
        <v>3.8399796939001599E-2</v>
      </c>
      <c r="J4125">
        <v>5.3231067592183899E-2</v>
      </c>
      <c r="K4125">
        <v>5.9482856764737503E-2</v>
      </c>
      <c r="L4125">
        <v>998.04200374376796</v>
      </c>
      <c r="M4125">
        <v>20.675908996242001</v>
      </c>
      <c r="N4125">
        <v>48.4503412559799</v>
      </c>
      <c r="O4125">
        <v>47.826026540660401</v>
      </c>
      <c r="P4125">
        <v>-0.104095345760369</v>
      </c>
      <c r="Q4125">
        <v>3.6884057186218101E-2</v>
      </c>
      <c r="R4125">
        <v>0.99376237145074597</v>
      </c>
      <c r="S4125" t="s">
        <v>10527</v>
      </c>
      <c r="T4125" t="s">
        <v>12802</v>
      </c>
      <c r="U4125" t="s">
        <v>12802</v>
      </c>
      <c r="V4125" t="s">
        <v>12802</v>
      </c>
      <c r="W4125" t="s">
        <v>16869</v>
      </c>
      <c r="X4125">
        <v>18</v>
      </c>
      <c r="Y4125" t="s">
        <v>23093</v>
      </c>
      <c r="Z4125" t="s">
        <v>29443</v>
      </c>
      <c r="AA4125">
        <v>0.41061665197553959</v>
      </c>
      <c r="AB4125" t="str">
        <f>HYPERLINK("Melting_Curves/meltCurve_Q7L576_CYFIP1.pdf", "Melting_Curves/meltCurve_Q7L576_CYFIP1.pdf")</f>
        <v>Melting_Curves/meltCurve_Q7L576_CYFIP1.pdf</v>
      </c>
    </row>
    <row r="4126" spans="1:28" x14ac:dyDescent="0.25">
      <c r="A4126" t="s">
        <v>4130</v>
      </c>
      <c r="B4126">
        <v>0.99542014353169495</v>
      </c>
      <c r="C4126">
        <v>0.97584325330103805</v>
      </c>
      <c r="D4126">
        <v>0.97413500074748405</v>
      </c>
      <c r="E4126">
        <v>0.70181198729659899</v>
      </c>
      <c r="F4126">
        <v>0.31010578758485202</v>
      </c>
      <c r="G4126">
        <v>0.12848597410174201</v>
      </c>
      <c r="H4126">
        <v>7.5503572647576997E-2</v>
      </c>
      <c r="I4126">
        <v>4.3541869171329399E-2</v>
      </c>
      <c r="J4126">
        <v>4.1610004400715002E-2</v>
      </c>
      <c r="K4126">
        <v>4.1884612147066701E-2</v>
      </c>
      <c r="L4126">
        <v>1147.61706629327</v>
      </c>
      <c r="M4126">
        <v>23.802474645449099</v>
      </c>
      <c r="N4126">
        <v>48.403310794698903</v>
      </c>
      <c r="O4126">
        <v>47.877742503983697</v>
      </c>
      <c r="P4126">
        <v>-0.118771271093221</v>
      </c>
      <c r="Q4126">
        <v>4.4400634465552299E-2</v>
      </c>
      <c r="R4126">
        <v>0.99923393734807098</v>
      </c>
      <c r="S4126" t="s">
        <v>10528</v>
      </c>
      <c r="T4126" t="s">
        <v>12802</v>
      </c>
      <c r="U4126" t="s">
        <v>12802</v>
      </c>
      <c r="V4126" t="s">
        <v>12802</v>
      </c>
      <c r="W4126" t="s">
        <v>16870</v>
      </c>
      <c r="X4126">
        <v>5</v>
      </c>
      <c r="Y4126" t="s">
        <v>23094</v>
      </c>
      <c r="Z4126" t="s">
        <v>29444</v>
      </c>
      <c r="AA4126">
        <v>0.41060490319487009</v>
      </c>
      <c r="AB4126" t="str">
        <f>HYPERLINK("Melting_Curves/meltCurve_Q7L592_NDUFAF7.pdf", "Melting_Curves/meltCurve_Q7L592_NDUFAF7.pdf")</f>
        <v>Melting_Curves/meltCurve_Q7L592_NDUFAF7.pdf</v>
      </c>
    </row>
    <row r="4127" spans="1:28" x14ac:dyDescent="0.25">
      <c r="A4127" t="s">
        <v>4131</v>
      </c>
      <c r="B4127">
        <v>0.99542014353169495</v>
      </c>
      <c r="C4127">
        <v>0.91614810553108605</v>
      </c>
      <c r="D4127">
        <v>0.86032273087515199</v>
      </c>
      <c r="E4127">
        <v>0.55254400007871796</v>
      </c>
      <c r="F4127">
        <v>0.33629584039339</v>
      </c>
      <c r="G4127">
        <v>0.18951059875325699</v>
      </c>
      <c r="H4127">
        <v>0.13528392481561999</v>
      </c>
      <c r="I4127">
        <v>0.112886168808548</v>
      </c>
      <c r="J4127">
        <v>0.115396795127165</v>
      </c>
      <c r="K4127">
        <v>0.11543126232663201</v>
      </c>
      <c r="L4127">
        <v>778.05475646831599</v>
      </c>
      <c r="M4127">
        <v>16.615867480122802</v>
      </c>
      <c r="N4127">
        <v>47.4729828981623</v>
      </c>
      <c r="O4127">
        <v>46.163524232711602</v>
      </c>
      <c r="P4127">
        <v>-8.0872217566950594E-2</v>
      </c>
      <c r="Q4127">
        <v>0.10131826072889499</v>
      </c>
      <c r="R4127">
        <v>0.99773970124294198</v>
      </c>
      <c r="S4127" t="s">
        <v>10529</v>
      </c>
      <c r="T4127" t="s">
        <v>12802</v>
      </c>
      <c r="U4127" t="s">
        <v>12802</v>
      </c>
      <c r="V4127" t="s">
        <v>12802</v>
      </c>
      <c r="W4127" t="s">
        <v>16871</v>
      </c>
      <c r="X4127">
        <v>4</v>
      </c>
      <c r="Y4127" t="s">
        <v>23095</v>
      </c>
      <c r="Z4127" t="s">
        <v>29445</v>
      </c>
      <c r="AA4127">
        <v>0.41248178995700929</v>
      </c>
      <c r="AB4127" t="str">
        <f>HYPERLINK("Melting_Curves/meltCurve_Q7L5D6_GET4.pdf", "Melting_Curves/meltCurve_Q7L5D6_GET4.pdf")</f>
        <v>Melting_Curves/meltCurve_Q7L5D6_GET4.pdf</v>
      </c>
    </row>
    <row r="4128" spans="1:28" x14ac:dyDescent="0.25">
      <c r="A4128" t="s">
        <v>4132</v>
      </c>
      <c r="B4128">
        <v>0.99542014353169495</v>
      </c>
      <c r="C4128">
        <v>1.0474062334338701</v>
      </c>
      <c r="D4128">
        <v>0.92557929238068604</v>
      </c>
      <c r="E4128">
        <v>0.84698994678823503</v>
      </c>
      <c r="F4128">
        <v>0.71952647754794596</v>
      </c>
      <c r="G4128">
        <v>0.50123248557267297</v>
      </c>
      <c r="H4128">
        <v>0.31406326259356299</v>
      </c>
      <c r="I4128">
        <v>0.23083185859550601</v>
      </c>
      <c r="J4128">
        <v>0.27267183109294502</v>
      </c>
      <c r="K4128">
        <v>0.122474358280759</v>
      </c>
      <c r="L4128">
        <v>692.03506756677905</v>
      </c>
      <c r="M4128">
        <v>13.145402515311099</v>
      </c>
      <c r="N4128">
        <v>53.762942732049702</v>
      </c>
      <c r="O4128">
        <v>51.471050777233998</v>
      </c>
      <c r="P4128">
        <v>-5.6220632361997397E-2</v>
      </c>
      <c r="Q4128">
        <v>0.119617510974161</v>
      </c>
      <c r="R4128">
        <v>0.986912320131484</v>
      </c>
      <c r="S4128" t="s">
        <v>10530</v>
      </c>
      <c r="T4128" t="s">
        <v>12802</v>
      </c>
      <c r="U4128" t="s">
        <v>12802</v>
      </c>
      <c r="V4128" t="s">
        <v>12802</v>
      </c>
      <c r="W4128" t="s">
        <v>16872</v>
      </c>
      <c r="X4128">
        <v>7</v>
      </c>
      <c r="Y4128" t="s">
        <v>23096</v>
      </c>
      <c r="Z4128" t="s">
        <v>29446</v>
      </c>
      <c r="AA4128">
        <v>0.59694870537408518</v>
      </c>
      <c r="AB4128" t="str">
        <f>HYPERLINK("Melting_Curves/meltCurve_Q7L5Y1_ENOSF1.pdf", "Melting_Curves/meltCurve_Q7L5Y1_ENOSF1.pdf")</f>
        <v>Melting_Curves/meltCurve_Q7L5Y1_ENOSF1.pdf</v>
      </c>
    </row>
    <row r="4129" spans="1:28" x14ac:dyDescent="0.25">
      <c r="A4129" t="s">
        <v>4133</v>
      </c>
      <c r="B4129">
        <v>0.99542014353169495</v>
      </c>
      <c r="C4129">
        <v>0.85558192735707395</v>
      </c>
      <c r="D4129">
        <v>0.98067710023923904</v>
      </c>
      <c r="E4129">
        <v>0.645379216881656</v>
      </c>
      <c r="F4129">
        <v>0.41236708465472099</v>
      </c>
      <c r="G4129">
        <v>9.5283086218282895E-2</v>
      </c>
      <c r="H4129">
        <v>5.8530896398620101E-2</v>
      </c>
      <c r="I4129">
        <v>3.8211747093267502E-2</v>
      </c>
      <c r="J4129">
        <v>4.4451025194418799E-2</v>
      </c>
      <c r="K4129">
        <v>3.4739234718120099E-2</v>
      </c>
      <c r="L4129">
        <v>909.21122271352795</v>
      </c>
      <c r="M4129">
        <v>18.755346811326302</v>
      </c>
      <c r="N4129">
        <v>48.568825646960903</v>
      </c>
      <c r="O4129">
        <v>47.936413350730902</v>
      </c>
      <c r="P4129">
        <v>-9.6121931094863194E-2</v>
      </c>
      <c r="Q4129">
        <v>1.7336767562284399E-2</v>
      </c>
      <c r="R4129">
        <v>0.98164315325468798</v>
      </c>
      <c r="S4129" t="s">
        <v>10531</v>
      </c>
      <c r="T4129" t="s">
        <v>12802</v>
      </c>
      <c r="U4129" t="s">
        <v>12802</v>
      </c>
      <c r="V4129" t="s">
        <v>12802</v>
      </c>
      <c r="W4129" t="s">
        <v>16873</v>
      </c>
      <c r="X4129">
        <v>5</v>
      </c>
      <c r="Y4129" t="s">
        <v>23097</v>
      </c>
      <c r="Z4129" t="s">
        <v>29447</v>
      </c>
      <c r="AA4129">
        <v>0.4078380852109445</v>
      </c>
      <c r="AB4129" t="str">
        <f>HYPERLINK("Melting_Curves/meltCurve_Q7L5Y9_MAEA.pdf", "Melting_Curves/meltCurve_Q7L5Y9_MAEA.pdf")</f>
        <v>Melting_Curves/meltCurve_Q7L5Y9_MAEA.pdf</v>
      </c>
    </row>
    <row r="4130" spans="1:28" x14ac:dyDescent="0.25">
      <c r="A4130" t="s">
        <v>4134</v>
      </c>
      <c r="B4130">
        <v>0.99542014353169495</v>
      </c>
      <c r="C4130">
        <v>0.98070919525774303</v>
      </c>
      <c r="D4130">
        <v>0.91942381458552702</v>
      </c>
      <c r="E4130">
        <v>0.79185612683468198</v>
      </c>
      <c r="F4130">
        <v>0.59481977779113904</v>
      </c>
      <c r="G4130">
        <v>0.265028381607054</v>
      </c>
      <c r="H4130">
        <v>0.141069692802063</v>
      </c>
      <c r="I4130">
        <v>9.4606944289787803E-2</v>
      </c>
      <c r="J4130">
        <v>0.10168595852295501</v>
      </c>
      <c r="K4130">
        <v>0.10336240904937399</v>
      </c>
      <c r="L4130">
        <v>882.01832928493604</v>
      </c>
      <c r="M4130">
        <v>17.5294692730462</v>
      </c>
      <c r="N4130">
        <v>50.735350420768803</v>
      </c>
      <c r="O4130">
        <v>49.675196378047801</v>
      </c>
      <c r="P4130">
        <v>-8.2279459183955503E-2</v>
      </c>
      <c r="Q4130">
        <v>6.7393456728488302E-2</v>
      </c>
      <c r="R4130">
        <v>0.99510393132227604</v>
      </c>
      <c r="S4130" t="s">
        <v>10532</v>
      </c>
      <c r="T4130" t="s">
        <v>12802</v>
      </c>
      <c r="U4130" t="s">
        <v>12802</v>
      </c>
      <c r="V4130" t="s">
        <v>12802</v>
      </c>
      <c r="W4130" t="s">
        <v>16874</v>
      </c>
      <c r="X4130">
        <v>12</v>
      </c>
      <c r="Y4130" t="s">
        <v>23098</v>
      </c>
      <c r="Z4130" t="s">
        <v>29448</v>
      </c>
      <c r="AA4130">
        <v>0.49662394255362152</v>
      </c>
      <c r="AB4130" t="str">
        <f>HYPERLINK("Melting_Curves/meltCurve_Q7L775_EPM2AIP1.pdf", "Melting_Curves/meltCurve_Q7L775_EPM2AIP1.pdf")</f>
        <v>Melting_Curves/meltCurve_Q7L775_EPM2AIP1.pdf</v>
      </c>
    </row>
    <row r="4131" spans="1:28" x14ac:dyDescent="0.25">
      <c r="A4131" t="s">
        <v>4135</v>
      </c>
      <c r="B4131">
        <v>0.99542014353169495</v>
      </c>
      <c r="C4131">
        <v>0.96675470049593604</v>
      </c>
      <c r="D4131">
        <v>0.99260652124275095</v>
      </c>
      <c r="E4131">
        <v>0.78202465324341397</v>
      </c>
      <c r="F4131">
        <v>0.55864517291051297</v>
      </c>
      <c r="G4131">
        <v>0.12899668147701199</v>
      </c>
      <c r="H4131">
        <v>8.6026930697723006E-2</v>
      </c>
      <c r="I4131">
        <v>6.2150105065997698E-2</v>
      </c>
      <c r="J4131">
        <v>6.8437162189451506E-2</v>
      </c>
      <c r="K4131">
        <v>5.9520712723485601E-2</v>
      </c>
      <c r="L4131">
        <v>1139.8543924974499</v>
      </c>
      <c r="M4131">
        <v>22.841896741617902</v>
      </c>
      <c r="N4131">
        <v>50.1043070202699</v>
      </c>
      <c r="O4131">
        <v>49.524162426191801</v>
      </c>
      <c r="P4131">
        <v>-0.110227434170801</v>
      </c>
      <c r="Q4131">
        <v>4.4069548396774502E-2</v>
      </c>
      <c r="R4131">
        <v>0.99112331433355905</v>
      </c>
      <c r="S4131" t="s">
        <v>10533</v>
      </c>
      <c r="T4131" t="s">
        <v>12802</v>
      </c>
      <c r="U4131" t="s">
        <v>12802</v>
      </c>
      <c r="V4131" t="s">
        <v>12802</v>
      </c>
      <c r="W4131" t="s">
        <v>16875</v>
      </c>
      <c r="X4131">
        <v>20</v>
      </c>
      <c r="Y4131" t="s">
        <v>23099</v>
      </c>
      <c r="Z4131" t="s">
        <v>29449</v>
      </c>
      <c r="AA4131">
        <v>0.46508078715829648</v>
      </c>
      <c r="AB4131" t="str">
        <f>HYPERLINK("Melting_Curves/meltCurve_Q7L7X3_TAOK1.pdf", "Melting_Curves/meltCurve_Q7L7X3_TAOK1.pdf")</f>
        <v>Melting_Curves/meltCurve_Q7L7X3_TAOK1.pdf</v>
      </c>
    </row>
    <row r="4132" spans="1:28" x14ac:dyDescent="0.25">
      <c r="A4132" t="s">
        <v>4136</v>
      </c>
      <c r="B4132">
        <v>0.99542014353169495</v>
      </c>
      <c r="C4132">
        <v>0.97218179795967197</v>
      </c>
      <c r="D4132">
        <v>0.97058056094285305</v>
      </c>
      <c r="E4132">
        <v>0.79234287906907497</v>
      </c>
      <c r="F4132">
        <v>0.54477632500218398</v>
      </c>
      <c r="G4132">
        <v>0.28806189545730199</v>
      </c>
      <c r="H4132">
        <v>0.138924351953917</v>
      </c>
      <c r="I4132">
        <v>0.10060916648816701</v>
      </c>
      <c r="J4132">
        <v>0.10096854538097901</v>
      </c>
      <c r="K4132">
        <v>0.109500257931443</v>
      </c>
      <c r="L4132">
        <v>912.42135044339295</v>
      </c>
      <c r="M4132">
        <v>18.221088642535602</v>
      </c>
      <c r="N4132">
        <v>50.556947055765903</v>
      </c>
      <c r="O4132">
        <v>49.4835580676177</v>
      </c>
      <c r="P4132">
        <v>-8.4721388702384007E-2</v>
      </c>
      <c r="Q4132">
        <v>7.9721544609123701E-2</v>
      </c>
      <c r="R4132">
        <v>0.99834555665982005</v>
      </c>
      <c r="S4132" t="s">
        <v>10534</v>
      </c>
      <c r="T4132" t="s">
        <v>12802</v>
      </c>
      <c r="U4132" t="s">
        <v>12802</v>
      </c>
      <c r="V4132" t="s">
        <v>12802</v>
      </c>
      <c r="W4132" t="s">
        <v>16876</v>
      </c>
      <c r="X4132">
        <v>5</v>
      </c>
      <c r="Y4132" t="s">
        <v>23100</v>
      </c>
      <c r="Z4132" t="s">
        <v>29450</v>
      </c>
      <c r="AA4132">
        <v>0.4950067552865654</v>
      </c>
      <c r="AB4132" t="str">
        <f>HYPERLINK("Melting_Curves/meltCurve_Q7L8J4_SH3BP5L.pdf", "Melting_Curves/meltCurve_Q7L8J4_SH3BP5L.pdf")</f>
        <v>Melting_Curves/meltCurve_Q7L8J4_SH3BP5L.pdf</v>
      </c>
    </row>
    <row r="4133" spans="1:28" x14ac:dyDescent="0.25">
      <c r="A4133" t="s">
        <v>4137</v>
      </c>
      <c r="B4133">
        <v>0.99542014353169495</v>
      </c>
      <c r="C4133">
        <v>0.91457543514445805</v>
      </c>
      <c r="D4133">
        <v>0.88441703180435605</v>
      </c>
      <c r="E4133">
        <v>0.47215039864743802</v>
      </c>
      <c r="F4133">
        <v>0.112779595712552</v>
      </c>
      <c r="G4133">
        <v>6.0681669364263599E-2</v>
      </c>
      <c r="H4133">
        <v>3.3405984560473598E-2</v>
      </c>
      <c r="I4133">
        <v>2.6328397863507401E-2</v>
      </c>
      <c r="J4133">
        <v>2.43186400186629E-2</v>
      </c>
      <c r="K4133">
        <v>2.8557061757115199E-2</v>
      </c>
      <c r="L4133">
        <v>1197.6324200587901</v>
      </c>
      <c r="M4133">
        <v>25.9068324870263</v>
      </c>
      <c r="N4133">
        <v>46.319141422107201</v>
      </c>
      <c r="O4133">
        <v>45.955647077434598</v>
      </c>
      <c r="P4133">
        <v>-0.13744985083039399</v>
      </c>
      <c r="Q4133">
        <v>2.4732784006776601E-2</v>
      </c>
      <c r="R4133">
        <v>0.99642361036137395</v>
      </c>
      <c r="S4133" t="s">
        <v>10535</v>
      </c>
      <c r="T4133" t="s">
        <v>12802</v>
      </c>
      <c r="U4133" t="s">
        <v>12802</v>
      </c>
      <c r="V4133" t="s">
        <v>12802</v>
      </c>
      <c r="W4133" t="s">
        <v>16877</v>
      </c>
      <c r="X4133">
        <v>7</v>
      </c>
      <c r="Y4133" t="s">
        <v>23101</v>
      </c>
      <c r="Z4133" t="s">
        <v>29451</v>
      </c>
      <c r="AA4133">
        <v>0.33227486986546612</v>
      </c>
      <c r="AB4133" t="str">
        <f>HYPERLINK("Melting_Curves/meltCurve_Q7L8L6_FASTKD5.pdf", "Melting_Curves/meltCurve_Q7L8L6_FASTKD5.pdf")</f>
        <v>Melting_Curves/meltCurve_Q7L8L6_FASTKD5.pdf</v>
      </c>
    </row>
    <row r="4134" spans="1:28" x14ac:dyDescent="0.25">
      <c r="A4134" t="s">
        <v>4138</v>
      </c>
      <c r="B4134">
        <v>0.99542014353169495</v>
      </c>
      <c r="C4134">
        <v>0.95926783081049805</v>
      </c>
      <c r="D4134">
        <v>0.87042324493955203</v>
      </c>
      <c r="E4134">
        <v>0.79195766247062305</v>
      </c>
      <c r="F4134">
        <v>0.54770921560441099</v>
      </c>
      <c r="G4134">
        <v>0.29068521661511199</v>
      </c>
      <c r="H4134">
        <v>9.42174230093695E-2</v>
      </c>
      <c r="I4134">
        <v>6.5371911033557495E-2</v>
      </c>
      <c r="J4134">
        <v>5.9520724623179998E-2</v>
      </c>
      <c r="K4134">
        <v>4.9176361919879501E-2</v>
      </c>
      <c r="L4134">
        <v>752.13808097184096</v>
      </c>
      <c r="M4134">
        <v>14.899194979629399</v>
      </c>
      <c r="N4134">
        <v>50.499684690301898</v>
      </c>
      <c r="O4134">
        <v>49.598560652400302</v>
      </c>
      <c r="P4134">
        <v>-7.4909046494373299E-2</v>
      </c>
      <c r="Q4134">
        <v>2.6318766189203598E-3</v>
      </c>
      <c r="R4134">
        <v>0.99430268833341595</v>
      </c>
      <c r="S4134" t="s">
        <v>10536</v>
      </c>
      <c r="T4134" t="s">
        <v>12802</v>
      </c>
      <c r="U4134" t="s">
        <v>12802</v>
      </c>
      <c r="V4134" t="s">
        <v>12802</v>
      </c>
      <c r="W4134" t="s">
        <v>16878</v>
      </c>
      <c r="X4134">
        <v>5</v>
      </c>
      <c r="Y4134" t="s">
        <v>23102</v>
      </c>
      <c r="Z4134" t="s">
        <v>29452</v>
      </c>
      <c r="AA4134">
        <v>0.47153497941044192</v>
      </c>
      <c r="AB4134" t="str">
        <f>HYPERLINK("Melting_Curves/meltCurve_Q7L8W6_ATPBD4.pdf", "Melting_Curves/meltCurve_Q7L8W6_ATPBD4.pdf")</f>
        <v>Melting_Curves/meltCurve_Q7L8W6_ATPBD4.pdf</v>
      </c>
    </row>
    <row r="4135" spans="1:28" x14ac:dyDescent="0.25">
      <c r="A4135" t="s">
        <v>4139</v>
      </c>
      <c r="B4135">
        <v>0.99542014353169495</v>
      </c>
      <c r="C4135">
        <v>0.95251997784989295</v>
      </c>
      <c r="D4135">
        <v>0.89634441249272701</v>
      </c>
      <c r="E4135">
        <v>0.53085576934462297</v>
      </c>
      <c r="F4135">
        <v>0.212789850407297</v>
      </c>
      <c r="G4135">
        <v>0.11761087576521199</v>
      </c>
      <c r="H4135">
        <v>9.3179385541217893E-2</v>
      </c>
      <c r="I4135">
        <v>7.0874710406301694E-2</v>
      </c>
      <c r="J4135">
        <v>6.8613663230405603E-2</v>
      </c>
      <c r="K4135">
        <v>6.4525385058302298E-2</v>
      </c>
      <c r="L4135">
        <v>1086.0367991969099</v>
      </c>
      <c r="M4135">
        <v>23.3130676231149</v>
      </c>
      <c r="N4135">
        <v>46.892014744630103</v>
      </c>
      <c r="O4135">
        <v>46.246190781592297</v>
      </c>
      <c r="P4135">
        <v>-0.11710618054237799</v>
      </c>
      <c r="Q4135">
        <v>7.0801204917273999E-2</v>
      </c>
      <c r="R4135">
        <v>0.99911049766862003</v>
      </c>
      <c r="S4135" t="s">
        <v>10537</v>
      </c>
      <c r="T4135" t="s">
        <v>12802</v>
      </c>
      <c r="U4135" t="s">
        <v>12802</v>
      </c>
      <c r="V4135" t="s">
        <v>12802</v>
      </c>
      <c r="W4135" t="s">
        <v>16879</v>
      </c>
      <c r="X4135">
        <v>29</v>
      </c>
      <c r="Y4135" t="s">
        <v>23103</v>
      </c>
      <c r="Z4135" t="s">
        <v>29453</v>
      </c>
      <c r="AA4135">
        <v>0.37661303613018221</v>
      </c>
      <c r="AB4135" t="str">
        <f>HYPERLINK("Melting_Curves/meltCurve_Q7LBC6_KDM3B.pdf", "Melting_Curves/meltCurve_Q7LBC6_KDM3B.pdf")</f>
        <v>Melting_Curves/meltCurve_Q7LBC6_KDM3B.pdf</v>
      </c>
    </row>
    <row r="4136" spans="1:28" x14ac:dyDescent="0.25">
      <c r="A4136" t="s">
        <v>4140</v>
      </c>
      <c r="B4136">
        <v>0.99542014353169495</v>
      </c>
      <c r="C4136">
        <v>1.0178975086933899</v>
      </c>
      <c r="D4136">
        <v>0.93035364438386803</v>
      </c>
      <c r="E4136">
        <v>0.90090178717040903</v>
      </c>
      <c r="F4136">
        <v>0.512275447043124</v>
      </c>
      <c r="G4136">
        <v>0.200402294143216</v>
      </c>
      <c r="H4136">
        <v>5.2552376228188501E-2</v>
      </c>
      <c r="I4136">
        <v>3.9020978653227602E-2</v>
      </c>
      <c r="J4136">
        <v>4.00067242234554E-2</v>
      </c>
      <c r="K4136">
        <v>5.3276665210143702E-2</v>
      </c>
      <c r="L4136">
        <v>1278.68893383105</v>
      </c>
      <c r="M4136">
        <v>25.456549505415399</v>
      </c>
      <c r="N4136">
        <v>50.374373379846801</v>
      </c>
      <c r="O4136">
        <v>49.923340215530096</v>
      </c>
      <c r="P4136">
        <v>-0.123002539128239</v>
      </c>
      <c r="Q4136">
        <v>3.5120899200182798E-2</v>
      </c>
      <c r="R4136">
        <v>0.997194583420832</v>
      </c>
      <c r="S4136" t="s">
        <v>10538</v>
      </c>
      <c r="T4136" t="s">
        <v>12802</v>
      </c>
      <c r="U4136" t="s">
        <v>12802</v>
      </c>
      <c r="V4136" t="s">
        <v>12802</v>
      </c>
      <c r="W4136" t="s">
        <v>16880</v>
      </c>
      <c r="X4136">
        <v>5</v>
      </c>
      <c r="Y4136" t="s">
        <v>23104</v>
      </c>
      <c r="Z4136" t="s">
        <v>29454</v>
      </c>
      <c r="AA4136">
        <v>0.46881292244443329</v>
      </c>
      <c r="AB4136" t="str">
        <f>HYPERLINK("Melting_Curves/meltCurve_Q7LBR1_CHMP1B.pdf", "Melting_Curves/meltCurve_Q7LBR1_CHMP1B.pdf")</f>
        <v>Melting_Curves/meltCurve_Q7LBR1_CHMP1B.pdf</v>
      </c>
    </row>
    <row r="4137" spans="1:28" x14ac:dyDescent="0.25">
      <c r="A4137" t="s">
        <v>4141</v>
      </c>
      <c r="B4137">
        <v>0.99542014353169495</v>
      </c>
      <c r="C4137">
        <v>1.02881452518122</v>
      </c>
      <c r="D4137">
        <v>1.1084288853856801</v>
      </c>
      <c r="E4137">
        <v>1.0083081733886901</v>
      </c>
      <c r="F4137">
        <v>0.83493893231209604</v>
      </c>
      <c r="G4137">
        <v>0.55722250919887395</v>
      </c>
      <c r="H4137">
        <v>0.49595098658681402</v>
      </c>
      <c r="I4137">
        <v>0.49002198219985399</v>
      </c>
      <c r="J4137">
        <v>0.69097177563034695</v>
      </c>
      <c r="K4137">
        <v>0.73044833835157996</v>
      </c>
      <c r="L4137">
        <v>12569.2109110044</v>
      </c>
      <c r="M4137">
        <v>250</v>
      </c>
      <c r="O4137">
        <v>50.273626255591402</v>
      </c>
      <c r="P4137">
        <v>-0.50607659185610099</v>
      </c>
      <c r="Q4137">
        <v>0.59292311347464099</v>
      </c>
      <c r="R4137">
        <v>0.87357468784358305</v>
      </c>
      <c r="S4137" t="s">
        <v>10539</v>
      </c>
      <c r="T4137" t="s">
        <v>12802</v>
      </c>
      <c r="U4137" t="s">
        <v>12802</v>
      </c>
      <c r="V4137" t="s">
        <v>12802</v>
      </c>
      <c r="W4137" t="s">
        <v>16881</v>
      </c>
      <c r="X4137">
        <v>9</v>
      </c>
      <c r="Y4137" t="s">
        <v>23105</v>
      </c>
      <c r="Z4137" t="s">
        <v>29455</v>
      </c>
      <c r="AA4137">
        <v>0.77311557105187867</v>
      </c>
      <c r="AB4137" t="str">
        <f>HYPERLINK("Melting_Curves/meltCurve_Q7LG56_RRM2B.pdf", "Melting_Curves/meltCurve_Q7LG56_RRM2B.pdf")</f>
        <v>Melting_Curves/meltCurve_Q7LG56_RRM2B.pdf</v>
      </c>
    </row>
    <row r="4138" spans="1:28" x14ac:dyDescent="0.25">
      <c r="A4138" t="s">
        <v>4142</v>
      </c>
      <c r="B4138">
        <v>0.99542014353169495</v>
      </c>
      <c r="C4138">
        <v>0.84589443598126002</v>
      </c>
      <c r="D4138">
        <v>0.89748717147843005</v>
      </c>
      <c r="E4138">
        <v>0.70375499081297999</v>
      </c>
      <c r="F4138">
        <v>0.62402299605237399</v>
      </c>
      <c r="G4138">
        <v>0.361302005894232</v>
      </c>
      <c r="H4138">
        <v>0.29015024502924402</v>
      </c>
      <c r="I4138">
        <v>0.21572119723928601</v>
      </c>
      <c r="J4138">
        <v>0.23865882082144799</v>
      </c>
      <c r="K4138">
        <v>0.30123661436761501</v>
      </c>
      <c r="L4138">
        <v>575.17782183524298</v>
      </c>
      <c r="M4138">
        <v>11.7219419370939</v>
      </c>
      <c r="N4138">
        <v>51.217614187277803</v>
      </c>
      <c r="O4138">
        <v>47.705681420610198</v>
      </c>
      <c r="P4138">
        <v>-4.9508547524904002E-2</v>
      </c>
      <c r="Q4138">
        <v>0.19425784004204799</v>
      </c>
      <c r="R4138">
        <v>0.96409855755084495</v>
      </c>
      <c r="S4138" t="s">
        <v>10540</v>
      </c>
      <c r="T4138" t="s">
        <v>12802</v>
      </c>
      <c r="U4138" t="s">
        <v>12802</v>
      </c>
      <c r="V4138" t="s">
        <v>12802</v>
      </c>
      <c r="W4138" t="s">
        <v>16882</v>
      </c>
      <c r="X4138">
        <v>7</v>
      </c>
      <c r="Y4138" t="s">
        <v>23106</v>
      </c>
      <c r="Z4138" t="s">
        <v>29456</v>
      </c>
      <c r="AA4138">
        <v>0.54298790653087592</v>
      </c>
      <c r="AB4138" t="str">
        <f>HYPERLINK("Melting_Curves/meltCurve_Q7LGA3_HS2ST1.pdf", "Melting_Curves/meltCurve_Q7LGA3_HS2ST1.pdf")</f>
        <v>Melting_Curves/meltCurve_Q7LGA3_HS2ST1.pdf</v>
      </c>
    </row>
    <row r="4139" spans="1:28" x14ac:dyDescent="0.25">
      <c r="A4139" t="s">
        <v>4143</v>
      </c>
      <c r="B4139">
        <v>0.99542014353169495</v>
      </c>
      <c r="C4139">
        <v>0.98199486044011697</v>
      </c>
      <c r="D4139">
        <v>0.97642432619595998</v>
      </c>
      <c r="E4139">
        <v>0.81325178362813899</v>
      </c>
      <c r="F4139">
        <v>0.51128447147098299</v>
      </c>
      <c r="G4139">
        <v>0.23568169981614101</v>
      </c>
      <c r="H4139">
        <v>0.149712764105014</v>
      </c>
      <c r="I4139">
        <v>8.8651820709774995E-2</v>
      </c>
      <c r="J4139">
        <v>7.1893937067194102E-2</v>
      </c>
      <c r="K4139">
        <v>6.8606931954310002E-2</v>
      </c>
      <c r="L4139">
        <v>989.66364300172199</v>
      </c>
      <c r="M4139">
        <v>19.8214706435596</v>
      </c>
      <c r="N4139">
        <v>50.285348513405999</v>
      </c>
      <c r="O4139">
        <v>49.429010983630803</v>
      </c>
      <c r="P4139">
        <v>-9.3684345777285599E-2</v>
      </c>
      <c r="Q4139">
        <v>6.5545004252639705E-2</v>
      </c>
      <c r="R4139">
        <v>0.99944734907464206</v>
      </c>
      <c r="S4139" t="s">
        <v>10541</v>
      </c>
      <c r="T4139" t="s">
        <v>12802</v>
      </c>
      <c r="U4139" t="s">
        <v>12802</v>
      </c>
      <c r="V4139" t="s">
        <v>12802</v>
      </c>
      <c r="W4139" t="s">
        <v>16883</v>
      </c>
      <c r="X4139">
        <v>13</v>
      </c>
      <c r="Y4139" t="s">
        <v>23107</v>
      </c>
      <c r="Z4139" t="s">
        <v>29457</v>
      </c>
      <c r="AA4139">
        <v>0.4807628744964122</v>
      </c>
      <c r="AB4139" t="str">
        <f>HYPERLINK("Melting_Curves/meltCurve_Q7RTP6_MICAL3.pdf", "Melting_Curves/meltCurve_Q7RTP6_MICAL3.pdf")</f>
        <v>Melting_Curves/meltCurve_Q7RTP6_MICAL3.pdf</v>
      </c>
    </row>
    <row r="4140" spans="1:28" x14ac:dyDescent="0.25">
      <c r="A4140" t="s">
        <v>4144</v>
      </c>
      <c r="B4140">
        <v>0.99542014353169495</v>
      </c>
      <c r="C4140">
        <v>0.79112782812233595</v>
      </c>
      <c r="D4140">
        <v>0.92188078506434701</v>
      </c>
      <c r="E4140">
        <v>1.3292549013620201</v>
      </c>
      <c r="F4140">
        <v>1.47155412727872</v>
      </c>
      <c r="G4140">
        <v>1.3362149475898799</v>
      </c>
      <c r="H4140">
        <v>0.71064833888496604</v>
      </c>
      <c r="I4140">
        <v>0.26182719457671599</v>
      </c>
      <c r="J4140">
        <v>0.21875991354837601</v>
      </c>
      <c r="K4140">
        <v>0.229997301388189</v>
      </c>
      <c r="L4140">
        <v>12539.5687480704</v>
      </c>
      <c r="M4140">
        <v>217.966266296909</v>
      </c>
      <c r="N4140">
        <v>57.699792248716598</v>
      </c>
      <c r="O4140">
        <v>57.525016294756398</v>
      </c>
      <c r="P4140">
        <v>-0.72289724049034298</v>
      </c>
      <c r="Q4140">
        <v>0.23686033549357499</v>
      </c>
      <c r="R4140">
        <v>0.75577068710228801</v>
      </c>
      <c r="S4140" t="s">
        <v>10542</v>
      </c>
      <c r="T4140" t="s">
        <v>12802</v>
      </c>
      <c r="U4140" t="s">
        <v>12802</v>
      </c>
      <c r="V4140" t="s">
        <v>12802</v>
      </c>
      <c r="W4140" t="s">
        <v>16884</v>
      </c>
      <c r="X4140">
        <v>13</v>
      </c>
      <c r="Y4140" t="s">
        <v>23108</v>
      </c>
      <c r="Z4140" t="s">
        <v>29458</v>
      </c>
      <c r="AA4140">
        <v>0.75920004865214996</v>
      </c>
      <c r="AB4140" t="str">
        <f>HYPERLINK("Melting_Curves/meltCurve_Q7RTV0_PHF5A.pdf", "Melting_Curves/meltCurve_Q7RTV0_PHF5A.pdf")</f>
        <v>Melting_Curves/meltCurve_Q7RTV0_PHF5A.pdf</v>
      </c>
    </row>
    <row r="4141" spans="1:28" x14ac:dyDescent="0.25">
      <c r="A4141" t="s">
        <v>4145</v>
      </c>
      <c r="B4141">
        <v>0.99542014353169495</v>
      </c>
      <c r="C4141">
        <v>1.0006756402674899</v>
      </c>
      <c r="D4141">
        <v>0.92020769765409904</v>
      </c>
      <c r="E4141">
        <v>0.64485246501613303</v>
      </c>
      <c r="F4141">
        <v>0.23741558103098601</v>
      </c>
      <c r="G4141">
        <v>9.4199436894834898E-2</v>
      </c>
      <c r="H4141">
        <v>6.0724450586849603E-2</v>
      </c>
      <c r="I4141">
        <v>3.7271956542019397E-2</v>
      </c>
      <c r="J4141">
        <v>2.2130259343954298E-2</v>
      </c>
      <c r="K4141">
        <v>2.8864568286681901E-2</v>
      </c>
      <c r="L4141">
        <v>1144.04394665273</v>
      </c>
      <c r="M4141">
        <v>24.0380129096012</v>
      </c>
      <c r="N4141">
        <v>47.721656446928598</v>
      </c>
      <c r="O4141">
        <v>47.2674113053395</v>
      </c>
      <c r="P4141">
        <v>-0.123154875393322</v>
      </c>
      <c r="Q4141">
        <v>3.1347579310745499E-2</v>
      </c>
      <c r="R4141">
        <v>0.99955799291835201</v>
      </c>
      <c r="S4141" t="s">
        <v>10543</v>
      </c>
      <c r="T4141" t="s">
        <v>12802</v>
      </c>
      <c r="U4141" t="s">
        <v>12802</v>
      </c>
      <c r="V4141" t="s">
        <v>12802</v>
      </c>
      <c r="W4141" t="s">
        <v>16885</v>
      </c>
      <c r="X4141">
        <v>9</v>
      </c>
      <c r="Y4141" t="s">
        <v>23109</v>
      </c>
      <c r="Z4141" t="s">
        <v>29459</v>
      </c>
      <c r="AA4141">
        <v>0.38225370336456099</v>
      </c>
      <c r="AB4141" t="str">
        <f>HYPERLINK("Melting_Curves/meltCurve_Q7Z2E3_3_APTX.pdf", "Melting_Curves/meltCurve_Q7Z2E3_3_APTX.pdf")</f>
        <v>Melting_Curves/meltCurve_Q7Z2E3_3_APTX.pdf</v>
      </c>
    </row>
    <row r="4142" spans="1:28" x14ac:dyDescent="0.25">
      <c r="A4142" t="s">
        <v>4146</v>
      </c>
      <c r="B4142">
        <v>0.99542014353169495</v>
      </c>
      <c r="C4142">
        <v>1.02947831651102</v>
      </c>
      <c r="D4142">
        <v>1.01922735162129</v>
      </c>
      <c r="E4142">
        <v>0.95930322072696605</v>
      </c>
      <c r="F4142">
        <v>0.81212076926774102</v>
      </c>
      <c r="G4142">
        <v>0.56079464799523704</v>
      </c>
      <c r="H4142">
        <v>0.45022476970414099</v>
      </c>
      <c r="I4142">
        <v>0.39910251523885099</v>
      </c>
      <c r="J4142">
        <v>0.57330224744966596</v>
      </c>
      <c r="K4142">
        <v>0.71087439058343604</v>
      </c>
      <c r="L4142">
        <v>2386.22700621079</v>
      </c>
      <c r="M4142">
        <v>47.1713071654302</v>
      </c>
      <c r="O4142">
        <v>50.4957434123436</v>
      </c>
      <c r="P4142">
        <v>-0.108957750890416</v>
      </c>
      <c r="Q4142">
        <v>0.53345395239706395</v>
      </c>
      <c r="R4142">
        <v>0.88758175912909998</v>
      </c>
      <c r="S4142" t="s">
        <v>10544</v>
      </c>
      <c r="T4142" t="s">
        <v>12802</v>
      </c>
      <c r="U4142" t="s">
        <v>12802</v>
      </c>
      <c r="V4142" t="s">
        <v>12802</v>
      </c>
      <c r="W4142" t="s">
        <v>16886</v>
      </c>
      <c r="X4142">
        <v>23</v>
      </c>
      <c r="Y4142" t="s">
        <v>23110</v>
      </c>
      <c r="Z4142" t="s">
        <v>29460</v>
      </c>
      <c r="AA4142">
        <v>0.74591361976026815</v>
      </c>
      <c r="AB4142" t="str">
        <f>HYPERLINK("Melting_Curves/meltCurve_Q7Z2K8_GPRIN1.pdf", "Melting_Curves/meltCurve_Q7Z2K8_GPRIN1.pdf")</f>
        <v>Melting_Curves/meltCurve_Q7Z2K8_GPRIN1.pdf</v>
      </c>
    </row>
    <row r="4143" spans="1:28" x14ac:dyDescent="0.25">
      <c r="A4143" t="s">
        <v>4147</v>
      </c>
      <c r="B4143">
        <v>0.99542014353169495</v>
      </c>
      <c r="C4143">
        <v>0.824038305484183</v>
      </c>
      <c r="D4143">
        <v>0.94741181784944595</v>
      </c>
      <c r="E4143">
        <v>0.64860484666657403</v>
      </c>
      <c r="F4143">
        <v>0.277401342107364</v>
      </c>
      <c r="G4143">
        <v>8.9882893517946399E-2</v>
      </c>
      <c r="H4143">
        <v>5.0459666949610002E-2</v>
      </c>
      <c r="I4143">
        <v>2.8032558207327099E-2</v>
      </c>
      <c r="J4143">
        <v>2.4216714813472401E-2</v>
      </c>
      <c r="K4143">
        <v>3.2376939299554298E-2</v>
      </c>
      <c r="L4143">
        <v>1010.94931342246</v>
      </c>
      <c r="M4143">
        <v>21.1451694227645</v>
      </c>
      <c r="N4143">
        <v>47.898921891025502</v>
      </c>
      <c r="O4143">
        <v>47.388495023936301</v>
      </c>
      <c r="P4143">
        <v>-0.109406641928754</v>
      </c>
      <c r="Q4143">
        <v>1.9259558484150899E-2</v>
      </c>
      <c r="R4143">
        <v>0.98220764796597204</v>
      </c>
      <c r="S4143" t="s">
        <v>10545</v>
      </c>
      <c r="T4143" t="s">
        <v>12802</v>
      </c>
      <c r="U4143" t="s">
        <v>12802</v>
      </c>
      <c r="V4143" t="s">
        <v>12802</v>
      </c>
      <c r="W4143" t="s">
        <v>16887</v>
      </c>
      <c r="X4143">
        <v>8</v>
      </c>
      <c r="Y4143" t="s">
        <v>23111</v>
      </c>
      <c r="Z4143" t="s">
        <v>29461</v>
      </c>
      <c r="AA4143">
        <v>0.38422384038797042</v>
      </c>
      <c r="AB4143" t="str">
        <f>HYPERLINK("Melting_Curves/meltCurve_Q7Z2T5_TRMT1L.pdf", "Melting_Curves/meltCurve_Q7Z2T5_TRMT1L.pdf")</f>
        <v>Melting_Curves/meltCurve_Q7Z2T5_TRMT1L.pdf</v>
      </c>
    </row>
    <row r="4144" spans="1:28" x14ac:dyDescent="0.25">
      <c r="A4144" t="s">
        <v>4148</v>
      </c>
      <c r="B4144">
        <v>0.99542014353169495</v>
      </c>
      <c r="C4144">
        <v>0.85818647857646002</v>
      </c>
      <c r="D4144">
        <v>0.86634925139625896</v>
      </c>
      <c r="E4144">
        <v>0.59275769157697999</v>
      </c>
      <c r="F4144">
        <v>0.20892406643247799</v>
      </c>
      <c r="G4144">
        <v>0.121854512514794</v>
      </c>
      <c r="H4144">
        <v>0.103567410526118</v>
      </c>
      <c r="I4144">
        <v>0.11473411582925901</v>
      </c>
      <c r="J4144">
        <v>0.15011639513730801</v>
      </c>
      <c r="K4144">
        <v>0.23357033054770099</v>
      </c>
      <c r="L4144">
        <v>1130.6414303398001</v>
      </c>
      <c r="M4144">
        <v>24.3596718805255</v>
      </c>
      <c r="N4144">
        <v>47.012107971223102</v>
      </c>
      <c r="O4144">
        <v>46.105073425917404</v>
      </c>
      <c r="P4144">
        <v>-0.11450094533541801</v>
      </c>
      <c r="Q4144">
        <v>0.13315816097163299</v>
      </c>
      <c r="R4144">
        <v>0.97107858957812798</v>
      </c>
      <c r="S4144" t="s">
        <v>10546</v>
      </c>
      <c r="T4144" t="s">
        <v>12802</v>
      </c>
      <c r="U4144" t="s">
        <v>12802</v>
      </c>
      <c r="V4144" t="s">
        <v>12802</v>
      </c>
      <c r="W4144" t="s">
        <v>16888</v>
      </c>
      <c r="X4144">
        <v>18</v>
      </c>
      <c r="Y4144" t="s">
        <v>23112</v>
      </c>
      <c r="Z4144" t="s">
        <v>29462</v>
      </c>
      <c r="AA4144">
        <v>0.41279857018749072</v>
      </c>
      <c r="AB4144" t="str">
        <f>HYPERLINK("Melting_Curves/meltCurve_Q7Z2W4_ZC3HAV1.pdf", "Melting_Curves/meltCurve_Q7Z2W4_ZC3HAV1.pdf")</f>
        <v>Melting_Curves/meltCurve_Q7Z2W4_ZC3HAV1.pdf</v>
      </c>
    </row>
    <row r="4145" spans="1:28" x14ac:dyDescent="0.25">
      <c r="A4145" t="s">
        <v>4149</v>
      </c>
      <c r="B4145">
        <v>0.99542014353169495</v>
      </c>
      <c r="C4145">
        <v>1.08475858548466</v>
      </c>
      <c r="D4145">
        <v>0.97620660963435402</v>
      </c>
      <c r="E4145">
        <v>0.82370236968799504</v>
      </c>
      <c r="F4145">
        <v>0.34495946433003899</v>
      </c>
      <c r="G4145">
        <v>0.14371598914475001</v>
      </c>
      <c r="H4145">
        <v>9.5744008045958701E-2</v>
      </c>
      <c r="I4145">
        <v>6.8110874407119201E-2</v>
      </c>
      <c r="J4145">
        <v>7.7633523709665794E-2</v>
      </c>
      <c r="K4145">
        <v>7.3647443576365004E-2</v>
      </c>
      <c r="L4145">
        <v>1477.1880229420899</v>
      </c>
      <c r="M4145">
        <v>30.2871177440209</v>
      </c>
      <c r="N4145">
        <v>49.047384459194099</v>
      </c>
      <c r="O4145">
        <v>48.561690338715898</v>
      </c>
      <c r="P4145">
        <v>-0.14376357628802</v>
      </c>
      <c r="Q4145">
        <v>7.7976875447664101E-2</v>
      </c>
      <c r="R4145">
        <v>0.99550022386983605</v>
      </c>
      <c r="S4145" t="s">
        <v>10547</v>
      </c>
      <c r="T4145" t="s">
        <v>12802</v>
      </c>
      <c r="U4145" t="s">
        <v>12802</v>
      </c>
      <c r="V4145" t="s">
        <v>12802</v>
      </c>
      <c r="W4145" t="s">
        <v>16889</v>
      </c>
      <c r="X4145">
        <v>14</v>
      </c>
      <c r="Y4145" t="s">
        <v>23113</v>
      </c>
      <c r="Z4145" t="s">
        <v>29463</v>
      </c>
      <c r="AA4145">
        <v>0.44523828137066301</v>
      </c>
      <c r="AB4145" t="str">
        <f>HYPERLINK("Melting_Curves/meltCurve_Q7Z2Z2_EFTUD1.pdf", "Melting_Curves/meltCurve_Q7Z2Z2_EFTUD1.pdf")</f>
        <v>Melting_Curves/meltCurve_Q7Z2Z2_EFTUD1.pdf</v>
      </c>
    </row>
    <row r="4146" spans="1:28" x14ac:dyDescent="0.25">
      <c r="A4146" t="s">
        <v>4150</v>
      </c>
      <c r="B4146">
        <v>0.99542014353169495</v>
      </c>
      <c r="C4146">
        <v>0.86351217069067598</v>
      </c>
      <c r="D4146">
        <v>0.75342114680378203</v>
      </c>
      <c r="E4146">
        <v>0.43818735926735802</v>
      </c>
      <c r="F4146">
        <v>0.29463485145155699</v>
      </c>
      <c r="G4146">
        <v>0.161240685173383</v>
      </c>
      <c r="H4146">
        <v>0.13027749488732501</v>
      </c>
      <c r="I4146">
        <v>8.9874921146591305E-2</v>
      </c>
      <c r="J4146">
        <v>0.101981380743528</v>
      </c>
      <c r="K4146">
        <v>7.8646338131944299E-2</v>
      </c>
      <c r="L4146">
        <v>654.083345885732</v>
      </c>
      <c r="M4146">
        <v>14.350444002459</v>
      </c>
      <c r="N4146">
        <v>46.115869424599801</v>
      </c>
      <c r="O4146">
        <v>44.721629283970302</v>
      </c>
      <c r="P4146">
        <v>-7.40619286688671E-2</v>
      </c>
      <c r="Q4146">
        <v>7.6886476698343101E-2</v>
      </c>
      <c r="R4146">
        <v>0.99625072651828595</v>
      </c>
      <c r="S4146" t="s">
        <v>10548</v>
      </c>
      <c r="T4146" t="s">
        <v>12802</v>
      </c>
      <c r="U4146" t="s">
        <v>12802</v>
      </c>
      <c r="V4146" t="s">
        <v>12802</v>
      </c>
      <c r="W4146" t="s">
        <v>16890</v>
      </c>
      <c r="X4146">
        <v>3</v>
      </c>
      <c r="Y4146" t="s">
        <v>23114</v>
      </c>
      <c r="Z4146" t="s">
        <v>29464</v>
      </c>
      <c r="AA4146">
        <v>0.36433190215015959</v>
      </c>
      <c r="AB4146" t="str">
        <f>HYPERLINK("Melting_Curves/meltCurve_Q7Z333_3_SETX.pdf", "Melting_Curves/meltCurve_Q7Z333_3_SETX.pdf")</f>
        <v>Melting_Curves/meltCurve_Q7Z333_3_SETX.pdf</v>
      </c>
    </row>
    <row r="4147" spans="1:28" x14ac:dyDescent="0.25">
      <c r="A4147" t="s">
        <v>4151</v>
      </c>
      <c r="B4147">
        <v>0.99542014353169495</v>
      </c>
      <c r="C4147">
        <v>0.93556538661337296</v>
      </c>
      <c r="D4147">
        <v>0.98412651012783303</v>
      </c>
      <c r="E4147">
        <v>0.85742175274700205</v>
      </c>
      <c r="F4147">
        <v>0.70231954848660305</v>
      </c>
      <c r="G4147">
        <v>0.37434160321846999</v>
      </c>
      <c r="H4147">
        <v>0.206335292929896</v>
      </c>
      <c r="I4147">
        <v>6.08243739800838E-2</v>
      </c>
      <c r="J4147">
        <v>5.2789950350504398E-2</v>
      </c>
      <c r="K4147">
        <v>6.2265297223858998E-2</v>
      </c>
      <c r="L4147">
        <v>887.45319238913305</v>
      </c>
      <c r="M4147">
        <v>16.981927710691501</v>
      </c>
      <c r="N4147">
        <v>52.350144375069597</v>
      </c>
      <c r="O4147">
        <v>51.550162987574097</v>
      </c>
      <c r="P4147">
        <v>-8.1157579840619706E-2</v>
      </c>
      <c r="Q4147">
        <v>1.46167433513597E-2</v>
      </c>
      <c r="R4147">
        <v>0.99493667045203305</v>
      </c>
      <c r="S4147" t="s">
        <v>10549</v>
      </c>
      <c r="T4147" t="s">
        <v>12802</v>
      </c>
      <c r="U4147" t="s">
        <v>12802</v>
      </c>
      <c r="V4147" t="s">
        <v>12802</v>
      </c>
      <c r="W4147" t="s">
        <v>16891</v>
      </c>
      <c r="X4147">
        <v>3</v>
      </c>
      <c r="Y4147" t="s">
        <v>23115</v>
      </c>
      <c r="Z4147" t="s">
        <v>29465</v>
      </c>
      <c r="AA4147">
        <v>0.53178298902412213</v>
      </c>
      <c r="AB4147" t="str">
        <f>HYPERLINK("Melting_Curves/meltCurve_Q7Z372_DKFZp686N07218.pdf", "Melting_Curves/meltCurve_Q7Z372_DKFZp686N07218.pdf")</f>
        <v>Melting_Curves/meltCurve_Q7Z372_DKFZp686N07218.pdf</v>
      </c>
    </row>
    <row r="4148" spans="1:28" x14ac:dyDescent="0.25">
      <c r="A4148" t="s">
        <v>4152</v>
      </c>
      <c r="B4148">
        <v>0.99542014353169495</v>
      </c>
      <c r="C4148">
        <v>0.92124573375484198</v>
      </c>
      <c r="D4148">
        <v>0.96470859605896797</v>
      </c>
      <c r="E4148">
        <v>0.52630161946501797</v>
      </c>
      <c r="F4148">
        <v>0.181117971678597</v>
      </c>
      <c r="G4148">
        <v>0.10796138664544901</v>
      </c>
      <c r="H4148">
        <v>5.8056977195545201E-2</v>
      </c>
      <c r="I4148">
        <v>4.2558331995232103E-2</v>
      </c>
      <c r="J4148">
        <v>2.91941594998354E-2</v>
      </c>
      <c r="K4148">
        <v>6.2476436844900403E-2</v>
      </c>
      <c r="L4148">
        <v>1314.4673656117</v>
      </c>
      <c r="M4148">
        <v>28.1404207227196</v>
      </c>
      <c r="N4148">
        <v>46.903635533722202</v>
      </c>
      <c r="O4148">
        <v>46.477024657000399</v>
      </c>
      <c r="P4148">
        <v>-0.14310837752219899</v>
      </c>
      <c r="Q4148">
        <v>5.4570541273377703E-2</v>
      </c>
      <c r="R4148">
        <v>0.99433929274100097</v>
      </c>
      <c r="S4148" t="s">
        <v>10550</v>
      </c>
      <c r="T4148" t="s">
        <v>12802</v>
      </c>
      <c r="U4148" t="s">
        <v>12802</v>
      </c>
      <c r="V4148" t="s">
        <v>12802</v>
      </c>
      <c r="W4148" t="s">
        <v>16892</v>
      </c>
      <c r="X4148">
        <v>7</v>
      </c>
      <c r="Y4148" t="s">
        <v>23116</v>
      </c>
      <c r="Z4148" t="s">
        <v>29466</v>
      </c>
      <c r="AA4148">
        <v>0.3668284307571395</v>
      </c>
      <c r="AB4148" t="str">
        <f>HYPERLINK("Melting_Curves/meltCurve_Q7Z392_4_TRAPPC11.pdf", "Melting_Curves/meltCurve_Q7Z392_4_TRAPPC11.pdf")</f>
        <v>Melting_Curves/meltCurve_Q7Z392_4_TRAPPC11.pdf</v>
      </c>
    </row>
    <row r="4149" spans="1:28" x14ac:dyDescent="0.25">
      <c r="A4149" t="s">
        <v>4153</v>
      </c>
      <c r="B4149">
        <v>0.99542014353169495</v>
      </c>
      <c r="C4149">
        <v>0.77759666822991902</v>
      </c>
      <c r="D4149">
        <v>0.62629664609675695</v>
      </c>
      <c r="E4149">
        <v>0.32640462026872502</v>
      </c>
      <c r="F4149">
        <v>0.18281293945388299</v>
      </c>
      <c r="G4149">
        <v>0.113450548728843</v>
      </c>
      <c r="H4149">
        <v>9.5512984066234805E-2</v>
      </c>
      <c r="I4149">
        <v>9.3971210536691496E-2</v>
      </c>
      <c r="J4149">
        <v>8.9264327840595195E-2</v>
      </c>
      <c r="K4149">
        <v>8.1935659948686401E-2</v>
      </c>
      <c r="L4149">
        <v>680.12619662973998</v>
      </c>
      <c r="M4149">
        <v>15.559301842138099</v>
      </c>
      <c r="N4149">
        <v>44.184072858706898</v>
      </c>
      <c r="O4149">
        <v>43.008914256374602</v>
      </c>
      <c r="P4149">
        <v>-8.3521973898189897E-2</v>
      </c>
      <c r="Q4149">
        <v>7.6597388481706996E-2</v>
      </c>
      <c r="R4149">
        <v>0.99415951356016397</v>
      </c>
      <c r="S4149" t="s">
        <v>10551</v>
      </c>
      <c r="T4149" t="s">
        <v>12802</v>
      </c>
      <c r="U4149" t="s">
        <v>12802</v>
      </c>
      <c r="V4149" t="s">
        <v>12802</v>
      </c>
      <c r="W4149" t="s">
        <v>16893</v>
      </c>
      <c r="X4149">
        <v>3</v>
      </c>
      <c r="Y4149" t="s">
        <v>23117</v>
      </c>
      <c r="Z4149" t="s">
        <v>29467</v>
      </c>
      <c r="AA4149">
        <v>0.30475493714099477</v>
      </c>
      <c r="AB4149" t="str">
        <f>HYPERLINK("Melting_Curves/meltCurve_Q7Z3B3_KANSL1.pdf", "Melting_Curves/meltCurve_Q7Z3B3_KANSL1.pdf")</f>
        <v>Melting_Curves/meltCurve_Q7Z3B3_KANSL1.pdf</v>
      </c>
    </row>
    <row r="4150" spans="1:28" x14ac:dyDescent="0.25">
      <c r="A4150" t="s">
        <v>4154</v>
      </c>
      <c r="B4150">
        <v>0.99542014353169495</v>
      </c>
      <c r="C4150">
        <v>0.91939754376756599</v>
      </c>
      <c r="D4150">
        <v>0.91467444666508402</v>
      </c>
      <c r="E4150">
        <v>0.71259327260820005</v>
      </c>
      <c r="F4150">
        <v>0.44491983361760101</v>
      </c>
      <c r="G4150">
        <v>0.19914536617401499</v>
      </c>
      <c r="H4150">
        <v>0.102735824357334</v>
      </c>
      <c r="I4150">
        <v>7.6617960353972905E-2</v>
      </c>
      <c r="J4150">
        <v>9.4424657209001395E-2</v>
      </c>
      <c r="K4150">
        <v>0.137276897597405</v>
      </c>
      <c r="L4150">
        <v>873.94298988918399</v>
      </c>
      <c r="M4150">
        <v>17.955307318895201</v>
      </c>
      <c r="N4150">
        <v>49.1389817183302</v>
      </c>
      <c r="O4150">
        <v>48.081538637736102</v>
      </c>
      <c r="P4150">
        <v>-8.6058262993039494E-2</v>
      </c>
      <c r="Q4150">
        <v>7.8243000855552997E-2</v>
      </c>
      <c r="R4150">
        <v>0.99282392409303</v>
      </c>
      <c r="S4150" t="s">
        <v>10552</v>
      </c>
      <c r="T4150" t="s">
        <v>12802</v>
      </c>
      <c r="U4150" t="s">
        <v>12802</v>
      </c>
      <c r="V4150" t="s">
        <v>12802</v>
      </c>
      <c r="W4150" t="s">
        <v>16894</v>
      </c>
      <c r="X4150">
        <v>5</v>
      </c>
      <c r="Y4150" t="s">
        <v>23118</v>
      </c>
      <c r="Z4150" t="s">
        <v>29468</v>
      </c>
      <c r="AA4150">
        <v>0.45165566300984972</v>
      </c>
      <c r="AB4150" t="str">
        <f>HYPERLINK("Melting_Curves/meltCurve_Q7Z3C6_2_ATG9A.pdf", "Melting_Curves/meltCurve_Q7Z3C6_2_ATG9A.pdf")</f>
        <v>Melting_Curves/meltCurve_Q7Z3C6_2_ATG9A.pdf</v>
      </c>
    </row>
    <row r="4151" spans="1:28" x14ac:dyDescent="0.25">
      <c r="A4151" t="s">
        <v>4155</v>
      </c>
      <c r="B4151">
        <v>0.99542014353169495</v>
      </c>
      <c r="C4151">
        <v>1.0539106397514899</v>
      </c>
      <c r="D4151">
        <v>0.952332956080852</v>
      </c>
      <c r="E4151">
        <v>0.92413565618171201</v>
      </c>
      <c r="F4151">
        <v>0.74606549383613796</v>
      </c>
      <c r="G4151">
        <v>0.54915133011968098</v>
      </c>
      <c r="H4151">
        <v>0.34680843273451201</v>
      </c>
      <c r="I4151">
        <v>0.224324088547428</v>
      </c>
      <c r="J4151">
        <v>0.25821457324746799</v>
      </c>
      <c r="K4151">
        <v>0.21153642672915501</v>
      </c>
      <c r="L4151">
        <v>891.79320708703301</v>
      </c>
      <c r="M4151">
        <v>16.909948890898502</v>
      </c>
      <c r="N4151">
        <v>54.257643629337601</v>
      </c>
      <c r="O4151">
        <v>52.0168034852598</v>
      </c>
      <c r="P4151">
        <v>-6.5944106316321305E-2</v>
      </c>
      <c r="Q4151">
        <v>0.18864682732920601</v>
      </c>
      <c r="R4151">
        <v>0.993180061880655</v>
      </c>
      <c r="S4151" t="s">
        <v>10553</v>
      </c>
      <c r="T4151" t="s">
        <v>12802</v>
      </c>
      <c r="U4151" t="s">
        <v>12802</v>
      </c>
      <c r="V4151" t="s">
        <v>12802</v>
      </c>
      <c r="W4151" t="s">
        <v>16895</v>
      </c>
      <c r="X4151">
        <v>6</v>
      </c>
      <c r="Y4151" t="s">
        <v>23119</v>
      </c>
      <c r="Z4151" t="s">
        <v>29469</v>
      </c>
      <c r="AA4151">
        <v>0.62720237343810692</v>
      </c>
      <c r="AB4151" t="str">
        <f>HYPERLINK("Melting_Curves/meltCurve_Q7Z3D4_LYSMD3.pdf", "Melting_Curves/meltCurve_Q7Z3D4_LYSMD3.pdf")</f>
        <v>Melting_Curves/meltCurve_Q7Z3D4_LYSMD3.pdf</v>
      </c>
    </row>
    <row r="4152" spans="1:28" x14ac:dyDescent="0.25">
      <c r="A4152" t="s">
        <v>4156</v>
      </c>
      <c r="B4152">
        <v>0.99542014353169495</v>
      </c>
      <c r="C4152">
        <v>0.979821105571827</v>
      </c>
      <c r="D4152">
        <v>0.985587652845344</v>
      </c>
      <c r="E4152">
        <v>0.73186077781013803</v>
      </c>
      <c r="F4152">
        <v>0.38230270379290399</v>
      </c>
      <c r="G4152">
        <v>0.196365881762678</v>
      </c>
      <c r="H4152">
        <v>0.14986668451320401</v>
      </c>
      <c r="I4152">
        <v>9.7983303967772994E-2</v>
      </c>
      <c r="J4152">
        <v>8.7413671792134204E-2</v>
      </c>
      <c r="K4152">
        <v>9.2584037296444099E-2</v>
      </c>
      <c r="L4152">
        <v>1080.7623265238601</v>
      </c>
      <c r="M4152">
        <v>22.277296207032901</v>
      </c>
      <c r="N4152">
        <v>48.987697015573801</v>
      </c>
      <c r="O4152">
        <v>48.128220650942701</v>
      </c>
      <c r="P4152">
        <v>-0.104509463344077</v>
      </c>
      <c r="Q4152">
        <v>9.6883648096344199E-2</v>
      </c>
      <c r="R4152">
        <v>0.99831839752981899</v>
      </c>
      <c r="S4152" t="s">
        <v>10554</v>
      </c>
      <c r="T4152" t="s">
        <v>12802</v>
      </c>
      <c r="U4152" t="s">
        <v>12802</v>
      </c>
      <c r="V4152" t="s">
        <v>12802</v>
      </c>
      <c r="W4152" t="s">
        <v>16896</v>
      </c>
      <c r="X4152">
        <v>4</v>
      </c>
      <c r="Y4152" t="s">
        <v>23120</v>
      </c>
      <c r="Z4152" t="s">
        <v>29470</v>
      </c>
      <c r="AA4152">
        <v>0.453198074089596</v>
      </c>
      <c r="AB4152" t="str">
        <f>HYPERLINK("Melting_Curves/meltCurve_Q7Z3E2_C10orf118.pdf", "Melting_Curves/meltCurve_Q7Z3E2_C10orf118.pdf")</f>
        <v>Melting_Curves/meltCurve_Q7Z3E2_C10orf118.pdf</v>
      </c>
    </row>
    <row r="4153" spans="1:28" x14ac:dyDescent="0.25">
      <c r="A4153" t="s">
        <v>4157</v>
      </c>
      <c r="B4153">
        <v>0.99542014353169495</v>
      </c>
      <c r="C4153">
        <v>0.948117840499344</v>
      </c>
      <c r="D4153">
        <v>0.87345090587040497</v>
      </c>
      <c r="E4153">
        <v>0.43902693141805199</v>
      </c>
      <c r="F4153">
        <v>0.15372134781043401</v>
      </c>
      <c r="G4153">
        <v>0.101132796929297</v>
      </c>
      <c r="H4153">
        <v>6.4232263823048003E-2</v>
      </c>
      <c r="I4153">
        <v>5.71322448451443E-2</v>
      </c>
      <c r="J4153">
        <v>5.7024184487905999E-2</v>
      </c>
      <c r="K4153">
        <v>5.0236354973801502E-2</v>
      </c>
      <c r="L4153">
        <v>1168.2599526167501</v>
      </c>
      <c r="M4153">
        <v>25.433320635860099</v>
      </c>
      <c r="N4153">
        <v>46.161591539721897</v>
      </c>
      <c r="O4153">
        <v>45.653091794529999</v>
      </c>
      <c r="P4153">
        <v>-0.13107753408041201</v>
      </c>
      <c r="Q4153">
        <v>5.8869689346296099E-2</v>
      </c>
      <c r="R4153">
        <v>0.99880109526609495</v>
      </c>
      <c r="S4153" t="s">
        <v>10555</v>
      </c>
      <c r="T4153" t="s">
        <v>12802</v>
      </c>
      <c r="U4153" t="s">
        <v>12802</v>
      </c>
      <c r="V4153" t="s">
        <v>12802</v>
      </c>
      <c r="W4153" t="s">
        <v>16897</v>
      </c>
      <c r="X4153">
        <v>8</v>
      </c>
      <c r="Y4153" t="s">
        <v>23121</v>
      </c>
      <c r="Z4153" t="s">
        <v>29471</v>
      </c>
      <c r="AA4153">
        <v>0.34666737251867169</v>
      </c>
      <c r="AB4153" t="str">
        <f>HYPERLINK("Melting_Curves/meltCurve_Q7Z3K3_5_POGZ.pdf", "Melting_Curves/meltCurve_Q7Z3K3_5_POGZ.pdf")</f>
        <v>Melting_Curves/meltCurve_Q7Z3K3_5_POGZ.pdf</v>
      </c>
    </row>
    <row r="4154" spans="1:28" x14ac:dyDescent="0.25">
      <c r="A4154" t="s">
        <v>4158</v>
      </c>
      <c r="B4154">
        <v>0.99542014353169495</v>
      </c>
      <c r="C4154">
        <v>1.03379380503275</v>
      </c>
      <c r="D4154">
        <v>1.13936305667709</v>
      </c>
      <c r="E4154">
        <v>0.96370349452107096</v>
      </c>
      <c r="F4154">
        <v>0.84500201214302195</v>
      </c>
      <c r="G4154">
        <v>0.40835707191840598</v>
      </c>
      <c r="H4154">
        <v>0.135200912382369</v>
      </c>
      <c r="I4154">
        <v>0.10298141613707</v>
      </c>
      <c r="J4154">
        <v>0.10707193856023201</v>
      </c>
      <c r="K4154">
        <v>0.120977399447994</v>
      </c>
      <c r="L4154">
        <v>1738.11162452388</v>
      </c>
      <c r="M4154">
        <v>33.013562850099603</v>
      </c>
      <c r="N4154">
        <v>53.012223267707803</v>
      </c>
      <c r="O4154">
        <v>52.456354420749697</v>
      </c>
      <c r="P4154">
        <v>-0.14139005951063199</v>
      </c>
      <c r="Q4154">
        <v>0.10136630676354701</v>
      </c>
      <c r="R4154">
        <v>0.98758285841853999</v>
      </c>
      <c r="S4154" t="s">
        <v>10556</v>
      </c>
      <c r="T4154" t="s">
        <v>12802</v>
      </c>
      <c r="U4154" t="s">
        <v>12802</v>
      </c>
      <c r="V4154" t="s">
        <v>12802</v>
      </c>
      <c r="W4154" t="s">
        <v>16898</v>
      </c>
      <c r="X4154">
        <v>13</v>
      </c>
      <c r="Y4154" t="s">
        <v>23122</v>
      </c>
      <c r="Z4154" t="s">
        <v>29472</v>
      </c>
      <c r="AA4154">
        <v>0.57485711141297158</v>
      </c>
      <c r="AB4154" t="str">
        <f>HYPERLINK("Melting_Curves/meltCurve_Q7Z3T8_ZFYVE16.pdf", "Melting_Curves/meltCurve_Q7Z3T8_ZFYVE16.pdf")</f>
        <v>Melting_Curves/meltCurve_Q7Z3T8_ZFYVE16.pdf</v>
      </c>
    </row>
    <row r="4155" spans="1:28" x14ac:dyDescent="0.25">
      <c r="A4155" t="s">
        <v>4159</v>
      </c>
      <c r="B4155">
        <v>0.99542014353169495</v>
      </c>
      <c r="C4155">
        <v>1.0324732926598099</v>
      </c>
      <c r="D4155">
        <v>0.85713034228085505</v>
      </c>
      <c r="E4155">
        <v>0.51712701021547902</v>
      </c>
      <c r="F4155">
        <v>0.299455652514304</v>
      </c>
      <c r="G4155">
        <v>0.138082521482457</v>
      </c>
      <c r="H4155">
        <v>4.0450996912871802E-2</v>
      </c>
      <c r="I4155">
        <v>3.0384927349243598E-2</v>
      </c>
      <c r="J4155">
        <v>3.5763065122325098E-2</v>
      </c>
      <c r="K4155">
        <v>3.8991775728202303E-2</v>
      </c>
      <c r="L4155">
        <v>852.48053956312106</v>
      </c>
      <c r="M4155">
        <v>18.1113985814766</v>
      </c>
      <c r="N4155">
        <v>47.217608666531397</v>
      </c>
      <c r="O4155">
        <v>46.506160263122503</v>
      </c>
      <c r="P4155">
        <v>-9.4662747638286804E-2</v>
      </c>
      <c r="Q4155">
        <v>2.7752848129735701E-2</v>
      </c>
      <c r="R4155">
        <v>0.99450996927484603</v>
      </c>
      <c r="S4155" t="s">
        <v>10557</v>
      </c>
      <c r="T4155" t="s">
        <v>12802</v>
      </c>
      <c r="U4155" t="s">
        <v>12802</v>
      </c>
      <c r="V4155" t="s">
        <v>12802</v>
      </c>
      <c r="W4155" t="s">
        <v>16899</v>
      </c>
      <c r="X4155">
        <v>3</v>
      </c>
      <c r="Y4155" t="s">
        <v>23123</v>
      </c>
      <c r="Z4155" t="s">
        <v>29473</v>
      </c>
      <c r="AA4155">
        <v>0.36948272353692718</v>
      </c>
      <c r="AB4155" t="str">
        <f>HYPERLINK("Melting_Curves/meltCurve_Q7Z403_TMC6.pdf", "Melting_Curves/meltCurve_Q7Z403_TMC6.pdf")</f>
        <v>Melting_Curves/meltCurve_Q7Z403_TMC6.pdf</v>
      </c>
    </row>
    <row r="4156" spans="1:28" x14ac:dyDescent="0.25">
      <c r="A4156" t="s">
        <v>4160</v>
      </c>
      <c r="B4156">
        <v>0.99542014353169495</v>
      </c>
      <c r="C4156">
        <v>0.88457333316129805</v>
      </c>
      <c r="D4156">
        <v>0.94622206961341504</v>
      </c>
      <c r="E4156">
        <v>0.76678926076323595</v>
      </c>
      <c r="F4156">
        <v>0.54006618244624605</v>
      </c>
      <c r="G4156">
        <v>0.49909942242456101</v>
      </c>
      <c r="H4156">
        <v>0.237942546462376</v>
      </c>
      <c r="I4156">
        <v>0.142987454149379</v>
      </c>
      <c r="J4156">
        <v>0.17589930898468401</v>
      </c>
      <c r="K4156">
        <v>0.28215261135306402</v>
      </c>
      <c r="L4156">
        <v>650.02721425995605</v>
      </c>
      <c r="M4156">
        <v>12.9692459478026</v>
      </c>
      <c r="N4156">
        <v>51.5824822325052</v>
      </c>
      <c r="O4156">
        <v>48.973928117694101</v>
      </c>
      <c r="P4156">
        <v>-5.6033712795148599E-2</v>
      </c>
      <c r="Q4156">
        <v>0.15378216489009999</v>
      </c>
      <c r="R4156">
        <v>0.95985335252701298</v>
      </c>
      <c r="S4156" t="s">
        <v>10558</v>
      </c>
      <c r="T4156" t="s">
        <v>12802</v>
      </c>
      <c r="U4156" t="s">
        <v>12802</v>
      </c>
      <c r="V4156" t="s">
        <v>12802</v>
      </c>
      <c r="W4156" t="s">
        <v>16900</v>
      </c>
      <c r="X4156">
        <v>16</v>
      </c>
      <c r="Y4156" t="s">
        <v>23124</v>
      </c>
      <c r="Z4156" t="s">
        <v>29474</v>
      </c>
      <c r="AA4156">
        <v>0.54529029031118403</v>
      </c>
      <c r="AB4156" t="str">
        <f>HYPERLINK("Melting_Curves/meltCurve_Q7Z417_NUFIP2.pdf", "Melting_Curves/meltCurve_Q7Z417_NUFIP2.pdf")</f>
        <v>Melting_Curves/meltCurve_Q7Z417_NUFIP2.pdf</v>
      </c>
    </row>
    <row r="4157" spans="1:28" x14ac:dyDescent="0.25">
      <c r="A4157" t="s">
        <v>4161</v>
      </c>
      <c r="B4157">
        <v>0.99542014353169495</v>
      </c>
      <c r="C4157">
        <v>1.12755053755632</v>
      </c>
      <c r="D4157">
        <v>1.03055659401625</v>
      </c>
      <c r="E4157">
        <v>1.0788867673273901</v>
      </c>
      <c r="F4157">
        <v>0.93336878689914105</v>
      </c>
      <c r="G4157">
        <v>0.79898815741137197</v>
      </c>
      <c r="H4157">
        <v>0.68377279015265202</v>
      </c>
      <c r="I4157">
        <v>0.65677882915055597</v>
      </c>
      <c r="J4157">
        <v>0.98553989117143703</v>
      </c>
      <c r="K4157">
        <v>1.31942956425724</v>
      </c>
      <c r="L4157">
        <v>15000</v>
      </c>
      <c r="M4157">
        <v>224.450974427679</v>
      </c>
      <c r="O4157">
        <v>66.824431463018399</v>
      </c>
      <c r="P4157">
        <v>0.41985199846004501</v>
      </c>
      <c r="Q4157">
        <v>1.5</v>
      </c>
      <c r="R4157">
        <v>0.23274020312406399</v>
      </c>
      <c r="S4157" t="s">
        <v>10559</v>
      </c>
      <c r="T4157" t="s">
        <v>12802</v>
      </c>
      <c r="U4157" t="s">
        <v>12802</v>
      </c>
      <c r="V4157" t="s">
        <v>12802</v>
      </c>
      <c r="W4157" t="s">
        <v>16901</v>
      </c>
      <c r="X4157">
        <v>6</v>
      </c>
      <c r="Y4157" t="s">
        <v>23125</v>
      </c>
      <c r="Z4157" t="s">
        <v>29475</v>
      </c>
      <c r="AA4157">
        <v>1.0050225150321579</v>
      </c>
      <c r="AB4157" t="str">
        <f>HYPERLINK("Melting_Curves/meltCurve_Q7Z422_2_SZRD1.pdf", "Melting_Curves/meltCurve_Q7Z422_2_SZRD1.pdf")</f>
        <v>Melting_Curves/meltCurve_Q7Z422_2_SZRD1.pdf</v>
      </c>
    </row>
    <row r="4158" spans="1:28" x14ac:dyDescent="0.25">
      <c r="A4158" t="s">
        <v>4162</v>
      </c>
      <c r="B4158">
        <v>0.99542014353169495</v>
      </c>
      <c r="C4158">
        <v>0.89807716692803097</v>
      </c>
      <c r="D4158">
        <v>0.95614340525845498</v>
      </c>
      <c r="E4158">
        <v>0.69845317084569203</v>
      </c>
      <c r="F4158">
        <v>0.58515749364977498</v>
      </c>
      <c r="G4158">
        <v>0.36225149098569498</v>
      </c>
      <c r="H4158">
        <v>0.21334869100770101</v>
      </c>
      <c r="I4158">
        <v>0.123469888065203</v>
      </c>
      <c r="J4158">
        <v>0.14130431417400299</v>
      </c>
      <c r="K4158">
        <v>0.144560848639991</v>
      </c>
      <c r="L4158">
        <v>632.83032777302799</v>
      </c>
      <c r="M4158">
        <v>12.5870257737191</v>
      </c>
      <c r="N4158">
        <v>50.924750681714102</v>
      </c>
      <c r="O4158">
        <v>49.058009414891998</v>
      </c>
      <c r="P4158">
        <v>-5.9406563605469198E-2</v>
      </c>
      <c r="Q4158">
        <v>7.4035697192437896E-2</v>
      </c>
      <c r="R4158">
        <v>0.98654192383462902</v>
      </c>
      <c r="S4158" t="s">
        <v>10560</v>
      </c>
      <c r="T4158" t="s">
        <v>12802</v>
      </c>
      <c r="U4158" t="s">
        <v>12802</v>
      </c>
      <c r="V4158" t="s">
        <v>12802</v>
      </c>
      <c r="W4158" t="s">
        <v>16902</v>
      </c>
      <c r="X4158">
        <v>3</v>
      </c>
      <c r="Y4158" t="s">
        <v>23126</v>
      </c>
      <c r="Z4158" t="s">
        <v>29476</v>
      </c>
      <c r="AA4158">
        <v>0.5078970790775198</v>
      </c>
      <c r="AB4158" t="str">
        <f>HYPERLINK("Melting_Curves/meltCurve_Q7Z434_MAVS.pdf", "Melting_Curves/meltCurve_Q7Z434_MAVS.pdf")</f>
        <v>Melting_Curves/meltCurve_Q7Z434_MAVS.pdf</v>
      </c>
    </row>
    <row r="4159" spans="1:28" x14ac:dyDescent="0.25">
      <c r="A4159" t="s">
        <v>4163</v>
      </c>
      <c r="B4159">
        <v>0.99542014353169495</v>
      </c>
      <c r="C4159">
        <v>0.94424124352461403</v>
      </c>
      <c r="D4159">
        <v>1.0528867107144799</v>
      </c>
      <c r="E4159">
        <v>0.62107106774190701</v>
      </c>
      <c r="F4159">
        <v>0.56962776396542403</v>
      </c>
      <c r="G4159">
        <v>0.311769276431626</v>
      </c>
      <c r="H4159">
        <v>0.216585116531616</v>
      </c>
      <c r="I4159">
        <v>0.13191422422695501</v>
      </c>
      <c r="J4159">
        <v>0.17124972287613199</v>
      </c>
      <c r="K4159">
        <v>0.16536808717649601</v>
      </c>
      <c r="L4159">
        <v>769.44970130337401</v>
      </c>
      <c r="M4159">
        <v>15.6416161809139</v>
      </c>
      <c r="N4159">
        <v>50.204808424220502</v>
      </c>
      <c r="O4159">
        <v>48.409459608464502</v>
      </c>
      <c r="P4159">
        <v>-6.9858529859197702E-2</v>
      </c>
      <c r="Q4159">
        <v>0.13524952194633</v>
      </c>
      <c r="R4159">
        <v>0.96613936465009298</v>
      </c>
      <c r="S4159" t="s">
        <v>10561</v>
      </c>
      <c r="T4159" t="s">
        <v>12802</v>
      </c>
      <c r="U4159" t="s">
        <v>12802</v>
      </c>
      <c r="V4159" t="s">
        <v>12802</v>
      </c>
      <c r="W4159" t="s">
        <v>15757</v>
      </c>
      <c r="X4159">
        <v>33</v>
      </c>
      <c r="Y4159" t="s">
        <v>22012</v>
      </c>
      <c r="Z4159" t="s">
        <v>29477</v>
      </c>
      <c r="AA4159">
        <v>0.50403049584406701</v>
      </c>
      <c r="AB4159" t="str">
        <f>HYPERLINK("Melting_Curves/meltCurve_Q7Z451_AP2B1.pdf", "Melting_Curves/meltCurve_Q7Z451_AP2B1.pdf")</f>
        <v>Melting_Curves/meltCurve_Q7Z451_AP2B1.pdf</v>
      </c>
    </row>
    <row r="4160" spans="1:28" x14ac:dyDescent="0.25">
      <c r="A4160" t="s">
        <v>4164</v>
      </c>
      <c r="B4160">
        <v>0.99542014353169495</v>
      </c>
      <c r="C4160">
        <v>0.97037354351240201</v>
      </c>
      <c r="D4160">
        <v>0.95090734775504204</v>
      </c>
      <c r="E4160">
        <v>0.48861237646878602</v>
      </c>
      <c r="F4160">
        <v>0.166332381663922</v>
      </c>
      <c r="G4160">
        <v>9.1545885221835099E-2</v>
      </c>
      <c r="H4160">
        <v>7.8194831049474806E-2</v>
      </c>
      <c r="I4160">
        <v>7.0414415913823095E-2</v>
      </c>
      <c r="J4160">
        <v>6.7848404636504003E-2</v>
      </c>
      <c r="K4160">
        <v>5.9718221449212398E-2</v>
      </c>
      <c r="L4160">
        <v>1471.76887490172</v>
      </c>
      <c r="M4160">
        <v>31.740635526763299</v>
      </c>
      <c r="N4160">
        <v>46.600423193671404</v>
      </c>
      <c r="O4160">
        <v>46.1857106513594</v>
      </c>
      <c r="P4160">
        <v>-0.15926204456134699</v>
      </c>
      <c r="Q4160">
        <v>7.3037785963742594E-2</v>
      </c>
      <c r="R4160">
        <v>0.99884783735674798</v>
      </c>
      <c r="S4160" t="s">
        <v>10562</v>
      </c>
      <c r="T4160" t="s">
        <v>12802</v>
      </c>
      <c r="U4160" t="s">
        <v>12802</v>
      </c>
      <c r="V4160" t="s">
        <v>12802</v>
      </c>
      <c r="W4160" t="s">
        <v>16903</v>
      </c>
      <c r="X4160">
        <v>31</v>
      </c>
      <c r="Y4160" t="s">
        <v>23127</v>
      </c>
      <c r="Z4160" t="s">
        <v>29478</v>
      </c>
      <c r="AA4160">
        <v>0.36726352441453841</v>
      </c>
      <c r="AB4160" t="str">
        <f>HYPERLINK("Melting_Curves/meltCurve_Q7Z460_CLASP1.pdf", "Melting_Curves/meltCurve_Q7Z460_CLASP1.pdf")</f>
        <v>Melting_Curves/meltCurve_Q7Z460_CLASP1.pdf</v>
      </c>
    </row>
    <row r="4161" spans="1:28" x14ac:dyDescent="0.25">
      <c r="A4161" t="s">
        <v>4165</v>
      </c>
      <c r="B4161">
        <v>0.99542014353169495</v>
      </c>
      <c r="C4161">
        <v>0.98263184206034104</v>
      </c>
      <c r="D4161">
        <v>1.01041291509838</v>
      </c>
      <c r="E4161">
        <v>0.83944480889533402</v>
      </c>
      <c r="F4161">
        <v>0.54710260317787696</v>
      </c>
      <c r="G4161">
        <v>0.20830724969484399</v>
      </c>
      <c r="H4161">
        <v>7.5479679628236193E-2</v>
      </c>
      <c r="I4161">
        <v>4.8274524452201699E-2</v>
      </c>
      <c r="J4161">
        <v>5.9051989716891601E-2</v>
      </c>
      <c r="K4161">
        <v>6.48040683231772E-2</v>
      </c>
      <c r="L4161">
        <v>1168.6129257243199</v>
      </c>
      <c r="M4161">
        <v>23.251068526254901</v>
      </c>
      <c r="N4161">
        <v>50.458995025362903</v>
      </c>
      <c r="O4161">
        <v>49.893252374321698</v>
      </c>
      <c r="P4161">
        <v>-0.11141719062857</v>
      </c>
      <c r="Q4161">
        <v>4.3679814902333802E-2</v>
      </c>
      <c r="R4161">
        <v>0.99817199966880599</v>
      </c>
      <c r="S4161" t="s">
        <v>10563</v>
      </c>
      <c r="T4161" t="s">
        <v>12802</v>
      </c>
      <c r="U4161" t="s">
        <v>12802</v>
      </c>
      <c r="V4161" t="s">
        <v>12802</v>
      </c>
      <c r="W4161" t="s">
        <v>16904</v>
      </c>
      <c r="X4161">
        <v>29</v>
      </c>
      <c r="Y4161" t="s">
        <v>23128</v>
      </c>
      <c r="Z4161" t="s">
        <v>29479</v>
      </c>
      <c r="AA4161">
        <v>0.47599809377878871</v>
      </c>
      <c r="AB4161" t="str">
        <f>HYPERLINK("Melting_Curves/meltCurve_Q7Z478_DHX29.pdf", "Melting_Curves/meltCurve_Q7Z478_DHX29.pdf")</f>
        <v>Melting_Curves/meltCurve_Q7Z478_DHX29.pdf</v>
      </c>
    </row>
    <row r="4162" spans="1:28" x14ac:dyDescent="0.25">
      <c r="A4162" t="s">
        <v>4166</v>
      </c>
      <c r="B4162">
        <v>0.99542014353169495</v>
      </c>
      <c r="C4162">
        <v>0.957652862004155</v>
      </c>
      <c r="D4162">
        <v>1.05631208495866</v>
      </c>
      <c r="E4162">
        <v>0.902700284266159</v>
      </c>
      <c r="F4162">
        <v>0.82057047271368899</v>
      </c>
      <c r="G4162">
        <v>0.50850667986809195</v>
      </c>
      <c r="H4162">
        <v>0.35891660660411501</v>
      </c>
      <c r="I4162">
        <v>0.26387685554352303</v>
      </c>
      <c r="J4162">
        <v>0.28622830132089899</v>
      </c>
      <c r="K4162">
        <v>0.33883230160871097</v>
      </c>
      <c r="L4162">
        <v>1287.62408752583</v>
      </c>
      <c r="M4162">
        <v>24.711275428250399</v>
      </c>
      <c r="N4162">
        <v>53.9863024170957</v>
      </c>
      <c r="O4162">
        <v>51.769108428016999</v>
      </c>
      <c r="P4162">
        <v>-8.4908639580357798E-2</v>
      </c>
      <c r="Q4162">
        <v>0.288489638268695</v>
      </c>
      <c r="R4162">
        <v>0.985563866485202</v>
      </c>
      <c r="S4162" t="s">
        <v>10564</v>
      </c>
      <c r="T4162" t="s">
        <v>12802</v>
      </c>
      <c r="U4162" t="s">
        <v>12802</v>
      </c>
      <c r="V4162" t="s">
        <v>12802</v>
      </c>
      <c r="W4162" t="s">
        <v>16905</v>
      </c>
      <c r="X4162">
        <v>4</v>
      </c>
      <c r="Y4162" t="s">
        <v>23129</v>
      </c>
      <c r="Z4162" t="s">
        <v>29480</v>
      </c>
      <c r="AA4162">
        <v>0.65321253747411789</v>
      </c>
      <c r="AB4162" t="str">
        <f>HYPERLINK("Melting_Curves/meltCurve_Q7Z4F1_LRP10.pdf", "Melting_Curves/meltCurve_Q7Z4F1_LRP10.pdf")</f>
        <v>Melting_Curves/meltCurve_Q7Z4F1_LRP10.pdf</v>
      </c>
    </row>
    <row r="4163" spans="1:28" x14ac:dyDescent="0.25">
      <c r="A4163" t="s">
        <v>4167</v>
      </c>
      <c r="B4163">
        <v>0.99542014353169495</v>
      </c>
      <c r="C4163">
        <v>0.79916749138068199</v>
      </c>
      <c r="D4163">
        <v>0.76215264146309103</v>
      </c>
      <c r="E4163">
        <v>0.52834368750333705</v>
      </c>
      <c r="F4163">
        <v>0.25285623752027903</v>
      </c>
      <c r="G4163">
        <v>0.16501322946233801</v>
      </c>
      <c r="H4163">
        <v>9.7662590025540202E-2</v>
      </c>
      <c r="I4163">
        <v>6.0147881135187299E-2</v>
      </c>
      <c r="J4163">
        <v>7.4815886770437795E-2</v>
      </c>
      <c r="K4163">
        <v>8.70609590138611E-2</v>
      </c>
      <c r="L4163">
        <v>597.616710139367</v>
      </c>
      <c r="M4163">
        <v>12.9552953335563</v>
      </c>
      <c r="N4163">
        <v>46.427084981954401</v>
      </c>
      <c r="O4163">
        <v>45.071523511398503</v>
      </c>
      <c r="P4163">
        <v>-6.9005612404922506E-2</v>
      </c>
      <c r="Q4163">
        <v>3.9888240847635099E-2</v>
      </c>
      <c r="R4163">
        <v>0.98745785038049705</v>
      </c>
      <c r="S4163" t="s">
        <v>10565</v>
      </c>
      <c r="T4163" t="s">
        <v>12802</v>
      </c>
      <c r="U4163" t="s">
        <v>12802</v>
      </c>
      <c r="V4163" t="s">
        <v>12802</v>
      </c>
      <c r="W4163" t="s">
        <v>16906</v>
      </c>
      <c r="X4163">
        <v>2</v>
      </c>
      <c r="Y4163" t="s">
        <v>23130</v>
      </c>
      <c r="Z4163" t="s">
        <v>29481</v>
      </c>
      <c r="AA4163">
        <v>0.36088725299380892</v>
      </c>
      <c r="AB4163" t="str">
        <f>HYPERLINK("Melting_Curves/meltCurve_Q7Z4G1_COMMD6.pdf", "Melting_Curves/meltCurve_Q7Z4G1_COMMD6.pdf")</f>
        <v>Melting_Curves/meltCurve_Q7Z4G1_COMMD6.pdf</v>
      </c>
    </row>
    <row r="4164" spans="1:28" x14ac:dyDescent="0.25">
      <c r="A4164" t="s">
        <v>4168</v>
      </c>
      <c r="B4164">
        <v>0.99542014353169495</v>
      </c>
      <c r="C4164">
        <v>1.09174953820248</v>
      </c>
      <c r="D4164">
        <v>1.04584857105457</v>
      </c>
      <c r="E4164">
        <v>1.0702979402209301</v>
      </c>
      <c r="F4164">
        <v>0.88812382963431602</v>
      </c>
      <c r="G4164">
        <v>0.71047802960204098</v>
      </c>
      <c r="H4164">
        <v>0.48934403820175298</v>
      </c>
      <c r="I4164">
        <v>0.38450362601400201</v>
      </c>
      <c r="J4164">
        <v>0.31434066572145802</v>
      </c>
      <c r="K4164">
        <v>0.16997395369387799</v>
      </c>
      <c r="L4164">
        <v>942.81517140049198</v>
      </c>
      <c r="M4164">
        <v>16.809517628874801</v>
      </c>
      <c r="N4164">
        <v>57.595752198197999</v>
      </c>
      <c r="O4164">
        <v>55.312413435715499</v>
      </c>
      <c r="P4164">
        <v>-6.2457364618549602E-2</v>
      </c>
      <c r="Q4164">
        <v>0.17797893086140501</v>
      </c>
      <c r="R4164">
        <v>0.97427533950272804</v>
      </c>
      <c r="S4164" t="s">
        <v>10566</v>
      </c>
      <c r="T4164" t="s">
        <v>12802</v>
      </c>
      <c r="U4164" t="s">
        <v>12802</v>
      </c>
      <c r="V4164" t="s">
        <v>12802</v>
      </c>
      <c r="W4164" t="s">
        <v>16907</v>
      </c>
      <c r="X4164">
        <v>12</v>
      </c>
      <c r="Y4164" t="s">
        <v>23131</v>
      </c>
      <c r="Z4164" t="s">
        <v>29482</v>
      </c>
      <c r="AA4164">
        <v>0.71017041933688274</v>
      </c>
      <c r="AB4164" t="str">
        <f>HYPERLINK("Melting_Curves/meltCurve_Q7Z4H3_HDDC2.pdf", "Melting_Curves/meltCurve_Q7Z4H3_HDDC2.pdf")</f>
        <v>Melting_Curves/meltCurve_Q7Z4H3_HDDC2.pdf</v>
      </c>
    </row>
    <row r="4165" spans="1:28" x14ac:dyDescent="0.25">
      <c r="A4165" t="s">
        <v>4169</v>
      </c>
      <c r="B4165">
        <v>0.99542014353169495</v>
      </c>
      <c r="C4165">
        <v>0.875859716499507</v>
      </c>
      <c r="D4165">
        <v>0.82924724255667603</v>
      </c>
      <c r="E4165">
        <v>0.42300955807933999</v>
      </c>
      <c r="F4165">
        <v>0.25069692798001703</v>
      </c>
      <c r="G4165">
        <v>0.191460962598546</v>
      </c>
      <c r="H4165">
        <v>0.12848973006355199</v>
      </c>
      <c r="I4165">
        <v>7.9596905652831104E-2</v>
      </c>
      <c r="J4165">
        <v>6.9120035232316496E-2</v>
      </c>
      <c r="K4165">
        <v>7.8338983000235896E-2</v>
      </c>
      <c r="L4165">
        <v>774.62361827030702</v>
      </c>
      <c r="M4165">
        <v>16.934977084985199</v>
      </c>
      <c r="N4165">
        <v>46.229704434323303</v>
      </c>
      <c r="O4165">
        <v>45.117525251506002</v>
      </c>
      <c r="P4165">
        <v>-8.6153564250760498E-2</v>
      </c>
      <c r="Q4165">
        <v>8.1949279457969301E-2</v>
      </c>
      <c r="R4165">
        <v>0.99030968488739102</v>
      </c>
      <c r="S4165" t="s">
        <v>10567</v>
      </c>
      <c r="T4165" t="s">
        <v>12802</v>
      </c>
      <c r="U4165" t="s">
        <v>12802</v>
      </c>
      <c r="V4165" t="s">
        <v>12802</v>
      </c>
      <c r="W4165" t="s">
        <v>16908</v>
      </c>
      <c r="X4165">
        <v>9</v>
      </c>
      <c r="Y4165" t="s">
        <v>23132</v>
      </c>
      <c r="Z4165" t="s">
        <v>29483</v>
      </c>
      <c r="AA4165">
        <v>0.36625379399567859</v>
      </c>
      <c r="AB4165" t="str">
        <f>HYPERLINK("Melting_Curves/meltCurve_Q7Z4H7_3_HAUS6.pdf", "Melting_Curves/meltCurve_Q7Z4H7_3_HAUS6.pdf")</f>
        <v>Melting_Curves/meltCurve_Q7Z4H7_3_HAUS6.pdf</v>
      </c>
    </row>
    <row r="4166" spans="1:28" x14ac:dyDescent="0.25">
      <c r="A4166" t="s">
        <v>4170</v>
      </c>
      <c r="B4166">
        <v>0.99542014353169495</v>
      </c>
      <c r="C4166">
        <v>1.0641732988958901</v>
      </c>
      <c r="D4166">
        <v>1.0441793883659001</v>
      </c>
      <c r="E4166">
        <v>0.97988704698566997</v>
      </c>
      <c r="F4166">
        <v>0.73149062019988398</v>
      </c>
      <c r="G4166">
        <v>0.29243883768403001</v>
      </c>
      <c r="H4166">
        <v>0.11841638338579299</v>
      </c>
      <c r="I4166">
        <v>8.4851740036971907E-2</v>
      </c>
      <c r="J4166">
        <v>7.0152161867886295E-2</v>
      </c>
      <c r="K4166">
        <v>7.7621240636643593E-2</v>
      </c>
      <c r="L4166">
        <v>1588.38312583275</v>
      </c>
      <c r="M4166">
        <v>30.7194770915779</v>
      </c>
      <c r="N4166">
        <v>51.979526860654197</v>
      </c>
      <c r="O4166">
        <v>51.488429198018103</v>
      </c>
      <c r="P4166">
        <v>-0.13802843485185201</v>
      </c>
      <c r="Q4166">
        <v>7.4616383221405E-2</v>
      </c>
      <c r="R4166">
        <v>0.996491755419324</v>
      </c>
      <c r="S4166" t="s">
        <v>10568</v>
      </c>
      <c r="T4166" t="s">
        <v>12802</v>
      </c>
      <c r="U4166" t="s">
        <v>12802</v>
      </c>
      <c r="V4166" t="s">
        <v>12802</v>
      </c>
      <c r="W4166" t="s">
        <v>16909</v>
      </c>
      <c r="X4166">
        <v>12</v>
      </c>
      <c r="Y4166" t="s">
        <v>23133</v>
      </c>
      <c r="Z4166" t="s">
        <v>29484</v>
      </c>
      <c r="AA4166">
        <v>0.53379979403615063</v>
      </c>
      <c r="AB4166" t="str">
        <f>HYPERLINK("Melting_Curves/meltCurve_Q7Z4H8_KDELC2.pdf", "Melting_Curves/meltCurve_Q7Z4H8_KDELC2.pdf")</f>
        <v>Melting_Curves/meltCurve_Q7Z4H8_KDELC2.pdf</v>
      </c>
    </row>
    <row r="4167" spans="1:28" x14ac:dyDescent="0.25">
      <c r="A4167" t="s">
        <v>4171</v>
      </c>
      <c r="B4167">
        <v>0.99542014353169495</v>
      </c>
      <c r="C4167">
        <v>0.86408634649196603</v>
      </c>
      <c r="D4167">
        <v>0.86916120711751299</v>
      </c>
      <c r="E4167">
        <v>0.40384094016850203</v>
      </c>
      <c r="F4167">
        <v>7.5019339884905695E-2</v>
      </c>
      <c r="G4167">
        <v>4.7364167557841903E-2</v>
      </c>
      <c r="H4167">
        <v>2.65004565822359E-2</v>
      </c>
      <c r="I4167">
        <v>1.5638272813293799E-2</v>
      </c>
      <c r="J4167">
        <v>1.8295821459627E-2</v>
      </c>
      <c r="K4167">
        <v>1.6861198143797902E-2</v>
      </c>
      <c r="L4167">
        <v>1191.3682673859801</v>
      </c>
      <c r="M4167">
        <v>26.021333953701699</v>
      </c>
      <c r="N4167">
        <v>45.837598371315899</v>
      </c>
      <c r="O4167">
        <v>45.516438134782199</v>
      </c>
      <c r="P4167">
        <v>-0.14079405932050901</v>
      </c>
      <c r="Q4167">
        <v>1.49048180915669E-2</v>
      </c>
      <c r="R4167">
        <v>0.99035944857081004</v>
      </c>
      <c r="S4167" t="s">
        <v>10569</v>
      </c>
      <c r="T4167" t="s">
        <v>12802</v>
      </c>
      <c r="U4167" t="s">
        <v>12802</v>
      </c>
      <c r="V4167" t="s">
        <v>12802</v>
      </c>
      <c r="W4167" t="s">
        <v>16910</v>
      </c>
      <c r="X4167">
        <v>9</v>
      </c>
      <c r="Y4167" t="s">
        <v>23134</v>
      </c>
      <c r="Z4167" t="s">
        <v>29485</v>
      </c>
      <c r="AA4167">
        <v>0.3108479199466041</v>
      </c>
      <c r="AB4167" t="str">
        <f>HYPERLINK("Melting_Curves/meltCurve_Q7Z4Q2_HEATR3.pdf", "Melting_Curves/meltCurve_Q7Z4Q2_HEATR3.pdf")</f>
        <v>Melting_Curves/meltCurve_Q7Z4Q2_HEATR3.pdf</v>
      </c>
    </row>
    <row r="4168" spans="1:28" x14ac:dyDescent="0.25">
      <c r="A4168" t="s">
        <v>4172</v>
      </c>
      <c r="B4168">
        <v>0.99542014353169495</v>
      </c>
      <c r="C4168">
        <v>0.86314857096676001</v>
      </c>
      <c r="D4168">
        <v>0.81320951007223796</v>
      </c>
      <c r="E4168">
        <v>0.75357585279456696</v>
      </c>
      <c r="F4168">
        <v>0.497683254399784</v>
      </c>
      <c r="G4168">
        <v>0.38410551237866702</v>
      </c>
      <c r="H4168">
        <v>0.24868082696090901</v>
      </c>
      <c r="I4168">
        <v>0.225469771932408</v>
      </c>
      <c r="J4168">
        <v>0.371852283748978</v>
      </c>
      <c r="K4168">
        <v>0.45724517500199002</v>
      </c>
      <c r="L4168">
        <v>678.82399180177595</v>
      </c>
      <c r="M4168">
        <v>14.486224278341201</v>
      </c>
      <c r="N4168">
        <v>50.172265315674501</v>
      </c>
      <c r="O4168">
        <v>45.994126451912699</v>
      </c>
      <c r="P4168">
        <v>-5.45054575525806E-2</v>
      </c>
      <c r="Q4168">
        <v>0.30785518599554901</v>
      </c>
      <c r="R4168">
        <v>0.90948654059854295</v>
      </c>
      <c r="S4168" t="s">
        <v>10570</v>
      </c>
      <c r="T4168" t="s">
        <v>12802</v>
      </c>
      <c r="U4168" t="s">
        <v>12802</v>
      </c>
      <c r="V4168" t="s">
        <v>12802</v>
      </c>
      <c r="W4168" t="s">
        <v>16911</v>
      </c>
      <c r="X4168">
        <v>16</v>
      </c>
      <c r="Y4168" t="s">
        <v>23135</v>
      </c>
      <c r="Z4168" t="s">
        <v>29486</v>
      </c>
      <c r="AA4168">
        <v>0.55197777353211797</v>
      </c>
      <c r="AB4168" t="str">
        <f>HYPERLINK("Melting_Curves/meltCurve_Q7Z4V5_HDGFRP2.pdf", "Melting_Curves/meltCurve_Q7Z4V5_HDGFRP2.pdf")</f>
        <v>Melting_Curves/meltCurve_Q7Z4V5_HDGFRP2.pdf</v>
      </c>
    </row>
    <row r="4169" spans="1:28" x14ac:dyDescent="0.25">
      <c r="A4169" t="s">
        <v>4173</v>
      </c>
      <c r="B4169">
        <v>0.99542014353169495</v>
      </c>
      <c r="C4169">
        <v>0.99617055135140598</v>
      </c>
      <c r="D4169">
        <v>0.90354064315620497</v>
      </c>
      <c r="E4169">
        <v>0.83914413163867996</v>
      </c>
      <c r="F4169">
        <v>0.68927074986646697</v>
      </c>
      <c r="G4169">
        <v>0.59224931816843696</v>
      </c>
      <c r="H4169">
        <v>0.38452075544362202</v>
      </c>
      <c r="I4169">
        <v>0.204383784443184</v>
      </c>
      <c r="J4169">
        <v>7.1458906733692595E-2</v>
      </c>
      <c r="K4169">
        <v>6.1757549399010597E-2</v>
      </c>
      <c r="L4169">
        <v>639.49332345608195</v>
      </c>
      <c r="M4169">
        <v>11.7836109834028</v>
      </c>
      <c r="N4169">
        <v>54.269715261542501</v>
      </c>
      <c r="O4169">
        <v>52.777498557657303</v>
      </c>
      <c r="P4169">
        <v>-5.5831838096660501E-2</v>
      </c>
      <c r="Q4169">
        <v>0</v>
      </c>
      <c r="R4169">
        <v>0.98595126481762196</v>
      </c>
      <c r="S4169" t="s">
        <v>10571</v>
      </c>
      <c r="T4169" t="s">
        <v>12802</v>
      </c>
      <c r="U4169" t="s">
        <v>12802</v>
      </c>
      <c r="V4169" t="s">
        <v>12802</v>
      </c>
      <c r="W4169" t="s">
        <v>16912</v>
      </c>
      <c r="X4169">
        <v>12</v>
      </c>
      <c r="Y4169" t="s">
        <v>23136</v>
      </c>
      <c r="Z4169" t="s">
        <v>29487</v>
      </c>
      <c r="AA4169">
        <v>0.5926319097585907</v>
      </c>
      <c r="AB4169" t="str">
        <f>HYPERLINK("Melting_Curves/meltCurve_Q7Z4W1_DCXR.pdf", "Melting_Curves/meltCurve_Q7Z4W1_DCXR.pdf")</f>
        <v>Melting_Curves/meltCurve_Q7Z4W1_DCXR.pdf</v>
      </c>
    </row>
    <row r="4170" spans="1:28" x14ac:dyDescent="0.25">
      <c r="A4170" t="s">
        <v>4174</v>
      </c>
      <c r="B4170">
        <v>0.99542014353169495</v>
      </c>
      <c r="C4170">
        <v>1.0063342978604899</v>
      </c>
      <c r="D4170">
        <v>0.89648485937425304</v>
      </c>
      <c r="E4170">
        <v>0.79121103393442604</v>
      </c>
      <c r="F4170">
        <v>0.74428232955070805</v>
      </c>
      <c r="G4170">
        <v>0.53980144606730995</v>
      </c>
      <c r="H4170">
        <v>0.38115439831619002</v>
      </c>
      <c r="I4170">
        <v>0.283483184572215</v>
      </c>
      <c r="J4170">
        <v>0.27488102721538499</v>
      </c>
      <c r="K4170">
        <v>0.20682189899836301</v>
      </c>
      <c r="L4170">
        <v>530.78029306032795</v>
      </c>
      <c r="M4170">
        <v>9.9271024927039804</v>
      </c>
      <c r="N4170">
        <v>54.726779269442801</v>
      </c>
      <c r="O4170">
        <v>51.433788590945902</v>
      </c>
      <c r="P4170">
        <v>-4.3347674703240802E-2</v>
      </c>
      <c r="Q4170">
        <v>0.102085848440435</v>
      </c>
      <c r="R4170">
        <v>0.99037625066601498</v>
      </c>
      <c r="S4170" t="s">
        <v>10572</v>
      </c>
      <c r="T4170" t="s">
        <v>12802</v>
      </c>
      <c r="U4170" t="s">
        <v>12802</v>
      </c>
      <c r="V4170" t="s">
        <v>12802</v>
      </c>
      <c r="W4170" t="s">
        <v>16913</v>
      </c>
      <c r="X4170">
        <v>8</v>
      </c>
      <c r="Y4170" t="s">
        <v>23137</v>
      </c>
      <c r="Z4170" t="s">
        <v>29488</v>
      </c>
      <c r="AA4170">
        <v>0.61311692075694135</v>
      </c>
      <c r="AB4170" t="str">
        <f>HYPERLINK("Melting_Curves/meltCurve_Q7Z5G4_GOLGA7.pdf", "Melting_Curves/meltCurve_Q7Z5G4_GOLGA7.pdf")</f>
        <v>Melting_Curves/meltCurve_Q7Z5G4_GOLGA7.pdf</v>
      </c>
    </row>
    <row r="4171" spans="1:28" x14ac:dyDescent="0.25">
      <c r="A4171" t="s">
        <v>4175</v>
      </c>
      <c r="B4171">
        <v>0.99542014353169495</v>
      </c>
      <c r="C4171">
        <v>0.93377380794206</v>
      </c>
      <c r="D4171">
        <v>0.80505600700434998</v>
      </c>
      <c r="E4171">
        <v>0.56402522846370795</v>
      </c>
      <c r="F4171">
        <v>0.21343411729171799</v>
      </c>
      <c r="G4171">
        <v>8.5886897673333698E-2</v>
      </c>
      <c r="H4171">
        <v>1.4820746425420301E-2</v>
      </c>
      <c r="I4171">
        <v>2.0609828997555101E-2</v>
      </c>
      <c r="J4171">
        <v>2.38183800299719E-2</v>
      </c>
      <c r="K4171">
        <v>0</v>
      </c>
      <c r="L4171">
        <v>831.438562714471</v>
      </c>
      <c r="M4171">
        <v>17.741091733544</v>
      </c>
      <c r="N4171">
        <v>46.8651092426839</v>
      </c>
      <c r="O4171">
        <v>46.281844332950001</v>
      </c>
      <c r="P4171">
        <v>-9.5836799883880303E-2</v>
      </c>
      <c r="Q4171">
        <v>0</v>
      </c>
      <c r="R4171">
        <v>0.99738928059921295</v>
      </c>
      <c r="S4171" t="s">
        <v>10573</v>
      </c>
      <c r="T4171" t="s">
        <v>12802</v>
      </c>
      <c r="U4171" t="s">
        <v>12802</v>
      </c>
      <c r="V4171" t="s">
        <v>12802</v>
      </c>
      <c r="W4171" t="s">
        <v>16914</v>
      </c>
      <c r="X4171">
        <v>4</v>
      </c>
      <c r="Y4171" t="s">
        <v>23138</v>
      </c>
      <c r="Z4171" t="s">
        <v>29489</v>
      </c>
      <c r="AA4171">
        <v>0.34535450355990582</v>
      </c>
      <c r="AB4171" t="str">
        <f>HYPERLINK("Melting_Curves/meltCurve_Q7Z5H3_3_ARHGAP22.pdf", "Melting_Curves/meltCurve_Q7Z5H3_3_ARHGAP22.pdf")</f>
        <v>Melting_Curves/meltCurve_Q7Z5H3_3_ARHGAP22.pdf</v>
      </c>
    </row>
    <row r="4172" spans="1:28" x14ac:dyDescent="0.25">
      <c r="A4172" t="s">
        <v>4176</v>
      </c>
      <c r="B4172">
        <v>0.99542014353169495</v>
      </c>
      <c r="C4172">
        <v>0.87506060867179802</v>
      </c>
      <c r="D4172">
        <v>0.72082431445926898</v>
      </c>
      <c r="E4172">
        <v>0.24997691989072199</v>
      </c>
      <c r="F4172">
        <v>8.9400761645130805E-2</v>
      </c>
      <c r="G4172">
        <v>5.7299336640624497E-2</v>
      </c>
      <c r="H4172">
        <v>3.82511245088328E-2</v>
      </c>
      <c r="I4172">
        <v>2.68456195193051E-2</v>
      </c>
      <c r="J4172">
        <v>3.0638706878443101E-2</v>
      </c>
      <c r="K4172">
        <v>3.57815537425916E-2</v>
      </c>
      <c r="L4172">
        <v>1030.4059900842501</v>
      </c>
      <c r="M4172">
        <v>23.224415220552999</v>
      </c>
      <c r="N4172">
        <v>44.489052920032201</v>
      </c>
      <c r="O4172">
        <v>44.042340888198197</v>
      </c>
      <c r="P4172">
        <v>-0.12777517928658999</v>
      </c>
      <c r="Q4172">
        <v>3.0775743853043901E-2</v>
      </c>
      <c r="R4172">
        <v>0.99627429155227898</v>
      </c>
      <c r="S4172" t="s">
        <v>10574</v>
      </c>
      <c r="T4172" t="s">
        <v>12802</v>
      </c>
      <c r="U4172" t="s">
        <v>12802</v>
      </c>
      <c r="V4172" t="s">
        <v>12802</v>
      </c>
      <c r="W4172" t="s">
        <v>16915</v>
      </c>
      <c r="X4172">
        <v>16</v>
      </c>
      <c r="Y4172" t="s">
        <v>23139</v>
      </c>
      <c r="Z4172" t="s">
        <v>29490</v>
      </c>
      <c r="AA4172">
        <v>0.27810550918371169</v>
      </c>
      <c r="AB4172" t="str">
        <f>HYPERLINK("Melting_Curves/meltCurve_Q7Z5K2_WAPAL.pdf", "Melting_Curves/meltCurve_Q7Z5K2_WAPAL.pdf")</f>
        <v>Melting_Curves/meltCurve_Q7Z5K2_WAPAL.pdf</v>
      </c>
    </row>
    <row r="4173" spans="1:28" x14ac:dyDescent="0.25">
      <c r="A4173" t="s">
        <v>4177</v>
      </c>
      <c r="B4173">
        <v>0.99542014353169495</v>
      </c>
      <c r="C4173">
        <v>0.93257373510672603</v>
      </c>
      <c r="D4173">
        <v>0.89474567997520305</v>
      </c>
      <c r="E4173">
        <v>0.67623115986527105</v>
      </c>
      <c r="F4173">
        <v>0.47213659778662598</v>
      </c>
      <c r="G4173">
        <v>0.33989158382065598</v>
      </c>
      <c r="H4173">
        <v>0.21355882425176201</v>
      </c>
      <c r="I4173">
        <v>0.13856540029551301</v>
      </c>
      <c r="J4173">
        <v>0.14529044307473599</v>
      </c>
      <c r="K4173">
        <v>0.19603419955646401</v>
      </c>
      <c r="L4173">
        <v>665.32455699981199</v>
      </c>
      <c r="M4173">
        <v>13.6876611867549</v>
      </c>
      <c r="N4173">
        <v>49.697008342646903</v>
      </c>
      <c r="O4173">
        <v>47.605310931073397</v>
      </c>
      <c r="P4173">
        <v>-6.25738307994647E-2</v>
      </c>
      <c r="Q4173">
        <v>0.129605504342097</v>
      </c>
      <c r="R4173">
        <v>0.99417004811856102</v>
      </c>
      <c r="S4173" t="s">
        <v>10575</v>
      </c>
      <c r="T4173" t="s">
        <v>12802</v>
      </c>
      <c r="U4173" t="s">
        <v>12802</v>
      </c>
      <c r="V4173" t="s">
        <v>12802</v>
      </c>
      <c r="W4173" t="s">
        <v>16916</v>
      </c>
      <c r="X4173">
        <v>11</v>
      </c>
      <c r="Y4173" t="s">
        <v>23140</v>
      </c>
      <c r="Z4173" t="s">
        <v>29491</v>
      </c>
      <c r="AA4173">
        <v>0.48820489244494342</v>
      </c>
      <c r="AB4173" t="str">
        <f>HYPERLINK("Melting_Curves/meltCurve_Q7Z5L9_2_IRF2BP2.pdf", "Melting_Curves/meltCurve_Q7Z5L9_2_IRF2BP2.pdf")</f>
        <v>Melting_Curves/meltCurve_Q7Z5L9_2_IRF2BP2.pdf</v>
      </c>
    </row>
    <row r="4174" spans="1:28" x14ac:dyDescent="0.25">
      <c r="A4174" t="s">
        <v>4178</v>
      </c>
      <c r="B4174">
        <v>0.99542014353169495</v>
      </c>
      <c r="C4174">
        <v>1.0589398464591</v>
      </c>
      <c r="D4174">
        <v>0.91920762893149499</v>
      </c>
      <c r="E4174">
        <v>0.99364032757265597</v>
      </c>
      <c r="F4174">
        <v>0.89741351519131995</v>
      </c>
      <c r="G4174">
        <v>0.76099901968488004</v>
      </c>
      <c r="H4174">
        <v>0.44411732933369302</v>
      </c>
      <c r="I4174">
        <v>0.246001845097474</v>
      </c>
      <c r="J4174">
        <v>0.12567474875444301</v>
      </c>
      <c r="K4174">
        <v>0</v>
      </c>
      <c r="L4174">
        <v>1055.0750071979301</v>
      </c>
      <c r="M4174">
        <v>18.544125128924101</v>
      </c>
      <c r="N4174">
        <v>56.895378424075098</v>
      </c>
      <c r="O4174">
        <v>56.246134032075801</v>
      </c>
      <c r="P4174">
        <v>-8.2427618439162798E-2</v>
      </c>
      <c r="Q4174">
        <v>0</v>
      </c>
      <c r="R4174">
        <v>0.98970346699844203</v>
      </c>
      <c r="S4174" t="s">
        <v>10576</v>
      </c>
      <c r="T4174" t="s">
        <v>12802</v>
      </c>
      <c r="U4174" t="s">
        <v>12802</v>
      </c>
      <c r="V4174" t="s">
        <v>12802</v>
      </c>
      <c r="W4174" t="s">
        <v>16917</v>
      </c>
      <c r="X4174">
        <v>2</v>
      </c>
      <c r="Y4174" t="s">
        <v>23141</v>
      </c>
      <c r="Z4174" t="s">
        <v>29492</v>
      </c>
      <c r="AA4174">
        <v>0.67236363883812744</v>
      </c>
      <c r="AB4174" t="str">
        <f>HYPERLINK("Melting_Curves/meltCurve_Q7Z5U6_WDR53.pdf", "Melting_Curves/meltCurve_Q7Z5U6_WDR53.pdf")</f>
        <v>Melting_Curves/meltCurve_Q7Z5U6_WDR53.pdf</v>
      </c>
    </row>
    <row r="4175" spans="1:28" x14ac:dyDescent="0.25">
      <c r="A4175" t="s">
        <v>4179</v>
      </c>
      <c r="B4175">
        <v>0.99542014353169495</v>
      </c>
      <c r="C4175">
        <v>1.1387085620978901</v>
      </c>
      <c r="D4175">
        <v>1.0537495516145099</v>
      </c>
      <c r="E4175">
        <v>1.2229408055754301</v>
      </c>
      <c r="F4175">
        <v>1.0615478545163299</v>
      </c>
      <c r="G4175">
        <v>0.963118374880231</v>
      </c>
      <c r="H4175">
        <v>0.76499589133939105</v>
      </c>
      <c r="I4175">
        <v>0.76538126242469695</v>
      </c>
      <c r="J4175">
        <v>1.3079719586234599</v>
      </c>
      <c r="K4175">
        <v>1.40071832513213</v>
      </c>
      <c r="L4175">
        <v>15000</v>
      </c>
      <c r="M4175">
        <v>235.20883813319</v>
      </c>
      <c r="O4175">
        <v>63.768503416194797</v>
      </c>
      <c r="P4175">
        <v>0.369531110747578</v>
      </c>
      <c r="Q4175">
        <v>1.40074082315612</v>
      </c>
      <c r="R4175">
        <v>0.52849653628919302</v>
      </c>
      <c r="S4175" t="s">
        <v>10577</v>
      </c>
      <c r="T4175" t="s">
        <v>12802</v>
      </c>
      <c r="U4175" t="s">
        <v>12802</v>
      </c>
      <c r="V4175" t="s">
        <v>12802</v>
      </c>
      <c r="W4175" t="s">
        <v>16918</v>
      </c>
      <c r="X4175">
        <v>3</v>
      </c>
      <c r="Y4175" t="s">
        <v>23142</v>
      </c>
      <c r="Z4175" t="s">
        <v>29493</v>
      </c>
      <c r="AA4175">
        <v>1.043054211954527</v>
      </c>
      <c r="AB4175" t="str">
        <f>HYPERLINK("Melting_Curves/meltCurve_Q7Z5Y7_KCTD20.pdf", "Melting_Curves/meltCurve_Q7Z5Y7_KCTD20.pdf")</f>
        <v>Melting_Curves/meltCurve_Q7Z5Y7_KCTD20.pdf</v>
      </c>
    </row>
    <row r="4176" spans="1:28" x14ac:dyDescent="0.25">
      <c r="A4176" t="s">
        <v>4180</v>
      </c>
      <c r="B4176">
        <v>0.99542014353169495</v>
      </c>
      <c r="C4176">
        <v>0.93277996899261095</v>
      </c>
      <c r="D4176">
        <v>1.03599194352135</v>
      </c>
      <c r="E4176">
        <v>0.81512884287105902</v>
      </c>
      <c r="F4176">
        <v>0.71992335552167297</v>
      </c>
      <c r="G4176">
        <v>0.37616638101310201</v>
      </c>
      <c r="H4176">
        <v>0.24402026921777101</v>
      </c>
      <c r="I4176">
        <v>0.14212884981807</v>
      </c>
      <c r="J4176">
        <v>0.15779715521613599</v>
      </c>
      <c r="K4176">
        <v>0.21069822977683</v>
      </c>
      <c r="L4176">
        <v>991.90105121890701</v>
      </c>
      <c r="M4176">
        <v>19.3296969873143</v>
      </c>
      <c r="N4176">
        <v>52.267420476973101</v>
      </c>
      <c r="O4176">
        <v>50.775128183877698</v>
      </c>
      <c r="P4176">
        <v>-8.1047107061137005E-2</v>
      </c>
      <c r="Q4176">
        <v>0.148455564323203</v>
      </c>
      <c r="R4176">
        <v>0.98236189528806195</v>
      </c>
      <c r="S4176" t="s">
        <v>10578</v>
      </c>
      <c r="T4176" t="s">
        <v>12802</v>
      </c>
      <c r="U4176" t="s">
        <v>12802</v>
      </c>
      <c r="V4176" t="s">
        <v>12802</v>
      </c>
      <c r="W4176" t="s">
        <v>16919</v>
      </c>
      <c r="X4176">
        <v>4</v>
      </c>
      <c r="Y4176" t="s">
        <v>23143</v>
      </c>
      <c r="Z4176" t="s">
        <v>29494</v>
      </c>
      <c r="AA4176">
        <v>0.56652231719957202</v>
      </c>
      <c r="AB4176" t="str">
        <f>HYPERLINK("Melting_Curves/meltCurve_Q7Z649_TMEM9B.pdf", "Melting_Curves/meltCurve_Q7Z649_TMEM9B.pdf")</f>
        <v>Melting_Curves/meltCurve_Q7Z649_TMEM9B.pdf</v>
      </c>
    </row>
    <row r="4177" spans="1:28" x14ac:dyDescent="0.25">
      <c r="A4177" t="s">
        <v>4181</v>
      </c>
      <c r="B4177">
        <v>0.99542014353169495</v>
      </c>
      <c r="C4177">
        <v>0.99732542820199799</v>
      </c>
      <c r="D4177">
        <v>0.948190156923163</v>
      </c>
      <c r="E4177">
        <v>0.82240533870258503</v>
      </c>
      <c r="F4177">
        <v>0.67055291641844195</v>
      </c>
      <c r="G4177">
        <v>0.367594343675823</v>
      </c>
      <c r="H4177">
        <v>0.10103271691184</v>
      </c>
      <c r="I4177">
        <v>6.9517083796389406E-2</v>
      </c>
      <c r="J4177">
        <v>6.7864148195208904E-2</v>
      </c>
      <c r="K4177">
        <v>7.2183112277159206E-2</v>
      </c>
      <c r="L4177">
        <v>914.86692895030296</v>
      </c>
      <c r="M4177">
        <v>17.721200376930099</v>
      </c>
      <c r="N4177">
        <v>51.768095788139803</v>
      </c>
      <c r="O4177">
        <v>50.9816239356797</v>
      </c>
      <c r="P4177">
        <v>-8.4835271072881399E-2</v>
      </c>
      <c r="Q4177">
        <v>2.3810384786809399E-2</v>
      </c>
      <c r="R4177">
        <v>0.99308797426845596</v>
      </c>
      <c r="S4177" t="s">
        <v>10579</v>
      </c>
      <c r="T4177" t="s">
        <v>12802</v>
      </c>
      <c r="U4177" t="s">
        <v>12802</v>
      </c>
      <c r="V4177" t="s">
        <v>12802</v>
      </c>
      <c r="W4177" t="s">
        <v>16920</v>
      </c>
      <c r="X4177">
        <v>12</v>
      </c>
      <c r="Y4177" t="s">
        <v>23144</v>
      </c>
      <c r="Z4177" t="s">
        <v>29495</v>
      </c>
      <c r="AA4177">
        <v>0.51498761533887472</v>
      </c>
      <c r="AB4177" t="str">
        <f>HYPERLINK("Melting_Curves/meltCurve_Q7Z650_MTHFD2.pdf", "Melting_Curves/meltCurve_Q7Z650_MTHFD2.pdf")</f>
        <v>Melting_Curves/meltCurve_Q7Z650_MTHFD2.pdf</v>
      </c>
    </row>
    <row r="4178" spans="1:28" x14ac:dyDescent="0.25">
      <c r="A4178" t="s">
        <v>4182</v>
      </c>
      <c r="B4178">
        <v>0.99542014353169495</v>
      </c>
      <c r="C4178">
        <v>1.00971775906744</v>
      </c>
      <c r="D4178">
        <v>0.92281447441014297</v>
      </c>
      <c r="E4178">
        <v>0.67419013933885796</v>
      </c>
      <c r="F4178">
        <v>0.43945192666691502</v>
      </c>
      <c r="G4178">
        <v>0.19123872573888701</v>
      </c>
      <c r="H4178">
        <v>0.106798954124022</v>
      </c>
      <c r="I4178">
        <v>8.3597675941487704E-2</v>
      </c>
      <c r="J4178">
        <v>0.103817228859102</v>
      </c>
      <c r="K4178">
        <v>0.146957142935464</v>
      </c>
      <c r="L4178">
        <v>911.04044188218097</v>
      </c>
      <c r="M4178">
        <v>18.831920159368199</v>
      </c>
      <c r="N4178">
        <v>48.907547896849003</v>
      </c>
      <c r="O4178">
        <v>47.8418470762631</v>
      </c>
      <c r="P4178">
        <v>-8.9326141879254098E-2</v>
      </c>
      <c r="Q4178">
        <v>9.2317434757262798E-2</v>
      </c>
      <c r="R4178">
        <v>0.99447694343210002</v>
      </c>
      <c r="S4178" t="s">
        <v>10580</v>
      </c>
      <c r="T4178" t="s">
        <v>12802</v>
      </c>
      <c r="U4178" t="s">
        <v>12802</v>
      </c>
      <c r="V4178" t="s">
        <v>12802</v>
      </c>
      <c r="W4178" t="s">
        <v>16921</v>
      </c>
      <c r="X4178">
        <v>13</v>
      </c>
      <c r="Y4178" t="s">
        <v>23145</v>
      </c>
      <c r="Z4178" t="s">
        <v>29496</v>
      </c>
      <c r="AA4178">
        <v>0.44989963636357688</v>
      </c>
      <c r="AB4178" t="str">
        <f>HYPERLINK("Melting_Curves/meltCurve_Q7Z6B0_2_CCDC91.pdf", "Melting_Curves/meltCurve_Q7Z6B0_2_CCDC91.pdf")</f>
        <v>Melting_Curves/meltCurve_Q7Z6B0_2_CCDC91.pdf</v>
      </c>
    </row>
    <row r="4179" spans="1:28" x14ac:dyDescent="0.25">
      <c r="A4179" t="s">
        <v>4183</v>
      </c>
      <c r="B4179">
        <v>0.99542014353169495</v>
      </c>
      <c r="C4179">
        <v>0.98494198938309496</v>
      </c>
      <c r="D4179">
        <v>0.91424391988262299</v>
      </c>
      <c r="E4179">
        <v>0.76244134654959606</v>
      </c>
      <c r="F4179">
        <v>0.44432147239942099</v>
      </c>
      <c r="G4179">
        <v>0.25812061470862302</v>
      </c>
      <c r="H4179">
        <v>0.12674551716236299</v>
      </c>
      <c r="I4179">
        <v>7.0622874833150204E-2</v>
      </c>
      <c r="J4179">
        <v>7.1165300473491094E-2</v>
      </c>
      <c r="K4179">
        <v>8.1799102845513894E-2</v>
      </c>
      <c r="L4179">
        <v>842.94367634954301</v>
      </c>
      <c r="M4179">
        <v>17.079537046148801</v>
      </c>
      <c r="N4179">
        <v>49.689232895816197</v>
      </c>
      <c r="O4179">
        <v>48.6923284118757</v>
      </c>
      <c r="P4179">
        <v>-8.2924255278515699E-2</v>
      </c>
      <c r="Q4179">
        <v>5.4416956100573101E-2</v>
      </c>
      <c r="R4179">
        <v>0.99881258905218995</v>
      </c>
      <c r="S4179" t="s">
        <v>10581</v>
      </c>
      <c r="T4179" t="s">
        <v>12802</v>
      </c>
      <c r="U4179" t="s">
        <v>12802</v>
      </c>
      <c r="V4179" t="s">
        <v>12802</v>
      </c>
      <c r="W4179" t="s">
        <v>16922</v>
      </c>
      <c r="X4179">
        <v>13</v>
      </c>
      <c r="Y4179" t="s">
        <v>23146</v>
      </c>
      <c r="Z4179" t="s">
        <v>29497</v>
      </c>
      <c r="AA4179">
        <v>0.46019003059948171</v>
      </c>
      <c r="AB4179" t="str">
        <f>HYPERLINK("Melting_Curves/meltCurve_Q7Z6E9_RBBP6.pdf", "Melting_Curves/meltCurve_Q7Z6E9_RBBP6.pdf")</f>
        <v>Melting_Curves/meltCurve_Q7Z6E9_RBBP6.pdf</v>
      </c>
    </row>
    <row r="4180" spans="1:28" x14ac:dyDescent="0.25">
      <c r="A4180" t="s">
        <v>4184</v>
      </c>
      <c r="B4180">
        <v>0.99542014353169495</v>
      </c>
      <c r="C4180">
        <v>0.94885293630772505</v>
      </c>
      <c r="D4180">
        <v>0.97610009428391897</v>
      </c>
      <c r="E4180">
        <v>0.77471550305914705</v>
      </c>
      <c r="F4180">
        <v>0.54102874357767905</v>
      </c>
      <c r="G4180">
        <v>0.39829668712451799</v>
      </c>
      <c r="H4180">
        <v>0.17987842753241101</v>
      </c>
      <c r="I4180">
        <v>0.197128889935964</v>
      </c>
      <c r="J4180">
        <v>0.19419915781179101</v>
      </c>
      <c r="K4180">
        <v>0.20304514503017099</v>
      </c>
      <c r="L4180">
        <v>834.84932419783502</v>
      </c>
      <c r="M4180">
        <v>16.8112362871471</v>
      </c>
      <c r="N4180">
        <v>50.900872335182598</v>
      </c>
      <c r="O4180">
        <v>48.9734794034717</v>
      </c>
      <c r="P4180">
        <v>-7.1396994262762595E-2</v>
      </c>
      <c r="Q4180">
        <v>0.168096051690455</v>
      </c>
      <c r="R4180">
        <v>0.99053050495343098</v>
      </c>
      <c r="S4180" t="s">
        <v>10582</v>
      </c>
      <c r="T4180" t="s">
        <v>12802</v>
      </c>
      <c r="U4180" t="s">
        <v>12802</v>
      </c>
      <c r="V4180" t="s">
        <v>12802</v>
      </c>
      <c r="W4180" t="s">
        <v>16923</v>
      </c>
      <c r="X4180">
        <v>2</v>
      </c>
      <c r="Y4180" t="s">
        <v>23147</v>
      </c>
      <c r="Z4180" t="s">
        <v>29498</v>
      </c>
      <c r="AA4180">
        <v>0.53388833466138008</v>
      </c>
      <c r="AB4180" t="str">
        <f>HYPERLINK("Melting_Curves/meltCurve_Q7Z6I8_C5orf24.pdf", "Melting_Curves/meltCurve_Q7Z6I8_C5orf24.pdf")</f>
        <v>Melting_Curves/meltCurve_Q7Z6I8_C5orf24.pdf</v>
      </c>
    </row>
    <row r="4181" spans="1:28" x14ac:dyDescent="0.25">
      <c r="A4181" t="s">
        <v>4185</v>
      </c>
      <c r="B4181">
        <v>0.99542014353169495</v>
      </c>
      <c r="C4181">
        <v>1.03489181174848</v>
      </c>
      <c r="D4181">
        <v>0.99486169502337995</v>
      </c>
      <c r="E4181">
        <v>0.72655836774981597</v>
      </c>
      <c r="F4181">
        <v>0.52236288647912099</v>
      </c>
      <c r="G4181">
        <v>0.26785149016266402</v>
      </c>
      <c r="H4181">
        <v>0.14275169538295501</v>
      </c>
      <c r="I4181">
        <v>5.54081806164161E-2</v>
      </c>
      <c r="J4181">
        <v>8.6284427385279597E-2</v>
      </c>
      <c r="K4181">
        <v>7.7516953589711501E-2</v>
      </c>
      <c r="L4181">
        <v>857.07073871964701</v>
      </c>
      <c r="M4181">
        <v>17.191750141825</v>
      </c>
      <c r="N4181">
        <v>50.1791639858804</v>
      </c>
      <c r="O4181">
        <v>49.193709470973097</v>
      </c>
      <c r="P4181">
        <v>-8.2762129323103895E-2</v>
      </c>
      <c r="Q4181">
        <v>5.2769567240593299E-2</v>
      </c>
      <c r="R4181">
        <v>0.99340527737268103</v>
      </c>
      <c r="S4181" t="s">
        <v>10583</v>
      </c>
      <c r="T4181" t="s">
        <v>12802</v>
      </c>
      <c r="U4181" t="s">
        <v>12802</v>
      </c>
      <c r="V4181" t="s">
        <v>12802</v>
      </c>
      <c r="W4181" t="s">
        <v>16924</v>
      </c>
      <c r="X4181">
        <v>5</v>
      </c>
      <c r="Y4181" t="s">
        <v>23148</v>
      </c>
      <c r="Z4181" t="s">
        <v>29499</v>
      </c>
      <c r="AA4181">
        <v>0.47473255455212698</v>
      </c>
      <c r="AB4181" t="str">
        <f>HYPERLINK("Melting_Curves/meltCurve_Q7Z6J8_UBE3D.pdf", "Melting_Curves/meltCurve_Q7Z6J8_UBE3D.pdf")</f>
        <v>Melting_Curves/meltCurve_Q7Z6J8_UBE3D.pdf</v>
      </c>
    </row>
    <row r="4182" spans="1:28" x14ac:dyDescent="0.25">
      <c r="A4182" t="s">
        <v>4186</v>
      </c>
      <c r="B4182">
        <v>0.99542014353169495</v>
      </c>
      <c r="C4182">
        <v>0.92585252401604401</v>
      </c>
      <c r="D4182">
        <v>0.887407901018189</v>
      </c>
      <c r="E4182">
        <v>0.68790778056341095</v>
      </c>
      <c r="F4182">
        <v>0.33185008872176402</v>
      </c>
      <c r="G4182">
        <v>0.169953826899679</v>
      </c>
      <c r="H4182">
        <v>0.118643382733991</v>
      </c>
      <c r="I4182">
        <v>7.0938521462601101E-2</v>
      </c>
      <c r="J4182">
        <v>7.3091124099772697E-2</v>
      </c>
      <c r="K4182">
        <v>8.2461488764173099E-2</v>
      </c>
      <c r="L4182">
        <v>891.06243337415594</v>
      </c>
      <c r="M4182">
        <v>18.5715244712326</v>
      </c>
      <c r="N4182">
        <v>48.344528331419198</v>
      </c>
      <c r="O4182">
        <v>47.434091388141603</v>
      </c>
      <c r="P4182">
        <v>-9.1490212390397702E-2</v>
      </c>
      <c r="Q4182">
        <v>6.5328750986263201E-2</v>
      </c>
      <c r="R4182">
        <v>0.99660267958334803</v>
      </c>
      <c r="S4182" t="s">
        <v>10584</v>
      </c>
      <c r="T4182" t="s">
        <v>12802</v>
      </c>
      <c r="U4182" t="s">
        <v>12802</v>
      </c>
      <c r="V4182" t="s">
        <v>12802</v>
      </c>
      <c r="W4182" t="s">
        <v>16925</v>
      </c>
      <c r="X4182">
        <v>8</v>
      </c>
      <c r="Y4182" t="s">
        <v>23149</v>
      </c>
      <c r="Z4182" t="s">
        <v>29500</v>
      </c>
      <c r="AA4182">
        <v>0.42152578277833291</v>
      </c>
      <c r="AB4182" t="str">
        <f>HYPERLINK("Melting_Curves/meltCurve_Q7Z6J9_TSEN54.pdf", "Melting_Curves/meltCurve_Q7Z6J9_TSEN54.pdf")</f>
        <v>Melting_Curves/meltCurve_Q7Z6J9_TSEN54.pdf</v>
      </c>
    </row>
    <row r="4183" spans="1:28" x14ac:dyDescent="0.25">
      <c r="A4183" t="s">
        <v>4187</v>
      </c>
      <c r="B4183">
        <v>0.99542014353169495</v>
      </c>
      <c r="C4183">
        <v>1.01537649692427</v>
      </c>
      <c r="D4183">
        <v>0.98692234774472598</v>
      </c>
      <c r="E4183">
        <v>0.78652052333298905</v>
      </c>
      <c r="F4183">
        <v>0.72736641386313605</v>
      </c>
      <c r="G4183">
        <v>0.37755789453071997</v>
      </c>
      <c r="H4183">
        <v>0.15690718110532201</v>
      </c>
      <c r="I4183">
        <v>0.11366385779454399</v>
      </c>
      <c r="J4183">
        <v>7.4637371631384494E-2</v>
      </c>
      <c r="K4183">
        <v>0.13593022802690999</v>
      </c>
      <c r="L4183">
        <v>919.677454929433</v>
      </c>
      <c r="M4183">
        <v>17.777423733552499</v>
      </c>
      <c r="N4183">
        <v>52.1410654510886</v>
      </c>
      <c r="O4183">
        <v>51.091613955985302</v>
      </c>
      <c r="P4183">
        <v>-8.1341578934018693E-2</v>
      </c>
      <c r="Q4183">
        <v>6.49587344565489E-2</v>
      </c>
      <c r="R4183">
        <v>0.98579733787094204</v>
      </c>
      <c r="S4183" t="s">
        <v>10585</v>
      </c>
      <c r="T4183" t="s">
        <v>12802</v>
      </c>
      <c r="U4183" t="s">
        <v>12802</v>
      </c>
      <c r="V4183" t="s">
        <v>12802</v>
      </c>
      <c r="W4183" t="s">
        <v>16926</v>
      </c>
      <c r="X4183">
        <v>3</v>
      </c>
      <c r="Y4183" t="s">
        <v>23150</v>
      </c>
      <c r="Z4183" t="s">
        <v>29501</v>
      </c>
      <c r="AA4183">
        <v>0.53866467732430257</v>
      </c>
      <c r="AB4183" t="str">
        <f>HYPERLINK("Melting_Curves/meltCurve_Q7Z6K3_PTAR1.pdf", "Melting_Curves/meltCurve_Q7Z6K3_PTAR1.pdf")</f>
        <v>Melting_Curves/meltCurve_Q7Z6K3_PTAR1.pdf</v>
      </c>
    </row>
    <row r="4184" spans="1:28" x14ac:dyDescent="0.25">
      <c r="A4184" t="s">
        <v>4188</v>
      </c>
      <c r="B4184">
        <v>0.99542014353169495</v>
      </c>
      <c r="C4184">
        <v>0.92628985046816703</v>
      </c>
      <c r="D4184">
        <v>0.96864834389426502</v>
      </c>
      <c r="E4184">
        <v>0.53312312656764305</v>
      </c>
      <c r="F4184">
        <v>3.7911715750839098E-2</v>
      </c>
      <c r="G4184">
        <v>0</v>
      </c>
      <c r="H4184">
        <v>4.1394321079745902E-2</v>
      </c>
      <c r="I4184">
        <v>0</v>
      </c>
      <c r="J4184">
        <v>0</v>
      </c>
      <c r="K4184">
        <v>0</v>
      </c>
      <c r="L4184">
        <v>2134.8619415404301</v>
      </c>
      <c r="M4184">
        <v>45.701427325603298</v>
      </c>
      <c r="N4184">
        <v>46.726252362965901</v>
      </c>
      <c r="O4184">
        <v>46.624066699890797</v>
      </c>
      <c r="P4184">
        <v>-0.24350140152875899</v>
      </c>
      <c r="Q4184">
        <v>6.3319789588551501E-3</v>
      </c>
      <c r="R4184">
        <v>0.99619048879377603</v>
      </c>
      <c r="S4184" t="s">
        <v>10586</v>
      </c>
      <c r="T4184" t="s">
        <v>12802</v>
      </c>
      <c r="U4184" t="s">
        <v>12802</v>
      </c>
      <c r="V4184" t="s">
        <v>12802</v>
      </c>
      <c r="W4184" t="s">
        <v>16927</v>
      </c>
      <c r="X4184">
        <v>1</v>
      </c>
      <c r="Y4184" t="s">
        <v>23151</v>
      </c>
      <c r="Z4184" t="s">
        <v>29502</v>
      </c>
      <c r="AA4184">
        <v>0.33051021169283051</v>
      </c>
      <c r="AB4184" t="str">
        <f>HYPERLINK("Melting_Curves/meltCurve_Q7Z6L1_TECPR1.pdf", "Melting_Curves/meltCurve_Q7Z6L1_TECPR1.pdf")</f>
        <v>Melting_Curves/meltCurve_Q7Z6L1_TECPR1.pdf</v>
      </c>
    </row>
    <row r="4185" spans="1:28" x14ac:dyDescent="0.25">
      <c r="A4185" t="s">
        <v>4189</v>
      </c>
      <c r="B4185">
        <v>0.99542014353169495</v>
      </c>
      <c r="C4185">
        <v>1.07134184907354</v>
      </c>
      <c r="D4185">
        <v>1.02345258027509</v>
      </c>
      <c r="E4185">
        <v>0.92195515305571996</v>
      </c>
      <c r="F4185">
        <v>0.70416192268460398</v>
      </c>
      <c r="G4185">
        <v>0.52733907689562998</v>
      </c>
      <c r="H4185">
        <v>0.30847572886250302</v>
      </c>
      <c r="I4185">
        <v>0.19096875740111</v>
      </c>
      <c r="J4185">
        <v>0.16458259341503101</v>
      </c>
      <c r="K4185">
        <v>0.12532207054853201</v>
      </c>
      <c r="L4185">
        <v>849.82685420056805</v>
      </c>
      <c r="M4185">
        <v>16.012126830969699</v>
      </c>
      <c r="N4185">
        <v>53.831130879530903</v>
      </c>
      <c r="O4185">
        <v>52.266848376562599</v>
      </c>
      <c r="P4185">
        <v>-6.8871115016429299E-2</v>
      </c>
      <c r="Q4185">
        <v>0.10083310560566899</v>
      </c>
      <c r="R4185">
        <v>0.99241014596062505</v>
      </c>
      <c r="S4185" t="s">
        <v>10587</v>
      </c>
      <c r="T4185" t="s">
        <v>12802</v>
      </c>
      <c r="U4185" t="s">
        <v>12802</v>
      </c>
      <c r="V4185" t="s">
        <v>12802</v>
      </c>
      <c r="W4185" t="s">
        <v>16928</v>
      </c>
      <c r="X4185">
        <v>14</v>
      </c>
      <c r="Y4185" t="s">
        <v>23152</v>
      </c>
      <c r="Z4185" t="s">
        <v>29503</v>
      </c>
      <c r="AA4185">
        <v>0.59754211445430128</v>
      </c>
      <c r="AB4185" t="str">
        <f>HYPERLINK("Melting_Curves/meltCurve_Q7Z6M1_RABEPK.pdf", "Melting_Curves/meltCurve_Q7Z6M1_RABEPK.pdf")</f>
        <v>Melting_Curves/meltCurve_Q7Z6M1_RABEPK.pdf</v>
      </c>
    </row>
    <row r="4186" spans="1:28" x14ac:dyDescent="0.25">
      <c r="A4186" t="s">
        <v>4190</v>
      </c>
      <c r="B4186">
        <v>0.99542014353169495</v>
      </c>
      <c r="C4186">
        <v>1.01193839178228</v>
      </c>
      <c r="D4186">
        <v>0.98482420902632595</v>
      </c>
      <c r="E4186">
        <v>0.85309738155603998</v>
      </c>
      <c r="F4186">
        <v>0.49363814599876699</v>
      </c>
      <c r="G4186">
        <v>0.135167964601837</v>
      </c>
      <c r="H4186">
        <v>8.8841184394122599E-2</v>
      </c>
      <c r="I4186">
        <v>4.5345657951326203E-2</v>
      </c>
      <c r="J4186">
        <v>6.8559701724468902E-2</v>
      </c>
      <c r="K4186">
        <v>9.2505092381048107E-2</v>
      </c>
      <c r="L4186">
        <v>1379.9330149729301</v>
      </c>
      <c r="M4186">
        <v>27.742970422801299</v>
      </c>
      <c r="N4186">
        <v>49.977973531838401</v>
      </c>
      <c r="O4186">
        <v>49.483633565354602</v>
      </c>
      <c r="P4186">
        <v>-0.13148834250457</v>
      </c>
      <c r="Q4186">
        <v>6.1893803529845901E-2</v>
      </c>
      <c r="R4186">
        <v>0.997998055449828</v>
      </c>
      <c r="S4186" t="s">
        <v>10588</v>
      </c>
      <c r="T4186" t="s">
        <v>12802</v>
      </c>
      <c r="U4186" t="s">
        <v>12802</v>
      </c>
      <c r="V4186" t="s">
        <v>12802</v>
      </c>
      <c r="W4186" t="s">
        <v>16929</v>
      </c>
      <c r="X4186">
        <v>2</v>
      </c>
      <c r="Y4186" t="s">
        <v>23153</v>
      </c>
      <c r="Z4186" t="s">
        <v>29504</v>
      </c>
      <c r="AA4186">
        <v>0.4669593076789551</v>
      </c>
      <c r="AB4186" t="str">
        <f>HYPERLINK("Melting_Curves/meltCurve_Q7Z6M4_MTERFD2.pdf", "Melting_Curves/meltCurve_Q7Z6M4_MTERFD2.pdf")</f>
        <v>Melting_Curves/meltCurve_Q7Z6M4_MTERFD2.pdf</v>
      </c>
    </row>
    <row r="4187" spans="1:28" x14ac:dyDescent="0.25">
      <c r="A4187" t="s">
        <v>4191</v>
      </c>
      <c r="B4187">
        <v>0.99542014353169495</v>
      </c>
      <c r="C4187">
        <v>0.93390702772229495</v>
      </c>
      <c r="D4187">
        <v>0.89561246460311095</v>
      </c>
      <c r="E4187">
        <v>0.60154922522641396</v>
      </c>
      <c r="F4187">
        <v>0.13982455557807899</v>
      </c>
      <c r="G4187">
        <v>6.79954317651216E-2</v>
      </c>
      <c r="H4187">
        <v>8.5293436423943297E-2</v>
      </c>
      <c r="I4187">
        <v>7.8924835257999801E-2</v>
      </c>
      <c r="J4187">
        <v>6.7658084323542603E-2</v>
      </c>
      <c r="K4187">
        <v>7.1416851492686007E-2</v>
      </c>
      <c r="L4187">
        <v>1434.2850999795501</v>
      </c>
      <c r="M4187">
        <v>30.600626629844399</v>
      </c>
      <c r="N4187">
        <v>47.087570350026503</v>
      </c>
      <c r="O4187">
        <v>46.672315946352597</v>
      </c>
      <c r="P4187">
        <v>-0.153158365836777</v>
      </c>
      <c r="Q4187">
        <v>6.5612627984598298E-2</v>
      </c>
      <c r="R4187">
        <v>0.99423119753858302</v>
      </c>
      <c r="S4187" t="s">
        <v>10589</v>
      </c>
      <c r="T4187" t="s">
        <v>12802</v>
      </c>
      <c r="U4187" t="s">
        <v>12802</v>
      </c>
      <c r="V4187" t="s">
        <v>12802</v>
      </c>
      <c r="W4187" t="s">
        <v>16930</v>
      </c>
      <c r="X4187">
        <v>3</v>
      </c>
      <c r="Y4187" t="s">
        <v>23154</v>
      </c>
      <c r="Z4187" t="s">
        <v>29505</v>
      </c>
      <c r="AA4187">
        <v>0.3782647891817642</v>
      </c>
      <c r="AB4187" t="str">
        <f>HYPERLINK("Melting_Curves/meltCurve_Q7Z6U0_TBPL1.pdf", "Melting_Curves/meltCurve_Q7Z6U0_TBPL1.pdf")</f>
        <v>Melting_Curves/meltCurve_Q7Z6U0_TBPL1.pdf</v>
      </c>
    </row>
    <row r="4188" spans="1:28" x14ac:dyDescent="0.25">
      <c r="A4188" t="s">
        <v>4192</v>
      </c>
      <c r="B4188">
        <v>0.99542014353169495</v>
      </c>
      <c r="C4188">
        <v>0.97750898610317705</v>
      </c>
      <c r="D4188">
        <v>1.01209193959098</v>
      </c>
      <c r="E4188">
        <v>0.93436228422678602</v>
      </c>
      <c r="F4188">
        <v>0.70860048612748805</v>
      </c>
      <c r="G4188">
        <v>0.47578764069900498</v>
      </c>
      <c r="H4188">
        <v>0.30464442302800598</v>
      </c>
      <c r="I4188">
        <v>0.18263667365156799</v>
      </c>
      <c r="J4188">
        <v>0.10930658030955499</v>
      </c>
      <c r="K4188">
        <v>0.112065068987497</v>
      </c>
      <c r="L4188">
        <v>857.74361077610001</v>
      </c>
      <c r="M4188">
        <v>16.1939049910835</v>
      </c>
      <c r="N4188">
        <v>53.5279764208355</v>
      </c>
      <c r="O4188">
        <v>52.179125743876803</v>
      </c>
      <c r="P4188">
        <v>-7.1538549908485793E-2</v>
      </c>
      <c r="Q4188">
        <v>7.8038641593207406E-2</v>
      </c>
      <c r="R4188">
        <v>0.997305233446381</v>
      </c>
      <c r="S4188" t="s">
        <v>10590</v>
      </c>
      <c r="T4188" t="s">
        <v>12802</v>
      </c>
      <c r="U4188" t="s">
        <v>12802</v>
      </c>
      <c r="V4188" t="s">
        <v>12802</v>
      </c>
      <c r="W4188" t="s">
        <v>16931</v>
      </c>
      <c r="X4188">
        <v>2</v>
      </c>
      <c r="Y4188" t="s">
        <v>23155</v>
      </c>
      <c r="Z4188" t="s">
        <v>29506</v>
      </c>
      <c r="AA4188">
        <v>0.58397808552839625</v>
      </c>
      <c r="AB4188" t="str">
        <f>HYPERLINK("Melting_Curves/meltCurve_Q7Z6V5_2_ADAT2.pdf", "Melting_Curves/meltCurve_Q7Z6V5_2_ADAT2.pdf")</f>
        <v>Melting_Curves/meltCurve_Q7Z6V5_2_ADAT2.pdf</v>
      </c>
    </row>
    <row r="4189" spans="1:28" x14ac:dyDescent="0.25">
      <c r="A4189" t="s">
        <v>4193</v>
      </c>
      <c r="B4189">
        <v>0.99542014353169495</v>
      </c>
      <c r="C4189">
        <v>0.85349879616679503</v>
      </c>
      <c r="D4189">
        <v>0.88340532081480405</v>
      </c>
      <c r="E4189">
        <v>0.63146424001016799</v>
      </c>
      <c r="F4189">
        <v>0.31728847860706499</v>
      </c>
      <c r="G4189">
        <v>0.126803573595518</v>
      </c>
      <c r="H4189">
        <v>8.6970889830442502E-2</v>
      </c>
      <c r="I4189">
        <v>5.7001786912017197E-2</v>
      </c>
      <c r="J4189">
        <v>4.7730100187733E-2</v>
      </c>
      <c r="K4189">
        <v>4.3665440141645501E-2</v>
      </c>
      <c r="L4189">
        <v>788.07662027980905</v>
      </c>
      <c r="M4189">
        <v>16.522070246516499</v>
      </c>
      <c r="N4189">
        <v>47.860393418346597</v>
      </c>
      <c r="O4189">
        <v>47.016090757218201</v>
      </c>
      <c r="P4189">
        <v>-8.5470265497678E-2</v>
      </c>
      <c r="Q4189">
        <v>2.7192167577588799E-2</v>
      </c>
      <c r="R4189">
        <v>0.98990066326230997</v>
      </c>
      <c r="S4189" t="s">
        <v>10591</v>
      </c>
      <c r="T4189" t="s">
        <v>12802</v>
      </c>
      <c r="U4189" t="s">
        <v>12802</v>
      </c>
      <c r="V4189" t="s">
        <v>12802</v>
      </c>
      <c r="W4189" t="s">
        <v>16932</v>
      </c>
      <c r="X4189">
        <v>66</v>
      </c>
      <c r="Y4189" t="s">
        <v>23156</v>
      </c>
      <c r="Z4189" t="s">
        <v>29507</v>
      </c>
      <c r="AA4189">
        <v>0.39231091015725539</v>
      </c>
      <c r="AB4189" t="str">
        <f>HYPERLINK("Melting_Curves/meltCurve_Q7Z6Z7_2_HUWE1.pdf", "Melting_Curves/meltCurve_Q7Z6Z7_2_HUWE1.pdf")</f>
        <v>Melting_Curves/meltCurve_Q7Z6Z7_2_HUWE1.pdf</v>
      </c>
    </row>
    <row r="4190" spans="1:28" x14ac:dyDescent="0.25">
      <c r="A4190" t="s">
        <v>4194</v>
      </c>
      <c r="B4190">
        <v>0.99542014353169495</v>
      </c>
      <c r="C4190">
        <v>0.87602238813140898</v>
      </c>
      <c r="D4190">
        <v>0.68759865243432405</v>
      </c>
      <c r="E4190">
        <v>0.49680615733477501</v>
      </c>
      <c r="F4190">
        <v>0.28738521313482701</v>
      </c>
      <c r="G4190">
        <v>0.141810852887789</v>
      </c>
      <c r="H4190">
        <v>8.4311137294976704E-2</v>
      </c>
      <c r="I4190">
        <v>7.0173897602206894E-2</v>
      </c>
      <c r="J4190">
        <v>4.0504008588365899E-2</v>
      </c>
      <c r="K4190">
        <v>0.10274081449636099</v>
      </c>
      <c r="L4190">
        <v>604.37254653034802</v>
      </c>
      <c r="M4190">
        <v>13.178009899928901</v>
      </c>
      <c r="N4190">
        <v>46.161109024368997</v>
      </c>
      <c r="O4190">
        <v>44.844680570115301</v>
      </c>
      <c r="P4190">
        <v>-7.0472123745329407E-2</v>
      </c>
      <c r="Q4190">
        <v>4.0896156566488297E-2</v>
      </c>
      <c r="R4190">
        <v>0.99439969471149603</v>
      </c>
      <c r="S4190" t="s">
        <v>10592</v>
      </c>
      <c r="T4190" t="s">
        <v>12802</v>
      </c>
      <c r="U4190" t="s">
        <v>12802</v>
      </c>
      <c r="V4190" t="s">
        <v>12802</v>
      </c>
      <c r="W4190" t="s">
        <v>16933</v>
      </c>
      <c r="X4190">
        <v>2</v>
      </c>
      <c r="Y4190" t="s">
        <v>23157</v>
      </c>
      <c r="Z4190" t="s">
        <v>29508</v>
      </c>
      <c r="AA4190">
        <v>0.35246928381616438</v>
      </c>
      <c r="AB4190" t="str">
        <f>HYPERLINK("Melting_Curves/meltCurve_Q7Z7A1_5_CNTRL.pdf", "Melting_Curves/meltCurve_Q7Z7A1_5_CNTRL.pdf")</f>
        <v>Melting_Curves/meltCurve_Q7Z7A1_5_CNTRL.pdf</v>
      </c>
    </row>
    <row r="4191" spans="1:28" x14ac:dyDescent="0.25">
      <c r="A4191" t="s">
        <v>4195</v>
      </c>
      <c r="B4191">
        <v>0.99542014353169495</v>
      </c>
      <c r="C4191">
        <v>1.00778543691595</v>
      </c>
      <c r="D4191">
        <v>1.0046989071929999</v>
      </c>
      <c r="E4191">
        <v>0.826080301521253</v>
      </c>
      <c r="F4191">
        <v>0.58407954898135295</v>
      </c>
      <c r="G4191">
        <v>0.240372095695465</v>
      </c>
      <c r="H4191">
        <v>0.120234503678458</v>
      </c>
      <c r="I4191">
        <v>7.1324324645430606E-2</v>
      </c>
      <c r="J4191">
        <v>7.1113600691744203E-2</v>
      </c>
      <c r="K4191">
        <v>7.9306197350648103E-2</v>
      </c>
      <c r="L4191">
        <v>1076.3868016496999</v>
      </c>
      <c r="M4191">
        <v>21.329088613961598</v>
      </c>
      <c r="N4191">
        <v>50.761607603958502</v>
      </c>
      <c r="O4191">
        <v>50.0283444648475</v>
      </c>
      <c r="P4191">
        <v>-0.100356265344043</v>
      </c>
      <c r="Q4191">
        <v>5.8463074685532697E-2</v>
      </c>
      <c r="R4191">
        <v>0.99772701354330096</v>
      </c>
      <c r="S4191" t="s">
        <v>10593</v>
      </c>
      <c r="T4191" t="s">
        <v>12802</v>
      </c>
      <c r="U4191" t="s">
        <v>12802</v>
      </c>
      <c r="V4191" t="s">
        <v>12802</v>
      </c>
      <c r="W4191" t="s">
        <v>16934</v>
      </c>
      <c r="X4191">
        <v>11</v>
      </c>
      <c r="Y4191" t="s">
        <v>23158</v>
      </c>
      <c r="Z4191" t="s">
        <v>29509</v>
      </c>
      <c r="AA4191">
        <v>0.49214075203459451</v>
      </c>
      <c r="AB4191" t="str">
        <f>HYPERLINK("Melting_Curves/meltCurve_Q7Z7A3_CTU1.pdf", "Melting_Curves/meltCurve_Q7Z7A3_CTU1.pdf")</f>
        <v>Melting_Curves/meltCurve_Q7Z7A3_CTU1.pdf</v>
      </c>
    </row>
    <row r="4192" spans="1:28" x14ac:dyDescent="0.25">
      <c r="A4192" t="s">
        <v>4196</v>
      </c>
      <c r="B4192">
        <v>0.99542014353169495</v>
      </c>
      <c r="C4192">
        <v>0.96885585665282004</v>
      </c>
      <c r="D4192">
        <v>0.97107040521376498</v>
      </c>
      <c r="E4192">
        <v>0.91390255712176105</v>
      </c>
      <c r="F4192">
        <v>0.80404473046082003</v>
      </c>
      <c r="G4192">
        <v>0.64667321699073399</v>
      </c>
      <c r="H4192">
        <v>0.33842894039481197</v>
      </c>
      <c r="I4192">
        <v>0.25423814528782201</v>
      </c>
      <c r="J4192">
        <v>0.30882288659896201</v>
      </c>
      <c r="K4192">
        <v>0.25938659439273698</v>
      </c>
      <c r="L4192">
        <v>1009.1336551389001</v>
      </c>
      <c r="M4192">
        <v>18.9229751806431</v>
      </c>
      <c r="N4192">
        <v>55.152609624331497</v>
      </c>
      <c r="O4192">
        <v>52.743629188177998</v>
      </c>
      <c r="P4192">
        <v>-6.8833398956024194E-2</v>
      </c>
      <c r="Q4192">
        <v>0.23259928065852301</v>
      </c>
      <c r="R4192">
        <v>0.98523056913259499</v>
      </c>
      <c r="S4192" t="s">
        <v>10594</v>
      </c>
      <c r="T4192" t="s">
        <v>12802</v>
      </c>
      <c r="U4192" t="s">
        <v>12802</v>
      </c>
      <c r="V4192" t="s">
        <v>12802</v>
      </c>
      <c r="W4192" t="s">
        <v>16935</v>
      </c>
      <c r="X4192">
        <v>4</v>
      </c>
      <c r="Y4192" t="s">
        <v>23159</v>
      </c>
      <c r="Z4192" t="s">
        <v>29510</v>
      </c>
      <c r="AA4192">
        <v>0.66058253508455178</v>
      </c>
      <c r="AB4192" t="str">
        <f>HYPERLINK("Melting_Curves/meltCurve_Q7Z7C8_TAF8.pdf", "Melting_Curves/meltCurve_Q7Z7C8_TAF8.pdf")</f>
        <v>Melting_Curves/meltCurve_Q7Z7C8_TAF8.pdf</v>
      </c>
    </row>
    <row r="4193" spans="1:28" x14ac:dyDescent="0.25">
      <c r="A4193" t="s">
        <v>4197</v>
      </c>
      <c r="B4193">
        <v>0.99542014353169495</v>
      </c>
      <c r="C4193">
        <v>1.06894006986497</v>
      </c>
      <c r="D4193">
        <v>0.99239379775415903</v>
      </c>
      <c r="E4193">
        <v>0.76576970636885</v>
      </c>
      <c r="F4193">
        <v>0.34864155276867098</v>
      </c>
      <c r="G4193">
        <v>0.16688239520905601</v>
      </c>
      <c r="H4193">
        <v>0.14110213794688201</v>
      </c>
      <c r="I4193">
        <v>9.5937126871370806E-2</v>
      </c>
      <c r="J4193">
        <v>0.10481432932382</v>
      </c>
      <c r="K4193">
        <v>6.8342354123277896E-2</v>
      </c>
      <c r="L4193">
        <v>1309.13403828318</v>
      </c>
      <c r="M4193">
        <v>27.0166148790702</v>
      </c>
      <c r="N4193">
        <v>48.857176020523099</v>
      </c>
      <c r="O4193">
        <v>48.193474477188403</v>
      </c>
      <c r="P4193">
        <v>-0.126225887881322</v>
      </c>
      <c r="Q4193">
        <v>9.9338828697112705E-2</v>
      </c>
      <c r="R4193">
        <v>0.99537682903133295</v>
      </c>
      <c r="S4193" t="s">
        <v>10595</v>
      </c>
      <c r="T4193" t="s">
        <v>12802</v>
      </c>
      <c r="U4193" t="s">
        <v>12802</v>
      </c>
      <c r="V4193" t="s">
        <v>12802</v>
      </c>
      <c r="W4193" t="s">
        <v>16936</v>
      </c>
      <c r="X4193">
        <v>7</v>
      </c>
      <c r="Y4193" t="s">
        <v>23160</v>
      </c>
      <c r="Z4193" t="s">
        <v>29511</v>
      </c>
      <c r="AA4193">
        <v>0.44991869030952369</v>
      </c>
      <c r="AB4193" t="str">
        <f>HYPERLINK("Melting_Curves/meltCurve_Q7Z7E8_UBE2Q1.pdf", "Melting_Curves/meltCurve_Q7Z7E8_UBE2Q1.pdf")</f>
        <v>Melting_Curves/meltCurve_Q7Z7E8_UBE2Q1.pdf</v>
      </c>
    </row>
    <row r="4194" spans="1:28" x14ac:dyDescent="0.25">
      <c r="A4194" t="s">
        <v>4198</v>
      </c>
      <c r="B4194">
        <v>0.99542014353169495</v>
      </c>
      <c r="C4194">
        <v>1.00062484451374</v>
      </c>
      <c r="D4194">
        <v>0.86926795121252198</v>
      </c>
      <c r="E4194">
        <v>0.59625385019606802</v>
      </c>
      <c r="F4194">
        <v>0.26694348967807602</v>
      </c>
      <c r="G4194">
        <v>0.14649096590963201</v>
      </c>
      <c r="H4194">
        <v>8.9287130952426894E-2</v>
      </c>
      <c r="I4194">
        <v>6.0470742152500201E-2</v>
      </c>
      <c r="J4194">
        <v>6.2726241009409198E-2</v>
      </c>
      <c r="K4194">
        <v>6.6175966443114895E-2</v>
      </c>
      <c r="L4194">
        <v>944.22968126992305</v>
      </c>
      <c r="M4194">
        <v>20.011702493482598</v>
      </c>
      <c r="N4194">
        <v>47.488614192753097</v>
      </c>
      <c r="O4194">
        <v>46.720286273019298</v>
      </c>
      <c r="P4194">
        <v>-0.100633351044375</v>
      </c>
      <c r="Q4194">
        <v>6.02566013198979E-2</v>
      </c>
      <c r="R4194">
        <v>0.99918619841095901</v>
      </c>
      <c r="S4194" t="s">
        <v>10596</v>
      </c>
      <c r="T4194" t="s">
        <v>12802</v>
      </c>
      <c r="U4194" t="s">
        <v>12802</v>
      </c>
      <c r="V4194" t="s">
        <v>12802</v>
      </c>
      <c r="W4194" t="s">
        <v>16937</v>
      </c>
      <c r="X4194">
        <v>5</v>
      </c>
      <c r="Y4194" t="s">
        <v>23161</v>
      </c>
      <c r="Z4194" t="s">
        <v>29512</v>
      </c>
      <c r="AA4194">
        <v>0.39156045571184628</v>
      </c>
      <c r="AB4194" t="str">
        <f>HYPERLINK("Melting_Curves/meltCurve_Q7Z7F0_2_KIAA0907.pdf", "Melting_Curves/meltCurve_Q7Z7F0_2_KIAA0907.pdf")</f>
        <v>Melting_Curves/meltCurve_Q7Z7F0_2_KIAA0907.pdf</v>
      </c>
    </row>
    <row r="4195" spans="1:28" x14ac:dyDescent="0.25">
      <c r="A4195" t="s">
        <v>4199</v>
      </c>
      <c r="B4195">
        <v>0.99542014353169495</v>
      </c>
      <c r="C4195">
        <v>1.0275864242399999</v>
      </c>
      <c r="D4195">
        <v>1.0657315612211899</v>
      </c>
      <c r="E4195">
        <v>0.84362430753552498</v>
      </c>
      <c r="F4195">
        <v>0.59386149536432098</v>
      </c>
      <c r="G4195">
        <v>0.24910965477397501</v>
      </c>
      <c r="H4195">
        <v>0.18013686356720199</v>
      </c>
      <c r="I4195">
        <v>0.13479405547258499</v>
      </c>
      <c r="J4195">
        <v>0.166179185621009</v>
      </c>
      <c r="K4195">
        <v>0.16353874460072501</v>
      </c>
      <c r="L4195">
        <v>1282.19512488537</v>
      </c>
      <c r="M4195">
        <v>25.584735758739001</v>
      </c>
      <c r="N4195">
        <v>50.808342234378898</v>
      </c>
      <c r="O4195">
        <v>49.812466438784</v>
      </c>
      <c r="P4195">
        <v>-0.109500315417558</v>
      </c>
      <c r="Q4195">
        <v>0.147239385800845</v>
      </c>
      <c r="R4195">
        <v>0.992125711597035</v>
      </c>
      <c r="S4195" t="s">
        <v>10597</v>
      </c>
      <c r="T4195" t="s">
        <v>12802</v>
      </c>
      <c r="U4195" t="s">
        <v>12802</v>
      </c>
      <c r="V4195" t="s">
        <v>12802</v>
      </c>
      <c r="W4195" t="s">
        <v>16938</v>
      </c>
      <c r="X4195">
        <v>2</v>
      </c>
      <c r="Y4195" t="s">
        <v>23162</v>
      </c>
      <c r="Z4195" t="s">
        <v>29513</v>
      </c>
      <c r="AA4195">
        <v>0.52720050864133683</v>
      </c>
      <c r="AB4195" t="str">
        <f>HYPERLINK("Melting_Curves/meltCurve_Q7Z7F7_MRPL55.pdf", "Melting_Curves/meltCurve_Q7Z7F7_MRPL55.pdf")</f>
        <v>Melting_Curves/meltCurve_Q7Z7F7_MRPL55.pdf</v>
      </c>
    </row>
    <row r="4196" spans="1:28" x14ac:dyDescent="0.25">
      <c r="A4196" t="s">
        <v>4200</v>
      </c>
      <c r="B4196">
        <v>0.99542014353169495</v>
      </c>
      <c r="C4196">
        <v>1.0880882585385301</v>
      </c>
      <c r="D4196">
        <v>1.0333566465551101</v>
      </c>
      <c r="E4196">
        <v>1.16851805091693</v>
      </c>
      <c r="F4196">
        <v>0.91971421847673496</v>
      </c>
      <c r="G4196">
        <v>0.71725787673021701</v>
      </c>
      <c r="H4196">
        <v>0.42693789751647299</v>
      </c>
      <c r="I4196">
        <v>0.37232394493357701</v>
      </c>
      <c r="J4196">
        <v>0.42006526865275501</v>
      </c>
      <c r="K4196">
        <v>0.47739457472304803</v>
      </c>
      <c r="L4196">
        <v>2263.7156424667401</v>
      </c>
      <c r="M4196">
        <v>42.121101664034697</v>
      </c>
      <c r="N4196">
        <v>56.113671262574002</v>
      </c>
      <c r="O4196">
        <v>53.622334218266303</v>
      </c>
      <c r="P4196">
        <v>-0.114756262005867</v>
      </c>
      <c r="Q4196">
        <v>0.41563861764002702</v>
      </c>
      <c r="R4196">
        <v>0.94681466851603302</v>
      </c>
      <c r="S4196" t="s">
        <v>10598</v>
      </c>
      <c r="T4196" t="s">
        <v>12802</v>
      </c>
      <c r="U4196" t="s">
        <v>12802</v>
      </c>
      <c r="V4196" t="s">
        <v>12802</v>
      </c>
      <c r="W4196" t="s">
        <v>16939</v>
      </c>
      <c r="X4196">
        <v>3</v>
      </c>
      <c r="Y4196" t="s">
        <v>23163</v>
      </c>
      <c r="Z4196" t="s">
        <v>29514</v>
      </c>
      <c r="AA4196">
        <v>0.74371796929847855</v>
      </c>
      <c r="AB4196" t="str">
        <f>HYPERLINK("Melting_Curves/meltCurve_Q7Z7G8_2_VPS13B.pdf", "Melting_Curves/meltCurve_Q7Z7G8_2_VPS13B.pdf")</f>
        <v>Melting_Curves/meltCurve_Q7Z7G8_2_VPS13B.pdf</v>
      </c>
    </row>
    <row r="4197" spans="1:28" x14ac:dyDescent="0.25">
      <c r="A4197" t="s">
        <v>4201</v>
      </c>
      <c r="B4197">
        <v>0.99542014353169495</v>
      </c>
      <c r="C4197">
        <v>0.88438462428128695</v>
      </c>
      <c r="D4197">
        <v>0.92968358910987103</v>
      </c>
      <c r="E4197">
        <v>0.72696374242043504</v>
      </c>
      <c r="F4197">
        <v>0.69046761046302896</v>
      </c>
      <c r="G4197">
        <v>0.40318568108889602</v>
      </c>
      <c r="H4197">
        <v>0.31961783544872102</v>
      </c>
      <c r="I4197">
        <v>0.15760619212620899</v>
      </c>
      <c r="J4197">
        <v>0.109341447542468</v>
      </c>
      <c r="K4197">
        <v>9.5470775235500294E-2</v>
      </c>
      <c r="L4197">
        <v>542.19880776945399</v>
      </c>
      <c r="M4197">
        <v>10.3462669477781</v>
      </c>
      <c r="N4197">
        <v>52.4052598354805</v>
      </c>
      <c r="O4197">
        <v>50.560842074359698</v>
      </c>
      <c r="P4197">
        <v>-5.1179350952640597E-2</v>
      </c>
      <c r="Q4197">
        <v>0</v>
      </c>
      <c r="R4197">
        <v>0.982762596047425</v>
      </c>
      <c r="S4197" t="s">
        <v>10599</v>
      </c>
      <c r="T4197" t="s">
        <v>12802</v>
      </c>
      <c r="U4197" t="s">
        <v>12802</v>
      </c>
      <c r="V4197" t="s">
        <v>12802</v>
      </c>
      <c r="W4197" t="s">
        <v>16940</v>
      </c>
      <c r="X4197">
        <v>7</v>
      </c>
      <c r="Y4197" t="s">
        <v>23164</v>
      </c>
      <c r="Z4197" t="s">
        <v>29515</v>
      </c>
      <c r="AA4197">
        <v>0.53817161922299739</v>
      </c>
      <c r="AB4197" t="str">
        <f>HYPERLINK("Melting_Curves/meltCurve_Q7Z7H5_3_TMED4.pdf", "Melting_Curves/meltCurve_Q7Z7H5_3_TMED4.pdf")</f>
        <v>Melting_Curves/meltCurve_Q7Z7H5_3_TMED4.pdf</v>
      </c>
    </row>
    <row r="4198" spans="1:28" x14ac:dyDescent="0.25">
      <c r="A4198" t="s">
        <v>4202</v>
      </c>
      <c r="B4198">
        <v>0.99542014353169495</v>
      </c>
      <c r="C4198">
        <v>1.05441015958855</v>
      </c>
      <c r="D4198">
        <v>1.0047513958736001</v>
      </c>
      <c r="E4198">
        <v>0.97909643656602097</v>
      </c>
      <c r="F4198">
        <v>0.79225270225533695</v>
      </c>
      <c r="G4198">
        <v>0.66568491330033697</v>
      </c>
      <c r="H4198">
        <v>0.47733279321085798</v>
      </c>
      <c r="I4198">
        <v>0.43507959778934202</v>
      </c>
      <c r="J4198">
        <v>0.57084081372877205</v>
      </c>
      <c r="K4198">
        <v>0.65282007880585902</v>
      </c>
      <c r="L4198">
        <v>1488.8796328122701</v>
      </c>
      <c r="M4198">
        <v>29.2941358372053</v>
      </c>
      <c r="O4198">
        <v>50.5900941575321</v>
      </c>
      <c r="P4198">
        <v>-6.6797259121084807E-2</v>
      </c>
      <c r="Q4198">
        <v>0.53857585104889905</v>
      </c>
      <c r="R4198">
        <v>0.92419300141867</v>
      </c>
      <c r="S4198" t="s">
        <v>10600</v>
      </c>
      <c r="T4198" t="s">
        <v>12802</v>
      </c>
      <c r="U4198" t="s">
        <v>12802</v>
      </c>
      <c r="V4198" t="s">
        <v>12802</v>
      </c>
      <c r="W4198" t="s">
        <v>16941</v>
      </c>
      <c r="X4198">
        <v>2</v>
      </c>
      <c r="Y4198" t="s">
        <v>23165</v>
      </c>
      <c r="Z4198" t="s">
        <v>29516</v>
      </c>
      <c r="AA4198">
        <v>0.75422203437105295</v>
      </c>
      <c r="AB4198" t="str">
        <f>HYPERLINK("Melting_Curves/meltCurve_Q7Z7K0_CMC1.pdf", "Melting_Curves/meltCurve_Q7Z7K0_CMC1.pdf")</f>
        <v>Melting_Curves/meltCurve_Q7Z7K0_CMC1.pdf</v>
      </c>
    </row>
    <row r="4199" spans="1:28" x14ac:dyDescent="0.25">
      <c r="A4199" t="s">
        <v>4203</v>
      </c>
      <c r="B4199">
        <v>0.99542014353169495</v>
      </c>
      <c r="C4199">
        <v>1.14931208479223</v>
      </c>
      <c r="D4199">
        <v>1.4218776258344299</v>
      </c>
      <c r="E4199">
        <v>1.23545750493009</v>
      </c>
      <c r="F4199">
        <v>0.83368159268511799</v>
      </c>
      <c r="G4199">
        <v>0.614475793524488</v>
      </c>
      <c r="H4199">
        <v>0.12574735825188399</v>
      </c>
      <c r="I4199">
        <v>0.14632807535416001</v>
      </c>
      <c r="J4199">
        <v>0</v>
      </c>
      <c r="K4199">
        <v>0</v>
      </c>
      <c r="L4199">
        <v>1634.6306638004201</v>
      </c>
      <c r="M4199">
        <v>30.112810482502301</v>
      </c>
      <c r="N4199">
        <v>54.359692012698702</v>
      </c>
      <c r="O4199">
        <v>54.045853047578397</v>
      </c>
      <c r="P4199">
        <v>-0.136417719801051</v>
      </c>
      <c r="Q4199">
        <v>2.0647407502792599E-2</v>
      </c>
      <c r="R4199">
        <v>0.89637522275290904</v>
      </c>
      <c r="S4199" t="s">
        <v>10601</v>
      </c>
      <c r="T4199" t="s">
        <v>12802</v>
      </c>
      <c r="U4199" t="s">
        <v>12802</v>
      </c>
      <c r="V4199" t="s">
        <v>12802</v>
      </c>
      <c r="W4199" t="s">
        <v>16942</v>
      </c>
      <c r="X4199">
        <v>1</v>
      </c>
      <c r="Y4199" t="s">
        <v>23166</v>
      </c>
      <c r="Z4199" t="s">
        <v>29517</v>
      </c>
      <c r="AA4199">
        <v>0.59107900102810196</v>
      </c>
      <c r="AB4199" t="str">
        <f>HYPERLINK("Melting_Curves/meltCurve_Q7Z7K6_3_CENPV.pdf", "Melting_Curves/meltCurve_Q7Z7K6_3_CENPV.pdf")</f>
        <v>Melting_Curves/meltCurve_Q7Z7K6_3_CENPV.pdf</v>
      </c>
    </row>
    <row r="4200" spans="1:28" x14ac:dyDescent="0.25">
      <c r="A4200" t="s">
        <v>4204</v>
      </c>
      <c r="B4200">
        <v>0.99542014353169495</v>
      </c>
      <c r="C4200">
        <v>0.94989250081315402</v>
      </c>
      <c r="D4200">
        <v>1.0445508801718799</v>
      </c>
      <c r="E4200">
        <v>0.81154411508489399</v>
      </c>
      <c r="F4200">
        <v>0.67050829492330999</v>
      </c>
      <c r="G4200">
        <v>0.32218607434306801</v>
      </c>
      <c r="H4200">
        <v>0.170673784164183</v>
      </c>
      <c r="I4200">
        <v>0.106935795793537</v>
      </c>
      <c r="J4200">
        <v>0.12791292386276601</v>
      </c>
      <c r="K4200">
        <v>0.148674696774235</v>
      </c>
      <c r="L4200">
        <v>1036.93442373926</v>
      </c>
      <c r="M4200">
        <v>20.340560007244999</v>
      </c>
      <c r="N4200">
        <v>51.583764746087397</v>
      </c>
      <c r="O4200">
        <v>50.493591636340803</v>
      </c>
      <c r="P4200">
        <v>-9.0022348778518696E-2</v>
      </c>
      <c r="Q4200">
        <v>0.10613796412346201</v>
      </c>
      <c r="R4200">
        <v>0.98814962887396396</v>
      </c>
      <c r="S4200" t="s">
        <v>10602</v>
      </c>
      <c r="T4200" t="s">
        <v>12802</v>
      </c>
      <c r="U4200" t="s">
        <v>12802</v>
      </c>
      <c r="V4200" t="s">
        <v>12802</v>
      </c>
      <c r="W4200" t="s">
        <v>16943</v>
      </c>
      <c r="X4200">
        <v>14</v>
      </c>
      <c r="Y4200" t="s">
        <v>23167</v>
      </c>
      <c r="Z4200" t="s">
        <v>29518</v>
      </c>
      <c r="AA4200">
        <v>0.53401630285334578</v>
      </c>
      <c r="AB4200" t="str">
        <f>HYPERLINK("Melting_Curves/meltCurve_Q7Z7M9_GALNT5.pdf", "Melting_Curves/meltCurve_Q7Z7M9_GALNT5.pdf")</f>
        <v>Melting_Curves/meltCurve_Q7Z7M9_GALNT5.pdf</v>
      </c>
    </row>
    <row r="4201" spans="1:28" x14ac:dyDescent="0.25">
      <c r="A4201" t="s">
        <v>4205</v>
      </c>
      <c r="B4201">
        <v>0.99542014353169495</v>
      </c>
      <c r="C4201">
        <v>0.96201408967211299</v>
      </c>
      <c r="D4201">
        <v>0.83142841309984805</v>
      </c>
      <c r="E4201">
        <v>0.73969197987317303</v>
      </c>
      <c r="F4201">
        <v>0.79235344190089296</v>
      </c>
      <c r="G4201">
        <v>0.61391738028376897</v>
      </c>
      <c r="H4201">
        <v>0.48508003825753199</v>
      </c>
      <c r="I4201">
        <v>0.44714096693726901</v>
      </c>
      <c r="J4201">
        <v>0.54764757814092901</v>
      </c>
      <c r="K4201">
        <v>0.65548101049373098</v>
      </c>
      <c r="L4201">
        <v>531.87579525684896</v>
      </c>
      <c r="M4201">
        <v>11.3112876213661</v>
      </c>
      <c r="O4201">
        <v>45.623927382210098</v>
      </c>
      <c r="P4201">
        <v>-2.9813933097459101E-2</v>
      </c>
      <c r="Q4201">
        <v>0.51912952707204796</v>
      </c>
      <c r="R4201">
        <v>0.84465355750013904</v>
      </c>
      <c r="S4201" t="s">
        <v>10603</v>
      </c>
      <c r="T4201" t="s">
        <v>12802</v>
      </c>
      <c r="U4201" t="s">
        <v>12802</v>
      </c>
      <c r="V4201" t="s">
        <v>12802</v>
      </c>
      <c r="W4201" t="s">
        <v>16944</v>
      </c>
      <c r="X4201">
        <v>1</v>
      </c>
      <c r="Y4201" t="s">
        <v>23168</v>
      </c>
      <c r="Z4201" t="s">
        <v>29519</v>
      </c>
      <c r="AA4201">
        <v>0.69707373431484088</v>
      </c>
      <c r="AB4201" t="str">
        <f>HYPERLINK("Melting_Curves/meltCurve_Q7Z7N9_TMEM179B.pdf", "Melting_Curves/meltCurve_Q7Z7N9_TMEM179B.pdf")</f>
        <v>Melting_Curves/meltCurve_Q7Z7N9_TMEM179B.pdf</v>
      </c>
    </row>
    <row r="4202" spans="1:28" x14ac:dyDescent="0.25">
      <c r="A4202" t="s">
        <v>4206</v>
      </c>
      <c r="B4202">
        <v>0.99542014353169495</v>
      </c>
      <c r="C4202">
        <v>0.93774093321971297</v>
      </c>
      <c r="D4202">
        <v>0.94606500784236702</v>
      </c>
      <c r="E4202">
        <v>0.77796610909098496</v>
      </c>
      <c r="F4202">
        <v>0.64042387801631495</v>
      </c>
      <c r="G4202">
        <v>0.297453619130919</v>
      </c>
      <c r="H4202">
        <v>0.12617339449237</v>
      </c>
      <c r="I4202">
        <v>5.6581915955058897E-2</v>
      </c>
      <c r="J4202">
        <v>4.4111677750061001E-2</v>
      </c>
      <c r="K4202">
        <v>5.3935104381249502E-2</v>
      </c>
      <c r="L4202">
        <v>806.344411674296</v>
      </c>
      <c r="M4202">
        <v>15.7554225385179</v>
      </c>
      <c r="N4202">
        <v>51.178850549220897</v>
      </c>
      <c r="O4202">
        <v>50.3756457715061</v>
      </c>
      <c r="P4202">
        <v>-7.8196195130228296E-2</v>
      </c>
      <c r="Q4202">
        <v>0</v>
      </c>
      <c r="R4202">
        <v>0.99256754141108505</v>
      </c>
      <c r="S4202" t="s">
        <v>10604</v>
      </c>
      <c r="T4202" t="s">
        <v>12802</v>
      </c>
      <c r="U4202" t="s">
        <v>12802</v>
      </c>
      <c r="V4202" t="s">
        <v>12802</v>
      </c>
      <c r="W4202" t="s">
        <v>16945</v>
      </c>
      <c r="X4202">
        <v>11</v>
      </c>
      <c r="Y4202" t="s">
        <v>23169</v>
      </c>
      <c r="Z4202" t="s">
        <v>29520</v>
      </c>
      <c r="AA4202">
        <v>0.49134832762242292</v>
      </c>
      <c r="AB4202" t="str">
        <f>HYPERLINK("Melting_Curves/meltCurve_Q86SF2_GALNT7.pdf", "Melting_Curves/meltCurve_Q86SF2_GALNT7.pdf")</f>
        <v>Melting_Curves/meltCurve_Q86SF2_GALNT7.pdf</v>
      </c>
    </row>
    <row r="4203" spans="1:28" x14ac:dyDescent="0.25">
      <c r="A4203" t="s">
        <v>4207</v>
      </c>
      <c r="B4203">
        <v>0.99542014353169495</v>
      </c>
      <c r="C4203">
        <v>1.0267389769108499</v>
      </c>
      <c r="D4203">
        <v>0.99709554140446</v>
      </c>
      <c r="E4203">
        <v>0.96039215529101996</v>
      </c>
      <c r="F4203">
        <v>0.81202111676767197</v>
      </c>
      <c r="G4203">
        <v>0.61250087081923299</v>
      </c>
      <c r="H4203">
        <v>0.32823025661122401</v>
      </c>
      <c r="I4203">
        <v>0.124925435666263</v>
      </c>
      <c r="J4203">
        <v>6.8578007343877007E-2</v>
      </c>
      <c r="K4203">
        <v>7.3642032022807002E-2</v>
      </c>
      <c r="L4203">
        <v>969.96426712365098</v>
      </c>
      <c r="M4203">
        <v>17.676260746015</v>
      </c>
      <c r="N4203">
        <v>54.9282542350252</v>
      </c>
      <c r="O4203">
        <v>54.185971023563503</v>
      </c>
      <c r="P4203">
        <v>-8.0850143949851794E-2</v>
      </c>
      <c r="Q4203">
        <v>8.6791707561506108E-3</v>
      </c>
      <c r="R4203">
        <v>0.99758022907740396</v>
      </c>
      <c r="S4203" t="s">
        <v>10605</v>
      </c>
      <c r="T4203" t="s">
        <v>12802</v>
      </c>
      <c r="U4203" t="s">
        <v>12802</v>
      </c>
      <c r="V4203" t="s">
        <v>12802</v>
      </c>
      <c r="W4203" t="s">
        <v>16946</v>
      </c>
      <c r="X4203">
        <v>4</v>
      </c>
      <c r="Y4203" t="s">
        <v>23170</v>
      </c>
      <c r="Z4203" t="s">
        <v>29521</v>
      </c>
      <c r="AA4203">
        <v>0.61212749464919214</v>
      </c>
      <c r="AB4203" t="str">
        <f>HYPERLINK("Melting_Curves/meltCurve_Q86SQ9_3_DHDDS.pdf", "Melting_Curves/meltCurve_Q86SQ9_3_DHDDS.pdf")</f>
        <v>Melting_Curves/meltCurve_Q86SQ9_3_DHDDS.pdf</v>
      </c>
    </row>
    <row r="4204" spans="1:28" x14ac:dyDescent="0.25">
      <c r="A4204" t="s">
        <v>4208</v>
      </c>
      <c r="B4204">
        <v>0.99542014353169495</v>
      </c>
      <c r="C4204">
        <v>0.99651832369023796</v>
      </c>
      <c r="D4204">
        <v>0.87300167472161505</v>
      </c>
      <c r="E4204">
        <v>0.88643064975267405</v>
      </c>
      <c r="F4204">
        <v>0.75801693152855698</v>
      </c>
      <c r="G4204">
        <v>0.61997918335781299</v>
      </c>
      <c r="H4204">
        <v>0.33617592984910299</v>
      </c>
      <c r="I4204">
        <v>0.208923518165821</v>
      </c>
      <c r="J4204">
        <v>0.20724549232265899</v>
      </c>
      <c r="K4204">
        <v>0.18153018606584101</v>
      </c>
      <c r="L4204">
        <v>683.10507583820197</v>
      </c>
      <c r="M4204">
        <v>12.619633608448</v>
      </c>
      <c r="N4204">
        <v>54.867047876662497</v>
      </c>
      <c r="O4204">
        <v>52.8250603984512</v>
      </c>
      <c r="P4204">
        <v>-5.50801476739756E-2</v>
      </c>
      <c r="Q4204">
        <v>7.7933565977325106E-2</v>
      </c>
      <c r="R4204">
        <v>0.98266030908523505</v>
      </c>
      <c r="S4204" t="s">
        <v>10606</v>
      </c>
      <c r="T4204" t="s">
        <v>12802</v>
      </c>
      <c r="U4204" t="s">
        <v>12802</v>
      </c>
      <c r="V4204" t="s">
        <v>12802</v>
      </c>
      <c r="W4204" t="s">
        <v>16947</v>
      </c>
      <c r="X4204">
        <v>6</v>
      </c>
      <c r="Y4204" t="s">
        <v>23171</v>
      </c>
      <c r="Z4204" t="s">
        <v>29522</v>
      </c>
      <c r="AA4204">
        <v>0.62040125914573119</v>
      </c>
      <c r="AB4204" t="str">
        <f>HYPERLINK("Melting_Curves/meltCurve_Q86SX6_GLRX5.pdf", "Melting_Curves/meltCurve_Q86SX6_GLRX5.pdf")</f>
        <v>Melting_Curves/meltCurve_Q86SX6_GLRX5.pdf</v>
      </c>
    </row>
    <row r="4205" spans="1:28" x14ac:dyDescent="0.25">
      <c r="A4205" t="s">
        <v>4209</v>
      </c>
      <c r="B4205">
        <v>0.99542014353169495</v>
      </c>
      <c r="C4205">
        <v>1.00410340258993</v>
      </c>
      <c r="D4205">
        <v>1.00640450474487</v>
      </c>
      <c r="E4205">
        <v>0.74211928851876496</v>
      </c>
      <c r="F4205">
        <v>0.63041078994760102</v>
      </c>
      <c r="G4205">
        <v>0.78750516643216395</v>
      </c>
      <c r="H4205">
        <v>0.304515376432619</v>
      </c>
      <c r="I4205">
        <v>9.6019126585961401E-2</v>
      </c>
      <c r="J4205">
        <v>6.4736092933813397E-2</v>
      </c>
      <c r="K4205">
        <v>7.1292132442308406E-2</v>
      </c>
      <c r="L4205">
        <v>700.30081116593101</v>
      </c>
      <c r="M4205">
        <v>12.8907126439706</v>
      </c>
      <c r="N4205">
        <v>54.3259966047953</v>
      </c>
      <c r="O4205">
        <v>53.0684334973825</v>
      </c>
      <c r="P4205">
        <v>-6.0737924680911701E-2</v>
      </c>
      <c r="Q4205">
        <v>0</v>
      </c>
      <c r="R4205">
        <v>0.91844662474409899</v>
      </c>
      <c r="S4205" t="s">
        <v>10607</v>
      </c>
      <c r="T4205" t="s">
        <v>12802</v>
      </c>
      <c r="U4205" t="s">
        <v>12802</v>
      </c>
      <c r="V4205" t="s">
        <v>12802</v>
      </c>
      <c r="W4205" t="s">
        <v>16948</v>
      </c>
      <c r="X4205">
        <v>5</v>
      </c>
      <c r="Y4205" t="s">
        <v>23172</v>
      </c>
      <c r="Z4205" t="s">
        <v>29523</v>
      </c>
      <c r="AA4205">
        <v>0.59415121497576961</v>
      </c>
      <c r="AB4205" t="str">
        <f>HYPERLINK("Melting_Curves/meltCurve_Q86SZ2_2_TRAPPC6B.pdf", "Melting_Curves/meltCurve_Q86SZ2_2_TRAPPC6B.pdf")</f>
        <v>Melting_Curves/meltCurve_Q86SZ2_2_TRAPPC6B.pdf</v>
      </c>
    </row>
    <row r="4206" spans="1:28" x14ac:dyDescent="0.25">
      <c r="A4206" t="s">
        <v>4210</v>
      </c>
      <c r="B4206">
        <v>0.99542014353169495</v>
      </c>
      <c r="C4206">
        <v>0.94878229167376205</v>
      </c>
      <c r="D4206">
        <v>0.94024338613873004</v>
      </c>
      <c r="E4206">
        <v>0.67490195981905898</v>
      </c>
      <c r="F4206">
        <v>0.56149729570312501</v>
      </c>
      <c r="G4206">
        <v>0.27604121584629898</v>
      </c>
      <c r="H4206">
        <v>0.17433603510263701</v>
      </c>
      <c r="I4206">
        <v>0.112062337912647</v>
      </c>
      <c r="J4206">
        <v>9.9584448298469894E-2</v>
      </c>
      <c r="K4206">
        <v>0.102332112842781</v>
      </c>
      <c r="L4206">
        <v>688.423783104123</v>
      </c>
      <c r="M4206">
        <v>13.841456288314101</v>
      </c>
      <c r="N4206">
        <v>50.175298161862401</v>
      </c>
      <c r="O4206">
        <v>48.732700632399101</v>
      </c>
      <c r="P4206">
        <v>-6.6967459986922204E-2</v>
      </c>
      <c r="Q4206">
        <v>5.70201127530982E-2</v>
      </c>
      <c r="R4206">
        <v>0.991839964148991</v>
      </c>
      <c r="S4206" t="s">
        <v>10608</v>
      </c>
      <c r="T4206" t="s">
        <v>12802</v>
      </c>
      <c r="U4206" t="s">
        <v>12802</v>
      </c>
      <c r="V4206" t="s">
        <v>12802</v>
      </c>
      <c r="W4206" t="s">
        <v>16949</v>
      </c>
      <c r="X4206">
        <v>3</v>
      </c>
      <c r="Y4206" t="s">
        <v>23173</v>
      </c>
      <c r="Z4206" t="s">
        <v>29524</v>
      </c>
      <c r="AA4206">
        <v>0.47965885323217639</v>
      </c>
      <c r="AB4206" t="str">
        <f>HYPERLINK("Melting_Curves/meltCurve_Q86T03_TMEM55B.pdf", "Melting_Curves/meltCurve_Q86T03_TMEM55B.pdf")</f>
        <v>Melting_Curves/meltCurve_Q86T03_TMEM55B.pdf</v>
      </c>
    </row>
    <row r="4207" spans="1:28" x14ac:dyDescent="0.25">
      <c r="A4207" t="s">
        <v>4211</v>
      </c>
      <c r="B4207">
        <v>0.99542014353169495</v>
      </c>
      <c r="C4207">
        <v>0.99222127608797706</v>
      </c>
      <c r="D4207">
        <v>0.922630157322192</v>
      </c>
      <c r="E4207">
        <v>0.77036780138955496</v>
      </c>
      <c r="F4207">
        <v>0.19655137867754299</v>
      </c>
      <c r="G4207">
        <v>7.2074938297073302E-2</v>
      </c>
      <c r="H4207">
        <v>4.7372668853440603E-2</v>
      </c>
      <c r="I4207">
        <v>3.18141253784388E-2</v>
      </c>
      <c r="J4207">
        <v>4.2113668682196598E-2</v>
      </c>
      <c r="K4207">
        <v>5.8228948676456699E-2</v>
      </c>
      <c r="L4207">
        <v>1740.74776757836</v>
      </c>
      <c r="M4207">
        <v>36.267940084564799</v>
      </c>
      <c r="N4207">
        <v>48.1211167957387</v>
      </c>
      <c r="O4207">
        <v>47.851660456313098</v>
      </c>
      <c r="P4207">
        <v>-0.18101295524844399</v>
      </c>
      <c r="Q4207">
        <v>4.4694300385986603E-2</v>
      </c>
      <c r="R4207">
        <v>0.99730626729250205</v>
      </c>
      <c r="S4207" t="s">
        <v>10609</v>
      </c>
      <c r="T4207" t="s">
        <v>12802</v>
      </c>
      <c r="U4207" t="s">
        <v>12802</v>
      </c>
      <c r="V4207" t="s">
        <v>12802</v>
      </c>
      <c r="W4207" t="s">
        <v>16950</v>
      </c>
      <c r="X4207">
        <v>1</v>
      </c>
      <c r="Y4207" t="s">
        <v>23174</v>
      </c>
      <c r="Z4207" t="s">
        <v>29525</v>
      </c>
      <c r="AA4207">
        <v>0.39873480850451348</v>
      </c>
      <c r="AB4207" t="str">
        <f>HYPERLINK("Melting_Curves/meltCurve_Q86TA1_MOB3B.pdf", "Melting_Curves/meltCurve_Q86TA1_MOB3B.pdf")</f>
        <v>Melting_Curves/meltCurve_Q86TA1_MOB3B.pdf</v>
      </c>
    </row>
    <row r="4208" spans="1:28" x14ac:dyDescent="0.25">
      <c r="A4208" t="s">
        <v>4212</v>
      </c>
      <c r="B4208">
        <v>0.99542014353169495</v>
      </c>
      <c r="C4208">
        <v>0.94318861970478995</v>
      </c>
      <c r="D4208">
        <v>0.69478452839238503</v>
      </c>
      <c r="E4208">
        <v>0.462848736217084</v>
      </c>
      <c r="F4208">
        <v>0.29482379857386198</v>
      </c>
      <c r="G4208">
        <v>0.23079832713244799</v>
      </c>
      <c r="H4208">
        <v>0.13273072861486701</v>
      </c>
      <c r="I4208">
        <v>0.10580913405339</v>
      </c>
      <c r="J4208">
        <v>0.120125224157605</v>
      </c>
      <c r="K4208">
        <v>0.14293666094527899</v>
      </c>
      <c r="L4208">
        <v>688.81702585658797</v>
      </c>
      <c r="M4208">
        <v>15.201364577547499</v>
      </c>
      <c r="N4208">
        <v>46.131445731684401</v>
      </c>
      <c r="O4208">
        <v>44.550398320228702</v>
      </c>
      <c r="P4208">
        <v>-7.5227359903023594E-2</v>
      </c>
      <c r="Q4208">
        <v>0.118214330149211</v>
      </c>
      <c r="R4208">
        <v>0.99350368280805001</v>
      </c>
      <c r="S4208" t="s">
        <v>10610</v>
      </c>
      <c r="T4208" t="s">
        <v>12802</v>
      </c>
      <c r="U4208" t="s">
        <v>12802</v>
      </c>
      <c r="V4208" t="s">
        <v>12802</v>
      </c>
      <c r="W4208" t="s">
        <v>16951</v>
      </c>
      <c r="X4208">
        <v>3</v>
      </c>
      <c r="Y4208" t="s">
        <v>23175</v>
      </c>
      <c r="Z4208" t="s">
        <v>29526</v>
      </c>
      <c r="AA4208">
        <v>0.38276610979850079</v>
      </c>
      <c r="AB4208" t="str">
        <f>HYPERLINK("Melting_Curves/meltCurve_Q86TB9_4_PATL1.pdf", "Melting_Curves/meltCurve_Q86TB9_4_PATL1.pdf")</f>
        <v>Melting_Curves/meltCurve_Q86TB9_4_PATL1.pdf</v>
      </c>
    </row>
    <row r="4209" spans="1:28" x14ac:dyDescent="0.25">
      <c r="A4209" t="s">
        <v>4213</v>
      </c>
      <c r="B4209">
        <v>0.99542014353169495</v>
      </c>
      <c r="C4209">
        <v>0.91841079782181401</v>
      </c>
      <c r="D4209">
        <v>1.0634753852011301</v>
      </c>
      <c r="E4209">
        <v>0.87634819384054496</v>
      </c>
      <c r="F4209">
        <v>0.59901196659772304</v>
      </c>
      <c r="G4209">
        <v>0.13263462477324001</v>
      </c>
      <c r="H4209">
        <v>7.71787267298778E-2</v>
      </c>
      <c r="I4209">
        <v>4.4906654807155798E-2</v>
      </c>
      <c r="J4209">
        <v>3.7908762800500498E-2</v>
      </c>
      <c r="K4209">
        <v>6.4719778857840707E-2</v>
      </c>
      <c r="L4209">
        <v>1571.1444978852501</v>
      </c>
      <c r="M4209">
        <v>31.097100400018999</v>
      </c>
      <c r="N4209">
        <v>50.672038784655001</v>
      </c>
      <c r="O4209">
        <v>50.316271307877201</v>
      </c>
      <c r="P4209">
        <v>-0.147792222466929</v>
      </c>
      <c r="Q4209">
        <v>4.3472055789100898E-2</v>
      </c>
      <c r="R4209">
        <v>0.99037129966709603</v>
      </c>
      <c r="S4209" t="s">
        <v>10611</v>
      </c>
      <c r="T4209" t="s">
        <v>12802</v>
      </c>
      <c r="U4209" t="s">
        <v>12802</v>
      </c>
      <c r="V4209" t="s">
        <v>12802</v>
      </c>
      <c r="W4209" t="s">
        <v>16952</v>
      </c>
      <c r="X4209">
        <v>10</v>
      </c>
      <c r="Y4209" t="s">
        <v>23176</v>
      </c>
      <c r="Z4209" t="s">
        <v>29527</v>
      </c>
      <c r="AA4209">
        <v>0.48018324194679118</v>
      </c>
      <c r="AB4209" t="str">
        <f>HYPERLINK("Melting_Curves/meltCurve_Q86TI2_DPP9.pdf", "Melting_Curves/meltCurve_Q86TI2_DPP9.pdf")</f>
        <v>Melting_Curves/meltCurve_Q86TI2_DPP9.pdf</v>
      </c>
    </row>
    <row r="4210" spans="1:28" x14ac:dyDescent="0.25">
      <c r="A4210" t="s">
        <v>4214</v>
      </c>
      <c r="B4210">
        <v>0.99542014353169495</v>
      </c>
      <c r="C4210">
        <v>0.99891940376588195</v>
      </c>
      <c r="D4210">
        <v>0.88184694897967197</v>
      </c>
      <c r="E4210">
        <v>0.70007119002294604</v>
      </c>
      <c r="F4210">
        <v>0.53145727554038502</v>
      </c>
      <c r="G4210">
        <v>0.250235776874287</v>
      </c>
      <c r="H4210">
        <v>0.14132798069865499</v>
      </c>
      <c r="I4210">
        <v>0.112059286357999</v>
      </c>
      <c r="J4210">
        <v>8.6981064763876403E-2</v>
      </c>
      <c r="K4210">
        <v>0.117209315756204</v>
      </c>
      <c r="L4210">
        <v>731.57072450642397</v>
      </c>
      <c r="M4210">
        <v>14.819787353394901</v>
      </c>
      <c r="N4210">
        <v>49.826902461697401</v>
      </c>
      <c r="O4210">
        <v>48.491747543434698</v>
      </c>
      <c r="P4210">
        <v>-7.1502135147754595E-2</v>
      </c>
      <c r="Q4210">
        <v>6.4251811820068797E-2</v>
      </c>
      <c r="R4210">
        <v>0.99411405741846104</v>
      </c>
      <c r="S4210" t="s">
        <v>10612</v>
      </c>
      <c r="T4210" t="s">
        <v>12802</v>
      </c>
      <c r="U4210" t="s">
        <v>12802</v>
      </c>
      <c r="V4210" t="s">
        <v>12802</v>
      </c>
      <c r="W4210" t="s">
        <v>16953</v>
      </c>
      <c r="X4210">
        <v>5</v>
      </c>
      <c r="Y4210" t="s">
        <v>23177</v>
      </c>
      <c r="Z4210" t="s">
        <v>29528</v>
      </c>
      <c r="AA4210">
        <v>0.47022448938732092</v>
      </c>
      <c r="AB4210" t="str">
        <f>HYPERLINK("Melting_Curves/meltCurve_Q86TN4_TRPT1.pdf", "Melting_Curves/meltCurve_Q86TN4_TRPT1.pdf")</f>
        <v>Melting_Curves/meltCurve_Q86TN4_TRPT1.pdf</v>
      </c>
    </row>
    <row r="4211" spans="1:28" x14ac:dyDescent="0.25">
      <c r="A4211" t="s">
        <v>4215</v>
      </c>
      <c r="B4211">
        <v>0.99542014353169495</v>
      </c>
      <c r="C4211">
        <v>1.06759529922046</v>
      </c>
      <c r="D4211">
        <v>0.97022790669918302</v>
      </c>
      <c r="E4211">
        <v>0.90222394988598997</v>
      </c>
      <c r="F4211">
        <v>0.32205339980618602</v>
      </c>
      <c r="G4211">
        <v>0.12248922977212499</v>
      </c>
      <c r="H4211">
        <v>8.2632343833563396E-2</v>
      </c>
      <c r="I4211">
        <v>5.24460147708267E-2</v>
      </c>
      <c r="J4211">
        <v>5.1357967865399402E-2</v>
      </c>
      <c r="K4211">
        <v>6.1636853571886099E-2</v>
      </c>
      <c r="L4211">
        <v>1933.96603462962</v>
      </c>
      <c r="M4211">
        <v>39.457864356200602</v>
      </c>
      <c r="N4211">
        <v>49.1923759612271</v>
      </c>
      <c r="O4211">
        <v>48.888059648790801</v>
      </c>
      <c r="P4211">
        <v>-0.18828987656430601</v>
      </c>
      <c r="Q4211">
        <v>6.6841839756595994E-2</v>
      </c>
      <c r="R4211">
        <v>0.99632253474322496</v>
      </c>
      <c r="S4211" t="s">
        <v>10613</v>
      </c>
      <c r="T4211" t="s">
        <v>12802</v>
      </c>
      <c r="U4211" t="s">
        <v>12802</v>
      </c>
      <c r="V4211" t="s">
        <v>12802</v>
      </c>
      <c r="W4211" t="s">
        <v>16954</v>
      </c>
      <c r="X4211">
        <v>11</v>
      </c>
      <c r="Y4211" t="s">
        <v>23178</v>
      </c>
      <c r="Z4211" t="s">
        <v>29529</v>
      </c>
      <c r="AA4211">
        <v>0.44377225771943318</v>
      </c>
      <c r="AB4211" t="str">
        <f>HYPERLINK("Melting_Curves/meltCurve_Q86TP1_PRUNE.pdf", "Melting_Curves/meltCurve_Q86TP1_PRUNE.pdf")</f>
        <v>Melting_Curves/meltCurve_Q86TP1_PRUNE.pdf</v>
      </c>
    </row>
    <row r="4212" spans="1:28" x14ac:dyDescent="0.25">
      <c r="A4212" t="s">
        <v>4216</v>
      </c>
      <c r="B4212">
        <v>0.99542014353169495</v>
      </c>
      <c r="C4212">
        <v>0.99874427517618602</v>
      </c>
      <c r="D4212">
        <v>0.95084050022619204</v>
      </c>
      <c r="E4212">
        <v>0.94507543919472203</v>
      </c>
      <c r="F4212">
        <v>0.75384371935594396</v>
      </c>
      <c r="G4212">
        <v>0.50333347474101298</v>
      </c>
      <c r="H4212">
        <v>0.14613862653661</v>
      </c>
      <c r="I4212">
        <v>8.6209695906808395E-2</v>
      </c>
      <c r="J4212">
        <v>7.2701475213387906E-2</v>
      </c>
      <c r="K4212">
        <v>7.3092058184354894E-2</v>
      </c>
      <c r="L4212">
        <v>1126.12421627355</v>
      </c>
      <c r="M4212">
        <v>21.2197232662567</v>
      </c>
      <c r="N4212">
        <v>53.274089608299597</v>
      </c>
      <c r="O4212">
        <v>52.605116144420599</v>
      </c>
      <c r="P4212">
        <v>-9.6904503429810399E-2</v>
      </c>
      <c r="Q4212">
        <v>3.90937143125627E-2</v>
      </c>
      <c r="R4212">
        <v>0.99438608410560403</v>
      </c>
      <c r="S4212" t="s">
        <v>10614</v>
      </c>
      <c r="T4212" t="s">
        <v>12802</v>
      </c>
      <c r="U4212" t="s">
        <v>12802</v>
      </c>
      <c r="V4212" t="s">
        <v>12802</v>
      </c>
      <c r="W4212" t="s">
        <v>16955</v>
      </c>
      <c r="X4212">
        <v>13</v>
      </c>
      <c r="Y4212" t="s">
        <v>23179</v>
      </c>
      <c r="Z4212" t="s">
        <v>29530</v>
      </c>
      <c r="AA4212">
        <v>0.56487636448327794</v>
      </c>
      <c r="AB4212" t="str">
        <f>HYPERLINK("Melting_Curves/meltCurve_Q86TU7_SETD3.pdf", "Melting_Curves/meltCurve_Q86TU7_SETD3.pdf")</f>
        <v>Melting_Curves/meltCurve_Q86TU7_SETD3.pdf</v>
      </c>
    </row>
    <row r="4213" spans="1:28" x14ac:dyDescent="0.25">
      <c r="A4213" t="s">
        <v>4217</v>
      </c>
      <c r="B4213">
        <v>0.99542014353169495</v>
      </c>
      <c r="C4213">
        <v>0.75143166809023498</v>
      </c>
      <c r="D4213">
        <v>0.75878716454941997</v>
      </c>
      <c r="E4213">
        <v>0.52507270740029499</v>
      </c>
      <c r="F4213">
        <v>0.36324452917481398</v>
      </c>
      <c r="G4213">
        <v>0.139846337129926</v>
      </c>
      <c r="H4213">
        <v>9.2548152496305103E-2</v>
      </c>
      <c r="I4213">
        <v>4.5718542487670502E-2</v>
      </c>
      <c r="J4213">
        <v>5.6442767859302197E-2</v>
      </c>
      <c r="K4213">
        <v>2.30623702356198E-2</v>
      </c>
      <c r="L4213">
        <v>516.92199669256195</v>
      </c>
      <c r="M4213">
        <v>11.0664567857807</v>
      </c>
      <c r="N4213">
        <v>46.7107048467428</v>
      </c>
      <c r="O4213">
        <v>45.263213753939702</v>
      </c>
      <c r="P4213">
        <v>-6.1142950231856501E-2</v>
      </c>
      <c r="Q4213">
        <v>0</v>
      </c>
      <c r="R4213">
        <v>0.97990702751841097</v>
      </c>
      <c r="S4213" t="s">
        <v>10615</v>
      </c>
      <c r="T4213" t="s">
        <v>12802</v>
      </c>
      <c r="U4213" t="s">
        <v>12802</v>
      </c>
      <c r="V4213" t="s">
        <v>12802</v>
      </c>
      <c r="W4213" t="s">
        <v>16956</v>
      </c>
      <c r="X4213">
        <v>4</v>
      </c>
      <c r="Y4213" t="s">
        <v>23180</v>
      </c>
      <c r="Z4213" t="s">
        <v>29531</v>
      </c>
      <c r="AA4213">
        <v>0.36156543609164599</v>
      </c>
      <c r="AB4213" t="str">
        <f>HYPERLINK("Melting_Curves/meltCurve_Q86TV6_TTC7B.pdf", "Melting_Curves/meltCurve_Q86TV6_TTC7B.pdf")</f>
        <v>Melting_Curves/meltCurve_Q86TV6_TTC7B.pdf</v>
      </c>
    </row>
    <row r="4214" spans="1:28" x14ac:dyDescent="0.25">
      <c r="A4214" t="s">
        <v>4218</v>
      </c>
      <c r="B4214">
        <v>0.99542014353169495</v>
      </c>
      <c r="C4214">
        <v>0.87699736523821503</v>
      </c>
      <c r="D4214">
        <v>0.60998246178500704</v>
      </c>
      <c r="E4214">
        <v>0.383839336624542</v>
      </c>
      <c r="F4214">
        <v>0.248307864541884</v>
      </c>
      <c r="G4214">
        <v>0.167076255815751</v>
      </c>
      <c r="H4214">
        <v>9.1426837810156605E-2</v>
      </c>
      <c r="I4214">
        <v>6.4448631486162394E-2</v>
      </c>
      <c r="J4214">
        <v>4.9025077844707603E-2</v>
      </c>
      <c r="K4214">
        <v>6.0596302822954598E-2</v>
      </c>
      <c r="L4214">
        <v>621.61140794487505</v>
      </c>
      <c r="M4214">
        <v>13.9202259310554</v>
      </c>
      <c r="N4214">
        <v>45.026643552629899</v>
      </c>
      <c r="O4214">
        <v>43.7639730179529</v>
      </c>
      <c r="P4214">
        <v>-7.5216327172546601E-2</v>
      </c>
      <c r="Q4214">
        <v>5.4233859675945698E-2</v>
      </c>
      <c r="R4214">
        <v>0.99389760612944</v>
      </c>
      <c r="S4214" t="s">
        <v>10616</v>
      </c>
      <c r="T4214" t="s">
        <v>12802</v>
      </c>
      <c r="U4214" t="s">
        <v>12802</v>
      </c>
      <c r="V4214" t="s">
        <v>12802</v>
      </c>
      <c r="W4214" t="s">
        <v>16957</v>
      </c>
      <c r="X4214">
        <v>2</v>
      </c>
      <c r="Y4214" t="s">
        <v>23181</v>
      </c>
      <c r="Z4214" t="s">
        <v>29532</v>
      </c>
      <c r="AA4214">
        <v>0.32203255966875549</v>
      </c>
      <c r="AB4214" t="str">
        <f>HYPERLINK("Melting_Curves/meltCurve_Q86U06_4_RBM23.pdf", "Melting_Curves/meltCurve_Q86U06_4_RBM23.pdf")</f>
        <v>Melting_Curves/meltCurve_Q86U06_4_RBM23.pdf</v>
      </c>
    </row>
    <row r="4215" spans="1:28" x14ac:dyDescent="0.25">
      <c r="A4215" t="s">
        <v>4219</v>
      </c>
      <c r="B4215">
        <v>0.99542014353169495</v>
      </c>
      <c r="C4215">
        <v>1.0150086435571199</v>
      </c>
      <c r="D4215">
        <v>0.87570639766420499</v>
      </c>
      <c r="E4215">
        <v>0.78676906362634602</v>
      </c>
      <c r="F4215">
        <v>0.55102686972805204</v>
      </c>
      <c r="G4215">
        <v>0.38292487983474199</v>
      </c>
      <c r="H4215">
        <v>0.125750464037273</v>
      </c>
      <c r="I4215">
        <v>5.6705526624480897E-2</v>
      </c>
      <c r="J4215">
        <v>6.2131316282699203E-2</v>
      </c>
      <c r="K4215">
        <v>5.8223153771868999E-2</v>
      </c>
      <c r="L4215">
        <v>703.85596065597304</v>
      </c>
      <c r="M4215">
        <v>13.8068079804763</v>
      </c>
      <c r="N4215">
        <v>50.978906267240902</v>
      </c>
      <c r="O4215">
        <v>49.945165633122301</v>
      </c>
      <c r="P4215">
        <v>-6.9119487056938905E-2</v>
      </c>
      <c r="Q4215">
        <v>0</v>
      </c>
      <c r="R4215">
        <v>0.99204705354479505</v>
      </c>
      <c r="S4215" t="s">
        <v>10617</v>
      </c>
      <c r="T4215" t="s">
        <v>12802</v>
      </c>
      <c r="U4215" t="s">
        <v>12802</v>
      </c>
      <c r="V4215" t="s">
        <v>12802</v>
      </c>
      <c r="W4215" t="s">
        <v>16958</v>
      </c>
      <c r="X4215">
        <v>4</v>
      </c>
      <c r="Y4215" t="s">
        <v>23182</v>
      </c>
      <c r="Z4215" t="s">
        <v>29533</v>
      </c>
      <c r="AA4215">
        <v>0.48832241096836843</v>
      </c>
      <c r="AB4215" t="str">
        <f>HYPERLINK("Melting_Curves/meltCurve_Q86U28_ISCA2.pdf", "Melting_Curves/meltCurve_Q86U28_ISCA2.pdf")</f>
        <v>Melting_Curves/meltCurve_Q86U28_ISCA2.pdf</v>
      </c>
    </row>
    <row r="4216" spans="1:28" x14ac:dyDescent="0.25">
      <c r="A4216" t="s">
        <v>4220</v>
      </c>
      <c r="B4216">
        <v>0.99542014353169495</v>
      </c>
      <c r="C4216">
        <v>1.1220950825601299</v>
      </c>
      <c r="D4216">
        <v>1.13001463889374</v>
      </c>
      <c r="E4216">
        <v>0.533808495618182</v>
      </c>
      <c r="F4216">
        <v>0.162924624875568</v>
      </c>
      <c r="G4216">
        <v>7.9145692359182895E-2</v>
      </c>
      <c r="H4216">
        <v>3.7634541646548302E-2</v>
      </c>
      <c r="I4216">
        <v>1.3730265760273299E-2</v>
      </c>
      <c r="J4216">
        <v>1.85709556518458E-2</v>
      </c>
      <c r="K4216">
        <v>2.4157883394008001E-2</v>
      </c>
      <c r="L4216">
        <v>2161.2380721651102</v>
      </c>
      <c r="M4216">
        <v>46.241422715825003</v>
      </c>
      <c r="N4216">
        <v>46.839295474078902</v>
      </c>
      <c r="O4216">
        <v>46.6509797104355</v>
      </c>
      <c r="P4216">
        <v>-0.236032437620875</v>
      </c>
      <c r="Q4216">
        <v>4.7509269031561101E-2</v>
      </c>
      <c r="R4216">
        <v>0.97834076437409201</v>
      </c>
      <c r="S4216" t="s">
        <v>10618</v>
      </c>
      <c r="T4216" t="s">
        <v>12802</v>
      </c>
      <c r="U4216" t="s">
        <v>12802</v>
      </c>
      <c r="V4216" t="s">
        <v>12802</v>
      </c>
      <c r="W4216" t="s">
        <v>16959</v>
      </c>
      <c r="X4216">
        <v>3</v>
      </c>
      <c r="Y4216" t="s">
        <v>23183</v>
      </c>
      <c r="Z4216" t="s">
        <v>29534</v>
      </c>
      <c r="AA4216">
        <v>0.3589903210431315</v>
      </c>
      <c r="AB4216" t="str">
        <f>HYPERLINK("Melting_Curves/meltCurve_Q86U38_NOP9.pdf", "Melting_Curves/meltCurve_Q86U38_NOP9.pdf")</f>
        <v>Melting_Curves/meltCurve_Q86U38_NOP9.pdf</v>
      </c>
    </row>
    <row r="4217" spans="1:28" x14ac:dyDescent="0.25">
      <c r="A4217" t="s">
        <v>4221</v>
      </c>
      <c r="B4217">
        <v>0.99542014353169495</v>
      </c>
      <c r="C4217">
        <v>0.97666699478869801</v>
      </c>
      <c r="D4217">
        <v>1.0211677788172999</v>
      </c>
      <c r="E4217">
        <v>0.89469321737004404</v>
      </c>
      <c r="F4217">
        <v>0.71001609800215604</v>
      </c>
      <c r="G4217">
        <v>0.25842568696118901</v>
      </c>
      <c r="H4217">
        <v>6.2274994819445303E-2</v>
      </c>
      <c r="I4217">
        <v>4.8114025585553298E-2</v>
      </c>
      <c r="J4217">
        <v>5.6101416061887101E-2</v>
      </c>
      <c r="K4217">
        <v>6.3496013705727605E-2</v>
      </c>
      <c r="L4217">
        <v>1466.3842724321801</v>
      </c>
      <c r="M4217">
        <v>28.474454849992</v>
      </c>
      <c r="N4217">
        <v>51.6580673419734</v>
      </c>
      <c r="O4217">
        <v>51.246245998025401</v>
      </c>
      <c r="P4217">
        <v>-0.13305435203482999</v>
      </c>
      <c r="Q4217">
        <v>4.21616435973464E-2</v>
      </c>
      <c r="R4217">
        <v>0.99637444549185905</v>
      </c>
      <c r="S4217" t="s">
        <v>10619</v>
      </c>
      <c r="T4217" t="s">
        <v>12802</v>
      </c>
      <c r="U4217" t="s">
        <v>12802</v>
      </c>
      <c r="V4217" t="s">
        <v>12802</v>
      </c>
      <c r="W4217" t="s">
        <v>16960</v>
      </c>
      <c r="X4217">
        <v>9</v>
      </c>
      <c r="Y4217" t="s">
        <v>23184</v>
      </c>
      <c r="Z4217" t="s">
        <v>29535</v>
      </c>
      <c r="AA4217">
        <v>0.51170221369234836</v>
      </c>
      <c r="AB4217" t="str">
        <f>HYPERLINK("Melting_Curves/meltCurve_Q86U44_METTL3.pdf", "Melting_Curves/meltCurve_Q86U44_METTL3.pdf")</f>
        <v>Melting_Curves/meltCurve_Q86U44_METTL3.pdf</v>
      </c>
    </row>
    <row r="4218" spans="1:28" x14ac:dyDescent="0.25">
      <c r="A4218" t="s">
        <v>4222</v>
      </c>
      <c r="B4218">
        <v>0.99542014353169495</v>
      </c>
      <c r="C4218">
        <v>0.91343321179831105</v>
      </c>
      <c r="D4218">
        <v>1.04696324911011</v>
      </c>
      <c r="E4218">
        <v>0.81418234592245597</v>
      </c>
      <c r="F4218">
        <v>0.76303097523823904</v>
      </c>
      <c r="G4218">
        <v>0.45744168197611501</v>
      </c>
      <c r="H4218">
        <v>0.343417996148211</v>
      </c>
      <c r="I4218">
        <v>0.16982516966036401</v>
      </c>
      <c r="J4218">
        <v>0.15097314508475901</v>
      </c>
      <c r="K4218">
        <v>0.162444940998246</v>
      </c>
      <c r="L4218">
        <v>769.690967628561</v>
      </c>
      <c r="M4218">
        <v>14.576012558829101</v>
      </c>
      <c r="N4218">
        <v>53.592494656258097</v>
      </c>
      <c r="O4218">
        <v>51.841258070286599</v>
      </c>
      <c r="P4218">
        <v>-6.3525145517099105E-2</v>
      </c>
      <c r="Q4218">
        <v>9.6364317545312897E-2</v>
      </c>
      <c r="R4218">
        <v>0.97939975318031902</v>
      </c>
      <c r="S4218" t="s">
        <v>10620</v>
      </c>
      <c r="T4218" t="s">
        <v>12802</v>
      </c>
      <c r="U4218" t="s">
        <v>12802</v>
      </c>
      <c r="V4218" t="s">
        <v>12802</v>
      </c>
      <c r="W4218" t="s">
        <v>16961</v>
      </c>
      <c r="X4218">
        <v>4</v>
      </c>
      <c r="Y4218" t="s">
        <v>23185</v>
      </c>
      <c r="Z4218" t="s">
        <v>29536</v>
      </c>
      <c r="AA4218">
        <v>0.5892820752434037</v>
      </c>
      <c r="AB4218" t="str">
        <f>HYPERLINK("Melting_Curves/meltCurve_Q86U70_3_LDB1.pdf", "Melting_Curves/meltCurve_Q86U70_3_LDB1.pdf")</f>
        <v>Melting_Curves/meltCurve_Q86U70_3_LDB1.pdf</v>
      </c>
    </row>
    <row r="4219" spans="1:28" x14ac:dyDescent="0.25">
      <c r="A4219" t="s">
        <v>4223</v>
      </c>
      <c r="B4219">
        <v>0.99542014353169495</v>
      </c>
      <c r="C4219">
        <v>1.1063927157990201</v>
      </c>
      <c r="D4219">
        <v>0.96289308280655606</v>
      </c>
      <c r="E4219">
        <v>0.97692883158036703</v>
      </c>
      <c r="F4219">
        <v>0.67807816561398804</v>
      </c>
      <c r="G4219">
        <v>0.48562286196577298</v>
      </c>
      <c r="H4219">
        <v>0.120862021090966</v>
      </c>
      <c r="I4219">
        <v>5.3116138578791203E-2</v>
      </c>
      <c r="J4219">
        <v>4.5190929880786899E-2</v>
      </c>
      <c r="K4219">
        <v>5.6314940913344401E-2</v>
      </c>
      <c r="L4219">
        <v>1066.0262758997601</v>
      </c>
      <c r="M4219">
        <v>20.204160048397402</v>
      </c>
      <c r="N4219">
        <v>52.832986637622099</v>
      </c>
      <c r="O4219">
        <v>52.2539841091819</v>
      </c>
      <c r="P4219">
        <v>-9.5384663905283301E-2</v>
      </c>
      <c r="Q4219">
        <v>1.3258130293908699E-2</v>
      </c>
      <c r="R4219">
        <v>0.98472955926260597</v>
      </c>
      <c r="S4219" t="s">
        <v>10621</v>
      </c>
      <c r="T4219" t="s">
        <v>12802</v>
      </c>
      <c r="U4219" t="s">
        <v>12802</v>
      </c>
      <c r="V4219" t="s">
        <v>12802</v>
      </c>
      <c r="W4219" t="s">
        <v>16962</v>
      </c>
      <c r="X4219">
        <v>11</v>
      </c>
      <c r="Y4219" t="s">
        <v>23186</v>
      </c>
      <c r="Z4219" t="s">
        <v>29537</v>
      </c>
      <c r="AA4219">
        <v>0.54404743444793546</v>
      </c>
      <c r="AB4219" t="str">
        <f>HYPERLINK("Melting_Curves/meltCurve_Q86U90_YRDC.pdf", "Melting_Curves/meltCurve_Q86U90_YRDC.pdf")</f>
        <v>Melting_Curves/meltCurve_Q86U90_YRDC.pdf</v>
      </c>
    </row>
    <row r="4220" spans="1:28" x14ac:dyDescent="0.25">
      <c r="A4220" t="s">
        <v>4224</v>
      </c>
      <c r="B4220">
        <v>0.99542014353169495</v>
      </c>
      <c r="C4220">
        <v>0.90658228150214004</v>
      </c>
      <c r="D4220">
        <v>0.75264500317899696</v>
      </c>
      <c r="E4220">
        <v>0.22612162881040501</v>
      </c>
      <c r="F4220">
        <v>0.111694095253247</v>
      </c>
      <c r="G4220">
        <v>6.1355971022078098E-2</v>
      </c>
      <c r="H4220">
        <v>4.2615655696247097E-2</v>
      </c>
      <c r="I4220">
        <v>3.53105079448452E-2</v>
      </c>
      <c r="J4220">
        <v>2.74995669016357E-2</v>
      </c>
      <c r="K4220">
        <v>3.6556494391639001E-2</v>
      </c>
      <c r="L4220">
        <v>1209.6090862316501</v>
      </c>
      <c r="M4220">
        <v>27.215668678788798</v>
      </c>
      <c r="N4220">
        <v>44.585553038428102</v>
      </c>
      <c r="O4220">
        <v>44.207438284782498</v>
      </c>
      <c r="P4220">
        <v>-0.14759684365216899</v>
      </c>
      <c r="Q4220">
        <v>4.1020720912876202E-2</v>
      </c>
      <c r="R4220">
        <v>0.99617440767023602</v>
      </c>
      <c r="S4220" t="s">
        <v>10622</v>
      </c>
      <c r="T4220" t="s">
        <v>12802</v>
      </c>
      <c r="U4220" t="s">
        <v>12802</v>
      </c>
      <c r="V4220" t="s">
        <v>12802</v>
      </c>
      <c r="W4220" t="s">
        <v>16963</v>
      </c>
      <c r="X4220">
        <v>8</v>
      </c>
      <c r="Y4220" t="s">
        <v>23187</v>
      </c>
      <c r="Z4220" t="s">
        <v>29538</v>
      </c>
      <c r="AA4220">
        <v>0.28557953318208368</v>
      </c>
      <c r="AB4220" t="str">
        <f>HYPERLINK("Melting_Curves/meltCurve_Q86UA1_PRPF39.pdf", "Melting_Curves/meltCurve_Q86UA1_PRPF39.pdf")</f>
        <v>Melting_Curves/meltCurve_Q86UA1_PRPF39.pdf</v>
      </c>
    </row>
    <row r="4221" spans="1:28" x14ac:dyDescent="0.25">
      <c r="A4221" t="s">
        <v>4225</v>
      </c>
      <c r="B4221">
        <v>0.99542014353169495</v>
      </c>
      <c r="C4221">
        <v>1.01345066902031</v>
      </c>
      <c r="D4221">
        <v>0.80005751418988003</v>
      </c>
      <c r="E4221">
        <v>0.536549185531493</v>
      </c>
      <c r="F4221">
        <v>0.33599495673616397</v>
      </c>
      <c r="G4221">
        <v>0.19362358258103801</v>
      </c>
      <c r="H4221">
        <v>0.101772461228884</v>
      </c>
      <c r="I4221">
        <v>9.2476868999852399E-2</v>
      </c>
      <c r="J4221">
        <v>9.6113788411230805E-2</v>
      </c>
      <c r="K4221">
        <v>0.148712112196348</v>
      </c>
      <c r="L4221">
        <v>793.36448153802701</v>
      </c>
      <c r="M4221">
        <v>17.017680464603</v>
      </c>
      <c r="N4221">
        <v>47.2368809355021</v>
      </c>
      <c r="O4221">
        <v>45.990543264948798</v>
      </c>
      <c r="P4221">
        <v>-8.3294590281657296E-2</v>
      </c>
      <c r="Q4221">
        <v>9.9635948134191896E-2</v>
      </c>
      <c r="R4221">
        <v>0.99258881727012804</v>
      </c>
      <c r="S4221" t="s">
        <v>10623</v>
      </c>
      <c r="T4221" t="s">
        <v>12802</v>
      </c>
      <c r="U4221" t="s">
        <v>12802</v>
      </c>
      <c r="V4221" t="s">
        <v>12802</v>
      </c>
      <c r="W4221" t="s">
        <v>16964</v>
      </c>
      <c r="X4221">
        <v>5</v>
      </c>
      <c r="Y4221" t="s">
        <v>23188</v>
      </c>
      <c r="Z4221" t="s">
        <v>29539</v>
      </c>
      <c r="AA4221">
        <v>0.40449202642203419</v>
      </c>
      <c r="AB4221" t="str">
        <f>HYPERLINK("Melting_Curves/meltCurve_Q86UD0_SAPCD2.pdf", "Melting_Curves/meltCurve_Q86UD0_SAPCD2.pdf")</f>
        <v>Melting_Curves/meltCurve_Q86UD0_SAPCD2.pdf</v>
      </c>
    </row>
    <row r="4222" spans="1:28" x14ac:dyDescent="0.25">
      <c r="A4222" t="s">
        <v>4226</v>
      </c>
      <c r="B4222">
        <v>0.99542014353169495</v>
      </c>
      <c r="C4222">
        <v>1.02396391996214</v>
      </c>
      <c r="D4222">
        <v>1.0014611913842399</v>
      </c>
      <c r="E4222">
        <v>0.97940154031453197</v>
      </c>
      <c r="F4222">
        <v>1.0491206911370601</v>
      </c>
      <c r="G4222">
        <v>0.81225997113817405</v>
      </c>
      <c r="H4222">
        <v>0.61526153027796904</v>
      </c>
      <c r="I4222">
        <v>0.56609073442089497</v>
      </c>
      <c r="J4222">
        <v>0.88469686637510303</v>
      </c>
      <c r="K4222">
        <v>1.1405372196282999</v>
      </c>
      <c r="L4222">
        <v>13295.4378628332</v>
      </c>
      <c r="M4222">
        <v>250</v>
      </c>
      <c r="O4222">
        <v>53.178348184557798</v>
      </c>
      <c r="P4222">
        <v>-0.233122941343339</v>
      </c>
      <c r="Q4222">
        <v>0.80164651316635704</v>
      </c>
      <c r="R4222">
        <v>0.329385119029805</v>
      </c>
      <c r="S4222" t="s">
        <v>10624</v>
      </c>
      <c r="T4222" t="s">
        <v>12802</v>
      </c>
      <c r="U4222" t="s">
        <v>12802</v>
      </c>
      <c r="V4222" t="s">
        <v>12802</v>
      </c>
      <c r="W4222" t="s">
        <v>16965</v>
      </c>
      <c r="X4222">
        <v>31</v>
      </c>
      <c r="Y4222" t="s">
        <v>23189</v>
      </c>
      <c r="Z4222" t="s">
        <v>29540</v>
      </c>
      <c r="AA4222">
        <v>0.90865525356956567</v>
      </c>
      <c r="AB4222" t="str">
        <f>HYPERLINK("Melting_Curves/meltCurve_Q86UE4_MTDH.pdf", "Melting_Curves/meltCurve_Q86UE4_MTDH.pdf")</f>
        <v>Melting_Curves/meltCurve_Q86UE4_MTDH.pdf</v>
      </c>
    </row>
    <row r="4223" spans="1:28" x14ac:dyDescent="0.25">
      <c r="A4223" t="s">
        <v>4227</v>
      </c>
      <c r="B4223">
        <v>0.99542014353169495</v>
      </c>
      <c r="C4223">
        <v>1.0100153154895</v>
      </c>
      <c r="D4223">
        <v>0.96228759902724204</v>
      </c>
      <c r="E4223">
        <v>0.80118677838482999</v>
      </c>
      <c r="F4223">
        <v>0.55310542783578298</v>
      </c>
      <c r="G4223">
        <v>0.227487335029322</v>
      </c>
      <c r="H4223">
        <v>0.100569646600118</v>
      </c>
      <c r="I4223">
        <v>5.27223879319813E-2</v>
      </c>
      <c r="J4223">
        <v>5.4927041020901603E-2</v>
      </c>
      <c r="K4223">
        <v>6.3023006067928905E-2</v>
      </c>
      <c r="L4223">
        <v>983.75271679740797</v>
      </c>
      <c r="M4223">
        <v>19.578877469017499</v>
      </c>
      <c r="N4223">
        <v>50.4362030484549</v>
      </c>
      <c r="O4223">
        <v>49.730250062978797</v>
      </c>
      <c r="P4223">
        <v>-9.4919505375728103E-2</v>
      </c>
      <c r="Q4223">
        <v>3.5653884468144201E-2</v>
      </c>
      <c r="R4223">
        <v>0.99816864963085905</v>
      </c>
      <c r="S4223" t="s">
        <v>10625</v>
      </c>
      <c r="T4223" t="s">
        <v>12802</v>
      </c>
      <c r="U4223" t="s">
        <v>12802</v>
      </c>
      <c r="V4223" t="s">
        <v>12802</v>
      </c>
      <c r="W4223" t="s">
        <v>16966</v>
      </c>
      <c r="X4223">
        <v>15</v>
      </c>
      <c r="Y4223" t="s">
        <v>23190</v>
      </c>
      <c r="Z4223" t="s">
        <v>29541</v>
      </c>
      <c r="AA4223">
        <v>0.4745945163470342</v>
      </c>
      <c r="AB4223" t="str">
        <f>HYPERLINK("Melting_Curves/meltCurve_Q86UE8_2_TLK2.pdf", "Melting_Curves/meltCurve_Q86UE8_2_TLK2.pdf")</f>
        <v>Melting_Curves/meltCurve_Q86UE8_2_TLK2.pdf</v>
      </c>
    </row>
    <row r="4224" spans="1:28" x14ac:dyDescent="0.25">
      <c r="A4224" t="s">
        <v>4228</v>
      </c>
      <c r="B4224">
        <v>0.99542014353169495</v>
      </c>
      <c r="C4224">
        <v>0.98412204333664299</v>
      </c>
      <c r="D4224">
        <v>0.88546645623053</v>
      </c>
      <c r="E4224">
        <v>0.626723792498872</v>
      </c>
      <c r="F4224">
        <v>0.27763676843513402</v>
      </c>
      <c r="G4224">
        <v>0.120522694574348</v>
      </c>
      <c r="H4224">
        <v>8.0249122301999307E-2</v>
      </c>
      <c r="I4224">
        <v>5.0593398084874203E-2</v>
      </c>
      <c r="J4224">
        <v>6.3004900964935703E-2</v>
      </c>
      <c r="K4224">
        <v>6.5857372839690495E-2</v>
      </c>
      <c r="L4224">
        <v>990.33266307698102</v>
      </c>
      <c r="M4224">
        <v>20.872843659524602</v>
      </c>
      <c r="N4224">
        <v>47.703487362595602</v>
      </c>
      <c r="O4224">
        <v>47.016930663681897</v>
      </c>
      <c r="P4224">
        <v>-0.105076151246008</v>
      </c>
      <c r="Q4224">
        <v>5.3272822299470599E-2</v>
      </c>
      <c r="R4224">
        <v>0.99950128867371502</v>
      </c>
      <c r="S4224" t="s">
        <v>10626</v>
      </c>
      <c r="T4224" t="s">
        <v>12802</v>
      </c>
      <c r="U4224" t="s">
        <v>12802</v>
      </c>
      <c r="V4224" t="s">
        <v>12802</v>
      </c>
      <c r="W4224" t="s">
        <v>16967</v>
      </c>
      <c r="X4224">
        <v>32</v>
      </c>
      <c r="Y4224" t="s">
        <v>23191</v>
      </c>
      <c r="Z4224" t="s">
        <v>29542</v>
      </c>
      <c r="AA4224">
        <v>0.39435013696961241</v>
      </c>
      <c r="AB4224" t="str">
        <f>HYPERLINK("Melting_Curves/meltCurve_Q86UK7_2_ZNF598.pdf", "Melting_Curves/meltCurve_Q86UK7_2_ZNF598.pdf")</f>
        <v>Melting_Curves/meltCurve_Q86UK7_2_ZNF598.pdf</v>
      </c>
    </row>
    <row r="4225" spans="1:28" x14ac:dyDescent="0.25">
      <c r="A4225" t="s">
        <v>4229</v>
      </c>
      <c r="B4225">
        <v>0.99542014353169495</v>
      </c>
      <c r="C4225">
        <v>0.96410438622596595</v>
      </c>
      <c r="D4225">
        <v>0.89270055480478105</v>
      </c>
      <c r="E4225">
        <v>0.860734077526633</v>
      </c>
      <c r="F4225">
        <v>0.689821673894494</v>
      </c>
      <c r="G4225">
        <v>0.34529991929091602</v>
      </c>
      <c r="H4225">
        <v>0.12979100276394301</v>
      </c>
      <c r="I4225">
        <v>7.5349994795826103E-2</v>
      </c>
      <c r="J4225">
        <v>8.3187676764929705E-2</v>
      </c>
      <c r="K4225">
        <v>7.8586892452429405E-2</v>
      </c>
      <c r="L4225">
        <v>969.45162236896499</v>
      </c>
      <c r="M4225">
        <v>18.7733689362666</v>
      </c>
      <c r="N4225">
        <v>51.879509965772002</v>
      </c>
      <c r="O4225">
        <v>51.064492338266298</v>
      </c>
      <c r="P4225">
        <v>-8.8094385905009204E-2</v>
      </c>
      <c r="Q4225">
        <v>4.1555706482485903E-2</v>
      </c>
      <c r="R4225">
        <v>0.99070394281446095</v>
      </c>
      <c r="S4225" t="s">
        <v>10627</v>
      </c>
      <c r="T4225" t="s">
        <v>12802</v>
      </c>
      <c r="U4225" t="s">
        <v>12802</v>
      </c>
      <c r="V4225" t="s">
        <v>12802</v>
      </c>
      <c r="W4225" t="s">
        <v>16968</v>
      </c>
      <c r="X4225">
        <v>7</v>
      </c>
      <c r="Y4225" t="s">
        <v>23192</v>
      </c>
      <c r="Z4225" t="s">
        <v>29543</v>
      </c>
      <c r="AA4225">
        <v>0.52301748159392658</v>
      </c>
      <c r="AB4225" t="str">
        <f>HYPERLINK("Melting_Curves/meltCurve_Q86UL3_AGPAT6.pdf", "Melting_Curves/meltCurve_Q86UL3_AGPAT6.pdf")</f>
        <v>Melting_Curves/meltCurve_Q86UL3_AGPAT6.pdf</v>
      </c>
    </row>
    <row r="4226" spans="1:28" x14ac:dyDescent="0.25">
      <c r="A4226" t="s">
        <v>4230</v>
      </c>
      <c r="B4226">
        <v>0.99542014353169495</v>
      </c>
      <c r="C4226">
        <v>0.90680327803427796</v>
      </c>
      <c r="D4226">
        <v>0.96333820567997397</v>
      </c>
      <c r="E4226">
        <v>0.62151402336688399</v>
      </c>
      <c r="F4226">
        <v>0.35951237052545398</v>
      </c>
      <c r="G4226">
        <v>0.18590641940211799</v>
      </c>
      <c r="H4226">
        <v>0.106835243518828</v>
      </c>
      <c r="I4226">
        <v>7.8433663303784595E-2</v>
      </c>
      <c r="J4226">
        <v>9.4913439208903994E-2</v>
      </c>
      <c r="K4226">
        <v>0.11688781572196701</v>
      </c>
      <c r="L4226">
        <v>933.96034384162999</v>
      </c>
      <c r="M4226">
        <v>19.559695655989</v>
      </c>
      <c r="N4226">
        <v>48.229653143609397</v>
      </c>
      <c r="O4226">
        <v>47.258546970904803</v>
      </c>
      <c r="P4226">
        <v>-9.4316222063151503E-2</v>
      </c>
      <c r="Q4226">
        <v>8.8516089694658198E-2</v>
      </c>
      <c r="R4226">
        <v>0.99162483262027701</v>
      </c>
      <c r="S4226" t="s">
        <v>10628</v>
      </c>
      <c r="T4226" t="s">
        <v>12802</v>
      </c>
      <c r="U4226" t="s">
        <v>12802</v>
      </c>
      <c r="V4226" t="s">
        <v>12802</v>
      </c>
      <c r="W4226" t="s">
        <v>16969</v>
      </c>
      <c r="X4226">
        <v>61</v>
      </c>
      <c r="Y4226" t="s">
        <v>23193</v>
      </c>
      <c r="Z4226" t="s">
        <v>29544</v>
      </c>
      <c r="AA4226">
        <v>0.42758978737649428</v>
      </c>
      <c r="AB4226" t="str">
        <f>HYPERLINK("Melting_Curves/meltCurve_Q86UP2_KTN1.pdf", "Melting_Curves/meltCurve_Q86UP2_KTN1.pdf")</f>
        <v>Melting_Curves/meltCurve_Q86UP2_KTN1.pdf</v>
      </c>
    </row>
    <row r="4227" spans="1:28" x14ac:dyDescent="0.25">
      <c r="A4227" t="s">
        <v>4231</v>
      </c>
      <c r="B4227">
        <v>0.99542014353169495</v>
      </c>
      <c r="C4227">
        <v>0.93057845090414004</v>
      </c>
      <c r="D4227">
        <v>1.0051622520508099</v>
      </c>
      <c r="E4227">
        <v>0.50267346075049801</v>
      </c>
      <c r="F4227">
        <v>0.25224453422700699</v>
      </c>
      <c r="G4227">
        <v>0.10627787270570099</v>
      </c>
      <c r="H4227">
        <v>3.12137268670542E-2</v>
      </c>
      <c r="I4227">
        <v>1.9339352451804501E-2</v>
      </c>
      <c r="J4227">
        <v>2.74609285825974E-2</v>
      </c>
      <c r="K4227">
        <v>0</v>
      </c>
      <c r="L4227">
        <v>1096.57220108869</v>
      </c>
      <c r="M4227">
        <v>23.3008653903332</v>
      </c>
      <c r="N4227">
        <v>47.1659605258901</v>
      </c>
      <c r="O4227">
        <v>46.718912159479999</v>
      </c>
      <c r="P4227">
        <v>-0.121551138034124</v>
      </c>
      <c r="Q4227">
        <v>2.5163058249707899E-2</v>
      </c>
      <c r="R4227">
        <v>0.98734868398423903</v>
      </c>
      <c r="S4227" t="s">
        <v>10629</v>
      </c>
      <c r="T4227" t="s">
        <v>12802</v>
      </c>
      <c r="U4227" t="s">
        <v>12802</v>
      </c>
      <c r="V4227" t="s">
        <v>12802</v>
      </c>
      <c r="W4227" t="s">
        <v>16970</v>
      </c>
      <c r="X4227">
        <v>3</v>
      </c>
      <c r="Y4227" t="s">
        <v>23194</v>
      </c>
      <c r="Z4227" t="s">
        <v>29545</v>
      </c>
      <c r="AA4227">
        <v>0.3615406367430728</v>
      </c>
      <c r="AB4227" t="str">
        <f>HYPERLINK("Melting_Curves/meltCurve_Q86US8_SMG6.pdf", "Melting_Curves/meltCurve_Q86US8_SMG6.pdf")</f>
        <v>Melting_Curves/meltCurve_Q86US8_SMG6.pdf</v>
      </c>
    </row>
    <row r="4228" spans="1:28" x14ac:dyDescent="0.25">
      <c r="A4228" t="s">
        <v>4232</v>
      </c>
      <c r="B4228">
        <v>0.99542014353169495</v>
      </c>
      <c r="C4228">
        <v>1.01170984408116</v>
      </c>
      <c r="D4228">
        <v>1.0906648120852001</v>
      </c>
      <c r="E4228">
        <v>0.766922741806498</v>
      </c>
      <c r="F4228">
        <v>0.68854634358614597</v>
      </c>
      <c r="G4228">
        <v>0.44333202456013499</v>
      </c>
      <c r="H4228">
        <v>0.27665888897895402</v>
      </c>
      <c r="I4228">
        <v>0.20756987769852001</v>
      </c>
      <c r="J4228">
        <v>0.32477023781174902</v>
      </c>
      <c r="K4228">
        <v>0.36974369844583199</v>
      </c>
      <c r="L4228">
        <v>1006.96316150952</v>
      </c>
      <c r="M4228">
        <v>20.1012509662418</v>
      </c>
      <c r="N4228">
        <v>52.2523543048543</v>
      </c>
      <c r="O4228">
        <v>49.606665995947203</v>
      </c>
      <c r="P4228">
        <v>-7.2738350623591005E-2</v>
      </c>
      <c r="Q4228">
        <v>0.28199648148902101</v>
      </c>
      <c r="R4228">
        <v>0.95281259054053502</v>
      </c>
      <c r="S4228" t="s">
        <v>10630</v>
      </c>
      <c r="T4228" t="s">
        <v>12802</v>
      </c>
      <c r="U4228" t="s">
        <v>12802</v>
      </c>
      <c r="V4228" t="s">
        <v>12802</v>
      </c>
      <c r="W4228" t="s">
        <v>16971</v>
      </c>
      <c r="X4228">
        <v>4</v>
      </c>
      <c r="Y4228" t="s">
        <v>23195</v>
      </c>
      <c r="Z4228" t="s">
        <v>29546</v>
      </c>
      <c r="AA4228">
        <v>0.60476409421760002</v>
      </c>
      <c r="AB4228" t="str">
        <f>HYPERLINK("Melting_Curves/meltCurve_Q86UU0_3_BCL9L.pdf", "Melting_Curves/meltCurve_Q86UU0_3_BCL9L.pdf")</f>
        <v>Melting_Curves/meltCurve_Q86UU0_3_BCL9L.pdf</v>
      </c>
    </row>
    <row r="4229" spans="1:28" x14ac:dyDescent="0.25">
      <c r="A4229" t="s">
        <v>4233</v>
      </c>
      <c r="B4229">
        <v>0.99542014353169495</v>
      </c>
      <c r="C4229">
        <v>0.99151522061661801</v>
      </c>
      <c r="D4229">
        <v>0.879862340005656</v>
      </c>
      <c r="E4229">
        <v>0.56741759595607399</v>
      </c>
      <c r="F4229">
        <v>0.25505556613592201</v>
      </c>
      <c r="G4229">
        <v>0.121359100191079</v>
      </c>
      <c r="H4229">
        <v>8.3905367667762201E-2</v>
      </c>
      <c r="I4229">
        <v>5.3530300650863401E-2</v>
      </c>
      <c r="J4229">
        <v>5.5321642324293901E-2</v>
      </c>
      <c r="K4229">
        <v>6.2826660926295394E-2</v>
      </c>
      <c r="L4229">
        <v>978.90383381510003</v>
      </c>
      <c r="M4229">
        <v>20.827854857825301</v>
      </c>
      <c r="N4229">
        <v>47.268277426862099</v>
      </c>
      <c r="O4229">
        <v>46.572910314695498</v>
      </c>
      <c r="P4229">
        <v>-0.105567210650601</v>
      </c>
      <c r="Q4229">
        <v>5.5796009684407101E-2</v>
      </c>
      <c r="R4229">
        <v>0.99972862488841596</v>
      </c>
      <c r="S4229" t="s">
        <v>10631</v>
      </c>
      <c r="T4229" t="s">
        <v>12802</v>
      </c>
      <c r="U4229" t="s">
        <v>12802</v>
      </c>
      <c r="V4229" t="s">
        <v>12802</v>
      </c>
      <c r="W4229" t="s">
        <v>16972</v>
      </c>
      <c r="X4229">
        <v>18</v>
      </c>
      <c r="Y4229" t="s">
        <v>23196</v>
      </c>
      <c r="Z4229" t="s">
        <v>29547</v>
      </c>
      <c r="AA4229">
        <v>0.38193680027616389</v>
      </c>
      <c r="AB4229" t="str">
        <f>HYPERLINK("Melting_Curves/meltCurve_Q86UU1_2_PHLDB1.pdf", "Melting_Curves/meltCurve_Q86UU1_2_PHLDB1.pdf")</f>
        <v>Melting_Curves/meltCurve_Q86UU1_2_PHLDB1.pdf</v>
      </c>
    </row>
    <row r="4230" spans="1:28" x14ac:dyDescent="0.25">
      <c r="A4230" t="s">
        <v>4234</v>
      </c>
      <c r="B4230">
        <v>0.99542014353169495</v>
      </c>
      <c r="C4230">
        <v>0.90432288413866802</v>
      </c>
      <c r="D4230">
        <v>0.82066368090095199</v>
      </c>
      <c r="E4230">
        <v>0.31218179959223602</v>
      </c>
      <c r="F4230">
        <v>0.16343027052584999</v>
      </c>
      <c r="G4230">
        <v>8.8400723781645804E-2</v>
      </c>
      <c r="H4230">
        <v>6.0332405667537503E-2</v>
      </c>
      <c r="I4230">
        <v>4.1771939543367602E-2</v>
      </c>
      <c r="J4230">
        <v>4.9986677189516E-2</v>
      </c>
      <c r="K4230">
        <v>4.4780120425310398E-2</v>
      </c>
      <c r="L4230">
        <v>1114.8586045857401</v>
      </c>
      <c r="M4230">
        <v>24.726776247572602</v>
      </c>
      <c r="N4230">
        <v>45.302966294566701</v>
      </c>
      <c r="O4230">
        <v>44.795307459672401</v>
      </c>
      <c r="P4230">
        <v>-0.13033152140943699</v>
      </c>
      <c r="Q4230">
        <v>5.5573072577873403E-2</v>
      </c>
      <c r="R4230">
        <v>0.99407701781670499</v>
      </c>
      <c r="S4230" t="s">
        <v>10632</v>
      </c>
      <c r="T4230" t="s">
        <v>12802</v>
      </c>
      <c r="U4230" t="s">
        <v>12802</v>
      </c>
      <c r="V4230" t="s">
        <v>12802</v>
      </c>
      <c r="W4230" t="s">
        <v>16973</v>
      </c>
      <c r="X4230">
        <v>29</v>
      </c>
      <c r="Y4230" t="s">
        <v>23197</v>
      </c>
      <c r="Z4230" t="s">
        <v>29548</v>
      </c>
      <c r="AA4230">
        <v>0.31810005009850462</v>
      </c>
      <c r="AB4230" t="str">
        <f>HYPERLINK("Melting_Curves/meltCurve_Q86UV5_USP48.pdf", "Melting_Curves/meltCurve_Q86UV5_USP48.pdf")</f>
        <v>Melting_Curves/meltCurve_Q86UV5_USP48.pdf</v>
      </c>
    </row>
    <row r="4231" spans="1:28" x14ac:dyDescent="0.25">
      <c r="A4231" t="s">
        <v>4235</v>
      </c>
      <c r="B4231">
        <v>0.99542014353169495</v>
      </c>
      <c r="C4231">
        <v>0.97094965719580695</v>
      </c>
      <c r="D4231">
        <v>0.995031258462444</v>
      </c>
      <c r="E4231">
        <v>0.80474694644427103</v>
      </c>
      <c r="F4231">
        <v>0.72214766025166199</v>
      </c>
      <c r="G4231">
        <v>0.44308889797119599</v>
      </c>
      <c r="H4231">
        <v>0.26193155012779901</v>
      </c>
      <c r="I4231">
        <v>0.146266050824572</v>
      </c>
      <c r="J4231">
        <v>0.16646654685012599</v>
      </c>
      <c r="K4231">
        <v>0.13562007402016499</v>
      </c>
      <c r="L4231">
        <v>782.82171309607895</v>
      </c>
      <c r="M4231">
        <v>15.007266019406799</v>
      </c>
      <c r="N4231">
        <v>52.8663963442038</v>
      </c>
      <c r="O4231">
        <v>51.2629262860602</v>
      </c>
      <c r="P4231">
        <v>-6.6569553940362194E-2</v>
      </c>
      <c r="Q4231">
        <v>9.0518943603557098E-2</v>
      </c>
      <c r="R4231">
        <v>0.99184985742661402</v>
      </c>
      <c r="S4231" t="s">
        <v>10633</v>
      </c>
      <c r="T4231" t="s">
        <v>12802</v>
      </c>
      <c r="U4231" t="s">
        <v>12802</v>
      </c>
      <c r="V4231" t="s">
        <v>12802</v>
      </c>
      <c r="W4231" t="s">
        <v>16974</v>
      </c>
      <c r="X4231">
        <v>7</v>
      </c>
      <c r="Y4231" t="s">
        <v>23198</v>
      </c>
      <c r="Z4231" t="s">
        <v>29549</v>
      </c>
      <c r="AA4231">
        <v>0.56741936166442142</v>
      </c>
      <c r="AB4231" t="str">
        <f>HYPERLINK("Melting_Curves/meltCurve_Q86UX3_ABCC5.pdf", "Melting_Curves/meltCurve_Q86UX3_ABCC5.pdf")</f>
        <v>Melting_Curves/meltCurve_Q86UX3_ABCC5.pdf</v>
      </c>
    </row>
    <row r="4232" spans="1:28" x14ac:dyDescent="0.25">
      <c r="A4232" t="s">
        <v>4236</v>
      </c>
      <c r="B4232">
        <v>0.99542014353169495</v>
      </c>
      <c r="C4232">
        <v>1.0026346979496601</v>
      </c>
      <c r="D4232">
        <v>0.94672863127130102</v>
      </c>
      <c r="E4232">
        <v>0.81870076810314396</v>
      </c>
      <c r="F4232">
        <v>0.32355840847886103</v>
      </c>
      <c r="G4232">
        <v>0.101600126213314</v>
      </c>
      <c r="H4232">
        <v>5.6503354084505998E-2</v>
      </c>
      <c r="I4232">
        <v>3.6870400093749603E-2</v>
      </c>
      <c r="J4232">
        <v>3.6332906365436998E-2</v>
      </c>
      <c r="K4232">
        <v>3.8010841138739197E-2</v>
      </c>
      <c r="L4232">
        <v>1441.2476792529401</v>
      </c>
      <c r="M4232">
        <v>29.540563245301499</v>
      </c>
      <c r="N4232">
        <v>48.921783340574102</v>
      </c>
      <c r="O4232">
        <v>48.566829192306997</v>
      </c>
      <c r="P4232">
        <v>-0.14619455461188699</v>
      </c>
      <c r="Q4232">
        <v>3.8588924409784099E-2</v>
      </c>
      <c r="R4232">
        <v>0.99912335673660502</v>
      </c>
      <c r="S4232" t="s">
        <v>10634</v>
      </c>
      <c r="T4232" t="s">
        <v>12802</v>
      </c>
      <c r="U4232" t="s">
        <v>12802</v>
      </c>
      <c r="V4232" t="s">
        <v>12802</v>
      </c>
      <c r="W4232" t="s">
        <v>16975</v>
      </c>
      <c r="X4232">
        <v>35</v>
      </c>
      <c r="Y4232" t="s">
        <v>23199</v>
      </c>
      <c r="Z4232" t="s">
        <v>29550</v>
      </c>
      <c r="AA4232">
        <v>0.4223417376360285</v>
      </c>
      <c r="AB4232" t="str">
        <f>HYPERLINK("Melting_Curves/meltCurve_Q86UX7_2_FERMT3.pdf", "Melting_Curves/meltCurve_Q86UX7_2_FERMT3.pdf")</f>
        <v>Melting_Curves/meltCurve_Q86UX7_2_FERMT3.pdf</v>
      </c>
    </row>
    <row r="4233" spans="1:28" x14ac:dyDescent="0.25">
      <c r="A4233" t="s">
        <v>4237</v>
      </c>
      <c r="B4233">
        <v>0.99542014353169495</v>
      </c>
      <c r="C4233">
        <v>0.96589455506209498</v>
      </c>
      <c r="D4233">
        <v>0.94857133838405205</v>
      </c>
      <c r="E4233">
        <v>0.91586351527423904</v>
      </c>
      <c r="F4233">
        <v>0.75993920629206102</v>
      </c>
      <c r="G4233">
        <v>0.63886277004570002</v>
      </c>
      <c r="H4233">
        <v>0.36066783006525799</v>
      </c>
      <c r="I4233">
        <v>0.149350028712287</v>
      </c>
      <c r="J4233">
        <v>0.115466009961981</v>
      </c>
      <c r="K4233">
        <v>0.116171284142705</v>
      </c>
      <c r="L4233">
        <v>763.85456284328995</v>
      </c>
      <c r="M4233">
        <v>13.875147487282501</v>
      </c>
      <c r="N4233">
        <v>55.051996104308998</v>
      </c>
      <c r="O4233">
        <v>53.946268562199201</v>
      </c>
      <c r="P4233">
        <v>-6.4309586653090098E-2</v>
      </c>
      <c r="Q4233">
        <v>0</v>
      </c>
      <c r="R4233">
        <v>0.99120651806647897</v>
      </c>
      <c r="S4233" t="s">
        <v>10635</v>
      </c>
      <c r="T4233" t="s">
        <v>12802</v>
      </c>
      <c r="U4233" t="s">
        <v>12802</v>
      </c>
      <c r="V4233" t="s">
        <v>12802</v>
      </c>
      <c r="W4233" t="s">
        <v>16976</v>
      </c>
      <c r="X4233">
        <v>20</v>
      </c>
      <c r="Y4233" t="s">
        <v>23200</v>
      </c>
      <c r="Z4233" t="s">
        <v>29551</v>
      </c>
      <c r="AA4233">
        <v>0.6159845406703065</v>
      </c>
      <c r="AB4233" t="str">
        <f>HYPERLINK("Melting_Curves/meltCurve_Q86UY0_TXNDC5.pdf", "Melting_Curves/meltCurve_Q86UY0_TXNDC5.pdf")</f>
        <v>Melting_Curves/meltCurve_Q86UY0_TXNDC5.pdf</v>
      </c>
    </row>
    <row r="4234" spans="1:28" x14ac:dyDescent="0.25">
      <c r="A4234" t="s">
        <v>4238</v>
      </c>
      <c r="B4234">
        <v>0.99542014353169495</v>
      </c>
      <c r="C4234">
        <v>0.79665632347946402</v>
      </c>
      <c r="D4234">
        <v>0.829632000701369</v>
      </c>
      <c r="E4234">
        <v>0.32273252033174399</v>
      </c>
      <c r="F4234">
        <v>3.2801276602993097E-2</v>
      </c>
      <c r="G4234">
        <v>2.0353413062797601E-2</v>
      </c>
      <c r="H4234">
        <v>1.396141735056E-2</v>
      </c>
      <c r="I4234">
        <v>2.9912399666364602E-2</v>
      </c>
      <c r="J4234">
        <v>0</v>
      </c>
      <c r="K4234">
        <v>0</v>
      </c>
      <c r="L4234">
        <v>1103.93485038779</v>
      </c>
      <c r="M4234">
        <v>24.4316027896793</v>
      </c>
      <c r="N4234">
        <v>45.184693898086202</v>
      </c>
      <c r="O4234">
        <v>44.885253235636299</v>
      </c>
      <c r="P4234">
        <v>-0.136080120758338</v>
      </c>
      <c r="Q4234">
        <v>0</v>
      </c>
      <c r="R4234">
        <v>0.97766969244062896</v>
      </c>
      <c r="S4234" t="s">
        <v>10636</v>
      </c>
      <c r="T4234" t="s">
        <v>12802</v>
      </c>
      <c r="U4234" t="s">
        <v>12802</v>
      </c>
      <c r="V4234" t="s">
        <v>12802</v>
      </c>
      <c r="W4234" t="s">
        <v>16977</v>
      </c>
      <c r="X4234">
        <v>3</v>
      </c>
      <c r="Y4234" t="s">
        <v>23201</v>
      </c>
      <c r="Z4234" t="s">
        <v>29552</v>
      </c>
      <c r="AA4234">
        <v>0.28144759757795801</v>
      </c>
      <c r="AB4234" t="str">
        <f>HYPERLINK("Melting_Curves/meltCurve_Q86UY5_FAM83A.pdf", "Melting_Curves/meltCurve_Q86UY5_FAM83A.pdf")</f>
        <v>Melting_Curves/meltCurve_Q86UY5_FAM83A.pdf</v>
      </c>
    </row>
    <row r="4235" spans="1:28" x14ac:dyDescent="0.25">
      <c r="A4235" t="s">
        <v>4239</v>
      </c>
      <c r="B4235">
        <v>0.99542014353169495</v>
      </c>
      <c r="C4235">
        <v>0.91458962496047702</v>
      </c>
      <c r="D4235">
        <v>0.51480756136792405</v>
      </c>
      <c r="E4235">
        <v>0.24992049841014999</v>
      </c>
      <c r="F4235">
        <v>0.160850600841038</v>
      </c>
      <c r="G4235">
        <v>0.10792222155929</v>
      </c>
      <c r="H4235">
        <v>5.8718604810726702E-2</v>
      </c>
      <c r="I4235">
        <v>4.1559141574785199E-2</v>
      </c>
      <c r="J4235">
        <v>3.3427354311897098E-2</v>
      </c>
      <c r="K4235">
        <v>5.1464437036278197E-2</v>
      </c>
      <c r="L4235">
        <v>906.34854291368799</v>
      </c>
      <c r="M4235">
        <v>20.942763609602899</v>
      </c>
      <c r="N4235">
        <v>43.555309105235999</v>
      </c>
      <c r="O4235">
        <v>42.888623951843599</v>
      </c>
      <c r="P4235">
        <v>-0.114445020346188</v>
      </c>
      <c r="Q4235">
        <v>6.2539092371231994E-2</v>
      </c>
      <c r="R4235">
        <v>0.99138005748671199</v>
      </c>
      <c r="S4235" t="s">
        <v>10637</v>
      </c>
      <c r="T4235" t="s">
        <v>12802</v>
      </c>
      <c r="U4235" t="s">
        <v>12802</v>
      </c>
      <c r="V4235" t="s">
        <v>12802</v>
      </c>
      <c r="W4235" t="s">
        <v>16978</v>
      </c>
      <c r="X4235">
        <v>3</v>
      </c>
      <c r="Y4235" t="s">
        <v>23202</v>
      </c>
      <c r="Z4235" t="s">
        <v>29553</v>
      </c>
      <c r="AA4235">
        <v>0.27031304148238572</v>
      </c>
      <c r="AB4235" t="str">
        <f>HYPERLINK("Melting_Curves/meltCurve_Q86UY6_NAA40.pdf", "Melting_Curves/meltCurve_Q86UY6_NAA40.pdf")</f>
        <v>Melting_Curves/meltCurve_Q86UY6_NAA40.pdf</v>
      </c>
    </row>
    <row r="4236" spans="1:28" x14ac:dyDescent="0.25">
      <c r="A4236" t="s">
        <v>4240</v>
      </c>
      <c r="B4236">
        <v>0.99542014353169495</v>
      </c>
      <c r="C4236">
        <v>1.0260020642327401</v>
      </c>
      <c r="D4236">
        <v>1.05701428659678</v>
      </c>
      <c r="E4236">
        <v>0.95245316627441701</v>
      </c>
      <c r="F4236">
        <v>0.73781360826905795</v>
      </c>
      <c r="G4236">
        <v>0.48432948999096498</v>
      </c>
      <c r="H4236">
        <v>0.29898653955040599</v>
      </c>
      <c r="I4236">
        <v>0.17221027087624199</v>
      </c>
      <c r="J4236">
        <v>0.205875918021282</v>
      </c>
      <c r="K4236">
        <v>0.19580736006386501</v>
      </c>
      <c r="L4236">
        <v>1109.3116263665499</v>
      </c>
      <c r="M4236">
        <v>21.2083374308224</v>
      </c>
      <c r="N4236">
        <v>53.400642752892701</v>
      </c>
      <c r="O4236">
        <v>51.847071428574203</v>
      </c>
      <c r="P4236">
        <v>-8.4231187908690899E-2</v>
      </c>
      <c r="Q4236">
        <v>0.176356328452138</v>
      </c>
      <c r="R4236">
        <v>0.99373739596102395</v>
      </c>
      <c r="S4236" t="s">
        <v>10638</v>
      </c>
      <c r="T4236" t="s">
        <v>12802</v>
      </c>
      <c r="U4236" t="s">
        <v>12802</v>
      </c>
      <c r="V4236" t="s">
        <v>12802</v>
      </c>
      <c r="W4236" t="s">
        <v>16979</v>
      </c>
      <c r="X4236">
        <v>5</v>
      </c>
      <c r="Y4236" t="s">
        <v>23203</v>
      </c>
      <c r="Z4236" t="s">
        <v>29554</v>
      </c>
      <c r="AA4236">
        <v>0.60620606187284054</v>
      </c>
      <c r="AB4236" t="str">
        <f>HYPERLINK("Melting_Curves/meltCurve_Q86UY8_2_NT5DC3.pdf", "Melting_Curves/meltCurve_Q86UY8_2_NT5DC3.pdf")</f>
        <v>Melting_Curves/meltCurve_Q86UY8_2_NT5DC3.pdf</v>
      </c>
    </row>
    <row r="4237" spans="1:28" x14ac:dyDescent="0.25">
      <c r="A4237" t="s">
        <v>4241</v>
      </c>
      <c r="B4237">
        <v>0.99542014353169495</v>
      </c>
      <c r="C4237">
        <v>0.99115727774934204</v>
      </c>
      <c r="D4237">
        <v>0.76077524154267295</v>
      </c>
      <c r="E4237">
        <v>0.29434734155298797</v>
      </c>
      <c r="F4237">
        <v>0.145372473950859</v>
      </c>
      <c r="G4237">
        <v>8.8758365010685694E-2</v>
      </c>
      <c r="H4237">
        <v>5.4039737017641497E-2</v>
      </c>
      <c r="I4237">
        <v>3.1003076270063799E-2</v>
      </c>
      <c r="J4237">
        <v>1.9671092517465599E-2</v>
      </c>
      <c r="K4237">
        <v>4.78469005913826E-2</v>
      </c>
      <c r="L4237">
        <v>1140.56343646184</v>
      </c>
      <c r="M4237">
        <v>25.4336200330468</v>
      </c>
      <c r="N4237">
        <v>45.027202878251103</v>
      </c>
      <c r="O4237">
        <v>44.570232837672599</v>
      </c>
      <c r="P4237">
        <v>-0.135675995875019</v>
      </c>
      <c r="Q4237">
        <v>4.8969796940009899E-2</v>
      </c>
      <c r="R4237">
        <v>0.996948786299655</v>
      </c>
      <c r="S4237" t="s">
        <v>10639</v>
      </c>
      <c r="T4237" t="s">
        <v>12802</v>
      </c>
      <c r="U4237" t="s">
        <v>12802</v>
      </c>
      <c r="V4237" t="s">
        <v>12802</v>
      </c>
      <c r="W4237" t="s">
        <v>16980</v>
      </c>
      <c r="X4237">
        <v>3</v>
      </c>
      <c r="Y4237" t="s">
        <v>23204</v>
      </c>
      <c r="Z4237" t="s">
        <v>29555</v>
      </c>
      <c r="AA4237">
        <v>0.30517866896972451</v>
      </c>
      <c r="AB4237" t="str">
        <f>HYPERLINK("Melting_Curves/meltCurve_Q86V21_AACS.pdf", "Melting_Curves/meltCurve_Q86V21_AACS.pdf")</f>
        <v>Melting_Curves/meltCurve_Q86V21_AACS.pdf</v>
      </c>
    </row>
    <row r="4238" spans="1:28" x14ac:dyDescent="0.25">
      <c r="A4238" t="s">
        <v>4242</v>
      </c>
      <c r="B4238">
        <v>0.99542014353169495</v>
      </c>
      <c r="C4238">
        <v>0.92394954653252304</v>
      </c>
      <c r="D4238">
        <v>0.94178765628528005</v>
      </c>
      <c r="E4238">
        <v>0.68031552000134399</v>
      </c>
      <c r="F4238">
        <v>0.37999269676083403</v>
      </c>
      <c r="G4238">
        <v>0.201483260235547</v>
      </c>
      <c r="H4238">
        <v>0.13425218487520901</v>
      </c>
      <c r="I4238">
        <v>9.4147167264594794E-2</v>
      </c>
      <c r="J4238">
        <v>0.11958473869751</v>
      </c>
      <c r="K4238">
        <v>0.14322641210882001</v>
      </c>
      <c r="L4238">
        <v>958.10459084296895</v>
      </c>
      <c r="M4238">
        <v>19.952329792181299</v>
      </c>
      <c r="N4238">
        <v>48.623970204310702</v>
      </c>
      <c r="O4238">
        <v>47.545116023586303</v>
      </c>
      <c r="P4238">
        <v>-9.3395771418839701E-2</v>
      </c>
      <c r="Q4238">
        <v>0.109804795698316</v>
      </c>
      <c r="R4238">
        <v>0.99539854530558403</v>
      </c>
      <c r="S4238" t="s">
        <v>10640</v>
      </c>
      <c r="T4238" t="s">
        <v>12802</v>
      </c>
      <c r="U4238" t="s">
        <v>12802</v>
      </c>
      <c r="V4238" t="s">
        <v>12802</v>
      </c>
      <c r="W4238" t="s">
        <v>16981</v>
      </c>
      <c r="X4238">
        <v>23</v>
      </c>
      <c r="Y4238" t="s">
        <v>23205</v>
      </c>
      <c r="Z4238" t="s">
        <v>29556</v>
      </c>
      <c r="AA4238">
        <v>0.44854335363446779</v>
      </c>
      <c r="AB4238" t="str">
        <f>HYPERLINK("Melting_Curves/meltCurve_Q86V48_LUZP1.pdf", "Melting_Curves/meltCurve_Q86V48_LUZP1.pdf")</f>
        <v>Melting_Curves/meltCurve_Q86V48_LUZP1.pdf</v>
      </c>
    </row>
    <row r="4239" spans="1:28" x14ac:dyDescent="0.25">
      <c r="A4239" t="s">
        <v>4243</v>
      </c>
      <c r="B4239">
        <v>0.99542014353169495</v>
      </c>
      <c r="C4239">
        <v>0.908575472371008</v>
      </c>
      <c r="D4239">
        <v>0.80294571214078603</v>
      </c>
      <c r="E4239">
        <v>0.56476721257485296</v>
      </c>
      <c r="F4239">
        <v>0.58319579650808295</v>
      </c>
      <c r="G4239">
        <v>0.25359429870223099</v>
      </c>
      <c r="H4239">
        <v>0.18827969000859601</v>
      </c>
      <c r="I4239">
        <v>0.21319613558831399</v>
      </c>
      <c r="J4239">
        <v>0.26029876432016402</v>
      </c>
      <c r="K4239">
        <v>0.19126442595864099</v>
      </c>
      <c r="L4239">
        <v>561.80732800945202</v>
      </c>
      <c r="M4239">
        <v>11.864616360756999</v>
      </c>
      <c r="N4239">
        <v>48.989101048261901</v>
      </c>
      <c r="O4239">
        <v>46.066423890228101</v>
      </c>
      <c r="P4239">
        <v>-5.3861689452025602E-2</v>
      </c>
      <c r="Q4239">
        <v>0.16370138281354099</v>
      </c>
      <c r="R4239">
        <v>0.95991717971850399</v>
      </c>
      <c r="S4239" t="s">
        <v>10641</v>
      </c>
      <c r="T4239" t="s">
        <v>12802</v>
      </c>
      <c r="U4239" t="s">
        <v>12802</v>
      </c>
      <c r="V4239" t="s">
        <v>12802</v>
      </c>
      <c r="W4239" t="s">
        <v>16982</v>
      </c>
      <c r="X4239">
        <v>4</v>
      </c>
      <c r="Y4239" t="s">
        <v>23206</v>
      </c>
      <c r="Z4239" t="s">
        <v>29557</v>
      </c>
      <c r="AA4239">
        <v>0.47976423591120909</v>
      </c>
      <c r="AB4239" t="str">
        <f>HYPERLINK("Melting_Curves/meltCurve_Q86VI3_IQGAP3.pdf", "Melting_Curves/meltCurve_Q86VI3_IQGAP3.pdf")</f>
        <v>Melting_Curves/meltCurve_Q86VI3_IQGAP3.pdf</v>
      </c>
    </row>
    <row r="4240" spans="1:28" x14ac:dyDescent="0.25">
      <c r="A4240" t="s">
        <v>4244</v>
      </c>
      <c r="B4240">
        <v>0.99542014353169495</v>
      </c>
      <c r="C4240">
        <v>0.99578831200433704</v>
      </c>
      <c r="D4240">
        <v>0.97740404658958102</v>
      </c>
      <c r="E4240">
        <v>0.90385751030945904</v>
      </c>
      <c r="F4240">
        <v>0.632467227768017</v>
      </c>
      <c r="G4240">
        <v>0.23293868665711601</v>
      </c>
      <c r="H4240">
        <v>0.118163964984355</v>
      </c>
      <c r="I4240">
        <v>9.8921508469692498E-2</v>
      </c>
      <c r="J4240">
        <v>0.103432291601188</v>
      </c>
      <c r="K4240">
        <v>0.12845198040483</v>
      </c>
      <c r="L4240">
        <v>1455.49642793411</v>
      </c>
      <c r="M4240">
        <v>28.705445145273199</v>
      </c>
      <c r="N4240">
        <v>51.105750763618303</v>
      </c>
      <c r="O4240">
        <v>50.460376534969498</v>
      </c>
      <c r="P4240">
        <v>-0.127871328369323</v>
      </c>
      <c r="Q4240">
        <v>0.100883439673584</v>
      </c>
      <c r="R4240">
        <v>0.99830526534310005</v>
      </c>
      <c r="S4240" t="s">
        <v>10642</v>
      </c>
      <c r="T4240" t="s">
        <v>12802</v>
      </c>
      <c r="U4240" t="s">
        <v>12802</v>
      </c>
      <c r="V4240" t="s">
        <v>12802</v>
      </c>
      <c r="W4240" t="s">
        <v>16983</v>
      </c>
      <c r="X4240">
        <v>13</v>
      </c>
      <c r="Y4240" t="s">
        <v>23207</v>
      </c>
      <c r="Z4240" t="s">
        <v>29558</v>
      </c>
      <c r="AA4240">
        <v>0.51769482008383394</v>
      </c>
      <c r="AB4240" t="str">
        <f>HYPERLINK("Melting_Curves/meltCurve_Q86VN1_2_VPS36.pdf", "Melting_Curves/meltCurve_Q86VN1_2_VPS36.pdf")</f>
        <v>Melting_Curves/meltCurve_Q86VN1_2_VPS36.pdf</v>
      </c>
    </row>
    <row r="4241" spans="1:28" x14ac:dyDescent="0.25">
      <c r="A4241" t="s">
        <v>4245</v>
      </c>
      <c r="B4241">
        <v>0.99542014353169495</v>
      </c>
      <c r="C4241">
        <v>0.92660727212740701</v>
      </c>
      <c r="D4241">
        <v>0.99507457234366503</v>
      </c>
      <c r="E4241">
        <v>0.85999230688199202</v>
      </c>
      <c r="F4241">
        <v>0.72614634161651204</v>
      </c>
      <c r="G4241">
        <v>0.50201320275965</v>
      </c>
      <c r="H4241">
        <v>0.23099127838754099</v>
      </c>
      <c r="I4241">
        <v>8.6563040413173906E-2</v>
      </c>
      <c r="J4241">
        <v>5.3023347752147697E-2</v>
      </c>
      <c r="K4241">
        <v>5.4758290964213203E-2</v>
      </c>
      <c r="L4241">
        <v>837.37610752394596</v>
      </c>
      <c r="M4241">
        <v>15.714785599127699</v>
      </c>
      <c r="N4241">
        <v>53.285875404405203</v>
      </c>
      <c r="O4241">
        <v>52.445379932437604</v>
      </c>
      <c r="P4241">
        <v>-7.4916545126888806E-2</v>
      </c>
      <c r="Q4241">
        <v>0</v>
      </c>
      <c r="R4241">
        <v>0.992979547718428</v>
      </c>
      <c r="S4241" t="s">
        <v>10643</v>
      </c>
      <c r="T4241" t="s">
        <v>12802</v>
      </c>
      <c r="U4241" t="s">
        <v>12802</v>
      </c>
      <c r="V4241" t="s">
        <v>12802</v>
      </c>
      <c r="W4241" t="s">
        <v>16984</v>
      </c>
      <c r="X4241">
        <v>60</v>
      </c>
      <c r="Y4241" t="s">
        <v>23208</v>
      </c>
      <c r="Z4241" t="s">
        <v>29559</v>
      </c>
      <c r="AA4241">
        <v>0.55953102384196429</v>
      </c>
      <c r="AB4241" t="str">
        <f>HYPERLINK("Melting_Curves/meltCurve_Q86VP6_CAND1.pdf", "Melting_Curves/meltCurve_Q86VP6_CAND1.pdf")</f>
        <v>Melting_Curves/meltCurve_Q86VP6_CAND1.pdf</v>
      </c>
    </row>
    <row r="4242" spans="1:28" x14ac:dyDescent="0.25">
      <c r="A4242" t="s">
        <v>4246</v>
      </c>
      <c r="B4242">
        <v>0.99542014353169495</v>
      </c>
      <c r="C4242">
        <v>1.0729095360249501</v>
      </c>
      <c r="D4242">
        <v>0.98456671143489105</v>
      </c>
      <c r="E4242">
        <v>0.91954434274796903</v>
      </c>
      <c r="F4242">
        <v>0.56410585517175305</v>
      </c>
      <c r="G4242">
        <v>0.46071579525414003</v>
      </c>
      <c r="H4242">
        <v>0.33627029097080402</v>
      </c>
      <c r="I4242">
        <v>0.248250443529346</v>
      </c>
      <c r="J4242">
        <v>0.34390492914606502</v>
      </c>
      <c r="K4242">
        <v>0.39703905136246997</v>
      </c>
      <c r="L4242">
        <v>1383.8027849960199</v>
      </c>
      <c r="M4242">
        <v>28.010603623601298</v>
      </c>
      <c r="N4242">
        <v>51.465489272969897</v>
      </c>
      <c r="O4242">
        <v>49.153085537673903</v>
      </c>
      <c r="P4242">
        <v>-9.4414801658674496E-2</v>
      </c>
      <c r="Q4242">
        <v>0.33728839491685197</v>
      </c>
      <c r="R4242">
        <v>0.97531252851136596</v>
      </c>
      <c r="S4242" t="s">
        <v>10644</v>
      </c>
      <c r="T4242" t="s">
        <v>12802</v>
      </c>
      <c r="U4242" t="s">
        <v>12802</v>
      </c>
      <c r="V4242" t="s">
        <v>12802</v>
      </c>
      <c r="W4242" t="s">
        <v>16985</v>
      </c>
      <c r="X4242">
        <v>3</v>
      </c>
      <c r="Y4242" t="s">
        <v>23209</v>
      </c>
      <c r="Z4242" t="s">
        <v>29560</v>
      </c>
      <c r="AA4242">
        <v>0.61588233006475457</v>
      </c>
      <c r="AB4242" t="str">
        <f>HYPERLINK("Melting_Curves/meltCurve_Q86VQ1_GLCCI1.pdf", "Melting_Curves/meltCurve_Q86VQ1_GLCCI1.pdf")</f>
        <v>Melting_Curves/meltCurve_Q86VQ1_GLCCI1.pdf</v>
      </c>
    </row>
    <row r="4243" spans="1:28" x14ac:dyDescent="0.25">
      <c r="A4243" t="s">
        <v>4247</v>
      </c>
      <c r="B4243">
        <v>0.99542014353169495</v>
      </c>
      <c r="C4243">
        <v>1.17190470897322</v>
      </c>
      <c r="D4243">
        <v>1.0497354708072699</v>
      </c>
      <c r="E4243">
        <v>0.91641237762626404</v>
      </c>
      <c r="F4243">
        <v>0.64649979463450102</v>
      </c>
      <c r="G4243">
        <v>0.32663956379741099</v>
      </c>
      <c r="H4243">
        <v>0.18289795001784401</v>
      </c>
      <c r="I4243">
        <v>0.15760842482607701</v>
      </c>
      <c r="J4243">
        <v>0.16118016596294399</v>
      </c>
      <c r="K4243">
        <v>0.17171128198808899</v>
      </c>
      <c r="L4243">
        <v>1345.7129906509199</v>
      </c>
      <c r="M4243">
        <v>26.471275517854199</v>
      </c>
      <c r="N4243">
        <v>51.569909027931402</v>
      </c>
      <c r="O4243">
        <v>50.549265814519202</v>
      </c>
      <c r="P4243">
        <v>-0.110389098025322</v>
      </c>
      <c r="Q4243">
        <v>0.15681768506116001</v>
      </c>
      <c r="R4243">
        <v>0.97897776257299596</v>
      </c>
      <c r="S4243" t="s">
        <v>10645</v>
      </c>
      <c r="T4243" t="s">
        <v>12802</v>
      </c>
      <c r="U4243" t="s">
        <v>12802</v>
      </c>
      <c r="V4243" t="s">
        <v>12802</v>
      </c>
      <c r="W4243" t="s">
        <v>16986</v>
      </c>
      <c r="X4243">
        <v>4</v>
      </c>
      <c r="Y4243" t="s">
        <v>23210</v>
      </c>
      <c r="Z4243" t="s">
        <v>29561</v>
      </c>
      <c r="AA4243">
        <v>0.55238552376213723</v>
      </c>
      <c r="AB4243" t="str">
        <f>HYPERLINK("Melting_Curves/meltCurve_Q86VQ3_2_TXNDC2.pdf", "Melting_Curves/meltCurve_Q86VQ3_2_TXNDC2.pdf")</f>
        <v>Melting_Curves/meltCurve_Q86VQ3_2_TXNDC2.pdf</v>
      </c>
    </row>
    <row r="4244" spans="1:28" x14ac:dyDescent="0.25">
      <c r="A4244" t="s">
        <v>4248</v>
      </c>
      <c r="B4244">
        <v>0.99542014353169495</v>
      </c>
      <c r="C4244">
        <v>1.0654966642641699</v>
      </c>
      <c r="D4244">
        <v>0.91334993590302604</v>
      </c>
      <c r="E4244">
        <v>0.89078220732657698</v>
      </c>
      <c r="F4244">
        <v>0.79886920039218601</v>
      </c>
      <c r="G4244">
        <v>0.480670922954754</v>
      </c>
      <c r="H4244">
        <v>0.234944998626645</v>
      </c>
      <c r="I4244">
        <v>0.133957139211073</v>
      </c>
      <c r="J4244">
        <v>0.12728694768514001</v>
      </c>
      <c r="K4244">
        <v>0.10429172947838999</v>
      </c>
      <c r="L4244">
        <v>1013.59926186851</v>
      </c>
      <c r="M4244">
        <v>19.112165362025699</v>
      </c>
      <c r="N4244">
        <v>53.5166256668073</v>
      </c>
      <c r="O4244">
        <v>52.463866270954199</v>
      </c>
      <c r="P4244">
        <v>-8.3870172680279104E-2</v>
      </c>
      <c r="Q4244">
        <v>7.9124292907205296E-2</v>
      </c>
      <c r="R4244">
        <v>0.98975942368512504</v>
      </c>
      <c r="S4244" t="s">
        <v>10646</v>
      </c>
      <c r="T4244" t="s">
        <v>12802</v>
      </c>
      <c r="U4244" t="s">
        <v>12802</v>
      </c>
      <c r="V4244" t="s">
        <v>12802</v>
      </c>
      <c r="W4244" t="s">
        <v>16987</v>
      </c>
      <c r="X4244">
        <v>6</v>
      </c>
      <c r="Y4244" t="s">
        <v>23211</v>
      </c>
      <c r="Z4244" t="s">
        <v>29562</v>
      </c>
      <c r="AA4244">
        <v>0.58365880936994685</v>
      </c>
      <c r="AB4244" t="str">
        <f>HYPERLINK("Melting_Curves/meltCurve_Q86VR2_FAM134C.pdf", "Melting_Curves/meltCurve_Q86VR2_FAM134C.pdf")</f>
        <v>Melting_Curves/meltCurve_Q86VR2_FAM134C.pdf</v>
      </c>
    </row>
    <row r="4245" spans="1:28" x14ac:dyDescent="0.25">
      <c r="A4245" t="s">
        <v>4249</v>
      </c>
      <c r="B4245">
        <v>0.99542014353169495</v>
      </c>
      <c r="C4245">
        <v>0.90295824454523799</v>
      </c>
      <c r="D4245">
        <v>0.84888799033939799</v>
      </c>
      <c r="E4245">
        <v>0.56825348319692004</v>
      </c>
      <c r="F4245">
        <v>0.29343233424678999</v>
      </c>
      <c r="G4245">
        <v>0.15899456150982799</v>
      </c>
      <c r="H4245">
        <v>6.9606003194669405E-2</v>
      </c>
      <c r="I4245">
        <v>4.52808228339397E-2</v>
      </c>
      <c r="J4245">
        <v>5.0206513374400297E-2</v>
      </c>
      <c r="K4245">
        <v>6.6139429038570896E-2</v>
      </c>
      <c r="L4245">
        <v>757.66794784903198</v>
      </c>
      <c r="M4245">
        <v>16.066260397891799</v>
      </c>
      <c r="N4245">
        <v>47.3711422926159</v>
      </c>
      <c r="O4245">
        <v>46.446480776252898</v>
      </c>
      <c r="P4245">
        <v>-8.3481286779630695E-2</v>
      </c>
      <c r="Q4245">
        <v>3.4719198029952103E-2</v>
      </c>
      <c r="R4245">
        <v>0.997255404036549</v>
      </c>
      <c r="S4245" t="s">
        <v>10647</v>
      </c>
      <c r="T4245" t="s">
        <v>12802</v>
      </c>
      <c r="U4245" t="s">
        <v>12802</v>
      </c>
      <c r="V4245" t="s">
        <v>12802</v>
      </c>
      <c r="W4245" t="s">
        <v>16988</v>
      </c>
      <c r="X4245">
        <v>19</v>
      </c>
      <c r="Y4245" t="s">
        <v>23212</v>
      </c>
      <c r="Z4245" t="s">
        <v>29563</v>
      </c>
      <c r="AA4245">
        <v>0.38072942196534593</v>
      </c>
      <c r="AB4245" t="str">
        <f>HYPERLINK("Melting_Curves/meltCurve_Q86VS8_HOOK3.pdf", "Melting_Curves/meltCurve_Q86VS8_HOOK3.pdf")</f>
        <v>Melting_Curves/meltCurve_Q86VS8_HOOK3.pdf</v>
      </c>
    </row>
    <row r="4246" spans="1:28" x14ac:dyDescent="0.25">
      <c r="A4246" t="s">
        <v>4250</v>
      </c>
      <c r="B4246">
        <v>0.99542014353169495</v>
      </c>
      <c r="C4246">
        <v>0.99882583460761298</v>
      </c>
      <c r="D4246">
        <v>1.01707590600588</v>
      </c>
      <c r="E4246">
        <v>0.77230789576008296</v>
      </c>
      <c r="F4246">
        <v>0.70507286112474898</v>
      </c>
      <c r="G4246">
        <v>0.35180133879506598</v>
      </c>
      <c r="H4246">
        <v>0.124937292464361</v>
      </c>
      <c r="I4246">
        <v>0.107142856837219</v>
      </c>
      <c r="J4246">
        <v>0.106991814283353</v>
      </c>
      <c r="K4246">
        <v>0.112620356029546</v>
      </c>
      <c r="L4246">
        <v>945.07625500741096</v>
      </c>
      <c r="M4246">
        <v>18.395147394569001</v>
      </c>
      <c r="N4246">
        <v>51.788652138196703</v>
      </c>
      <c r="O4246">
        <v>50.780779516374899</v>
      </c>
      <c r="P4246">
        <v>-8.4397480306174305E-2</v>
      </c>
      <c r="Q4246">
        <v>6.8107504693624504E-2</v>
      </c>
      <c r="R4246">
        <v>0.98449651237672198</v>
      </c>
      <c r="S4246" t="s">
        <v>10648</v>
      </c>
      <c r="T4246" t="s">
        <v>12802</v>
      </c>
      <c r="U4246" t="s">
        <v>12802</v>
      </c>
      <c r="V4246" t="s">
        <v>12802</v>
      </c>
      <c r="W4246" t="s">
        <v>16989</v>
      </c>
      <c r="X4246">
        <v>5</v>
      </c>
      <c r="Y4246" t="s">
        <v>23213</v>
      </c>
      <c r="Z4246" t="s">
        <v>29564</v>
      </c>
      <c r="AA4246">
        <v>0.52855230770007744</v>
      </c>
      <c r="AB4246" t="str">
        <f>HYPERLINK("Melting_Curves/meltCurve_Q86VU5_COMTD1.pdf", "Melting_Curves/meltCurve_Q86VU5_COMTD1.pdf")</f>
        <v>Melting_Curves/meltCurve_Q86VU5_COMTD1.pdf</v>
      </c>
    </row>
    <row r="4247" spans="1:28" x14ac:dyDescent="0.25">
      <c r="A4247" t="s">
        <v>4251</v>
      </c>
      <c r="B4247">
        <v>0.99542014353169495</v>
      </c>
      <c r="C4247">
        <v>1.0076442248720701</v>
      </c>
      <c r="D4247">
        <v>0.89322532039736902</v>
      </c>
      <c r="E4247">
        <v>0.72875024179960401</v>
      </c>
      <c r="F4247">
        <v>0.45311775841118102</v>
      </c>
      <c r="G4247">
        <v>0.232382253184931</v>
      </c>
      <c r="H4247">
        <v>0.11169919653063</v>
      </c>
      <c r="I4247">
        <v>7.6559111599705604E-2</v>
      </c>
      <c r="J4247">
        <v>0.100628343502217</v>
      </c>
      <c r="K4247">
        <v>0.116515948386601</v>
      </c>
      <c r="L4247">
        <v>856.54324926880201</v>
      </c>
      <c r="M4247">
        <v>17.505187665145598</v>
      </c>
      <c r="N4247">
        <v>49.389485222061701</v>
      </c>
      <c r="O4247">
        <v>48.305663004191402</v>
      </c>
      <c r="P4247">
        <v>-8.3804156586043302E-2</v>
      </c>
      <c r="Q4247">
        <v>7.5018798232741199E-2</v>
      </c>
      <c r="R4247">
        <v>0.99675596779546705</v>
      </c>
      <c r="S4247" t="s">
        <v>10649</v>
      </c>
      <c r="T4247" t="s">
        <v>12802</v>
      </c>
      <c r="U4247" t="s">
        <v>12802</v>
      </c>
      <c r="V4247" t="s">
        <v>12802</v>
      </c>
      <c r="W4247" t="s">
        <v>16990</v>
      </c>
      <c r="X4247">
        <v>4</v>
      </c>
      <c r="Y4247" t="s">
        <v>23214</v>
      </c>
      <c r="Z4247" t="s">
        <v>29565</v>
      </c>
      <c r="AA4247">
        <v>0.45832116982627591</v>
      </c>
      <c r="AB4247" t="str">
        <f>HYPERLINK("Melting_Curves/meltCurve_Q86VX9_MON1A.pdf", "Melting_Curves/meltCurve_Q86VX9_MON1A.pdf")</f>
        <v>Melting_Curves/meltCurve_Q86VX9_MON1A.pdf</v>
      </c>
    </row>
    <row r="4248" spans="1:28" x14ac:dyDescent="0.25">
      <c r="A4248" t="s">
        <v>4252</v>
      </c>
      <c r="B4248">
        <v>0.99542014353169495</v>
      </c>
      <c r="C4248">
        <v>0.94183402355611401</v>
      </c>
      <c r="D4248">
        <v>0.89524163568764603</v>
      </c>
      <c r="E4248">
        <v>0.95472734512398605</v>
      </c>
      <c r="F4248">
        <v>0.87518668999363103</v>
      </c>
      <c r="G4248">
        <v>0.52562500371277399</v>
      </c>
      <c r="H4248">
        <v>0.190493774512137</v>
      </c>
      <c r="I4248">
        <v>9.3623217080424495E-2</v>
      </c>
      <c r="J4248">
        <v>8.8711706796117507E-2</v>
      </c>
      <c r="K4248">
        <v>6.8842156627215406E-2</v>
      </c>
      <c r="L4248">
        <v>1445.01560210875</v>
      </c>
      <c r="M4248">
        <v>26.923793590194201</v>
      </c>
      <c r="N4248">
        <v>53.946798242692097</v>
      </c>
      <c r="O4248">
        <v>53.377116631054498</v>
      </c>
      <c r="P4248">
        <v>-0.11798349794799699</v>
      </c>
      <c r="Q4248">
        <v>6.4388040594073201E-2</v>
      </c>
      <c r="R4248">
        <v>0.989848971353953</v>
      </c>
      <c r="S4248" t="s">
        <v>10650</v>
      </c>
      <c r="T4248" t="s">
        <v>12802</v>
      </c>
      <c r="U4248" t="s">
        <v>12802</v>
      </c>
      <c r="V4248" t="s">
        <v>12802</v>
      </c>
      <c r="W4248" t="s">
        <v>16991</v>
      </c>
      <c r="X4248">
        <v>8</v>
      </c>
      <c r="Y4248" t="s">
        <v>23215</v>
      </c>
      <c r="Z4248" t="s">
        <v>29566</v>
      </c>
      <c r="AA4248">
        <v>0.59153710219487321</v>
      </c>
      <c r="AB4248" t="str">
        <f>HYPERLINK("Melting_Curves/meltCurve_Q86W42_THOC6.pdf", "Melting_Curves/meltCurve_Q86W42_THOC6.pdf")</f>
        <v>Melting_Curves/meltCurve_Q86W42_THOC6.pdf</v>
      </c>
    </row>
    <row r="4249" spans="1:28" x14ac:dyDescent="0.25">
      <c r="A4249" t="s">
        <v>4253</v>
      </c>
      <c r="B4249">
        <v>0.99542014353169495</v>
      </c>
      <c r="C4249">
        <v>0.94886907026417</v>
      </c>
      <c r="D4249">
        <v>0.89647861671270301</v>
      </c>
      <c r="E4249">
        <v>0.74459695858214203</v>
      </c>
      <c r="F4249">
        <v>0.41409037835361101</v>
      </c>
      <c r="G4249">
        <v>0.15428562862633899</v>
      </c>
      <c r="H4249">
        <v>9.6623803570778197E-2</v>
      </c>
      <c r="I4249">
        <v>6.9436191794400096E-2</v>
      </c>
      <c r="J4249">
        <v>9.6290949756944105E-2</v>
      </c>
      <c r="K4249">
        <v>8.6353767936217796E-2</v>
      </c>
      <c r="L4249">
        <v>970.47167465893097</v>
      </c>
      <c r="M4249">
        <v>19.932306316402499</v>
      </c>
      <c r="N4249">
        <v>49.033196000234703</v>
      </c>
      <c r="O4249">
        <v>48.206252100526797</v>
      </c>
      <c r="P4249">
        <v>-9.6613327069100696E-2</v>
      </c>
      <c r="Q4249">
        <v>6.53941089331352E-2</v>
      </c>
      <c r="R4249">
        <v>0.99580535329883701</v>
      </c>
      <c r="S4249" t="s">
        <v>10651</v>
      </c>
      <c r="T4249" t="s">
        <v>12802</v>
      </c>
      <c r="U4249" t="s">
        <v>12802</v>
      </c>
      <c r="V4249" t="s">
        <v>12802</v>
      </c>
      <c r="W4249" t="s">
        <v>16992</v>
      </c>
      <c r="X4249">
        <v>8</v>
      </c>
      <c r="Y4249" t="s">
        <v>23216</v>
      </c>
      <c r="Z4249" t="s">
        <v>29567</v>
      </c>
      <c r="AA4249">
        <v>0.44191101419907752</v>
      </c>
      <c r="AB4249" t="str">
        <f>HYPERLINK("Melting_Curves/meltCurve_Q86W50_METTL16.pdf", "Melting_Curves/meltCurve_Q86W50_METTL16.pdf")</f>
        <v>Melting_Curves/meltCurve_Q86W50_METTL16.pdf</v>
      </c>
    </row>
    <row r="4250" spans="1:28" x14ac:dyDescent="0.25">
      <c r="A4250" t="s">
        <v>4254</v>
      </c>
      <c r="B4250">
        <v>0.99542014353169495</v>
      </c>
      <c r="C4250">
        <v>1.03069354817328</v>
      </c>
      <c r="D4250">
        <v>0.96892013396016097</v>
      </c>
      <c r="E4250">
        <v>0.79585202787235299</v>
      </c>
      <c r="F4250">
        <v>0.21956762491433601</v>
      </c>
      <c r="G4250">
        <v>0.122617274828467</v>
      </c>
      <c r="H4250">
        <v>6.9928340997544802E-2</v>
      </c>
      <c r="I4250">
        <v>5.3516819745904103E-2</v>
      </c>
      <c r="J4250">
        <v>4.6982169086373003E-2</v>
      </c>
      <c r="K4250">
        <v>4.9663410027651601E-2</v>
      </c>
      <c r="L4250">
        <v>1787.88153963585</v>
      </c>
      <c r="M4250">
        <v>37.128908114878598</v>
      </c>
      <c r="N4250">
        <v>48.326774603993897</v>
      </c>
      <c r="O4250">
        <v>48.0143067582217</v>
      </c>
      <c r="P4250">
        <v>-0.18126500915357799</v>
      </c>
      <c r="Q4250">
        <v>6.23705366487914E-2</v>
      </c>
      <c r="R4250">
        <v>0.99787910054348605</v>
      </c>
      <c r="S4250" t="s">
        <v>10652</v>
      </c>
      <c r="T4250" t="s">
        <v>12802</v>
      </c>
      <c r="U4250" t="s">
        <v>12802</v>
      </c>
      <c r="V4250" t="s">
        <v>12802</v>
      </c>
      <c r="W4250" t="s">
        <v>16993</v>
      </c>
      <c r="X4250">
        <v>19</v>
      </c>
      <c r="Y4250" t="s">
        <v>23217</v>
      </c>
      <c r="Z4250" t="s">
        <v>29568</v>
      </c>
      <c r="AA4250">
        <v>0.41458736197516988</v>
      </c>
      <c r="AB4250" t="str">
        <f>HYPERLINK("Melting_Curves/meltCurve_Q86W56_PARG.pdf", "Melting_Curves/meltCurve_Q86W56_PARG.pdf")</f>
        <v>Melting_Curves/meltCurve_Q86W56_PARG.pdf</v>
      </c>
    </row>
    <row r="4251" spans="1:28" x14ac:dyDescent="0.25">
      <c r="A4251" t="s">
        <v>4255</v>
      </c>
      <c r="B4251">
        <v>0.99542014353169495</v>
      </c>
      <c r="C4251">
        <v>1.1180162689317601</v>
      </c>
      <c r="D4251">
        <v>1.03062264866091</v>
      </c>
      <c r="E4251">
        <v>0.98751793130911303</v>
      </c>
      <c r="F4251">
        <v>0.73618638845164597</v>
      </c>
      <c r="G4251">
        <v>0.224996084115718</v>
      </c>
      <c r="H4251">
        <v>6.3348598889546401E-2</v>
      </c>
      <c r="I4251">
        <v>0.238960858766218</v>
      </c>
      <c r="J4251">
        <v>6.1571285603390501E-2</v>
      </c>
      <c r="K4251">
        <v>7.5357990741944506E-2</v>
      </c>
      <c r="L4251">
        <v>2138.44921349999</v>
      </c>
      <c r="M4251">
        <v>41.7221054318142</v>
      </c>
      <c r="N4251">
        <v>51.557213422803102</v>
      </c>
      <c r="O4251">
        <v>51.137257557942</v>
      </c>
      <c r="P4251">
        <v>-0.18181859579499099</v>
      </c>
      <c r="Q4251">
        <v>0.108607969183374</v>
      </c>
      <c r="R4251">
        <v>0.97975895098023602</v>
      </c>
      <c r="S4251" t="s">
        <v>10653</v>
      </c>
      <c r="T4251" t="s">
        <v>12802</v>
      </c>
      <c r="U4251" t="s">
        <v>12802</v>
      </c>
      <c r="V4251" t="s">
        <v>12802</v>
      </c>
      <c r="W4251" t="s">
        <v>16994</v>
      </c>
      <c r="X4251">
        <v>4</v>
      </c>
      <c r="Y4251" t="s">
        <v>23218</v>
      </c>
      <c r="Z4251" t="s">
        <v>29569</v>
      </c>
      <c r="AA4251">
        <v>0.53505325544442128</v>
      </c>
      <c r="AB4251" t="str">
        <f>HYPERLINK("Melting_Curves/meltCurve_Q86WA6_2_BPHL.pdf", "Melting_Curves/meltCurve_Q86WA6_2_BPHL.pdf")</f>
        <v>Melting_Curves/meltCurve_Q86WA6_2_BPHL.pdf</v>
      </c>
    </row>
    <row r="4252" spans="1:28" x14ac:dyDescent="0.25">
      <c r="A4252" t="s">
        <v>4256</v>
      </c>
      <c r="B4252">
        <v>0.99542014353169495</v>
      </c>
      <c r="C4252">
        <v>0.941996794041708</v>
      </c>
      <c r="D4252">
        <v>0.75375089062628597</v>
      </c>
      <c r="E4252">
        <v>0.55804220556871897</v>
      </c>
      <c r="F4252">
        <v>0.37982028535371098</v>
      </c>
      <c r="G4252">
        <v>0.220048969652654</v>
      </c>
      <c r="H4252">
        <v>0.12095056030432701</v>
      </c>
      <c r="I4252">
        <v>9.6788753924963195E-2</v>
      </c>
      <c r="J4252">
        <v>0.116937685595883</v>
      </c>
      <c r="K4252">
        <v>0.109062081310172</v>
      </c>
      <c r="L4252">
        <v>617.21596081785003</v>
      </c>
      <c r="M4252">
        <v>13.147931191385799</v>
      </c>
      <c r="N4252">
        <v>47.524476289926199</v>
      </c>
      <c r="O4252">
        <v>45.897836534926</v>
      </c>
      <c r="P4252">
        <v>-6.6313635737692E-2</v>
      </c>
      <c r="Q4252">
        <v>7.4185003532034804E-2</v>
      </c>
      <c r="R4252">
        <v>0.99576575244548704</v>
      </c>
      <c r="S4252" t="s">
        <v>10654</v>
      </c>
      <c r="T4252" t="s">
        <v>12802</v>
      </c>
      <c r="U4252" t="s">
        <v>12802</v>
      </c>
      <c r="V4252" t="s">
        <v>12802</v>
      </c>
      <c r="W4252" t="s">
        <v>16995</v>
      </c>
      <c r="X4252">
        <v>6</v>
      </c>
      <c r="Y4252" t="s">
        <v>23219</v>
      </c>
      <c r="Z4252" t="s">
        <v>29570</v>
      </c>
      <c r="AA4252">
        <v>0.40731649605777059</v>
      </c>
      <c r="AB4252" t="str">
        <f>HYPERLINK("Melting_Curves/meltCurve_Q86WA8_LONP2.pdf", "Melting_Curves/meltCurve_Q86WA8_LONP2.pdf")</f>
        <v>Melting_Curves/meltCurve_Q86WA8_LONP2.pdf</v>
      </c>
    </row>
    <row r="4253" spans="1:28" x14ac:dyDescent="0.25">
      <c r="A4253" t="s">
        <v>4257</v>
      </c>
      <c r="B4253">
        <v>0.99542014353169495</v>
      </c>
      <c r="C4253">
        <v>0.94491511078415302</v>
      </c>
      <c r="D4253">
        <v>0.95086415512728495</v>
      </c>
      <c r="E4253">
        <v>0.61111829959374797</v>
      </c>
      <c r="F4253">
        <v>0.37016715160979502</v>
      </c>
      <c r="G4253">
        <v>0.19049669778929901</v>
      </c>
      <c r="H4253">
        <v>0.13012461635597999</v>
      </c>
      <c r="I4253">
        <v>9.2301755869608704E-2</v>
      </c>
      <c r="J4253">
        <v>0.10062026566004099</v>
      </c>
      <c r="K4253">
        <v>0.119104402731082</v>
      </c>
      <c r="L4253">
        <v>916.44912851186098</v>
      </c>
      <c r="M4253">
        <v>19.224330720294201</v>
      </c>
      <c r="N4253">
        <v>48.222353484996901</v>
      </c>
      <c r="O4253">
        <v>47.164474800133299</v>
      </c>
      <c r="P4253">
        <v>-9.1855505827049294E-2</v>
      </c>
      <c r="Q4253">
        <v>9.8610633913881696E-2</v>
      </c>
      <c r="R4253">
        <v>0.99538173162058396</v>
      </c>
      <c r="S4253" t="s">
        <v>10655</v>
      </c>
      <c r="T4253" t="s">
        <v>12802</v>
      </c>
      <c r="U4253" t="s">
        <v>12802</v>
      </c>
      <c r="V4253" t="s">
        <v>12802</v>
      </c>
      <c r="W4253" t="s">
        <v>16996</v>
      </c>
      <c r="X4253">
        <v>3</v>
      </c>
      <c r="Y4253" t="s">
        <v>23220</v>
      </c>
      <c r="Z4253" t="s">
        <v>29571</v>
      </c>
      <c r="AA4253">
        <v>0.4319977939266213</v>
      </c>
      <c r="AB4253" t="str">
        <f>HYPERLINK("Melting_Curves/meltCurve_Q86WH2_RASSF3.pdf", "Melting_Curves/meltCurve_Q86WH2_RASSF3.pdf")</f>
        <v>Melting_Curves/meltCurve_Q86WH2_RASSF3.pdf</v>
      </c>
    </row>
    <row r="4254" spans="1:28" x14ac:dyDescent="0.25">
      <c r="A4254" t="s">
        <v>4258</v>
      </c>
      <c r="B4254">
        <v>0.99542014353169495</v>
      </c>
      <c r="C4254">
        <v>0.83843880722985498</v>
      </c>
      <c r="D4254">
        <v>0.58217708093698695</v>
      </c>
      <c r="E4254">
        <v>0.22595911190846801</v>
      </c>
      <c r="F4254">
        <v>0.13730023929592</v>
      </c>
      <c r="G4254">
        <v>8.2229132762306506E-2</v>
      </c>
      <c r="H4254">
        <v>6.3438322173146905E-2</v>
      </c>
      <c r="I4254">
        <v>4.8381972019772103E-2</v>
      </c>
      <c r="J4254">
        <v>4.5837554596746898E-2</v>
      </c>
      <c r="K4254">
        <v>4.2124226700975098E-2</v>
      </c>
      <c r="L4254">
        <v>848.09041590663901</v>
      </c>
      <c r="M4254">
        <v>19.5396800888734</v>
      </c>
      <c r="N4254">
        <v>43.643998775814303</v>
      </c>
      <c r="O4254">
        <v>42.956550818043198</v>
      </c>
      <c r="P4254">
        <v>-0.107917358451054</v>
      </c>
      <c r="Q4254">
        <v>5.1040286316296597E-2</v>
      </c>
      <c r="R4254">
        <v>0.99788681541879898</v>
      </c>
      <c r="S4254" t="s">
        <v>10656</v>
      </c>
      <c r="T4254" t="s">
        <v>12802</v>
      </c>
      <c r="U4254" t="s">
        <v>12802</v>
      </c>
      <c r="V4254" t="s">
        <v>12802</v>
      </c>
      <c r="W4254" t="s">
        <v>16997</v>
      </c>
      <c r="X4254">
        <v>12</v>
      </c>
      <c r="Y4254" t="s">
        <v>23221</v>
      </c>
      <c r="Z4254" t="s">
        <v>29572</v>
      </c>
      <c r="AA4254">
        <v>0.2672605452183251</v>
      </c>
      <c r="AB4254" t="str">
        <f>HYPERLINK("Melting_Curves/meltCurve_Q86WJ1_CHD1L.pdf", "Melting_Curves/meltCurve_Q86WJ1_CHD1L.pdf")</f>
        <v>Melting_Curves/meltCurve_Q86WJ1_CHD1L.pdf</v>
      </c>
    </row>
    <row r="4255" spans="1:28" x14ac:dyDescent="0.25">
      <c r="A4255" t="s">
        <v>4259</v>
      </c>
      <c r="B4255">
        <v>0.99542014353169495</v>
      </c>
      <c r="C4255">
        <v>1.1295419216854901</v>
      </c>
      <c r="D4255">
        <v>0.92081839859480397</v>
      </c>
      <c r="E4255">
        <v>0.94335024032954495</v>
      </c>
      <c r="F4255">
        <v>0.66745569936694504</v>
      </c>
      <c r="G4255">
        <v>0.45064739583712399</v>
      </c>
      <c r="H4255">
        <v>0.187527921457597</v>
      </c>
      <c r="I4255">
        <v>0.11977846564113299</v>
      </c>
      <c r="J4255">
        <v>0.142986432593014</v>
      </c>
      <c r="K4255">
        <v>0.115287287310211</v>
      </c>
      <c r="L4255">
        <v>1013.47935660167</v>
      </c>
      <c r="M4255">
        <v>19.4879344901731</v>
      </c>
      <c r="N4255">
        <v>52.581306935595499</v>
      </c>
      <c r="O4255">
        <v>51.467159432744403</v>
      </c>
      <c r="P4255">
        <v>-8.5569082427611701E-2</v>
      </c>
      <c r="Q4255">
        <v>9.6089164913295597E-2</v>
      </c>
      <c r="R4255">
        <v>0.98167378957171403</v>
      </c>
      <c r="S4255" t="s">
        <v>10657</v>
      </c>
      <c r="T4255" t="s">
        <v>12802</v>
      </c>
      <c r="U4255" t="s">
        <v>12802</v>
      </c>
      <c r="V4255" t="s">
        <v>12802</v>
      </c>
      <c r="W4255" t="s">
        <v>16998</v>
      </c>
      <c r="X4255">
        <v>5</v>
      </c>
      <c r="Y4255" t="s">
        <v>23222</v>
      </c>
      <c r="Z4255" t="s">
        <v>29573</v>
      </c>
      <c r="AA4255">
        <v>0.56036007072352445</v>
      </c>
      <c r="AB4255" t="str">
        <f>HYPERLINK("Melting_Curves/meltCurve_Q86WQ0_NR2C2AP.pdf", "Melting_Curves/meltCurve_Q86WQ0_NR2C2AP.pdf")</f>
        <v>Melting_Curves/meltCurve_Q86WQ0_NR2C2AP.pdf</v>
      </c>
    </row>
    <row r="4256" spans="1:28" x14ac:dyDescent="0.25">
      <c r="A4256" t="s">
        <v>4260</v>
      </c>
      <c r="B4256">
        <v>0.99542014353169495</v>
      </c>
      <c r="C4256">
        <v>0.97569536182081595</v>
      </c>
      <c r="D4256">
        <v>0.95887559851194104</v>
      </c>
      <c r="E4256">
        <v>0.74516818573116295</v>
      </c>
      <c r="F4256">
        <v>0.34334077359562998</v>
      </c>
      <c r="G4256">
        <v>0.16207214611454601</v>
      </c>
      <c r="H4256">
        <v>0.11321617540585401</v>
      </c>
      <c r="I4256">
        <v>0.101042831754696</v>
      </c>
      <c r="J4256">
        <v>0.106139226243725</v>
      </c>
      <c r="K4256">
        <v>0.10142873776708899</v>
      </c>
      <c r="L4256">
        <v>1230.94109920199</v>
      </c>
      <c r="M4256">
        <v>25.502105777434899</v>
      </c>
      <c r="N4256">
        <v>48.6942937079247</v>
      </c>
      <c r="O4256">
        <v>47.974329057313497</v>
      </c>
      <c r="P4256">
        <v>-0.11960639665022101</v>
      </c>
      <c r="Q4256">
        <v>0.10000094004179</v>
      </c>
      <c r="R4256">
        <v>0.99967756959670095</v>
      </c>
      <c r="S4256" t="s">
        <v>10658</v>
      </c>
      <c r="T4256" t="s">
        <v>12802</v>
      </c>
      <c r="U4256" t="s">
        <v>12802</v>
      </c>
      <c r="V4256" t="s">
        <v>12802</v>
      </c>
      <c r="W4256" t="s">
        <v>16999</v>
      </c>
      <c r="X4256">
        <v>5</v>
      </c>
      <c r="Y4256" t="s">
        <v>23223</v>
      </c>
      <c r="Z4256" t="s">
        <v>29574</v>
      </c>
      <c r="AA4256">
        <v>0.44545008000783171</v>
      </c>
      <c r="AB4256" t="str">
        <f>HYPERLINK("Melting_Curves/meltCurve_Q86WR0_CCDC25.pdf", "Melting_Curves/meltCurve_Q86WR0_CCDC25.pdf")</f>
        <v>Melting_Curves/meltCurve_Q86WR0_CCDC25.pdf</v>
      </c>
    </row>
    <row r="4257" spans="1:28" x14ac:dyDescent="0.25">
      <c r="A4257" t="s">
        <v>4261</v>
      </c>
      <c r="B4257">
        <v>0.99542014353169495</v>
      </c>
      <c r="C4257">
        <v>1.06162533144349</v>
      </c>
      <c r="D4257">
        <v>0.95483856991104799</v>
      </c>
      <c r="E4257">
        <v>0.83872256245528998</v>
      </c>
      <c r="F4257">
        <v>0.491759635442162</v>
      </c>
      <c r="G4257">
        <v>0.23508579113346501</v>
      </c>
      <c r="H4257">
        <v>0.12791702805725799</v>
      </c>
      <c r="I4257">
        <v>9.0160684600403704E-2</v>
      </c>
      <c r="J4257">
        <v>0.13977438835120101</v>
      </c>
      <c r="K4257">
        <v>0.14429727618996899</v>
      </c>
      <c r="L4257">
        <v>1195.7273225880399</v>
      </c>
      <c r="M4257">
        <v>24.140201397826001</v>
      </c>
      <c r="N4257">
        <v>50.079784844521498</v>
      </c>
      <c r="O4257">
        <v>49.196447081699802</v>
      </c>
      <c r="P4257">
        <v>-0.10845368172851701</v>
      </c>
      <c r="Q4257">
        <v>0.115922036455387</v>
      </c>
      <c r="R4257">
        <v>0.99507640791520002</v>
      </c>
      <c r="S4257" t="s">
        <v>10659</v>
      </c>
      <c r="T4257" t="s">
        <v>12802</v>
      </c>
      <c r="U4257" t="s">
        <v>12802</v>
      </c>
      <c r="V4257" t="s">
        <v>12802</v>
      </c>
      <c r="W4257" t="s">
        <v>17000</v>
      </c>
      <c r="X4257">
        <v>6</v>
      </c>
      <c r="Y4257" t="s">
        <v>23224</v>
      </c>
      <c r="Z4257" t="s">
        <v>29575</v>
      </c>
      <c r="AA4257">
        <v>0.4934733298466602</v>
      </c>
      <c r="AB4257" t="str">
        <f>HYPERLINK("Melting_Curves/meltCurve_Q86WR7_PROSER2.pdf", "Melting_Curves/meltCurve_Q86WR7_PROSER2.pdf")</f>
        <v>Melting_Curves/meltCurve_Q86WR7_PROSER2.pdf</v>
      </c>
    </row>
    <row r="4258" spans="1:28" x14ac:dyDescent="0.25">
      <c r="A4258" t="s">
        <v>4262</v>
      </c>
      <c r="B4258">
        <v>0.99542014353169495</v>
      </c>
      <c r="C4258">
        <v>0.833416910904625</v>
      </c>
      <c r="D4258">
        <v>0.84908381827410995</v>
      </c>
      <c r="E4258">
        <v>0.639758056145181</v>
      </c>
      <c r="F4258">
        <v>0.355773640303651</v>
      </c>
      <c r="G4258">
        <v>8.1479756293946104E-2</v>
      </c>
      <c r="H4258">
        <v>6.6555616486494801E-2</v>
      </c>
      <c r="I4258">
        <v>2.7509976042282201E-2</v>
      </c>
      <c r="J4258">
        <v>3.9024500433982999E-2</v>
      </c>
      <c r="K4258">
        <v>3.55269426244973E-2</v>
      </c>
      <c r="L4258">
        <v>730.74657450236202</v>
      </c>
      <c r="M4258">
        <v>15.2693810473077</v>
      </c>
      <c r="N4258">
        <v>47.856984981986798</v>
      </c>
      <c r="O4258">
        <v>47.058680017245898</v>
      </c>
      <c r="P4258">
        <v>-8.1126477429473903E-2</v>
      </c>
      <c r="Q4258">
        <v>0</v>
      </c>
      <c r="R4258">
        <v>0.98344238519272498</v>
      </c>
      <c r="S4258" t="s">
        <v>10660</v>
      </c>
      <c r="T4258" t="s">
        <v>12802</v>
      </c>
      <c r="U4258" t="s">
        <v>12802</v>
      </c>
      <c r="V4258" t="s">
        <v>12802</v>
      </c>
      <c r="W4258" t="s">
        <v>17001</v>
      </c>
      <c r="X4258">
        <v>3</v>
      </c>
      <c r="Y4258" t="s">
        <v>23225</v>
      </c>
      <c r="Z4258" t="s">
        <v>29576</v>
      </c>
      <c r="AA4258">
        <v>0.38333272558307713</v>
      </c>
      <c r="AB4258" t="str">
        <f>HYPERLINK("Melting_Curves/meltCurve_Q86WV6_TMEM173.pdf", "Melting_Curves/meltCurve_Q86WV6_TMEM173.pdf")</f>
        <v>Melting_Curves/meltCurve_Q86WV6_TMEM173.pdf</v>
      </c>
    </row>
    <row r="4259" spans="1:28" x14ac:dyDescent="0.25">
      <c r="A4259" t="s">
        <v>4263</v>
      </c>
      <c r="B4259">
        <v>0.99542014353169495</v>
      </c>
      <c r="C4259">
        <v>1.1006435263688601</v>
      </c>
      <c r="D4259">
        <v>0.96100608352574801</v>
      </c>
      <c r="E4259">
        <v>0.85403801114897104</v>
      </c>
      <c r="F4259">
        <v>0.70901593658732598</v>
      </c>
      <c r="G4259">
        <v>0.53482669947554096</v>
      </c>
      <c r="H4259">
        <v>0.31146632000194502</v>
      </c>
      <c r="I4259">
        <v>0.20615232909126999</v>
      </c>
      <c r="J4259">
        <v>0.22346451714985999</v>
      </c>
      <c r="K4259">
        <v>0.222005270855687</v>
      </c>
      <c r="L4259">
        <v>806.216257815787</v>
      </c>
      <c r="M4259">
        <v>15.4296186801443</v>
      </c>
      <c r="N4259">
        <v>53.670504590231502</v>
      </c>
      <c r="O4259">
        <v>51.397125813063901</v>
      </c>
      <c r="P4259">
        <v>-6.2484056998894297E-2</v>
      </c>
      <c r="Q4259">
        <v>0.16752044812738301</v>
      </c>
      <c r="R4259">
        <v>0.98424889468060395</v>
      </c>
      <c r="S4259" t="s">
        <v>10661</v>
      </c>
      <c r="T4259" t="s">
        <v>12802</v>
      </c>
      <c r="U4259" t="s">
        <v>12802</v>
      </c>
      <c r="V4259" t="s">
        <v>12802</v>
      </c>
      <c r="W4259" t="s">
        <v>17002</v>
      </c>
      <c r="X4259">
        <v>4</v>
      </c>
      <c r="Y4259" t="s">
        <v>23226</v>
      </c>
      <c r="Z4259" t="s">
        <v>29577</v>
      </c>
      <c r="AA4259">
        <v>0.60592406814740607</v>
      </c>
      <c r="AB4259" t="str">
        <f>HYPERLINK("Melting_Curves/meltCurve_Q86WV7_CCDC43.pdf", "Melting_Curves/meltCurve_Q86WV7_CCDC43.pdf")</f>
        <v>Melting_Curves/meltCurve_Q86WV7_CCDC43.pdf</v>
      </c>
    </row>
    <row r="4260" spans="1:28" x14ac:dyDescent="0.25">
      <c r="A4260" t="s">
        <v>4264</v>
      </c>
      <c r="B4260">
        <v>0.99542014353169495</v>
      </c>
      <c r="C4260">
        <v>0.93265504066767402</v>
      </c>
      <c r="D4260">
        <v>1.1275549907857501</v>
      </c>
      <c r="E4260">
        <v>0.79811675636192503</v>
      </c>
      <c r="F4260">
        <v>0.51770692493258796</v>
      </c>
      <c r="G4260">
        <v>0.27248392218460099</v>
      </c>
      <c r="H4260">
        <v>0.18357410620340001</v>
      </c>
      <c r="I4260">
        <v>0.12414665978780901</v>
      </c>
      <c r="J4260">
        <v>0.11299282550260301</v>
      </c>
      <c r="K4260">
        <v>0.10498431288282301</v>
      </c>
      <c r="L4260">
        <v>1090.78293239611</v>
      </c>
      <c r="M4260">
        <v>21.896836345557599</v>
      </c>
      <c r="N4260">
        <v>50.4136273827365</v>
      </c>
      <c r="O4260">
        <v>49.404744827562602</v>
      </c>
      <c r="P4260">
        <v>-9.8114363162580195E-2</v>
      </c>
      <c r="Q4260">
        <v>0.11453789027083799</v>
      </c>
      <c r="R4260">
        <v>0.97981194410802297</v>
      </c>
      <c r="S4260" t="s">
        <v>10662</v>
      </c>
      <c r="T4260" t="s">
        <v>12802</v>
      </c>
      <c r="U4260" t="s">
        <v>12802</v>
      </c>
      <c r="V4260" t="s">
        <v>12802</v>
      </c>
      <c r="W4260" t="s">
        <v>17003</v>
      </c>
      <c r="X4260">
        <v>1</v>
      </c>
      <c r="Y4260" t="s">
        <v>23227</v>
      </c>
      <c r="Z4260" t="s">
        <v>29578</v>
      </c>
      <c r="AA4260">
        <v>0.50267661007816145</v>
      </c>
      <c r="AB4260" t="str">
        <f>HYPERLINK("Melting_Curves/meltCurve_Q86WX3_RPS19BP1.pdf", "Melting_Curves/meltCurve_Q86WX3_RPS19BP1.pdf")</f>
        <v>Melting_Curves/meltCurve_Q86WX3_RPS19BP1.pdf</v>
      </c>
    </row>
    <row r="4261" spans="1:28" x14ac:dyDescent="0.25">
      <c r="A4261" t="s">
        <v>4265</v>
      </c>
      <c r="B4261">
        <v>0.99542014353169495</v>
      </c>
      <c r="C4261">
        <v>0.99759599104471797</v>
      </c>
      <c r="D4261">
        <v>0.86672908217477895</v>
      </c>
      <c r="E4261">
        <v>0.834290194395373</v>
      </c>
      <c r="F4261">
        <v>0.72051420245633102</v>
      </c>
      <c r="G4261">
        <v>0.29224079847919299</v>
      </c>
      <c r="H4261">
        <v>0.32313986849489301</v>
      </c>
      <c r="I4261">
        <v>0.20627112625618901</v>
      </c>
      <c r="J4261">
        <v>0.134469616003114</v>
      </c>
      <c r="K4261">
        <v>0.14232660310905801</v>
      </c>
      <c r="L4261">
        <v>751.62619459777102</v>
      </c>
      <c r="M4261">
        <v>14.6425063422643</v>
      </c>
      <c r="N4261">
        <v>52.221745082419098</v>
      </c>
      <c r="O4261">
        <v>50.402880024018302</v>
      </c>
      <c r="P4261">
        <v>-6.4615164875339998E-2</v>
      </c>
      <c r="Q4261">
        <v>0.11041764173217999</v>
      </c>
      <c r="R4261">
        <v>0.97139805915590305</v>
      </c>
      <c r="S4261" t="s">
        <v>10663</v>
      </c>
      <c r="T4261" t="s">
        <v>12802</v>
      </c>
      <c r="U4261" t="s">
        <v>12802</v>
      </c>
      <c r="V4261" t="s">
        <v>12802</v>
      </c>
      <c r="W4261" t="s">
        <v>17004</v>
      </c>
      <c r="X4261">
        <v>2</v>
      </c>
      <c r="Y4261" t="s">
        <v>23228</v>
      </c>
      <c r="Z4261" t="s">
        <v>29579</v>
      </c>
      <c r="AA4261">
        <v>0.5535712150769917</v>
      </c>
      <c r="AB4261" t="str">
        <f>HYPERLINK("Melting_Curves/meltCurve_Q86X02_CDR2L.pdf", "Melting_Curves/meltCurve_Q86X02_CDR2L.pdf")</f>
        <v>Melting_Curves/meltCurve_Q86X02_CDR2L.pdf</v>
      </c>
    </row>
    <row r="4262" spans="1:28" x14ac:dyDescent="0.25">
      <c r="A4262" t="s">
        <v>4266</v>
      </c>
      <c r="B4262">
        <v>0.99542014353169495</v>
      </c>
      <c r="C4262">
        <v>1.0837375915290901</v>
      </c>
      <c r="D4262">
        <v>1.13651036926567</v>
      </c>
      <c r="E4262">
        <v>0.789331708418893</v>
      </c>
      <c r="F4262">
        <v>0.90464473107844801</v>
      </c>
      <c r="G4262">
        <v>0.53237884177969996</v>
      </c>
      <c r="H4262">
        <v>0.52623131016596902</v>
      </c>
      <c r="I4262">
        <v>0.34206482524795701</v>
      </c>
      <c r="J4262">
        <v>0.57259077898629196</v>
      </c>
      <c r="K4262">
        <v>0.823265525724725</v>
      </c>
      <c r="L4262">
        <v>12614.6031378553</v>
      </c>
      <c r="M4262">
        <v>250</v>
      </c>
      <c r="O4262">
        <v>50.455183668607098</v>
      </c>
      <c r="P4262">
        <v>-0.54589752591472696</v>
      </c>
      <c r="Q4262">
        <v>0.55930624262430295</v>
      </c>
      <c r="R4262">
        <v>0.706153783704347</v>
      </c>
      <c r="S4262" t="s">
        <v>10664</v>
      </c>
      <c r="T4262" t="s">
        <v>12802</v>
      </c>
      <c r="U4262" t="s">
        <v>12802</v>
      </c>
      <c r="V4262" t="s">
        <v>12802</v>
      </c>
      <c r="W4262" t="s">
        <v>17005</v>
      </c>
      <c r="X4262">
        <v>17</v>
      </c>
      <c r="Y4262" t="s">
        <v>19286</v>
      </c>
      <c r="Z4262" t="s">
        <v>29580</v>
      </c>
      <c r="AA4262">
        <v>0.75704654755301104</v>
      </c>
      <c r="AB4262" t="str">
        <f>HYPERLINK("Melting_Curves/meltCurve_Q86X29_3_LSR.pdf", "Melting_Curves/meltCurve_Q86X29_3_LSR.pdf")</f>
        <v>Melting_Curves/meltCurve_Q86X29_3_LSR.pdf</v>
      </c>
    </row>
    <row r="4263" spans="1:28" x14ac:dyDescent="0.25">
      <c r="A4263" t="s">
        <v>4267</v>
      </c>
      <c r="B4263">
        <v>0.99542014353169495</v>
      </c>
      <c r="C4263">
        <v>0.98485699657415104</v>
      </c>
      <c r="D4263">
        <v>0.67918781474605505</v>
      </c>
      <c r="E4263">
        <v>0.51145883742800002</v>
      </c>
      <c r="F4263">
        <v>0.303939875287429</v>
      </c>
      <c r="G4263">
        <v>0.165751423635247</v>
      </c>
      <c r="H4263">
        <v>0.125924396168276</v>
      </c>
      <c r="I4263">
        <v>8.0367015000227304E-2</v>
      </c>
      <c r="J4263">
        <v>9.0198526372497603E-2</v>
      </c>
      <c r="K4263">
        <v>0.10146620499484101</v>
      </c>
      <c r="L4263">
        <v>673.88738609432596</v>
      </c>
      <c r="M4263">
        <v>14.66777940691</v>
      </c>
      <c r="N4263">
        <v>46.478646860353201</v>
      </c>
      <c r="O4263">
        <v>45.114755359791602</v>
      </c>
      <c r="P4263">
        <v>-7.4972238033747501E-2</v>
      </c>
      <c r="Q4263">
        <v>7.7711563694727703E-2</v>
      </c>
      <c r="R4263">
        <v>0.98924784160270296</v>
      </c>
      <c r="S4263" t="s">
        <v>10665</v>
      </c>
      <c r="T4263" t="s">
        <v>12802</v>
      </c>
      <c r="U4263" t="s">
        <v>12802</v>
      </c>
      <c r="V4263" t="s">
        <v>12802</v>
      </c>
      <c r="W4263" t="s">
        <v>17006</v>
      </c>
      <c r="X4263">
        <v>3</v>
      </c>
      <c r="Y4263" t="s">
        <v>23229</v>
      </c>
      <c r="Z4263" t="s">
        <v>29581</v>
      </c>
      <c r="AA4263">
        <v>0.37488215545206188</v>
      </c>
      <c r="AB4263" t="str">
        <f>HYPERLINK("Melting_Curves/meltCurve_Q86X53_ERICH1.pdf", "Melting_Curves/meltCurve_Q86X53_ERICH1.pdf")</f>
        <v>Melting_Curves/meltCurve_Q86X53_ERICH1.pdf</v>
      </c>
    </row>
    <row r="4264" spans="1:28" x14ac:dyDescent="0.25">
      <c r="A4264" t="s">
        <v>4268</v>
      </c>
      <c r="B4264">
        <v>0.99542014353169495</v>
      </c>
      <c r="C4264">
        <v>0.91899641578375801</v>
      </c>
      <c r="D4264">
        <v>0.95908172393842295</v>
      </c>
      <c r="E4264">
        <v>0.82042200558845002</v>
      </c>
      <c r="F4264">
        <v>0.70803453315331</v>
      </c>
      <c r="G4264">
        <v>0.436779186331889</v>
      </c>
      <c r="H4264">
        <v>0.38444318492164598</v>
      </c>
      <c r="I4264">
        <v>0.18167017380500999</v>
      </c>
      <c r="J4264">
        <v>0.11362804530591</v>
      </c>
      <c r="K4264">
        <v>0.103554802560825</v>
      </c>
      <c r="L4264">
        <v>591.82281353658698</v>
      </c>
      <c r="M4264">
        <v>11.0572701386902</v>
      </c>
      <c r="N4264">
        <v>53.523411667336802</v>
      </c>
      <c r="O4264">
        <v>51.8621837815733</v>
      </c>
      <c r="P4264">
        <v>-5.3318844258065101E-2</v>
      </c>
      <c r="Q4264">
        <v>0</v>
      </c>
      <c r="R4264">
        <v>0.98894429659259298</v>
      </c>
      <c r="S4264" t="s">
        <v>10666</v>
      </c>
      <c r="T4264" t="s">
        <v>12802</v>
      </c>
      <c r="U4264" t="s">
        <v>12802</v>
      </c>
      <c r="V4264" t="s">
        <v>12802</v>
      </c>
      <c r="W4264" t="s">
        <v>17007</v>
      </c>
      <c r="X4264">
        <v>14</v>
      </c>
      <c r="Y4264" t="s">
        <v>23230</v>
      </c>
      <c r="Z4264" t="s">
        <v>29582</v>
      </c>
      <c r="AA4264">
        <v>0.57067914188705104</v>
      </c>
      <c r="AB4264" t="str">
        <f>HYPERLINK("Melting_Curves/meltCurve_Q86X55_1_CARM1.pdf", "Melting_Curves/meltCurve_Q86X55_1_CARM1.pdf")</f>
        <v>Melting_Curves/meltCurve_Q86X55_1_CARM1.pdf</v>
      </c>
    </row>
    <row r="4265" spans="1:28" x14ac:dyDescent="0.25">
      <c r="A4265" t="s">
        <v>4269</v>
      </c>
      <c r="B4265">
        <v>0.99542014353169495</v>
      </c>
      <c r="C4265">
        <v>0.84344884962107303</v>
      </c>
      <c r="D4265">
        <v>0.75482762414314797</v>
      </c>
      <c r="E4265">
        <v>0.74698145575042896</v>
      </c>
      <c r="F4265">
        <v>0.45990683725271603</v>
      </c>
      <c r="G4265">
        <v>0.30843567060583799</v>
      </c>
      <c r="H4265">
        <v>0.22147690683813001</v>
      </c>
      <c r="I4265">
        <v>0.31272980800402</v>
      </c>
      <c r="J4265">
        <v>0.60365644595986701</v>
      </c>
      <c r="K4265">
        <v>0.52138793948912499</v>
      </c>
      <c r="L4265">
        <v>695.76391383212399</v>
      </c>
      <c r="M4265">
        <v>15.5282247129631</v>
      </c>
      <c r="N4265">
        <v>49.628393068982902</v>
      </c>
      <c r="O4265">
        <v>44.0830197766334</v>
      </c>
      <c r="P4265">
        <v>-5.3774999743987403E-2</v>
      </c>
      <c r="Q4265">
        <v>0.38940705962198502</v>
      </c>
      <c r="R4265">
        <v>0.75346837555260404</v>
      </c>
      <c r="S4265" t="s">
        <v>10667</v>
      </c>
      <c r="T4265" t="s">
        <v>12802</v>
      </c>
      <c r="U4265" t="s">
        <v>12802</v>
      </c>
      <c r="V4265" t="s">
        <v>12802</v>
      </c>
      <c r="W4265" t="s">
        <v>17008</v>
      </c>
      <c r="X4265">
        <v>9</v>
      </c>
      <c r="Y4265" t="s">
        <v>23231</v>
      </c>
      <c r="Z4265" t="s">
        <v>29583</v>
      </c>
      <c r="AA4265">
        <v>0.56193235864796776</v>
      </c>
      <c r="AB4265" t="str">
        <f>HYPERLINK("Melting_Curves/meltCurve_Q86X76_2_NIT1.pdf", "Melting_Curves/meltCurve_Q86X76_2_NIT1.pdf")</f>
        <v>Melting_Curves/meltCurve_Q86X76_2_NIT1.pdf</v>
      </c>
    </row>
    <row r="4266" spans="1:28" x14ac:dyDescent="0.25">
      <c r="A4266" t="s">
        <v>4270</v>
      </c>
      <c r="B4266">
        <v>0.99542014353169495</v>
      </c>
      <c r="C4266">
        <v>0.96167271639284102</v>
      </c>
      <c r="D4266">
        <v>0.80328264933489502</v>
      </c>
      <c r="E4266">
        <v>0.49299125438991098</v>
      </c>
      <c r="F4266">
        <v>0.145428540049647</v>
      </c>
      <c r="G4266">
        <v>5.0839041730738298E-2</v>
      </c>
      <c r="H4266">
        <v>3.5844230205014899E-2</v>
      </c>
      <c r="I4266">
        <v>2.27563376522028E-2</v>
      </c>
      <c r="J4266">
        <v>2.6953284869447602E-2</v>
      </c>
      <c r="K4266">
        <v>3.2220472002653801E-2</v>
      </c>
      <c r="L4266">
        <v>968.56487812853197</v>
      </c>
      <c r="M4266">
        <v>20.9749203162059</v>
      </c>
      <c r="N4266">
        <v>46.254258589814803</v>
      </c>
      <c r="O4266">
        <v>45.763694422144702</v>
      </c>
      <c r="P4266">
        <v>-0.112620527430439</v>
      </c>
      <c r="Q4266">
        <v>1.7151464531399301E-2</v>
      </c>
      <c r="R4266">
        <v>0.99826716593695397</v>
      </c>
      <c r="S4266" t="s">
        <v>10668</v>
      </c>
      <c r="T4266" t="s">
        <v>12802</v>
      </c>
      <c r="U4266" t="s">
        <v>12802</v>
      </c>
      <c r="V4266" t="s">
        <v>12802</v>
      </c>
      <c r="W4266" t="s">
        <v>17009</v>
      </c>
      <c r="X4266">
        <v>3</v>
      </c>
      <c r="Y4266" t="s">
        <v>23232</v>
      </c>
      <c r="Z4266" t="s">
        <v>29584</v>
      </c>
      <c r="AA4266">
        <v>0.32948415607685799</v>
      </c>
      <c r="AB4266" t="str">
        <f>HYPERLINK("Melting_Curves/meltCurve_Q86X83_COMMD2.pdf", "Melting_Curves/meltCurve_Q86X83_COMMD2.pdf")</f>
        <v>Melting_Curves/meltCurve_Q86X83_COMMD2.pdf</v>
      </c>
    </row>
    <row r="4267" spans="1:28" x14ac:dyDescent="0.25">
      <c r="A4267" t="s">
        <v>4271</v>
      </c>
      <c r="B4267">
        <v>0.99542014353169495</v>
      </c>
      <c r="C4267">
        <v>0.92742493790639702</v>
      </c>
      <c r="D4267">
        <v>0.97782264088985804</v>
      </c>
      <c r="E4267">
        <v>0.76760354850234003</v>
      </c>
      <c r="F4267">
        <v>0.217487634883785</v>
      </c>
      <c r="G4267">
        <v>0.12335114127951401</v>
      </c>
      <c r="H4267">
        <v>6.4720046572854004E-2</v>
      </c>
      <c r="I4267">
        <v>4.63671442650311E-2</v>
      </c>
      <c r="J4267">
        <v>5.9444725955403899E-2</v>
      </c>
      <c r="K4267">
        <v>5.7171085516620403E-2</v>
      </c>
      <c r="L4267">
        <v>1694.4071435052199</v>
      </c>
      <c r="M4267">
        <v>35.285872710746602</v>
      </c>
      <c r="N4267">
        <v>48.204761457455199</v>
      </c>
      <c r="O4267">
        <v>47.865973026966998</v>
      </c>
      <c r="P4267">
        <v>-0.17260506279755899</v>
      </c>
      <c r="Q4267">
        <v>6.3434686461833506E-2</v>
      </c>
      <c r="R4267">
        <v>0.99562787273237596</v>
      </c>
      <c r="S4267" t="s">
        <v>10669</v>
      </c>
      <c r="T4267" t="s">
        <v>12802</v>
      </c>
      <c r="U4267" t="s">
        <v>12802</v>
      </c>
      <c r="V4267" t="s">
        <v>12802</v>
      </c>
      <c r="W4267" t="s">
        <v>17010</v>
      </c>
      <c r="X4267">
        <v>25</v>
      </c>
      <c r="Y4267" t="s">
        <v>23233</v>
      </c>
      <c r="Z4267" t="s">
        <v>29585</v>
      </c>
      <c r="AA4267">
        <v>0.41145095589411429</v>
      </c>
      <c r="AB4267" t="str">
        <f>HYPERLINK("Melting_Curves/meltCurve_Q86XP3_DDX42.pdf", "Melting_Curves/meltCurve_Q86XP3_DDX42.pdf")</f>
        <v>Melting_Curves/meltCurve_Q86XP3_DDX42.pdf</v>
      </c>
    </row>
    <row r="4268" spans="1:28" x14ac:dyDescent="0.25">
      <c r="A4268" t="s">
        <v>4272</v>
      </c>
      <c r="B4268">
        <v>0.99542014353169495</v>
      </c>
      <c r="C4268">
        <v>0.89767295920656798</v>
      </c>
      <c r="D4268">
        <v>0.90302749297167195</v>
      </c>
      <c r="E4268">
        <v>0.49287743240966098</v>
      </c>
      <c r="F4268">
        <v>0.15226934026875499</v>
      </c>
      <c r="G4268">
        <v>0</v>
      </c>
      <c r="H4268">
        <v>3.12003424920794E-2</v>
      </c>
      <c r="I4268">
        <v>0</v>
      </c>
      <c r="J4268">
        <v>0</v>
      </c>
      <c r="K4268">
        <v>0</v>
      </c>
      <c r="L4268">
        <v>1138.5627077650099</v>
      </c>
      <c r="M4268">
        <v>24.4537529415447</v>
      </c>
      <c r="N4268">
        <v>46.559854278189803</v>
      </c>
      <c r="O4268">
        <v>46.251821627741698</v>
      </c>
      <c r="P4268">
        <v>-0.13217918979589299</v>
      </c>
      <c r="Q4268">
        <v>0</v>
      </c>
      <c r="R4268">
        <v>0.99428906116830096</v>
      </c>
      <c r="S4268" t="s">
        <v>10670</v>
      </c>
      <c r="T4268" t="s">
        <v>12802</v>
      </c>
      <c r="U4268" t="s">
        <v>12802</v>
      </c>
      <c r="V4268" t="s">
        <v>12802</v>
      </c>
      <c r="W4268" t="s">
        <v>17011</v>
      </c>
      <c r="X4268">
        <v>3</v>
      </c>
      <c r="Y4268" t="s">
        <v>23234</v>
      </c>
      <c r="Z4268" t="s">
        <v>29586</v>
      </c>
      <c r="AA4268">
        <v>0.32738964663400172</v>
      </c>
      <c r="AB4268" t="str">
        <f>HYPERLINK("Melting_Curves/meltCurve_Q86XZ4_SPATS2.pdf", "Melting_Curves/meltCurve_Q86XZ4_SPATS2.pdf")</f>
        <v>Melting_Curves/meltCurve_Q86XZ4_SPATS2.pdf</v>
      </c>
    </row>
    <row r="4269" spans="1:28" x14ac:dyDescent="0.25">
      <c r="A4269" t="s">
        <v>4273</v>
      </c>
      <c r="B4269">
        <v>0.99542014353169495</v>
      </c>
      <c r="C4269">
        <v>0.960861440841981</v>
      </c>
      <c r="D4269">
        <v>0.94979656018876901</v>
      </c>
      <c r="E4269">
        <v>0.80781243671153102</v>
      </c>
      <c r="F4269">
        <v>0.55265878097406995</v>
      </c>
      <c r="G4269">
        <v>0.21403718890993201</v>
      </c>
      <c r="H4269">
        <v>0.11551951984018601</v>
      </c>
      <c r="I4269">
        <v>9.6725286108738304E-2</v>
      </c>
      <c r="J4269">
        <v>0.108922139552051</v>
      </c>
      <c r="K4269">
        <v>0.14766595958242201</v>
      </c>
      <c r="L4269">
        <v>1088.3795150057299</v>
      </c>
      <c r="M4269">
        <v>21.855465551183499</v>
      </c>
      <c r="N4269">
        <v>50.295728200027398</v>
      </c>
      <c r="O4269">
        <v>49.387668098501699</v>
      </c>
      <c r="P4269">
        <v>-9.9894605711405807E-2</v>
      </c>
      <c r="Q4269">
        <v>9.7077377034093706E-2</v>
      </c>
      <c r="R4269">
        <v>0.99385451727884799</v>
      </c>
      <c r="S4269" t="s">
        <v>10671</v>
      </c>
      <c r="T4269" t="s">
        <v>12802</v>
      </c>
      <c r="U4269" t="s">
        <v>12802</v>
      </c>
      <c r="V4269" t="s">
        <v>12802</v>
      </c>
      <c r="W4269" t="s">
        <v>17012</v>
      </c>
      <c r="X4269">
        <v>7</v>
      </c>
      <c r="Y4269" t="s">
        <v>23235</v>
      </c>
      <c r="Z4269" t="s">
        <v>29587</v>
      </c>
      <c r="AA4269">
        <v>0.49243252881286492</v>
      </c>
      <c r="AB4269" t="str">
        <f>HYPERLINK("Melting_Curves/meltCurve_Q86Y07_VRK2.pdf", "Melting_Curves/meltCurve_Q86Y07_VRK2.pdf")</f>
        <v>Melting_Curves/meltCurve_Q86Y07_VRK2.pdf</v>
      </c>
    </row>
    <row r="4270" spans="1:28" x14ac:dyDescent="0.25">
      <c r="A4270" t="s">
        <v>4274</v>
      </c>
      <c r="B4270">
        <v>0.99542014353169495</v>
      </c>
      <c r="C4270">
        <v>0.89651227400347699</v>
      </c>
      <c r="D4270">
        <v>0.56453827608901397</v>
      </c>
      <c r="E4270">
        <v>0.143120881821787</v>
      </c>
      <c r="F4270">
        <v>5.3393841653749601E-2</v>
      </c>
      <c r="G4270">
        <v>0</v>
      </c>
      <c r="H4270">
        <v>0</v>
      </c>
      <c r="I4270">
        <v>1.59837546870907E-2</v>
      </c>
      <c r="J4270">
        <v>0</v>
      </c>
      <c r="K4270">
        <v>0</v>
      </c>
      <c r="L4270">
        <v>1099.26171554707</v>
      </c>
      <c r="M4270">
        <v>25.329194986292102</v>
      </c>
      <c r="N4270">
        <v>43.410949045591998</v>
      </c>
      <c r="O4270">
        <v>43.131208744772898</v>
      </c>
      <c r="P4270">
        <v>-0.14630665680154001</v>
      </c>
      <c r="Q4270">
        <v>3.4739475052861799E-3</v>
      </c>
      <c r="R4270">
        <v>0.99939228282509995</v>
      </c>
      <c r="S4270" t="s">
        <v>10672</v>
      </c>
      <c r="T4270" t="s">
        <v>12802</v>
      </c>
      <c r="U4270" t="s">
        <v>12802</v>
      </c>
      <c r="V4270" t="s">
        <v>12802</v>
      </c>
      <c r="W4270" t="s">
        <v>17013</v>
      </c>
      <c r="X4270">
        <v>1</v>
      </c>
      <c r="Y4270" t="s">
        <v>23236</v>
      </c>
      <c r="Z4270" t="s">
        <v>29588</v>
      </c>
      <c r="AA4270">
        <v>0.22405519758886211</v>
      </c>
      <c r="AB4270" t="str">
        <f>HYPERLINK("Melting_Curves/meltCurve_Q86Y37_4_CACUL1.pdf", "Melting_Curves/meltCurve_Q86Y37_4_CACUL1.pdf")</f>
        <v>Melting_Curves/meltCurve_Q86Y37_4_CACUL1.pdf</v>
      </c>
    </row>
    <row r="4271" spans="1:28" x14ac:dyDescent="0.25">
      <c r="A4271" t="s">
        <v>4275</v>
      </c>
      <c r="B4271">
        <v>0.99542014353169495</v>
      </c>
      <c r="C4271">
        <v>1.00158047673004</v>
      </c>
      <c r="D4271">
        <v>0.65250866482612901</v>
      </c>
      <c r="E4271">
        <v>0.24641856747912699</v>
      </c>
      <c r="F4271">
        <v>0.13855362215811601</v>
      </c>
      <c r="G4271">
        <v>9.4938484905400494E-2</v>
      </c>
      <c r="H4271">
        <v>6.1491631750782802E-2</v>
      </c>
      <c r="I4271">
        <v>4.3126376654467703E-2</v>
      </c>
      <c r="J4271">
        <v>7.3849017238476894E-2</v>
      </c>
      <c r="K4271">
        <v>6.5153316442244202E-2</v>
      </c>
      <c r="L4271">
        <v>1186.71358629727</v>
      </c>
      <c r="M4271">
        <v>26.977167754723801</v>
      </c>
      <c r="N4271">
        <v>44.246605363439599</v>
      </c>
      <c r="O4271">
        <v>43.749967902049598</v>
      </c>
      <c r="P4271">
        <v>-0.142975940609785</v>
      </c>
      <c r="Q4271">
        <v>7.25296722720392E-2</v>
      </c>
      <c r="R4271">
        <v>0.99545175247258599</v>
      </c>
      <c r="S4271" t="s">
        <v>10673</v>
      </c>
      <c r="T4271" t="s">
        <v>12802</v>
      </c>
      <c r="U4271" t="s">
        <v>12802</v>
      </c>
      <c r="V4271" t="s">
        <v>12802</v>
      </c>
      <c r="W4271" t="s">
        <v>17014</v>
      </c>
      <c r="X4271">
        <v>20</v>
      </c>
      <c r="Y4271" t="s">
        <v>23237</v>
      </c>
      <c r="Z4271" t="s">
        <v>29589</v>
      </c>
      <c r="AA4271">
        <v>0.29507892616441889</v>
      </c>
      <c r="AB4271" t="str">
        <f>HYPERLINK("Melting_Curves/meltCurve_Q86Y56_HEATR2.pdf", "Melting_Curves/meltCurve_Q86Y56_HEATR2.pdf")</f>
        <v>Melting_Curves/meltCurve_Q86Y56_HEATR2.pdf</v>
      </c>
    </row>
    <row r="4272" spans="1:28" x14ac:dyDescent="0.25">
      <c r="A4272" t="s">
        <v>4276</v>
      </c>
      <c r="B4272">
        <v>0.99542014353169495</v>
      </c>
      <c r="C4272">
        <v>1.05488818681826</v>
      </c>
      <c r="D4272">
        <v>1.02365494031713</v>
      </c>
      <c r="E4272">
        <v>0.82812268317956494</v>
      </c>
      <c r="F4272">
        <v>0.51002058326185196</v>
      </c>
      <c r="G4272">
        <v>0.161607722578891</v>
      </c>
      <c r="H4272">
        <v>0.103555797916107</v>
      </c>
      <c r="I4272">
        <v>9.5607079272237799E-2</v>
      </c>
      <c r="J4272">
        <v>9.3401768576716102E-2</v>
      </c>
      <c r="K4272">
        <v>7.1181189019518698E-2</v>
      </c>
      <c r="L4272">
        <v>1288.1076794016101</v>
      </c>
      <c r="M4272">
        <v>25.902631305488399</v>
      </c>
      <c r="N4272">
        <v>50.053212493611497</v>
      </c>
      <c r="O4272">
        <v>49.4352781557604</v>
      </c>
      <c r="P4272">
        <v>-0.120873037565569</v>
      </c>
      <c r="Q4272">
        <v>7.7264033314681693E-2</v>
      </c>
      <c r="R4272">
        <v>0.99541776340856902</v>
      </c>
      <c r="S4272" t="s">
        <v>10674</v>
      </c>
      <c r="T4272" t="s">
        <v>12802</v>
      </c>
      <c r="U4272" t="s">
        <v>12802</v>
      </c>
      <c r="V4272" t="s">
        <v>12802</v>
      </c>
      <c r="W4272" t="s">
        <v>17015</v>
      </c>
      <c r="X4272">
        <v>2</v>
      </c>
      <c r="Y4272" t="s">
        <v>23238</v>
      </c>
      <c r="Z4272" t="s">
        <v>29590</v>
      </c>
      <c r="AA4272">
        <v>0.47629047874784058</v>
      </c>
      <c r="AB4272" t="str">
        <f>HYPERLINK("Melting_Curves/meltCurve_Q86Y79_PTRH1.pdf", "Melting_Curves/meltCurve_Q86Y79_PTRH1.pdf")</f>
        <v>Melting_Curves/meltCurve_Q86Y79_PTRH1.pdf</v>
      </c>
    </row>
    <row r="4273" spans="1:28" x14ac:dyDescent="0.25">
      <c r="A4273" t="s">
        <v>4277</v>
      </c>
      <c r="B4273">
        <v>0.99542014353169495</v>
      </c>
      <c r="C4273">
        <v>1.0128546795336899</v>
      </c>
      <c r="D4273">
        <v>0.90935439790210304</v>
      </c>
      <c r="E4273">
        <v>0.820594252586336</v>
      </c>
      <c r="F4273">
        <v>0.68694589044893795</v>
      </c>
      <c r="G4273">
        <v>0.48178704321042498</v>
      </c>
      <c r="H4273">
        <v>0.35986862806848502</v>
      </c>
      <c r="I4273">
        <v>0.29718571755894502</v>
      </c>
      <c r="J4273">
        <v>0.41127226789280003</v>
      </c>
      <c r="K4273">
        <v>0.47469231137169299</v>
      </c>
      <c r="L4273">
        <v>896.59256718345296</v>
      </c>
      <c r="M4273">
        <v>18.174877445222101</v>
      </c>
      <c r="N4273">
        <v>53.329745783979199</v>
      </c>
      <c r="O4273">
        <v>48.745839333856097</v>
      </c>
      <c r="P4273">
        <v>-5.8539467362889598E-2</v>
      </c>
      <c r="Q4273">
        <v>0.37200788125330803</v>
      </c>
      <c r="R4273">
        <v>0.95795647285735896</v>
      </c>
      <c r="S4273" t="s">
        <v>10675</v>
      </c>
      <c r="T4273" t="s">
        <v>12802</v>
      </c>
      <c r="U4273" t="s">
        <v>12802</v>
      </c>
      <c r="V4273" t="s">
        <v>12802</v>
      </c>
      <c r="W4273" t="s">
        <v>17016</v>
      </c>
      <c r="X4273">
        <v>7</v>
      </c>
      <c r="Y4273" t="s">
        <v>23239</v>
      </c>
      <c r="Z4273" t="s">
        <v>29591</v>
      </c>
      <c r="AA4273">
        <v>0.63993837247527197</v>
      </c>
      <c r="AB4273" t="str">
        <f>HYPERLINK("Melting_Curves/meltCurve_Q86Y82_STX12.pdf", "Melting_Curves/meltCurve_Q86Y82_STX12.pdf")</f>
        <v>Melting_Curves/meltCurve_Q86Y82_STX12.pdf</v>
      </c>
    </row>
    <row r="4274" spans="1:28" x14ac:dyDescent="0.25">
      <c r="A4274" t="s">
        <v>4278</v>
      </c>
      <c r="B4274">
        <v>0.99542014353169495</v>
      </c>
      <c r="C4274">
        <v>0.90565516508418298</v>
      </c>
      <c r="D4274">
        <v>0.52892394630626605</v>
      </c>
      <c r="E4274">
        <v>0.30549204650137701</v>
      </c>
      <c r="F4274">
        <v>0.14983596442171401</v>
      </c>
      <c r="G4274">
        <v>0.106608172509076</v>
      </c>
      <c r="H4274">
        <v>7.3221606019335597E-2</v>
      </c>
      <c r="I4274">
        <v>5.4561321994916402E-2</v>
      </c>
      <c r="J4274">
        <v>0.10022468833357601</v>
      </c>
      <c r="K4274">
        <v>9.7659784532339394E-2</v>
      </c>
      <c r="L4274">
        <v>873.94242571693906</v>
      </c>
      <c r="M4274">
        <v>20.160588968747501</v>
      </c>
      <c r="N4274">
        <v>43.756303087078599</v>
      </c>
      <c r="O4274">
        <v>42.929326409464402</v>
      </c>
      <c r="P4274">
        <v>-0.107366005640548</v>
      </c>
      <c r="Q4274">
        <v>8.5542000409683905E-2</v>
      </c>
      <c r="R4274">
        <v>0.99265728632241701</v>
      </c>
      <c r="S4274" t="s">
        <v>10676</v>
      </c>
      <c r="T4274" t="s">
        <v>12802</v>
      </c>
      <c r="U4274" t="s">
        <v>12802</v>
      </c>
      <c r="V4274" t="s">
        <v>12802</v>
      </c>
      <c r="W4274" t="s">
        <v>17017</v>
      </c>
      <c r="X4274">
        <v>2</v>
      </c>
      <c r="Y4274" t="s">
        <v>23240</v>
      </c>
      <c r="Z4274" t="s">
        <v>29592</v>
      </c>
      <c r="AA4274">
        <v>0.29137813702799459</v>
      </c>
      <c r="AB4274" t="str">
        <f>HYPERLINK("Melting_Curves/meltCurve_Q86YH2_ZNF280B.pdf", "Melting_Curves/meltCurve_Q86YH2_ZNF280B.pdf")</f>
        <v>Melting_Curves/meltCurve_Q86YH2_ZNF280B.pdf</v>
      </c>
    </row>
    <row r="4275" spans="1:28" x14ac:dyDescent="0.25">
      <c r="A4275" t="s">
        <v>4279</v>
      </c>
      <c r="B4275">
        <v>0.99542014353169495</v>
      </c>
      <c r="C4275">
        <v>0.977927274856074</v>
      </c>
      <c r="D4275">
        <v>0.99103695342491804</v>
      </c>
      <c r="E4275">
        <v>0.85558157297221005</v>
      </c>
      <c r="F4275">
        <v>0.65975737590782202</v>
      </c>
      <c r="G4275">
        <v>0.38766468451408098</v>
      </c>
      <c r="H4275">
        <v>0.192537701290656</v>
      </c>
      <c r="I4275">
        <v>0.12619446639992901</v>
      </c>
      <c r="J4275">
        <v>0.10150523092393</v>
      </c>
      <c r="K4275">
        <v>0.107605943253818</v>
      </c>
      <c r="L4275">
        <v>907.71330875377203</v>
      </c>
      <c r="M4275">
        <v>17.5899331099485</v>
      </c>
      <c r="N4275">
        <v>52.087985769583298</v>
      </c>
      <c r="O4275">
        <v>50.9510249829777</v>
      </c>
      <c r="P4275">
        <v>-7.9807234072892794E-2</v>
      </c>
      <c r="Q4275">
        <v>7.5370976550591398E-2</v>
      </c>
      <c r="R4275">
        <v>0.99863308323953803</v>
      </c>
      <c r="S4275" t="s">
        <v>10677</v>
      </c>
      <c r="T4275" t="s">
        <v>12802</v>
      </c>
      <c r="U4275" t="s">
        <v>12802</v>
      </c>
      <c r="V4275" t="s">
        <v>12802</v>
      </c>
      <c r="W4275" t="s">
        <v>17018</v>
      </c>
      <c r="X4275">
        <v>7</v>
      </c>
      <c r="Y4275" t="s">
        <v>23241</v>
      </c>
      <c r="Z4275" t="s">
        <v>29593</v>
      </c>
      <c r="AA4275">
        <v>0.540110464449995</v>
      </c>
      <c r="AB4275" t="str">
        <f>HYPERLINK("Melting_Curves/meltCurve_Q86YH6_PDSS2.pdf", "Melting_Curves/meltCurve_Q86YH6_PDSS2.pdf")</f>
        <v>Melting_Curves/meltCurve_Q86YH6_PDSS2.pdf</v>
      </c>
    </row>
    <row r="4276" spans="1:28" x14ac:dyDescent="0.25">
      <c r="A4276" t="s">
        <v>4280</v>
      </c>
      <c r="B4276">
        <v>0.99542014353169495</v>
      </c>
      <c r="C4276">
        <v>1.0366328274905601</v>
      </c>
      <c r="D4276">
        <v>1.0026790954156799</v>
      </c>
      <c r="E4276">
        <v>0.86859752497618403</v>
      </c>
      <c r="F4276">
        <v>0.58866156183303298</v>
      </c>
      <c r="G4276">
        <v>0.38341618045671899</v>
      </c>
      <c r="H4276">
        <v>0.13893142359864599</v>
      </c>
      <c r="I4276">
        <v>0.11943631130120499</v>
      </c>
      <c r="J4276">
        <v>0.115617878704959</v>
      </c>
      <c r="K4276">
        <v>0.142994299458748</v>
      </c>
      <c r="L4276">
        <v>1007.62379334686</v>
      </c>
      <c r="M4276">
        <v>19.804976373016899</v>
      </c>
      <c r="N4276">
        <v>51.475569677309998</v>
      </c>
      <c r="O4276">
        <v>50.367110946587601</v>
      </c>
      <c r="P4276">
        <v>-8.8200396523846494E-2</v>
      </c>
      <c r="Q4276">
        <v>0.102801492848046</v>
      </c>
      <c r="R4276">
        <v>0.99366482234017595</v>
      </c>
      <c r="S4276" t="s">
        <v>10678</v>
      </c>
      <c r="T4276" t="s">
        <v>12802</v>
      </c>
      <c r="U4276" t="s">
        <v>12802</v>
      </c>
      <c r="V4276" t="s">
        <v>12802</v>
      </c>
      <c r="W4276" t="s">
        <v>17019</v>
      </c>
      <c r="X4276">
        <v>7</v>
      </c>
      <c r="Y4276" t="s">
        <v>23242</v>
      </c>
      <c r="Z4276" t="s">
        <v>29594</v>
      </c>
      <c r="AA4276">
        <v>0.52977837730830979</v>
      </c>
      <c r="AB4276" t="str">
        <f>HYPERLINK("Melting_Curves/meltCurve_Q86YM7_HOMER1.pdf", "Melting_Curves/meltCurve_Q86YM7_HOMER1.pdf")</f>
        <v>Melting_Curves/meltCurve_Q86YM7_HOMER1.pdf</v>
      </c>
    </row>
    <row r="4277" spans="1:28" x14ac:dyDescent="0.25">
      <c r="A4277" t="s">
        <v>4281</v>
      </c>
      <c r="B4277">
        <v>0.99542014353169495</v>
      </c>
      <c r="C4277">
        <v>0.98777333691498104</v>
      </c>
      <c r="D4277">
        <v>1.12576470906443</v>
      </c>
      <c r="E4277">
        <v>0.78289801159236505</v>
      </c>
      <c r="F4277">
        <v>0.79486540850057996</v>
      </c>
      <c r="G4277">
        <v>0.34576945108749901</v>
      </c>
      <c r="H4277">
        <v>0.15418381157142699</v>
      </c>
      <c r="I4277">
        <v>6.8584687712359899E-2</v>
      </c>
      <c r="J4277">
        <v>4.0111357220136701E-2</v>
      </c>
      <c r="K4277">
        <v>5.83917896566978E-2</v>
      </c>
      <c r="L4277">
        <v>1111.6184498213599</v>
      </c>
      <c r="M4277">
        <v>21.247339756852401</v>
      </c>
      <c r="N4277">
        <v>52.462526615674903</v>
      </c>
      <c r="O4277">
        <v>51.861174834220698</v>
      </c>
      <c r="P4277">
        <v>-9.9515196134924599E-2</v>
      </c>
      <c r="Q4277">
        <v>2.8425497134722599E-2</v>
      </c>
      <c r="R4277">
        <v>0.97261061631075996</v>
      </c>
      <c r="S4277" t="s">
        <v>10679</v>
      </c>
      <c r="T4277" t="s">
        <v>12802</v>
      </c>
      <c r="U4277" t="s">
        <v>12802</v>
      </c>
      <c r="V4277" t="s">
        <v>12802</v>
      </c>
      <c r="W4277" t="s">
        <v>17020</v>
      </c>
      <c r="X4277">
        <v>1</v>
      </c>
      <c r="Y4277" t="s">
        <v>23243</v>
      </c>
      <c r="Z4277" t="s">
        <v>29595</v>
      </c>
      <c r="AA4277">
        <v>0.53584949736313847</v>
      </c>
      <c r="AB4277" t="str">
        <f>HYPERLINK("Melting_Curves/meltCurve_Q86YN1_2_DOLPP1.pdf", "Melting_Curves/meltCurve_Q86YN1_2_DOLPP1.pdf")</f>
        <v>Melting_Curves/meltCurve_Q86YN1_2_DOLPP1.pdf</v>
      </c>
    </row>
    <row r="4278" spans="1:28" x14ac:dyDescent="0.25">
      <c r="A4278" t="s">
        <v>4282</v>
      </c>
      <c r="B4278">
        <v>0.99542014353169495</v>
      </c>
      <c r="C4278">
        <v>0.82987184678105697</v>
      </c>
      <c r="D4278">
        <v>0.82144262606639695</v>
      </c>
      <c r="E4278">
        <v>0.33051009561157602</v>
      </c>
      <c r="F4278">
        <v>0.18263998340058399</v>
      </c>
      <c r="G4278">
        <v>0.10854452214476901</v>
      </c>
      <c r="H4278">
        <v>7.8439024877889701E-2</v>
      </c>
      <c r="I4278">
        <v>5.2854210269097701E-2</v>
      </c>
      <c r="J4278">
        <v>6.13645152885543E-2</v>
      </c>
      <c r="K4278">
        <v>6.6389578960095105E-2</v>
      </c>
      <c r="L4278">
        <v>922.26303914531104</v>
      </c>
      <c r="M4278">
        <v>20.466501394206301</v>
      </c>
      <c r="N4278">
        <v>45.358313782128398</v>
      </c>
      <c r="O4278">
        <v>44.638488817799697</v>
      </c>
      <c r="P4278">
        <v>-0.107455577459887</v>
      </c>
      <c r="Q4278">
        <v>6.2563360121950601E-2</v>
      </c>
      <c r="R4278">
        <v>0.98384367015528995</v>
      </c>
      <c r="S4278" t="s">
        <v>10680</v>
      </c>
      <c r="T4278" t="s">
        <v>12802</v>
      </c>
      <c r="U4278" t="s">
        <v>12802</v>
      </c>
      <c r="V4278" t="s">
        <v>12802</v>
      </c>
      <c r="W4278" t="s">
        <v>17021</v>
      </c>
      <c r="X4278">
        <v>22</v>
      </c>
      <c r="Y4278" t="s">
        <v>23244</v>
      </c>
      <c r="Z4278" t="s">
        <v>29596</v>
      </c>
      <c r="AA4278">
        <v>0.32621445388245901</v>
      </c>
      <c r="AB4278" t="str">
        <f>HYPERLINK("Melting_Curves/meltCurve_Q86YP4_GATAD2A.pdf", "Melting_Curves/meltCurve_Q86YP4_GATAD2A.pdf")</f>
        <v>Melting_Curves/meltCurve_Q86YP4_GATAD2A.pdf</v>
      </c>
    </row>
    <row r="4279" spans="1:28" x14ac:dyDescent="0.25">
      <c r="A4279" t="s">
        <v>4283</v>
      </c>
      <c r="B4279">
        <v>0.99542014353169495</v>
      </c>
      <c r="C4279">
        <v>1.09221099094417</v>
      </c>
      <c r="D4279">
        <v>1.00571885008566</v>
      </c>
      <c r="E4279">
        <v>0.77556489657472005</v>
      </c>
      <c r="F4279">
        <v>0.30187295424531102</v>
      </c>
      <c r="G4279">
        <v>8.9870699991923902E-2</v>
      </c>
      <c r="H4279">
        <v>6.1092718729067803E-2</v>
      </c>
      <c r="I4279">
        <v>5.5566586742592398E-2</v>
      </c>
      <c r="J4279">
        <v>5.1810052096653902E-2</v>
      </c>
      <c r="K4279">
        <v>5.22715345796552E-2</v>
      </c>
      <c r="L4279">
        <v>1488.0600370393099</v>
      </c>
      <c r="M4279">
        <v>30.706859686303702</v>
      </c>
      <c r="N4279">
        <v>48.634770807889502</v>
      </c>
      <c r="O4279">
        <v>48.256054406146802</v>
      </c>
      <c r="P4279">
        <v>-0.150781137976745</v>
      </c>
      <c r="Q4279">
        <v>5.2191116931519198E-2</v>
      </c>
      <c r="R4279">
        <v>0.99498371809965402</v>
      </c>
      <c r="S4279" t="s">
        <v>10681</v>
      </c>
      <c r="T4279" t="s">
        <v>12802</v>
      </c>
      <c r="U4279" t="s">
        <v>12802</v>
      </c>
      <c r="V4279" t="s">
        <v>12802</v>
      </c>
      <c r="W4279" t="s">
        <v>17022</v>
      </c>
      <c r="X4279">
        <v>4</v>
      </c>
      <c r="Y4279" t="s">
        <v>23245</v>
      </c>
      <c r="Z4279" t="s">
        <v>29597</v>
      </c>
      <c r="AA4279">
        <v>0.41966335043422359</v>
      </c>
      <c r="AB4279" t="str">
        <f>HYPERLINK("Melting_Curves/meltCurve_Q86YQ8_CPNE8.pdf", "Melting_Curves/meltCurve_Q86YQ8_CPNE8.pdf")</f>
        <v>Melting_Curves/meltCurve_Q86YQ8_CPNE8.pdf</v>
      </c>
    </row>
    <row r="4280" spans="1:28" x14ac:dyDescent="0.25">
      <c r="A4280" t="s">
        <v>4284</v>
      </c>
      <c r="B4280">
        <v>0.99542014353169495</v>
      </c>
      <c r="C4280">
        <v>1.1476593823596299</v>
      </c>
      <c r="D4280">
        <v>1.00626022000245</v>
      </c>
      <c r="E4280">
        <v>0.75252766204508104</v>
      </c>
      <c r="F4280">
        <v>0.30573073615190499</v>
      </c>
      <c r="G4280">
        <v>0.15355611266164099</v>
      </c>
      <c r="H4280">
        <v>0.114450221949098</v>
      </c>
      <c r="I4280">
        <v>0.111870717231956</v>
      </c>
      <c r="J4280">
        <v>0.120274634893386</v>
      </c>
      <c r="K4280">
        <v>7.0762086976348296E-2</v>
      </c>
      <c r="L4280">
        <v>1478.0397921705101</v>
      </c>
      <c r="M4280">
        <v>30.702186104789799</v>
      </c>
      <c r="N4280">
        <v>48.5163037494981</v>
      </c>
      <c r="O4280">
        <v>47.938338288534901</v>
      </c>
      <c r="P4280">
        <v>-0.14319702475361701</v>
      </c>
      <c r="Q4280">
        <v>0.105655011651242</v>
      </c>
      <c r="R4280">
        <v>0.98592497104353205</v>
      </c>
      <c r="S4280" t="s">
        <v>10682</v>
      </c>
      <c r="T4280" t="s">
        <v>12802</v>
      </c>
      <c r="U4280" t="s">
        <v>12802</v>
      </c>
      <c r="V4280" t="s">
        <v>12802</v>
      </c>
      <c r="W4280" t="s">
        <v>17023</v>
      </c>
      <c r="X4280">
        <v>2</v>
      </c>
      <c r="Y4280" t="s">
        <v>23246</v>
      </c>
      <c r="Z4280" t="s">
        <v>29598</v>
      </c>
      <c r="AA4280">
        <v>0.44286037154614061</v>
      </c>
      <c r="AB4280" t="str">
        <f>HYPERLINK("Melting_Curves/meltCurve_Q86YS3_RAB11FIP4.pdf", "Melting_Curves/meltCurve_Q86YS3_RAB11FIP4.pdf")</f>
        <v>Melting_Curves/meltCurve_Q86YS3_RAB11FIP4.pdf</v>
      </c>
    </row>
    <row r="4281" spans="1:28" x14ac:dyDescent="0.25">
      <c r="A4281" t="s">
        <v>4285</v>
      </c>
      <c r="B4281">
        <v>0.99542014353169495</v>
      </c>
      <c r="C4281">
        <v>0.98769598285831395</v>
      </c>
      <c r="D4281">
        <v>0.93432492635550901</v>
      </c>
      <c r="E4281">
        <v>0.75634225102790098</v>
      </c>
      <c r="F4281">
        <v>0.62982908197513199</v>
      </c>
      <c r="G4281">
        <v>0.31571850473857299</v>
      </c>
      <c r="H4281">
        <v>0.13962894257792599</v>
      </c>
      <c r="I4281">
        <v>8.1625494303313104E-2</v>
      </c>
      <c r="J4281">
        <v>7.6080153156809702E-2</v>
      </c>
      <c r="K4281">
        <v>6.6550461706918307E-2</v>
      </c>
      <c r="L4281">
        <v>760.22052861567897</v>
      </c>
      <c r="M4281">
        <v>14.907001695290401</v>
      </c>
      <c r="N4281">
        <v>51.1236856654224</v>
      </c>
      <c r="O4281">
        <v>50.106198821833097</v>
      </c>
      <c r="P4281">
        <v>-7.3041657169763602E-2</v>
      </c>
      <c r="Q4281">
        <v>1.8055798506843801E-2</v>
      </c>
      <c r="R4281">
        <v>0.99397881968042201</v>
      </c>
      <c r="S4281" t="s">
        <v>10683</v>
      </c>
      <c r="T4281" t="s">
        <v>12802</v>
      </c>
      <c r="U4281" t="s">
        <v>12802</v>
      </c>
      <c r="V4281" t="s">
        <v>12802</v>
      </c>
      <c r="W4281" t="s">
        <v>17024</v>
      </c>
      <c r="X4281">
        <v>7</v>
      </c>
      <c r="Y4281" t="s">
        <v>23247</v>
      </c>
      <c r="Z4281" t="s">
        <v>29599</v>
      </c>
      <c r="AA4281">
        <v>0.49614765734214811</v>
      </c>
      <c r="AB4281" t="str">
        <f>HYPERLINK("Melting_Curves/meltCurve_Q86YS7_C2CD5.pdf", "Melting_Curves/meltCurve_Q86YS7_C2CD5.pdf")</f>
        <v>Melting_Curves/meltCurve_Q86YS7_C2CD5.pdf</v>
      </c>
    </row>
    <row r="4282" spans="1:28" x14ac:dyDescent="0.25">
      <c r="A4282" t="s">
        <v>4286</v>
      </c>
      <c r="B4282">
        <v>0.99542014353169495</v>
      </c>
      <c r="C4282">
        <v>1.2637564505915</v>
      </c>
      <c r="D4282">
        <v>1.2201145382276</v>
      </c>
      <c r="E4282">
        <v>1.07889067764276</v>
      </c>
      <c r="F4282">
        <v>0.55746951673385403</v>
      </c>
      <c r="G4282">
        <v>0.32875904016618901</v>
      </c>
      <c r="H4282">
        <v>0.205685518729911</v>
      </c>
      <c r="I4282">
        <v>0.142962806585861</v>
      </c>
      <c r="J4282">
        <v>5.5952844870133703E-2</v>
      </c>
      <c r="K4282">
        <v>0.247395994144436</v>
      </c>
      <c r="L4282">
        <v>1969.9689429746199</v>
      </c>
      <c r="M4282">
        <v>39.177530304751599</v>
      </c>
      <c r="N4282">
        <v>50.855377538397299</v>
      </c>
      <c r="O4282">
        <v>50.152657843504699</v>
      </c>
      <c r="P4282">
        <v>-0.16048056249737899</v>
      </c>
      <c r="Q4282">
        <v>0.17825258468544</v>
      </c>
      <c r="R4282">
        <v>0.92098152502730901</v>
      </c>
      <c r="S4282" t="s">
        <v>10684</v>
      </c>
      <c r="T4282" t="s">
        <v>12802</v>
      </c>
      <c r="U4282" t="s">
        <v>12802</v>
      </c>
      <c r="V4282" t="s">
        <v>12802</v>
      </c>
      <c r="W4282" t="s">
        <v>17025</v>
      </c>
      <c r="X4282">
        <v>4</v>
      </c>
      <c r="Y4282" t="s">
        <v>23248</v>
      </c>
      <c r="Z4282" t="s">
        <v>29600</v>
      </c>
      <c r="AA4282">
        <v>0.54507409533743423</v>
      </c>
      <c r="AB4282" t="str">
        <f>HYPERLINK("Melting_Curves/meltCurve_Q86YT6_MIB1.pdf", "Melting_Curves/meltCurve_Q86YT6_MIB1.pdf")</f>
        <v>Melting_Curves/meltCurve_Q86YT6_MIB1.pdf</v>
      </c>
    </row>
    <row r="4283" spans="1:28" x14ac:dyDescent="0.25">
      <c r="A4283" t="s">
        <v>4287</v>
      </c>
      <c r="B4283">
        <v>0.99542014353169495</v>
      </c>
      <c r="C4283">
        <v>0.906326874724943</v>
      </c>
      <c r="D4283">
        <v>0.67767336396504896</v>
      </c>
      <c r="E4283">
        <v>0.34069152946108699</v>
      </c>
      <c r="F4283">
        <v>0.202318121244174</v>
      </c>
      <c r="G4283">
        <v>0.10209030010824401</v>
      </c>
      <c r="H4283">
        <v>7.74227306234931E-2</v>
      </c>
      <c r="I4283">
        <v>6.4310266801456697E-2</v>
      </c>
      <c r="J4283">
        <v>7.7315403560381898E-2</v>
      </c>
      <c r="K4283">
        <v>8.2609153053670295E-2</v>
      </c>
      <c r="L4283">
        <v>821.35015140235703</v>
      </c>
      <c r="M4283">
        <v>18.457357361116799</v>
      </c>
      <c r="N4283">
        <v>44.876446207437603</v>
      </c>
      <c r="O4283">
        <v>43.987372320990303</v>
      </c>
      <c r="P4283">
        <v>-9.73800531413683E-2</v>
      </c>
      <c r="Q4283">
        <v>7.1740895297777205E-2</v>
      </c>
      <c r="R4283">
        <v>0.99860127136953303</v>
      </c>
      <c r="S4283" t="s">
        <v>10685</v>
      </c>
      <c r="T4283" t="s">
        <v>12802</v>
      </c>
      <c r="U4283" t="s">
        <v>12802</v>
      </c>
      <c r="V4283" t="s">
        <v>12802</v>
      </c>
      <c r="W4283" t="s">
        <v>17026</v>
      </c>
      <c r="X4283">
        <v>14</v>
      </c>
      <c r="Y4283" t="s">
        <v>23249</v>
      </c>
      <c r="Z4283" t="s">
        <v>29601</v>
      </c>
      <c r="AA4283">
        <v>0.31838993305798102</v>
      </c>
      <c r="AB4283" t="str">
        <f>HYPERLINK("Melting_Curves/meltCurve_Q8IU81_IRF2BP1.pdf", "Melting_Curves/meltCurve_Q8IU81_IRF2BP1.pdf")</f>
        <v>Melting_Curves/meltCurve_Q8IU81_IRF2BP1.pdf</v>
      </c>
    </row>
    <row r="4284" spans="1:28" x14ac:dyDescent="0.25">
      <c r="A4284" t="s">
        <v>4288</v>
      </c>
      <c r="B4284">
        <v>0.99542014353169495</v>
      </c>
      <c r="C4284">
        <v>0.92232499063709605</v>
      </c>
      <c r="D4284">
        <v>0.87803291128847405</v>
      </c>
      <c r="E4284">
        <v>0.772373068739171</v>
      </c>
      <c r="F4284">
        <v>0.42433471284484803</v>
      </c>
      <c r="G4284">
        <v>0.18500206307356601</v>
      </c>
      <c r="H4284">
        <v>0.10349779169453401</v>
      </c>
      <c r="I4284">
        <v>8.1574698811249402E-2</v>
      </c>
      <c r="J4284">
        <v>6.6718860108666095E-2</v>
      </c>
      <c r="K4284">
        <v>7.5811946647161094E-2</v>
      </c>
      <c r="L4284">
        <v>892.59493364303</v>
      </c>
      <c r="M4284">
        <v>18.218109503583001</v>
      </c>
      <c r="N4284">
        <v>49.292784188227898</v>
      </c>
      <c r="O4284">
        <v>48.416040279790501</v>
      </c>
      <c r="P4284">
        <v>-8.9171769117633901E-2</v>
      </c>
      <c r="Q4284">
        <v>5.21210081720304E-2</v>
      </c>
      <c r="R4284">
        <v>0.99351762265605104</v>
      </c>
      <c r="S4284" t="s">
        <v>10686</v>
      </c>
      <c r="T4284" t="s">
        <v>12802</v>
      </c>
      <c r="U4284" t="s">
        <v>12802</v>
      </c>
      <c r="V4284" t="s">
        <v>12802</v>
      </c>
      <c r="W4284" t="s">
        <v>17027</v>
      </c>
      <c r="X4284">
        <v>6</v>
      </c>
      <c r="Y4284" t="s">
        <v>23250</v>
      </c>
      <c r="Z4284" t="s">
        <v>29602</v>
      </c>
      <c r="AA4284">
        <v>0.44586942914040217</v>
      </c>
      <c r="AB4284" t="str">
        <f>HYPERLINK("Melting_Curves/meltCurve_Q8IUF8_MINA.pdf", "Melting_Curves/meltCurve_Q8IUF8_MINA.pdf")</f>
        <v>Melting_Curves/meltCurve_Q8IUF8_MINA.pdf</v>
      </c>
    </row>
    <row r="4285" spans="1:28" x14ac:dyDescent="0.25">
      <c r="A4285" t="s">
        <v>4289</v>
      </c>
      <c r="B4285">
        <v>0.99542014353169495</v>
      </c>
      <c r="C4285">
        <v>0.86838087164023303</v>
      </c>
      <c r="D4285">
        <v>0.974220391272548</v>
      </c>
      <c r="E4285">
        <v>0.37948912496697401</v>
      </c>
      <c r="F4285">
        <v>0.226267022978938</v>
      </c>
      <c r="G4285">
        <v>0.14530001426421801</v>
      </c>
      <c r="H4285">
        <v>8.5887002262526602E-2</v>
      </c>
      <c r="I4285">
        <v>6.0187438560249301E-2</v>
      </c>
      <c r="J4285">
        <v>9.6351487046752199E-2</v>
      </c>
      <c r="K4285">
        <v>0.122060939204298</v>
      </c>
      <c r="L4285">
        <v>1785.1476827448</v>
      </c>
      <c r="M4285">
        <v>39.037648880800397</v>
      </c>
      <c r="N4285">
        <v>46.037643441645301</v>
      </c>
      <c r="O4285">
        <v>45.609371906142101</v>
      </c>
      <c r="P4285">
        <v>-0.18933309236593299</v>
      </c>
      <c r="Q4285">
        <v>0.115177981925203</v>
      </c>
      <c r="R4285">
        <v>0.97744761021017101</v>
      </c>
      <c r="S4285" t="s">
        <v>10687</v>
      </c>
      <c r="T4285" t="s">
        <v>12802</v>
      </c>
      <c r="U4285" t="s">
        <v>12802</v>
      </c>
      <c r="V4285" t="s">
        <v>12802</v>
      </c>
      <c r="W4285" t="s">
        <v>17028</v>
      </c>
      <c r="X4285">
        <v>2</v>
      </c>
      <c r="Y4285" t="s">
        <v>23251</v>
      </c>
      <c r="Z4285" t="s">
        <v>29603</v>
      </c>
      <c r="AA4285">
        <v>0.37556837981229441</v>
      </c>
      <c r="AB4285" t="str">
        <f>HYPERLINK("Melting_Curves/meltCurve_Q8IUH3_3_RBM45.pdf", "Melting_Curves/meltCurve_Q8IUH3_3_RBM45.pdf")</f>
        <v>Melting_Curves/meltCurve_Q8IUH3_3_RBM45.pdf</v>
      </c>
    </row>
    <row r="4286" spans="1:28" x14ac:dyDescent="0.25">
      <c r="A4286" t="s">
        <v>4290</v>
      </c>
      <c r="B4286">
        <v>0.99542014353169495</v>
      </c>
      <c r="C4286">
        <v>0.95749888051083198</v>
      </c>
      <c r="D4286">
        <v>0.92580096651729404</v>
      </c>
      <c r="E4286">
        <v>0.70917178528345004</v>
      </c>
      <c r="F4286">
        <v>0.16988595770440801</v>
      </c>
      <c r="G4286">
        <v>0.100875868312956</v>
      </c>
      <c r="H4286">
        <v>6.7110167774669105E-2</v>
      </c>
      <c r="I4286">
        <v>4.2465636660206703E-2</v>
      </c>
      <c r="J4286">
        <v>3.89491363344684E-2</v>
      </c>
      <c r="K4286">
        <v>4.0431622997767598E-2</v>
      </c>
      <c r="L4286">
        <v>1610.1702620240801</v>
      </c>
      <c r="M4286">
        <v>33.8131377558948</v>
      </c>
      <c r="N4286">
        <v>47.769196817941598</v>
      </c>
      <c r="O4286">
        <v>47.454028796369897</v>
      </c>
      <c r="P4286">
        <v>-0.16919260774252801</v>
      </c>
      <c r="Q4286">
        <v>5.0210782277243203E-2</v>
      </c>
      <c r="R4286">
        <v>0.99617028042298705</v>
      </c>
      <c r="S4286" t="s">
        <v>10688</v>
      </c>
      <c r="T4286" t="s">
        <v>12802</v>
      </c>
      <c r="U4286" t="s">
        <v>12802</v>
      </c>
      <c r="V4286" t="s">
        <v>12802</v>
      </c>
      <c r="W4286" t="s">
        <v>17029</v>
      </c>
      <c r="X4286">
        <v>15</v>
      </c>
      <c r="Y4286" t="s">
        <v>23252</v>
      </c>
      <c r="Z4286" t="s">
        <v>29604</v>
      </c>
      <c r="AA4286">
        <v>0.39081367295288522</v>
      </c>
      <c r="AB4286" t="str">
        <f>HYPERLINK("Melting_Curves/meltCurve_Q8IUI8_CRLF3.pdf", "Melting_Curves/meltCurve_Q8IUI8_CRLF3.pdf")</f>
        <v>Melting_Curves/meltCurve_Q8IUI8_CRLF3.pdf</v>
      </c>
    </row>
    <row r="4287" spans="1:28" x14ac:dyDescent="0.25">
      <c r="A4287" t="s">
        <v>4291</v>
      </c>
      <c r="B4287">
        <v>0.99542014353169495</v>
      </c>
      <c r="C4287">
        <v>1.0125131649654</v>
      </c>
      <c r="D4287">
        <v>1.01280210136659</v>
      </c>
      <c r="E4287">
        <v>0.70081535329717803</v>
      </c>
      <c r="F4287">
        <v>0.36491949433631099</v>
      </c>
      <c r="G4287">
        <v>0.141518148664877</v>
      </c>
      <c r="H4287">
        <v>5.2892306911228398E-2</v>
      </c>
      <c r="I4287">
        <v>3.30959542257429E-2</v>
      </c>
      <c r="J4287">
        <v>2.47807416938212E-2</v>
      </c>
      <c r="K4287">
        <v>4.2168826301831497E-2</v>
      </c>
      <c r="L4287">
        <v>1087.3140522803101</v>
      </c>
      <c r="M4287">
        <v>22.357105102863699</v>
      </c>
      <c r="N4287">
        <v>48.766227091002897</v>
      </c>
      <c r="O4287">
        <v>48.249829564106598</v>
      </c>
      <c r="P4287">
        <v>-0.112434256432</v>
      </c>
      <c r="Q4287">
        <v>2.94230279904284E-2</v>
      </c>
      <c r="R4287">
        <v>0.99664627662783001</v>
      </c>
      <c r="S4287" t="s">
        <v>10689</v>
      </c>
      <c r="T4287" t="s">
        <v>12802</v>
      </c>
      <c r="U4287" t="s">
        <v>12802</v>
      </c>
      <c r="V4287" t="s">
        <v>12802</v>
      </c>
      <c r="W4287" t="s">
        <v>17030</v>
      </c>
      <c r="X4287">
        <v>3</v>
      </c>
      <c r="Y4287" t="s">
        <v>23253</v>
      </c>
      <c r="Z4287" t="s">
        <v>29605</v>
      </c>
      <c r="AA4287">
        <v>0.41617153413055008</v>
      </c>
      <c r="AB4287" t="str">
        <f>HYPERLINK("Melting_Curves/meltCurve_Q8IUR0_TRAPPC5.pdf", "Melting_Curves/meltCurve_Q8IUR0_TRAPPC5.pdf")</f>
        <v>Melting_Curves/meltCurve_Q8IUR0_TRAPPC5.pdf</v>
      </c>
    </row>
    <row r="4288" spans="1:28" x14ac:dyDescent="0.25">
      <c r="A4288" t="s">
        <v>4292</v>
      </c>
      <c r="B4288">
        <v>0.99542014353169495</v>
      </c>
      <c r="C4288">
        <v>0.90885891080370196</v>
      </c>
      <c r="D4288">
        <v>0.93613264781554595</v>
      </c>
      <c r="E4288">
        <v>0.81473947098614397</v>
      </c>
      <c r="F4288">
        <v>0.58652422387970704</v>
      </c>
      <c r="G4288">
        <v>0.44499898265804599</v>
      </c>
      <c r="H4288">
        <v>0.25346077302025199</v>
      </c>
      <c r="I4288">
        <v>0.184476317032187</v>
      </c>
      <c r="J4288">
        <v>0.28856556000871803</v>
      </c>
      <c r="K4288">
        <v>0.23641261839651201</v>
      </c>
      <c r="L4288">
        <v>765.41915395896604</v>
      </c>
      <c r="M4288">
        <v>15.298287703847199</v>
      </c>
      <c r="N4288">
        <v>51.7867613110487</v>
      </c>
      <c r="O4288">
        <v>49.201470534044297</v>
      </c>
      <c r="P4288">
        <v>-6.2023594002637801E-2</v>
      </c>
      <c r="Q4288">
        <v>0.20216806168172</v>
      </c>
      <c r="R4288">
        <v>0.98128078003591201</v>
      </c>
      <c r="S4288" t="s">
        <v>10690</v>
      </c>
      <c r="T4288" t="s">
        <v>12802</v>
      </c>
      <c r="U4288" t="s">
        <v>12802</v>
      </c>
      <c r="V4288" t="s">
        <v>12802</v>
      </c>
      <c r="W4288" t="s">
        <v>17031</v>
      </c>
      <c r="X4288">
        <v>3</v>
      </c>
      <c r="Y4288" t="s">
        <v>23254</v>
      </c>
      <c r="Z4288" t="s">
        <v>29606</v>
      </c>
      <c r="AA4288">
        <v>0.56496165726778858</v>
      </c>
      <c r="AB4288" t="str">
        <f>HYPERLINK("Melting_Curves/meltCurve_Q8IUX1_4_TMEM126B.pdf", "Melting_Curves/meltCurve_Q8IUX1_4_TMEM126B.pdf")</f>
        <v>Melting_Curves/meltCurve_Q8IUX1_4_TMEM126B.pdf</v>
      </c>
    </row>
    <row r="4289" spans="1:28" x14ac:dyDescent="0.25">
      <c r="A4289" t="s">
        <v>4293</v>
      </c>
      <c r="B4289">
        <v>0.99542014353169495</v>
      </c>
      <c r="C4289">
        <v>1.0228262284293901</v>
      </c>
      <c r="D4289">
        <v>0.92779386180856205</v>
      </c>
      <c r="E4289">
        <v>0.88742407719677396</v>
      </c>
      <c r="F4289">
        <v>0.72356391716791801</v>
      </c>
      <c r="G4289">
        <v>0.59003862149348796</v>
      </c>
      <c r="H4289">
        <v>0.37955284669026301</v>
      </c>
      <c r="I4289">
        <v>0.25545129890457802</v>
      </c>
      <c r="J4289">
        <v>0.13517098748293699</v>
      </c>
      <c r="K4289">
        <v>0.123455902069492</v>
      </c>
      <c r="L4289">
        <v>622.01767489126803</v>
      </c>
      <c r="M4289">
        <v>11.315652415745401</v>
      </c>
      <c r="N4289">
        <v>54.969644667337597</v>
      </c>
      <c r="O4289">
        <v>53.336825399184399</v>
      </c>
      <c r="P4289">
        <v>-5.3054693672026303E-2</v>
      </c>
      <c r="Q4289">
        <v>0</v>
      </c>
      <c r="R4289">
        <v>0.99586966844785296</v>
      </c>
      <c r="S4289" t="s">
        <v>10691</v>
      </c>
      <c r="T4289" t="s">
        <v>12802</v>
      </c>
      <c r="U4289" t="s">
        <v>12802</v>
      </c>
      <c r="V4289" t="s">
        <v>12802</v>
      </c>
      <c r="W4289" t="s">
        <v>17032</v>
      </c>
      <c r="X4289">
        <v>10</v>
      </c>
      <c r="Y4289" t="s">
        <v>23255</v>
      </c>
      <c r="Z4289" t="s">
        <v>29607</v>
      </c>
      <c r="AA4289">
        <v>0.6128888956219849</v>
      </c>
      <c r="AB4289" t="str">
        <f>HYPERLINK("Melting_Curves/meltCurve_Q8IV08_PLD3.pdf", "Melting_Curves/meltCurve_Q8IV08_PLD3.pdf")</f>
        <v>Melting_Curves/meltCurve_Q8IV08_PLD3.pdf</v>
      </c>
    </row>
    <row r="4290" spans="1:28" x14ac:dyDescent="0.25">
      <c r="A4290" t="s">
        <v>4294</v>
      </c>
      <c r="B4290">
        <v>0.99542014353169495</v>
      </c>
      <c r="C4290">
        <v>1.0018047287526799</v>
      </c>
      <c r="D4290">
        <v>1.0094143674474501</v>
      </c>
      <c r="E4290">
        <v>0.89791967912386195</v>
      </c>
      <c r="F4290">
        <v>0.53179771419359001</v>
      </c>
      <c r="G4290">
        <v>0.13530925081442199</v>
      </c>
      <c r="H4290">
        <v>8.4049510835284502E-2</v>
      </c>
      <c r="I4290">
        <v>5.9909165563471999E-2</v>
      </c>
      <c r="J4290">
        <v>7.2690017642662794E-2</v>
      </c>
      <c r="K4290">
        <v>6.6270734335752798E-2</v>
      </c>
      <c r="L4290">
        <v>1588.36414693401</v>
      </c>
      <c r="M4290">
        <v>31.699324243288299</v>
      </c>
      <c r="N4290">
        <v>50.316966419228002</v>
      </c>
      <c r="O4290">
        <v>49.909067974514997</v>
      </c>
      <c r="P4290">
        <v>-0.148957684564271</v>
      </c>
      <c r="Q4290">
        <v>6.1898394858210401E-2</v>
      </c>
      <c r="R4290">
        <v>0.99907946791176605</v>
      </c>
      <c r="S4290" t="s">
        <v>10692</v>
      </c>
      <c r="T4290" t="s">
        <v>12802</v>
      </c>
      <c r="U4290" t="s">
        <v>12802</v>
      </c>
      <c r="V4290" t="s">
        <v>12802</v>
      </c>
      <c r="W4290" t="s">
        <v>17033</v>
      </c>
      <c r="X4290">
        <v>12</v>
      </c>
      <c r="Y4290" t="s">
        <v>23256</v>
      </c>
      <c r="Z4290" t="s">
        <v>29608</v>
      </c>
      <c r="AA4290">
        <v>0.47693132449814729</v>
      </c>
      <c r="AB4290" t="str">
        <f>HYPERLINK("Melting_Curves/meltCurve_Q8IV38_ANKMY2.pdf", "Melting_Curves/meltCurve_Q8IV38_ANKMY2.pdf")</f>
        <v>Melting_Curves/meltCurve_Q8IV38_ANKMY2.pdf</v>
      </c>
    </row>
    <row r="4291" spans="1:28" x14ac:dyDescent="0.25">
      <c r="A4291" t="s">
        <v>4295</v>
      </c>
      <c r="B4291">
        <v>0.99542014353169495</v>
      </c>
      <c r="C4291">
        <v>0.89745031825472499</v>
      </c>
      <c r="D4291">
        <v>0.76774185801570405</v>
      </c>
      <c r="E4291">
        <v>0.59889994083277998</v>
      </c>
      <c r="F4291">
        <v>0.25756153325928399</v>
      </c>
      <c r="G4291">
        <v>0.134511319176394</v>
      </c>
      <c r="H4291">
        <v>9.3832964237595198E-2</v>
      </c>
      <c r="I4291">
        <v>7.4397175730320994E-2</v>
      </c>
      <c r="J4291">
        <v>7.9961546637301401E-2</v>
      </c>
      <c r="K4291">
        <v>0.12588992456648901</v>
      </c>
      <c r="L4291">
        <v>741.27489826461397</v>
      </c>
      <c r="M4291">
        <v>15.9231335062737</v>
      </c>
      <c r="N4291">
        <v>46.972646569924002</v>
      </c>
      <c r="O4291">
        <v>45.837639509145703</v>
      </c>
      <c r="P4291">
        <v>-8.1098166733221996E-2</v>
      </c>
      <c r="Q4291">
        <v>6.6251269169331703E-2</v>
      </c>
      <c r="R4291">
        <v>0.98960284289216505</v>
      </c>
      <c r="S4291" t="s">
        <v>10693</v>
      </c>
      <c r="T4291" t="s">
        <v>12802</v>
      </c>
      <c r="U4291" t="s">
        <v>12802</v>
      </c>
      <c r="V4291" t="s">
        <v>12802</v>
      </c>
      <c r="W4291" t="s">
        <v>17034</v>
      </c>
      <c r="X4291">
        <v>5</v>
      </c>
      <c r="Y4291" t="s">
        <v>23257</v>
      </c>
      <c r="Z4291" t="s">
        <v>29609</v>
      </c>
      <c r="AA4291">
        <v>0.38260344305619348</v>
      </c>
      <c r="AB4291" t="str">
        <f>HYPERLINK("Melting_Curves/meltCurve_Q8IV48_ERI1.pdf", "Melting_Curves/meltCurve_Q8IV48_ERI1.pdf")</f>
        <v>Melting_Curves/meltCurve_Q8IV48_ERI1.pdf</v>
      </c>
    </row>
    <row r="4292" spans="1:28" x14ac:dyDescent="0.25">
      <c r="A4292" t="s">
        <v>4296</v>
      </c>
      <c r="B4292">
        <v>0.99542014353169495</v>
      </c>
      <c r="C4292">
        <v>1.04368676888506</v>
      </c>
      <c r="D4292">
        <v>0.955472010962924</v>
      </c>
      <c r="E4292">
        <v>0.96319170014461397</v>
      </c>
      <c r="F4292">
        <v>0.59233102482740696</v>
      </c>
      <c r="G4292">
        <v>0.384995050192245</v>
      </c>
      <c r="H4292">
        <v>0.17445593410179</v>
      </c>
      <c r="I4292">
        <v>0.145201132886141</v>
      </c>
      <c r="J4292">
        <v>0.207477287665253</v>
      </c>
      <c r="K4292">
        <v>0.29403628359932898</v>
      </c>
      <c r="L4292">
        <v>1397.8594388332399</v>
      </c>
      <c r="M4292">
        <v>27.7338351394489</v>
      </c>
      <c r="N4292">
        <v>51.392326692714597</v>
      </c>
      <c r="O4292">
        <v>50.142787857293797</v>
      </c>
      <c r="P4292">
        <v>-0.109667440750911</v>
      </c>
      <c r="Q4292">
        <v>0.20689160911073701</v>
      </c>
      <c r="R4292">
        <v>0.98045211133519405</v>
      </c>
      <c r="S4292" t="s">
        <v>10694</v>
      </c>
      <c r="T4292" t="s">
        <v>12802</v>
      </c>
      <c r="U4292" t="s">
        <v>12802</v>
      </c>
      <c r="V4292" t="s">
        <v>12802</v>
      </c>
      <c r="W4292" t="s">
        <v>17035</v>
      </c>
      <c r="X4292">
        <v>5</v>
      </c>
      <c r="Y4292" t="s">
        <v>23258</v>
      </c>
      <c r="Z4292" t="s">
        <v>29610</v>
      </c>
      <c r="AA4292">
        <v>0.56692658191852563</v>
      </c>
      <c r="AB4292" t="str">
        <f>HYPERLINK("Melting_Curves/meltCurve_Q8IV50_LYSMD2.pdf", "Melting_Curves/meltCurve_Q8IV50_LYSMD2.pdf")</f>
        <v>Melting_Curves/meltCurve_Q8IV50_LYSMD2.pdf</v>
      </c>
    </row>
    <row r="4293" spans="1:28" x14ac:dyDescent="0.25">
      <c r="A4293" t="s">
        <v>4297</v>
      </c>
      <c r="B4293">
        <v>0.99542014353169495</v>
      </c>
      <c r="C4293">
        <v>1.0661120060689599</v>
      </c>
      <c r="D4293">
        <v>1.0121547375498501</v>
      </c>
      <c r="E4293">
        <v>1.0238790873150401</v>
      </c>
      <c r="F4293">
        <v>0.47499274177919598</v>
      </c>
      <c r="G4293">
        <v>0.108838998932744</v>
      </c>
      <c r="H4293">
        <v>4.4443871111482999E-2</v>
      </c>
      <c r="I4293">
        <v>2.53612474016322E-2</v>
      </c>
      <c r="J4293">
        <v>3.6275873013785001E-3</v>
      </c>
      <c r="K4293">
        <v>2.6348128748166E-2</v>
      </c>
      <c r="L4293">
        <v>2458.1281333629699</v>
      </c>
      <c r="M4293">
        <v>49.098049559991402</v>
      </c>
      <c r="N4293">
        <v>50.137601081369397</v>
      </c>
      <c r="O4293">
        <v>49.982852342690897</v>
      </c>
      <c r="P4293">
        <v>-0.23722635257498101</v>
      </c>
      <c r="Q4293">
        <v>3.3995123312304899E-2</v>
      </c>
      <c r="R4293">
        <v>0.99533753452945795</v>
      </c>
      <c r="S4293" t="s">
        <v>10695</v>
      </c>
      <c r="T4293" t="s">
        <v>12802</v>
      </c>
      <c r="U4293" t="s">
        <v>12802</v>
      </c>
      <c r="V4293" t="s">
        <v>12802</v>
      </c>
      <c r="W4293" t="s">
        <v>17036</v>
      </c>
      <c r="X4293">
        <v>6</v>
      </c>
      <c r="Y4293" t="s">
        <v>23259</v>
      </c>
      <c r="Z4293" t="s">
        <v>29611</v>
      </c>
      <c r="AA4293">
        <v>0.45692538515770542</v>
      </c>
      <c r="AB4293" t="str">
        <f>HYPERLINK("Melting_Curves/meltCurve_Q8IV63_3_VRK3.pdf", "Melting_Curves/meltCurve_Q8IV63_3_VRK3.pdf")</f>
        <v>Melting_Curves/meltCurve_Q8IV63_3_VRK3.pdf</v>
      </c>
    </row>
    <row r="4294" spans="1:28" x14ac:dyDescent="0.25">
      <c r="A4294" t="s">
        <v>4298</v>
      </c>
      <c r="B4294">
        <v>0.99542014353169495</v>
      </c>
      <c r="C4294">
        <v>1.0817429380796899</v>
      </c>
      <c r="D4294">
        <v>0.93790232373162996</v>
      </c>
      <c r="E4294">
        <v>0.67684841044951305</v>
      </c>
      <c r="F4294">
        <v>0.32006531516408498</v>
      </c>
      <c r="G4294">
        <v>0.16119735600969401</v>
      </c>
      <c r="H4294">
        <v>0.11233611346940001</v>
      </c>
      <c r="I4294">
        <v>6.5522504718753705E-2</v>
      </c>
      <c r="J4294">
        <v>9.0250741189789804E-2</v>
      </c>
      <c r="K4294">
        <v>8.5046458856605195E-2</v>
      </c>
      <c r="L4294">
        <v>1114.2362028642999</v>
      </c>
      <c r="M4294">
        <v>23.262308102979699</v>
      </c>
      <c r="N4294">
        <v>48.277901788796399</v>
      </c>
      <c r="O4294">
        <v>47.549020439757001</v>
      </c>
      <c r="P4294">
        <v>-0.11209866755935401</v>
      </c>
      <c r="Q4294">
        <v>8.3481067133202899E-2</v>
      </c>
      <c r="R4294">
        <v>0.99436792124612805</v>
      </c>
      <c r="S4294" t="s">
        <v>10696</v>
      </c>
      <c r="T4294" t="s">
        <v>12802</v>
      </c>
      <c r="U4294" t="s">
        <v>12802</v>
      </c>
      <c r="V4294" t="s">
        <v>12802</v>
      </c>
      <c r="W4294" t="s">
        <v>17037</v>
      </c>
      <c r="X4294">
        <v>1</v>
      </c>
      <c r="Y4294" t="s">
        <v>23260</v>
      </c>
      <c r="Z4294" t="s">
        <v>29612</v>
      </c>
      <c r="AA4294">
        <v>0.4254350298936575</v>
      </c>
      <c r="AB4294" t="str">
        <f>HYPERLINK("Melting_Curves/meltCurve_Q8IVB5_LIX1L.pdf", "Melting_Curves/meltCurve_Q8IVB5_LIX1L.pdf")</f>
        <v>Melting_Curves/meltCurve_Q8IVB5_LIX1L.pdf</v>
      </c>
    </row>
    <row r="4295" spans="1:28" x14ac:dyDescent="0.25">
      <c r="A4295" t="s">
        <v>4299</v>
      </c>
      <c r="B4295">
        <v>0.99542014353169495</v>
      </c>
      <c r="C4295">
        <v>0.97068453661054699</v>
      </c>
      <c r="D4295">
        <v>0.87405665022673296</v>
      </c>
      <c r="E4295">
        <v>0.65861996413359403</v>
      </c>
      <c r="F4295">
        <v>0.308577886757816</v>
      </c>
      <c r="G4295">
        <v>0.16250257442339999</v>
      </c>
      <c r="H4295">
        <v>0.103252290199198</v>
      </c>
      <c r="I4295">
        <v>7.3105707853188304E-2</v>
      </c>
      <c r="J4295">
        <v>6.7827894451967699E-2</v>
      </c>
      <c r="K4295">
        <v>8.0747481869261006E-2</v>
      </c>
      <c r="L4295">
        <v>911.04694623337605</v>
      </c>
      <c r="M4295">
        <v>19.102801613172101</v>
      </c>
      <c r="N4295">
        <v>48.042400527196698</v>
      </c>
      <c r="O4295">
        <v>47.178382699595801</v>
      </c>
      <c r="P4295">
        <v>-9.46439984753812E-2</v>
      </c>
      <c r="Q4295">
        <v>6.5063515461816698E-2</v>
      </c>
      <c r="R4295">
        <v>0.99890162577399699</v>
      </c>
      <c r="S4295" t="s">
        <v>10697</v>
      </c>
      <c r="T4295" t="s">
        <v>12802</v>
      </c>
      <c r="U4295" t="s">
        <v>12802</v>
      </c>
      <c r="V4295" t="s">
        <v>12802</v>
      </c>
      <c r="W4295" t="s">
        <v>17038</v>
      </c>
      <c r="X4295">
        <v>14</v>
      </c>
      <c r="Y4295" t="s">
        <v>23261</v>
      </c>
      <c r="Z4295" t="s">
        <v>29613</v>
      </c>
      <c r="AA4295">
        <v>0.41165646169176451</v>
      </c>
      <c r="AB4295" t="str">
        <f>HYPERLINK("Melting_Curves/meltCurve_Q8IVD9_NUDCD3.pdf", "Melting_Curves/meltCurve_Q8IVD9_NUDCD3.pdf")</f>
        <v>Melting_Curves/meltCurve_Q8IVD9_NUDCD3.pdf</v>
      </c>
    </row>
    <row r="4296" spans="1:28" x14ac:dyDescent="0.25">
      <c r="A4296" t="s">
        <v>4300</v>
      </c>
      <c r="B4296">
        <v>0.99542014353169495</v>
      </c>
      <c r="C4296">
        <v>0.76878133268344095</v>
      </c>
      <c r="D4296">
        <v>0.82136394629528298</v>
      </c>
      <c r="E4296">
        <v>0.68884555069106101</v>
      </c>
      <c r="F4296">
        <v>0.43488240326850303</v>
      </c>
      <c r="G4296">
        <v>0.17481348497773599</v>
      </c>
      <c r="H4296">
        <v>7.4859311200911896E-2</v>
      </c>
      <c r="I4296">
        <v>4.42822549780649E-2</v>
      </c>
      <c r="J4296">
        <v>6.40531266961199E-2</v>
      </c>
      <c r="K4296">
        <v>0.100959834917799</v>
      </c>
      <c r="L4296">
        <v>582.76750949654797</v>
      </c>
      <c r="M4296">
        <v>12.0304252773907</v>
      </c>
      <c r="N4296">
        <v>48.441139574674096</v>
      </c>
      <c r="O4296">
        <v>47.160920634314103</v>
      </c>
      <c r="P4296">
        <v>-6.3788497753507298E-2</v>
      </c>
      <c r="Q4296">
        <v>0</v>
      </c>
      <c r="R4296">
        <v>0.96346374606935203</v>
      </c>
      <c r="S4296" t="s">
        <v>10698</v>
      </c>
      <c r="T4296" t="s">
        <v>12802</v>
      </c>
      <c r="U4296" t="s">
        <v>12802</v>
      </c>
      <c r="V4296" t="s">
        <v>12802</v>
      </c>
      <c r="W4296" t="s">
        <v>17039</v>
      </c>
      <c r="X4296">
        <v>3</v>
      </c>
      <c r="Y4296" t="s">
        <v>23262</v>
      </c>
      <c r="Z4296" t="s">
        <v>29614</v>
      </c>
      <c r="AA4296">
        <v>0.41188044797215378</v>
      </c>
      <c r="AB4296" t="str">
        <f>HYPERLINK("Melting_Curves/meltCurve_Q8IVH8_3_MAP4K3.pdf", "Melting_Curves/meltCurve_Q8IVH8_3_MAP4K3.pdf")</f>
        <v>Melting_Curves/meltCurve_Q8IVH8_3_MAP4K3.pdf</v>
      </c>
    </row>
    <row r="4297" spans="1:28" x14ac:dyDescent="0.25">
      <c r="A4297" t="s">
        <v>4301</v>
      </c>
      <c r="B4297">
        <v>0.99542014353169495</v>
      </c>
      <c r="C4297">
        <v>1.03258831598888</v>
      </c>
      <c r="D4297">
        <v>1.0332851958259199</v>
      </c>
      <c r="E4297">
        <v>0.970391479608404</v>
      </c>
      <c r="F4297">
        <v>0.82403352329019097</v>
      </c>
      <c r="G4297">
        <v>0.66905980275868504</v>
      </c>
      <c r="H4297">
        <v>0.55770746643325897</v>
      </c>
      <c r="I4297">
        <v>0.53035525147189799</v>
      </c>
      <c r="J4297">
        <v>0.80254458534108897</v>
      </c>
      <c r="K4297">
        <v>0.96046578436644103</v>
      </c>
      <c r="L4297">
        <v>12530.7862533148</v>
      </c>
      <c r="M4297">
        <v>250</v>
      </c>
      <c r="O4297">
        <v>50.1199381934386</v>
      </c>
      <c r="P4297">
        <v>-0.36908144570972301</v>
      </c>
      <c r="Q4297">
        <v>0.70402657669387902</v>
      </c>
      <c r="R4297">
        <v>0.60973240007969598</v>
      </c>
      <c r="S4297" t="s">
        <v>10699</v>
      </c>
      <c r="T4297" t="s">
        <v>12802</v>
      </c>
      <c r="U4297" t="s">
        <v>12802</v>
      </c>
      <c r="V4297" t="s">
        <v>12802</v>
      </c>
      <c r="W4297" t="s">
        <v>17040</v>
      </c>
      <c r="X4297">
        <v>19</v>
      </c>
      <c r="Y4297" t="s">
        <v>23263</v>
      </c>
      <c r="Z4297" t="s">
        <v>29615</v>
      </c>
      <c r="AA4297">
        <v>0.83352268390041562</v>
      </c>
      <c r="AB4297" t="str">
        <f>HYPERLINK("Melting_Curves/meltCurve_Q8IVM0_CCDC50.pdf", "Melting_Curves/meltCurve_Q8IVM0_CCDC50.pdf")</f>
        <v>Melting_Curves/meltCurve_Q8IVM0_CCDC50.pdf</v>
      </c>
    </row>
    <row r="4298" spans="1:28" x14ac:dyDescent="0.25">
      <c r="A4298" t="s">
        <v>4302</v>
      </c>
      <c r="B4298">
        <v>0.99542014353169495</v>
      </c>
      <c r="C4298">
        <v>1.15733267147646</v>
      </c>
      <c r="D4298">
        <v>1.21988734991618</v>
      </c>
      <c r="E4298">
        <v>1.213780792628</v>
      </c>
      <c r="F4298">
        <v>1.1432345148587899</v>
      </c>
      <c r="G4298">
        <v>0.80717081051182604</v>
      </c>
      <c r="H4298">
        <v>0.49360159254174202</v>
      </c>
      <c r="I4298">
        <v>0.33398151665701797</v>
      </c>
      <c r="J4298">
        <v>0.477675124674799</v>
      </c>
      <c r="K4298">
        <v>0.33772706591665203</v>
      </c>
      <c r="L4298">
        <v>2517.6905540399198</v>
      </c>
      <c r="M4298">
        <v>45.833091777307203</v>
      </c>
      <c r="N4298">
        <v>56.788264902274797</v>
      </c>
      <c r="O4298">
        <v>54.827438366324301</v>
      </c>
      <c r="P4298">
        <v>-0.12784738996650899</v>
      </c>
      <c r="Q4298">
        <v>0.38825525816460299</v>
      </c>
      <c r="R4298">
        <v>0.87477098319611801</v>
      </c>
      <c r="S4298" t="s">
        <v>10700</v>
      </c>
      <c r="T4298" t="s">
        <v>12802</v>
      </c>
      <c r="U4298" t="s">
        <v>12802</v>
      </c>
      <c r="V4298" t="s">
        <v>12802</v>
      </c>
      <c r="W4298" t="s">
        <v>17041</v>
      </c>
      <c r="X4298">
        <v>19</v>
      </c>
      <c r="Y4298" t="s">
        <v>23263</v>
      </c>
      <c r="Z4298" t="s">
        <v>29616</v>
      </c>
      <c r="AA4298">
        <v>0.75566574435056555</v>
      </c>
      <c r="AB4298" t="str">
        <f>HYPERLINK("Melting_Curves/meltCurve_Q8IVM0_2_CCDC50.pdf", "Melting_Curves/meltCurve_Q8IVM0_2_CCDC50.pdf")</f>
        <v>Melting_Curves/meltCurve_Q8IVM0_2_CCDC50.pdf</v>
      </c>
    </row>
    <row r="4299" spans="1:28" x14ac:dyDescent="0.25">
      <c r="A4299" t="s">
        <v>4303</v>
      </c>
      <c r="B4299">
        <v>0.99542014353169495</v>
      </c>
      <c r="C4299">
        <v>1.09670622900728</v>
      </c>
      <c r="D4299">
        <v>0.96439129630667897</v>
      </c>
      <c r="E4299">
        <v>0.940424462424442</v>
      </c>
      <c r="F4299">
        <v>0.751730656736603</v>
      </c>
      <c r="G4299">
        <v>0.56183525253094002</v>
      </c>
      <c r="H4299">
        <v>0.30828087659621001</v>
      </c>
      <c r="I4299">
        <v>0.19325942863255199</v>
      </c>
      <c r="J4299">
        <v>0.16007980536670599</v>
      </c>
      <c r="K4299">
        <v>0.13373010037004601</v>
      </c>
      <c r="L4299">
        <v>889.38678338706598</v>
      </c>
      <c r="M4299">
        <v>16.602458557283299</v>
      </c>
      <c r="N4299">
        <v>54.284834732518199</v>
      </c>
      <c r="O4299">
        <v>52.810495926609299</v>
      </c>
      <c r="P4299">
        <v>-7.0878215787820997E-2</v>
      </c>
      <c r="Q4299">
        <v>9.8239615097678507E-2</v>
      </c>
      <c r="R4299">
        <v>0.99077859462757301</v>
      </c>
      <c r="S4299" t="s">
        <v>10701</v>
      </c>
      <c r="T4299" t="s">
        <v>12802</v>
      </c>
      <c r="U4299" t="s">
        <v>12802</v>
      </c>
      <c r="V4299" t="s">
        <v>12802</v>
      </c>
      <c r="W4299" t="s">
        <v>17042</v>
      </c>
      <c r="X4299">
        <v>9</v>
      </c>
      <c r="Y4299" t="s">
        <v>23264</v>
      </c>
      <c r="Z4299" t="s">
        <v>29617</v>
      </c>
      <c r="AA4299">
        <v>0.6102091961200532</v>
      </c>
      <c r="AB4299" t="str">
        <f>HYPERLINK("Melting_Curves/meltCurve_Q8IVS2_MCAT.pdf", "Melting_Curves/meltCurve_Q8IVS2_MCAT.pdf")</f>
        <v>Melting_Curves/meltCurve_Q8IVS2_MCAT.pdf</v>
      </c>
    </row>
    <row r="4300" spans="1:28" x14ac:dyDescent="0.25">
      <c r="A4300" t="s">
        <v>4304</v>
      </c>
      <c r="B4300">
        <v>0.99542014353169495</v>
      </c>
      <c r="C4300">
        <v>0.96986660810099101</v>
      </c>
      <c r="D4300">
        <v>0.62163865738540003</v>
      </c>
      <c r="E4300">
        <v>0.374617309555694</v>
      </c>
      <c r="F4300">
        <v>0.32423485273564301</v>
      </c>
      <c r="G4300">
        <v>0.19016104705162901</v>
      </c>
      <c r="H4300">
        <v>0.13877265582098</v>
      </c>
      <c r="I4300">
        <v>0.101412614680121</v>
      </c>
      <c r="J4300">
        <v>0.104397156991554</v>
      </c>
      <c r="K4300">
        <v>9.7602386741933306E-2</v>
      </c>
      <c r="L4300">
        <v>710.39328597438305</v>
      </c>
      <c r="M4300">
        <v>15.9315967709334</v>
      </c>
      <c r="N4300">
        <v>45.3221974896896</v>
      </c>
      <c r="O4300">
        <v>43.9054312967654</v>
      </c>
      <c r="P4300">
        <v>-8.0431619255439707E-2</v>
      </c>
      <c r="Q4300">
        <v>0.113434336895664</v>
      </c>
      <c r="R4300">
        <v>0.98004524260154702</v>
      </c>
      <c r="S4300" t="s">
        <v>10702</v>
      </c>
      <c r="T4300" t="s">
        <v>12802</v>
      </c>
      <c r="U4300" t="s">
        <v>12802</v>
      </c>
      <c r="V4300" t="s">
        <v>12802</v>
      </c>
      <c r="W4300" t="s">
        <v>17043</v>
      </c>
      <c r="X4300">
        <v>3</v>
      </c>
      <c r="Y4300" t="s">
        <v>23265</v>
      </c>
      <c r="Z4300" t="s">
        <v>29618</v>
      </c>
      <c r="AA4300">
        <v>0.35667993408938492</v>
      </c>
      <c r="AB4300" t="str">
        <f>HYPERLINK("Melting_Curves/meltCurve_Q8IVW6_4_ARID3B.pdf", "Melting_Curves/meltCurve_Q8IVW6_4_ARID3B.pdf")</f>
        <v>Melting_Curves/meltCurve_Q8IVW6_4_ARID3B.pdf</v>
      </c>
    </row>
    <row r="4301" spans="1:28" x14ac:dyDescent="0.25">
      <c r="A4301" t="s">
        <v>4305</v>
      </c>
      <c r="B4301">
        <v>0.99542014353169495</v>
      </c>
      <c r="C4301">
        <v>0.91546993931575305</v>
      </c>
      <c r="D4301">
        <v>0.94373929366314202</v>
      </c>
      <c r="E4301">
        <v>0.79118929337923205</v>
      </c>
      <c r="F4301">
        <v>0.63530886097037298</v>
      </c>
      <c r="G4301">
        <v>0.38469495655041602</v>
      </c>
      <c r="H4301">
        <v>0.30019423275907398</v>
      </c>
      <c r="I4301">
        <v>0.341359075312895</v>
      </c>
      <c r="J4301">
        <v>0.40428463457749803</v>
      </c>
      <c r="K4301">
        <v>0.52629003579563205</v>
      </c>
      <c r="L4301">
        <v>1067.4556679780501</v>
      </c>
      <c r="M4301">
        <v>22.095781023878502</v>
      </c>
      <c r="N4301">
        <v>51.714196331642398</v>
      </c>
      <c r="O4301">
        <v>47.919883105253398</v>
      </c>
      <c r="P4301">
        <v>-7.1100314618709207E-2</v>
      </c>
      <c r="Q4301">
        <v>0.38322249248109502</v>
      </c>
      <c r="R4301">
        <v>0.92745421385207705</v>
      </c>
      <c r="S4301" t="s">
        <v>10703</v>
      </c>
      <c r="T4301" t="s">
        <v>12802</v>
      </c>
      <c r="U4301" t="s">
        <v>12802</v>
      </c>
      <c r="V4301" t="s">
        <v>12802</v>
      </c>
      <c r="W4301" t="s">
        <v>17044</v>
      </c>
      <c r="X4301">
        <v>4</v>
      </c>
      <c r="Y4301" t="s">
        <v>23266</v>
      </c>
      <c r="Z4301" t="s">
        <v>29619</v>
      </c>
      <c r="AA4301">
        <v>0.62246982434676401</v>
      </c>
      <c r="AB4301" t="str">
        <f>HYPERLINK("Melting_Curves/meltCurve_Q8IW45_CARKD.pdf", "Melting_Curves/meltCurve_Q8IW45_CARKD.pdf")</f>
        <v>Melting_Curves/meltCurve_Q8IW45_CARKD.pdf</v>
      </c>
    </row>
    <row r="4302" spans="1:28" x14ac:dyDescent="0.25">
      <c r="A4302" t="s">
        <v>4306</v>
      </c>
      <c r="B4302">
        <v>0.99542014353169495</v>
      </c>
      <c r="C4302">
        <v>0.85733129403715402</v>
      </c>
      <c r="D4302">
        <v>0.843954395508837</v>
      </c>
      <c r="E4302">
        <v>0.51363429927908899</v>
      </c>
      <c r="F4302">
        <v>0.29340277088807298</v>
      </c>
      <c r="G4302">
        <v>9.6025969792863902E-2</v>
      </c>
      <c r="H4302">
        <v>7.0140479457840202E-2</v>
      </c>
      <c r="I4302">
        <v>4.0043311529746599E-2</v>
      </c>
      <c r="J4302">
        <v>3.4841767229780399E-2</v>
      </c>
      <c r="K4302">
        <v>3.2900359882997998E-2</v>
      </c>
      <c r="L4302">
        <v>718.271072803435</v>
      </c>
      <c r="M4302">
        <v>15.3354750516114</v>
      </c>
      <c r="N4302">
        <v>46.916559337347998</v>
      </c>
      <c r="O4302">
        <v>46.062468900478002</v>
      </c>
      <c r="P4302">
        <v>-8.2174241049260799E-2</v>
      </c>
      <c r="Q4302">
        <v>1.27994515238521E-2</v>
      </c>
      <c r="R4302">
        <v>0.99255089015381304</v>
      </c>
      <c r="S4302" t="s">
        <v>10704</v>
      </c>
      <c r="T4302" t="s">
        <v>12802</v>
      </c>
      <c r="U4302" t="s">
        <v>12802</v>
      </c>
      <c r="V4302" t="s">
        <v>12802</v>
      </c>
      <c r="W4302" t="s">
        <v>17045</v>
      </c>
      <c r="X4302">
        <v>3</v>
      </c>
      <c r="Y4302" t="s">
        <v>23267</v>
      </c>
      <c r="Z4302" t="s">
        <v>29620</v>
      </c>
      <c r="AA4302">
        <v>0.35793693684030969</v>
      </c>
      <c r="AB4302" t="str">
        <f>HYPERLINK("Melting_Curves/meltCurve_Q8IWA0_WDR75.pdf", "Melting_Curves/meltCurve_Q8IWA0_WDR75.pdf")</f>
        <v>Melting_Curves/meltCurve_Q8IWA0_WDR75.pdf</v>
      </c>
    </row>
    <row r="4303" spans="1:28" x14ac:dyDescent="0.25">
      <c r="A4303" t="s">
        <v>4307</v>
      </c>
      <c r="B4303">
        <v>0.99542014353169495</v>
      </c>
      <c r="C4303">
        <v>0.93760590566155</v>
      </c>
      <c r="D4303">
        <v>0.96375729141001198</v>
      </c>
      <c r="E4303">
        <v>0.83888479526731996</v>
      </c>
      <c r="F4303">
        <v>0.69797467338279895</v>
      </c>
      <c r="G4303">
        <v>0.138084944397728</v>
      </c>
      <c r="H4303">
        <v>4.6554299870219903E-2</v>
      </c>
      <c r="I4303">
        <v>2.2898686811597901E-2</v>
      </c>
      <c r="J4303">
        <v>2.4342849917812801E-2</v>
      </c>
      <c r="K4303">
        <v>2.25535396895435E-2</v>
      </c>
      <c r="L4303">
        <v>1639.84971529213</v>
      </c>
      <c r="M4303">
        <v>32.0669578239795</v>
      </c>
      <c r="N4303">
        <v>51.183233164731199</v>
      </c>
      <c r="O4303">
        <v>50.940656037928299</v>
      </c>
      <c r="P4303">
        <v>-0.155190633010239</v>
      </c>
      <c r="Q4303">
        <v>1.3879273040147499E-2</v>
      </c>
      <c r="R4303">
        <v>0.98696765384473994</v>
      </c>
      <c r="S4303" t="s">
        <v>10705</v>
      </c>
      <c r="T4303" t="s">
        <v>12802</v>
      </c>
      <c r="U4303" t="s">
        <v>12802</v>
      </c>
      <c r="V4303" t="s">
        <v>12802</v>
      </c>
      <c r="W4303" t="s">
        <v>17046</v>
      </c>
      <c r="X4303">
        <v>8</v>
      </c>
      <c r="Y4303" t="s">
        <v>23268</v>
      </c>
      <c r="Z4303" t="s">
        <v>29621</v>
      </c>
      <c r="AA4303">
        <v>0.48401799221588082</v>
      </c>
      <c r="AB4303" t="str">
        <f>HYPERLINK("Melting_Curves/meltCurve_Q8IWB1_ITPRIP.pdf", "Melting_Curves/meltCurve_Q8IWB1_ITPRIP.pdf")</f>
        <v>Melting_Curves/meltCurve_Q8IWB1_ITPRIP.pdf</v>
      </c>
    </row>
    <row r="4304" spans="1:28" x14ac:dyDescent="0.25">
      <c r="A4304" t="s">
        <v>4308</v>
      </c>
      <c r="B4304">
        <v>0.99542014353169495</v>
      </c>
      <c r="C4304">
        <v>1.0890576575436599</v>
      </c>
      <c r="D4304">
        <v>1.0641574549930899</v>
      </c>
      <c r="E4304">
        <v>0.98387884329036701</v>
      </c>
      <c r="F4304">
        <v>0.73068837774699102</v>
      </c>
      <c r="G4304">
        <v>0.49112228109510098</v>
      </c>
      <c r="H4304">
        <v>0.25151978041060202</v>
      </c>
      <c r="I4304">
        <v>0.14195694737876299</v>
      </c>
      <c r="J4304">
        <v>0.150523690546327</v>
      </c>
      <c r="K4304">
        <v>9.97975220929537E-2</v>
      </c>
      <c r="L4304">
        <v>1085.18110076415</v>
      </c>
      <c r="M4304">
        <v>20.5406877268397</v>
      </c>
      <c r="N4304">
        <v>53.434184418397003</v>
      </c>
      <c r="O4304">
        <v>52.337724723317997</v>
      </c>
      <c r="P4304">
        <v>-8.7963140632627404E-2</v>
      </c>
      <c r="Q4304">
        <v>0.103505144893924</v>
      </c>
      <c r="R4304">
        <v>0.98853258455767601</v>
      </c>
      <c r="S4304" t="s">
        <v>10706</v>
      </c>
      <c r="T4304" t="s">
        <v>12802</v>
      </c>
      <c r="U4304" t="s">
        <v>12802</v>
      </c>
      <c r="V4304" t="s">
        <v>12802</v>
      </c>
      <c r="W4304" t="s">
        <v>17047</v>
      </c>
      <c r="X4304">
        <v>5</v>
      </c>
      <c r="Y4304" t="s">
        <v>23269</v>
      </c>
      <c r="Z4304" t="s">
        <v>29622</v>
      </c>
      <c r="AA4304">
        <v>0.58749057886421352</v>
      </c>
      <c r="AB4304" t="str">
        <f>HYPERLINK("Melting_Curves/meltCurve_Q8IWB7_WDFY1.pdf", "Melting_Curves/meltCurve_Q8IWB7_WDFY1.pdf")</f>
        <v>Melting_Curves/meltCurve_Q8IWB7_WDFY1.pdf</v>
      </c>
    </row>
    <row r="4305" spans="1:28" x14ac:dyDescent="0.25">
      <c r="A4305" t="s">
        <v>4309</v>
      </c>
      <c r="B4305">
        <v>0.99542014353169495</v>
      </c>
      <c r="C4305">
        <v>0.95617843243213496</v>
      </c>
      <c r="D4305">
        <v>1.0258805748925399</v>
      </c>
      <c r="E4305">
        <v>0.43555228475776803</v>
      </c>
      <c r="F4305">
        <v>0.18174345586472601</v>
      </c>
      <c r="G4305">
        <v>0.10891372497884499</v>
      </c>
      <c r="H4305">
        <v>7.1883650406248695E-2</v>
      </c>
      <c r="I4305">
        <v>5.3742486232881297E-2</v>
      </c>
      <c r="J4305">
        <v>6.1258372667957202E-2</v>
      </c>
      <c r="K4305">
        <v>6.6057846159967404E-2</v>
      </c>
      <c r="L4305">
        <v>2171.0831890475902</v>
      </c>
      <c r="M4305">
        <v>47.0059332973333</v>
      </c>
      <c r="N4305">
        <v>46.372504593216597</v>
      </c>
      <c r="O4305">
        <v>46.104059740687902</v>
      </c>
      <c r="P4305">
        <v>-0.233090235213608</v>
      </c>
      <c r="Q4305">
        <v>8.5528555328242994E-2</v>
      </c>
      <c r="R4305">
        <v>0.99194629265245704</v>
      </c>
      <c r="S4305" t="s">
        <v>10707</v>
      </c>
      <c r="T4305" t="s">
        <v>12802</v>
      </c>
      <c r="U4305" t="s">
        <v>12802</v>
      </c>
      <c r="V4305" t="s">
        <v>12802</v>
      </c>
      <c r="W4305" t="s">
        <v>17048</v>
      </c>
      <c r="X4305">
        <v>7</v>
      </c>
      <c r="Y4305" t="s">
        <v>23270</v>
      </c>
      <c r="Z4305" t="s">
        <v>29623</v>
      </c>
      <c r="AA4305">
        <v>0.36769294981098588</v>
      </c>
      <c r="AB4305" t="str">
        <f>HYPERLINK("Melting_Curves/meltCurve_Q8IWB9_TEX2.pdf", "Melting_Curves/meltCurve_Q8IWB9_TEX2.pdf")</f>
        <v>Melting_Curves/meltCurve_Q8IWB9_TEX2.pdf</v>
      </c>
    </row>
    <row r="4306" spans="1:28" x14ac:dyDescent="0.25">
      <c r="A4306" t="s">
        <v>4310</v>
      </c>
      <c r="B4306">
        <v>0.99542014353169495</v>
      </c>
      <c r="C4306">
        <v>0.93379399051044798</v>
      </c>
      <c r="D4306">
        <v>0.877789573063531</v>
      </c>
      <c r="E4306">
        <v>0.64176778658001299</v>
      </c>
      <c r="F4306">
        <v>0.43013155948107401</v>
      </c>
      <c r="G4306">
        <v>0.24988606616085901</v>
      </c>
      <c r="H4306">
        <v>0.19568047278456399</v>
      </c>
      <c r="I4306">
        <v>0.158551707044119</v>
      </c>
      <c r="J4306">
        <v>0.172137544548985</v>
      </c>
      <c r="K4306">
        <v>0.19131756631536201</v>
      </c>
      <c r="L4306">
        <v>763.78568865182501</v>
      </c>
      <c r="M4306">
        <v>16.057299263202999</v>
      </c>
      <c r="N4306">
        <v>48.689050544178798</v>
      </c>
      <c r="O4306">
        <v>46.846863316167898</v>
      </c>
      <c r="P4306">
        <v>-7.2437061951351606E-2</v>
      </c>
      <c r="Q4306">
        <v>0.15473042430704601</v>
      </c>
      <c r="R4306">
        <v>0.99712639090377397</v>
      </c>
      <c r="S4306" t="s">
        <v>10708</v>
      </c>
      <c r="T4306" t="s">
        <v>12802</v>
      </c>
      <c r="U4306" t="s">
        <v>12802</v>
      </c>
      <c r="V4306" t="s">
        <v>12802</v>
      </c>
      <c r="W4306" t="s">
        <v>17049</v>
      </c>
      <c r="X4306">
        <v>5</v>
      </c>
      <c r="Y4306" t="s">
        <v>23271</v>
      </c>
      <c r="Z4306" t="s">
        <v>29624</v>
      </c>
      <c r="AA4306">
        <v>0.46911477636514998</v>
      </c>
      <c r="AB4306" t="str">
        <f>HYPERLINK("Melting_Curves/meltCurve_Q8IWC1_2_MAP7D3.pdf", "Melting_Curves/meltCurve_Q8IWC1_2_MAP7D3.pdf")</f>
        <v>Melting_Curves/meltCurve_Q8IWC1_2_MAP7D3.pdf</v>
      </c>
    </row>
    <row r="4307" spans="1:28" x14ac:dyDescent="0.25">
      <c r="A4307" t="s">
        <v>4311</v>
      </c>
      <c r="B4307">
        <v>0.99542014353169495</v>
      </c>
      <c r="C4307">
        <v>0.98741766090473904</v>
      </c>
      <c r="D4307">
        <v>0.93892178050545905</v>
      </c>
      <c r="E4307">
        <v>0.72317478340625896</v>
      </c>
      <c r="F4307">
        <v>0.37431264942267101</v>
      </c>
      <c r="G4307">
        <v>0.203706314583186</v>
      </c>
      <c r="H4307">
        <v>0.19111392266396501</v>
      </c>
      <c r="I4307">
        <v>9.5148784741155401E-2</v>
      </c>
      <c r="J4307">
        <v>0.33310497688949697</v>
      </c>
      <c r="K4307">
        <v>0.511355160813736</v>
      </c>
      <c r="L4307">
        <v>1573.01569137914</v>
      </c>
      <c r="M4307">
        <v>33.282496406233697</v>
      </c>
      <c r="N4307">
        <v>48.372454352985997</v>
      </c>
      <c r="O4307">
        <v>47.092905977086197</v>
      </c>
      <c r="P4307">
        <v>-0.129507616396073</v>
      </c>
      <c r="Q4307">
        <v>0.26701847831709202</v>
      </c>
      <c r="R4307">
        <v>0.90289452701690198</v>
      </c>
      <c r="S4307" t="s">
        <v>10709</v>
      </c>
      <c r="T4307" t="s">
        <v>12802</v>
      </c>
      <c r="U4307" t="s">
        <v>12802</v>
      </c>
      <c r="V4307" t="s">
        <v>12802</v>
      </c>
      <c r="W4307" t="s">
        <v>17050</v>
      </c>
      <c r="X4307">
        <v>2</v>
      </c>
      <c r="Y4307" t="s">
        <v>23272</v>
      </c>
      <c r="Z4307" t="s">
        <v>29625</v>
      </c>
      <c r="AA4307">
        <v>0.52123184543847378</v>
      </c>
      <c r="AB4307" t="str">
        <f>HYPERLINK("Melting_Curves/meltCurve_Q8IWD4_CCDC117.pdf", "Melting_Curves/meltCurve_Q8IWD4_CCDC117.pdf")</f>
        <v>Melting_Curves/meltCurve_Q8IWD4_CCDC117.pdf</v>
      </c>
    </row>
    <row r="4308" spans="1:28" x14ac:dyDescent="0.25">
      <c r="A4308" t="s">
        <v>4312</v>
      </c>
      <c r="B4308">
        <v>0.99542014353169495</v>
      </c>
      <c r="C4308">
        <v>1.0415966777166401</v>
      </c>
      <c r="D4308">
        <v>0.86443247599717199</v>
      </c>
      <c r="E4308">
        <v>0.533795140902384</v>
      </c>
      <c r="F4308">
        <v>0.25585952740073098</v>
      </c>
      <c r="G4308">
        <v>0.230668348076698</v>
      </c>
      <c r="H4308">
        <v>0.134991271763612</v>
      </c>
      <c r="I4308">
        <v>0</v>
      </c>
      <c r="J4308">
        <v>7.6069885020878705E-2</v>
      </c>
      <c r="K4308">
        <v>3.5708118710206703E-2</v>
      </c>
      <c r="L4308">
        <v>856.867803496232</v>
      </c>
      <c r="M4308">
        <v>18.246953282574498</v>
      </c>
      <c r="N4308">
        <v>47.290027333841998</v>
      </c>
      <c r="O4308">
        <v>46.406396023353999</v>
      </c>
      <c r="P4308">
        <v>-9.2419069346361502E-2</v>
      </c>
      <c r="Q4308">
        <v>5.9868467418505399E-2</v>
      </c>
      <c r="R4308">
        <v>0.98464121511677505</v>
      </c>
      <c r="S4308" t="s">
        <v>10710</v>
      </c>
      <c r="T4308" t="s">
        <v>12802</v>
      </c>
      <c r="U4308" t="s">
        <v>12802</v>
      </c>
      <c r="V4308" t="s">
        <v>12802</v>
      </c>
      <c r="W4308" t="s">
        <v>17051</v>
      </c>
      <c r="X4308">
        <v>2</v>
      </c>
      <c r="Y4308" t="s">
        <v>23273</v>
      </c>
      <c r="Z4308" t="s">
        <v>29626</v>
      </c>
      <c r="AA4308">
        <v>0.3866823342055058</v>
      </c>
      <c r="AB4308" t="str">
        <f>HYPERLINK("Melting_Curves/meltCurve_Q8IWE4_DCUN1D3.pdf", "Melting_Curves/meltCurve_Q8IWE4_DCUN1D3.pdf")</f>
        <v>Melting_Curves/meltCurve_Q8IWE4_DCUN1D3.pdf</v>
      </c>
    </row>
    <row r="4309" spans="1:28" x14ac:dyDescent="0.25">
      <c r="A4309" t="s">
        <v>4313</v>
      </c>
      <c r="B4309">
        <v>0.99542014353169495</v>
      </c>
      <c r="C4309">
        <v>1.0772802575881399</v>
      </c>
      <c r="D4309">
        <v>0.97527438539802702</v>
      </c>
      <c r="E4309">
        <v>0.73580686802381701</v>
      </c>
      <c r="F4309">
        <v>0.392797640731327</v>
      </c>
      <c r="G4309">
        <v>0.249690845301547</v>
      </c>
      <c r="H4309">
        <v>9.9826639013326196E-2</v>
      </c>
      <c r="I4309">
        <v>0.10373203474687299</v>
      </c>
      <c r="J4309">
        <v>0.105155962958616</v>
      </c>
      <c r="K4309">
        <v>0.15265719668164501</v>
      </c>
      <c r="L4309">
        <v>1092.29958128766</v>
      </c>
      <c r="M4309">
        <v>22.502056266130801</v>
      </c>
      <c r="N4309">
        <v>49.1082148992109</v>
      </c>
      <c r="O4309">
        <v>48.163712070327101</v>
      </c>
      <c r="P4309">
        <v>-0.103460648427872</v>
      </c>
      <c r="Q4309">
        <v>0.114223678636344</v>
      </c>
      <c r="R4309">
        <v>0.99110329165712296</v>
      </c>
      <c r="S4309" t="s">
        <v>10711</v>
      </c>
      <c r="T4309" t="s">
        <v>12802</v>
      </c>
      <c r="U4309" t="s">
        <v>12802</v>
      </c>
      <c r="V4309" t="s">
        <v>12802</v>
      </c>
      <c r="W4309" t="s">
        <v>17052</v>
      </c>
      <c r="X4309">
        <v>4</v>
      </c>
      <c r="Y4309" t="s">
        <v>23274</v>
      </c>
      <c r="Z4309" t="s">
        <v>29627</v>
      </c>
      <c r="AA4309">
        <v>0.46434882178723341</v>
      </c>
      <c r="AB4309" t="str">
        <f>HYPERLINK("Melting_Curves/meltCurve_Q8IWF6_DENND6A.pdf", "Melting_Curves/meltCurve_Q8IWF6_DENND6A.pdf")</f>
        <v>Melting_Curves/meltCurve_Q8IWF6_DENND6A.pdf</v>
      </c>
    </row>
    <row r="4310" spans="1:28" x14ac:dyDescent="0.25">
      <c r="A4310" t="s">
        <v>4314</v>
      </c>
      <c r="B4310">
        <v>0.99542014353169495</v>
      </c>
      <c r="C4310">
        <v>0.95527439515003798</v>
      </c>
      <c r="D4310">
        <v>0.96377482282311999</v>
      </c>
      <c r="E4310">
        <v>0.32491689015566699</v>
      </c>
      <c r="F4310">
        <v>0.224692129856425</v>
      </c>
      <c r="G4310">
        <v>0.105376778820335</v>
      </c>
      <c r="H4310">
        <v>6.7677075407838405E-2</v>
      </c>
      <c r="I4310">
        <v>4.99126550344575E-2</v>
      </c>
      <c r="J4310">
        <v>6.1218434784774602E-2</v>
      </c>
      <c r="K4310">
        <v>6.19299933687424E-2</v>
      </c>
      <c r="L4310">
        <v>1914.1387833820299</v>
      </c>
      <c r="M4310">
        <v>42.004947472464302</v>
      </c>
      <c r="N4310">
        <v>45.783316623680498</v>
      </c>
      <c r="O4310">
        <v>45.466445005133103</v>
      </c>
      <c r="P4310">
        <v>-0.21038415003111499</v>
      </c>
      <c r="Q4310">
        <v>8.9116507039370005E-2</v>
      </c>
      <c r="R4310">
        <v>0.98669404119994097</v>
      </c>
      <c r="S4310" t="s">
        <v>10712</v>
      </c>
      <c r="T4310" t="s">
        <v>12802</v>
      </c>
      <c r="U4310" t="s">
        <v>12802</v>
      </c>
      <c r="V4310" t="s">
        <v>12802</v>
      </c>
      <c r="W4310" t="s">
        <v>17053</v>
      </c>
      <c r="X4310">
        <v>33</v>
      </c>
      <c r="Y4310" t="s">
        <v>23275</v>
      </c>
      <c r="Z4310" t="s">
        <v>29628</v>
      </c>
      <c r="AA4310">
        <v>0.35190782077013633</v>
      </c>
      <c r="AB4310" t="str">
        <f>HYPERLINK("Melting_Curves/meltCurve_Q8IWJ2_GCC2.pdf", "Melting_Curves/meltCurve_Q8IWJ2_GCC2.pdf")</f>
        <v>Melting_Curves/meltCurve_Q8IWJ2_GCC2.pdf</v>
      </c>
    </row>
    <row r="4311" spans="1:28" x14ac:dyDescent="0.25">
      <c r="A4311" t="s">
        <v>4315</v>
      </c>
      <c r="B4311">
        <v>0.99542014353169495</v>
      </c>
      <c r="C4311">
        <v>1.02075772123064</v>
      </c>
      <c r="D4311">
        <v>0.98881503132644799</v>
      </c>
      <c r="E4311">
        <v>0.89896403111628798</v>
      </c>
      <c r="F4311">
        <v>0.58824810540115702</v>
      </c>
      <c r="G4311">
        <v>0.32502362844558602</v>
      </c>
      <c r="H4311">
        <v>0.16398366274802301</v>
      </c>
      <c r="I4311">
        <v>0.137021774826944</v>
      </c>
      <c r="J4311">
        <v>0.16950140208863401</v>
      </c>
      <c r="K4311">
        <v>0.18731864174139401</v>
      </c>
      <c r="L4311">
        <v>1236.7126617572501</v>
      </c>
      <c r="M4311">
        <v>24.547812372496502</v>
      </c>
      <c r="N4311">
        <v>51.149596583268803</v>
      </c>
      <c r="O4311">
        <v>50.048987675123399</v>
      </c>
      <c r="P4311">
        <v>-0.103681940757089</v>
      </c>
      <c r="Q4311">
        <v>0.15444996693426</v>
      </c>
      <c r="R4311">
        <v>0.997121797543156</v>
      </c>
      <c r="S4311" t="s">
        <v>10713</v>
      </c>
      <c r="T4311" t="s">
        <v>12802</v>
      </c>
      <c r="U4311" t="s">
        <v>12802</v>
      </c>
      <c r="V4311" t="s">
        <v>12802</v>
      </c>
      <c r="W4311" t="s">
        <v>17054</v>
      </c>
      <c r="X4311">
        <v>6</v>
      </c>
      <c r="Y4311" t="s">
        <v>23276</v>
      </c>
      <c r="Z4311" t="s">
        <v>29629</v>
      </c>
      <c r="AA4311">
        <v>0.53924051269989282</v>
      </c>
      <c r="AB4311" t="str">
        <f>HYPERLINK("Melting_Curves/meltCurve_Q8IWL3_HSCB.pdf", "Melting_Curves/meltCurve_Q8IWL3_HSCB.pdf")</f>
        <v>Melting_Curves/meltCurve_Q8IWL3_HSCB.pdf</v>
      </c>
    </row>
    <row r="4312" spans="1:28" x14ac:dyDescent="0.25">
      <c r="A4312" t="s">
        <v>4316</v>
      </c>
      <c r="B4312">
        <v>0.99542014353169495</v>
      </c>
      <c r="C4312">
        <v>1.1174977766802401</v>
      </c>
      <c r="D4312">
        <v>1.06126675068777</v>
      </c>
      <c r="E4312">
        <v>1.0205596581943099</v>
      </c>
      <c r="F4312">
        <v>0.445432715600457</v>
      </c>
      <c r="G4312">
        <v>0.149722186777097</v>
      </c>
      <c r="H4312">
        <v>8.6949145696918903E-2</v>
      </c>
      <c r="I4312">
        <v>2.8345436797786599E-2</v>
      </c>
      <c r="J4312">
        <v>5.5425541490849099E-2</v>
      </c>
      <c r="K4312">
        <v>6.1745770983601497E-2</v>
      </c>
      <c r="L4312">
        <v>2624.3767770875302</v>
      </c>
      <c r="M4312">
        <v>52.630205011036999</v>
      </c>
      <c r="N4312">
        <v>50.010512978361298</v>
      </c>
      <c r="O4312">
        <v>49.792619335256703</v>
      </c>
      <c r="P4312">
        <v>-0.24542307065989599</v>
      </c>
      <c r="Q4312">
        <v>7.1236715216679694E-2</v>
      </c>
      <c r="R4312">
        <v>0.98799458867635204</v>
      </c>
      <c r="S4312" t="s">
        <v>10714</v>
      </c>
      <c r="T4312" t="s">
        <v>12802</v>
      </c>
      <c r="U4312" t="s">
        <v>12802</v>
      </c>
      <c r="V4312" t="s">
        <v>12802</v>
      </c>
      <c r="W4312" t="s">
        <v>17055</v>
      </c>
      <c r="X4312">
        <v>1</v>
      </c>
      <c r="Y4312" t="s">
        <v>23277</v>
      </c>
      <c r="Z4312" t="s">
        <v>29630</v>
      </c>
      <c r="AA4312">
        <v>0.47134734909377968</v>
      </c>
      <c r="AB4312" t="str">
        <f>HYPERLINK("Melting_Curves/meltCurve_Q8IWP9_CCDC28A.pdf", "Melting_Curves/meltCurve_Q8IWP9_CCDC28A.pdf")</f>
        <v>Melting_Curves/meltCurve_Q8IWP9_CCDC28A.pdf</v>
      </c>
    </row>
    <row r="4313" spans="1:28" x14ac:dyDescent="0.25">
      <c r="A4313" t="s">
        <v>4317</v>
      </c>
      <c r="B4313">
        <v>0.99542014353169495</v>
      </c>
      <c r="C4313">
        <v>0.91446634228935098</v>
      </c>
      <c r="D4313">
        <v>0.76521474374633403</v>
      </c>
      <c r="E4313">
        <v>0.34523434958389698</v>
      </c>
      <c r="F4313">
        <v>0.18193529397414801</v>
      </c>
      <c r="G4313">
        <v>9.8741899741443998E-2</v>
      </c>
      <c r="H4313">
        <v>7.4216282439507994E-2</v>
      </c>
      <c r="I4313">
        <v>5.8514581998529401E-2</v>
      </c>
      <c r="J4313">
        <v>5.5686419964957101E-2</v>
      </c>
      <c r="K4313">
        <v>6.2393153029785098E-2</v>
      </c>
      <c r="L4313">
        <v>934.48818629732204</v>
      </c>
      <c r="M4313">
        <v>20.765972796085201</v>
      </c>
      <c r="N4313">
        <v>45.289151840194897</v>
      </c>
      <c r="O4313">
        <v>44.589856271274101</v>
      </c>
      <c r="P4313">
        <v>-0.109224010858247</v>
      </c>
      <c r="Q4313">
        <v>6.1898836817964403E-2</v>
      </c>
      <c r="R4313">
        <v>0.99814001630757698</v>
      </c>
      <c r="S4313" t="s">
        <v>10715</v>
      </c>
      <c r="T4313" t="s">
        <v>12802</v>
      </c>
      <c r="U4313" t="s">
        <v>12802</v>
      </c>
      <c r="V4313" t="s">
        <v>12802</v>
      </c>
      <c r="W4313" t="s">
        <v>17056</v>
      </c>
      <c r="X4313">
        <v>9</v>
      </c>
      <c r="Y4313" t="s">
        <v>23278</v>
      </c>
      <c r="Z4313" t="s">
        <v>29631</v>
      </c>
      <c r="AA4313">
        <v>0.32347641294251478</v>
      </c>
      <c r="AB4313" t="str">
        <f>HYPERLINK("Melting_Curves/meltCurve_Q8IWR0_ZC3H7A.pdf", "Melting_Curves/meltCurve_Q8IWR0_ZC3H7A.pdf")</f>
        <v>Melting_Curves/meltCurve_Q8IWR0_ZC3H7A.pdf</v>
      </c>
    </row>
    <row r="4314" spans="1:28" x14ac:dyDescent="0.25">
      <c r="A4314" t="s">
        <v>4318</v>
      </c>
      <c r="B4314">
        <v>0.99542014353169495</v>
      </c>
      <c r="C4314">
        <v>0.92953449479533201</v>
      </c>
      <c r="D4314">
        <v>0.87311285275027894</v>
      </c>
      <c r="E4314">
        <v>0.80497613364562504</v>
      </c>
      <c r="F4314">
        <v>0.39297329275932302</v>
      </c>
      <c r="G4314">
        <v>0.134889185104203</v>
      </c>
      <c r="H4314">
        <v>6.12060412600876E-2</v>
      </c>
      <c r="I4314">
        <v>4.3133311746816901E-2</v>
      </c>
      <c r="J4314">
        <v>2.98931427349486E-2</v>
      </c>
      <c r="K4314">
        <v>2.85019951591358E-2</v>
      </c>
      <c r="L4314">
        <v>1039.52779389579</v>
      </c>
      <c r="M4314">
        <v>21.1661233015456</v>
      </c>
      <c r="N4314">
        <v>49.206001144226903</v>
      </c>
      <c r="O4314">
        <v>48.680737566637298</v>
      </c>
      <c r="P4314">
        <v>-0.10656588298359</v>
      </c>
      <c r="Q4314">
        <v>1.96467819755144E-2</v>
      </c>
      <c r="R4314">
        <v>0.99200070694186404</v>
      </c>
      <c r="S4314" t="s">
        <v>10716</v>
      </c>
      <c r="T4314" t="s">
        <v>12802</v>
      </c>
      <c r="U4314" t="s">
        <v>12802</v>
      </c>
      <c r="V4314" t="s">
        <v>12802</v>
      </c>
      <c r="W4314" t="s">
        <v>17057</v>
      </c>
      <c r="X4314">
        <v>16</v>
      </c>
      <c r="Y4314" t="s">
        <v>23279</v>
      </c>
      <c r="Z4314" t="s">
        <v>29632</v>
      </c>
      <c r="AA4314">
        <v>0.42711614116687718</v>
      </c>
      <c r="AB4314" t="str">
        <f>HYPERLINK("Melting_Curves/meltCurve_Q8IWS0_PHF6.pdf", "Melting_Curves/meltCurve_Q8IWS0_PHF6.pdf")</f>
        <v>Melting_Curves/meltCurve_Q8IWS0_PHF6.pdf</v>
      </c>
    </row>
    <row r="4315" spans="1:28" x14ac:dyDescent="0.25">
      <c r="A4315" t="s">
        <v>4319</v>
      </c>
      <c r="B4315">
        <v>0.99542014353169495</v>
      </c>
      <c r="C4315">
        <v>0.92527132342901397</v>
      </c>
      <c r="D4315">
        <v>1.0143916912895301</v>
      </c>
      <c r="E4315">
        <v>0.82703300692686998</v>
      </c>
      <c r="F4315">
        <v>0.68977252853578097</v>
      </c>
      <c r="G4315">
        <v>0.32269398330238702</v>
      </c>
      <c r="H4315">
        <v>0.17573222924315601</v>
      </c>
      <c r="I4315">
        <v>5.83539082841181E-2</v>
      </c>
      <c r="J4315">
        <v>0.12420014074708199</v>
      </c>
      <c r="K4315">
        <v>5.7508645267184202E-2</v>
      </c>
      <c r="L4315">
        <v>971.23816051304902</v>
      </c>
      <c r="M4315">
        <v>18.8504301168499</v>
      </c>
      <c r="N4315">
        <v>51.826113690182403</v>
      </c>
      <c r="O4315">
        <v>50.954053862708001</v>
      </c>
      <c r="P4315">
        <v>-8.7669610201635606E-2</v>
      </c>
      <c r="Q4315">
        <v>5.2130185950538498E-2</v>
      </c>
      <c r="R4315">
        <v>0.98866605238110095</v>
      </c>
      <c r="S4315" t="s">
        <v>10717</v>
      </c>
      <c r="T4315" t="s">
        <v>12802</v>
      </c>
      <c r="U4315" t="s">
        <v>12802</v>
      </c>
      <c r="V4315" t="s">
        <v>12802</v>
      </c>
      <c r="W4315" t="s">
        <v>17058</v>
      </c>
      <c r="X4315">
        <v>5</v>
      </c>
      <c r="Y4315" t="s">
        <v>23280</v>
      </c>
      <c r="Z4315" t="s">
        <v>29633</v>
      </c>
      <c r="AA4315">
        <v>0.5245521791046529</v>
      </c>
      <c r="AB4315" t="str">
        <f>HYPERLINK("Melting_Curves/meltCurve_Q8IWT6_LRRC8A.pdf", "Melting_Curves/meltCurve_Q8IWT6_LRRC8A.pdf")</f>
        <v>Melting_Curves/meltCurve_Q8IWT6_LRRC8A.pdf</v>
      </c>
    </row>
    <row r="4316" spans="1:28" x14ac:dyDescent="0.25">
      <c r="A4316" t="s">
        <v>4320</v>
      </c>
      <c r="B4316">
        <v>0.99542014353169495</v>
      </c>
      <c r="C4316">
        <v>0.96792925084174097</v>
      </c>
      <c r="D4316">
        <v>0.96889652767111301</v>
      </c>
      <c r="E4316">
        <v>0.74355348599138404</v>
      </c>
      <c r="F4316">
        <v>0.50038718388485104</v>
      </c>
      <c r="G4316">
        <v>0.220600153181579</v>
      </c>
      <c r="H4316">
        <v>0.12719906865205099</v>
      </c>
      <c r="I4316">
        <v>0.101202011430174</v>
      </c>
      <c r="J4316">
        <v>8.75503782814855E-2</v>
      </c>
      <c r="K4316">
        <v>9.1628261646915496E-2</v>
      </c>
      <c r="L4316">
        <v>917.30453431266199</v>
      </c>
      <c r="M4316">
        <v>18.565869314029399</v>
      </c>
      <c r="N4316">
        <v>49.833022668793902</v>
      </c>
      <c r="O4316">
        <v>48.845598967697399</v>
      </c>
      <c r="P4316">
        <v>-8.8070866888118299E-2</v>
      </c>
      <c r="Q4316">
        <v>7.3205504503020893E-2</v>
      </c>
      <c r="R4316">
        <v>0.99764614616404301</v>
      </c>
      <c r="S4316" t="s">
        <v>10718</v>
      </c>
      <c r="T4316" t="s">
        <v>12802</v>
      </c>
      <c r="U4316" t="s">
        <v>12802</v>
      </c>
      <c r="V4316" t="s">
        <v>12802</v>
      </c>
      <c r="W4316" t="s">
        <v>17059</v>
      </c>
      <c r="X4316">
        <v>9</v>
      </c>
      <c r="Y4316" t="s">
        <v>23281</v>
      </c>
      <c r="Z4316" t="s">
        <v>29634</v>
      </c>
      <c r="AA4316">
        <v>0.47045918894655819</v>
      </c>
      <c r="AB4316" t="str">
        <f>HYPERLINK("Melting_Curves/meltCurve_Q8IWU2_LMTK2.pdf", "Melting_Curves/meltCurve_Q8IWU2_LMTK2.pdf")</f>
        <v>Melting_Curves/meltCurve_Q8IWU2_LMTK2.pdf</v>
      </c>
    </row>
    <row r="4317" spans="1:28" x14ac:dyDescent="0.25">
      <c r="A4317" t="s">
        <v>4321</v>
      </c>
      <c r="B4317">
        <v>0.99542014353169495</v>
      </c>
      <c r="C4317">
        <v>0.899481721150584</v>
      </c>
      <c r="D4317">
        <v>0.86266536861155196</v>
      </c>
      <c r="E4317">
        <v>0.30594731842311101</v>
      </c>
      <c r="F4317">
        <v>0.15629520616521</v>
      </c>
      <c r="G4317">
        <v>9.8352471317155701E-2</v>
      </c>
      <c r="H4317">
        <v>5.7907482296886699E-2</v>
      </c>
      <c r="I4317">
        <v>3.7881454989771003E-2</v>
      </c>
      <c r="J4317">
        <v>3.2743943332138002E-2</v>
      </c>
      <c r="K4317">
        <v>3.6394442360405198E-2</v>
      </c>
      <c r="L4317">
        <v>1278.8907097256799</v>
      </c>
      <c r="M4317">
        <v>28.280483096098902</v>
      </c>
      <c r="N4317">
        <v>45.4091575223608</v>
      </c>
      <c r="O4317">
        <v>44.997378210057597</v>
      </c>
      <c r="P4317">
        <v>-0.14846627176009899</v>
      </c>
      <c r="Q4317">
        <v>5.5102892098882299E-2</v>
      </c>
      <c r="R4317">
        <v>0.99068777987957202</v>
      </c>
      <c r="S4317" t="s">
        <v>10719</v>
      </c>
      <c r="T4317" t="s">
        <v>12802</v>
      </c>
      <c r="U4317" t="s">
        <v>12802</v>
      </c>
      <c r="V4317" t="s">
        <v>12802</v>
      </c>
      <c r="W4317" t="s">
        <v>17060</v>
      </c>
      <c r="X4317">
        <v>14</v>
      </c>
      <c r="Y4317" t="s">
        <v>23282</v>
      </c>
      <c r="Z4317" t="s">
        <v>29635</v>
      </c>
      <c r="AA4317">
        <v>0.32006852811914538</v>
      </c>
      <c r="AB4317" t="str">
        <f>HYPERLINK("Melting_Curves/meltCurve_Q8IWV7_UBR1.pdf", "Melting_Curves/meltCurve_Q8IWV7_UBR1.pdf")</f>
        <v>Melting_Curves/meltCurve_Q8IWV7_UBR1.pdf</v>
      </c>
    </row>
    <row r="4318" spans="1:28" x14ac:dyDescent="0.25">
      <c r="A4318" t="s">
        <v>4322</v>
      </c>
      <c r="B4318">
        <v>0.99542014353169495</v>
      </c>
      <c r="C4318">
        <v>0.90815287046542204</v>
      </c>
      <c r="D4318">
        <v>0.87770744866783001</v>
      </c>
      <c r="E4318">
        <v>0.48724146599217999</v>
      </c>
      <c r="F4318">
        <v>0.14462757719335601</v>
      </c>
      <c r="G4318">
        <v>8.7953090676580803E-2</v>
      </c>
      <c r="H4318">
        <v>5.4145472981854799E-2</v>
      </c>
      <c r="I4318">
        <v>3.6655535739907E-2</v>
      </c>
      <c r="J4318">
        <v>4.0247403820698101E-2</v>
      </c>
      <c r="K4318">
        <v>4.7156787217234701E-2</v>
      </c>
      <c r="L4318">
        <v>1105.14834179473</v>
      </c>
      <c r="M4318">
        <v>23.891209373328302</v>
      </c>
      <c r="N4318">
        <v>46.422727510216298</v>
      </c>
      <c r="O4318">
        <v>45.937101263520603</v>
      </c>
      <c r="P4318">
        <v>-0.12472470671592401</v>
      </c>
      <c r="Q4318">
        <v>4.0751909998509403E-2</v>
      </c>
      <c r="R4318">
        <v>0.99591344853472896</v>
      </c>
      <c r="S4318" t="s">
        <v>10720</v>
      </c>
      <c r="T4318" t="s">
        <v>12802</v>
      </c>
      <c r="U4318" t="s">
        <v>12802</v>
      </c>
      <c r="V4318" t="s">
        <v>12802</v>
      </c>
      <c r="W4318" t="s">
        <v>17061</v>
      </c>
      <c r="X4318">
        <v>17</v>
      </c>
      <c r="Y4318" t="s">
        <v>23283</v>
      </c>
      <c r="Z4318" t="s">
        <v>29636</v>
      </c>
      <c r="AA4318">
        <v>0.34550731270554369</v>
      </c>
      <c r="AB4318" t="str">
        <f>HYPERLINK("Melting_Curves/meltCurve_Q8IWV8_4_UBR2.pdf", "Melting_Curves/meltCurve_Q8IWV8_4_UBR2.pdf")</f>
        <v>Melting_Curves/meltCurve_Q8IWV8_4_UBR2.pdf</v>
      </c>
    </row>
    <row r="4319" spans="1:28" x14ac:dyDescent="0.25">
      <c r="A4319" t="s">
        <v>4323</v>
      </c>
      <c r="B4319">
        <v>0.99542014353169495</v>
      </c>
      <c r="C4319">
        <v>1.1654767206569601</v>
      </c>
      <c r="D4319">
        <v>0.98840180331350003</v>
      </c>
      <c r="E4319">
        <v>0.79759237729114996</v>
      </c>
      <c r="F4319">
        <v>0.50523069954601796</v>
      </c>
      <c r="G4319">
        <v>0.27083541982306197</v>
      </c>
      <c r="H4319">
        <v>0.16255877173073799</v>
      </c>
      <c r="I4319">
        <v>0.107119203104506</v>
      </c>
      <c r="J4319">
        <v>0.107835754314799</v>
      </c>
      <c r="K4319">
        <v>0.21967562729012999</v>
      </c>
      <c r="L4319">
        <v>1115.83630050076</v>
      </c>
      <c r="M4319">
        <v>22.5805920966203</v>
      </c>
      <c r="N4319">
        <v>50.141404323446103</v>
      </c>
      <c r="O4319">
        <v>49.033053599801001</v>
      </c>
      <c r="P4319">
        <v>-9.9083928755492906E-2</v>
      </c>
      <c r="Q4319">
        <v>0.139386638214368</v>
      </c>
      <c r="R4319">
        <v>0.97462711123693002</v>
      </c>
      <c r="S4319" t="s">
        <v>10721</v>
      </c>
      <c r="T4319" t="s">
        <v>12802</v>
      </c>
      <c r="U4319" t="s">
        <v>12802</v>
      </c>
      <c r="V4319" t="s">
        <v>12802</v>
      </c>
      <c r="W4319" t="s">
        <v>17062</v>
      </c>
      <c r="X4319">
        <v>4</v>
      </c>
      <c r="Y4319" t="s">
        <v>23284</v>
      </c>
      <c r="Z4319" t="s">
        <v>29637</v>
      </c>
      <c r="AA4319">
        <v>0.50463302274270527</v>
      </c>
      <c r="AB4319" t="str">
        <f>HYPERLINK("Melting_Curves/meltCurve_Q8IWW6_2_ARHGAP12.pdf", "Melting_Curves/meltCurve_Q8IWW6_2_ARHGAP12.pdf")</f>
        <v>Melting_Curves/meltCurve_Q8IWW6_2_ARHGAP12.pdf</v>
      </c>
    </row>
    <row r="4320" spans="1:28" x14ac:dyDescent="0.25">
      <c r="A4320" t="s">
        <v>4324</v>
      </c>
      <c r="B4320">
        <v>0.99542014353169495</v>
      </c>
      <c r="C4320">
        <v>0.87764769440727397</v>
      </c>
      <c r="D4320">
        <v>0.84718908140113502</v>
      </c>
      <c r="E4320">
        <v>0.50981191707245199</v>
      </c>
      <c r="F4320">
        <v>0.246745414520504</v>
      </c>
      <c r="G4320">
        <v>0.105013779503158</v>
      </c>
      <c r="H4320">
        <v>7.8923660823591799E-2</v>
      </c>
      <c r="I4320">
        <v>6.08427753244732E-2</v>
      </c>
      <c r="J4320">
        <v>5.8368025829337103E-2</v>
      </c>
      <c r="K4320">
        <v>4.9775839703662401E-2</v>
      </c>
      <c r="L4320">
        <v>817.19539310809</v>
      </c>
      <c r="M4320">
        <v>17.581482189895699</v>
      </c>
      <c r="N4320">
        <v>46.721245332763999</v>
      </c>
      <c r="O4320">
        <v>45.891642267539901</v>
      </c>
      <c r="P4320">
        <v>-9.1633767235036606E-2</v>
      </c>
      <c r="Q4320">
        <v>4.3312431215688098E-2</v>
      </c>
      <c r="R4320">
        <v>0.99500588959324499</v>
      </c>
      <c r="S4320" t="s">
        <v>10722</v>
      </c>
      <c r="T4320" t="s">
        <v>12802</v>
      </c>
      <c r="U4320" t="s">
        <v>12802</v>
      </c>
      <c r="V4320" t="s">
        <v>12802</v>
      </c>
      <c r="W4320" t="s">
        <v>17063</v>
      </c>
      <c r="X4320">
        <v>10</v>
      </c>
      <c r="Y4320" t="s">
        <v>23285</v>
      </c>
      <c r="Z4320" t="s">
        <v>29638</v>
      </c>
      <c r="AA4320">
        <v>0.36176641063503318</v>
      </c>
      <c r="AB4320" t="str">
        <f>HYPERLINK("Melting_Curves/meltCurve_Q8IWY9_1_CDAN1.pdf", "Melting_Curves/meltCurve_Q8IWY9_1_CDAN1.pdf")</f>
        <v>Melting_Curves/meltCurve_Q8IWY9_1_CDAN1.pdf</v>
      </c>
    </row>
    <row r="4321" spans="1:28" x14ac:dyDescent="0.25">
      <c r="A4321" t="s">
        <v>4325</v>
      </c>
      <c r="B4321">
        <v>0.99542014353169495</v>
      </c>
      <c r="C4321">
        <v>0.92972727100207098</v>
      </c>
      <c r="D4321">
        <v>0.74994779962039804</v>
      </c>
      <c r="E4321">
        <v>0.27645683212594202</v>
      </c>
      <c r="F4321">
        <v>0.143733420042085</v>
      </c>
      <c r="G4321">
        <v>9.5773359386276596E-2</v>
      </c>
      <c r="H4321">
        <v>6.6342951652286195E-2</v>
      </c>
      <c r="I4321">
        <v>4.9175860448516101E-2</v>
      </c>
      <c r="J4321">
        <v>4.9516541013901898E-2</v>
      </c>
      <c r="K4321">
        <v>6.3520774094189394E-2</v>
      </c>
      <c r="L4321">
        <v>1114.1581823193001</v>
      </c>
      <c r="M4321">
        <v>24.9984268441506</v>
      </c>
      <c r="N4321">
        <v>44.813185926603602</v>
      </c>
      <c r="O4321">
        <v>44.286865572396302</v>
      </c>
      <c r="P4321">
        <v>-0.13213747936353601</v>
      </c>
      <c r="Q4321">
        <v>6.3641024826352505E-2</v>
      </c>
      <c r="R4321">
        <v>0.99787090268122103</v>
      </c>
      <c r="S4321" t="s">
        <v>10723</v>
      </c>
      <c r="T4321" t="s">
        <v>12802</v>
      </c>
      <c r="U4321" t="s">
        <v>12802</v>
      </c>
      <c r="V4321" t="s">
        <v>12802</v>
      </c>
      <c r="W4321" t="s">
        <v>17064</v>
      </c>
      <c r="X4321">
        <v>29</v>
      </c>
      <c r="Y4321" t="s">
        <v>23286</v>
      </c>
      <c r="Z4321" t="s">
        <v>29639</v>
      </c>
      <c r="AA4321">
        <v>0.30756513852164169</v>
      </c>
      <c r="AB4321" t="str">
        <f>HYPERLINK("Melting_Curves/meltCurve_Q8IWZ3_ANKHD1.pdf", "Melting_Curves/meltCurve_Q8IWZ3_ANKHD1.pdf")</f>
        <v>Melting_Curves/meltCurve_Q8IWZ3_ANKHD1.pdf</v>
      </c>
    </row>
    <row r="4322" spans="1:28" x14ac:dyDescent="0.25">
      <c r="A4322" t="s">
        <v>4326</v>
      </c>
      <c r="B4322">
        <v>0.99542014353169495</v>
      </c>
      <c r="C4322">
        <v>0.982137231805434</v>
      </c>
      <c r="D4322">
        <v>0.95109575507319499</v>
      </c>
      <c r="E4322">
        <v>0.70119007988932003</v>
      </c>
      <c r="F4322">
        <v>0.35569465736643902</v>
      </c>
      <c r="G4322">
        <v>0.18740912123317999</v>
      </c>
      <c r="H4322">
        <v>0.10472089539938401</v>
      </c>
      <c r="I4322">
        <v>7.81898786462282E-2</v>
      </c>
      <c r="J4322">
        <v>9.3567622049359797E-2</v>
      </c>
      <c r="K4322">
        <v>0.10106374147408</v>
      </c>
      <c r="L4322">
        <v>1044.84410819288</v>
      </c>
      <c r="M4322">
        <v>21.674567961144199</v>
      </c>
      <c r="N4322">
        <v>48.6310258242071</v>
      </c>
      <c r="O4322">
        <v>47.801299622454103</v>
      </c>
      <c r="P4322">
        <v>-0.10357892223898101</v>
      </c>
      <c r="Q4322">
        <v>8.6286306417383801E-2</v>
      </c>
      <c r="R4322">
        <v>0.99929683557541304</v>
      </c>
      <c r="S4322" t="s">
        <v>10724</v>
      </c>
      <c r="T4322" t="s">
        <v>12802</v>
      </c>
      <c r="U4322" t="s">
        <v>12802</v>
      </c>
      <c r="V4322" t="s">
        <v>12802</v>
      </c>
      <c r="W4322" t="s">
        <v>17065</v>
      </c>
      <c r="X4322">
        <v>12</v>
      </c>
      <c r="Y4322" t="s">
        <v>23287</v>
      </c>
      <c r="Z4322" t="s">
        <v>29640</v>
      </c>
      <c r="AA4322">
        <v>0.43790078912133701</v>
      </c>
      <c r="AB4322" t="str">
        <f>HYPERLINK("Melting_Curves/meltCurve_Q8IWZ8_SUGP1.pdf", "Melting_Curves/meltCurve_Q8IWZ8_SUGP1.pdf")</f>
        <v>Melting_Curves/meltCurve_Q8IWZ8_SUGP1.pdf</v>
      </c>
    </row>
    <row r="4323" spans="1:28" x14ac:dyDescent="0.25">
      <c r="A4323" t="s">
        <v>4327</v>
      </c>
      <c r="B4323">
        <v>0.99542014353169495</v>
      </c>
      <c r="C4323">
        <v>0.81049084946398497</v>
      </c>
      <c r="D4323">
        <v>0.86499880374421101</v>
      </c>
      <c r="E4323">
        <v>0.37570908322941898</v>
      </c>
      <c r="F4323">
        <v>0.25223262477567099</v>
      </c>
      <c r="G4323">
        <v>0.107481562733983</v>
      </c>
      <c r="H4323">
        <v>5.63086413806737E-2</v>
      </c>
      <c r="I4323">
        <v>3.69641918350853E-2</v>
      </c>
      <c r="J4323">
        <v>1.3447186689371201E-2</v>
      </c>
      <c r="K4323">
        <v>4.5893399777383603E-2</v>
      </c>
      <c r="L4323">
        <v>753.94053785372103</v>
      </c>
      <c r="M4323">
        <v>16.4338235137953</v>
      </c>
      <c r="N4323">
        <v>46.016694519875003</v>
      </c>
      <c r="O4323">
        <v>45.214185859430998</v>
      </c>
      <c r="P4323">
        <v>-8.8667431282814804E-2</v>
      </c>
      <c r="Q4323">
        <v>2.42701676278556E-2</v>
      </c>
      <c r="R4323">
        <v>0.976047739090246</v>
      </c>
      <c r="S4323" t="s">
        <v>10725</v>
      </c>
      <c r="T4323" t="s">
        <v>12802</v>
      </c>
      <c r="U4323" t="s">
        <v>12802</v>
      </c>
      <c r="V4323" t="s">
        <v>12802</v>
      </c>
      <c r="W4323" t="s">
        <v>17066</v>
      </c>
      <c r="X4323">
        <v>2</v>
      </c>
      <c r="Y4323" t="s">
        <v>23288</v>
      </c>
      <c r="Z4323" t="s">
        <v>29641</v>
      </c>
      <c r="AA4323">
        <v>0.33191872520675292</v>
      </c>
      <c r="AB4323" t="str">
        <f>HYPERLINK("Melting_Curves/meltCurve_Q8IX07_ZFPM1.pdf", "Melting_Curves/meltCurve_Q8IX07_ZFPM1.pdf")</f>
        <v>Melting_Curves/meltCurve_Q8IX07_ZFPM1.pdf</v>
      </c>
    </row>
    <row r="4324" spans="1:28" x14ac:dyDescent="0.25">
      <c r="A4324" t="s">
        <v>4328</v>
      </c>
      <c r="B4324">
        <v>0.99542014353169495</v>
      </c>
      <c r="C4324">
        <v>0.89422104110857803</v>
      </c>
      <c r="D4324">
        <v>0.94173053138142604</v>
      </c>
      <c r="E4324">
        <v>0.60886868934789096</v>
      </c>
      <c r="F4324">
        <v>0.17118179521143501</v>
      </c>
      <c r="G4324">
        <v>8.4481322629506306E-2</v>
      </c>
      <c r="H4324">
        <v>5.43105563673165E-2</v>
      </c>
      <c r="I4324">
        <v>4.0537321956732299E-2</v>
      </c>
      <c r="J4324">
        <v>4.49215730529057E-2</v>
      </c>
      <c r="K4324">
        <v>5.2842184193529401E-2</v>
      </c>
      <c r="L4324">
        <v>1352.4860961301899</v>
      </c>
      <c r="M4324">
        <v>28.7002384699645</v>
      </c>
      <c r="N4324">
        <v>47.285610976063403</v>
      </c>
      <c r="O4324">
        <v>46.897542879231203</v>
      </c>
      <c r="P4324">
        <v>-0.14587167508874499</v>
      </c>
      <c r="Q4324">
        <v>4.65624373107787E-2</v>
      </c>
      <c r="R4324">
        <v>0.99324346716482803</v>
      </c>
      <c r="S4324" t="s">
        <v>10726</v>
      </c>
      <c r="T4324" t="s">
        <v>12802</v>
      </c>
      <c r="U4324" t="s">
        <v>12802</v>
      </c>
      <c r="V4324" t="s">
        <v>12802</v>
      </c>
      <c r="W4324" t="s">
        <v>17067</v>
      </c>
      <c r="X4324">
        <v>22</v>
      </c>
      <c r="Y4324" t="s">
        <v>23289</v>
      </c>
      <c r="Z4324" t="s">
        <v>29642</v>
      </c>
      <c r="AA4324">
        <v>0.37440797482593952</v>
      </c>
      <c r="AB4324" t="str">
        <f>HYPERLINK("Melting_Curves/meltCurve_Q8IX12_2_CCAR1.pdf", "Melting_Curves/meltCurve_Q8IX12_2_CCAR1.pdf")</f>
        <v>Melting_Curves/meltCurve_Q8IX12_2_CCAR1.pdf</v>
      </c>
    </row>
    <row r="4325" spans="1:28" x14ac:dyDescent="0.25">
      <c r="A4325" t="s">
        <v>4329</v>
      </c>
      <c r="B4325">
        <v>0.99542014353169495</v>
      </c>
      <c r="C4325">
        <v>0.84767632971140205</v>
      </c>
      <c r="D4325">
        <v>0.57113343302727504</v>
      </c>
      <c r="E4325">
        <v>0.318221765462534</v>
      </c>
      <c r="F4325">
        <v>0.238514593452438</v>
      </c>
      <c r="G4325">
        <v>0.14978785715999601</v>
      </c>
      <c r="H4325">
        <v>0.13785802485259399</v>
      </c>
      <c r="I4325">
        <v>9.0497267449319199E-2</v>
      </c>
      <c r="J4325">
        <v>0.106627640694007</v>
      </c>
      <c r="K4325">
        <v>5.53372950612918E-2</v>
      </c>
      <c r="L4325">
        <v>702.699313350598</v>
      </c>
      <c r="M4325">
        <v>16.1233761413</v>
      </c>
      <c r="N4325">
        <v>44.1753410525654</v>
      </c>
      <c r="O4325">
        <v>42.928755500942998</v>
      </c>
      <c r="P4325">
        <v>-8.4769868082041996E-2</v>
      </c>
      <c r="Q4325">
        <v>9.7264141779080396E-2</v>
      </c>
      <c r="R4325">
        <v>0.99219223940008205</v>
      </c>
      <c r="S4325" t="s">
        <v>10727</v>
      </c>
      <c r="T4325" t="s">
        <v>12802</v>
      </c>
      <c r="U4325" t="s">
        <v>12802</v>
      </c>
      <c r="V4325" t="s">
        <v>12802</v>
      </c>
      <c r="W4325" t="s">
        <v>17068</v>
      </c>
      <c r="X4325">
        <v>1</v>
      </c>
      <c r="Y4325" t="s">
        <v>23290</v>
      </c>
      <c r="Z4325" t="s">
        <v>29643</v>
      </c>
      <c r="AA4325">
        <v>0.31501998355778099</v>
      </c>
      <c r="AB4325" t="str">
        <f>HYPERLINK("Melting_Curves/meltCurve_Q8IX15_HOMEZ.pdf", "Melting_Curves/meltCurve_Q8IX15_HOMEZ.pdf")</f>
        <v>Melting_Curves/meltCurve_Q8IX15_HOMEZ.pdf</v>
      </c>
    </row>
    <row r="4326" spans="1:28" x14ac:dyDescent="0.25">
      <c r="A4326" t="s">
        <v>4330</v>
      </c>
      <c r="B4326">
        <v>0.99542014353169495</v>
      </c>
      <c r="C4326">
        <v>0.98323945885711805</v>
      </c>
      <c r="D4326">
        <v>0.84907734106475996</v>
      </c>
      <c r="E4326">
        <v>0.63598496716064901</v>
      </c>
      <c r="F4326">
        <v>0.309341921032943</v>
      </c>
      <c r="G4326">
        <v>0.17624415581905001</v>
      </c>
      <c r="H4326">
        <v>0.13689760525700601</v>
      </c>
      <c r="I4326">
        <v>9.4634564614027597E-2</v>
      </c>
      <c r="J4326">
        <v>6.7845004390864994E-2</v>
      </c>
      <c r="K4326">
        <v>5.7028594268511E-2</v>
      </c>
      <c r="L4326">
        <v>823.54718894883501</v>
      </c>
      <c r="M4326">
        <v>17.324988893485799</v>
      </c>
      <c r="N4326">
        <v>47.927498015726101</v>
      </c>
      <c r="O4326">
        <v>46.9154684121375</v>
      </c>
      <c r="P4326">
        <v>-8.6222530677264597E-2</v>
      </c>
      <c r="Q4326">
        <v>6.6103136094227397E-2</v>
      </c>
      <c r="R4326">
        <v>0.99799502317731303</v>
      </c>
      <c r="S4326" t="s">
        <v>10728</v>
      </c>
      <c r="T4326" t="s">
        <v>12802</v>
      </c>
      <c r="U4326" t="s">
        <v>12802</v>
      </c>
      <c r="V4326" t="s">
        <v>12802</v>
      </c>
      <c r="W4326" t="s">
        <v>17069</v>
      </c>
      <c r="X4326">
        <v>2</v>
      </c>
      <c r="Y4326" t="s">
        <v>23291</v>
      </c>
      <c r="Z4326" t="s">
        <v>29644</v>
      </c>
      <c r="AA4326">
        <v>0.41011817594970601</v>
      </c>
      <c r="AB4326" t="str">
        <f>HYPERLINK("Melting_Curves/meltCurve_Q8IX18_3_DHX40.pdf", "Melting_Curves/meltCurve_Q8IX18_3_DHX40.pdf")</f>
        <v>Melting_Curves/meltCurve_Q8IX18_3_DHX40.pdf</v>
      </c>
    </row>
    <row r="4327" spans="1:28" x14ac:dyDescent="0.25">
      <c r="A4327" t="s">
        <v>4331</v>
      </c>
      <c r="B4327">
        <v>0.99542014353169495</v>
      </c>
      <c r="C4327">
        <v>0.85531259445696095</v>
      </c>
      <c r="D4327">
        <v>0.53885621570031506</v>
      </c>
      <c r="E4327">
        <v>0.28959877927406302</v>
      </c>
      <c r="F4327">
        <v>0.20322039441614401</v>
      </c>
      <c r="G4327">
        <v>0.12438561904147501</v>
      </c>
      <c r="H4327">
        <v>9.9214739618656497E-2</v>
      </c>
      <c r="I4327">
        <v>8.5371800429021594E-2</v>
      </c>
      <c r="J4327">
        <v>9.9817876698927097E-2</v>
      </c>
      <c r="K4327">
        <v>0.11984245804285799</v>
      </c>
      <c r="L4327">
        <v>815.29295744942306</v>
      </c>
      <c r="M4327">
        <v>18.901080262399802</v>
      </c>
      <c r="N4327">
        <v>43.682506729355701</v>
      </c>
      <c r="O4327">
        <v>42.660587004619799</v>
      </c>
      <c r="P4327">
        <v>-9.9081688914262903E-2</v>
      </c>
      <c r="Q4327">
        <v>0.10550908510268001</v>
      </c>
      <c r="R4327">
        <v>0.99552428485995703</v>
      </c>
      <c r="S4327" t="s">
        <v>10729</v>
      </c>
      <c r="T4327" t="s">
        <v>12802</v>
      </c>
      <c r="U4327" t="s">
        <v>12802</v>
      </c>
      <c r="V4327" t="s">
        <v>12802</v>
      </c>
      <c r="W4327" t="s">
        <v>17070</v>
      </c>
      <c r="X4327">
        <v>9</v>
      </c>
      <c r="Y4327" t="s">
        <v>23292</v>
      </c>
      <c r="Z4327" t="s">
        <v>29645</v>
      </c>
      <c r="AA4327">
        <v>0.30249589251465248</v>
      </c>
      <c r="AB4327" t="str">
        <f>HYPERLINK("Melting_Curves/meltCurve_Q8IX90_SKA3.pdf", "Melting_Curves/meltCurve_Q8IX90_SKA3.pdf")</f>
        <v>Melting_Curves/meltCurve_Q8IX90_SKA3.pdf</v>
      </c>
    </row>
    <row r="4328" spans="1:28" x14ac:dyDescent="0.25">
      <c r="A4328" t="s">
        <v>4332</v>
      </c>
      <c r="B4328">
        <v>0.99542014353169495</v>
      </c>
      <c r="C4328">
        <v>0.909262567715029</v>
      </c>
      <c r="D4328">
        <v>0.93091531490075496</v>
      </c>
      <c r="E4328">
        <v>0.67989329109770202</v>
      </c>
      <c r="F4328">
        <v>0.49968199300459099</v>
      </c>
      <c r="G4328">
        <v>0.22675617360318501</v>
      </c>
      <c r="H4328">
        <v>9.0908252993456506E-2</v>
      </c>
      <c r="I4328">
        <v>5.1513578650987997E-2</v>
      </c>
      <c r="J4328">
        <v>5.7768867299283003E-2</v>
      </c>
      <c r="K4328">
        <v>7.4747727023527999E-2</v>
      </c>
      <c r="L4328">
        <v>738.19271215117101</v>
      </c>
      <c r="M4328">
        <v>14.953307476564699</v>
      </c>
      <c r="N4328">
        <v>49.496715099298903</v>
      </c>
      <c r="O4328">
        <v>48.508858594554098</v>
      </c>
      <c r="P4328">
        <v>-7.5586102310582506E-2</v>
      </c>
      <c r="Q4328">
        <v>1.9288378890107399E-2</v>
      </c>
      <c r="R4328">
        <v>0.99169651198111797</v>
      </c>
      <c r="S4328" t="s">
        <v>10730</v>
      </c>
      <c r="T4328" t="s">
        <v>12802</v>
      </c>
      <c r="U4328" t="s">
        <v>12802</v>
      </c>
      <c r="V4328" t="s">
        <v>12802</v>
      </c>
      <c r="W4328" t="s">
        <v>17071</v>
      </c>
      <c r="X4328">
        <v>15</v>
      </c>
      <c r="Y4328" t="s">
        <v>23293</v>
      </c>
      <c r="Z4328" t="s">
        <v>29646</v>
      </c>
      <c r="AA4328">
        <v>0.44454693546570989</v>
      </c>
      <c r="AB4328" t="str">
        <f>HYPERLINK("Melting_Curves/meltCurve_Q8IXB1_DNAJC10.pdf", "Melting_Curves/meltCurve_Q8IXB1_DNAJC10.pdf")</f>
        <v>Melting_Curves/meltCurve_Q8IXB1_DNAJC10.pdf</v>
      </c>
    </row>
    <row r="4329" spans="1:28" x14ac:dyDescent="0.25">
      <c r="A4329" t="s">
        <v>4333</v>
      </c>
      <c r="B4329">
        <v>0.99542014353169495</v>
      </c>
      <c r="C4329">
        <v>0.929701442093679</v>
      </c>
      <c r="D4329">
        <v>0.91183442082468003</v>
      </c>
      <c r="E4329">
        <v>0.73086438897909201</v>
      </c>
      <c r="F4329">
        <v>0.36975718153832099</v>
      </c>
      <c r="G4329">
        <v>0.13669232520845601</v>
      </c>
      <c r="H4329">
        <v>7.8777326876322204E-2</v>
      </c>
      <c r="I4329">
        <v>5.7676376707710801E-2</v>
      </c>
      <c r="J4329">
        <v>5.8073172832111497E-2</v>
      </c>
      <c r="K4329">
        <v>6.7505277182403095E-2</v>
      </c>
      <c r="L4329">
        <v>1000.39058253487</v>
      </c>
      <c r="M4329">
        <v>20.620557358711199</v>
      </c>
      <c r="N4329">
        <v>48.748067324095501</v>
      </c>
      <c r="O4329">
        <v>48.064890422560602</v>
      </c>
      <c r="P4329">
        <v>-0.10220634862493</v>
      </c>
      <c r="Q4329">
        <v>4.7087940828510103E-2</v>
      </c>
      <c r="R4329">
        <v>0.99651226301052798</v>
      </c>
      <c r="S4329" t="s">
        <v>10731</v>
      </c>
      <c r="T4329" t="s">
        <v>12802</v>
      </c>
      <c r="U4329" t="s">
        <v>12802</v>
      </c>
      <c r="V4329" t="s">
        <v>12802</v>
      </c>
      <c r="W4329" t="s">
        <v>17072</v>
      </c>
      <c r="X4329">
        <v>12</v>
      </c>
      <c r="Y4329" t="s">
        <v>23294</v>
      </c>
      <c r="Z4329" t="s">
        <v>29647</v>
      </c>
      <c r="AA4329">
        <v>0.42466871063481321</v>
      </c>
      <c r="AB4329" t="str">
        <f>HYPERLINK("Melting_Curves/meltCurve_Q8IXI1_RHOT2.pdf", "Melting_Curves/meltCurve_Q8IXI1_RHOT2.pdf")</f>
        <v>Melting_Curves/meltCurve_Q8IXI1_RHOT2.pdf</v>
      </c>
    </row>
    <row r="4330" spans="1:28" x14ac:dyDescent="0.25">
      <c r="A4330" t="s">
        <v>4334</v>
      </c>
      <c r="B4330">
        <v>0.99542014353169495</v>
      </c>
      <c r="C4330">
        <v>1.04402792824478</v>
      </c>
      <c r="D4330">
        <v>0.98249051484799499</v>
      </c>
      <c r="E4330">
        <v>0.78469418254078205</v>
      </c>
      <c r="F4330">
        <v>0.59009239091781096</v>
      </c>
      <c r="G4330">
        <v>0.27153994964496497</v>
      </c>
      <c r="H4330">
        <v>7.3945043523103798E-2</v>
      </c>
      <c r="I4330">
        <v>4.6452450588311302E-2</v>
      </c>
      <c r="J4330">
        <v>3.2495491856656601E-2</v>
      </c>
      <c r="K4330">
        <v>2.9085357542336199E-2</v>
      </c>
      <c r="L4330">
        <v>918.56438771909097</v>
      </c>
      <c r="M4330">
        <v>18.081571681371301</v>
      </c>
      <c r="N4330">
        <v>50.806863942818602</v>
      </c>
      <c r="O4330">
        <v>50.191990962540601</v>
      </c>
      <c r="P4330">
        <v>-8.9974707669344997E-2</v>
      </c>
      <c r="Q4330">
        <v>1.0180726042606199E-3</v>
      </c>
      <c r="R4330">
        <v>0.99500055896427497</v>
      </c>
      <c r="S4330" t="s">
        <v>10732</v>
      </c>
      <c r="T4330" t="s">
        <v>12802</v>
      </c>
      <c r="U4330" t="s">
        <v>12802</v>
      </c>
      <c r="V4330" t="s">
        <v>12802</v>
      </c>
      <c r="W4330" t="s">
        <v>17073</v>
      </c>
      <c r="X4330">
        <v>7</v>
      </c>
      <c r="Y4330" t="s">
        <v>23295</v>
      </c>
      <c r="Z4330" t="s">
        <v>29648</v>
      </c>
      <c r="AA4330">
        <v>0.47602960081133278</v>
      </c>
      <c r="AB4330" t="str">
        <f>HYPERLINK("Melting_Curves/meltCurve_Q8IXI2_2_RHOT1.pdf", "Melting_Curves/meltCurve_Q8IXI2_2_RHOT1.pdf")</f>
        <v>Melting_Curves/meltCurve_Q8IXI2_2_RHOT1.pdf</v>
      </c>
    </row>
    <row r="4331" spans="1:28" x14ac:dyDescent="0.25">
      <c r="A4331" t="s">
        <v>4335</v>
      </c>
      <c r="B4331">
        <v>0.99542014353169495</v>
      </c>
      <c r="C4331">
        <v>1.05238639729317</v>
      </c>
      <c r="D4331">
        <v>0.95912855798270802</v>
      </c>
      <c r="E4331">
        <v>0.94486072494492901</v>
      </c>
      <c r="F4331">
        <v>0.67551262060516304</v>
      </c>
      <c r="G4331">
        <v>0.215796329724042</v>
      </c>
      <c r="H4331">
        <v>7.8422111938127204E-2</v>
      </c>
      <c r="I4331">
        <v>5.5723946525941301E-2</v>
      </c>
      <c r="J4331">
        <v>4.3920277492491902E-2</v>
      </c>
      <c r="K4331">
        <v>4.7729206138848901E-2</v>
      </c>
      <c r="L4331">
        <v>1585.57391888303</v>
      </c>
      <c r="M4331">
        <v>30.952484794698101</v>
      </c>
      <c r="N4331">
        <v>51.382777804128303</v>
      </c>
      <c r="O4331">
        <v>51.013664947162198</v>
      </c>
      <c r="P4331">
        <v>-0.14485570115301399</v>
      </c>
      <c r="Q4331">
        <v>4.5042413502691399E-2</v>
      </c>
      <c r="R4331">
        <v>0.99756245520235898</v>
      </c>
      <c r="S4331" t="s">
        <v>10733</v>
      </c>
      <c r="T4331" t="s">
        <v>12802</v>
      </c>
      <c r="U4331" t="s">
        <v>12802</v>
      </c>
      <c r="V4331" t="s">
        <v>12802</v>
      </c>
      <c r="W4331" t="s">
        <v>17074</v>
      </c>
      <c r="X4331">
        <v>9</v>
      </c>
      <c r="Y4331" t="s">
        <v>23296</v>
      </c>
      <c r="Z4331" t="s">
        <v>29649</v>
      </c>
      <c r="AA4331">
        <v>0.50350076654242037</v>
      </c>
      <c r="AB4331" t="str">
        <f>HYPERLINK("Melting_Curves/meltCurve_Q8IXJ6_2_SIRT2.pdf", "Melting_Curves/meltCurve_Q8IXJ6_2_SIRT2.pdf")</f>
        <v>Melting_Curves/meltCurve_Q8IXJ6_2_SIRT2.pdf</v>
      </c>
    </row>
    <row r="4332" spans="1:28" x14ac:dyDescent="0.25">
      <c r="A4332" t="s">
        <v>4336</v>
      </c>
      <c r="B4332">
        <v>0.99542014353169495</v>
      </c>
      <c r="C4332">
        <v>0.90784013829844301</v>
      </c>
      <c r="D4332">
        <v>0.91076082872118302</v>
      </c>
      <c r="E4332">
        <v>0.641340408109078</v>
      </c>
      <c r="F4332">
        <v>0.52345231126442304</v>
      </c>
      <c r="G4332">
        <v>0.252950746015418</v>
      </c>
      <c r="H4332">
        <v>0.114386718146678</v>
      </c>
      <c r="I4332">
        <v>9.3638980756186194E-2</v>
      </c>
      <c r="J4332">
        <v>5.3504095245095397E-2</v>
      </c>
      <c r="K4332">
        <v>0.109588518587247</v>
      </c>
      <c r="L4332">
        <v>654.46271056183002</v>
      </c>
      <c r="M4332">
        <v>13.2856591837929</v>
      </c>
      <c r="N4332">
        <v>49.493588885324499</v>
      </c>
      <c r="O4332">
        <v>48.184915391816702</v>
      </c>
      <c r="P4332">
        <v>-6.6854026642130499E-2</v>
      </c>
      <c r="Q4332">
        <v>3.02829652960422E-2</v>
      </c>
      <c r="R4332">
        <v>0.98773823901991398</v>
      </c>
      <c r="S4332" t="s">
        <v>10734</v>
      </c>
      <c r="T4332" t="s">
        <v>12802</v>
      </c>
      <c r="U4332" t="s">
        <v>12802</v>
      </c>
      <c r="V4332" t="s">
        <v>12802</v>
      </c>
      <c r="W4332" t="s">
        <v>17075</v>
      </c>
      <c r="X4332">
        <v>3</v>
      </c>
      <c r="Y4332" t="s">
        <v>23297</v>
      </c>
      <c r="Z4332" t="s">
        <v>29650</v>
      </c>
      <c r="AA4332">
        <v>0.45136931562743671</v>
      </c>
      <c r="AB4332" t="str">
        <f>HYPERLINK("Melting_Curves/meltCurve_Q8IXJ9_2_ASXL1.pdf", "Melting_Curves/meltCurve_Q8IXJ9_2_ASXL1.pdf")</f>
        <v>Melting_Curves/meltCurve_Q8IXJ9_2_ASXL1.pdf</v>
      </c>
    </row>
    <row r="4333" spans="1:28" x14ac:dyDescent="0.25">
      <c r="A4333" t="s">
        <v>4337</v>
      </c>
      <c r="B4333">
        <v>0.99542014353169495</v>
      </c>
      <c r="C4333">
        <v>0.92907804118328696</v>
      </c>
      <c r="D4333">
        <v>0.86963577199531805</v>
      </c>
      <c r="E4333">
        <v>0.62087767025913998</v>
      </c>
      <c r="F4333">
        <v>0.32791418156102098</v>
      </c>
      <c r="G4333">
        <v>0.14499328673533399</v>
      </c>
      <c r="H4333">
        <v>0.10601905439713501</v>
      </c>
      <c r="I4333">
        <v>6.6827253916920501E-2</v>
      </c>
      <c r="J4333">
        <v>7.7354173358277906E-2</v>
      </c>
      <c r="K4333">
        <v>9.6602091401079601E-2</v>
      </c>
      <c r="L4333">
        <v>843.596949972125</v>
      </c>
      <c r="M4333">
        <v>17.772800685053099</v>
      </c>
      <c r="N4333">
        <v>47.841169612860398</v>
      </c>
      <c r="O4333">
        <v>46.876928913636597</v>
      </c>
      <c r="P4333">
        <v>-8.8617505273323904E-2</v>
      </c>
      <c r="Q4333">
        <v>6.5110534549553997E-2</v>
      </c>
      <c r="R4333">
        <v>0.99761776142348702</v>
      </c>
      <c r="S4333" t="s">
        <v>10735</v>
      </c>
      <c r="T4333" t="s">
        <v>12802</v>
      </c>
      <c r="U4333" t="s">
        <v>12802</v>
      </c>
      <c r="V4333" t="s">
        <v>12802</v>
      </c>
      <c r="W4333" t="s">
        <v>17076</v>
      </c>
      <c r="X4333">
        <v>7</v>
      </c>
      <c r="Y4333" t="s">
        <v>23298</v>
      </c>
      <c r="Z4333" t="s">
        <v>29651</v>
      </c>
      <c r="AA4333">
        <v>0.40658658624147592</v>
      </c>
      <c r="AB4333" t="str">
        <f>HYPERLINK("Melting_Curves/meltCurve_Q8IXK2_GALNT12.pdf", "Melting_Curves/meltCurve_Q8IXK2_GALNT12.pdf")</f>
        <v>Melting_Curves/meltCurve_Q8IXK2_GALNT12.pdf</v>
      </c>
    </row>
    <row r="4334" spans="1:28" x14ac:dyDescent="0.25">
      <c r="A4334" t="s">
        <v>4338</v>
      </c>
      <c r="B4334">
        <v>0.99542014353169495</v>
      </c>
      <c r="C4334">
        <v>1.2107461881314701</v>
      </c>
      <c r="D4334">
        <v>1.1408335794608999</v>
      </c>
      <c r="E4334">
        <v>1.1341682151967301</v>
      </c>
      <c r="F4334">
        <v>0.89102914012594303</v>
      </c>
      <c r="G4334">
        <v>0.56488879636869205</v>
      </c>
      <c r="H4334">
        <v>0.41088661614302202</v>
      </c>
      <c r="I4334">
        <v>0.32418542648471599</v>
      </c>
      <c r="J4334">
        <v>0.32527258969778799</v>
      </c>
      <c r="K4334">
        <v>0.23802715982585401</v>
      </c>
      <c r="L4334">
        <v>1609.2213328381899</v>
      </c>
      <c r="M4334">
        <v>30.2740868004894</v>
      </c>
      <c r="N4334">
        <v>54.803052098007498</v>
      </c>
      <c r="O4334">
        <v>52.9247614527278</v>
      </c>
      <c r="P4334">
        <v>-0.10027422896431799</v>
      </c>
      <c r="Q4334">
        <v>0.29881204093619501</v>
      </c>
      <c r="R4334">
        <v>0.93217270598423896</v>
      </c>
      <c r="S4334" t="s">
        <v>10736</v>
      </c>
      <c r="T4334" t="s">
        <v>12802</v>
      </c>
      <c r="U4334" t="s">
        <v>12802</v>
      </c>
      <c r="V4334" t="s">
        <v>12802</v>
      </c>
      <c r="W4334" t="s">
        <v>17077</v>
      </c>
      <c r="X4334">
        <v>2</v>
      </c>
      <c r="Y4334" t="s">
        <v>23299</v>
      </c>
      <c r="Z4334" t="s">
        <v>29652</v>
      </c>
      <c r="AA4334">
        <v>0.68079578776830352</v>
      </c>
      <c r="AB4334" t="str">
        <f>HYPERLINK("Melting_Curves/meltCurve_Q8IXM6_2_NRM.pdf", "Melting_Curves/meltCurve_Q8IXM6_2_NRM.pdf")</f>
        <v>Melting_Curves/meltCurve_Q8IXM6_2_NRM.pdf</v>
      </c>
    </row>
    <row r="4335" spans="1:28" x14ac:dyDescent="0.25">
      <c r="A4335" t="s">
        <v>4339</v>
      </c>
      <c r="B4335">
        <v>0.99542014353169495</v>
      </c>
      <c r="C4335">
        <v>1.10748230749999</v>
      </c>
      <c r="D4335">
        <v>1.0378475355452601</v>
      </c>
      <c r="E4335">
        <v>0.98177270029931696</v>
      </c>
      <c r="F4335">
        <v>0.74778702312827094</v>
      </c>
      <c r="G4335">
        <v>0.41641038506345601</v>
      </c>
      <c r="H4335">
        <v>0.26489261123007102</v>
      </c>
      <c r="I4335">
        <v>0.180347848955622</v>
      </c>
      <c r="J4335">
        <v>0.25843556681899599</v>
      </c>
      <c r="K4335">
        <v>0.28027130692097402</v>
      </c>
      <c r="L4335">
        <v>1552.6110410452</v>
      </c>
      <c r="M4335">
        <v>30.156769116615902</v>
      </c>
      <c r="N4335">
        <v>52.611129576431203</v>
      </c>
      <c r="O4335">
        <v>51.259860111020302</v>
      </c>
      <c r="P4335">
        <v>-0.112096063451174</v>
      </c>
      <c r="Q4335">
        <v>0.23785047808413801</v>
      </c>
      <c r="R4335">
        <v>0.98472784763449295</v>
      </c>
      <c r="S4335" t="s">
        <v>10737</v>
      </c>
      <c r="T4335" t="s">
        <v>12802</v>
      </c>
      <c r="U4335" t="s">
        <v>12802</v>
      </c>
      <c r="V4335" t="s">
        <v>12802</v>
      </c>
      <c r="W4335" t="s">
        <v>17078</v>
      </c>
      <c r="X4335">
        <v>6</v>
      </c>
      <c r="Y4335" t="s">
        <v>23300</v>
      </c>
      <c r="Z4335" t="s">
        <v>29653</v>
      </c>
      <c r="AA4335">
        <v>0.61056445613481203</v>
      </c>
      <c r="AB4335" t="str">
        <f>HYPERLINK("Melting_Curves/meltCurve_Q8IXQ3_C9orf40.pdf", "Melting_Curves/meltCurve_Q8IXQ3_C9orf40.pdf")</f>
        <v>Melting_Curves/meltCurve_Q8IXQ3_C9orf40.pdf</v>
      </c>
    </row>
    <row r="4336" spans="1:28" x14ac:dyDescent="0.25">
      <c r="A4336" t="s">
        <v>4340</v>
      </c>
      <c r="B4336">
        <v>0.99542014353169495</v>
      </c>
      <c r="C4336">
        <v>0.98506134889904995</v>
      </c>
      <c r="D4336">
        <v>0.89881831984074401</v>
      </c>
      <c r="E4336">
        <v>0.97411096085301696</v>
      </c>
      <c r="F4336">
        <v>0.83506088480222196</v>
      </c>
      <c r="G4336">
        <v>0.76683688347095802</v>
      </c>
      <c r="H4336">
        <v>0.63680512205517203</v>
      </c>
      <c r="I4336">
        <v>0.63534142975700203</v>
      </c>
      <c r="J4336">
        <v>1.0544789285549301</v>
      </c>
      <c r="K4336">
        <v>1.26714874042821</v>
      </c>
      <c r="L4336">
        <v>946.736605209505</v>
      </c>
      <c r="M4336">
        <v>22.3121604864196</v>
      </c>
      <c r="O4336">
        <v>42.094985535648597</v>
      </c>
      <c r="P4336">
        <v>-1.6522627025534399E-2</v>
      </c>
      <c r="Q4336">
        <v>0.87531372393248297</v>
      </c>
      <c r="R4336">
        <v>5.6398138463854303E-2</v>
      </c>
      <c r="S4336" t="s">
        <v>10738</v>
      </c>
      <c r="T4336" t="s">
        <v>12802</v>
      </c>
      <c r="U4336" t="s">
        <v>12802</v>
      </c>
      <c r="V4336" t="s">
        <v>12802</v>
      </c>
      <c r="W4336" t="s">
        <v>17079</v>
      </c>
      <c r="X4336">
        <v>12</v>
      </c>
      <c r="Y4336" t="s">
        <v>23301</v>
      </c>
      <c r="Z4336" t="s">
        <v>29654</v>
      </c>
      <c r="AA4336">
        <v>0.89928859857108612</v>
      </c>
      <c r="AB4336" t="str">
        <f>HYPERLINK("Melting_Curves/meltCurve_Q8IXQ4_KIAA1704.pdf", "Melting_Curves/meltCurve_Q8IXQ4_KIAA1704.pdf")</f>
        <v>Melting_Curves/meltCurve_Q8IXQ4_KIAA1704.pdf</v>
      </c>
    </row>
    <row r="4337" spans="1:28" x14ac:dyDescent="0.25">
      <c r="A4337" t="s">
        <v>4341</v>
      </c>
      <c r="B4337">
        <v>0.99542014353169495</v>
      </c>
      <c r="C4337">
        <v>0.82014494676815097</v>
      </c>
      <c r="D4337">
        <v>0.82958583093565896</v>
      </c>
      <c r="E4337">
        <v>0.75621021630665597</v>
      </c>
      <c r="F4337">
        <v>0.47873837148987203</v>
      </c>
      <c r="G4337">
        <v>0.26956894717166502</v>
      </c>
      <c r="H4337">
        <v>0.194572175110798</v>
      </c>
      <c r="I4337">
        <v>0.14255898621453</v>
      </c>
      <c r="J4337">
        <v>8.5716744957308105E-2</v>
      </c>
      <c r="K4337">
        <v>8.2927554781237603E-2</v>
      </c>
      <c r="L4337">
        <v>517.61630672742399</v>
      </c>
      <c r="M4337">
        <v>10.386178241071899</v>
      </c>
      <c r="N4337">
        <v>49.839917452569999</v>
      </c>
      <c r="O4337">
        <v>48.095689504935201</v>
      </c>
      <c r="P4337">
        <v>-5.3993514102853898E-2</v>
      </c>
      <c r="Q4337">
        <v>3.0089990812656497E-4</v>
      </c>
      <c r="R4337">
        <v>0.980152835528042</v>
      </c>
      <c r="S4337" t="s">
        <v>10739</v>
      </c>
      <c r="T4337" t="s">
        <v>12802</v>
      </c>
      <c r="U4337" t="s">
        <v>12802</v>
      </c>
      <c r="V4337" t="s">
        <v>12802</v>
      </c>
      <c r="W4337" t="s">
        <v>17080</v>
      </c>
      <c r="X4337">
        <v>3</v>
      </c>
      <c r="Y4337" t="s">
        <v>23302</v>
      </c>
      <c r="Z4337" t="s">
        <v>29655</v>
      </c>
      <c r="AA4337">
        <v>0.46125629187422851</v>
      </c>
      <c r="AB4337" t="str">
        <f>HYPERLINK("Melting_Curves/meltCurve_Q8IXS8_FAM126B.pdf", "Melting_Curves/meltCurve_Q8IXS8_FAM126B.pdf")</f>
        <v>Melting_Curves/meltCurve_Q8IXS8_FAM126B.pdf</v>
      </c>
    </row>
    <row r="4338" spans="1:28" x14ac:dyDescent="0.25">
      <c r="A4338" t="s">
        <v>4342</v>
      </c>
      <c r="B4338">
        <v>0.99542014353169495</v>
      </c>
      <c r="C4338">
        <v>0.87910576214770697</v>
      </c>
      <c r="D4338">
        <v>0.85391560091859597</v>
      </c>
      <c r="E4338">
        <v>0.48480628060359798</v>
      </c>
      <c r="F4338">
        <v>0.20882017197258501</v>
      </c>
      <c r="G4338">
        <v>5.2335155745112702E-2</v>
      </c>
      <c r="H4338">
        <v>4.0463391901605798E-2</v>
      </c>
      <c r="I4338">
        <v>3.2609955723359001E-2</v>
      </c>
      <c r="J4338">
        <v>2.7154967189926899E-2</v>
      </c>
      <c r="K4338">
        <v>3.0710976503320699E-2</v>
      </c>
      <c r="L4338">
        <v>891.47167602598097</v>
      </c>
      <c r="M4338">
        <v>19.216504594090502</v>
      </c>
      <c r="N4338">
        <v>46.474408228035699</v>
      </c>
      <c r="O4338">
        <v>45.897315957384698</v>
      </c>
      <c r="P4338">
        <v>-0.10289962250198501</v>
      </c>
      <c r="Q4338">
        <v>1.6962435292629301E-2</v>
      </c>
      <c r="R4338">
        <v>0.99430913631264595</v>
      </c>
      <c r="S4338" t="s">
        <v>10740</v>
      </c>
      <c r="T4338" t="s">
        <v>12802</v>
      </c>
      <c r="U4338" t="s">
        <v>12802</v>
      </c>
      <c r="V4338" t="s">
        <v>12802</v>
      </c>
      <c r="W4338" t="s">
        <v>17081</v>
      </c>
      <c r="X4338">
        <v>4</v>
      </c>
      <c r="Y4338" t="s">
        <v>23303</v>
      </c>
      <c r="Z4338" t="s">
        <v>29656</v>
      </c>
      <c r="AA4338">
        <v>0.33860229410635079</v>
      </c>
      <c r="AB4338" t="str">
        <f>HYPERLINK("Melting_Curves/meltCurve_Q8IXW5_RPAP2.pdf", "Melting_Curves/meltCurve_Q8IXW5_RPAP2.pdf")</f>
        <v>Melting_Curves/meltCurve_Q8IXW5_RPAP2.pdf</v>
      </c>
    </row>
    <row r="4339" spans="1:28" x14ac:dyDescent="0.25">
      <c r="A4339" t="s">
        <v>4343</v>
      </c>
      <c r="B4339">
        <v>0.99542014353169495</v>
      </c>
      <c r="C4339">
        <v>0.72639568234541896</v>
      </c>
      <c r="D4339">
        <v>0.213089708315223</v>
      </c>
      <c r="E4339">
        <v>0.32634928462780299</v>
      </c>
      <c r="F4339">
        <v>0.20379292952977099</v>
      </c>
      <c r="G4339">
        <v>0</v>
      </c>
      <c r="H4339">
        <v>0</v>
      </c>
      <c r="I4339">
        <v>0</v>
      </c>
      <c r="J4339">
        <v>0.18925804287314801</v>
      </c>
      <c r="K4339">
        <v>0</v>
      </c>
      <c r="L4339">
        <v>1069.4628338806899</v>
      </c>
      <c r="M4339">
        <v>26.055194151733101</v>
      </c>
      <c r="N4339">
        <v>41.345805938850702</v>
      </c>
      <c r="O4339">
        <v>40.806553373243702</v>
      </c>
      <c r="P4339">
        <v>-0.145889230207191</v>
      </c>
      <c r="Q4339">
        <v>8.6068071348411004E-2</v>
      </c>
      <c r="R4339">
        <v>0.90098829270684999</v>
      </c>
      <c r="S4339" t="s">
        <v>10741</v>
      </c>
      <c r="T4339" t="s">
        <v>12802</v>
      </c>
      <c r="U4339" t="s">
        <v>12802</v>
      </c>
      <c r="V4339" t="s">
        <v>12802</v>
      </c>
      <c r="W4339" t="s">
        <v>17082</v>
      </c>
      <c r="X4339">
        <v>2</v>
      </c>
      <c r="Y4339" t="s">
        <v>23304</v>
      </c>
      <c r="Z4339" t="s">
        <v>29657</v>
      </c>
      <c r="AA4339">
        <v>0.21756655430370531</v>
      </c>
      <c r="AB4339" t="str">
        <f>HYPERLINK("Melting_Curves/meltCurve_Q8IY17_3_PNPLA6.pdf", "Melting_Curves/meltCurve_Q8IY17_3_PNPLA6.pdf")</f>
        <v>Melting_Curves/meltCurve_Q8IY17_3_PNPLA6.pdf</v>
      </c>
    </row>
    <row r="4340" spans="1:28" x14ac:dyDescent="0.25">
      <c r="A4340" t="s">
        <v>4344</v>
      </c>
      <c r="B4340">
        <v>0.99542014353169495</v>
      </c>
      <c r="C4340">
        <v>0.89535903076234502</v>
      </c>
      <c r="D4340">
        <v>0.93748303820027901</v>
      </c>
      <c r="E4340">
        <v>0.82232913522069095</v>
      </c>
      <c r="F4340">
        <v>0.53503854429556796</v>
      </c>
      <c r="G4340">
        <v>0.15481675460285199</v>
      </c>
      <c r="H4340">
        <v>0.109141564491239</v>
      </c>
      <c r="I4340">
        <v>7.2351860797932502E-2</v>
      </c>
      <c r="J4340">
        <v>6.41005001467852E-2</v>
      </c>
      <c r="K4340">
        <v>7.0155499032092006E-2</v>
      </c>
      <c r="L4340">
        <v>1115.1006991463701</v>
      </c>
      <c r="M4340">
        <v>22.356281885146</v>
      </c>
      <c r="N4340">
        <v>50.133773706801001</v>
      </c>
      <c r="O4340">
        <v>49.484676008796598</v>
      </c>
      <c r="P4340">
        <v>-0.106874435591107</v>
      </c>
      <c r="Q4340">
        <v>5.3771590887928801E-2</v>
      </c>
      <c r="R4340">
        <v>0.98894753021302195</v>
      </c>
      <c r="S4340" t="s">
        <v>10742</v>
      </c>
      <c r="T4340" t="s">
        <v>12802</v>
      </c>
      <c r="U4340" t="s">
        <v>12802</v>
      </c>
      <c r="V4340" t="s">
        <v>12802</v>
      </c>
      <c r="W4340" t="s">
        <v>17083</v>
      </c>
      <c r="X4340">
        <v>12</v>
      </c>
      <c r="Y4340" t="s">
        <v>23305</v>
      </c>
      <c r="Z4340" t="s">
        <v>29658</v>
      </c>
      <c r="AA4340">
        <v>0.47017170197260572</v>
      </c>
      <c r="AB4340" t="str">
        <f>HYPERLINK("Melting_Curves/meltCurve_Q8IY18_SMC5.pdf", "Melting_Curves/meltCurve_Q8IY18_SMC5.pdf")</f>
        <v>Melting_Curves/meltCurve_Q8IY18_SMC5.pdf</v>
      </c>
    </row>
    <row r="4341" spans="1:28" x14ac:dyDescent="0.25">
      <c r="A4341" t="s">
        <v>4345</v>
      </c>
      <c r="B4341">
        <v>0.99542014353169495</v>
      </c>
      <c r="C4341">
        <v>0.88040019635988798</v>
      </c>
      <c r="D4341">
        <v>0.70756021700104599</v>
      </c>
      <c r="E4341">
        <v>0.29683931279486803</v>
      </c>
      <c r="F4341">
        <v>0.17310349809240699</v>
      </c>
      <c r="G4341">
        <v>9.5751728462011201E-2</v>
      </c>
      <c r="H4341">
        <v>7.1810468496889601E-2</v>
      </c>
      <c r="I4341">
        <v>4.8650756638953602E-2</v>
      </c>
      <c r="J4341">
        <v>5.1177766616166798E-2</v>
      </c>
      <c r="K4341">
        <v>5.8255130326492703E-2</v>
      </c>
      <c r="L4341">
        <v>869.61797684501005</v>
      </c>
      <c r="M4341">
        <v>19.561325157993</v>
      </c>
      <c r="N4341">
        <v>44.730291007696401</v>
      </c>
      <c r="O4341">
        <v>43.9991954787846</v>
      </c>
      <c r="P4341">
        <v>-0.104867522250847</v>
      </c>
      <c r="Q4341">
        <v>5.6521354107315798E-2</v>
      </c>
      <c r="R4341">
        <v>0.99698952928744899</v>
      </c>
      <c r="S4341" t="s">
        <v>10743</v>
      </c>
      <c r="T4341" t="s">
        <v>12802</v>
      </c>
      <c r="U4341" t="s">
        <v>12802</v>
      </c>
      <c r="V4341" t="s">
        <v>12802</v>
      </c>
      <c r="W4341" t="s">
        <v>17084</v>
      </c>
      <c r="X4341">
        <v>9</v>
      </c>
      <c r="Y4341" t="s">
        <v>23306</v>
      </c>
      <c r="Z4341" t="s">
        <v>29659</v>
      </c>
      <c r="AA4341">
        <v>0.30411161978720191</v>
      </c>
      <c r="AB4341" t="str">
        <f>HYPERLINK("Melting_Curves/meltCurve_Q8IY22_3_CMIP.pdf", "Melting_Curves/meltCurve_Q8IY22_3_CMIP.pdf")</f>
        <v>Melting_Curves/meltCurve_Q8IY22_3_CMIP.pdf</v>
      </c>
    </row>
    <row r="4342" spans="1:28" x14ac:dyDescent="0.25">
      <c r="A4342" t="s">
        <v>4346</v>
      </c>
      <c r="B4342">
        <v>0.99542014353169495</v>
      </c>
      <c r="C4342">
        <v>1.11324884147623</v>
      </c>
      <c r="D4342">
        <v>0.99655673421331303</v>
      </c>
      <c r="E4342">
        <v>0.84070753099824802</v>
      </c>
      <c r="F4342">
        <v>0.46617862972646201</v>
      </c>
      <c r="G4342">
        <v>0.168610716852367</v>
      </c>
      <c r="H4342">
        <v>7.8879780667748006E-2</v>
      </c>
      <c r="I4342">
        <v>4.6234150144731902E-2</v>
      </c>
      <c r="J4342">
        <v>5.3084467888352201E-2</v>
      </c>
      <c r="K4342">
        <v>7.3809973661892098E-2</v>
      </c>
      <c r="L4342">
        <v>1278.9970065745399</v>
      </c>
      <c r="M4342">
        <v>25.7568164923326</v>
      </c>
      <c r="N4342">
        <v>49.875736817246</v>
      </c>
      <c r="O4342">
        <v>49.360217755232902</v>
      </c>
      <c r="P4342">
        <v>-0.123476921503114</v>
      </c>
      <c r="Q4342">
        <v>5.3489454596165303E-2</v>
      </c>
      <c r="R4342">
        <v>0.99234862461494</v>
      </c>
      <c r="S4342" t="s">
        <v>10744</v>
      </c>
      <c r="T4342" t="s">
        <v>12802</v>
      </c>
      <c r="U4342" t="s">
        <v>12802</v>
      </c>
      <c r="V4342" t="s">
        <v>12802</v>
      </c>
      <c r="W4342" t="s">
        <v>17085</v>
      </c>
      <c r="X4342">
        <v>15</v>
      </c>
      <c r="Y4342" t="s">
        <v>23307</v>
      </c>
      <c r="Z4342" t="s">
        <v>29660</v>
      </c>
      <c r="AA4342">
        <v>0.46059660290535909</v>
      </c>
      <c r="AB4342" t="str">
        <f>HYPERLINK("Melting_Curves/meltCurve_Q8IY33_MICALL2.pdf", "Melting_Curves/meltCurve_Q8IY33_MICALL2.pdf")</f>
        <v>Melting_Curves/meltCurve_Q8IY33_MICALL2.pdf</v>
      </c>
    </row>
    <row r="4343" spans="1:28" x14ac:dyDescent="0.25">
      <c r="A4343" t="s">
        <v>4347</v>
      </c>
      <c r="B4343">
        <v>0.99542014353169495</v>
      </c>
      <c r="C4343">
        <v>0.855076846374489</v>
      </c>
      <c r="D4343">
        <v>0.77327169955929498</v>
      </c>
      <c r="E4343">
        <v>0.43625759471466002</v>
      </c>
      <c r="F4343">
        <v>0.237975276602827</v>
      </c>
      <c r="G4343">
        <v>0.138726115625354</v>
      </c>
      <c r="H4343">
        <v>0.11000652262836499</v>
      </c>
      <c r="I4343">
        <v>9.9033389685328405E-2</v>
      </c>
      <c r="J4343">
        <v>7.4272440427431002E-2</v>
      </c>
      <c r="K4343">
        <v>0.10241694542957799</v>
      </c>
      <c r="L4343">
        <v>739.06928705575103</v>
      </c>
      <c r="M4343">
        <v>16.2760977664481</v>
      </c>
      <c r="N4343">
        <v>45.898670528318902</v>
      </c>
      <c r="O4343">
        <v>44.739387051575598</v>
      </c>
      <c r="P4343">
        <v>-8.3696828678219495E-2</v>
      </c>
      <c r="Q4343">
        <v>7.9811202926590399E-2</v>
      </c>
      <c r="R4343">
        <v>0.995172483416914</v>
      </c>
      <c r="S4343" t="s">
        <v>10745</v>
      </c>
      <c r="T4343" t="s">
        <v>12802</v>
      </c>
      <c r="U4343" t="s">
        <v>12802</v>
      </c>
      <c r="V4343" t="s">
        <v>12802</v>
      </c>
      <c r="W4343" t="s">
        <v>17086</v>
      </c>
      <c r="X4343">
        <v>3</v>
      </c>
      <c r="Y4343" t="s">
        <v>23308</v>
      </c>
      <c r="Z4343" t="s">
        <v>29661</v>
      </c>
      <c r="AA4343">
        <v>0.35608414436049818</v>
      </c>
      <c r="AB4343" t="str">
        <f>HYPERLINK("Melting_Curves/meltCurve_Q8IY37_DHX37.pdf", "Melting_Curves/meltCurve_Q8IY37_DHX37.pdf")</f>
        <v>Melting_Curves/meltCurve_Q8IY37_DHX37.pdf</v>
      </c>
    </row>
    <row r="4344" spans="1:28" x14ac:dyDescent="0.25">
      <c r="A4344" t="s">
        <v>4348</v>
      </c>
      <c r="B4344">
        <v>0.99542014353169495</v>
      </c>
      <c r="C4344">
        <v>1.00296113842215</v>
      </c>
      <c r="D4344">
        <v>0.91403698843323999</v>
      </c>
      <c r="E4344">
        <v>0.58401098854026701</v>
      </c>
      <c r="F4344">
        <v>0.44045078160413198</v>
      </c>
      <c r="G4344">
        <v>0.240803125185203</v>
      </c>
      <c r="H4344">
        <v>0.11169630341015201</v>
      </c>
      <c r="I4344">
        <v>3.9385992383172197E-2</v>
      </c>
      <c r="J4344">
        <v>7.8294659183930596E-2</v>
      </c>
      <c r="K4344">
        <v>3.56199256775575E-2</v>
      </c>
      <c r="L4344">
        <v>698.57899263236698</v>
      </c>
      <c r="M4344">
        <v>14.3648136274895</v>
      </c>
      <c r="N4344">
        <v>48.7901298945891</v>
      </c>
      <c r="O4344">
        <v>47.717935102074797</v>
      </c>
      <c r="P4344">
        <v>-7.3548238976153105E-2</v>
      </c>
      <c r="Q4344">
        <v>2.2848659509620499E-2</v>
      </c>
      <c r="R4344">
        <v>0.99100251703644304</v>
      </c>
      <c r="S4344" t="s">
        <v>10746</v>
      </c>
      <c r="T4344" t="s">
        <v>12802</v>
      </c>
      <c r="U4344" t="s">
        <v>12802</v>
      </c>
      <c r="V4344" t="s">
        <v>12802</v>
      </c>
      <c r="W4344" t="s">
        <v>17087</v>
      </c>
      <c r="X4344">
        <v>3</v>
      </c>
      <c r="Y4344" t="s">
        <v>23309</v>
      </c>
      <c r="Z4344" t="s">
        <v>29662</v>
      </c>
      <c r="AA4344">
        <v>0.42442274163446547</v>
      </c>
      <c r="AB4344" t="str">
        <f>HYPERLINK("Melting_Curves/meltCurve_Q8IY47_KBTBD2.pdf", "Melting_Curves/meltCurve_Q8IY47_KBTBD2.pdf")</f>
        <v>Melting_Curves/meltCurve_Q8IY47_KBTBD2.pdf</v>
      </c>
    </row>
    <row r="4345" spans="1:28" x14ac:dyDescent="0.25">
      <c r="A4345" t="s">
        <v>4349</v>
      </c>
      <c r="B4345">
        <v>0.99542014353169495</v>
      </c>
      <c r="C4345">
        <v>0.907763818187734</v>
      </c>
      <c r="D4345">
        <v>0.84094600622655102</v>
      </c>
      <c r="E4345">
        <v>0.56424427563906199</v>
      </c>
      <c r="F4345">
        <v>0.34273596853306398</v>
      </c>
      <c r="G4345">
        <v>0.20088192924840501</v>
      </c>
      <c r="H4345">
        <v>0.142435270109567</v>
      </c>
      <c r="I4345">
        <v>0.100617876943413</v>
      </c>
      <c r="J4345">
        <v>0.14194933810061799</v>
      </c>
      <c r="K4345">
        <v>0.14668642605874199</v>
      </c>
      <c r="L4345">
        <v>753.12954139946703</v>
      </c>
      <c r="M4345">
        <v>16.114031582892299</v>
      </c>
      <c r="N4345">
        <v>47.493747447823502</v>
      </c>
      <c r="O4345">
        <v>46.0354819415845</v>
      </c>
      <c r="P4345">
        <v>-7.76126074548181E-2</v>
      </c>
      <c r="Q4345">
        <v>0.113155237317049</v>
      </c>
      <c r="R4345">
        <v>0.99623956114922796</v>
      </c>
      <c r="S4345" t="s">
        <v>10747</v>
      </c>
      <c r="T4345" t="s">
        <v>12802</v>
      </c>
      <c r="U4345" t="s">
        <v>12802</v>
      </c>
      <c r="V4345" t="s">
        <v>12802</v>
      </c>
      <c r="W4345" t="s">
        <v>17088</v>
      </c>
      <c r="X4345">
        <v>3</v>
      </c>
      <c r="Y4345" t="s">
        <v>23310</v>
      </c>
      <c r="Z4345" t="s">
        <v>29663</v>
      </c>
      <c r="AA4345">
        <v>0.41860783241791538</v>
      </c>
      <c r="AB4345" t="str">
        <f>HYPERLINK("Melting_Curves/meltCurve_Q8IY63_2_AMOTL1.pdf", "Melting_Curves/meltCurve_Q8IY63_2_AMOTL1.pdf")</f>
        <v>Melting_Curves/meltCurve_Q8IY63_2_AMOTL1.pdf</v>
      </c>
    </row>
    <row r="4346" spans="1:28" x14ac:dyDescent="0.25">
      <c r="A4346" t="s">
        <v>4350</v>
      </c>
      <c r="B4346">
        <v>0.99542014353169495</v>
      </c>
      <c r="C4346">
        <v>0.89551933965625097</v>
      </c>
      <c r="D4346">
        <v>1.0233748589543601</v>
      </c>
      <c r="E4346">
        <v>0.96323477021713999</v>
      </c>
      <c r="F4346">
        <v>0.86288592917204199</v>
      </c>
      <c r="G4346">
        <v>0.67549821004406796</v>
      </c>
      <c r="H4346">
        <v>0.45900202148310099</v>
      </c>
      <c r="I4346">
        <v>0.29166800962313399</v>
      </c>
      <c r="J4346">
        <v>0.37964356087957601</v>
      </c>
      <c r="K4346">
        <v>0.36445765750934001</v>
      </c>
      <c r="L4346">
        <v>1222.4504428083901</v>
      </c>
      <c r="M4346">
        <v>22.795623499928599</v>
      </c>
      <c r="N4346">
        <v>56.289620042554802</v>
      </c>
      <c r="O4346">
        <v>53.218962345877003</v>
      </c>
      <c r="P4346">
        <v>-7.1753992973202493E-2</v>
      </c>
      <c r="Q4346">
        <v>0.329941726654506</v>
      </c>
      <c r="R4346">
        <v>0.97280738799294197</v>
      </c>
      <c r="S4346" t="s">
        <v>10748</v>
      </c>
      <c r="T4346" t="s">
        <v>12802</v>
      </c>
      <c r="U4346" t="s">
        <v>12802</v>
      </c>
      <c r="V4346" t="s">
        <v>12802</v>
      </c>
      <c r="W4346" t="s">
        <v>17089</v>
      </c>
      <c r="X4346">
        <v>4</v>
      </c>
      <c r="Y4346" t="s">
        <v>23311</v>
      </c>
      <c r="Z4346" t="s">
        <v>29664</v>
      </c>
      <c r="AA4346">
        <v>0.70812212389604878</v>
      </c>
      <c r="AB4346" t="str">
        <f>HYPERLINK("Melting_Curves/meltCurve_Q8IY95_2_TMEM192.pdf", "Melting_Curves/meltCurve_Q8IY95_2_TMEM192.pdf")</f>
        <v>Melting_Curves/meltCurve_Q8IY95_2_TMEM192.pdf</v>
      </c>
    </row>
    <row r="4347" spans="1:28" x14ac:dyDescent="0.25">
      <c r="A4347" t="s">
        <v>4351</v>
      </c>
      <c r="B4347">
        <v>0.99542014353169495</v>
      </c>
      <c r="C4347">
        <v>1.0675196337414601</v>
      </c>
      <c r="D4347">
        <v>1.01143581560596</v>
      </c>
      <c r="E4347">
        <v>1.0053785552674199</v>
      </c>
      <c r="F4347">
        <v>0.68048181568147204</v>
      </c>
      <c r="G4347">
        <v>0.32150432587614403</v>
      </c>
      <c r="H4347">
        <v>0.115737081626553</v>
      </c>
      <c r="I4347">
        <v>5.8661610387622201E-2</v>
      </c>
      <c r="J4347">
        <v>7.3806820465002504E-2</v>
      </c>
      <c r="K4347">
        <v>8.5799913580447806E-2</v>
      </c>
      <c r="L4347">
        <v>1426.4149380814899</v>
      </c>
      <c r="M4347">
        <v>27.627177557588201</v>
      </c>
      <c r="N4347">
        <v>51.905593683074898</v>
      </c>
      <c r="O4347">
        <v>51.362619976601202</v>
      </c>
      <c r="P4347">
        <v>-0.12532505855359699</v>
      </c>
      <c r="Q4347">
        <v>6.8024218279204698E-2</v>
      </c>
      <c r="R4347">
        <v>0.99479088097778401</v>
      </c>
      <c r="S4347" t="s">
        <v>10749</v>
      </c>
      <c r="T4347" t="s">
        <v>12802</v>
      </c>
      <c r="U4347" t="s">
        <v>12802</v>
      </c>
      <c r="V4347" t="s">
        <v>12802</v>
      </c>
      <c r="W4347" t="s">
        <v>17090</v>
      </c>
      <c r="X4347">
        <v>6</v>
      </c>
      <c r="Y4347" t="s">
        <v>23312</v>
      </c>
      <c r="Z4347" t="s">
        <v>29665</v>
      </c>
      <c r="AA4347">
        <v>0.52939729738554753</v>
      </c>
      <c r="AB4347" t="str">
        <f>HYPERLINK("Melting_Curves/meltCurve_Q8IYB5_3_SMAP1.pdf", "Melting_Curves/meltCurve_Q8IYB5_3_SMAP1.pdf")</f>
        <v>Melting_Curves/meltCurve_Q8IYB5_3_SMAP1.pdf</v>
      </c>
    </row>
    <row r="4348" spans="1:28" x14ac:dyDescent="0.25">
      <c r="A4348" t="s">
        <v>4352</v>
      </c>
      <c r="B4348">
        <v>0.99542014353169495</v>
      </c>
      <c r="C4348">
        <v>0.97930096392788102</v>
      </c>
      <c r="D4348">
        <v>0.82118364740320504</v>
      </c>
      <c r="E4348">
        <v>0.58025105742233496</v>
      </c>
      <c r="F4348">
        <v>0.484499410454584</v>
      </c>
      <c r="G4348">
        <v>0.14474098814894201</v>
      </c>
      <c r="H4348">
        <v>0.14476322999270799</v>
      </c>
      <c r="I4348">
        <v>0.133112934966544</v>
      </c>
      <c r="J4348">
        <v>8.9386936442486797E-2</v>
      </c>
      <c r="K4348">
        <v>3.9350806546547698E-2</v>
      </c>
      <c r="L4348">
        <v>641.99874347158004</v>
      </c>
      <c r="M4348">
        <v>13.343757665854501</v>
      </c>
      <c r="N4348">
        <v>48.433672893777</v>
      </c>
      <c r="O4348">
        <v>47.070253924200301</v>
      </c>
      <c r="P4348">
        <v>-6.7879650945355099E-2</v>
      </c>
      <c r="Q4348">
        <v>4.2367929017320602E-2</v>
      </c>
      <c r="R4348">
        <v>0.98351107569184804</v>
      </c>
      <c r="S4348" t="s">
        <v>10750</v>
      </c>
      <c r="T4348" t="s">
        <v>12802</v>
      </c>
      <c r="U4348" t="s">
        <v>12802</v>
      </c>
      <c r="V4348" t="s">
        <v>12802</v>
      </c>
      <c r="W4348" t="s">
        <v>17091</v>
      </c>
      <c r="X4348">
        <v>4</v>
      </c>
      <c r="Y4348" t="s">
        <v>23313</v>
      </c>
      <c r="Z4348" t="s">
        <v>29666</v>
      </c>
      <c r="AA4348">
        <v>0.4224997149385798</v>
      </c>
      <c r="AB4348" t="str">
        <f>HYPERLINK("Melting_Curves/meltCurve_Q8IYB7_DIS3L2.pdf", "Melting_Curves/meltCurve_Q8IYB7_DIS3L2.pdf")</f>
        <v>Melting_Curves/meltCurve_Q8IYB7_DIS3L2.pdf</v>
      </c>
    </row>
    <row r="4349" spans="1:28" x14ac:dyDescent="0.25">
      <c r="A4349" t="s">
        <v>4353</v>
      </c>
      <c r="B4349">
        <v>0.99542014353169495</v>
      </c>
      <c r="C4349">
        <v>0.95064907252796704</v>
      </c>
      <c r="D4349">
        <v>0.95431140391095404</v>
      </c>
      <c r="E4349">
        <v>0.85086392613218598</v>
      </c>
      <c r="F4349">
        <v>0.62715079145687902</v>
      </c>
      <c r="G4349">
        <v>0.36847083520156299</v>
      </c>
      <c r="H4349">
        <v>0.118960873419067</v>
      </c>
      <c r="I4349">
        <v>6.2174236889331103E-2</v>
      </c>
      <c r="J4349">
        <v>6.2132628140436803E-2</v>
      </c>
      <c r="K4349">
        <v>6.0802858834137601E-2</v>
      </c>
      <c r="L4349">
        <v>887.64197193999496</v>
      </c>
      <c r="M4349">
        <v>17.221016768236499</v>
      </c>
      <c r="N4349">
        <v>51.654045951117602</v>
      </c>
      <c r="O4349">
        <v>50.864123984921299</v>
      </c>
      <c r="P4349">
        <v>-8.3124069528301606E-2</v>
      </c>
      <c r="Q4349">
        <v>1.7994160968728901E-2</v>
      </c>
      <c r="R4349">
        <v>0.99597219160304395</v>
      </c>
      <c r="S4349" t="s">
        <v>10751</v>
      </c>
      <c r="T4349" t="s">
        <v>12802</v>
      </c>
      <c r="U4349" t="s">
        <v>12802</v>
      </c>
      <c r="V4349" t="s">
        <v>12802</v>
      </c>
      <c r="W4349" t="s">
        <v>17092</v>
      </c>
      <c r="X4349">
        <v>20</v>
      </c>
      <c r="Y4349" t="s">
        <v>23314</v>
      </c>
      <c r="Z4349" t="s">
        <v>29667</v>
      </c>
      <c r="AA4349">
        <v>0.51011652338853275</v>
      </c>
      <c r="AB4349" t="str">
        <f>HYPERLINK("Melting_Curves/meltCurve_Q8IYB8_SUPV3L1.pdf", "Melting_Curves/meltCurve_Q8IYB8_SUPV3L1.pdf")</f>
        <v>Melting_Curves/meltCurve_Q8IYB8_SUPV3L1.pdf</v>
      </c>
    </row>
    <row r="4350" spans="1:28" x14ac:dyDescent="0.25">
      <c r="A4350" t="s">
        <v>4354</v>
      </c>
      <c r="B4350">
        <v>0.99542014353169495</v>
      </c>
      <c r="C4350">
        <v>0.94321755918129502</v>
      </c>
      <c r="D4350">
        <v>0.83804412340472001</v>
      </c>
      <c r="E4350">
        <v>0.71743103186667501</v>
      </c>
      <c r="F4350">
        <v>0.29431057412596601</v>
      </c>
      <c r="G4350">
        <v>0.14851468894202299</v>
      </c>
      <c r="H4350">
        <v>8.5178803525323699E-2</v>
      </c>
      <c r="I4350">
        <v>5.9222775238360698E-2</v>
      </c>
      <c r="J4350">
        <v>6.5169645746005395E-2</v>
      </c>
      <c r="K4350">
        <v>6.7335330272022403E-2</v>
      </c>
      <c r="L4350">
        <v>918.17615294343102</v>
      </c>
      <c r="M4350">
        <v>19.152836453369002</v>
      </c>
      <c r="N4350">
        <v>48.1995724492634</v>
      </c>
      <c r="O4350">
        <v>47.426007740343202</v>
      </c>
      <c r="P4350">
        <v>-9.6007854991220304E-2</v>
      </c>
      <c r="Q4350">
        <v>4.91032257028651E-2</v>
      </c>
      <c r="R4350">
        <v>0.991827263121006</v>
      </c>
      <c r="S4350" t="s">
        <v>10752</v>
      </c>
      <c r="T4350" t="s">
        <v>12802</v>
      </c>
      <c r="U4350" t="s">
        <v>12802</v>
      </c>
      <c r="V4350" t="s">
        <v>12802</v>
      </c>
      <c r="W4350" t="s">
        <v>17093</v>
      </c>
      <c r="X4350">
        <v>4</v>
      </c>
      <c r="Y4350" t="s">
        <v>23315</v>
      </c>
      <c r="Z4350" t="s">
        <v>29668</v>
      </c>
      <c r="AA4350">
        <v>0.40939726332989301</v>
      </c>
      <c r="AB4350" t="str">
        <f>HYPERLINK("Melting_Curves/meltCurve_Q8IYB9_ZNF595.pdf", "Melting_Curves/meltCurve_Q8IYB9_ZNF595.pdf")</f>
        <v>Melting_Curves/meltCurve_Q8IYB9_ZNF595.pdf</v>
      </c>
    </row>
    <row r="4351" spans="1:28" x14ac:dyDescent="0.25">
      <c r="A4351" t="s">
        <v>4355</v>
      </c>
      <c r="B4351">
        <v>0.99542014353169495</v>
      </c>
      <c r="C4351">
        <v>1.2201734901419601</v>
      </c>
      <c r="D4351">
        <v>0.995989553547595</v>
      </c>
      <c r="E4351">
        <v>0.97160990798647895</v>
      </c>
      <c r="F4351">
        <v>0.59438385632836299</v>
      </c>
      <c r="G4351">
        <v>0.214631054905183</v>
      </c>
      <c r="H4351">
        <v>0.168852019737876</v>
      </c>
      <c r="I4351">
        <v>9.1060678504209694E-2</v>
      </c>
      <c r="J4351">
        <v>0.16683847523114001</v>
      </c>
      <c r="K4351">
        <v>6.6586239163264893E-2</v>
      </c>
      <c r="L4351">
        <v>1750.15237703663</v>
      </c>
      <c r="M4351">
        <v>34.674277737286197</v>
      </c>
      <c r="N4351">
        <v>50.874034557895001</v>
      </c>
      <c r="O4351">
        <v>50.307084758057698</v>
      </c>
      <c r="P4351">
        <v>-0.151756764140725</v>
      </c>
      <c r="Q4351">
        <v>0.119299626063</v>
      </c>
      <c r="R4351">
        <v>0.970036391490528</v>
      </c>
      <c r="S4351" t="s">
        <v>10753</v>
      </c>
      <c r="T4351" t="s">
        <v>12802</v>
      </c>
      <c r="U4351" t="s">
        <v>12802</v>
      </c>
      <c r="V4351" t="s">
        <v>12802</v>
      </c>
      <c r="W4351" t="s">
        <v>17094</v>
      </c>
      <c r="X4351">
        <v>25</v>
      </c>
      <c r="Y4351" t="s">
        <v>23316</v>
      </c>
      <c r="Z4351" t="s">
        <v>29669</v>
      </c>
      <c r="AA4351">
        <v>0.51894061811881176</v>
      </c>
      <c r="AB4351" t="str">
        <f>HYPERLINK("Melting_Curves/meltCurve_Q8IYD1_GSPT2.pdf", "Melting_Curves/meltCurve_Q8IYD1_GSPT2.pdf")</f>
        <v>Melting_Curves/meltCurve_Q8IYD1_GSPT2.pdf</v>
      </c>
    </row>
    <row r="4352" spans="1:28" x14ac:dyDescent="0.25">
      <c r="A4352" t="s">
        <v>4356</v>
      </c>
      <c r="B4352">
        <v>0.99542014353169495</v>
      </c>
      <c r="C4352">
        <v>0.95426079593716695</v>
      </c>
      <c r="D4352">
        <v>0.91280775904908096</v>
      </c>
      <c r="E4352">
        <v>0.70405384226280199</v>
      </c>
      <c r="F4352">
        <v>0.60925080903243101</v>
      </c>
      <c r="G4352">
        <v>0.39128828883445799</v>
      </c>
      <c r="H4352">
        <v>0.37168433592485001</v>
      </c>
      <c r="I4352">
        <v>0.286194706435075</v>
      </c>
      <c r="J4352">
        <v>0.33906961291319498</v>
      </c>
      <c r="K4352">
        <v>0.47801519466057801</v>
      </c>
      <c r="L4352">
        <v>795.72502261722798</v>
      </c>
      <c r="M4352">
        <v>16.725575840314701</v>
      </c>
      <c r="N4352">
        <v>51.322539162439597</v>
      </c>
      <c r="O4352">
        <v>46.910856007035399</v>
      </c>
      <c r="P4352">
        <v>-5.7713400073953397E-2</v>
      </c>
      <c r="Q4352">
        <v>0.35255882754860701</v>
      </c>
      <c r="R4352">
        <v>0.95580454223398903</v>
      </c>
      <c r="S4352" t="s">
        <v>10754</v>
      </c>
      <c r="T4352" t="s">
        <v>12802</v>
      </c>
      <c r="U4352" t="s">
        <v>12802</v>
      </c>
      <c r="V4352" t="s">
        <v>12802</v>
      </c>
      <c r="W4352" t="s">
        <v>17095</v>
      </c>
      <c r="X4352">
        <v>3</v>
      </c>
      <c r="Y4352" t="s">
        <v>23317</v>
      </c>
      <c r="Z4352" t="s">
        <v>29670</v>
      </c>
      <c r="AA4352">
        <v>0.59265516311872191</v>
      </c>
      <c r="AB4352" t="str">
        <f>HYPERLINK("Melting_Curves/meltCurve_Q8IYH5_4_ZZZ3.pdf", "Melting_Curves/meltCurve_Q8IYH5_4_ZZZ3.pdf")</f>
        <v>Melting_Curves/meltCurve_Q8IYH5_4_ZZZ3.pdf</v>
      </c>
    </row>
    <row r="4353" spans="1:28" x14ac:dyDescent="0.25">
      <c r="A4353" t="s">
        <v>4357</v>
      </c>
      <c r="B4353">
        <v>0.99542014353169495</v>
      </c>
      <c r="C4353">
        <v>0.98007559663004395</v>
      </c>
      <c r="D4353">
        <v>0.95209093193237704</v>
      </c>
      <c r="E4353">
        <v>0.50237364435392895</v>
      </c>
      <c r="F4353">
        <v>0.14979362645608099</v>
      </c>
      <c r="G4353">
        <v>8.7933404942216006E-2</v>
      </c>
      <c r="H4353">
        <v>6.5711992626391699E-2</v>
      </c>
      <c r="I4353">
        <v>3.5757384233735097E-2</v>
      </c>
      <c r="J4353">
        <v>4.2100025499721E-2</v>
      </c>
      <c r="K4353">
        <v>5.5969152539709598E-2</v>
      </c>
      <c r="L4353">
        <v>1465.4130832882699</v>
      </c>
      <c r="M4353">
        <v>31.514641157827</v>
      </c>
      <c r="N4353">
        <v>46.673290698892103</v>
      </c>
      <c r="O4353">
        <v>46.313415111516598</v>
      </c>
      <c r="P4353">
        <v>-0.16069640699978199</v>
      </c>
      <c r="Q4353">
        <v>5.53776644355033E-2</v>
      </c>
      <c r="R4353">
        <v>0.99888587610354296</v>
      </c>
      <c r="S4353" t="s">
        <v>10755</v>
      </c>
      <c r="T4353" t="s">
        <v>12802</v>
      </c>
      <c r="U4353" t="s">
        <v>12802</v>
      </c>
      <c r="V4353" t="s">
        <v>12802</v>
      </c>
      <c r="W4353" t="s">
        <v>17096</v>
      </c>
      <c r="X4353">
        <v>12</v>
      </c>
      <c r="Y4353" t="s">
        <v>23318</v>
      </c>
      <c r="Z4353" t="s">
        <v>29671</v>
      </c>
      <c r="AA4353">
        <v>0.35941170273552259</v>
      </c>
      <c r="AB4353" t="str">
        <f>HYPERLINK("Melting_Curves/meltCurve_Q8IYI6_EXOC8.pdf", "Melting_Curves/meltCurve_Q8IYI6_EXOC8.pdf")</f>
        <v>Melting_Curves/meltCurve_Q8IYI6_EXOC8.pdf</v>
      </c>
    </row>
    <row r="4354" spans="1:28" x14ac:dyDescent="0.25">
      <c r="A4354" t="s">
        <v>4358</v>
      </c>
      <c r="B4354">
        <v>0.99542014353169495</v>
      </c>
      <c r="C4354">
        <v>0.96547456336174098</v>
      </c>
      <c r="D4354">
        <v>0.97958525800260599</v>
      </c>
      <c r="E4354">
        <v>0.69964045625067695</v>
      </c>
      <c r="F4354">
        <v>0.369364661995356</v>
      </c>
      <c r="G4354">
        <v>0.12328234261949</v>
      </c>
      <c r="H4354">
        <v>8.4896579611778697E-2</v>
      </c>
      <c r="I4354">
        <v>6.0193750608105799E-2</v>
      </c>
      <c r="J4354">
        <v>7.1732165760770905E-2</v>
      </c>
      <c r="K4354">
        <v>7.5494266615550296E-2</v>
      </c>
      <c r="L4354">
        <v>1103.29337392811</v>
      </c>
      <c r="M4354">
        <v>22.813300688457701</v>
      </c>
      <c r="N4354">
        <v>48.640315190968202</v>
      </c>
      <c r="O4354">
        <v>47.994869576336001</v>
      </c>
      <c r="P4354">
        <v>-0.111559907158303</v>
      </c>
      <c r="Q4354">
        <v>6.1214859309028397E-2</v>
      </c>
      <c r="R4354">
        <v>0.997728777620565</v>
      </c>
      <c r="S4354" t="s">
        <v>10756</v>
      </c>
      <c r="T4354" t="s">
        <v>12802</v>
      </c>
      <c r="U4354" t="s">
        <v>12802</v>
      </c>
      <c r="V4354" t="s">
        <v>12802</v>
      </c>
      <c r="W4354" t="s">
        <v>17097</v>
      </c>
      <c r="X4354">
        <v>7</v>
      </c>
      <c r="Y4354" t="s">
        <v>23319</v>
      </c>
      <c r="Z4354" t="s">
        <v>29672</v>
      </c>
      <c r="AA4354">
        <v>0.42637318038433109</v>
      </c>
      <c r="AB4354" t="str">
        <f>HYPERLINK("Melting_Curves/meltCurve_Q8IYK4_COLGALT2.pdf", "Melting_Curves/meltCurve_Q8IYK4_COLGALT2.pdf")</f>
        <v>Melting_Curves/meltCurve_Q8IYK4_COLGALT2.pdf</v>
      </c>
    </row>
    <row r="4355" spans="1:28" x14ac:dyDescent="0.25">
      <c r="A4355" t="s">
        <v>4359</v>
      </c>
      <c r="B4355">
        <v>0.99542014353169495</v>
      </c>
      <c r="C4355">
        <v>0.97868623871314198</v>
      </c>
      <c r="D4355">
        <v>1.02365861603372</v>
      </c>
      <c r="E4355">
        <v>1.01335794165423</v>
      </c>
      <c r="F4355">
        <v>0.81333270863277096</v>
      </c>
      <c r="G4355">
        <v>0.60960785941020401</v>
      </c>
      <c r="H4355">
        <v>0.63765640309957194</v>
      </c>
      <c r="I4355">
        <v>0.69572934762311101</v>
      </c>
      <c r="J4355">
        <v>0.88332500837794603</v>
      </c>
      <c r="K4355">
        <v>0.99316376140754703</v>
      </c>
      <c r="L4355">
        <v>12483.302042167699</v>
      </c>
      <c r="M4355">
        <v>250</v>
      </c>
      <c r="O4355">
        <v>49.930029903008503</v>
      </c>
      <c r="P4355">
        <v>-0.29554308738591401</v>
      </c>
      <c r="Q4355">
        <v>0.763896477785307</v>
      </c>
      <c r="R4355">
        <v>0.535625298533843</v>
      </c>
      <c r="S4355" t="s">
        <v>10757</v>
      </c>
      <c r="T4355" t="s">
        <v>12802</v>
      </c>
      <c r="U4355" t="s">
        <v>12802</v>
      </c>
      <c r="V4355" t="s">
        <v>12802</v>
      </c>
      <c r="W4355" t="s">
        <v>17098</v>
      </c>
      <c r="X4355">
        <v>1</v>
      </c>
      <c r="Y4355" t="s">
        <v>23320</v>
      </c>
      <c r="Z4355" t="s">
        <v>29673</v>
      </c>
      <c r="AA4355">
        <v>0.86570303474855714</v>
      </c>
      <c r="AB4355" t="str">
        <f>HYPERLINK("Melting_Curves/meltCurve_Q8IYL3_C1orf174.pdf", "Melting_Curves/meltCurve_Q8IYL3_C1orf174.pdf")</f>
        <v>Melting_Curves/meltCurve_Q8IYL3_C1orf174.pdf</v>
      </c>
    </row>
    <row r="4356" spans="1:28" x14ac:dyDescent="0.25">
      <c r="A4356" t="s">
        <v>4360</v>
      </c>
      <c r="B4356">
        <v>0.99542014353169495</v>
      </c>
      <c r="C4356">
        <v>0.96285261247298404</v>
      </c>
      <c r="D4356">
        <v>0.92647828490049799</v>
      </c>
      <c r="E4356">
        <v>0.60425586049177404</v>
      </c>
      <c r="F4356">
        <v>0.40118801194721099</v>
      </c>
      <c r="G4356">
        <v>0.20470161844577001</v>
      </c>
      <c r="H4356">
        <v>0.20522646574085701</v>
      </c>
      <c r="I4356">
        <v>0.12460040089975601</v>
      </c>
      <c r="J4356">
        <v>0.16183696338511</v>
      </c>
      <c r="K4356">
        <v>0.17224724134991701</v>
      </c>
      <c r="L4356">
        <v>903.21378172493803</v>
      </c>
      <c r="M4356">
        <v>19.081956627840999</v>
      </c>
      <c r="N4356">
        <v>48.248940629297003</v>
      </c>
      <c r="O4356">
        <v>46.822743706990899</v>
      </c>
      <c r="P4356">
        <v>-8.6412037902943203E-2</v>
      </c>
      <c r="Q4356">
        <v>0.15189196724815901</v>
      </c>
      <c r="R4356">
        <v>0.99418592787967397</v>
      </c>
      <c r="S4356" t="s">
        <v>10758</v>
      </c>
      <c r="T4356" t="s">
        <v>12802</v>
      </c>
      <c r="U4356" t="s">
        <v>12802</v>
      </c>
      <c r="V4356" t="s">
        <v>12802</v>
      </c>
      <c r="W4356" t="s">
        <v>17099</v>
      </c>
      <c r="X4356">
        <v>1</v>
      </c>
      <c r="Y4356" t="s">
        <v>23321</v>
      </c>
      <c r="Z4356" t="s">
        <v>29674</v>
      </c>
      <c r="AA4356">
        <v>0.45618772415397307</v>
      </c>
      <c r="AB4356" t="str">
        <f>HYPERLINK("Melting_Curves/meltCurve_Q8IYN2_TCEAL8.pdf", "Melting_Curves/meltCurve_Q8IYN2_TCEAL8.pdf")</f>
        <v>Melting_Curves/meltCurve_Q8IYN2_TCEAL8.pdf</v>
      </c>
    </row>
    <row r="4357" spans="1:28" x14ac:dyDescent="0.25">
      <c r="A4357" t="s">
        <v>4361</v>
      </c>
      <c r="B4357">
        <v>0.99542014353169495</v>
      </c>
      <c r="C4357">
        <v>0.94296549282458397</v>
      </c>
      <c r="D4357">
        <v>0.9065842191704</v>
      </c>
      <c r="E4357">
        <v>0.85387976293036905</v>
      </c>
      <c r="F4357">
        <v>0.65415990830695603</v>
      </c>
      <c r="G4357">
        <v>0.352379729758039</v>
      </c>
      <c r="H4357">
        <v>0.15857386210763399</v>
      </c>
      <c r="I4357">
        <v>9.7603334614129497E-2</v>
      </c>
      <c r="J4357">
        <v>9.7266080768149896E-2</v>
      </c>
      <c r="K4357">
        <v>0.12807480090564</v>
      </c>
      <c r="L4357">
        <v>910.78396486316296</v>
      </c>
      <c r="M4357">
        <v>17.769371501746601</v>
      </c>
      <c r="N4357">
        <v>51.703147308923</v>
      </c>
      <c r="O4357">
        <v>50.6198986019118</v>
      </c>
      <c r="P4357">
        <v>-8.1510469103665398E-2</v>
      </c>
      <c r="Q4357">
        <v>7.1247402625434594E-2</v>
      </c>
      <c r="R4357">
        <v>0.99152731008522998</v>
      </c>
      <c r="S4357" t="s">
        <v>10759</v>
      </c>
      <c r="T4357" t="s">
        <v>12802</v>
      </c>
      <c r="U4357" t="s">
        <v>12802</v>
      </c>
      <c r="V4357" t="s">
        <v>12802</v>
      </c>
      <c r="W4357" t="s">
        <v>17100</v>
      </c>
      <c r="X4357">
        <v>9</v>
      </c>
      <c r="Y4357" t="s">
        <v>23322</v>
      </c>
      <c r="Z4357" t="s">
        <v>29675</v>
      </c>
      <c r="AA4357">
        <v>0.5271932805612598</v>
      </c>
      <c r="AB4357" t="str">
        <f>HYPERLINK("Melting_Curves/meltCurve_Q8IYQ7_THNSL1.pdf", "Melting_Curves/meltCurve_Q8IYQ7_THNSL1.pdf")</f>
        <v>Melting_Curves/meltCurve_Q8IYQ7_THNSL1.pdf</v>
      </c>
    </row>
    <row r="4358" spans="1:28" x14ac:dyDescent="0.25">
      <c r="A4358" t="s">
        <v>4362</v>
      </c>
      <c r="B4358">
        <v>0.99542014353169495</v>
      </c>
      <c r="C4358">
        <v>0.85827394598308004</v>
      </c>
      <c r="D4358">
        <v>0.94163687210635605</v>
      </c>
      <c r="E4358">
        <v>0.65417045334971002</v>
      </c>
      <c r="F4358">
        <v>0.59594681231515001</v>
      </c>
      <c r="G4358">
        <v>0.26350575783347502</v>
      </c>
      <c r="H4358">
        <v>0.21309257298498399</v>
      </c>
      <c r="I4358">
        <v>0.12962515046348899</v>
      </c>
      <c r="J4358">
        <v>0.129396474930947</v>
      </c>
      <c r="K4358">
        <v>0.116241618642376</v>
      </c>
      <c r="L4358">
        <v>604.46746196068295</v>
      </c>
      <c r="M4358">
        <v>12.1490325967047</v>
      </c>
      <c r="N4358">
        <v>50.267080445911297</v>
      </c>
      <c r="O4358">
        <v>48.463903490040401</v>
      </c>
      <c r="P4358">
        <v>-5.9032064655979301E-2</v>
      </c>
      <c r="Q4358">
        <v>5.82733351384545E-2</v>
      </c>
      <c r="R4358">
        <v>0.973776244556813</v>
      </c>
      <c r="S4358" t="s">
        <v>10760</v>
      </c>
      <c r="T4358" t="s">
        <v>12802</v>
      </c>
      <c r="U4358" t="s">
        <v>12802</v>
      </c>
      <c r="V4358" t="s">
        <v>12802</v>
      </c>
      <c r="W4358" t="s">
        <v>17101</v>
      </c>
      <c r="X4358">
        <v>4</v>
      </c>
      <c r="Y4358" t="s">
        <v>23323</v>
      </c>
      <c r="Z4358" t="s">
        <v>29676</v>
      </c>
      <c r="AA4358">
        <v>0.48502293797244261</v>
      </c>
      <c r="AB4358" t="str">
        <f>HYPERLINK("Melting_Curves/meltCurve_Q8IYS2_KIAA2013.pdf", "Melting_Curves/meltCurve_Q8IYS2_KIAA2013.pdf")</f>
        <v>Melting_Curves/meltCurve_Q8IYS2_KIAA2013.pdf</v>
      </c>
    </row>
    <row r="4359" spans="1:28" x14ac:dyDescent="0.25">
      <c r="A4359" t="s">
        <v>4363</v>
      </c>
      <c r="B4359">
        <v>0.99542014353169495</v>
      </c>
      <c r="C4359">
        <v>1.16219048577864</v>
      </c>
      <c r="D4359">
        <v>0.87111176770071397</v>
      </c>
      <c r="E4359">
        <v>0.60220142990977099</v>
      </c>
      <c r="F4359">
        <v>0.45127875805266598</v>
      </c>
      <c r="G4359">
        <v>0.20572535988683199</v>
      </c>
      <c r="H4359">
        <v>0.101527158222545</v>
      </c>
      <c r="I4359">
        <v>0.118413215239998</v>
      </c>
      <c r="J4359">
        <v>0.114770930009888</v>
      </c>
      <c r="K4359">
        <v>0</v>
      </c>
      <c r="L4359">
        <v>781.59562348841405</v>
      </c>
      <c r="M4359">
        <v>16.1425833692814</v>
      </c>
      <c r="N4359">
        <v>48.762344277505797</v>
      </c>
      <c r="O4359">
        <v>47.693482350641403</v>
      </c>
      <c r="P4359">
        <v>-8.0067348594251103E-2</v>
      </c>
      <c r="Q4359">
        <v>5.3831215395688498E-2</v>
      </c>
      <c r="R4359">
        <v>0.96738615411388895</v>
      </c>
      <c r="S4359" t="s">
        <v>10761</v>
      </c>
      <c r="T4359" t="s">
        <v>12802</v>
      </c>
      <c r="U4359" t="s">
        <v>12802</v>
      </c>
      <c r="V4359" t="s">
        <v>12802</v>
      </c>
      <c r="W4359" t="s">
        <v>17102</v>
      </c>
      <c r="X4359">
        <v>2</v>
      </c>
      <c r="Y4359" t="s">
        <v>23324</v>
      </c>
      <c r="Z4359" t="s">
        <v>29677</v>
      </c>
      <c r="AA4359">
        <v>0.43221227180969851</v>
      </c>
      <c r="AB4359" t="str">
        <f>HYPERLINK("Melting_Curves/meltCurve_Q8IYT2_FTSJD1.pdf", "Melting_Curves/meltCurve_Q8IYT2_FTSJD1.pdf")</f>
        <v>Melting_Curves/meltCurve_Q8IYT2_FTSJD1.pdf</v>
      </c>
    </row>
    <row r="4360" spans="1:28" x14ac:dyDescent="0.25">
      <c r="A4360" t="s">
        <v>4364</v>
      </c>
      <c r="B4360">
        <v>0.99542014353169495</v>
      </c>
      <c r="C4360">
        <v>1.0121540610300399</v>
      </c>
      <c r="D4360">
        <v>1.0248278783829501</v>
      </c>
      <c r="E4360">
        <v>0.84704286169429999</v>
      </c>
      <c r="F4360">
        <v>0.447734449826453</v>
      </c>
      <c r="G4360">
        <v>0.17914408118810399</v>
      </c>
      <c r="H4360">
        <v>0.117778817756205</v>
      </c>
      <c r="I4360">
        <v>8.1455533071494404E-2</v>
      </c>
      <c r="J4360">
        <v>9.3053274999777003E-2</v>
      </c>
      <c r="K4360">
        <v>0.101765792644734</v>
      </c>
      <c r="L4360">
        <v>1373.6971603322299</v>
      </c>
      <c r="M4360">
        <v>27.812381409812399</v>
      </c>
      <c r="N4360">
        <v>49.758602501258302</v>
      </c>
      <c r="O4360">
        <v>49.138341592101398</v>
      </c>
      <c r="P4360">
        <v>-0.12837946522698099</v>
      </c>
      <c r="Q4360">
        <v>9.2735263001344007E-2</v>
      </c>
      <c r="R4360">
        <v>0.998681527153085</v>
      </c>
      <c r="S4360" t="s">
        <v>10762</v>
      </c>
      <c r="T4360" t="s">
        <v>12802</v>
      </c>
      <c r="U4360" t="s">
        <v>12802</v>
      </c>
      <c r="V4360" t="s">
        <v>12802</v>
      </c>
      <c r="W4360" t="s">
        <v>17103</v>
      </c>
      <c r="X4360">
        <v>8</v>
      </c>
      <c r="Y4360" t="s">
        <v>23325</v>
      </c>
      <c r="Z4360" t="s">
        <v>29678</v>
      </c>
      <c r="AA4360">
        <v>0.47388315978445972</v>
      </c>
      <c r="AB4360" t="str">
        <f>HYPERLINK("Melting_Curves/meltCurve_Q8IYU8_MICU2.pdf", "Melting_Curves/meltCurve_Q8IYU8_MICU2.pdf")</f>
        <v>Melting_Curves/meltCurve_Q8IYU8_MICU2.pdf</v>
      </c>
    </row>
    <row r="4361" spans="1:28" x14ac:dyDescent="0.25">
      <c r="A4361" t="s">
        <v>4365</v>
      </c>
      <c r="B4361">
        <v>0.99542014353169495</v>
      </c>
      <c r="C4361">
        <v>1.0049996869218301</v>
      </c>
      <c r="D4361">
        <v>0.92948498920474798</v>
      </c>
      <c r="E4361">
        <v>0.79952220545835295</v>
      </c>
      <c r="F4361">
        <v>0.46393599750481601</v>
      </c>
      <c r="G4361">
        <v>0.159750261836654</v>
      </c>
      <c r="H4361">
        <v>9.5171184063142303E-2</v>
      </c>
      <c r="I4361">
        <v>6.4470978506585397E-2</v>
      </c>
      <c r="J4361">
        <v>7.2119918940805203E-2</v>
      </c>
      <c r="K4361">
        <v>5.7934673569700099E-2</v>
      </c>
      <c r="L4361">
        <v>1084.9580169872499</v>
      </c>
      <c r="M4361">
        <v>21.960829775458901</v>
      </c>
      <c r="N4361">
        <v>49.654781010244399</v>
      </c>
      <c r="O4361">
        <v>49.000054184741799</v>
      </c>
      <c r="P4361">
        <v>-0.106170773663871</v>
      </c>
      <c r="Q4361">
        <v>5.2448061092748903E-2</v>
      </c>
      <c r="R4361">
        <v>0.99829713839815304</v>
      </c>
      <c r="S4361" t="s">
        <v>10763</v>
      </c>
      <c r="T4361" t="s">
        <v>12802</v>
      </c>
      <c r="U4361" t="s">
        <v>12802</v>
      </c>
      <c r="V4361" t="s">
        <v>12802</v>
      </c>
      <c r="W4361" t="s">
        <v>17104</v>
      </c>
      <c r="X4361">
        <v>7</v>
      </c>
      <c r="Y4361" t="s">
        <v>23326</v>
      </c>
      <c r="Z4361" t="s">
        <v>29679</v>
      </c>
      <c r="AA4361">
        <v>0.45476113555127901</v>
      </c>
      <c r="AB4361" t="str">
        <f>HYPERLINK("Melting_Curves/meltCurve_Q8IZ07_ANKRD13A.pdf", "Melting_Curves/meltCurve_Q8IZ07_ANKRD13A.pdf")</f>
        <v>Melting_Curves/meltCurve_Q8IZ07_ANKRD13A.pdf</v>
      </c>
    </row>
    <row r="4362" spans="1:28" x14ac:dyDescent="0.25">
      <c r="A4362" t="s">
        <v>4366</v>
      </c>
      <c r="B4362">
        <v>0.99542014353169495</v>
      </c>
      <c r="C4362">
        <v>1.0008143299888499</v>
      </c>
      <c r="D4362">
        <v>1.0188803773450701</v>
      </c>
      <c r="E4362">
        <v>0.86420894953363603</v>
      </c>
      <c r="F4362">
        <v>0.74431233017545495</v>
      </c>
      <c r="G4362">
        <v>0.50474693448143904</v>
      </c>
      <c r="H4362">
        <v>0.40187660586169399</v>
      </c>
      <c r="I4362">
        <v>0.35084202628831601</v>
      </c>
      <c r="J4362">
        <v>0.48660028155434598</v>
      </c>
      <c r="K4362">
        <v>0.62307099609385297</v>
      </c>
      <c r="L4362">
        <v>1321.16134278817</v>
      </c>
      <c r="M4362">
        <v>26.564009432033298</v>
      </c>
      <c r="N4362">
        <v>55.025960998659897</v>
      </c>
      <c r="O4362">
        <v>49.4557242856133</v>
      </c>
      <c r="P4362">
        <v>-7.2361973846635494E-2</v>
      </c>
      <c r="Q4362">
        <v>0.46112414673329299</v>
      </c>
      <c r="R4362">
        <v>0.91462065212597299</v>
      </c>
      <c r="S4362" t="s">
        <v>10764</v>
      </c>
      <c r="T4362" t="s">
        <v>12802</v>
      </c>
      <c r="U4362" t="s">
        <v>12802</v>
      </c>
      <c r="V4362" t="s">
        <v>12802</v>
      </c>
      <c r="W4362" t="s">
        <v>17105</v>
      </c>
      <c r="X4362">
        <v>19</v>
      </c>
      <c r="Y4362" t="s">
        <v>23327</v>
      </c>
      <c r="Z4362" t="s">
        <v>29680</v>
      </c>
      <c r="AA4362">
        <v>0.69405680801257408</v>
      </c>
      <c r="AB4362" t="str">
        <f>HYPERLINK("Melting_Curves/meltCurve_Q8IZ21_3_PHACTR4.pdf", "Melting_Curves/meltCurve_Q8IZ21_3_PHACTR4.pdf")</f>
        <v>Melting_Curves/meltCurve_Q8IZ21_3_PHACTR4.pdf</v>
      </c>
    </row>
    <row r="4363" spans="1:28" x14ac:dyDescent="0.25">
      <c r="A4363" t="s">
        <v>4367</v>
      </c>
      <c r="B4363">
        <v>0.99542014353169495</v>
      </c>
      <c r="C4363">
        <v>0.87143646248013096</v>
      </c>
      <c r="D4363">
        <v>1.054309366524</v>
      </c>
      <c r="E4363">
        <v>0.65210947485590998</v>
      </c>
      <c r="F4363">
        <v>0.38567222192039802</v>
      </c>
      <c r="G4363">
        <v>0.15240055591027099</v>
      </c>
      <c r="H4363">
        <v>0.123928091034814</v>
      </c>
      <c r="I4363">
        <v>8.3225773835766306E-2</v>
      </c>
      <c r="J4363">
        <v>9.0306033663697993E-2</v>
      </c>
      <c r="K4363">
        <v>7.2024009016348298E-2</v>
      </c>
      <c r="L4363">
        <v>1054.82988026216</v>
      </c>
      <c r="M4363">
        <v>21.880865986130502</v>
      </c>
      <c r="N4363">
        <v>48.6027571252652</v>
      </c>
      <c r="O4363">
        <v>47.810608403322597</v>
      </c>
      <c r="P4363">
        <v>-0.10509918387251101</v>
      </c>
      <c r="Q4363">
        <v>8.1436170456016699E-2</v>
      </c>
      <c r="R4363">
        <v>0.97843847121068495</v>
      </c>
      <c r="S4363" t="s">
        <v>10765</v>
      </c>
      <c r="T4363" t="s">
        <v>12802</v>
      </c>
      <c r="U4363" t="s">
        <v>12802</v>
      </c>
      <c r="V4363" t="s">
        <v>12802</v>
      </c>
      <c r="W4363" t="s">
        <v>17106</v>
      </c>
      <c r="X4363">
        <v>3</v>
      </c>
      <c r="Y4363" t="s">
        <v>23328</v>
      </c>
      <c r="Z4363" t="s">
        <v>29681</v>
      </c>
      <c r="AA4363">
        <v>0.43478760172246927</v>
      </c>
      <c r="AB4363" t="str">
        <f>HYPERLINK("Melting_Curves/meltCurve_Q8IZ52_CHPF.pdf", "Melting_Curves/meltCurve_Q8IZ52_CHPF.pdf")</f>
        <v>Melting_Curves/meltCurve_Q8IZ52_CHPF.pdf</v>
      </c>
    </row>
    <row r="4364" spans="1:28" x14ac:dyDescent="0.25">
      <c r="A4364" t="s">
        <v>4368</v>
      </c>
      <c r="B4364">
        <v>0.99542014353169495</v>
      </c>
      <c r="C4364">
        <v>0.88852710269386403</v>
      </c>
      <c r="D4364">
        <v>0.92099080206871597</v>
      </c>
      <c r="E4364">
        <v>0.62472888943510896</v>
      </c>
      <c r="F4364">
        <v>0.50962453414139997</v>
      </c>
      <c r="G4364">
        <v>0.26338236282886202</v>
      </c>
      <c r="H4364">
        <v>0.12410811062169499</v>
      </c>
      <c r="I4364">
        <v>8.21218376295582E-2</v>
      </c>
      <c r="J4364">
        <v>9.9689078949444093E-2</v>
      </c>
      <c r="K4364">
        <v>7.0215740651821595E-2</v>
      </c>
      <c r="L4364">
        <v>625.55612256316601</v>
      </c>
      <c r="M4364">
        <v>12.7108782661126</v>
      </c>
      <c r="N4364">
        <v>49.413030648965702</v>
      </c>
      <c r="O4364">
        <v>48.043806729229701</v>
      </c>
      <c r="P4364">
        <v>-6.4505881764640102E-2</v>
      </c>
      <c r="Q4364">
        <v>2.4926332752698899E-2</v>
      </c>
      <c r="R4364">
        <v>0.98740349968330199</v>
      </c>
      <c r="S4364" t="s">
        <v>10766</v>
      </c>
      <c r="T4364" t="s">
        <v>12802</v>
      </c>
      <c r="U4364" t="s">
        <v>12802</v>
      </c>
      <c r="V4364" t="s">
        <v>12802</v>
      </c>
      <c r="W4364" t="s">
        <v>17107</v>
      </c>
      <c r="X4364">
        <v>9</v>
      </c>
      <c r="Y4364" t="s">
        <v>23329</v>
      </c>
      <c r="Z4364" t="s">
        <v>29682</v>
      </c>
      <c r="AA4364">
        <v>0.44844853199768958</v>
      </c>
      <c r="AB4364" t="str">
        <f>HYPERLINK("Melting_Curves/meltCurve_Q8IZ68_MTX2.pdf", "Melting_Curves/meltCurve_Q8IZ68_MTX2.pdf")</f>
        <v>Melting_Curves/meltCurve_Q8IZ68_MTX2.pdf</v>
      </c>
    </row>
    <row r="4365" spans="1:28" x14ac:dyDescent="0.25">
      <c r="A4365" t="s">
        <v>4369</v>
      </c>
      <c r="B4365">
        <v>0.99542014353169495</v>
      </c>
      <c r="C4365">
        <v>0.97815761167892301</v>
      </c>
      <c r="D4365">
        <v>0.96624120157986604</v>
      </c>
      <c r="E4365">
        <v>0.948646677191752</v>
      </c>
      <c r="F4365">
        <v>0.71805384011183804</v>
      </c>
      <c r="G4365">
        <v>0.50432009800960997</v>
      </c>
      <c r="H4365">
        <v>0.15233385348130801</v>
      </c>
      <c r="I4365">
        <v>6.9114216180699295E-2</v>
      </c>
      <c r="J4365">
        <v>6.7581279511393297E-2</v>
      </c>
      <c r="K4365">
        <v>7.1818881069664303E-2</v>
      </c>
      <c r="L4365">
        <v>1049.06207838719</v>
      </c>
      <c r="M4365">
        <v>19.796932724043401</v>
      </c>
      <c r="N4365">
        <v>53.142432454992097</v>
      </c>
      <c r="O4365">
        <v>52.459331336643402</v>
      </c>
      <c r="P4365">
        <v>-9.1762242385195397E-2</v>
      </c>
      <c r="Q4365">
        <v>2.7400370106922301E-2</v>
      </c>
      <c r="R4365">
        <v>0.99336390246114603</v>
      </c>
      <c r="S4365" t="s">
        <v>10767</v>
      </c>
      <c r="T4365" t="s">
        <v>12802</v>
      </c>
      <c r="U4365" t="s">
        <v>12802</v>
      </c>
      <c r="V4365" t="s">
        <v>12802</v>
      </c>
      <c r="W4365" t="s">
        <v>17108</v>
      </c>
      <c r="X4365">
        <v>15</v>
      </c>
      <c r="Y4365" t="s">
        <v>23330</v>
      </c>
      <c r="Z4365" t="s">
        <v>29683</v>
      </c>
      <c r="AA4365">
        <v>0.55826872569483055</v>
      </c>
      <c r="AB4365" t="str">
        <f>HYPERLINK("Melting_Curves/meltCurve_Q8IZ73_RPUSD2.pdf", "Melting_Curves/meltCurve_Q8IZ73_RPUSD2.pdf")</f>
        <v>Melting_Curves/meltCurve_Q8IZ73_RPUSD2.pdf</v>
      </c>
    </row>
    <row r="4366" spans="1:28" x14ac:dyDescent="0.25">
      <c r="A4366" t="s">
        <v>4370</v>
      </c>
      <c r="B4366">
        <v>0.99542014353169495</v>
      </c>
      <c r="C4366">
        <v>0.89233235611913597</v>
      </c>
      <c r="D4366">
        <v>0.77476188424096104</v>
      </c>
      <c r="E4366">
        <v>0.55109077574354004</v>
      </c>
      <c r="F4366">
        <v>0.415882136377975</v>
      </c>
      <c r="G4366">
        <v>0.20532343586474799</v>
      </c>
      <c r="H4366">
        <v>0.185098768323294</v>
      </c>
      <c r="I4366">
        <v>0.13259228096619699</v>
      </c>
      <c r="J4366">
        <v>5.0391432323249601E-2</v>
      </c>
      <c r="K4366">
        <v>5.7767577035916097E-2</v>
      </c>
      <c r="L4366">
        <v>519.72351395742703</v>
      </c>
      <c r="M4366">
        <v>10.8878766821172</v>
      </c>
      <c r="N4366">
        <v>47.929403762475999</v>
      </c>
      <c r="O4366">
        <v>46.208571573509097</v>
      </c>
      <c r="P4366">
        <v>-5.7648514597276802E-2</v>
      </c>
      <c r="Q4366">
        <v>2.1692997539668801E-2</v>
      </c>
      <c r="R4366">
        <v>0.994113573375624</v>
      </c>
      <c r="S4366" t="s">
        <v>10768</v>
      </c>
      <c r="T4366" t="s">
        <v>12802</v>
      </c>
      <c r="U4366" t="s">
        <v>12802</v>
      </c>
      <c r="V4366" t="s">
        <v>12802</v>
      </c>
      <c r="W4366" t="s">
        <v>17109</v>
      </c>
      <c r="X4366">
        <v>16</v>
      </c>
      <c r="Y4366" t="s">
        <v>23331</v>
      </c>
      <c r="Z4366" t="s">
        <v>29684</v>
      </c>
      <c r="AA4366">
        <v>0.40745702892070951</v>
      </c>
      <c r="AB4366" t="str">
        <f>HYPERLINK("Melting_Curves/meltCurve_Q8IZ83_ALDH16A1.pdf", "Melting_Curves/meltCurve_Q8IZ83_ALDH16A1.pdf")</f>
        <v>Melting_Curves/meltCurve_Q8IZ83_ALDH16A1.pdf</v>
      </c>
    </row>
    <row r="4367" spans="1:28" x14ac:dyDescent="0.25">
      <c r="A4367" t="s">
        <v>4371</v>
      </c>
      <c r="B4367">
        <v>0.99542014353169495</v>
      </c>
      <c r="C4367">
        <v>0.96020977882060699</v>
      </c>
      <c r="D4367">
        <v>0.92745316844551196</v>
      </c>
      <c r="E4367">
        <v>0.84209984237112401</v>
      </c>
      <c r="F4367">
        <v>0.54461584016532905</v>
      </c>
      <c r="G4367">
        <v>0.27268409034866398</v>
      </c>
      <c r="H4367">
        <v>0.16250462234590299</v>
      </c>
      <c r="I4367">
        <v>0.12738223752908701</v>
      </c>
      <c r="J4367">
        <v>0.15522601817873799</v>
      </c>
      <c r="K4367">
        <v>0.168466202718311</v>
      </c>
      <c r="L4367">
        <v>1067.13291953814</v>
      </c>
      <c r="M4367">
        <v>21.428285784374498</v>
      </c>
      <c r="N4367">
        <v>50.541581551064297</v>
      </c>
      <c r="O4367">
        <v>49.3725911170865</v>
      </c>
      <c r="P4367">
        <v>-9.3872357031884596E-2</v>
      </c>
      <c r="Q4367">
        <v>0.13486228356778501</v>
      </c>
      <c r="R4367">
        <v>0.99566520073883003</v>
      </c>
      <c r="S4367" t="s">
        <v>10769</v>
      </c>
      <c r="T4367" t="s">
        <v>12802</v>
      </c>
      <c r="U4367" t="s">
        <v>12802</v>
      </c>
      <c r="V4367" t="s">
        <v>12802</v>
      </c>
      <c r="W4367" t="s">
        <v>17110</v>
      </c>
      <c r="X4367">
        <v>1</v>
      </c>
      <c r="Y4367" t="s">
        <v>23332</v>
      </c>
      <c r="Z4367" t="s">
        <v>29685</v>
      </c>
      <c r="AA4367">
        <v>0.51406534387855529</v>
      </c>
      <c r="AB4367" t="str">
        <f>HYPERLINK("Melting_Curves/meltCurve_Q8IZE3_2_SCYL3.pdf", "Melting_Curves/meltCurve_Q8IZE3_2_SCYL3.pdf")</f>
        <v>Melting_Curves/meltCurve_Q8IZE3_2_SCYL3.pdf</v>
      </c>
    </row>
    <row r="4368" spans="1:28" x14ac:dyDescent="0.25">
      <c r="A4368" t="s">
        <v>4372</v>
      </c>
      <c r="B4368">
        <v>0.99542014353169495</v>
      </c>
      <c r="C4368">
        <v>0.85467346526505505</v>
      </c>
      <c r="D4368">
        <v>0.81231839424805397</v>
      </c>
      <c r="E4368">
        <v>0.510994139918996</v>
      </c>
      <c r="F4368">
        <v>0.21300480028838201</v>
      </c>
      <c r="G4368">
        <v>0.12601774006838901</v>
      </c>
      <c r="H4368">
        <v>8.3533088690408E-2</v>
      </c>
      <c r="I4368">
        <v>5.6804743775167303E-2</v>
      </c>
      <c r="J4368">
        <v>4.7932532733962301E-2</v>
      </c>
      <c r="K4368">
        <v>6.3132835050698194E-2</v>
      </c>
      <c r="L4368">
        <v>758.50597360855295</v>
      </c>
      <c r="M4368">
        <v>16.408713973870402</v>
      </c>
      <c r="N4368">
        <v>46.469548064260103</v>
      </c>
      <c r="O4368">
        <v>45.555592446174401</v>
      </c>
      <c r="P4368">
        <v>-8.6340840678465494E-2</v>
      </c>
      <c r="Q4368">
        <v>4.1234142491378002E-2</v>
      </c>
      <c r="R4368">
        <v>0.99298779426611405</v>
      </c>
      <c r="S4368" t="s">
        <v>10770</v>
      </c>
      <c r="T4368" t="s">
        <v>12802</v>
      </c>
      <c r="U4368" t="s">
        <v>12802</v>
      </c>
      <c r="V4368" t="s">
        <v>12802</v>
      </c>
      <c r="W4368" t="s">
        <v>17111</v>
      </c>
      <c r="X4368">
        <v>13</v>
      </c>
      <c r="Y4368" t="s">
        <v>23333</v>
      </c>
      <c r="Z4368" t="s">
        <v>29686</v>
      </c>
      <c r="AA4368">
        <v>0.3546119690261485</v>
      </c>
      <c r="AB4368" t="str">
        <f>HYPERLINK("Melting_Curves/meltCurve_Q8IZH2_2_XRN1.pdf", "Melting_Curves/meltCurve_Q8IZH2_2_XRN1.pdf")</f>
        <v>Melting_Curves/meltCurve_Q8IZH2_2_XRN1.pdf</v>
      </c>
    </row>
    <row r="4369" spans="1:28" x14ac:dyDescent="0.25">
      <c r="A4369" t="s">
        <v>4373</v>
      </c>
      <c r="B4369">
        <v>0.99542014353169495</v>
      </c>
      <c r="C4369">
        <v>1.19388175527284</v>
      </c>
      <c r="D4369">
        <v>1.07061093317745</v>
      </c>
      <c r="E4369">
        <v>0.99868384596493598</v>
      </c>
      <c r="F4369">
        <v>0.63624552500776599</v>
      </c>
      <c r="G4369">
        <v>0.407288701108239</v>
      </c>
      <c r="H4369">
        <v>0.216587200355283</v>
      </c>
      <c r="I4369">
        <v>0.12145649306386901</v>
      </c>
      <c r="J4369">
        <v>0.166966259696813</v>
      </c>
      <c r="K4369">
        <v>0.22479504334846301</v>
      </c>
      <c r="L4369">
        <v>1328.0877785676601</v>
      </c>
      <c r="M4369">
        <v>25.946779683297699</v>
      </c>
      <c r="N4369">
        <v>52.0344782773833</v>
      </c>
      <c r="O4369">
        <v>50.883946218796503</v>
      </c>
      <c r="P4369">
        <v>-0.105473132785316</v>
      </c>
      <c r="Q4369">
        <v>0.17264094232181301</v>
      </c>
      <c r="R4369">
        <v>0.96365406881462701</v>
      </c>
      <c r="S4369" t="s">
        <v>10771</v>
      </c>
      <c r="T4369" t="s">
        <v>12802</v>
      </c>
      <c r="U4369" t="s">
        <v>12802</v>
      </c>
      <c r="V4369" t="s">
        <v>12802</v>
      </c>
      <c r="W4369" t="s">
        <v>17112</v>
      </c>
      <c r="X4369">
        <v>2</v>
      </c>
      <c r="Y4369" t="s">
        <v>23334</v>
      </c>
      <c r="Z4369" t="s">
        <v>29687</v>
      </c>
      <c r="AA4369">
        <v>0.57066568260682804</v>
      </c>
      <c r="AB4369" t="str">
        <f>HYPERLINK("Melting_Curves/meltCurve_Q8IZQ5_SELH.pdf", "Melting_Curves/meltCurve_Q8IZQ5_SELH.pdf")</f>
        <v>Melting_Curves/meltCurve_Q8IZQ5_SELH.pdf</v>
      </c>
    </row>
    <row r="4370" spans="1:28" x14ac:dyDescent="0.25">
      <c r="A4370" t="s">
        <v>4374</v>
      </c>
      <c r="B4370">
        <v>0.99542014353169495</v>
      </c>
      <c r="C4370">
        <v>1.06457275818355</v>
      </c>
      <c r="D4370">
        <v>1.0237219753626099</v>
      </c>
      <c r="E4370">
        <v>0.75962942533733102</v>
      </c>
      <c r="F4370">
        <v>0.66805750867718605</v>
      </c>
      <c r="G4370">
        <v>0.35880640759940002</v>
      </c>
      <c r="H4370">
        <v>0.28651262304935698</v>
      </c>
      <c r="I4370">
        <v>0.23454896741641901</v>
      </c>
      <c r="J4370">
        <v>0.34710873593299801</v>
      </c>
      <c r="K4370">
        <v>0.31782228366469301</v>
      </c>
      <c r="L4370">
        <v>1020.7464943984201</v>
      </c>
      <c r="M4370">
        <v>20.615004331499101</v>
      </c>
      <c r="N4370">
        <v>51.571309901595903</v>
      </c>
      <c r="O4370">
        <v>49.055872322440301</v>
      </c>
      <c r="P4370">
        <v>-7.5618881201218499E-2</v>
      </c>
      <c r="Q4370">
        <v>0.28024403769951201</v>
      </c>
      <c r="R4370">
        <v>0.96832801548084202</v>
      </c>
      <c r="S4370" t="s">
        <v>10772</v>
      </c>
      <c r="T4370" t="s">
        <v>12802</v>
      </c>
      <c r="U4370" t="s">
        <v>12802</v>
      </c>
      <c r="V4370" t="s">
        <v>12802</v>
      </c>
      <c r="W4370" t="s">
        <v>17113</v>
      </c>
      <c r="X4370">
        <v>1</v>
      </c>
      <c r="Y4370" t="s">
        <v>23335</v>
      </c>
      <c r="Z4370" t="s">
        <v>29688</v>
      </c>
      <c r="AA4370">
        <v>0.58947850262383883</v>
      </c>
      <c r="AB4370" t="str">
        <f>HYPERLINK("Melting_Curves/meltCurve_Q8IZR5_3_CMTM4.pdf", "Melting_Curves/meltCurve_Q8IZR5_3_CMTM4.pdf")</f>
        <v>Melting_Curves/meltCurve_Q8IZR5_3_CMTM4.pdf</v>
      </c>
    </row>
    <row r="4371" spans="1:28" x14ac:dyDescent="0.25">
      <c r="A4371" t="s">
        <v>4375</v>
      </c>
      <c r="B4371">
        <v>0.99542014353169495</v>
      </c>
      <c r="C4371">
        <v>0.92964751861255301</v>
      </c>
      <c r="D4371">
        <v>0.89050204880718797</v>
      </c>
      <c r="E4371">
        <v>0.85101961605828602</v>
      </c>
      <c r="F4371">
        <v>0.67152678290151502</v>
      </c>
      <c r="G4371">
        <v>0.53001893737139905</v>
      </c>
      <c r="H4371">
        <v>0.212408602860094</v>
      </c>
      <c r="I4371">
        <v>9.02915309688824E-2</v>
      </c>
      <c r="J4371">
        <v>7.2343251138824699E-2</v>
      </c>
      <c r="K4371">
        <v>5.81998828525358E-2</v>
      </c>
      <c r="L4371">
        <v>728.14973768005405</v>
      </c>
      <c r="M4371">
        <v>13.757796127915601</v>
      </c>
      <c r="N4371">
        <v>52.926336621418798</v>
      </c>
      <c r="O4371">
        <v>51.8457087257393</v>
      </c>
      <c r="P4371">
        <v>-6.6349494985667001E-2</v>
      </c>
      <c r="Q4371">
        <v>0</v>
      </c>
      <c r="R4371">
        <v>0.98501304517391897</v>
      </c>
      <c r="S4371" t="s">
        <v>10773</v>
      </c>
      <c r="T4371" t="s">
        <v>12802</v>
      </c>
      <c r="U4371" t="s">
        <v>12802</v>
      </c>
      <c r="V4371" t="s">
        <v>12802</v>
      </c>
      <c r="W4371" t="s">
        <v>17114</v>
      </c>
      <c r="X4371">
        <v>8</v>
      </c>
      <c r="Y4371" t="s">
        <v>23336</v>
      </c>
      <c r="Z4371" t="s">
        <v>29689</v>
      </c>
      <c r="AA4371">
        <v>0.55027787907698533</v>
      </c>
      <c r="AB4371" t="str">
        <f>HYPERLINK("Melting_Curves/meltCurve_Q8IZV5_RDH10.pdf", "Melting_Curves/meltCurve_Q8IZV5_RDH10.pdf")</f>
        <v>Melting_Curves/meltCurve_Q8IZV5_RDH10.pdf</v>
      </c>
    </row>
    <row r="4372" spans="1:28" x14ac:dyDescent="0.25">
      <c r="A4372" t="s">
        <v>4376</v>
      </c>
      <c r="B4372">
        <v>0.99542014353169495</v>
      </c>
      <c r="C4372">
        <v>1.0545005800084599</v>
      </c>
      <c r="D4372">
        <v>0.93719945781874403</v>
      </c>
      <c r="E4372">
        <v>0.80794024599540104</v>
      </c>
      <c r="F4372">
        <v>0.65230987921044903</v>
      </c>
      <c r="G4372">
        <v>0.51062186930112197</v>
      </c>
      <c r="H4372">
        <v>0.32275684043105102</v>
      </c>
      <c r="I4372">
        <v>0.26403517655173803</v>
      </c>
      <c r="J4372">
        <v>0.322494013432299</v>
      </c>
      <c r="K4372">
        <v>0.44568425827325803</v>
      </c>
      <c r="L4372">
        <v>867.92883405832504</v>
      </c>
      <c r="M4372">
        <v>17.4739275341996</v>
      </c>
      <c r="N4372">
        <v>52.838745395708003</v>
      </c>
      <c r="O4372">
        <v>49.0331057740215</v>
      </c>
      <c r="P4372">
        <v>-6.0170223519022299E-2</v>
      </c>
      <c r="Q4372">
        <v>0.32466943920759</v>
      </c>
      <c r="R4372">
        <v>0.96036310977714001</v>
      </c>
      <c r="S4372" t="s">
        <v>10774</v>
      </c>
      <c r="T4372" t="s">
        <v>12802</v>
      </c>
      <c r="U4372" t="s">
        <v>12802</v>
      </c>
      <c r="V4372" t="s">
        <v>12802</v>
      </c>
      <c r="W4372" t="s">
        <v>17115</v>
      </c>
      <c r="X4372">
        <v>5</v>
      </c>
      <c r="Y4372" t="s">
        <v>23337</v>
      </c>
      <c r="Z4372" t="s">
        <v>29690</v>
      </c>
      <c r="AA4372">
        <v>0.62110178424298779</v>
      </c>
      <c r="AB4372" t="str">
        <f>HYPERLINK("Melting_Curves/meltCurve_Q8N0T1_C8orf59.pdf", "Melting_Curves/meltCurve_Q8N0T1_C8orf59.pdf")</f>
        <v>Melting_Curves/meltCurve_Q8N0T1_C8orf59.pdf</v>
      </c>
    </row>
    <row r="4373" spans="1:28" x14ac:dyDescent="0.25">
      <c r="A4373" t="s">
        <v>4377</v>
      </c>
      <c r="B4373">
        <v>0.99542014353169495</v>
      </c>
      <c r="C4373">
        <v>0.91327027739180799</v>
      </c>
      <c r="D4373">
        <v>0.88794857521443304</v>
      </c>
      <c r="E4373">
        <v>0.78562555876217399</v>
      </c>
      <c r="F4373">
        <v>0.62143738318626196</v>
      </c>
      <c r="G4373">
        <v>0.42120125138353998</v>
      </c>
      <c r="H4373">
        <v>0.31887659124552997</v>
      </c>
      <c r="I4373">
        <v>0.343045153286059</v>
      </c>
      <c r="J4373">
        <v>0.48080408274917102</v>
      </c>
      <c r="K4373">
        <v>0.62487339386519702</v>
      </c>
      <c r="L4373">
        <v>943.07047693852405</v>
      </c>
      <c r="M4373">
        <v>19.913579781079299</v>
      </c>
      <c r="N4373">
        <v>52.654195094503599</v>
      </c>
      <c r="O4373">
        <v>46.888336291551198</v>
      </c>
      <c r="P4373">
        <v>-6.0253339776138698E-2</v>
      </c>
      <c r="Q4373">
        <v>0.43253089444449699</v>
      </c>
      <c r="R4373">
        <v>0.856592460701596</v>
      </c>
      <c r="S4373" t="s">
        <v>10775</v>
      </c>
      <c r="T4373" t="s">
        <v>12802</v>
      </c>
      <c r="U4373" t="s">
        <v>12802</v>
      </c>
      <c r="V4373" t="s">
        <v>12802</v>
      </c>
      <c r="W4373" t="s">
        <v>17116</v>
      </c>
      <c r="X4373">
        <v>4</v>
      </c>
      <c r="Y4373" t="s">
        <v>23338</v>
      </c>
      <c r="Z4373" t="s">
        <v>29691</v>
      </c>
      <c r="AA4373">
        <v>0.63596270128654353</v>
      </c>
      <c r="AB4373" t="str">
        <f>HYPERLINK("Melting_Curves/meltCurve_Q8N0U8_VKORC1L1.pdf", "Melting_Curves/meltCurve_Q8N0U8_VKORC1L1.pdf")</f>
        <v>Melting_Curves/meltCurve_Q8N0U8_VKORC1L1.pdf</v>
      </c>
    </row>
    <row r="4374" spans="1:28" x14ac:dyDescent="0.25">
      <c r="A4374" t="s">
        <v>4378</v>
      </c>
      <c r="B4374">
        <v>0.99542014353169495</v>
      </c>
      <c r="C4374">
        <v>0.96698394890671102</v>
      </c>
      <c r="D4374">
        <v>0.98451493597339201</v>
      </c>
      <c r="E4374">
        <v>0.81115571867047598</v>
      </c>
      <c r="F4374">
        <v>0.72229631232403602</v>
      </c>
      <c r="G4374">
        <v>0.40857833259533799</v>
      </c>
      <c r="H4374">
        <v>0.29734862916271598</v>
      </c>
      <c r="I4374">
        <v>0.169964076140911</v>
      </c>
      <c r="J4374">
        <v>0.13884453505050601</v>
      </c>
      <c r="K4374">
        <v>0.108133042412181</v>
      </c>
      <c r="L4374">
        <v>727.68255681959101</v>
      </c>
      <c r="M4374">
        <v>13.891879259442801</v>
      </c>
      <c r="N4374">
        <v>52.911385185585601</v>
      </c>
      <c r="O4374">
        <v>51.332217395318203</v>
      </c>
      <c r="P4374">
        <v>-6.3274640197614196E-2</v>
      </c>
      <c r="Q4374">
        <v>6.4896957111037906E-2</v>
      </c>
      <c r="R4374">
        <v>0.99340963346163202</v>
      </c>
      <c r="S4374" t="s">
        <v>10776</v>
      </c>
      <c r="T4374" t="s">
        <v>12802</v>
      </c>
      <c r="U4374" t="s">
        <v>12802</v>
      </c>
      <c r="V4374" t="s">
        <v>12802</v>
      </c>
      <c r="W4374" t="s">
        <v>17117</v>
      </c>
      <c r="X4374">
        <v>8</v>
      </c>
      <c r="Y4374" t="s">
        <v>23339</v>
      </c>
      <c r="Z4374" t="s">
        <v>29692</v>
      </c>
      <c r="AA4374">
        <v>0.56324031907795447</v>
      </c>
      <c r="AB4374" t="str">
        <f>HYPERLINK("Melting_Curves/meltCurve_Q8N0W3_FUK.pdf", "Melting_Curves/meltCurve_Q8N0W3_FUK.pdf")</f>
        <v>Melting_Curves/meltCurve_Q8N0W3_FUK.pdf</v>
      </c>
    </row>
    <row r="4375" spans="1:28" x14ac:dyDescent="0.25">
      <c r="A4375" t="s">
        <v>4379</v>
      </c>
      <c r="B4375">
        <v>0.99542014353169495</v>
      </c>
      <c r="C4375">
        <v>1.00522037491852</v>
      </c>
      <c r="D4375">
        <v>0.95038970425896896</v>
      </c>
      <c r="E4375">
        <v>0.69201216121953202</v>
      </c>
      <c r="F4375">
        <v>0.31191771068261998</v>
      </c>
      <c r="G4375">
        <v>0.143605171400735</v>
      </c>
      <c r="H4375">
        <v>5.7343866464314497E-2</v>
      </c>
      <c r="I4375">
        <v>3.31214654011531E-2</v>
      </c>
      <c r="J4375">
        <v>3.06526399253347E-2</v>
      </c>
      <c r="K4375">
        <v>3.3442413979330003E-2</v>
      </c>
      <c r="L4375">
        <v>1061.2837784190599</v>
      </c>
      <c r="M4375">
        <v>21.993923957051202</v>
      </c>
      <c r="N4375">
        <v>48.394222842260298</v>
      </c>
      <c r="O4375">
        <v>47.859892783974999</v>
      </c>
      <c r="P4375">
        <v>-0.111330749705353</v>
      </c>
      <c r="Q4375">
        <v>3.0976059957043899E-2</v>
      </c>
      <c r="R4375">
        <v>0.99940146676203701</v>
      </c>
      <c r="S4375" t="s">
        <v>10777</v>
      </c>
      <c r="T4375" t="s">
        <v>12802</v>
      </c>
      <c r="U4375" t="s">
        <v>12802</v>
      </c>
      <c r="V4375" t="s">
        <v>12802</v>
      </c>
      <c r="W4375" t="s">
        <v>17118</v>
      </c>
      <c r="X4375">
        <v>15</v>
      </c>
      <c r="Y4375" t="s">
        <v>23340</v>
      </c>
      <c r="Z4375" t="s">
        <v>29693</v>
      </c>
      <c r="AA4375">
        <v>0.40511066603165818</v>
      </c>
      <c r="AB4375" t="str">
        <f>HYPERLINK("Melting_Curves/meltCurve_Q8N0X7_SPG20.pdf", "Melting_Curves/meltCurve_Q8N0X7_SPG20.pdf")</f>
        <v>Melting_Curves/meltCurve_Q8N0X7_SPG20.pdf</v>
      </c>
    </row>
    <row r="4376" spans="1:28" x14ac:dyDescent="0.25">
      <c r="A4376" t="s">
        <v>4380</v>
      </c>
      <c r="B4376">
        <v>0.99542014353169495</v>
      </c>
      <c r="C4376">
        <v>1.0101363010244</v>
      </c>
      <c r="D4376">
        <v>0.94602664671238901</v>
      </c>
      <c r="E4376">
        <v>0.71503938821638602</v>
      </c>
      <c r="F4376">
        <v>0.41051004500562699</v>
      </c>
      <c r="G4376">
        <v>0.13431932519964099</v>
      </c>
      <c r="H4376">
        <v>7.36994411347697E-2</v>
      </c>
      <c r="I4376">
        <v>5.6283151814863597E-2</v>
      </c>
      <c r="J4376">
        <v>6.6929148396371999E-2</v>
      </c>
      <c r="K4376">
        <v>9.8001624422598896E-2</v>
      </c>
      <c r="L4376">
        <v>1046.00439675087</v>
      </c>
      <c r="M4376">
        <v>21.508383387287399</v>
      </c>
      <c r="N4376">
        <v>48.9134692397176</v>
      </c>
      <c r="O4376">
        <v>48.217861427304598</v>
      </c>
      <c r="P4376">
        <v>-0.10503697219559401</v>
      </c>
      <c r="Q4376">
        <v>5.8128281132996201E-2</v>
      </c>
      <c r="R4376">
        <v>0.997041153399854</v>
      </c>
      <c r="S4376" t="s">
        <v>10778</v>
      </c>
      <c r="T4376" t="s">
        <v>12802</v>
      </c>
      <c r="U4376" t="s">
        <v>12802</v>
      </c>
      <c r="V4376" t="s">
        <v>12802</v>
      </c>
      <c r="W4376" t="s">
        <v>17119</v>
      </c>
      <c r="X4376">
        <v>8</v>
      </c>
      <c r="Y4376" t="s">
        <v>23341</v>
      </c>
      <c r="Z4376" t="s">
        <v>29694</v>
      </c>
      <c r="AA4376">
        <v>0.43415825159336779</v>
      </c>
      <c r="AB4376" t="str">
        <f>HYPERLINK("Melting_Curves/meltCurve_Q8N108_17_MIER1.pdf", "Melting_Curves/meltCurve_Q8N108_17_MIER1.pdf")</f>
        <v>Melting_Curves/meltCurve_Q8N108_17_MIER1.pdf</v>
      </c>
    </row>
    <row r="4377" spans="1:28" x14ac:dyDescent="0.25">
      <c r="A4377" t="s">
        <v>4381</v>
      </c>
      <c r="B4377">
        <v>0.99542014353169495</v>
      </c>
      <c r="C4377">
        <v>0.962405548610064</v>
      </c>
      <c r="D4377">
        <v>0.780686207699688</v>
      </c>
      <c r="E4377">
        <v>0.71539405999931704</v>
      </c>
      <c r="F4377">
        <v>0.57185313279509298</v>
      </c>
      <c r="G4377">
        <v>0.46007846239872202</v>
      </c>
      <c r="H4377">
        <v>0.25576198775922998</v>
      </c>
      <c r="I4377">
        <v>0.23959761427183199</v>
      </c>
      <c r="J4377">
        <v>0.318101144913295</v>
      </c>
      <c r="K4377">
        <v>0.41100541282634701</v>
      </c>
      <c r="L4377">
        <v>591.36323606326596</v>
      </c>
      <c r="M4377">
        <v>12.406112444578101</v>
      </c>
      <c r="N4377">
        <v>51.055603560634701</v>
      </c>
      <c r="O4377">
        <v>46.479386292552903</v>
      </c>
      <c r="P4377">
        <v>-4.8019904060946902E-2</v>
      </c>
      <c r="Q4377">
        <v>0.28052791875073502</v>
      </c>
      <c r="R4377">
        <v>0.94387696923239195</v>
      </c>
      <c r="S4377" t="s">
        <v>10779</v>
      </c>
      <c r="T4377" t="s">
        <v>12802</v>
      </c>
      <c r="U4377" t="s">
        <v>12802</v>
      </c>
      <c r="V4377" t="s">
        <v>12802</v>
      </c>
      <c r="W4377" t="s">
        <v>17120</v>
      </c>
      <c r="X4377">
        <v>4</v>
      </c>
      <c r="Y4377" t="s">
        <v>23342</v>
      </c>
      <c r="Z4377" t="s">
        <v>29695</v>
      </c>
      <c r="AA4377">
        <v>0.55811335645869486</v>
      </c>
      <c r="AB4377" t="str">
        <f>HYPERLINK("Melting_Curves/meltCurve_Q8N129_CNPY4.pdf", "Melting_Curves/meltCurve_Q8N129_CNPY4.pdf")</f>
        <v>Melting_Curves/meltCurve_Q8N129_CNPY4.pdf</v>
      </c>
    </row>
    <row r="4378" spans="1:28" x14ac:dyDescent="0.25">
      <c r="A4378" t="s">
        <v>4382</v>
      </c>
      <c r="B4378">
        <v>0.99542014353169495</v>
      </c>
      <c r="C4378">
        <v>0.740217051017794</v>
      </c>
      <c r="D4378">
        <v>0.85657098946363597</v>
      </c>
      <c r="E4378">
        <v>0.70568017383047499</v>
      </c>
      <c r="F4378">
        <v>0.87189154110414402</v>
      </c>
      <c r="G4378">
        <v>0.56779651880474902</v>
      </c>
      <c r="H4378">
        <v>1.7544559711244201</v>
      </c>
      <c r="I4378">
        <v>1.9316124579388201</v>
      </c>
      <c r="J4378">
        <v>1.6824236194397799</v>
      </c>
      <c r="K4378">
        <v>1.0555199551337999</v>
      </c>
      <c r="L4378">
        <v>3896.17892656803</v>
      </c>
      <c r="M4378">
        <v>69.880540208324902</v>
      </c>
      <c r="O4378">
        <v>55.7092407640543</v>
      </c>
      <c r="P4378">
        <v>0.15679749636859699</v>
      </c>
      <c r="Q4378">
        <v>1.5</v>
      </c>
      <c r="R4378">
        <v>0.56829801739733199</v>
      </c>
      <c r="S4378" t="s">
        <v>10780</v>
      </c>
      <c r="T4378" t="s">
        <v>12802</v>
      </c>
      <c r="U4378" t="s">
        <v>12802</v>
      </c>
      <c r="V4378" t="s">
        <v>12802</v>
      </c>
      <c r="W4378" t="s">
        <v>17121</v>
      </c>
      <c r="X4378">
        <v>1</v>
      </c>
      <c r="Y4378" t="s">
        <v>23343</v>
      </c>
      <c r="Z4378" t="s">
        <v>29696</v>
      </c>
      <c r="AA4378">
        <v>1.1867915373957321</v>
      </c>
      <c r="AB4378" t="str">
        <f>HYPERLINK("Melting_Curves/meltCurve_Q8N137_4_CNTROB.pdf", "Melting_Curves/meltCurve_Q8N137_4_CNTROB.pdf")</f>
        <v>Melting_Curves/meltCurve_Q8N137_4_CNTROB.pdf</v>
      </c>
    </row>
    <row r="4379" spans="1:28" x14ac:dyDescent="0.25">
      <c r="A4379" t="s">
        <v>4383</v>
      </c>
      <c r="B4379">
        <v>0.99542014353169495</v>
      </c>
      <c r="C4379">
        <v>1.22386418460167</v>
      </c>
      <c r="D4379">
        <v>1.04921136683473</v>
      </c>
      <c r="E4379">
        <v>1.0917888542639</v>
      </c>
      <c r="F4379">
        <v>0.76749740531006805</v>
      </c>
      <c r="G4379">
        <v>0.73983736825495905</v>
      </c>
      <c r="H4379">
        <v>0.525534450339873</v>
      </c>
      <c r="I4379">
        <v>0.199549474902842</v>
      </c>
      <c r="J4379">
        <v>0.232282212893658</v>
      </c>
      <c r="K4379">
        <v>0</v>
      </c>
      <c r="L4379">
        <v>909.30913810318395</v>
      </c>
      <c r="M4379">
        <v>15.944153597390301</v>
      </c>
      <c r="N4379">
        <v>57.0308818248186</v>
      </c>
      <c r="O4379">
        <v>56.156363400661</v>
      </c>
      <c r="P4379">
        <v>-7.0986705884093004E-2</v>
      </c>
      <c r="Q4379">
        <v>0</v>
      </c>
      <c r="R4379">
        <v>0.93494871619894704</v>
      </c>
      <c r="S4379" t="s">
        <v>10781</v>
      </c>
      <c r="T4379" t="s">
        <v>12802</v>
      </c>
      <c r="U4379" t="s">
        <v>12802</v>
      </c>
      <c r="V4379" t="s">
        <v>12802</v>
      </c>
      <c r="W4379" t="s">
        <v>17122</v>
      </c>
      <c r="X4379">
        <v>6</v>
      </c>
      <c r="Y4379" t="s">
        <v>23344</v>
      </c>
      <c r="Z4379" t="s">
        <v>29697</v>
      </c>
      <c r="AA4379">
        <v>0.67623258382241092</v>
      </c>
      <c r="AB4379" t="str">
        <f>HYPERLINK("Melting_Curves/meltCurve_Q8N142_ADSSL1.pdf", "Melting_Curves/meltCurve_Q8N142_ADSSL1.pdf")</f>
        <v>Melting_Curves/meltCurve_Q8N142_ADSSL1.pdf</v>
      </c>
    </row>
    <row r="4380" spans="1:28" x14ac:dyDescent="0.25">
      <c r="A4380" t="s">
        <v>4384</v>
      </c>
      <c r="B4380">
        <v>0.99542014353169495</v>
      </c>
      <c r="C4380">
        <v>0.93756913392672803</v>
      </c>
      <c r="D4380">
        <v>0.82891001655987995</v>
      </c>
      <c r="E4380">
        <v>0.58835698807960701</v>
      </c>
      <c r="F4380">
        <v>0.47563622185919702</v>
      </c>
      <c r="G4380">
        <v>0.25367196843388301</v>
      </c>
      <c r="H4380">
        <v>0.160880983281559</v>
      </c>
      <c r="I4380">
        <v>0.12820103604434999</v>
      </c>
      <c r="J4380">
        <v>0.14620995764203801</v>
      </c>
      <c r="K4380">
        <v>0.25282838401741498</v>
      </c>
      <c r="L4380">
        <v>672.93258791493702</v>
      </c>
      <c r="M4380">
        <v>14.2305668007967</v>
      </c>
      <c r="N4380">
        <v>48.452411463760299</v>
      </c>
      <c r="O4380">
        <v>46.383437469792398</v>
      </c>
      <c r="P4380">
        <v>-6.5599559285423298E-2</v>
      </c>
      <c r="Q4380">
        <v>0.144839686550568</v>
      </c>
      <c r="R4380">
        <v>0.98029798297730397</v>
      </c>
      <c r="S4380" t="s">
        <v>10782</v>
      </c>
      <c r="T4380" t="s">
        <v>12802</v>
      </c>
      <c r="U4380" t="s">
        <v>12802</v>
      </c>
      <c r="V4380" t="s">
        <v>12802</v>
      </c>
      <c r="W4380" t="s">
        <v>17123</v>
      </c>
      <c r="X4380">
        <v>2</v>
      </c>
      <c r="Y4380" t="s">
        <v>23345</v>
      </c>
      <c r="Z4380" t="s">
        <v>29698</v>
      </c>
      <c r="AA4380">
        <v>0.45906152541509149</v>
      </c>
      <c r="AB4380" t="str">
        <f>HYPERLINK("Melting_Curves/meltCurve_Q8N157_2_AHI1.pdf", "Melting_Curves/meltCurve_Q8N157_2_AHI1.pdf")</f>
        <v>Melting_Curves/meltCurve_Q8N157_2_AHI1.pdf</v>
      </c>
    </row>
    <row r="4381" spans="1:28" x14ac:dyDescent="0.25">
      <c r="A4381" t="s">
        <v>4385</v>
      </c>
      <c r="B4381">
        <v>0.99542014353169495</v>
      </c>
      <c r="C4381">
        <v>0.73026213009362895</v>
      </c>
      <c r="D4381">
        <v>0.62721377297339698</v>
      </c>
      <c r="E4381">
        <v>0.255355987688204</v>
      </c>
      <c r="F4381">
        <v>9.8228914591386496E-2</v>
      </c>
      <c r="G4381">
        <v>6.9141360916439298E-2</v>
      </c>
      <c r="H4381">
        <v>4.44671060444971E-2</v>
      </c>
      <c r="I4381">
        <v>3.19096535969218E-2</v>
      </c>
      <c r="J4381">
        <v>3.0488091061637398E-2</v>
      </c>
      <c r="K4381">
        <v>3.2813539084283097E-2</v>
      </c>
      <c r="L4381">
        <v>696.33264467217998</v>
      </c>
      <c r="M4381">
        <v>15.988347737312999</v>
      </c>
      <c r="N4381">
        <v>43.666145356271699</v>
      </c>
      <c r="O4381">
        <v>42.888279148785401</v>
      </c>
      <c r="P4381">
        <v>-9.1305754117356794E-2</v>
      </c>
      <c r="Q4381">
        <v>2.0377254449588999E-2</v>
      </c>
      <c r="R4381">
        <v>0.98648131993612598</v>
      </c>
      <c r="S4381" t="s">
        <v>10783</v>
      </c>
      <c r="T4381" t="s">
        <v>12802</v>
      </c>
      <c r="U4381" t="s">
        <v>12802</v>
      </c>
      <c r="V4381" t="s">
        <v>12802</v>
      </c>
      <c r="W4381" t="s">
        <v>17124</v>
      </c>
      <c r="X4381">
        <v>25</v>
      </c>
      <c r="Y4381" t="s">
        <v>23346</v>
      </c>
      <c r="Z4381" t="s">
        <v>29699</v>
      </c>
      <c r="AA4381">
        <v>0.25612217889113531</v>
      </c>
      <c r="AB4381" t="str">
        <f>HYPERLINK("Melting_Curves/meltCurve_Q8N163_KIAA1967.pdf", "Melting_Curves/meltCurve_Q8N163_KIAA1967.pdf")</f>
        <v>Melting_Curves/meltCurve_Q8N163_KIAA1967.pdf</v>
      </c>
    </row>
    <row r="4382" spans="1:28" x14ac:dyDescent="0.25">
      <c r="A4382" t="s">
        <v>4386</v>
      </c>
      <c r="B4382">
        <v>0.99542014353169495</v>
      </c>
      <c r="C4382">
        <v>1.0126859929621901</v>
      </c>
      <c r="D4382">
        <v>0.99887467942058195</v>
      </c>
      <c r="E4382">
        <v>0.945115397399796</v>
      </c>
      <c r="F4382">
        <v>0.78514817421406502</v>
      </c>
      <c r="G4382">
        <v>0.56357971135426399</v>
      </c>
      <c r="H4382">
        <v>0.42297245148599699</v>
      </c>
      <c r="I4382">
        <v>0.38536183750806202</v>
      </c>
      <c r="J4382">
        <v>0.61118787019265397</v>
      </c>
      <c r="K4382">
        <v>0.73615238795459503</v>
      </c>
      <c r="L4382">
        <v>2118.4210264736198</v>
      </c>
      <c r="M4382">
        <v>42.136311737120103</v>
      </c>
      <c r="O4382">
        <v>50.162579893524097</v>
      </c>
      <c r="P4382">
        <v>-9.6908233991946105E-2</v>
      </c>
      <c r="Q4382">
        <v>0.53853017265533498</v>
      </c>
      <c r="R4382">
        <v>0.84064916147532698</v>
      </c>
      <c r="S4382" t="s">
        <v>10784</v>
      </c>
      <c r="T4382" t="s">
        <v>12802</v>
      </c>
      <c r="U4382" t="s">
        <v>12802</v>
      </c>
      <c r="V4382" t="s">
        <v>12802</v>
      </c>
      <c r="W4382" t="s">
        <v>17125</v>
      </c>
      <c r="X4382">
        <v>16</v>
      </c>
      <c r="Y4382" t="s">
        <v>23347</v>
      </c>
      <c r="Z4382" t="s">
        <v>29700</v>
      </c>
      <c r="AA4382">
        <v>0.74418053001272733</v>
      </c>
      <c r="AB4382" t="str">
        <f>HYPERLINK("Melting_Curves/meltCurve_Q8N183_NDUFAF2.pdf", "Melting_Curves/meltCurve_Q8N183_NDUFAF2.pdf")</f>
        <v>Melting_Curves/meltCurve_Q8N183_NDUFAF2.pdf</v>
      </c>
    </row>
    <row r="4383" spans="1:28" x14ac:dyDescent="0.25">
      <c r="A4383" t="s">
        <v>4387</v>
      </c>
      <c r="B4383">
        <v>0.99542014353169495</v>
      </c>
      <c r="C4383">
        <v>0.93090303501529903</v>
      </c>
      <c r="D4383">
        <v>0.96532968274529196</v>
      </c>
      <c r="E4383">
        <v>0.65673465166158695</v>
      </c>
      <c r="F4383">
        <v>0.266485568392615</v>
      </c>
      <c r="G4383">
        <v>0.15106176706797</v>
      </c>
      <c r="H4383">
        <v>0.114739165193981</v>
      </c>
      <c r="I4383">
        <v>8.0625945964470397E-2</v>
      </c>
      <c r="J4383">
        <v>0.12064343423064</v>
      </c>
      <c r="K4383">
        <v>0.14928778863887901</v>
      </c>
      <c r="L4383">
        <v>1328.51374863401</v>
      </c>
      <c r="M4383">
        <v>28.044362569868898</v>
      </c>
      <c r="N4383">
        <v>47.8192543984797</v>
      </c>
      <c r="O4383">
        <v>47.132960824450102</v>
      </c>
      <c r="P4383">
        <v>-0.13158801277749599</v>
      </c>
      <c r="Q4383">
        <v>0.11539020507681901</v>
      </c>
      <c r="R4383">
        <v>0.99507357456599999</v>
      </c>
      <c r="S4383" t="s">
        <v>10785</v>
      </c>
      <c r="T4383" t="s">
        <v>12802</v>
      </c>
      <c r="U4383" t="s">
        <v>12802</v>
      </c>
      <c r="V4383" t="s">
        <v>12802</v>
      </c>
      <c r="W4383" t="s">
        <v>17126</v>
      </c>
      <c r="X4383">
        <v>8</v>
      </c>
      <c r="Y4383" t="s">
        <v>23348</v>
      </c>
      <c r="Z4383" t="s">
        <v>29701</v>
      </c>
      <c r="AA4383">
        <v>0.42715633245332169</v>
      </c>
      <c r="AB4383" t="str">
        <f>HYPERLINK("Melting_Curves/meltCurve_Q8N1B4_VPS52.pdf", "Melting_Curves/meltCurve_Q8N1B4_VPS52.pdf")</f>
        <v>Melting_Curves/meltCurve_Q8N1B4_VPS52.pdf</v>
      </c>
    </row>
    <row r="4384" spans="1:28" x14ac:dyDescent="0.25">
      <c r="A4384" t="s">
        <v>4388</v>
      </c>
      <c r="B4384">
        <v>0.99542014353169495</v>
      </c>
      <c r="C4384">
        <v>0.83861127343165198</v>
      </c>
      <c r="D4384">
        <v>0.75842180593823705</v>
      </c>
      <c r="E4384">
        <v>0.31670337520244801</v>
      </c>
      <c r="F4384">
        <v>0.15144371249790001</v>
      </c>
      <c r="G4384">
        <v>6.2477306406616397E-2</v>
      </c>
      <c r="H4384">
        <v>4.0863420180385301E-2</v>
      </c>
      <c r="I4384">
        <v>2.9127597869252699E-2</v>
      </c>
      <c r="J4384">
        <v>2.9642474328819401E-2</v>
      </c>
      <c r="K4384">
        <v>3.2285864049350799E-2</v>
      </c>
      <c r="L4384">
        <v>842.59452610776896</v>
      </c>
      <c r="M4384">
        <v>18.777418298091401</v>
      </c>
      <c r="N4384">
        <v>44.993694795320998</v>
      </c>
      <c r="O4384">
        <v>44.373114830255801</v>
      </c>
      <c r="P4384">
        <v>-0.103193434676074</v>
      </c>
      <c r="Q4384">
        <v>2.4610767111570401E-2</v>
      </c>
      <c r="R4384">
        <v>0.99227402745281901</v>
      </c>
      <c r="S4384" t="s">
        <v>10786</v>
      </c>
      <c r="T4384" t="s">
        <v>12802</v>
      </c>
      <c r="U4384" t="s">
        <v>12802</v>
      </c>
      <c r="V4384" t="s">
        <v>12802</v>
      </c>
      <c r="W4384" t="s">
        <v>17127</v>
      </c>
      <c r="X4384">
        <v>29</v>
      </c>
      <c r="Y4384" t="s">
        <v>23349</v>
      </c>
      <c r="Z4384" t="s">
        <v>29702</v>
      </c>
      <c r="AA4384">
        <v>0.29524192316869041</v>
      </c>
      <c r="AB4384" t="str">
        <f>HYPERLINK("Melting_Curves/meltCurve_Q8N1F7_NUP93.pdf", "Melting_Curves/meltCurve_Q8N1F7_NUP93.pdf")</f>
        <v>Melting_Curves/meltCurve_Q8N1F7_NUP93.pdf</v>
      </c>
    </row>
    <row r="4385" spans="1:28" x14ac:dyDescent="0.25">
      <c r="A4385" t="s">
        <v>4389</v>
      </c>
      <c r="B4385">
        <v>0.99542014353169495</v>
      </c>
      <c r="C4385">
        <v>0.85228716116151604</v>
      </c>
      <c r="D4385">
        <v>0.73113708737613903</v>
      </c>
      <c r="E4385">
        <v>0.27909403140320099</v>
      </c>
      <c r="F4385">
        <v>0.15600278476520299</v>
      </c>
      <c r="G4385">
        <v>0.10086474295693</v>
      </c>
      <c r="H4385">
        <v>8.2152861694781101E-2</v>
      </c>
      <c r="I4385">
        <v>7.3243941006159899E-2</v>
      </c>
      <c r="J4385">
        <v>5.4265773793481499E-2</v>
      </c>
      <c r="K4385">
        <v>8.2880524273188996E-2</v>
      </c>
      <c r="L4385">
        <v>933.00121688500599</v>
      </c>
      <c r="M4385">
        <v>21.047445739562299</v>
      </c>
      <c r="N4385">
        <v>44.6521334179589</v>
      </c>
      <c r="O4385">
        <v>43.934136463995998</v>
      </c>
      <c r="P4385">
        <v>-0.11129671322932499</v>
      </c>
      <c r="Q4385">
        <v>7.0748063629301902E-2</v>
      </c>
      <c r="R4385">
        <v>0.99271024520445295</v>
      </c>
      <c r="S4385" t="s">
        <v>10787</v>
      </c>
      <c r="T4385" t="s">
        <v>12802</v>
      </c>
      <c r="U4385" t="s">
        <v>12802</v>
      </c>
      <c r="V4385" t="s">
        <v>12802</v>
      </c>
      <c r="W4385" t="s">
        <v>17128</v>
      </c>
      <c r="X4385">
        <v>3</v>
      </c>
      <c r="Y4385" t="s">
        <v>23350</v>
      </c>
      <c r="Z4385" t="s">
        <v>29703</v>
      </c>
      <c r="AA4385">
        <v>0.30879428761177191</v>
      </c>
      <c r="AB4385" t="str">
        <f>HYPERLINK("Melting_Curves/meltCurve_Q8N1G0_ZNF687.pdf", "Melting_Curves/meltCurve_Q8N1G0_ZNF687.pdf")</f>
        <v>Melting_Curves/meltCurve_Q8N1G0_ZNF687.pdf</v>
      </c>
    </row>
    <row r="4386" spans="1:28" x14ac:dyDescent="0.25">
      <c r="A4386" t="s">
        <v>4390</v>
      </c>
      <c r="B4386">
        <v>0.99542014353169495</v>
      </c>
      <c r="C4386">
        <v>0.93301279046873797</v>
      </c>
      <c r="D4386">
        <v>0.99021716489399103</v>
      </c>
      <c r="E4386">
        <v>0.78377797583269004</v>
      </c>
      <c r="F4386">
        <v>0.95357566207181799</v>
      </c>
      <c r="G4386">
        <v>0.51722866909499199</v>
      </c>
      <c r="H4386">
        <v>0.33898903874955699</v>
      </c>
      <c r="I4386">
        <v>7.42592512487395E-2</v>
      </c>
      <c r="J4386">
        <v>0.11669307977297699</v>
      </c>
      <c r="K4386">
        <v>0.14091081805573299</v>
      </c>
      <c r="L4386">
        <v>1200.0082007655601</v>
      </c>
      <c r="M4386">
        <v>22.2109123875316</v>
      </c>
      <c r="N4386">
        <v>54.499581770069902</v>
      </c>
      <c r="O4386">
        <v>53.595623952788003</v>
      </c>
      <c r="P4386">
        <v>-9.4546243652099293E-2</v>
      </c>
      <c r="Q4386">
        <v>8.74474836627811E-2</v>
      </c>
      <c r="R4386">
        <v>0.95369580323297498</v>
      </c>
      <c r="S4386" t="s">
        <v>10788</v>
      </c>
      <c r="T4386" t="s">
        <v>12802</v>
      </c>
      <c r="U4386" t="s">
        <v>12802</v>
      </c>
      <c r="V4386" t="s">
        <v>12802</v>
      </c>
      <c r="W4386" t="s">
        <v>17129</v>
      </c>
      <c r="X4386">
        <v>3</v>
      </c>
      <c r="Y4386" t="s">
        <v>23351</v>
      </c>
      <c r="Z4386" t="s">
        <v>29704</v>
      </c>
      <c r="AA4386">
        <v>0.61495540147160088</v>
      </c>
      <c r="AB4386" t="str">
        <f>HYPERLINK("Melting_Curves/meltCurve_Q8N1G1_REXO1.pdf", "Melting_Curves/meltCurve_Q8N1G1_REXO1.pdf")</f>
        <v>Melting_Curves/meltCurve_Q8N1G1_REXO1.pdf</v>
      </c>
    </row>
    <row r="4387" spans="1:28" x14ac:dyDescent="0.25">
      <c r="A4387" t="s">
        <v>4391</v>
      </c>
      <c r="B4387">
        <v>0.99542014353169495</v>
      </c>
      <c r="C4387">
        <v>0.99442803326777396</v>
      </c>
      <c r="D4387">
        <v>0.91894508682532206</v>
      </c>
      <c r="E4387">
        <v>0.80937722690787905</v>
      </c>
      <c r="F4387">
        <v>0.46100079193475502</v>
      </c>
      <c r="G4387">
        <v>0.12599073394605001</v>
      </c>
      <c r="H4387">
        <v>7.48588819044083E-2</v>
      </c>
      <c r="I4387">
        <v>4.7867694362775201E-2</v>
      </c>
      <c r="J4387">
        <v>5.3721950723362097E-2</v>
      </c>
      <c r="K4387">
        <v>5.2936067407502597E-2</v>
      </c>
      <c r="L4387">
        <v>1148.83679327914</v>
      </c>
      <c r="M4387">
        <v>23.2396676955813</v>
      </c>
      <c r="N4387">
        <v>49.6048024939006</v>
      </c>
      <c r="O4387">
        <v>49.072636687846597</v>
      </c>
      <c r="P4387">
        <v>-0.11385219685899101</v>
      </c>
      <c r="Q4387">
        <v>3.8380915222117597E-2</v>
      </c>
      <c r="R4387">
        <v>0.99685491413129601</v>
      </c>
      <c r="S4387" t="s">
        <v>10789</v>
      </c>
      <c r="T4387" t="s">
        <v>12802</v>
      </c>
      <c r="U4387" t="s">
        <v>12802</v>
      </c>
      <c r="V4387" t="s">
        <v>12802</v>
      </c>
      <c r="W4387" t="s">
        <v>17130</v>
      </c>
      <c r="X4387">
        <v>30</v>
      </c>
      <c r="Y4387" t="s">
        <v>23352</v>
      </c>
      <c r="Z4387" t="s">
        <v>29705</v>
      </c>
      <c r="AA4387">
        <v>0.4465562480570846</v>
      </c>
      <c r="AB4387" t="str">
        <f>HYPERLINK("Melting_Curves/meltCurve_Q8N1G2_FTSJD2.pdf", "Melting_Curves/meltCurve_Q8N1G2_FTSJD2.pdf")</f>
        <v>Melting_Curves/meltCurve_Q8N1G2_FTSJD2.pdf</v>
      </c>
    </row>
    <row r="4388" spans="1:28" x14ac:dyDescent="0.25">
      <c r="A4388" t="s">
        <v>4392</v>
      </c>
      <c r="B4388">
        <v>0.99542014353169495</v>
      </c>
      <c r="C4388">
        <v>1.04218914051044</v>
      </c>
      <c r="D4388">
        <v>0.98932006172259601</v>
      </c>
      <c r="E4388">
        <v>0.91052116821650397</v>
      </c>
      <c r="F4388">
        <v>0.58626345064778695</v>
      </c>
      <c r="G4388">
        <v>0.353577646804068</v>
      </c>
      <c r="H4388">
        <v>0.118089925522757</v>
      </c>
      <c r="I4388">
        <v>6.3714826199658597E-2</v>
      </c>
      <c r="J4388">
        <v>5.9274450544005201E-2</v>
      </c>
      <c r="K4388">
        <v>6.2882969030349706E-2</v>
      </c>
      <c r="L4388">
        <v>1030.7731343359701</v>
      </c>
      <c r="M4388">
        <v>20.097813344043701</v>
      </c>
      <c r="N4388">
        <v>51.504743142075803</v>
      </c>
      <c r="O4388">
        <v>50.788158399673598</v>
      </c>
      <c r="P4388">
        <v>-9.4918076284683295E-2</v>
      </c>
      <c r="Q4388">
        <v>4.0580222187833997E-2</v>
      </c>
      <c r="R4388">
        <v>0.99596387728603897</v>
      </c>
      <c r="S4388" t="s">
        <v>10790</v>
      </c>
      <c r="T4388" t="s">
        <v>12802</v>
      </c>
      <c r="U4388" t="s">
        <v>12802</v>
      </c>
      <c r="V4388" t="s">
        <v>12802</v>
      </c>
      <c r="W4388" t="s">
        <v>17131</v>
      </c>
      <c r="X4388">
        <v>26</v>
      </c>
      <c r="Y4388" t="s">
        <v>23353</v>
      </c>
      <c r="Z4388" t="s">
        <v>29706</v>
      </c>
      <c r="AA4388">
        <v>0.50993796922650225</v>
      </c>
      <c r="AB4388" t="str">
        <f>HYPERLINK("Melting_Curves/meltCurve_Q8N1G4_LRRC47.pdf", "Melting_Curves/meltCurve_Q8N1G4_LRRC47.pdf")</f>
        <v>Melting_Curves/meltCurve_Q8N1G4_LRRC47.pdf</v>
      </c>
    </row>
    <row r="4389" spans="1:28" x14ac:dyDescent="0.25">
      <c r="A4389" t="s">
        <v>4393</v>
      </c>
      <c r="B4389">
        <v>0.99542014353169495</v>
      </c>
      <c r="C4389">
        <v>0.97551424806558995</v>
      </c>
      <c r="D4389">
        <v>0.93115926929843995</v>
      </c>
      <c r="E4389">
        <v>0.76806621188239399</v>
      </c>
      <c r="F4389">
        <v>0.420719691276362</v>
      </c>
      <c r="G4389">
        <v>0.18598708100111</v>
      </c>
      <c r="H4389">
        <v>8.3421279223092296E-2</v>
      </c>
      <c r="I4389">
        <v>6.7809310699194894E-2</v>
      </c>
      <c r="J4389">
        <v>5.3728422313160898E-2</v>
      </c>
      <c r="K4389">
        <v>5.5389036938863101E-2</v>
      </c>
      <c r="L4389">
        <v>986.16782288434604</v>
      </c>
      <c r="M4389">
        <v>20.075160085977501</v>
      </c>
      <c r="N4389">
        <v>49.354302902432202</v>
      </c>
      <c r="O4389">
        <v>48.6441337743234</v>
      </c>
      <c r="P4389">
        <v>-9.85595684250304E-2</v>
      </c>
      <c r="Q4389">
        <v>4.4751646023040402E-2</v>
      </c>
      <c r="R4389">
        <v>0.99948808876915296</v>
      </c>
      <c r="S4389" t="s">
        <v>10791</v>
      </c>
      <c r="T4389" t="s">
        <v>12802</v>
      </c>
      <c r="U4389" t="s">
        <v>12802</v>
      </c>
      <c r="V4389" t="s">
        <v>12802</v>
      </c>
      <c r="W4389" t="s">
        <v>17132</v>
      </c>
      <c r="X4389">
        <v>4</v>
      </c>
      <c r="Y4389" t="s">
        <v>23354</v>
      </c>
      <c r="Z4389" t="s">
        <v>29707</v>
      </c>
      <c r="AA4389">
        <v>0.44329410393062219</v>
      </c>
      <c r="AB4389" t="str">
        <f>HYPERLINK("Melting_Curves/meltCurve_Q8N1Q1_CA13.pdf", "Melting_Curves/meltCurve_Q8N1Q1_CA13.pdf")</f>
        <v>Melting_Curves/meltCurve_Q8N1Q1_CA13.pdf</v>
      </c>
    </row>
    <row r="4390" spans="1:28" x14ac:dyDescent="0.25">
      <c r="A4390" t="s">
        <v>4394</v>
      </c>
      <c r="B4390">
        <v>0.99542014353169495</v>
      </c>
      <c r="C4390">
        <v>0.76055712200968495</v>
      </c>
      <c r="D4390">
        <v>0.93849674609132505</v>
      </c>
      <c r="E4390">
        <v>0.47559261182134399</v>
      </c>
      <c r="F4390">
        <v>0.37345800355847802</v>
      </c>
      <c r="G4390">
        <v>0.20540954172547701</v>
      </c>
      <c r="H4390">
        <v>0.127562228262037</v>
      </c>
      <c r="I4390">
        <v>4.4784344470772099E-2</v>
      </c>
      <c r="J4390">
        <v>0</v>
      </c>
      <c r="K4390">
        <v>5.9118225582222801E-2</v>
      </c>
      <c r="L4390">
        <v>574.66168288700499</v>
      </c>
      <c r="M4390">
        <v>12.0794803693014</v>
      </c>
      <c r="N4390">
        <v>47.573377363958201</v>
      </c>
      <c r="O4390">
        <v>46.325845306425698</v>
      </c>
      <c r="P4390">
        <v>-6.5202907248020497E-2</v>
      </c>
      <c r="Q4390">
        <v>0</v>
      </c>
      <c r="R4390">
        <v>0.95441070993216304</v>
      </c>
      <c r="S4390" t="s">
        <v>10792</v>
      </c>
      <c r="T4390" t="s">
        <v>12802</v>
      </c>
      <c r="U4390" t="s">
        <v>12802</v>
      </c>
      <c r="V4390" t="s">
        <v>12802</v>
      </c>
      <c r="W4390" t="s">
        <v>17133</v>
      </c>
      <c r="X4390">
        <v>1</v>
      </c>
      <c r="Y4390" t="s">
        <v>23355</v>
      </c>
      <c r="Z4390" t="s">
        <v>29708</v>
      </c>
      <c r="AA4390">
        <v>0.38409361847124479</v>
      </c>
      <c r="AB4390" t="str">
        <f>HYPERLINK("Melting_Curves/meltCurve_Q8N2A8_PLD6.pdf", "Melting_Curves/meltCurve_Q8N2A8_PLD6.pdf")</f>
        <v>Melting_Curves/meltCurve_Q8N2A8_PLD6.pdf</v>
      </c>
    </row>
    <row r="4391" spans="1:28" x14ac:dyDescent="0.25">
      <c r="A4391" t="s">
        <v>4395</v>
      </c>
      <c r="B4391">
        <v>0.99542014353169495</v>
      </c>
      <c r="C4391">
        <v>0.92010803329316004</v>
      </c>
      <c r="D4391">
        <v>0.94146345176489599</v>
      </c>
      <c r="E4391">
        <v>0.63808299578754102</v>
      </c>
      <c r="F4391">
        <v>0.173441272000282</v>
      </c>
      <c r="G4391">
        <v>6.9328367304971994E-2</v>
      </c>
      <c r="H4391">
        <v>3.71023993886598E-2</v>
      </c>
      <c r="I4391">
        <v>2.41523385405919E-2</v>
      </c>
      <c r="J4391">
        <v>2.6222734329547401E-2</v>
      </c>
      <c r="K4391">
        <v>3.4619088844793401E-2</v>
      </c>
      <c r="L4391">
        <v>1370.8396429071299</v>
      </c>
      <c r="M4391">
        <v>28.940951219370099</v>
      </c>
      <c r="N4391">
        <v>47.464392282211698</v>
      </c>
      <c r="O4391">
        <v>47.142358596998697</v>
      </c>
      <c r="P4391">
        <v>-0.14904360694715801</v>
      </c>
      <c r="Q4391">
        <v>2.8889717133942599E-2</v>
      </c>
      <c r="R4391">
        <v>0.99623074360992303</v>
      </c>
      <c r="S4391" t="s">
        <v>10793</v>
      </c>
      <c r="T4391" t="s">
        <v>12802</v>
      </c>
      <c r="U4391" t="s">
        <v>12802</v>
      </c>
      <c r="V4391" t="s">
        <v>12802</v>
      </c>
      <c r="W4391" t="s">
        <v>17134</v>
      </c>
      <c r="X4391">
        <v>6</v>
      </c>
      <c r="Y4391" t="s">
        <v>23356</v>
      </c>
      <c r="Z4391" t="s">
        <v>29709</v>
      </c>
      <c r="AA4391">
        <v>0.37057641284608189</v>
      </c>
      <c r="AB4391" t="str">
        <f>HYPERLINK("Melting_Curves/meltCurve_Q8N2F6_3_ARMC10.pdf", "Melting_Curves/meltCurve_Q8N2F6_3_ARMC10.pdf")</f>
        <v>Melting_Curves/meltCurve_Q8N2F6_3_ARMC10.pdf</v>
      </c>
    </row>
    <row r="4392" spans="1:28" x14ac:dyDescent="0.25">
      <c r="A4392" t="s">
        <v>4396</v>
      </c>
      <c r="B4392">
        <v>0.99542014353169495</v>
      </c>
      <c r="C4392">
        <v>0.93929191588165895</v>
      </c>
      <c r="D4392">
        <v>0.85384778344494305</v>
      </c>
      <c r="E4392">
        <v>0.72454530831407404</v>
      </c>
      <c r="F4392">
        <v>0.50711612322016697</v>
      </c>
      <c r="G4392">
        <v>0.28493717292704501</v>
      </c>
      <c r="H4392">
        <v>0.21538065490134001</v>
      </c>
      <c r="I4392">
        <v>0.17843372946823499</v>
      </c>
      <c r="J4392">
        <v>0.22284609883766299</v>
      </c>
      <c r="K4392">
        <v>0.192570115197957</v>
      </c>
      <c r="L4392">
        <v>714.74252116293906</v>
      </c>
      <c r="M4392">
        <v>14.7470385949842</v>
      </c>
      <c r="N4392">
        <v>49.799308257903903</v>
      </c>
      <c r="O4392">
        <v>47.601801878086</v>
      </c>
      <c r="P4392">
        <v>-6.4831226702513997E-2</v>
      </c>
      <c r="Q4392">
        <v>0.16301840132622999</v>
      </c>
      <c r="R4392">
        <v>0.99269771736941204</v>
      </c>
      <c r="S4392" t="s">
        <v>10794</v>
      </c>
      <c r="T4392" t="s">
        <v>12802</v>
      </c>
      <c r="U4392" t="s">
        <v>12802</v>
      </c>
      <c r="V4392" t="s">
        <v>12802</v>
      </c>
      <c r="W4392" t="s">
        <v>17135</v>
      </c>
      <c r="X4392">
        <v>9</v>
      </c>
      <c r="Y4392" t="s">
        <v>23357</v>
      </c>
      <c r="Z4392" t="s">
        <v>29710</v>
      </c>
      <c r="AA4392">
        <v>0.50168738796738965</v>
      </c>
      <c r="AB4392" t="str">
        <f>HYPERLINK("Melting_Curves/meltCurve_Q8N2G8_3_GHDC.pdf", "Melting_Curves/meltCurve_Q8N2G8_3_GHDC.pdf")</f>
        <v>Melting_Curves/meltCurve_Q8N2G8_3_GHDC.pdf</v>
      </c>
    </row>
    <row r="4393" spans="1:28" x14ac:dyDescent="0.25">
      <c r="A4393" t="s">
        <v>4397</v>
      </c>
      <c r="B4393">
        <v>0.99542014353169495</v>
      </c>
      <c r="C4393">
        <v>1.09274079653531</v>
      </c>
      <c r="D4393">
        <v>1.2371368039319799</v>
      </c>
      <c r="E4393">
        <v>0.77004084096754599</v>
      </c>
      <c r="F4393">
        <v>0.360963447277516</v>
      </c>
      <c r="G4393">
        <v>0.246510694444389</v>
      </c>
      <c r="H4393">
        <v>0.122636813612023</v>
      </c>
      <c r="I4393">
        <v>5.1213574468150301E-2</v>
      </c>
      <c r="J4393">
        <v>5.2137067213837998E-2</v>
      </c>
      <c r="K4393">
        <v>8.77159368283838E-2</v>
      </c>
      <c r="L4393">
        <v>1371.5424311373099</v>
      </c>
      <c r="M4393">
        <v>28.075778202761601</v>
      </c>
      <c r="N4393">
        <v>49.202487859709997</v>
      </c>
      <c r="O4393">
        <v>48.605627639995397</v>
      </c>
      <c r="P4393">
        <v>-0.13130067019147501</v>
      </c>
      <c r="Q4393">
        <v>9.0761132042227993E-2</v>
      </c>
      <c r="R4393">
        <v>0.95557533282535101</v>
      </c>
      <c r="S4393" t="s">
        <v>10795</v>
      </c>
      <c r="T4393" t="s">
        <v>12802</v>
      </c>
      <c r="U4393" t="s">
        <v>12802</v>
      </c>
      <c r="V4393" t="s">
        <v>12802</v>
      </c>
      <c r="W4393" t="s">
        <v>17136</v>
      </c>
      <c r="X4393">
        <v>1</v>
      </c>
      <c r="Y4393" t="s">
        <v>23358</v>
      </c>
      <c r="Z4393" t="s">
        <v>29711</v>
      </c>
      <c r="AA4393">
        <v>0.45619525381634479</v>
      </c>
      <c r="AB4393" t="str">
        <f>HYPERLINK("Melting_Curves/meltCurve_Q8N2I9_3_STK40.pdf", "Melting_Curves/meltCurve_Q8N2I9_3_STK40.pdf")</f>
        <v>Melting_Curves/meltCurve_Q8N2I9_3_STK40.pdf</v>
      </c>
    </row>
    <row r="4394" spans="1:28" x14ac:dyDescent="0.25">
      <c r="A4394" t="s">
        <v>4398</v>
      </c>
      <c r="B4394">
        <v>0.99542014353169495</v>
      </c>
      <c r="C4394">
        <v>1.0546369095357899</v>
      </c>
      <c r="D4394">
        <v>0.99713479583062803</v>
      </c>
      <c r="E4394">
        <v>0.90631548174239795</v>
      </c>
      <c r="F4394">
        <v>0.63970335231728304</v>
      </c>
      <c r="G4394">
        <v>0.151290723751211</v>
      </c>
      <c r="H4394">
        <v>6.60960254883836E-2</v>
      </c>
      <c r="I4394">
        <v>4.7479911523983002E-2</v>
      </c>
      <c r="J4394">
        <v>5.7403048733188598E-2</v>
      </c>
      <c r="K4394">
        <v>7.3390057282235396E-2</v>
      </c>
      <c r="L4394">
        <v>1751.8711879494399</v>
      </c>
      <c r="M4394">
        <v>34.494387589918396</v>
      </c>
      <c r="N4394">
        <v>50.951010965302103</v>
      </c>
      <c r="O4394">
        <v>50.617361453492997</v>
      </c>
      <c r="P4394">
        <v>-0.16142348640357401</v>
      </c>
      <c r="Q4394">
        <v>5.2506809855189698E-2</v>
      </c>
      <c r="R4394">
        <v>0.99619587625865902</v>
      </c>
      <c r="S4394" t="s">
        <v>10796</v>
      </c>
      <c r="T4394" t="s">
        <v>12802</v>
      </c>
      <c r="U4394" t="s">
        <v>12802</v>
      </c>
      <c r="V4394" t="s">
        <v>12802</v>
      </c>
      <c r="W4394" t="s">
        <v>17137</v>
      </c>
      <c r="X4394">
        <v>7</v>
      </c>
      <c r="Y4394" t="s">
        <v>23359</v>
      </c>
      <c r="Z4394" t="s">
        <v>29712</v>
      </c>
      <c r="AA4394">
        <v>0.49241451964208771</v>
      </c>
      <c r="AB4394" t="str">
        <f>HYPERLINK("Melting_Curves/meltCurve_Q8N2K0_ABHD12.pdf", "Melting_Curves/meltCurve_Q8N2K0_ABHD12.pdf")</f>
        <v>Melting_Curves/meltCurve_Q8N2K0_ABHD12.pdf</v>
      </c>
    </row>
    <row r="4395" spans="1:28" x14ac:dyDescent="0.25">
      <c r="A4395" t="s">
        <v>4399</v>
      </c>
      <c r="B4395">
        <v>0.99542014353169495</v>
      </c>
      <c r="C4395">
        <v>0.87408076647852695</v>
      </c>
      <c r="D4395">
        <v>0.80178888413195504</v>
      </c>
      <c r="E4395">
        <v>0.38963592735122099</v>
      </c>
      <c r="F4395">
        <v>0.205230181458984</v>
      </c>
      <c r="G4395">
        <v>0.13367993234929701</v>
      </c>
      <c r="H4395">
        <v>9.6166000745156702E-2</v>
      </c>
      <c r="I4395">
        <v>8.4823317432127204E-2</v>
      </c>
      <c r="J4395">
        <v>4.9032476646730001E-2</v>
      </c>
      <c r="K4395">
        <v>5.65446245687449E-2</v>
      </c>
      <c r="L4395">
        <v>837.49290919172802</v>
      </c>
      <c r="M4395">
        <v>18.4575905715758</v>
      </c>
      <c r="N4395">
        <v>45.723066439547502</v>
      </c>
      <c r="O4395">
        <v>44.851348246247603</v>
      </c>
      <c r="P4395">
        <v>-9.6123433299654101E-2</v>
      </c>
      <c r="Q4395">
        <v>6.5734237712712099E-2</v>
      </c>
      <c r="R4395">
        <v>0.99369501643908098</v>
      </c>
      <c r="S4395" t="s">
        <v>10797</v>
      </c>
      <c r="T4395" t="s">
        <v>12802</v>
      </c>
      <c r="U4395" t="s">
        <v>12802</v>
      </c>
      <c r="V4395" t="s">
        <v>12802</v>
      </c>
      <c r="W4395" t="s">
        <v>17138</v>
      </c>
      <c r="X4395">
        <v>3</v>
      </c>
      <c r="Y4395" t="s">
        <v>23360</v>
      </c>
      <c r="Z4395" t="s">
        <v>29713</v>
      </c>
      <c r="AA4395">
        <v>0.34096503065917561</v>
      </c>
      <c r="AB4395" t="str">
        <f>HYPERLINK("Melting_Curves/meltCurve_Q8N2W9_PIAS4.pdf", "Melting_Curves/meltCurve_Q8N2W9_PIAS4.pdf")</f>
        <v>Melting_Curves/meltCurve_Q8N2W9_PIAS4.pdf</v>
      </c>
    </row>
    <row r="4396" spans="1:28" x14ac:dyDescent="0.25">
      <c r="A4396" t="s">
        <v>4400</v>
      </c>
      <c r="B4396">
        <v>0.99542014353169495</v>
      </c>
      <c r="C4396">
        <v>1.07539560978875</v>
      </c>
      <c r="D4396">
        <v>0.97568951946457305</v>
      </c>
      <c r="E4396">
        <v>0.90089997536217603</v>
      </c>
      <c r="F4396">
        <v>0.70576501748694198</v>
      </c>
      <c r="G4396">
        <v>0.25584133746733601</v>
      </c>
      <c r="H4396">
        <v>0.123504237009531</v>
      </c>
      <c r="I4396">
        <v>6.3532475068241501E-2</v>
      </c>
      <c r="J4396">
        <v>7.2482693349100194E-2</v>
      </c>
      <c r="K4396">
        <v>6.5226311292639894E-2</v>
      </c>
      <c r="L4396">
        <v>1399.7161286855101</v>
      </c>
      <c r="M4396">
        <v>27.223593856100301</v>
      </c>
      <c r="N4396">
        <v>51.661722956549099</v>
      </c>
      <c r="O4396">
        <v>51.140524186034199</v>
      </c>
      <c r="P4396">
        <v>-0.124988104494864</v>
      </c>
      <c r="Q4396">
        <v>6.0829983352068601E-2</v>
      </c>
      <c r="R4396">
        <v>0.99451965333727099</v>
      </c>
      <c r="S4396" t="s">
        <v>10798</v>
      </c>
      <c r="T4396" t="s">
        <v>12802</v>
      </c>
      <c r="U4396" t="s">
        <v>12802</v>
      </c>
      <c r="V4396" t="s">
        <v>12802</v>
      </c>
      <c r="W4396" t="s">
        <v>17139</v>
      </c>
      <c r="X4396">
        <v>4</v>
      </c>
      <c r="Y4396" t="s">
        <v>23361</v>
      </c>
      <c r="Z4396" t="s">
        <v>29714</v>
      </c>
      <c r="AA4396">
        <v>0.51920505501781544</v>
      </c>
      <c r="AB4396" t="str">
        <f>HYPERLINK("Melting_Curves/meltCurve_Q8N2Z9_APITD1.pdf", "Melting_Curves/meltCurve_Q8N2Z9_APITD1.pdf")</f>
        <v>Melting_Curves/meltCurve_Q8N2Z9_APITD1.pdf</v>
      </c>
    </row>
    <row r="4397" spans="1:28" x14ac:dyDescent="0.25">
      <c r="A4397" t="s">
        <v>4401</v>
      </c>
      <c r="B4397">
        <v>0.99542014353169495</v>
      </c>
      <c r="C4397">
        <v>1.0421744244589199</v>
      </c>
      <c r="D4397">
        <v>0.92499733548838703</v>
      </c>
      <c r="E4397">
        <v>0.91605570095017597</v>
      </c>
      <c r="F4397">
        <v>0.68066851240874904</v>
      </c>
      <c r="G4397">
        <v>0.54539343325468903</v>
      </c>
      <c r="H4397">
        <v>0.37749186317352001</v>
      </c>
      <c r="I4397">
        <v>0.41516426815635499</v>
      </c>
      <c r="J4397">
        <v>0.59609335733942703</v>
      </c>
      <c r="K4397">
        <v>0.78975719947918799</v>
      </c>
      <c r="L4397">
        <v>1669.40269519962</v>
      </c>
      <c r="M4397">
        <v>34.258728392493197</v>
      </c>
      <c r="O4397">
        <v>48.564106991000401</v>
      </c>
      <c r="P4397">
        <v>-8.0615493868918198E-2</v>
      </c>
      <c r="Q4397">
        <v>0.54288950597054397</v>
      </c>
      <c r="R4397">
        <v>0.77846029752086698</v>
      </c>
      <c r="S4397" t="s">
        <v>10799</v>
      </c>
      <c r="T4397" t="s">
        <v>12802</v>
      </c>
      <c r="U4397" t="s">
        <v>12802</v>
      </c>
      <c r="V4397" t="s">
        <v>12802</v>
      </c>
      <c r="W4397" t="s">
        <v>17140</v>
      </c>
      <c r="X4397">
        <v>3</v>
      </c>
      <c r="Y4397" t="s">
        <v>23362</v>
      </c>
      <c r="Z4397" t="s">
        <v>29715</v>
      </c>
      <c r="AA4397">
        <v>0.72371128345750624</v>
      </c>
      <c r="AB4397" t="str">
        <f>HYPERLINK("Melting_Curves/meltCurve_Q8N300_CCDC23.pdf", "Melting_Curves/meltCurve_Q8N300_CCDC23.pdf")</f>
        <v>Melting_Curves/meltCurve_Q8N300_CCDC23.pdf</v>
      </c>
    </row>
    <row r="4398" spans="1:28" x14ac:dyDescent="0.25">
      <c r="A4398" t="s">
        <v>4402</v>
      </c>
      <c r="B4398">
        <v>0.99542014353169495</v>
      </c>
      <c r="C4398">
        <v>1.1197786859491801</v>
      </c>
      <c r="D4398">
        <v>0.96901828851424299</v>
      </c>
      <c r="E4398">
        <v>0.87245401392529398</v>
      </c>
      <c r="F4398">
        <v>0.52436699039371704</v>
      </c>
      <c r="G4398">
        <v>0.26307398232354801</v>
      </c>
      <c r="H4398">
        <v>0.130303479529259</v>
      </c>
      <c r="I4398">
        <v>4.3155512456725303E-2</v>
      </c>
      <c r="J4398">
        <v>9.81403084754435E-2</v>
      </c>
      <c r="K4398">
        <v>4.7393201619427103E-2</v>
      </c>
      <c r="L4398">
        <v>1094.1603906031901</v>
      </c>
      <c r="M4398">
        <v>21.733216162590399</v>
      </c>
      <c r="N4398">
        <v>50.631511491685998</v>
      </c>
      <c r="O4398">
        <v>49.924643556103497</v>
      </c>
      <c r="P4398">
        <v>-0.10253706451252199</v>
      </c>
      <c r="Q4398">
        <v>5.7846492299244802E-2</v>
      </c>
      <c r="R4398">
        <v>0.98937696594065505</v>
      </c>
      <c r="S4398" t="s">
        <v>10800</v>
      </c>
      <c r="T4398" t="s">
        <v>12802</v>
      </c>
      <c r="U4398" t="s">
        <v>12802</v>
      </c>
      <c r="V4398" t="s">
        <v>12802</v>
      </c>
      <c r="W4398" t="s">
        <v>17141</v>
      </c>
      <c r="X4398">
        <v>1</v>
      </c>
      <c r="Y4398" t="s">
        <v>23363</v>
      </c>
      <c r="Z4398" t="s">
        <v>29716</v>
      </c>
      <c r="AA4398">
        <v>0.48765578005163918</v>
      </c>
      <c r="AB4398" t="str">
        <f>HYPERLINK("Melting_Curves/meltCurve_Q8N302_2_AGGF1.pdf", "Melting_Curves/meltCurve_Q8N302_2_AGGF1.pdf")</f>
        <v>Melting_Curves/meltCurve_Q8N302_2_AGGF1.pdf</v>
      </c>
    </row>
    <row r="4399" spans="1:28" x14ac:dyDescent="0.25">
      <c r="A4399" t="s">
        <v>4403</v>
      </c>
      <c r="B4399">
        <v>0.99542014353169495</v>
      </c>
      <c r="C4399">
        <v>1.05245190944361</v>
      </c>
      <c r="D4399">
        <v>0.98969497080854196</v>
      </c>
      <c r="E4399">
        <v>0.92881038013458195</v>
      </c>
      <c r="F4399">
        <v>0.76060396378680795</v>
      </c>
      <c r="G4399">
        <v>0.543735426722744</v>
      </c>
      <c r="H4399">
        <v>0.16914524596584599</v>
      </c>
      <c r="I4399">
        <v>9.2687871565548502E-2</v>
      </c>
      <c r="J4399">
        <v>8.9926780180092897E-2</v>
      </c>
      <c r="K4399">
        <v>8.7904688526850697E-2</v>
      </c>
      <c r="L4399">
        <v>1100.9291812884601</v>
      </c>
      <c r="M4399">
        <v>20.649504999303002</v>
      </c>
      <c r="N4399">
        <v>53.5760664098134</v>
      </c>
      <c r="O4399">
        <v>52.8225749583886</v>
      </c>
      <c r="P4399">
        <v>-9.3056221739445805E-2</v>
      </c>
      <c r="Q4399">
        <v>4.78553467417921E-2</v>
      </c>
      <c r="R4399">
        <v>0.99179654905458903</v>
      </c>
      <c r="S4399" t="s">
        <v>10801</v>
      </c>
      <c r="T4399" t="s">
        <v>12802</v>
      </c>
      <c r="U4399" t="s">
        <v>12802</v>
      </c>
      <c r="V4399" t="s">
        <v>12802</v>
      </c>
      <c r="W4399" t="s">
        <v>17142</v>
      </c>
      <c r="X4399">
        <v>10</v>
      </c>
      <c r="Y4399" t="s">
        <v>23364</v>
      </c>
      <c r="Z4399" t="s">
        <v>29717</v>
      </c>
      <c r="AA4399">
        <v>0.57700188903206917</v>
      </c>
      <c r="AB4399" t="str">
        <f>HYPERLINK("Melting_Curves/meltCurve_Q8N335_GPD1L.pdf", "Melting_Curves/meltCurve_Q8N335_GPD1L.pdf")</f>
        <v>Melting_Curves/meltCurve_Q8N335_GPD1L.pdf</v>
      </c>
    </row>
    <row r="4400" spans="1:28" x14ac:dyDescent="0.25">
      <c r="A4400" t="s">
        <v>4404</v>
      </c>
      <c r="B4400">
        <v>0.99542014353169495</v>
      </c>
      <c r="C4400">
        <v>1.0055599524705301</v>
      </c>
      <c r="D4400">
        <v>0.93458785342881201</v>
      </c>
      <c r="E4400">
        <v>0.80608533570319896</v>
      </c>
      <c r="F4400">
        <v>0.66617812277305399</v>
      </c>
      <c r="G4400">
        <v>0.41544097528256901</v>
      </c>
      <c r="H4400">
        <v>0.11738692972923</v>
      </c>
      <c r="I4400">
        <v>8.0053105943782704E-2</v>
      </c>
      <c r="J4400">
        <v>6.6022642729225894E-2</v>
      </c>
      <c r="K4400">
        <v>5.4006097615669803E-2</v>
      </c>
      <c r="L4400">
        <v>798.87377772527202</v>
      </c>
      <c r="M4400">
        <v>15.3696964518362</v>
      </c>
      <c r="N4400">
        <v>51.9771880701106</v>
      </c>
      <c r="O4400">
        <v>51.121135692264502</v>
      </c>
      <c r="P4400">
        <v>-7.5170022469443903E-2</v>
      </c>
      <c r="Q4400">
        <v>0</v>
      </c>
      <c r="R4400">
        <v>0.99187219853652997</v>
      </c>
      <c r="S4400" t="s">
        <v>10802</v>
      </c>
      <c r="T4400" t="s">
        <v>12802</v>
      </c>
      <c r="U4400" t="s">
        <v>12802</v>
      </c>
      <c r="V4400" t="s">
        <v>12802</v>
      </c>
      <c r="W4400" t="s">
        <v>17143</v>
      </c>
      <c r="X4400">
        <v>5</v>
      </c>
      <c r="Y4400" t="s">
        <v>23365</v>
      </c>
      <c r="Z4400" t="s">
        <v>29718</v>
      </c>
      <c r="AA4400">
        <v>0.51786094429940344</v>
      </c>
      <c r="AB4400" t="str">
        <f>HYPERLINK("Melting_Curves/meltCurve_Q8N371_KDM8.pdf", "Melting_Curves/meltCurve_Q8N371_KDM8.pdf")</f>
        <v>Melting_Curves/meltCurve_Q8N371_KDM8.pdf</v>
      </c>
    </row>
    <row r="4401" spans="1:28" x14ac:dyDescent="0.25">
      <c r="A4401" t="s">
        <v>4405</v>
      </c>
      <c r="B4401">
        <v>0.99542014353169495</v>
      </c>
      <c r="C4401">
        <v>0.93863075377621996</v>
      </c>
      <c r="D4401">
        <v>0.91373146572529496</v>
      </c>
      <c r="E4401">
        <v>0.708316848623192</v>
      </c>
      <c r="F4401">
        <v>0.14497688525503399</v>
      </c>
      <c r="G4401">
        <v>8.7663324015726296E-2</v>
      </c>
      <c r="H4401">
        <v>6.1006563990847897E-2</v>
      </c>
      <c r="I4401">
        <v>4.16471605328219E-2</v>
      </c>
      <c r="J4401">
        <v>4.44740842780037E-2</v>
      </c>
      <c r="K4401">
        <v>5.4604449838134103E-2</v>
      </c>
      <c r="L4401">
        <v>1776.14535378096</v>
      </c>
      <c r="M4401">
        <v>37.375625686912997</v>
      </c>
      <c r="N4401">
        <v>47.661792198657601</v>
      </c>
      <c r="O4401">
        <v>47.386070378921801</v>
      </c>
      <c r="P4401">
        <v>-0.18691453588794499</v>
      </c>
      <c r="Q4401">
        <v>5.2096725537098897E-2</v>
      </c>
      <c r="R4401">
        <v>0.99410572353053095</v>
      </c>
      <c r="S4401" t="s">
        <v>10803</v>
      </c>
      <c r="T4401" t="s">
        <v>12802</v>
      </c>
      <c r="U4401" t="s">
        <v>12802</v>
      </c>
      <c r="V4401" t="s">
        <v>12802</v>
      </c>
      <c r="W4401" t="s">
        <v>17144</v>
      </c>
      <c r="X4401">
        <v>18</v>
      </c>
      <c r="Y4401" t="s">
        <v>23366</v>
      </c>
      <c r="Z4401" t="s">
        <v>29719</v>
      </c>
      <c r="AA4401">
        <v>0.38811271229246808</v>
      </c>
      <c r="AB4401" t="str">
        <f>HYPERLINK("Melting_Curves/meltCurve_Q8N392_ARHGAP18.pdf", "Melting_Curves/meltCurve_Q8N392_ARHGAP18.pdf")</f>
        <v>Melting_Curves/meltCurve_Q8N392_ARHGAP18.pdf</v>
      </c>
    </row>
    <row r="4402" spans="1:28" x14ac:dyDescent="0.25">
      <c r="A4402" t="s">
        <v>4406</v>
      </c>
      <c r="B4402">
        <v>0.99542014353169495</v>
      </c>
      <c r="C4402">
        <v>0.94253866885561999</v>
      </c>
      <c r="D4402">
        <v>0.81435185555638601</v>
      </c>
      <c r="E4402">
        <v>0.59622584639716902</v>
      </c>
      <c r="F4402">
        <v>0.46912560895904898</v>
      </c>
      <c r="G4402">
        <v>0.30291788924866297</v>
      </c>
      <c r="H4402">
        <v>0.48433466718650903</v>
      </c>
      <c r="I4402">
        <v>0.43037592846178702</v>
      </c>
      <c r="J4402">
        <v>0.39564749784883502</v>
      </c>
      <c r="K4402">
        <v>0.53891631500063997</v>
      </c>
      <c r="L4402">
        <v>1021.82014579856</v>
      </c>
      <c r="M4402">
        <v>23.007818393006801</v>
      </c>
      <c r="N4402">
        <v>48.5857301884854</v>
      </c>
      <c r="O4402">
        <v>44.080442614259198</v>
      </c>
      <c r="P4402">
        <v>-7.4284659248386203E-2</v>
      </c>
      <c r="Q4402">
        <v>0.430725783507589</v>
      </c>
      <c r="R4402">
        <v>0.93116882942297696</v>
      </c>
      <c r="S4402" t="s">
        <v>10804</v>
      </c>
      <c r="T4402" t="s">
        <v>12802</v>
      </c>
      <c r="U4402" t="s">
        <v>12802</v>
      </c>
      <c r="V4402" t="s">
        <v>12802</v>
      </c>
      <c r="W4402" t="s">
        <v>17145</v>
      </c>
      <c r="X4402">
        <v>3</v>
      </c>
      <c r="Y4402" t="s">
        <v>23367</v>
      </c>
      <c r="Z4402" t="s">
        <v>29720</v>
      </c>
      <c r="AA4402">
        <v>0.57694912927145858</v>
      </c>
      <c r="AB4402" t="str">
        <f>HYPERLINK("Melting_Curves/meltCurve_Q8N3C0_ASCC3.pdf", "Melting_Curves/meltCurve_Q8N3C0_ASCC3.pdf")</f>
        <v>Melting_Curves/meltCurve_Q8N3C0_ASCC3.pdf</v>
      </c>
    </row>
    <row r="4403" spans="1:28" x14ac:dyDescent="0.25">
      <c r="A4403" t="s">
        <v>4407</v>
      </c>
      <c r="B4403">
        <v>0.99542014353169495</v>
      </c>
      <c r="C4403">
        <v>1.0125022577730001</v>
      </c>
      <c r="D4403">
        <v>0.89514851931703798</v>
      </c>
      <c r="E4403">
        <v>0.43210631110803899</v>
      </c>
      <c r="F4403">
        <v>0.18197641153136601</v>
      </c>
      <c r="G4403">
        <v>0.104443926935205</v>
      </c>
      <c r="H4403">
        <v>8.0024071676269404E-2</v>
      </c>
      <c r="I4403">
        <v>6.1132603997129303E-2</v>
      </c>
      <c r="J4403">
        <v>5.9877538454841901E-2</v>
      </c>
      <c r="K4403">
        <v>5.6920397314229099E-2</v>
      </c>
      <c r="L4403">
        <v>1270.13891150323</v>
      </c>
      <c r="M4403">
        <v>27.6251593086347</v>
      </c>
      <c r="N4403">
        <v>46.235304021890101</v>
      </c>
      <c r="O4403">
        <v>45.738724516615903</v>
      </c>
      <c r="P4403">
        <v>-0.14022244560390501</v>
      </c>
      <c r="Q4403">
        <v>7.1348602671704606E-2</v>
      </c>
      <c r="R4403">
        <v>0.99819365353027001</v>
      </c>
      <c r="S4403" t="s">
        <v>10805</v>
      </c>
      <c r="T4403" t="s">
        <v>12802</v>
      </c>
      <c r="U4403" t="s">
        <v>12802</v>
      </c>
      <c r="V4403" t="s">
        <v>12802</v>
      </c>
      <c r="W4403" t="s">
        <v>17146</v>
      </c>
      <c r="X4403">
        <v>29</v>
      </c>
      <c r="Y4403" t="s">
        <v>23368</v>
      </c>
      <c r="Z4403" t="s">
        <v>29721</v>
      </c>
      <c r="AA4403">
        <v>0.35552005066128151</v>
      </c>
      <c r="AB4403" t="str">
        <f>HYPERLINK("Melting_Curves/meltCurve_Q8N3D4_EHBP1L1.pdf", "Melting_Curves/meltCurve_Q8N3D4_EHBP1L1.pdf")</f>
        <v>Melting_Curves/meltCurve_Q8N3D4_EHBP1L1.pdf</v>
      </c>
    </row>
    <row r="4404" spans="1:28" x14ac:dyDescent="0.25">
      <c r="A4404" t="s">
        <v>4408</v>
      </c>
      <c r="B4404">
        <v>0.99542014353169495</v>
      </c>
      <c r="C4404">
        <v>1.04219064192052</v>
      </c>
      <c r="D4404">
        <v>1.10112299260873</v>
      </c>
      <c r="E4404">
        <v>0.82628114613326598</v>
      </c>
      <c r="F4404">
        <v>0.32092976241006699</v>
      </c>
      <c r="G4404">
        <v>0.15578947638922</v>
      </c>
      <c r="H4404">
        <v>7.4411054713992605E-2</v>
      </c>
      <c r="I4404">
        <v>5.98674423294525E-2</v>
      </c>
      <c r="J4404">
        <v>6.2413684328201102E-2</v>
      </c>
      <c r="K4404">
        <v>8.4302006311051905E-2</v>
      </c>
      <c r="L4404">
        <v>1640.82137420399</v>
      </c>
      <c r="M4404">
        <v>33.674470636110897</v>
      </c>
      <c r="N4404">
        <v>48.969750608937701</v>
      </c>
      <c r="O4404">
        <v>48.5551001131616</v>
      </c>
      <c r="P4404">
        <v>-0.16000367314498201</v>
      </c>
      <c r="Q4404">
        <v>7.7168875562314596E-2</v>
      </c>
      <c r="R4404">
        <v>0.99109361006544605</v>
      </c>
      <c r="S4404" t="s">
        <v>10806</v>
      </c>
      <c r="T4404" t="s">
        <v>12802</v>
      </c>
      <c r="U4404" t="s">
        <v>12802</v>
      </c>
      <c r="V4404" t="s">
        <v>12802</v>
      </c>
      <c r="W4404" t="s">
        <v>17147</v>
      </c>
      <c r="X4404">
        <v>8</v>
      </c>
      <c r="Y4404" t="s">
        <v>23369</v>
      </c>
      <c r="Z4404" t="s">
        <v>29722</v>
      </c>
      <c r="AA4404">
        <v>0.4422661352975486</v>
      </c>
      <c r="AB4404" t="str">
        <f>HYPERLINK("Melting_Curves/meltCurve_Q8N3F8_MICALL1.pdf", "Melting_Curves/meltCurve_Q8N3F8_MICALL1.pdf")</f>
        <v>Melting_Curves/meltCurve_Q8N3F8_MICALL1.pdf</v>
      </c>
    </row>
    <row r="4405" spans="1:28" x14ac:dyDescent="0.25">
      <c r="A4405" t="s">
        <v>4409</v>
      </c>
      <c r="B4405">
        <v>0.99542014353169495</v>
      </c>
      <c r="C4405">
        <v>1.0263444240563899</v>
      </c>
      <c r="D4405">
        <v>0.94797782097202898</v>
      </c>
      <c r="E4405">
        <v>0.80813576384924402</v>
      </c>
      <c r="F4405">
        <v>0.77502509320701896</v>
      </c>
      <c r="G4405">
        <v>0.55381962530995299</v>
      </c>
      <c r="H4405">
        <v>0.381374761162731</v>
      </c>
      <c r="I4405">
        <v>0.32694966160609401</v>
      </c>
      <c r="J4405">
        <v>0.37024931684053702</v>
      </c>
      <c r="K4405">
        <v>0.417579727291298</v>
      </c>
      <c r="L4405">
        <v>802.80152529444001</v>
      </c>
      <c r="M4405">
        <v>15.7472772043087</v>
      </c>
      <c r="N4405">
        <v>54.887697009638401</v>
      </c>
      <c r="O4405">
        <v>50.179440771346499</v>
      </c>
      <c r="P4405">
        <v>-5.2017810482007099E-2</v>
      </c>
      <c r="Q4405">
        <v>0.33702650417289098</v>
      </c>
      <c r="R4405">
        <v>0.96998949241423205</v>
      </c>
      <c r="S4405" t="s">
        <v>10807</v>
      </c>
      <c r="T4405" t="s">
        <v>12802</v>
      </c>
      <c r="U4405" t="s">
        <v>12802</v>
      </c>
      <c r="V4405" t="s">
        <v>12802</v>
      </c>
      <c r="W4405" t="s">
        <v>17148</v>
      </c>
      <c r="X4405">
        <v>14</v>
      </c>
      <c r="Y4405" t="s">
        <v>23370</v>
      </c>
      <c r="Z4405" t="s">
        <v>29723</v>
      </c>
      <c r="AA4405">
        <v>0.65849192454017025</v>
      </c>
      <c r="AB4405" t="str">
        <f>HYPERLINK("Melting_Curves/meltCurve_Q8N3X1_FNBP4.pdf", "Melting_Curves/meltCurve_Q8N3X1_FNBP4.pdf")</f>
        <v>Melting_Curves/meltCurve_Q8N3X1_FNBP4.pdf</v>
      </c>
    </row>
    <row r="4406" spans="1:28" x14ac:dyDescent="0.25">
      <c r="A4406" t="s">
        <v>4410</v>
      </c>
      <c r="B4406">
        <v>0.99542014353169495</v>
      </c>
      <c r="C4406">
        <v>1.16188381546553</v>
      </c>
      <c r="D4406">
        <v>0.96189842291342598</v>
      </c>
      <c r="E4406">
        <v>0.92993331017573899</v>
      </c>
      <c r="F4406">
        <v>0.672876160717226</v>
      </c>
      <c r="G4406">
        <v>0.49264063758391102</v>
      </c>
      <c r="H4406">
        <v>0.28711010289657402</v>
      </c>
      <c r="I4406">
        <v>0.17188364063485201</v>
      </c>
      <c r="J4406">
        <v>6.8576285991622396E-2</v>
      </c>
      <c r="K4406">
        <v>4.1478528545587499E-2</v>
      </c>
      <c r="L4406">
        <v>768.45021546780197</v>
      </c>
      <c r="M4406">
        <v>14.351018258823901</v>
      </c>
      <c r="N4406">
        <v>53.546759295326403</v>
      </c>
      <c r="O4406">
        <v>52.539209939799001</v>
      </c>
      <c r="P4406">
        <v>-6.8295385710563705E-2</v>
      </c>
      <c r="Q4406">
        <v>0</v>
      </c>
      <c r="R4406">
        <v>0.97894973791092899</v>
      </c>
      <c r="S4406" t="s">
        <v>10808</v>
      </c>
      <c r="T4406" t="s">
        <v>12802</v>
      </c>
      <c r="U4406" t="s">
        <v>12802</v>
      </c>
      <c r="V4406" t="s">
        <v>12802</v>
      </c>
      <c r="W4406" t="s">
        <v>17149</v>
      </c>
      <c r="X4406">
        <v>6</v>
      </c>
      <c r="Y4406" t="s">
        <v>23371</v>
      </c>
      <c r="Z4406" t="s">
        <v>29724</v>
      </c>
      <c r="AA4406">
        <v>0.56915857653984214</v>
      </c>
      <c r="AB4406" t="str">
        <f>HYPERLINK("Melting_Curves/meltCurve_Q8N442_GUF1.pdf", "Melting_Curves/meltCurve_Q8N442_GUF1.pdf")</f>
        <v>Melting_Curves/meltCurve_Q8N442_GUF1.pdf</v>
      </c>
    </row>
    <row r="4407" spans="1:28" x14ac:dyDescent="0.25">
      <c r="A4407" t="s">
        <v>4411</v>
      </c>
      <c r="B4407">
        <v>0.99542014353169495</v>
      </c>
      <c r="C4407">
        <v>0.95819909904058498</v>
      </c>
      <c r="D4407">
        <v>0.86508505921636203</v>
      </c>
      <c r="E4407">
        <v>0.774154478580665</v>
      </c>
      <c r="F4407">
        <v>0.62166086449466895</v>
      </c>
      <c r="G4407">
        <v>0.44364284139160498</v>
      </c>
      <c r="H4407">
        <v>0.20672920471171499</v>
      </c>
      <c r="I4407">
        <v>0.11330611066865599</v>
      </c>
      <c r="J4407">
        <v>0.110922349324746</v>
      </c>
      <c r="K4407">
        <v>0.122941074139399</v>
      </c>
      <c r="L4407">
        <v>581.93282937411902</v>
      </c>
      <c r="M4407">
        <v>11.224636297884899</v>
      </c>
      <c r="N4407">
        <v>51.883798174846198</v>
      </c>
      <c r="O4407">
        <v>50.280408282878703</v>
      </c>
      <c r="P4407">
        <v>-5.5589785828172499E-2</v>
      </c>
      <c r="Q4407">
        <v>4.2599179824158199E-3</v>
      </c>
      <c r="R4407">
        <v>0.99053718778725697</v>
      </c>
      <c r="S4407" t="s">
        <v>10809</v>
      </c>
      <c r="T4407" t="s">
        <v>12802</v>
      </c>
      <c r="U4407" t="s">
        <v>12802</v>
      </c>
      <c r="V4407" t="s">
        <v>12802</v>
      </c>
      <c r="W4407" t="s">
        <v>17150</v>
      </c>
      <c r="X4407">
        <v>4</v>
      </c>
      <c r="Y4407" t="s">
        <v>23372</v>
      </c>
      <c r="Z4407" t="s">
        <v>29725</v>
      </c>
      <c r="AA4407">
        <v>0.52225294177167536</v>
      </c>
      <c r="AB4407" t="str">
        <f>HYPERLINK("Melting_Curves/meltCurve_Q8N465_D2HGDH.pdf", "Melting_Curves/meltCurve_Q8N465_D2HGDH.pdf")</f>
        <v>Melting_Curves/meltCurve_Q8N465_D2HGDH.pdf</v>
      </c>
    </row>
    <row r="4408" spans="1:28" x14ac:dyDescent="0.25">
      <c r="A4408" t="s">
        <v>4412</v>
      </c>
      <c r="B4408">
        <v>0.99542014353169495</v>
      </c>
      <c r="C4408">
        <v>0.99269219185793101</v>
      </c>
      <c r="D4408">
        <v>1.0789275424896001</v>
      </c>
      <c r="E4408">
        <v>1.05821797347906</v>
      </c>
      <c r="F4408">
        <v>0.85910852782930802</v>
      </c>
      <c r="G4408">
        <v>0.61765255889516901</v>
      </c>
      <c r="H4408">
        <v>0.41561820783108699</v>
      </c>
      <c r="I4408">
        <v>0.36646615182189402</v>
      </c>
      <c r="J4408">
        <v>0.650970787185158</v>
      </c>
      <c r="K4408">
        <v>0.86358854661548601</v>
      </c>
      <c r="L4408">
        <v>2923.19546740027</v>
      </c>
      <c r="M4408">
        <v>57.498684203682899</v>
      </c>
      <c r="O4408">
        <v>50.777959666587101</v>
      </c>
      <c r="P4408">
        <v>-0.119183857733748</v>
      </c>
      <c r="Q4408">
        <v>0.57898792102711505</v>
      </c>
      <c r="R4408">
        <v>0.72681410911562305</v>
      </c>
      <c r="S4408" t="s">
        <v>10810</v>
      </c>
      <c r="T4408" t="s">
        <v>12802</v>
      </c>
      <c r="U4408" t="s">
        <v>12802</v>
      </c>
      <c r="V4408" t="s">
        <v>12802</v>
      </c>
      <c r="W4408" t="s">
        <v>17151</v>
      </c>
      <c r="X4408">
        <v>3</v>
      </c>
      <c r="Y4408" t="s">
        <v>23373</v>
      </c>
      <c r="Z4408" t="s">
        <v>29726</v>
      </c>
      <c r="AA4408">
        <v>0.77391857821847643</v>
      </c>
      <c r="AB4408" t="str">
        <f>HYPERLINK("Melting_Curves/meltCurve_Q8N488_RYBP.pdf", "Melting_Curves/meltCurve_Q8N488_RYBP.pdf")</f>
        <v>Melting_Curves/meltCurve_Q8N488_RYBP.pdf</v>
      </c>
    </row>
    <row r="4409" spans="1:28" x14ac:dyDescent="0.25">
      <c r="A4409" t="s">
        <v>4413</v>
      </c>
      <c r="B4409">
        <v>0.99542014353169495</v>
      </c>
      <c r="C4409">
        <v>1.02885157292591</v>
      </c>
      <c r="D4409">
        <v>1.0701616063777599</v>
      </c>
      <c r="E4409">
        <v>0.77462086238843497</v>
      </c>
      <c r="F4409">
        <v>0.49743745598517602</v>
      </c>
      <c r="G4409">
        <v>0.30413240946914</v>
      </c>
      <c r="H4409">
        <v>0.205554108810587</v>
      </c>
      <c r="I4409">
        <v>0.143907603597698</v>
      </c>
      <c r="J4409">
        <v>0.20914089449982301</v>
      </c>
      <c r="K4409">
        <v>0.22280749739516401</v>
      </c>
      <c r="L4409">
        <v>1152.1675518556599</v>
      </c>
      <c r="M4409">
        <v>23.498752866616201</v>
      </c>
      <c r="N4409">
        <v>50.058200311620901</v>
      </c>
      <c r="O4409">
        <v>48.680069804237398</v>
      </c>
      <c r="P4409">
        <v>-9.7597306095932701E-2</v>
      </c>
      <c r="Q4409">
        <v>0.19128279969863601</v>
      </c>
      <c r="R4409">
        <v>0.98666400455943903</v>
      </c>
      <c r="S4409" t="s">
        <v>10811</v>
      </c>
      <c r="T4409" t="s">
        <v>12802</v>
      </c>
      <c r="U4409" t="s">
        <v>12802</v>
      </c>
      <c r="V4409" t="s">
        <v>12802</v>
      </c>
      <c r="W4409" t="s">
        <v>17152</v>
      </c>
      <c r="X4409">
        <v>2</v>
      </c>
      <c r="Y4409" t="s">
        <v>23374</v>
      </c>
      <c r="Z4409" t="s">
        <v>29727</v>
      </c>
      <c r="AA4409">
        <v>0.52348449488791493</v>
      </c>
      <c r="AB4409" t="str">
        <f>HYPERLINK("Melting_Curves/meltCurve_Q8N490_2_PNKD.pdf", "Melting_Curves/meltCurve_Q8N490_2_PNKD.pdf")</f>
        <v>Melting_Curves/meltCurve_Q8N490_2_PNKD.pdf</v>
      </c>
    </row>
    <row r="4410" spans="1:28" x14ac:dyDescent="0.25">
      <c r="A4410" t="s">
        <v>4414</v>
      </c>
      <c r="B4410">
        <v>0.99542014353169495</v>
      </c>
      <c r="C4410">
        <v>0.99439484251435695</v>
      </c>
      <c r="D4410">
        <v>0.974461098945269</v>
      </c>
      <c r="E4410">
        <v>0.764676294650948</v>
      </c>
      <c r="F4410">
        <v>0.62017807311934303</v>
      </c>
      <c r="G4410">
        <v>0.40463802712616698</v>
      </c>
      <c r="H4410">
        <v>0.26937017624009701</v>
      </c>
      <c r="I4410">
        <v>0.13305078330390399</v>
      </c>
      <c r="J4410">
        <v>7.3096481342904501E-2</v>
      </c>
      <c r="K4410">
        <v>7.0893741189075099E-2</v>
      </c>
      <c r="L4410">
        <v>635.32719421873105</v>
      </c>
      <c r="M4410">
        <v>12.1936438736527</v>
      </c>
      <c r="N4410">
        <v>52.103144945500702</v>
      </c>
      <c r="O4410">
        <v>50.761217402932097</v>
      </c>
      <c r="P4410">
        <v>-6.0067550758479402E-2</v>
      </c>
      <c r="Q4410">
        <v>0</v>
      </c>
      <c r="R4410">
        <v>0.99596053118736005</v>
      </c>
      <c r="S4410" t="s">
        <v>10812</v>
      </c>
      <c r="T4410" t="s">
        <v>12802</v>
      </c>
      <c r="U4410" t="s">
        <v>12802</v>
      </c>
      <c r="V4410" t="s">
        <v>12802</v>
      </c>
      <c r="W4410" t="s">
        <v>17153</v>
      </c>
      <c r="X4410">
        <v>3</v>
      </c>
      <c r="Y4410" t="s">
        <v>23374</v>
      </c>
      <c r="Z4410" t="s">
        <v>29728</v>
      </c>
      <c r="AA4410">
        <v>0.52664867505582424</v>
      </c>
      <c r="AB4410" t="str">
        <f>HYPERLINK("Melting_Curves/meltCurve_Q8N490_4_PNKD.pdf", "Melting_Curves/meltCurve_Q8N490_4_PNKD.pdf")</f>
        <v>Melting_Curves/meltCurve_Q8N490_4_PNKD.pdf</v>
      </c>
    </row>
    <row r="4411" spans="1:28" x14ac:dyDescent="0.25">
      <c r="A4411" t="s">
        <v>4415</v>
      </c>
      <c r="B4411">
        <v>0.99542014353169495</v>
      </c>
      <c r="C4411">
        <v>1.04709955856921</v>
      </c>
      <c r="D4411">
        <v>0.99704256453385598</v>
      </c>
      <c r="E4411">
        <v>0.794041180872884</v>
      </c>
      <c r="F4411">
        <v>0.58457323393454097</v>
      </c>
      <c r="G4411">
        <v>0.262222173752091</v>
      </c>
      <c r="H4411">
        <v>0.14083920549989801</v>
      </c>
      <c r="I4411">
        <v>5.6534653591652703E-2</v>
      </c>
      <c r="J4411">
        <v>8.4433848266706399E-2</v>
      </c>
      <c r="K4411">
        <v>0.113027608240125</v>
      </c>
      <c r="L4411">
        <v>992.97827642269203</v>
      </c>
      <c r="M4411">
        <v>19.714552814078601</v>
      </c>
      <c r="N4411">
        <v>50.742474554013</v>
      </c>
      <c r="O4411">
        <v>49.858131405121</v>
      </c>
      <c r="P4411">
        <v>-9.2160117956702994E-2</v>
      </c>
      <c r="Q4411">
        <v>6.7739855970704199E-2</v>
      </c>
      <c r="R4411">
        <v>0.99346067796092996</v>
      </c>
      <c r="S4411" t="s">
        <v>10813</v>
      </c>
      <c r="T4411" t="s">
        <v>12802</v>
      </c>
      <c r="U4411" t="s">
        <v>12802</v>
      </c>
      <c r="V4411" t="s">
        <v>12802</v>
      </c>
      <c r="W4411" t="s">
        <v>17154</v>
      </c>
      <c r="X4411">
        <v>1</v>
      </c>
      <c r="Y4411" t="s">
        <v>23375</v>
      </c>
      <c r="Z4411" t="s">
        <v>29729</v>
      </c>
      <c r="AA4411">
        <v>0.49571386919882399</v>
      </c>
      <c r="AB4411" t="str">
        <f>HYPERLINK("Melting_Curves/meltCurve_Q8N4B1_2_FAM109A.pdf", "Melting_Curves/meltCurve_Q8N4B1_2_FAM109A.pdf")</f>
        <v>Melting_Curves/meltCurve_Q8N4B1_2_FAM109A.pdf</v>
      </c>
    </row>
    <row r="4412" spans="1:28" x14ac:dyDescent="0.25">
      <c r="A4412" t="s">
        <v>4416</v>
      </c>
      <c r="B4412">
        <v>0.99542014353169495</v>
      </c>
      <c r="C4412">
        <v>0.99503215113274301</v>
      </c>
      <c r="D4412">
        <v>1.0511390852759701</v>
      </c>
      <c r="E4412">
        <v>0.81871409714551702</v>
      </c>
      <c r="F4412">
        <v>0.48659154757501699</v>
      </c>
      <c r="G4412">
        <v>0.21236296885266701</v>
      </c>
      <c r="H4412">
        <v>0.13836872829458299</v>
      </c>
      <c r="I4412">
        <v>8.4269095671865399E-2</v>
      </c>
      <c r="J4412">
        <v>8.6426782215926506E-2</v>
      </c>
      <c r="K4412">
        <v>7.6083424118205401E-2</v>
      </c>
      <c r="L4412">
        <v>1169.6894699036</v>
      </c>
      <c r="M4412">
        <v>23.548856496158098</v>
      </c>
      <c r="N4412">
        <v>50.053355542930099</v>
      </c>
      <c r="O4412">
        <v>49.316724684025402</v>
      </c>
      <c r="P4412">
        <v>-0.109544915022059</v>
      </c>
      <c r="Q4412">
        <v>8.2366610095228193E-2</v>
      </c>
      <c r="R4412">
        <v>0.99601397428142602</v>
      </c>
      <c r="S4412" t="s">
        <v>10814</v>
      </c>
      <c r="T4412" t="s">
        <v>12802</v>
      </c>
      <c r="U4412" t="s">
        <v>12802</v>
      </c>
      <c r="V4412" t="s">
        <v>12802</v>
      </c>
      <c r="W4412" t="s">
        <v>17155</v>
      </c>
      <c r="X4412">
        <v>13</v>
      </c>
      <c r="Y4412" t="s">
        <v>23376</v>
      </c>
      <c r="Z4412" t="s">
        <v>29730</v>
      </c>
      <c r="AA4412">
        <v>0.47889681767724729</v>
      </c>
      <c r="AB4412" t="str">
        <f>HYPERLINK("Melting_Curves/meltCurve_Q8N4C8_5_MINK1.pdf", "Melting_Curves/meltCurve_Q8N4C8_5_MINK1.pdf")</f>
        <v>Melting_Curves/meltCurve_Q8N4C8_5_MINK1.pdf</v>
      </c>
    </row>
    <row r="4413" spans="1:28" x14ac:dyDescent="0.25">
      <c r="A4413" t="s">
        <v>4417</v>
      </c>
      <c r="B4413">
        <v>0.99542014353169495</v>
      </c>
      <c r="C4413">
        <v>0.88618339490356801</v>
      </c>
      <c r="D4413">
        <v>1.03240184612636</v>
      </c>
      <c r="E4413">
        <v>0.73583125541291206</v>
      </c>
      <c r="F4413">
        <v>0.70659648357646498</v>
      </c>
      <c r="G4413">
        <v>0.35698265165821402</v>
      </c>
      <c r="H4413">
        <v>0.35816077161068899</v>
      </c>
      <c r="I4413">
        <v>0.301682611184171</v>
      </c>
      <c r="J4413">
        <v>0.39162415094557002</v>
      </c>
      <c r="K4413">
        <v>0.49937235636094701</v>
      </c>
      <c r="L4413">
        <v>1003.11833895132</v>
      </c>
      <c r="M4413">
        <v>20.608384799338602</v>
      </c>
      <c r="N4413">
        <v>52.1058335137513</v>
      </c>
      <c r="O4413">
        <v>48.2238838244796</v>
      </c>
      <c r="P4413">
        <v>-6.7174429765838997E-2</v>
      </c>
      <c r="Q4413">
        <v>0.37126208541453398</v>
      </c>
      <c r="R4413">
        <v>0.90172193755150898</v>
      </c>
      <c r="S4413" t="s">
        <v>10815</v>
      </c>
      <c r="T4413" t="s">
        <v>12802</v>
      </c>
      <c r="U4413" t="s">
        <v>12802</v>
      </c>
      <c r="V4413" t="s">
        <v>12802</v>
      </c>
      <c r="W4413" t="s">
        <v>17156</v>
      </c>
      <c r="X4413">
        <v>9</v>
      </c>
      <c r="Y4413" t="s">
        <v>23377</v>
      </c>
      <c r="Z4413" t="s">
        <v>29731</v>
      </c>
      <c r="AA4413">
        <v>0.62378149260314542</v>
      </c>
      <c r="AB4413" t="str">
        <f>HYPERLINK("Melting_Curves/meltCurve_Q8N4H5_TOMM5.pdf", "Melting_Curves/meltCurve_Q8N4H5_TOMM5.pdf")</f>
        <v>Melting_Curves/meltCurve_Q8N4H5_TOMM5.pdf</v>
      </c>
    </row>
    <row r="4414" spans="1:28" x14ac:dyDescent="0.25">
      <c r="A4414" t="s">
        <v>4418</v>
      </c>
      <c r="B4414">
        <v>0.99542014353169495</v>
      </c>
      <c r="C4414">
        <v>1.0484558240475499</v>
      </c>
      <c r="D4414">
        <v>1.0296869404571301</v>
      </c>
      <c r="E4414">
        <v>0.75422625439247604</v>
      </c>
      <c r="F4414">
        <v>0.39211303027846101</v>
      </c>
      <c r="G4414">
        <v>0.21289805858672101</v>
      </c>
      <c r="H4414">
        <v>9.8869509932031197E-2</v>
      </c>
      <c r="I4414">
        <v>0.103359370682826</v>
      </c>
      <c r="J4414">
        <v>0.106190992037869</v>
      </c>
      <c r="K4414">
        <v>2.7162912607073399E-2</v>
      </c>
      <c r="L4414">
        <v>1131.9938800160501</v>
      </c>
      <c r="M4414">
        <v>23.162917983623899</v>
      </c>
      <c r="N4414">
        <v>49.235863448783398</v>
      </c>
      <c r="O4414">
        <v>48.511062087017599</v>
      </c>
      <c r="P4414">
        <v>-0.109956721680099</v>
      </c>
      <c r="Q4414">
        <v>7.8869032071762796E-2</v>
      </c>
      <c r="R4414">
        <v>0.99231165356556805</v>
      </c>
      <c r="S4414" t="s">
        <v>10816</v>
      </c>
      <c r="T4414" t="s">
        <v>12802</v>
      </c>
      <c r="U4414" t="s">
        <v>12802</v>
      </c>
      <c r="V4414" t="s">
        <v>12802</v>
      </c>
      <c r="W4414" t="s">
        <v>17157</v>
      </c>
      <c r="X4414">
        <v>5</v>
      </c>
      <c r="Y4414" t="s">
        <v>23378</v>
      </c>
      <c r="Z4414" t="s">
        <v>29732</v>
      </c>
      <c r="AA4414">
        <v>0.45256885130287622</v>
      </c>
      <c r="AB4414" t="str">
        <f>HYPERLINK("Melting_Curves/meltCurve_Q8N4N3_2_KLHL36.pdf", "Melting_Curves/meltCurve_Q8N4N3_2_KLHL36.pdf")</f>
        <v>Melting_Curves/meltCurve_Q8N4N3_2_KLHL36.pdf</v>
      </c>
    </row>
    <row r="4415" spans="1:28" x14ac:dyDescent="0.25">
      <c r="A4415" t="s">
        <v>4419</v>
      </c>
      <c r="B4415">
        <v>0.99542014353169495</v>
      </c>
      <c r="C4415">
        <v>1.07620969631868</v>
      </c>
      <c r="D4415">
        <v>1.0147365681304601</v>
      </c>
      <c r="E4415">
        <v>0.84670794345982803</v>
      </c>
      <c r="F4415">
        <v>0.69223400348408204</v>
      </c>
      <c r="G4415">
        <v>0.50526791936682502</v>
      </c>
      <c r="H4415">
        <v>0.405077244850096</v>
      </c>
      <c r="I4415">
        <v>0.27494335143450399</v>
      </c>
      <c r="J4415">
        <v>0.13732563898576</v>
      </c>
      <c r="K4415">
        <v>0.115862621794925</v>
      </c>
      <c r="L4415">
        <v>613.95489157860698</v>
      </c>
      <c r="M4415">
        <v>11.3217617344774</v>
      </c>
      <c r="N4415">
        <v>54.459435548089203</v>
      </c>
      <c r="O4415">
        <v>52.6187019251321</v>
      </c>
      <c r="P4415">
        <v>-5.25432034902047E-2</v>
      </c>
      <c r="Q4415">
        <v>2.3501525438733298E-2</v>
      </c>
      <c r="R4415">
        <v>0.98485231175801402</v>
      </c>
      <c r="S4415" t="s">
        <v>10817</v>
      </c>
      <c r="T4415" t="s">
        <v>12802</v>
      </c>
      <c r="U4415" t="s">
        <v>12802</v>
      </c>
      <c r="V4415" t="s">
        <v>12802</v>
      </c>
      <c r="W4415" t="s">
        <v>17158</v>
      </c>
      <c r="X4415">
        <v>6</v>
      </c>
      <c r="Y4415" t="s">
        <v>23379</v>
      </c>
      <c r="Z4415" t="s">
        <v>29733</v>
      </c>
      <c r="AA4415">
        <v>0.60096045636120365</v>
      </c>
      <c r="AB4415" t="str">
        <f>HYPERLINK("Melting_Curves/meltCurve_Q8N4P3_HDDC3.pdf", "Melting_Curves/meltCurve_Q8N4P3_HDDC3.pdf")</f>
        <v>Melting_Curves/meltCurve_Q8N4P3_HDDC3.pdf</v>
      </c>
    </row>
    <row r="4416" spans="1:28" x14ac:dyDescent="0.25">
      <c r="A4416" t="s">
        <v>4420</v>
      </c>
      <c r="B4416">
        <v>0.99542014353169495</v>
      </c>
      <c r="C4416">
        <v>0.95276043190001702</v>
      </c>
      <c r="D4416">
        <v>0.79514989960265203</v>
      </c>
      <c r="E4416">
        <v>0.74187980789875096</v>
      </c>
      <c r="F4416">
        <v>0.59643421994658297</v>
      </c>
      <c r="G4416">
        <v>0.43435792467064299</v>
      </c>
      <c r="H4416">
        <v>0.18576165459132701</v>
      </c>
      <c r="I4416">
        <v>9.9220764852302606E-2</v>
      </c>
      <c r="J4416">
        <v>7.9597614200524303E-2</v>
      </c>
      <c r="K4416">
        <v>5.8944425903101498E-2</v>
      </c>
      <c r="L4416">
        <v>560.871207240746</v>
      </c>
      <c r="M4416">
        <v>10.9642717267231</v>
      </c>
      <c r="N4416">
        <v>51.154442194450397</v>
      </c>
      <c r="O4416">
        <v>49.541093505055997</v>
      </c>
      <c r="P4416">
        <v>-5.5348079601210402E-2</v>
      </c>
      <c r="Q4416">
        <v>0</v>
      </c>
      <c r="R4416">
        <v>0.98381315915191903</v>
      </c>
      <c r="S4416" t="s">
        <v>10818</v>
      </c>
      <c r="T4416" t="s">
        <v>12802</v>
      </c>
      <c r="U4416" t="s">
        <v>12802</v>
      </c>
      <c r="V4416" t="s">
        <v>12802</v>
      </c>
      <c r="W4416" t="s">
        <v>17159</v>
      </c>
      <c r="X4416">
        <v>7</v>
      </c>
      <c r="Y4416" t="s">
        <v>23380</v>
      </c>
      <c r="Z4416" t="s">
        <v>29734</v>
      </c>
      <c r="AA4416">
        <v>0.49968845177662241</v>
      </c>
      <c r="AB4416" t="str">
        <f>HYPERLINK("Melting_Curves/meltCurve_Q8N4Q0_ZADH2.pdf", "Melting_Curves/meltCurve_Q8N4Q0_ZADH2.pdf")</f>
        <v>Melting_Curves/meltCurve_Q8N4Q0_ZADH2.pdf</v>
      </c>
    </row>
    <row r="4417" spans="1:28" x14ac:dyDescent="0.25">
      <c r="A4417" t="s">
        <v>4421</v>
      </c>
      <c r="B4417">
        <v>0.99542014353169495</v>
      </c>
      <c r="C4417">
        <v>0.92092586531677301</v>
      </c>
      <c r="D4417">
        <v>1.0717410448923601</v>
      </c>
      <c r="E4417">
        <v>0.87249235764441302</v>
      </c>
      <c r="F4417">
        <v>0.83402668105165301</v>
      </c>
      <c r="G4417">
        <v>0.45395275615514602</v>
      </c>
      <c r="H4417">
        <v>0.41390519694829803</v>
      </c>
      <c r="I4417">
        <v>0.425780117213856</v>
      </c>
      <c r="J4417">
        <v>0.61771069209666196</v>
      </c>
      <c r="K4417">
        <v>0.86235340367837798</v>
      </c>
      <c r="L4417">
        <v>12576.1245742057</v>
      </c>
      <c r="M4417">
        <v>250</v>
      </c>
      <c r="O4417">
        <v>50.3012791158041</v>
      </c>
      <c r="P4417">
        <v>-0.55324086448118803</v>
      </c>
      <c r="Q4417">
        <v>0.55474043000416595</v>
      </c>
      <c r="R4417">
        <v>0.68609079006572904</v>
      </c>
      <c r="S4417" t="s">
        <v>10819</v>
      </c>
      <c r="T4417" t="s">
        <v>12802</v>
      </c>
      <c r="U4417" t="s">
        <v>12802</v>
      </c>
      <c r="V4417" t="s">
        <v>12802</v>
      </c>
      <c r="W4417" t="s">
        <v>17160</v>
      </c>
      <c r="X4417">
        <v>1</v>
      </c>
      <c r="Y4417" t="s">
        <v>23381</v>
      </c>
      <c r="Z4417" t="s">
        <v>29735</v>
      </c>
      <c r="AA4417">
        <v>0.75224491214889133</v>
      </c>
      <c r="AB4417" t="str">
        <f>HYPERLINK("Melting_Curves/meltCurve_Q8N4Q1_CHCHD4.pdf", "Melting_Curves/meltCurve_Q8N4Q1_CHCHD4.pdf")</f>
        <v>Melting_Curves/meltCurve_Q8N4Q1_CHCHD4.pdf</v>
      </c>
    </row>
    <row r="4418" spans="1:28" x14ac:dyDescent="0.25">
      <c r="A4418" t="s">
        <v>4422</v>
      </c>
      <c r="B4418">
        <v>0.99542014353169495</v>
      </c>
      <c r="C4418">
        <v>0.91334059325513095</v>
      </c>
      <c r="D4418">
        <v>1.06355358671463</v>
      </c>
      <c r="E4418">
        <v>0.92134391712498398</v>
      </c>
      <c r="F4418">
        <v>0.83400191426150105</v>
      </c>
      <c r="G4418">
        <v>0.37646143510878499</v>
      </c>
      <c r="H4418">
        <v>0.16950695075751601</v>
      </c>
      <c r="I4418">
        <v>0.103490366418529</v>
      </c>
      <c r="J4418">
        <v>0.16997427478816901</v>
      </c>
      <c r="K4418">
        <v>0.18391078559190599</v>
      </c>
      <c r="L4418">
        <v>1791.3014780496201</v>
      </c>
      <c r="M4418">
        <v>34.314336371791697</v>
      </c>
      <c r="N4418">
        <v>52.735900131048403</v>
      </c>
      <c r="O4418">
        <v>52.026378587028198</v>
      </c>
      <c r="P4418">
        <v>-0.14072053064725701</v>
      </c>
      <c r="Q4418">
        <v>0.14657817219135999</v>
      </c>
      <c r="R4418">
        <v>0.98604603487201403</v>
      </c>
      <c r="S4418" t="s">
        <v>10820</v>
      </c>
      <c r="T4418" t="s">
        <v>12802</v>
      </c>
      <c r="U4418" t="s">
        <v>12802</v>
      </c>
      <c r="V4418" t="s">
        <v>12802</v>
      </c>
      <c r="W4418" t="s">
        <v>17161</v>
      </c>
      <c r="X4418">
        <v>1</v>
      </c>
      <c r="Y4418" t="s">
        <v>23382</v>
      </c>
      <c r="Z4418" t="s">
        <v>29736</v>
      </c>
      <c r="AA4418">
        <v>0.58321548034151338</v>
      </c>
      <c r="AB4418" t="str">
        <f>HYPERLINK("Melting_Curves/meltCurve_Q8N4V1_MMGT1.pdf", "Melting_Curves/meltCurve_Q8N4V1_MMGT1.pdf")</f>
        <v>Melting_Curves/meltCurve_Q8N4V1_MMGT1.pdf</v>
      </c>
    </row>
    <row r="4419" spans="1:28" x14ac:dyDescent="0.25">
      <c r="A4419" t="s">
        <v>4423</v>
      </c>
      <c r="B4419">
        <v>0.99542014353169495</v>
      </c>
      <c r="C4419">
        <v>1.0099401060703801</v>
      </c>
      <c r="D4419">
        <v>1.0318810316232001</v>
      </c>
      <c r="E4419">
        <v>1.0570904777952701</v>
      </c>
      <c r="F4419">
        <v>0.92799446362327398</v>
      </c>
      <c r="G4419">
        <v>0.77558075520011704</v>
      </c>
      <c r="H4419">
        <v>0.52583930636132403</v>
      </c>
      <c r="I4419">
        <v>0.361485813348213</v>
      </c>
      <c r="J4419">
        <v>0.52849820143510695</v>
      </c>
      <c r="K4419">
        <v>0.58782579779141697</v>
      </c>
      <c r="L4419">
        <v>2249.0980100988099</v>
      </c>
      <c r="M4419">
        <v>41.672453633626603</v>
      </c>
      <c r="N4419">
        <v>59.779313256725203</v>
      </c>
      <c r="O4419">
        <v>53.846993425062998</v>
      </c>
      <c r="P4419">
        <v>-9.8425165655479804E-2</v>
      </c>
      <c r="Q4419">
        <v>0.491280996958952</v>
      </c>
      <c r="R4419">
        <v>0.94046240393647695</v>
      </c>
      <c r="S4419" t="s">
        <v>10821</v>
      </c>
      <c r="T4419" t="s">
        <v>12802</v>
      </c>
      <c r="U4419" t="s">
        <v>12802</v>
      </c>
      <c r="V4419" t="s">
        <v>12802</v>
      </c>
      <c r="W4419" t="s">
        <v>17162</v>
      </c>
      <c r="X4419">
        <v>5</v>
      </c>
      <c r="Y4419" t="s">
        <v>23383</v>
      </c>
      <c r="Z4419" t="s">
        <v>29737</v>
      </c>
      <c r="AA4419">
        <v>0.78079783834630367</v>
      </c>
      <c r="AB4419" t="str">
        <f>HYPERLINK("Melting_Curves/meltCurve_Q8N567_ZCCHC9.pdf", "Melting_Curves/meltCurve_Q8N567_ZCCHC9.pdf")</f>
        <v>Melting_Curves/meltCurve_Q8N567_ZCCHC9.pdf</v>
      </c>
    </row>
    <row r="4420" spans="1:28" x14ac:dyDescent="0.25">
      <c r="A4420" t="s">
        <v>4424</v>
      </c>
      <c r="B4420">
        <v>0.99542014353169495</v>
      </c>
      <c r="C4420">
        <v>0.98348467604009604</v>
      </c>
      <c r="D4420">
        <v>0.815878173642965</v>
      </c>
      <c r="E4420">
        <v>0.79321820358887496</v>
      </c>
      <c r="F4420">
        <v>0.61751785474143295</v>
      </c>
      <c r="G4420">
        <v>0.32489398540400199</v>
      </c>
      <c r="H4420">
        <v>0.11179383628817301</v>
      </c>
      <c r="I4420">
        <v>6.6328655406610301E-2</v>
      </c>
      <c r="J4420">
        <v>0.10022966663138801</v>
      </c>
      <c r="K4420">
        <v>6.3454700441112594E-2</v>
      </c>
      <c r="L4420">
        <v>692.87846453947702</v>
      </c>
      <c r="M4420">
        <v>13.5921576352107</v>
      </c>
      <c r="N4420">
        <v>50.981519084500199</v>
      </c>
      <c r="O4420">
        <v>49.910881246136803</v>
      </c>
      <c r="P4420">
        <v>-6.8045286024332796E-2</v>
      </c>
      <c r="Q4420">
        <v>6.89672608743668E-4</v>
      </c>
      <c r="R4420">
        <v>0.98253403530174899</v>
      </c>
      <c r="S4420" t="s">
        <v>10822</v>
      </c>
      <c r="T4420" t="s">
        <v>12802</v>
      </c>
      <c r="U4420" t="s">
        <v>12802</v>
      </c>
      <c r="V4420" t="s">
        <v>12802</v>
      </c>
      <c r="W4420" t="s">
        <v>17163</v>
      </c>
      <c r="X4420">
        <v>10</v>
      </c>
      <c r="Y4420" t="s">
        <v>23384</v>
      </c>
      <c r="Z4420" t="s">
        <v>29738</v>
      </c>
      <c r="AA4420">
        <v>0.48901223543773592</v>
      </c>
      <c r="AB4420" t="str">
        <f>HYPERLINK("Melting_Curves/meltCurve_Q8N573_2_OXR1.pdf", "Melting_Curves/meltCurve_Q8N573_2_OXR1.pdf")</f>
        <v>Melting_Curves/meltCurve_Q8N573_2_OXR1.pdf</v>
      </c>
    </row>
    <row r="4421" spans="1:28" x14ac:dyDescent="0.25">
      <c r="A4421" t="s">
        <v>4425</v>
      </c>
      <c r="B4421">
        <v>0.99542014353169495</v>
      </c>
      <c r="C4421">
        <v>1.05193155879577</v>
      </c>
      <c r="D4421">
        <v>1.0074300956941999</v>
      </c>
      <c r="E4421">
        <v>0.95770725142393598</v>
      </c>
      <c r="F4421">
        <v>0.81218596690878098</v>
      </c>
      <c r="G4421">
        <v>0.57797315093757595</v>
      </c>
      <c r="H4421">
        <v>0.338954864442572</v>
      </c>
      <c r="I4421">
        <v>0.26809776176011801</v>
      </c>
      <c r="J4421">
        <v>0.35521274718087997</v>
      </c>
      <c r="K4421">
        <v>0.42636809422328098</v>
      </c>
      <c r="L4421">
        <v>1428.6560861432499</v>
      </c>
      <c r="M4421">
        <v>27.393846948853898</v>
      </c>
      <c r="N4421">
        <v>54.380219343282803</v>
      </c>
      <c r="O4421">
        <v>51.876899537190297</v>
      </c>
      <c r="P4421">
        <v>-8.7496318291089795E-2</v>
      </c>
      <c r="Q4421">
        <v>0.33722411687463</v>
      </c>
      <c r="R4421">
        <v>0.97576399463873797</v>
      </c>
      <c r="S4421" t="s">
        <v>10823</v>
      </c>
      <c r="T4421" t="s">
        <v>12802</v>
      </c>
      <c r="U4421" t="s">
        <v>12802</v>
      </c>
      <c r="V4421" t="s">
        <v>12802</v>
      </c>
      <c r="W4421" t="s">
        <v>17164</v>
      </c>
      <c r="X4421">
        <v>10</v>
      </c>
      <c r="Y4421" t="s">
        <v>23384</v>
      </c>
      <c r="Z4421" t="s">
        <v>29739</v>
      </c>
      <c r="AA4421">
        <v>0.676950778088932</v>
      </c>
      <c r="AB4421" t="str">
        <f>HYPERLINK("Melting_Curves/meltCurve_Q8N573_8_OXR1.pdf", "Melting_Curves/meltCurve_Q8N573_8_OXR1.pdf")</f>
        <v>Melting_Curves/meltCurve_Q8N573_8_OXR1.pdf</v>
      </c>
    </row>
    <row r="4422" spans="1:28" x14ac:dyDescent="0.25">
      <c r="A4422" t="s">
        <v>4426</v>
      </c>
      <c r="B4422">
        <v>0.99542014353169495</v>
      </c>
      <c r="C4422">
        <v>0.99039683233523101</v>
      </c>
      <c r="D4422">
        <v>0.76238198494052201</v>
      </c>
      <c r="E4422">
        <v>0.38537821578915199</v>
      </c>
      <c r="F4422">
        <v>0.27551135080620298</v>
      </c>
      <c r="G4422">
        <v>0.14220649177282499</v>
      </c>
      <c r="H4422">
        <v>0.11518851643707</v>
      </c>
      <c r="I4422">
        <v>6.0968414608969602E-2</v>
      </c>
      <c r="J4422">
        <v>0.17239063903468299</v>
      </c>
      <c r="K4422">
        <v>0.103410275751623</v>
      </c>
      <c r="L4422">
        <v>940.96221017974904</v>
      </c>
      <c r="M4422">
        <v>20.8534002327835</v>
      </c>
      <c r="N4422">
        <v>45.706593532417003</v>
      </c>
      <c r="O4422">
        <v>44.713923995593298</v>
      </c>
      <c r="P4422">
        <v>-0.102963119856734</v>
      </c>
      <c r="Q4422">
        <v>0.116929012953622</v>
      </c>
      <c r="R4422">
        <v>0.98893425845994298</v>
      </c>
      <c r="S4422" t="s">
        <v>10824</v>
      </c>
      <c r="T4422" t="s">
        <v>12802</v>
      </c>
      <c r="U4422" t="s">
        <v>12802</v>
      </c>
      <c r="V4422" t="s">
        <v>12802</v>
      </c>
      <c r="W4422" t="s">
        <v>17165</v>
      </c>
      <c r="X4422">
        <v>6</v>
      </c>
      <c r="Y4422" t="s">
        <v>23385</v>
      </c>
      <c r="Z4422" t="s">
        <v>29740</v>
      </c>
      <c r="AA4422">
        <v>0.36664441612481791</v>
      </c>
      <c r="AB4422" t="str">
        <f>HYPERLINK("Melting_Curves/meltCurve_Q8N5A5_3_ZGPAT.pdf", "Melting_Curves/meltCurve_Q8N5A5_3_ZGPAT.pdf")</f>
        <v>Melting_Curves/meltCurve_Q8N5A5_3_ZGPAT.pdf</v>
      </c>
    </row>
    <row r="4423" spans="1:28" x14ac:dyDescent="0.25">
      <c r="A4423" t="s">
        <v>4427</v>
      </c>
      <c r="B4423">
        <v>0.99542014353169495</v>
      </c>
      <c r="C4423">
        <v>0.96889946996791898</v>
      </c>
      <c r="D4423">
        <v>0.88860359345000195</v>
      </c>
      <c r="E4423">
        <v>0.47992386080340599</v>
      </c>
      <c r="F4423">
        <v>0.28087783649168901</v>
      </c>
      <c r="G4423">
        <v>0.18517908143345099</v>
      </c>
      <c r="H4423">
        <v>0.159731428753521</v>
      </c>
      <c r="I4423">
        <v>9.5721872492401897E-2</v>
      </c>
      <c r="J4423">
        <v>7.3634168667426697E-2</v>
      </c>
      <c r="K4423">
        <v>0.18923560126929101</v>
      </c>
      <c r="L4423">
        <v>1042.4591715936999</v>
      </c>
      <c r="M4423">
        <v>22.616953432625198</v>
      </c>
      <c r="N4423">
        <v>46.732568787762602</v>
      </c>
      <c r="O4423">
        <v>45.736128099167402</v>
      </c>
      <c r="P4423">
        <v>-0.10715104248516399</v>
      </c>
      <c r="Q4423">
        <v>0.13329144256688599</v>
      </c>
      <c r="R4423">
        <v>0.99048332427805597</v>
      </c>
      <c r="S4423" t="s">
        <v>10825</v>
      </c>
      <c r="T4423" t="s">
        <v>12802</v>
      </c>
      <c r="U4423" t="s">
        <v>12802</v>
      </c>
      <c r="V4423" t="s">
        <v>12802</v>
      </c>
      <c r="W4423" t="s">
        <v>17166</v>
      </c>
      <c r="X4423">
        <v>5</v>
      </c>
      <c r="Y4423" t="s">
        <v>23386</v>
      </c>
      <c r="Z4423" t="s">
        <v>29741</v>
      </c>
      <c r="AA4423">
        <v>0.40478386133142519</v>
      </c>
      <c r="AB4423" t="str">
        <f>HYPERLINK("Melting_Curves/meltCurve_Q8N5C6_SRBD1.pdf", "Melting_Curves/meltCurve_Q8N5C6_SRBD1.pdf")</f>
        <v>Melting_Curves/meltCurve_Q8N5C6_SRBD1.pdf</v>
      </c>
    </row>
    <row r="4424" spans="1:28" x14ac:dyDescent="0.25">
      <c r="A4424" t="s">
        <v>4428</v>
      </c>
      <c r="B4424">
        <v>0.99542014353169495</v>
      </c>
      <c r="C4424">
        <v>1.05408933182137</v>
      </c>
      <c r="D4424">
        <v>0.96497589579537801</v>
      </c>
      <c r="E4424">
        <v>0.95413460234939895</v>
      </c>
      <c r="F4424">
        <v>0.68582690296897897</v>
      </c>
      <c r="G4424">
        <v>0.42188574492000402</v>
      </c>
      <c r="H4424">
        <v>0.25535000667693197</v>
      </c>
      <c r="I4424">
        <v>0.13148067619345999</v>
      </c>
      <c r="J4424">
        <v>8.8549234405549807E-2</v>
      </c>
      <c r="K4424">
        <v>0.10730781814265899</v>
      </c>
      <c r="L4424">
        <v>975.01528471048596</v>
      </c>
      <c r="M4424">
        <v>18.642282636707201</v>
      </c>
      <c r="N4424">
        <v>52.799083062902803</v>
      </c>
      <c r="O4424">
        <v>51.710615293186599</v>
      </c>
      <c r="P4424">
        <v>-8.2867930633105602E-2</v>
      </c>
      <c r="Q4424">
        <v>8.0591725302618294E-2</v>
      </c>
      <c r="R4424">
        <v>0.99516507128821796</v>
      </c>
      <c r="S4424" t="s">
        <v>10826</v>
      </c>
      <c r="T4424" t="s">
        <v>12802</v>
      </c>
      <c r="U4424" t="s">
        <v>12802</v>
      </c>
      <c r="V4424" t="s">
        <v>12802</v>
      </c>
      <c r="W4424" t="s">
        <v>17167</v>
      </c>
      <c r="X4424">
        <v>5</v>
      </c>
      <c r="Y4424" t="s">
        <v>23387</v>
      </c>
      <c r="Z4424" t="s">
        <v>29742</v>
      </c>
      <c r="AA4424">
        <v>0.56262740133447386</v>
      </c>
      <c r="AB4424" t="str">
        <f>HYPERLINK("Melting_Curves/meltCurve_Q8N5C7_DTWD1.pdf", "Melting_Curves/meltCurve_Q8N5C7_DTWD1.pdf")</f>
        <v>Melting_Curves/meltCurve_Q8N5C7_DTWD1.pdf</v>
      </c>
    </row>
    <row r="4425" spans="1:28" x14ac:dyDescent="0.25">
      <c r="A4425" t="s">
        <v>4429</v>
      </c>
      <c r="B4425">
        <v>0.99542014353169495</v>
      </c>
      <c r="C4425">
        <v>0.86923191228646901</v>
      </c>
      <c r="D4425">
        <v>1.06372797019522</v>
      </c>
      <c r="E4425">
        <v>0.85708036409292399</v>
      </c>
      <c r="F4425">
        <v>0.36623350460654303</v>
      </c>
      <c r="G4425">
        <v>0.208238644639375</v>
      </c>
      <c r="H4425">
        <v>7.1952227558007995E-2</v>
      </c>
      <c r="I4425">
        <v>6.7342545272069093E-2</v>
      </c>
      <c r="J4425">
        <v>8.8570762510945297E-2</v>
      </c>
      <c r="K4425">
        <v>0.13472764745467999</v>
      </c>
      <c r="L4425">
        <v>1566.3845571639299</v>
      </c>
      <c r="M4425">
        <v>31.973909633783901</v>
      </c>
      <c r="N4425">
        <v>49.331874520356401</v>
      </c>
      <c r="O4425">
        <v>48.799024976970401</v>
      </c>
      <c r="P4425">
        <v>-0.14750379061577601</v>
      </c>
      <c r="Q4425">
        <v>9.95152565425904E-2</v>
      </c>
      <c r="R4425">
        <v>0.98109717062236201</v>
      </c>
      <c r="S4425" t="s">
        <v>10827</v>
      </c>
      <c r="T4425" t="s">
        <v>12802</v>
      </c>
      <c r="U4425" t="s">
        <v>12802</v>
      </c>
      <c r="V4425" t="s">
        <v>12802</v>
      </c>
      <c r="W4425" t="s">
        <v>17168</v>
      </c>
      <c r="X4425">
        <v>2</v>
      </c>
      <c r="Y4425" t="s">
        <v>23388</v>
      </c>
      <c r="Z4425" t="s">
        <v>29743</v>
      </c>
      <c r="AA4425">
        <v>0.46417410715745361</v>
      </c>
      <c r="AB4425" t="str">
        <f>HYPERLINK("Melting_Curves/meltCurve_Q8N5D0_4_WDTC1.pdf", "Melting_Curves/meltCurve_Q8N5D0_4_WDTC1.pdf")</f>
        <v>Melting_Curves/meltCurve_Q8N5D0_4_WDTC1.pdf</v>
      </c>
    </row>
    <row r="4426" spans="1:28" x14ac:dyDescent="0.25">
      <c r="A4426" t="s">
        <v>4430</v>
      </c>
      <c r="B4426">
        <v>0.99542014353169495</v>
      </c>
      <c r="C4426">
        <v>0.90676679609489497</v>
      </c>
      <c r="D4426">
        <v>0.97075686159522401</v>
      </c>
      <c r="E4426">
        <v>0.78134945782988596</v>
      </c>
      <c r="F4426">
        <v>0.48746077397776499</v>
      </c>
      <c r="G4426">
        <v>0.28149833038083</v>
      </c>
      <c r="H4426">
        <v>0.15646191199128701</v>
      </c>
      <c r="I4426">
        <v>9.6788845859814204E-2</v>
      </c>
      <c r="J4426">
        <v>0.14736726124238</v>
      </c>
      <c r="K4426">
        <v>0.25935343905229602</v>
      </c>
      <c r="L4426">
        <v>1036.1338789747999</v>
      </c>
      <c r="M4426">
        <v>21.126271580240299</v>
      </c>
      <c r="N4426">
        <v>49.920217767195702</v>
      </c>
      <c r="O4426">
        <v>48.611724094340097</v>
      </c>
      <c r="P4426">
        <v>-9.1832080610054004E-2</v>
      </c>
      <c r="Q4426">
        <v>0.15479689802001501</v>
      </c>
      <c r="R4426">
        <v>0.97962536789238097</v>
      </c>
      <c r="S4426" t="s">
        <v>10828</v>
      </c>
      <c r="T4426" t="s">
        <v>12802</v>
      </c>
      <c r="U4426" t="s">
        <v>12802</v>
      </c>
      <c r="V4426" t="s">
        <v>12802</v>
      </c>
      <c r="W4426" t="s">
        <v>17169</v>
      </c>
      <c r="X4426">
        <v>6</v>
      </c>
      <c r="Y4426" t="s">
        <v>23389</v>
      </c>
      <c r="Z4426" t="s">
        <v>29744</v>
      </c>
      <c r="AA4426">
        <v>0.50420897046433655</v>
      </c>
      <c r="AB4426" t="str">
        <f>HYPERLINK("Melting_Curves/meltCurve_Q8N5F7_NKAP.pdf", "Melting_Curves/meltCurve_Q8N5F7_NKAP.pdf")</f>
        <v>Melting_Curves/meltCurve_Q8N5F7_NKAP.pdf</v>
      </c>
    </row>
    <row r="4427" spans="1:28" x14ac:dyDescent="0.25">
      <c r="A4427" t="s">
        <v>4431</v>
      </c>
      <c r="B4427">
        <v>0.99542014353169495</v>
      </c>
      <c r="C4427">
        <v>0.98140849498000904</v>
      </c>
      <c r="D4427">
        <v>0.90821091050118896</v>
      </c>
      <c r="E4427">
        <v>0.79017797149165703</v>
      </c>
      <c r="F4427">
        <v>0.700452322017873</v>
      </c>
      <c r="G4427">
        <v>0.51260266478179894</v>
      </c>
      <c r="H4427">
        <v>0.40288553532286497</v>
      </c>
      <c r="I4427">
        <v>0.345162392348693</v>
      </c>
      <c r="J4427">
        <v>0.47981575072277499</v>
      </c>
      <c r="K4427">
        <v>0.54538442901097495</v>
      </c>
      <c r="L4427">
        <v>807.51962463844495</v>
      </c>
      <c r="M4427">
        <v>16.656154485992101</v>
      </c>
      <c r="N4427">
        <v>55.081937045848399</v>
      </c>
      <c r="O4427">
        <v>47.799083529580898</v>
      </c>
      <c r="P4427">
        <v>-4.9480627373381297E-2</v>
      </c>
      <c r="Q4427">
        <v>0.43204891427150999</v>
      </c>
      <c r="R4427">
        <v>0.93519232049173895</v>
      </c>
      <c r="S4427" t="s">
        <v>10829</v>
      </c>
      <c r="T4427" t="s">
        <v>12802</v>
      </c>
      <c r="U4427" t="s">
        <v>12802</v>
      </c>
      <c r="V4427" t="s">
        <v>12802</v>
      </c>
      <c r="W4427" t="s">
        <v>17170</v>
      </c>
      <c r="X4427">
        <v>3</v>
      </c>
      <c r="Y4427" t="s">
        <v>23390</v>
      </c>
      <c r="Z4427" t="s">
        <v>29745</v>
      </c>
      <c r="AA4427">
        <v>0.65979787940656753</v>
      </c>
      <c r="AB4427" t="str">
        <f>HYPERLINK("Melting_Curves/meltCurve_Q8N5G0_2_SMIM20.pdf", "Melting_Curves/meltCurve_Q8N5G0_2_SMIM20.pdf")</f>
        <v>Melting_Curves/meltCurve_Q8N5G0_2_SMIM20.pdf</v>
      </c>
    </row>
    <row r="4428" spans="1:28" x14ac:dyDescent="0.25">
      <c r="A4428" t="s">
        <v>4432</v>
      </c>
      <c r="B4428">
        <v>0.99542014353169495</v>
      </c>
      <c r="C4428">
        <v>0.880977459716343</v>
      </c>
      <c r="D4428">
        <v>0.97287002159435298</v>
      </c>
      <c r="E4428">
        <v>0.70796022248697998</v>
      </c>
      <c r="F4428">
        <v>0.53030172237810602</v>
      </c>
      <c r="G4428">
        <v>0.27556471220532203</v>
      </c>
      <c r="H4428">
        <v>0.18072290725816401</v>
      </c>
      <c r="I4428">
        <v>0.13971399997266801</v>
      </c>
      <c r="J4428">
        <v>0.13428614238429901</v>
      </c>
      <c r="K4428">
        <v>0.17361327828561601</v>
      </c>
      <c r="L4428">
        <v>794.82908955458504</v>
      </c>
      <c r="M4428">
        <v>16.169320383242599</v>
      </c>
      <c r="N4428">
        <v>50.015273765985697</v>
      </c>
      <c r="O4428">
        <v>48.423191111162502</v>
      </c>
      <c r="P4428">
        <v>-7.3367424320736896E-2</v>
      </c>
      <c r="Q4428">
        <v>0.12119584544640399</v>
      </c>
      <c r="R4428">
        <v>0.98444985234732396</v>
      </c>
      <c r="S4428" t="s">
        <v>10830</v>
      </c>
      <c r="T4428" t="s">
        <v>12802</v>
      </c>
      <c r="U4428" t="s">
        <v>12802</v>
      </c>
      <c r="V4428" t="s">
        <v>12802</v>
      </c>
      <c r="W4428" t="s">
        <v>17171</v>
      </c>
      <c r="X4428">
        <v>5</v>
      </c>
      <c r="Y4428" t="s">
        <v>23391</v>
      </c>
      <c r="Z4428" t="s">
        <v>29746</v>
      </c>
      <c r="AA4428">
        <v>0.49401605316456282</v>
      </c>
      <c r="AB4428" t="str">
        <f>HYPERLINK("Melting_Curves/meltCurve_Q8N5G2_TMEM57.pdf", "Melting_Curves/meltCurve_Q8N5G2_TMEM57.pdf")</f>
        <v>Melting_Curves/meltCurve_Q8N5G2_TMEM57.pdf</v>
      </c>
    </row>
    <row r="4429" spans="1:28" x14ac:dyDescent="0.25">
      <c r="A4429" t="s">
        <v>4433</v>
      </c>
      <c r="B4429">
        <v>0.99542014353169495</v>
      </c>
      <c r="C4429">
        <v>0.93844611657501498</v>
      </c>
      <c r="D4429">
        <v>0.79776180337997904</v>
      </c>
      <c r="E4429">
        <v>0.83974422621742995</v>
      </c>
      <c r="F4429">
        <v>0.51932681907367495</v>
      </c>
      <c r="G4429">
        <v>0.20880477576884501</v>
      </c>
      <c r="H4429">
        <v>4.4473251747488098E-2</v>
      </c>
      <c r="I4429">
        <v>2.82206941826821E-2</v>
      </c>
      <c r="J4429">
        <v>6.3483999723171203E-2</v>
      </c>
      <c r="K4429">
        <v>3.5200520891390301E-2</v>
      </c>
      <c r="L4429">
        <v>871.61482336056804</v>
      </c>
      <c r="M4429">
        <v>17.404217628386402</v>
      </c>
      <c r="N4429">
        <v>50.0841001971975</v>
      </c>
      <c r="O4429">
        <v>49.433527897289601</v>
      </c>
      <c r="P4429">
        <v>-8.7970771008467702E-2</v>
      </c>
      <c r="Q4429">
        <v>5.9612840495991198E-4</v>
      </c>
      <c r="R4429">
        <v>0.977775185673188</v>
      </c>
      <c r="S4429" t="s">
        <v>10831</v>
      </c>
      <c r="T4429" t="s">
        <v>12802</v>
      </c>
      <c r="U4429" t="s">
        <v>12802</v>
      </c>
      <c r="V4429" t="s">
        <v>12802</v>
      </c>
      <c r="W4429" t="s">
        <v>17172</v>
      </c>
      <c r="X4429">
        <v>3</v>
      </c>
      <c r="Y4429" t="s">
        <v>23392</v>
      </c>
      <c r="Z4429" t="s">
        <v>29747</v>
      </c>
      <c r="AA4429">
        <v>0.45297220954316908</v>
      </c>
      <c r="AB4429" t="str">
        <f>HYPERLINK("Melting_Curves/meltCurve_Q8N5I2_ARRDC1.pdf", "Melting_Curves/meltCurve_Q8N5I2_ARRDC1.pdf")</f>
        <v>Melting_Curves/meltCurve_Q8N5I2_ARRDC1.pdf</v>
      </c>
    </row>
    <row r="4430" spans="1:28" x14ac:dyDescent="0.25">
      <c r="A4430" t="s">
        <v>4434</v>
      </c>
      <c r="B4430">
        <v>0.99542014353169495</v>
      </c>
      <c r="C4430">
        <v>1.0041161379942101</v>
      </c>
      <c r="D4430">
        <v>1.0037580988727299</v>
      </c>
      <c r="E4430">
        <v>0.853507038564571</v>
      </c>
      <c r="F4430">
        <v>0.735766765181739</v>
      </c>
      <c r="G4430">
        <v>0.49875981771299299</v>
      </c>
      <c r="H4430">
        <v>0.437256890390882</v>
      </c>
      <c r="I4430">
        <v>0.35675261913199702</v>
      </c>
      <c r="J4430">
        <v>0.477767171606716</v>
      </c>
      <c r="K4430">
        <v>0.638959650546852</v>
      </c>
      <c r="L4430">
        <v>1237.53583366764</v>
      </c>
      <c r="M4430">
        <v>25.051182840086</v>
      </c>
      <c r="N4430">
        <v>55.736356922231202</v>
      </c>
      <c r="O4430">
        <v>49.0887231449571</v>
      </c>
      <c r="P4430">
        <v>-6.7489563059995303E-2</v>
      </c>
      <c r="Q4430">
        <v>0.47101377483609402</v>
      </c>
      <c r="R4430">
        <v>0.91134462820937001</v>
      </c>
      <c r="S4430" t="s">
        <v>10832</v>
      </c>
      <c r="T4430" t="s">
        <v>12802</v>
      </c>
      <c r="U4430" t="s">
        <v>12802</v>
      </c>
      <c r="V4430" t="s">
        <v>12802</v>
      </c>
      <c r="W4430" t="s">
        <v>17173</v>
      </c>
      <c r="X4430">
        <v>9</v>
      </c>
      <c r="Y4430" t="s">
        <v>23393</v>
      </c>
      <c r="Z4430" t="s">
        <v>29748</v>
      </c>
      <c r="AA4430">
        <v>0.69424296686014597</v>
      </c>
      <c r="AB4430" t="str">
        <f>HYPERLINK("Melting_Curves/meltCurve_Q8N5I9_C12orf45.pdf", "Melting_Curves/meltCurve_Q8N5I9_C12orf45.pdf")</f>
        <v>Melting_Curves/meltCurve_Q8N5I9_C12orf45.pdf</v>
      </c>
    </row>
    <row r="4431" spans="1:28" x14ac:dyDescent="0.25">
      <c r="A4431" t="s">
        <v>4435</v>
      </c>
      <c r="B4431">
        <v>0.99542014353169495</v>
      </c>
      <c r="C4431">
        <v>0.89470802776356895</v>
      </c>
      <c r="D4431">
        <v>0.88956211753148096</v>
      </c>
      <c r="E4431">
        <v>0.70608366367109798</v>
      </c>
      <c r="F4431">
        <v>0.603911406854859</v>
      </c>
      <c r="G4431">
        <v>0.30623038855176099</v>
      </c>
      <c r="H4431">
        <v>0.24460655310517601</v>
      </c>
      <c r="I4431">
        <v>0.23321547250062999</v>
      </c>
      <c r="J4431">
        <v>0.460764269807097</v>
      </c>
      <c r="K4431">
        <v>0.75505569994621302</v>
      </c>
      <c r="L4431">
        <v>970.54574248812105</v>
      </c>
      <c r="M4431">
        <v>20.872301487071301</v>
      </c>
      <c r="N4431">
        <v>50.574679578231702</v>
      </c>
      <c r="O4431">
        <v>46.078687395818001</v>
      </c>
      <c r="P4431">
        <v>-6.7155352951391606E-2</v>
      </c>
      <c r="Q4431">
        <v>0.40699468329045302</v>
      </c>
      <c r="R4431">
        <v>0.69884563276011202</v>
      </c>
      <c r="S4431" t="s">
        <v>10833</v>
      </c>
      <c r="T4431" t="s">
        <v>12802</v>
      </c>
      <c r="U4431" t="s">
        <v>12802</v>
      </c>
      <c r="V4431" t="s">
        <v>12802</v>
      </c>
      <c r="W4431" t="s">
        <v>17174</v>
      </c>
      <c r="X4431">
        <v>10</v>
      </c>
      <c r="Y4431" t="s">
        <v>23394</v>
      </c>
      <c r="Z4431" t="s">
        <v>29749</v>
      </c>
      <c r="AA4431">
        <v>0.60188432599660013</v>
      </c>
      <c r="AB4431" t="str">
        <f>HYPERLINK("Melting_Curves/meltCurve_Q8N5K1_CISD2.pdf", "Melting_Curves/meltCurve_Q8N5K1_CISD2.pdf")</f>
        <v>Melting_Curves/meltCurve_Q8N5K1_CISD2.pdf</v>
      </c>
    </row>
    <row r="4432" spans="1:28" x14ac:dyDescent="0.25">
      <c r="A4432" t="s">
        <v>4436</v>
      </c>
      <c r="B4432">
        <v>0.99542014353169495</v>
      </c>
      <c r="C4432">
        <v>0.94325502450874399</v>
      </c>
      <c r="D4432">
        <v>0.91607623215504796</v>
      </c>
      <c r="E4432">
        <v>0.74268424853148896</v>
      </c>
      <c r="F4432">
        <v>0.66689416667036805</v>
      </c>
      <c r="G4432">
        <v>0.416597686520565</v>
      </c>
      <c r="H4432">
        <v>0.30672714168884202</v>
      </c>
      <c r="I4432">
        <v>0.23640030559285299</v>
      </c>
      <c r="J4432">
        <v>0.29551049104793897</v>
      </c>
      <c r="K4432">
        <v>0.27342696092179303</v>
      </c>
      <c r="L4432">
        <v>658.22283371539299</v>
      </c>
      <c r="M4432">
        <v>13.187221208630801</v>
      </c>
      <c r="N4432">
        <v>52.206511912969901</v>
      </c>
      <c r="O4432">
        <v>48.807761148087799</v>
      </c>
      <c r="P4432">
        <v>-5.2707700910715E-2</v>
      </c>
      <c r="Q4432">
        <v>0.21981590404491699</v>
      </c>
      <c r="R4432">
        <v>0.98436373697269897</v>
      </c>
      <c r="S4432" t="s">
        <v>10834</v>
      </c>
      <c r="T4432" t="s">
        <v>12802</v>
      </c>
      <c r="U4432" t="s">
        <v>12802</v>
      </c>
      <c r="V4432" t="s">
        <v>12802</v>
      </c>
      <c r="W4432" t="s">
        <v>17175</v>
      </c>
      <c r="X4432">
        <v>3</v>
      </c>
      <c r="Y4432" t="s">
        <v>23395</v>
      </c>
      <c r="Z4432" t="s">
        <v>29750</v>
      </c>
      <c r="AA4432">
        <v>0.57518442720842533</v>
      </c>
      <c r="AB4432" t="str">
        <f>HYPERLINK("Melting_Curves/meltCurve_Q8N5L8_RPP25L.pdf", "Melting_Curves/meltCurve_Q8N5L8_RPP25L.pdf")</f>
        <v>Melting_Curves/meltCurve_Q8N5L8_RPP25L.pdf</v>
      </c>
    </row>
    <row r="4433" spans="1:28" x14ac:dyDescent="0.25">
      <c r="A4433" t="s">
        <v>4437</v>
      </c>
      <c r="B4433">
        <v>0.99542014353169495</v>
      </c>
      <c r="C4433">
        <v>1.09357211472876</v>
      </c>
      <c r="D4433">
        <v>1.05066480392605</v>
      </c>
      <c r="E4433">
        <v>1.03076307484253</v>
      </c>
      <c r="F4433">
        <v>0.86455190722876296</v>
      </c>
      <c r="G4433">
        <v>0.70195202556155101</v>
      </c>
      <c r="H4433">
        <v>0.43573057069361898</v>
      </c>
      <c r="I4433">
        <v>0.29351817246929301</v>
      </c>
      <c r="J4433">
        <v>0.20176590904429401</v>
      </c>
      <c r="K4433">
        <v>0.13187265485483299</v>
      </c>
      <c r="L4433">
        <v>983.93071812668302</v>
      </c>
      <c r="M4433">
        <v>17.617684826578198</v>
      </c>
      <c r="N4433">
        <v>56.624066539069801</v>
      </c>
      <c r="O4433">
        <v>55.144379726320203</v>
      </c>
      <c r="P4433">
        <v>-7.1317793553900902E-2</v>
      </c>
      <c r="Q4433">
        <v>0.10713256539903999</v>
      </c>
      <c r="R4433">
        <v>0.98681591430232896</v>
      </c>
      <c r="S4433" t="s">
        <v>10835</v>
      </c>
      <c r="T4433" t="s">
        <v>12802</v>
      </c>
      <c r="U4433" t="s">
        <v>12802</v>
      </c>
      <c r="V4433" t="s">
        <v>12802</v>
      </c>
      <c r="W4433" t="s">
        <v>17176</v>
      </c>
      <c r="X4433">
        <v>3</v>
      </c>
      <c r="Y4433" t="s">
        <v>23396</v>
      </c>
      <c r="Z4433" t="s">
        <v>29751</v>
      </c>
      <c r="AA4433">
        <v>0.67831921324456312</v>
      </c>
      <c r="AB4433" t="str">
        <f>HYPERLINK("Melting_Curves/meltCurve_Q8N5M1_ATPAF2.pdf", "Melting_Curves/meltCurve_Q8N5M1_ATPAF2.pdf")</f>
        <v>Melting_Curves/meltCurve_Q8N5M1_ATPAF2.pdf</v>
      </c>
    </row>
    <row r="4434" spans="1:28" x14ac:dyDescent="0.25">
      <c r="A4434" t="s">
        <v>4438</v>
      </c>
      <c r="B4434">
        <v>0.99542014353169495</v>
      </c>
      <c r="C4434">
        <v>1.1510983782183399</v>
      </c>
      <c r="D4434">
        <v>0.85214445226215296</v>
      </c>
      <c r="E4434">
        <v>0.622631597122973</v>
      </c>
      <c r="F4434">
        <v>0.53593582836177001</v>
      </c>
      <c r="G4434">
        <v>0.37893248082745601</v>
      </c>
      <c r="H4434">
        <v>0.30187490617296397</v>
      </c>
      <c r="I4434">
        <v>0.22974700677593299</v>
      </c>
      <c r="J4434">
        <v>0.39212556489723599</v>
      </c>
      <c r="K4434">
        <v>0.35122659515182802</v>
      </c>
      <c r="L4434">
        <v>894.31945409312004</v>
      </c>
      <c r="M4434">
        <v>19.140104088771899</v>
      </c>
      <c r="N4434">
        <v>49.379467228180502</v>
      </c>
      <c r="O4434">
        <v>46.223817176975999</v>
      </c>
      <c r="P4434">
        <v>-7.0260005189777805E-2</v>
      </c>
      <c r="Q4434">
        <v>0.32130777561836599</v>
      </c>
      <c r="R4434">
        <v>0.93758443596238605</v>
      </c>
      <c r="S4434" t="s">
        <v>10836</v>
      </c>
      <c r="T4434" t="s">
        <v>12802</v>
      </c>
      <c r="U4434" t="s">
        <v>12802</v>
      </c>
      <c r="V4434" t="s">
        <v>12802</v>
      </c>
      <c r="W4434" t="s">
        <v>17177</v>
      </c>
      <c r="X4434">
        <v>2</v>
      </c>
      <c r="Y4434" t="s">
        <v>23397</v>
      </c>
      <c r="Z4434" t="s">
        <v>29752</v>
      </c>
      <c r="AA4434">
        <v>0.55099592727277169</v>
      </c>
      <c r="AB4434" t="str">
        <f>HYPERLINK("Melting_Curves/meltCurve_Q8N5M9_JAGN1.pdf", "Melting_Curves/meltCurve_Q8N5M9_JAGN1.pdf")</f>
        <v>Melting_Curves/meltCurve_Q8N5M9_JAGN1.pdf</v>
      </c>
    </row>
    <row r="4435" spans="1:28" x14ac:dyDescent="0.25">
      <c r="A4435" t="s">
        <v>4439</v>
      </c>
      <c r="B4435">
        <v>0.99542014353169495</v>
      </c>
      <c r="C4435">
        <v>1.04499250984039</v>
      </c>
      <c r="D4435">
        <v>0.944012507107447</v>
      </c>
      <c r="E4435">
        <v>0.74956814916501102</v>
      </c>
      <c r="F4435">
        <v>0.618316769663809</v>
      </c>
      <c r="G4435">
        <v>0.71727681024078505</v>
      </c>
      <c r="H4435">
        <v>0.70000102924268404</v>
      </c>
      <c r="I4435">
        <v>0.63478516039634103</v>
      </c>
      <c r="J4435">
        <v>0.527605396793696</v>
      </c>
      <c r="K4435">
        <v>0.499288887296929</v>
      </c>
      <c r="L4435">
        <v>1286.2039657929599</v>
      </c>
      <c r="M4435">
        <v>28.1300983806738</v>
      </c>
      <c r="O4435">
        <v>45.494218130937099</v>
      </c>
      <c r="P4435">
        <v>-6.0335272015714099E-2</v>
      </c>
      <c r="Q4435">
        <v>0.60968750276402295</v>
      </c>
      <c r="R4435">
        <v>0.87611484465146305</v>
      </c>
      <c r="S4435" t="s">
        <v>10837</v>
      </c>
      <c r="T4435" t="s">
        <v>12802</v>
      </c>
      <c r="U4435" t="s">
        <v>12802</v>
      </c>
      <c r="V4435" t="s">
        <v>12802</v>
      </c>
      <c r="W4435" t="s">
        <v>17178</v>
      </c>
      <c r="X4435">
        <v>6</v>
      </c>
      <c r="Y4435" t="s">
        <v>23398</v>
      </c>
      <c r="Z4435" t="s">
        <v>29753</v>
      </c>
      <c r="AA4435">
        <v>0.72571146229011907</v>
      </c>
      <c r="AB4435" t="str">
        <f>HYPERLINK("Melting_Curves/meltCurve_Q8N5N7_MRPL50.pdf", "Melting_Curves/meltCurve_Q8N5N7_MRPL50.pdf")</f>
        <v>Melting_Curves/meltCurve_Q8N5N7_MRPL50.pdf</v>
      </c>
    </row>
    <row r="4436" spans="1:28" x14ac:dyDescent="0.25">
      <c r="A4436" t="s">
        <v>4440</v>
      </c>
      <c r="B4436">
        <v>0.99542014353169495</v>
      </c>
      <c r="C4436">
        <v>1.05192784019976</v>
      </c>
      <c r="D4436">
        <v>1.02420654798609</v>
      </c>
      <c r="E4436">
        <v>0.87415371352348104</v>
      </c>
      <c r="F4436">
        <v>0.59546210572955605</v>
      </c>
      <c r="G4436">
        <v>0.50611741517114595</v>
      </c>
      <c r="H4436">
        <v>0.26627764108940399</v>
      </c>
      <c r="I4436">
        <v>0.238123037424261</v>
      </c>
      <c r="J4436">
        <v>0.44214190563417799</v>
      </c>
      <c r="K4436">
        <v>0.65887016388182396</v>
      </c>
      <c r="L4436">
        <v>1463.97784406251</v>
      </c>
      <c r="M4436">
        <v>29.9719969753497</v>
      </c>
      <c r="N4436">
        <v>51.873473264963401</v>
      </c>
      <c r="O4436">
        <v>48.628986114521702</v>
      </c>
      <c r="P4436">
        <v>-9.0432363759793299E-2</v>
      </c>
      <c r="Q4436">
        <v>0.41310508473581498</v>
      </c>
      <c r="R4436">
        <v>0.85533516268785803</v>
      </c>
      <c r="S4436" t="s">
        <v>10838</v>
      </c>
      <c r="T4436" t="s">
        <v>12802</v>
      </c>
      <c r="U4436" t="s">
        <v>12802</v>
      </c>
      <c r="V4436" t="s">
        <v>12802</v>
      </c>
      <c r="W4436" t="s">
        <v>17179</v>
      </c>
      <c r="X4436">
        <v>7</v>
      </c>
      <c r="Y4436" t="s">
        <v>23399</v>
      </c>
      <c r="Z4436" t="s">
        <v>29754</v>
      </c>
      <c r="AA4436">
        <v>0.64836470504768451</v>
      </c>
      <c r="AB4436" t="str">
        <f>HYPERLINK("Melting_Curves/meltCurve_Q8N5P1_ZC3H8.pdf", "Melting_Curves/meltCurve_Q8N5P1_ZC3H8.pdf")</f>
        <v>Melting_Curves/meltCurve_Q8N5P1_ZC3H8.pdf</v>
      </c>
    </row>
    <row r="4437" spans="1:28" x14ac:dyDescent="0.25">
      <c r="A4437" t="s">
        <v>4441</v>
      </c>
      <c r="B4437">
        <v>0.99542014353169495</v>
      </c>
      <c r="C4437">
        <v>0.92229287592233899</v>
      </c>
      <c r="D4437">
        <v>0.90864842848342597</v>
      </c>
      <c r="E4437">
        <v>0.67217993657381603</v>
      </c>
      <c r="F4437">
        <v>0.33532629050815099</v>
      </c>
      <c r="G4437">
        <v>0.18968514307307</v>
      </c>
      <c r="H4437">
        <v>8.6554493630501106E-2</v>
      </c>
      <c r="I4437">
        <v>8.0539140518047697E-2</v>
      </c>
      <c r="J4437">
        <v>8.6859711606961598E-2</v>
      </c>
      <c r="K4437">
        <v>8.5201307328677894E-2</v>
      </c>
      <c r="L4437">
        <v>904.45174827130597</v>
      </c>
      <c r="M4437">
        <v>18.864288965768498</v>
      </c>
      <c r="N4437">
        <v>48.330236332068402</v>
      </c>
      <c r="O4437">
        <v>47.416144407113102</v>
      </c>
      <c r="P4437">
        <v>-9.2525400968058405E-2</v>
      </c>
      <c r="Q4437">
        <v>6.9772971362512801E-2</v>
      </c>
      <c r="R4437">
        <v>0.99666150251656704</v>
      </c>
      <c r="S4437" t="s">
        <v>10839</v>
      </c>
      <c r="T4437" t="s">
        <v>12802</v>
      </c>
      <c r="U4437" t="s">
        <v>12802</v>
      </c>
      <c r="V4437" t="s">
        <v>12802</v>
      </c>
      <c r="W4437" t="s">
        <v>17180</v>
      </c>
      <c r="X4437">
        <v>2</v>
      </c>
      <c r="Y4437" t="s">
        <v>23400</v>
      </c>
      <c r="Z4437" t="s">
        <v>29755</v>
      </c>
      <c r="AA4437">
        <v>0.42279445258497023</v>
      </c>
      <c r="AB4437" t="str">
        <f>HYPERLINK("Melting_Curves/meltCurve_Q8N5W9_FAM101B.pdf", "Melting_Curves/meltCurve_Q8N5W9_FAM101B.pdf")</f>
        <v>Melting_Curves/meltCurve_Q8N5W9_FAM101B.pdf</v>
      </c>
    </row>
    <row r="4438" spans="1:28" x14ac:dyDescent="0.25">
      <c r="A4438" t="s">
        <v>4442</v>
      </c>
      <c r="B4438">
        <v>0.99542014353169495</v>
      </c>
      <c r="C4438">
        <v>0.93288013928992397</v>
      </c>
      <c r="D4438">
        <v>0.84968076320917796</v>
      </c>
      <c r="E4438">
        <v>0.53058623656631898</v>
      </c>
      <c r="F4438">
        <v>0.309566100067246</v>
      </c>
      <c r="G4438">
        <v>0.181112346871421</v>
      </c>
      <c r="H4438">
        <v>0.129901146510703</v>
      </c>
      <c r="I4438">
        <v>0.12596327507805799</v>
      </c>
      <c r="J4438">
        <v>0.101303918626804</v>
      </c>
      <c r="K4438">
        <v>0.117578198954225</v>
      </c>
      <c r="L4438">
        <v>820.41999597372705</v>
      </c>
      <c r="M4438">
        <v>17.636219362520801</v>
      </c>
      <c r="N4438">
        <v>47.155452713227497</v>
      </c>
      <c r="O4438">
        <v>45.9333133474641</v>
      </c>
      <c r="P4438">
        <v>-8.5827054447522103E-2</v>
      </c>
      <c r="Q4438">
        <v>0.105905938091054</v>
      </c>
      <c r="R4438">
        <v>0.99872813745502498</v>
      </c>
      <c r="S4438" t="s">
        <v>10840</v>
      </c>
      <c r="T4438" t="s">
        <v>12802</v>
      </c>
      <c r="U4438" t="s">
        <v>12802</v>
      </c>
      <c r="V4438" t="s">
        <v>12802</v>
      </c>
      <c r="W4438" t="s">
        <v>17181</v>
      </c>
      <c r="X4438">
        <v>2</v>
      </c>
      <c r="Y4438" t="s">
        <v>23401</v>
      </c>
      <c r="Z4438" t="s">
        <v>29756</v>
      </c>
      <c r="AA4438">
        <v>0.40457849645390709</v>
      </c>
      <c r="AB4438" t="str">
        <f>HYPERLINK("Melting_Curves/meltCurve_Q8N612_FAM160A2.pdf", "Melting_Curves/meltCurve_Q8N612_FAM160A2.pdf")</f>
        <v>Melting_Curves/meltCurve_Q8N612_FAM160A2.pdf</v>
      </c>
    </row>
    <row r="4439" spans="1:28" x14ac:dyDescent="0.25">
      <c r="A4439" t="s">
        <v>4443</v>
      </c>
      <c r="B4439">
        <v>0.99542014353169495</v>
      </c>
      <c r="C4439">
        <v>0.77652850299767595</v>
      </c>
      <c r="D4439">
        <v>0.62338094378210396</v>
      </c>
      <c r="E4439">
        <v>0.24759336597125201</v>
      </c>
      <c r="F4439">
        <v>0.14426376398620699</v>
      </c>
      <c r="G4439">
        <v>9.92984784452728E-2</v>
      </c>
      <c r="H4439">
        <v>5.3590868570204099E-2</v>
      </c>
      <c r="I4439">
        <v>4.5227921359707601E-2</v>
      </c>
      <c r="J4439">
        <v>3.4543395114278799E-2</v>
      </c>
      <c r="K4439">
        <v>0</v>
      </c>
      <c r="L4439">
        <v>706.25577997358198</v>
      </c>
      <c r="M4439">
        <v>16.1601555025232</v>
      </c>
      <c r="N4439">
        <v>43.858836839113501</v>
      </c>
      <c r="O4439">
        <v>43.050728708452702</v>
      </c>
      <c r="P4439">
        <v>-9.1240822603657401E-2</v>
      </c>
      <c r="Q4439">
        <v>2.78094562955194E-2</v>
      </c>
      <c r="R4439">
        <v>0.99116145237820996</v>
      </c>
      <c r="S4439" t="s">
        <v>10841</v>
      </c>
      <c r="T4439" t="s">
        <v>12802</v>
      </c>
      <c r="U4439" t="s">
        <v>12802</v>
      </c>
      <c r="V4439" t="s">
        <v>12802</v>
      </c>
      <c r="W4439" t="s">
        <v>17182</v>
      </c>
      <c r="X4439">
        <v>2</v>
      </c>
      <c r="Y4439" t="s">
        <v>23402</v>
      </c>
      <c r="Z4439" t="s">
        <v>29757</v>
      </c>
      <c r="AA4439">
        <v>0.26599648374952323</v>
      </c>
      <c r="AB4439" t="str">
        <f>HYPERLINK("Melting_Curves/meltCurve_Q8N653_LZTR1.pdf", "Melting_Curves/meltCurve_Q8N653_LZTR1.pdf")</f>
        <v>Melting_Curves/meltCurve_Q8N653_LZTR1.pdf</v>
      </c>
    </row>
    <row r="4440" spans="1:28" x14ac:dyDescent="0.25">
      <c r="A4440" t="s">
        <v>4444</v>
      </c>
      <c r="B4440">
        <v>0.99542014353169495</v>
      </c>
      <c r="C4440">
        <v>1.0051940729031399</v>
      </c>
      <c r="D4440">
        <v>0.93971753809187897</v>
      </c>
      <c r="E4440">
        <v>0.81057514384418705</v>
      </c>
      <c r="F4440">
        <v>0.58956468253445404</v>
      </c>
      <c r="G4440">
        <v>0.320719222512583</v>
      </c>
      <c r="H4440">
        <v>0.107629988208607</v>
      </c>
      <c r="I4440">
        <v>5.9280534251794803E-2</v>
      </c>
      <c r="J4440">
        <v>5.9898883740592102E-2</v>
      </c>
      <c r="K4440">
        <v>6.7822189829564603E-2</v>
      </c>
      <c r="L4440">
        <v>864.60288067974795</v>
      </c>
      <c r="M4440">
        <v>16.982780689028601</v>
      </c>
      <c r="N4440">
        <v>51.051528792471103</v>
      </c>
      <c r="O4440">
        <v>50.220384171646401</v>
      </c>
      <c r="P4440">
        <v>-8.2609927820173998E-2</v>
      </c>
      <c r="Q4440">
        <v>2.29056087409319E-2</v>
      </c>
      <c r="R4440">
        <v>0.99704795134622404</v>
      </c>
      <c r="S4440" t="s">
        <v>10842</v>
      </c>
      <c r="T4440" t="s">
        <v>12802</v>
      </c>
      <c r="U4440" t="s">
        <v>12802</v>
      </c>
      <c r="V4440" t="s">
        <v>12802</v>
      </c>
      <c r="W4440" t="s">
        <v>17183</v>
      </c>
      <c r="X4440">
        <v>10</v>
      </c>
      <c r="Y4440" t="s">
        <v>23403</v>
      </c>
      <c r="Z4440" t="s">
        <v>29758</v>
      </c>
      <c r="AA4440">
        <v>0.49255512088065728</v>
      </c>
      <c r="AB4440" t="str">
        <f>HYPERLINK("Melting_Curves/meltCurve_Q8N684_2_CPSF7.pdf", "Melting_Curves/meltCurve_Q8N684_2_CPSF7.pdf")</f>
        <v>Melting_Curves/meltCurve_Q8N684_2_CPSF7.pdf</v>
      </c>
    </row>
    <row r="4441" spans="1:28" x14ac:dyDescent="0.25">
      <c r="A4441" t="s">
        <v>4445</v>
      </c>
      <c r="B4441">
        <v>0.99542014353169495</v>
      </c>
      <c r="C4441">
        <v>1.03949596168845</v>
      </c>
      <c r="D4441">
        <v>1.0968587731436801</v>
      </c>
      <c r="E4441">
        <v>0.92838986634263199</v>
      </c>
      <c r="F4441">
        <v>0.69102174286100804</v>
      </c>
      <c r="G4441">
        <v>0.400910542707061</v>
      </c>
      <c r="H4441">
        <v>0.31896469262249799</v>
      </c>
      <c r="I4441">
        <v>0.35135512870249802</v>
      </c>
      <c r="J4441">
        <v>0.64608061313842802</v>
      </c>
      <c r="K4441">
        <v>0.91949175528012494</v>
      </c>
      <c r="L4441">
        <v>2454.4016449570399</v>
      </c>
      <c r="M4441">
        <v>49.749390522016299</v>
      </c>
      <c r="O4441">
        <v>49.255791175470399</v>
      </c>
      <c r="P4441">
        <v>-0.11897338032488999</v>
      </c>
      <c r="Q4441">
        <v>0.52882856807443301</v>
      </c>
      <c r="R4441">
        <v>0.65918817446539602</v>
      </c>
      <c r="S4441" t="s">
        <v>10843</v>
      </c>
      <c r="T4441" t="s">
        <v>12802</v>
      </c>
      <c r="U4441" t="s">
        <v>12802</v>
      </c>
      <c r="V4441" t="s">
        <v>12802</v>
      </c>
      <c r="W4441" t="s">
        <v>17184</v>
      </c>
      <c r="X4441">
        <v>4</v>
      </c>
      <c r="Y4441" t="s">
        <v>23404</v>
      </c>
      <c r="Z4441" t="s">
        <v>29759</v>
      </c>
      <c r="AA4441">
        <v>0.72359915620763748</v>
      </c>
      <c r="AB4441" t="str">
        <f>HYPERLINK("Melting_Curves/meltCurve_Q8N697_SLC15A4.pdf", "Melting_Curves/meltCurve_Q8N697_SLC15A4.pdf")</f>
        <v>Melting_Curves/meltCurve_Q8N697_SLC15A4.pdf</v>
      </c>
    </row>
    <row r="4442" spans="1:28" x14ac:dyDescent="0.25">
      <c r="A4442" t="s">
        <v>4446</v>
      </c>
      <c r="B4442">
        <v>0.99542014353169495</v>
      </c>
      <c r="C4442">
        <v>0.96627883541958604</v>
      </c>
      <c r="D4442">
        <v>0.85009805244047498</v>
      </c>
      <c r="E4442">
        <v>0.70097763386603096</v>
      </c>
      <c r="F4442">
        <v>0.38342017272398898</v>
      </c>
      <c r="G4442">
        <v>0.114532889043976</v>
      </c>
      <c r="H4442">
        <v>5.0794542794151402E-2</v>
      </c>
      <c r="I4442">
        <v>2.8504615832750699E-2</v>
      </c>
      <c r="J4442">
        <v>3.1193070696790899E-2</v>
      </c>
      <c r="K4442">
        <v>3.2115448615054901E-2</v>
      </c>
      <c r="L4442">
        <v>846.70359256651398</v>
      </c>
      <c r="M4442">
        <v>17.446129750466799</v>
      </c>
      <c r="N4442">
        <v>48.550399147397002</v>
      </c>
      <c r="O4442">
        <v>47.908272478156199</v>
      </c>
      <c r="P4442">
        <v>-9.0751809412961806E-2</v>
      </c>
      <c r="Q4442">
        <v>3.2127735034790301E-3</v>
      </c>
      <c r="R4442">
        <v>0.99563709308272597</v>
      </c>
      <c r="S4442" t="s">
        <v>10844</v>
      </c>
      <c r="T4442" t="s">
        <v>12802</v>
      </c>
      <c r="U4442" t="s">
        <v>12802</v>
      </c>
      <c r="V4442" t="s">
        <v>12802</v>
      </c>
      <c r="W4442" t="s">
        <v>17185</v>
      </c>
      <c r="X4442">
        <v>16</v>
      </c>
      <c r="Y4442" t="s">
        <v>23405</v>
      </c>
      <c r="Z4442" t="s">
        <v>29760</v>
      </c>
      <c r="AA4442">
        <v>0.40318955021429742</v>
      </c>
      <c r="AB4442" t="str">
        <f>HYPERLINK("Melting_Curves/meltCurve_Q8N6H7_ARFGAP2.pdf", "Melting_Curves/meltCurve_Q8N6H7_ARFGAP2.pdf")</f>
        <v>Melting_Curves/meltCurve_Q8N6H7_ARFGAP2.pdf</v>
      </c>
    </row>
    <row r="4443" spans="1:28" x14ac:dyDescent="0.25">
      <c r="A4443" t="s">
        <v>4447</v>
      </c>
      <c r="B4443">
        <v>0.99542014353169495</v>
      </c>
      <c r="C4443">
        <v>1.02407650353661</v>
      </c>
      <c r="D4443">
        <v>0.92079054014636597</v>
      </c>
      <c r="E4443">
        <v>0.44406726730188401</v>
      </c>
      <c r="F4443">
        <v>0.152806666395461</v>
      </c>
      <c r="G4443">
        <v>9.74718705640749E-2</v>
      </c>
      <c r="H4443">
        <v>8.9421490332108305E-2</v>
      </c>
      <c r="I4443">
        <v>5.40058813372538E-2</v>
      </c>
      <c r="J4443">
        <v>4.6016350853856101E-2</v>
      </c>
      <c r="K4443">
        <v>5.6660060789395499E-2</v>
      </c>
      <c r="L4443">
        <v>1438.7655920868899</v>
      </c>
      <c r="M4443">
        <v>31.219736829740999</v>
      </c>
      <c r="N4443">
        <v>46.303069770558501</v>
      </c>
      <c r="O4443">
        <v>45.897281990470198</v>
      </c>
      <c r="P4443">
        <v>-0.15843427408371699</v>
      </c>
      <c r="Q4443">
        <v>6.8325003865895906E-2</v>
      </c>
      <c r="R4443">
        <v>0.99809237441124599</v>
      </c>
      <c r="S4443" t="s">
        <v>10845</v>
      </c>
      <c r="T4443" t="s">
        <v>12802</v>
      </c>
      <c r="U4443" t="s">
        <v>12802</v>
      </c>
      <c r="V4443" t="s">
        <v>12802</v>
      </c>
      <c r="W4443" t="s">
        <v>17186</v>
      </c>
      <c r="X4443">
        <v>14</v>
      </c>
      <c r="Y4443" t="s">
        <v>23406</v>
      </c>
      <c r="Z4443" t="s">
        <v>29761</v>
      </c>
      <c r="AA4443">
        <v>0.35537980956600529</v>
      </c>
      <c r="AB4443" t="str">
        <f>HYPERLINK("Melting_Curves/meltCurve_Q8N6M0_OTUD6B.pdf", "Melting_Curves/meltCurve_Q8N6M0_OTUD6B.pdf")</f>
        <v>Melting_Curves/meltCurve_Q8N6M0_OTUD6B.pdf</v>
      </c>
    </row>
    <row r="4444" spans="1:28" x14ac:dyDescent="0.25">
      <c r="A4444" t="s">
        <v>4448</v>
      </c>
      <c r="B4444">
        <v>0.99542014353169495</v>
      </c>
      <c r="C4444">
        <v>0.96188184736420201</v>
      </c>
      <c r="D4444">
        <v>0.96653905132407802</v>
      </c>
      <c r="E4444">
        <v>0.91904267476192802</v>
      </c>
      <c r="F4444">
        <v>0.79459803541374696</v>
      </c>
      <c r="G4444">
        <v>0.67830533848844898</v>
      </c>
      <c r="H4444">
        <v>0.60367126951333605</v>
      </c>
      <c r="I4444">
        <v>0.57481190944302296</v>
      </c>
      <c r="J4444">
        <v>0.91802343721573798</v>
      </c>
      <c r="K4444">
        <v>1.12052690134519</v>
      </c>
      <c r="L4444">
        <v>2258.1470390264499</v>
      </c>
      <c r="M4444">
        <v>47.951849897595103</v>
      </c>
      <c r="O4444">
        <v>47.010286419606103</v>
      </c>
      <c r="P4444">
        <v>-5.6142405019062501E-2</v>
      </c>
      <c r="Q4444">
        <v>0.779840168646453</v>
      </c>
      <c r="R4444">
        <v>0.25960459232015898</v>
      </c>
      <c r="S4444" t="s">
        <v>10846</v>
      </c>
      <c r="T4444" t="s">
        <v>12802</v>
      </c>
      <c r="U4444" t="s">
        <v>12802</v>
      </c>
      <c r="V4444" t="s">
        <v>12802</v>
      </c>
      <c r="W4444" t="s">
        <v>17187</v>
      </c>
      <c r="X4444">
        <v>9</v>
      </c>
      <c r="Y4444" t="s">
        <v>23407</v>
      </c>
      <c r="Z4444" t="s">
        <v>29762</v>
      </c>
      <c r="AA4444">
        <v>0.854399181890802</v>
      </c>
      <c r="AB4444" t="str">
        <f>HYPERLINK("Melting_Curves/meltCurve_Q8N6N3_C1orf52.pdf", "Melting_Curves/meltCurve_Q8N6N3_C1orf52.pdf")</f>
        <v>Melting_Curves/meltCurve_Q8N6N3_C1orf52.pdf</v>
      </c>
    </row>
    <row r="4445" spans="1:28" x14ac:dyDescent="0.25">
      <c r="A4445" t="s">
        <v>4449</v>
      </c>
      <c r="B4445">
        <v>0.99542014353169495</v>
      </c>
      <c r="C4445">
        <v>0.86014604683021101</v>
      </c>
      <c r="D4445">
        <v>0.904855728318821</v>
      </c>
      <c r="E4445">
        <v>0.60606610844116304</v>
      </c>
      <c r="F4445">
        <v>0.496444306832941</v>
      </c>
      <c r="G4445">
        <v>0.26153642249331599</v>
      </c>
      <c r="H4445">
        <v>0.169790083100304</v>
      </c>
      <c r="I4445">
        <v>0.12880729382464201</v>
      </c>
      <c r="J4445">
        <v>0.12689642225441899</v>
      </c>
      <c r="K4445">
        <v>0.17925951212719601</v>
      </c>
      <c r="L4445">
        <v>632.27125996403004</v>
      </c>
      <c r="M4445">
        <v>13.120436669888701</v>
      </c>
      <c r="N4445">
        <v>49.0464629081346</v>
      </c>
      <c r="O4445">
        <v>47.111577029977397</v>
      </c>
      <c r="P4445">
        <v>-6.2505333382941106E-2</v>
      </c>
      <c r="Q4445">
        <v>0.10240090409914</v>
      </c>
      <c r="R4445">
        <v>0.9802505299091</v>
      </c>
      <c r="S4445" t="s">
        <v>10847</v>
      </c>
      <c r="T4445" t="s">
        <v>12802</v>
      </c>
      <c r="U4445" t="s">
        <v>12802</v>
      </c>
      <c r="V4445" t="s">
        <v>12802</v>
      </c>
      <c r="W4445" t="s">
        <v>17188</v>
      </c>
      <c r="X4445">
        <v>3</v>
      </c>
      <c r="Y4445" t="s">
        <v>23408</v>
      </c>
      <c r="Z4445" t="s">
        <v>29763</v>
      </c>
      <c r="AA4445">
        <v>0.46158031674312588</v>
      </c>
      <c r="AB4445" t="str">
        <f>HYPERLINK("Melting_Curves/meltCurve_Q8N6S5_ARL6IP6.pdf", "Melting_Curves/meltCurve_Q8N6S5_ARL6IP6.pdf")</f>
        <v>Melting_Curves/meltCurve_Q8N6S5_ARL6IP6.pdf</v>
      </c>
    </row>
    <row r="4446" spans="1:28" x14ac:dyDescent="0.25">
      <c r="A4446" t="s">
        <v>4450</v>
      </c>
      <c r="B4446">
        <v>0.99542014353169495</v>
      </c>
      <c r="C4446">
        <v>1.02575441836426</v>
      </c>
      <c r="D4446">
        <v>0.90557296156531997</v>
      </c>
      <c r="E4446">
        <v>0.784448230187625</v>
      </c>
      <c r="F4446">
        <v>0.27070422227997898</v>
      </c>
      <c r="G4446">
        <v>0.137636932234423</v>
      </c>
      <c r="H4446">
        <v>9.20833692331023E-2</v>
      </c>
      <c r="I4446">
        <v>7.3200300649902197E-2</v>
      </c>
      <c r="J4446">
        <v>8.6188837389222603E-2</v>
      </c>
      <c r="K4446">
        <v>8.0811713138573396E-2</v>
      </c>
      <c r="L4446">
        <v>1490.9951181829399</v>
      </c>
      <c r="M4446">
        <v>30.940811848730899</v>
      </c>
      <c r="N4446">
        <v>48.473434276199796</v>
      </c>
      <c r="O4446">
        <v>47.988669472726798</v>
      </c>
      <c r="P4446">
        <v>-0.14779189203646501</v>
      </c>
      <c r="Q4446">
        <v>8.3114516554835496E-2</v>
      </c>
      <c r="R4446">
        <v>0.99541739174475996</v>
      </c>
      <c r="S4446" t="s">
        <v>10848</v>
      </c>
      <c r="T4446" t="s">
        <v>12802</v>
      </c>
      <c r="U4446" t="s">
        <v>12802</v>
      </c>
      <c r="V4446" t="s">
        <v>12802</v>
      </c>
      <c r="W4446" t="s">
        <v>17189</v>
      </c>
      <c r="X4446">
        <v>14</v>
      </c>
      <c r="Y4446" t="s">
        <v>23409</v>
      </c>
      <c r="Z4446" t="s">
        <v>29764</v>
      </c>
      <c r="AA4446">
        <v>0.43019266422926922</v>
      </c>
      <c r="AB4446" t="str">
        <f>HYPERLINK("Melting_Curves/meltCurve_Q8N6T3_ARFGAP1.pdf", "Melting_Curves/meltCurve_Q8N6T3_ARFGAP1.pdf")</f>
        <v>Melting_Curves/meltCurve_Q8N6T3_ARFGAP1.pdf</v>
      </c>
    </row>
    <row r="4447" spans="1:28" x14ac:dyDescent="0.25">
      <c r="A4447" t="s">
        <v>4451</v>
      </c>
      <c r="B4447">
        <v>0.99542014353169495</v>
      </c>
      <c r="C4447">
        <v>0.94519596672164297</v>
      </c>
      <c r="D4447">
        <v>0.955474055783049</v>
      </c>
      <c r="E4447">
        <v>0.67972911200076003</v>
      </c>
      <c r="F4447">
        <v>0.57939661413433696</v>
      </c>
      <c r="G4447">
        <v>0.26036957937218802</v>
      </c>
      <c r="H4447">
        <v>0.10965021054794</v>
      </c>
      <c r="I4447">
        <v>5.9243069165682699E-2</v>
      </c>
      <c r="J4447">
        <v>5.3583437268438401E-2</v>
      </c>
      <c r="K4447">
        <v>5.4165164806907799E-2</v>
      </c>
      <c r="L4447">
        <v>715.82127511015301</v>
      </c>
      <c r="M4447">
        <v>14.2520179029706</v>
      </c>
      <c r="N4447">
        <v>50.227722665352402</v>
      </c>
      <c r="O4447">
        <v>49.268153321801499</v>
      </c>
      <c r="P4447">
        <v>-7.2309508037510295E-2</v>
      </c>
      <c r="Q4447">
        <v>2.4927248371652298E-4</v>
      </c>
      <c r="R4447">
        <v>0.98901474696916503</v>
      </c>
      <c r="S4447" t="s">
        <v>10849</v>
      </c>
      <c r="T4447" t="s">
        <v>12802</v>
      </c>
      <c r="U4447" t="s">
        <v>12802</v>
      </c>
      <c r="V4447" t="s">
        <v>12802</v>
      </c>
      <c r="W4447" t="s">
        <v>17190</v>
      </c>
      <c r="X4447">
        <v>18</v>
      </c>
      <c r="Y4447" t="s">
        <v>23410</v>
      </c>
      <c r="Z4447" t="s">
        <v>29765</v>
      </c>
      <c r="AA4447">
        <v>0.46326703735406061</v>
      </c>
      <c r="AB4447" t="str">
        <f>HYPERLINK("Melting_Curves/meltCurve_Q8N766_3_EMC1.pdf", "Melting_Curves/meltCurve_Q8N766_3_EMC1.pdf")</f>
        <v>Melting_Curves/meltCurve_Q8N766_3_EMC1.pdf</v>
      </c>
    </row>
    <row r="4448" spans="1:28" x14ac:dyDescent="0.25">
      <c r="A4448" t="s">
        <v>4452</v>
      </c>
      <c r="B4448">
        <v>0.99542014353169495</v>
      </c>
      <c r="C4448">
        <v>0.97047636185247699</v>
      </c>
      <c r="D4448">
        <v>0.90001467199576501</v>
      </c>
      <c r="E4448">
        <v>0.83293580657021904</v>
      </c>
      <c r="F4448">
        <v>0.50698388385056903</v>
      </c>
      <c r="G4448">
        <v>0.212410059942471</v>
      </c>
      <c r="H4448">
        <v>0.12901356365019301</v>
      </c>
      <c r="I4448">
        <v>8.0020311206238398E-2</v>
      </c>
      <c r="J4448">
        <v>8.6130792124648206E-2</v>
      </c>
      <c r="K4448">
        <v>9.5797512902815907E-2</v>
      </c>
      <c r="L4448">
        <v>1027.34837131362</v>
      </c>
      <c r="M4448">
        <v>20.647909383789699</v>
      </c>
      <c r="N4448">
        <v>50.137188101871097</v>
      </c>
      <c r="O4448">
        <v>49.295911166141003</v>
      </c>
      <c r="P4448">
        <v>-9.7102296497351498E-2</v>
      </c>
      <c r="Q4448">
        <v>7.2717909465363606E-2</v>
      </c>
      <c r="R4448">
        <v>0.99569770822190795</v>
      </c>
      <c r="S4448" t="s">
        <v>10850</v>
      </c>
      <c r="T4448" t="s">
        <v>12802</v>
      </c>
      <c r="U4448" t="s">
        <v>12802</v>
      </c>
      <c r="V4448" t="s">
        <v>12802</v>
      </c>
      <c r="W4448" t="s">
        <v>17191</v>
      </c>
      <c r="X4448">
        <v>12</v>
      </c>
      <c r="Y4448" t="s">
        <v>23411</v>
      </c>
      <c r="Z4448" t="s">
        <v>29766</v>
      </c>
      <c r="AA4448">
        <v>0.47852771021748552</v>
      </c>
      <c r="AB4448" t="str">
        <f>HYPERLINK("Melting_Curves/meltCurve_Q8N806_UBR7.pdf", "Melting_Curves/meltCurve_Q8N806_UBR7.pdf")</f>
        <v>Melting_Curves/meltCurve_Q8N806_UBR7.pdf</v>
      </c>
    </row>
    <row r="4449" spans="1:28" x14ac:dyDescent="0.25">
      <c r="A4449" t="s">
        <v>4453</v>
      </c>
      <c r="B4449">
        <v>0.99542014353169495</v>
      </c>
      <c r="C4449">
        <v>1.1449944627697499</v>
      </c>
      <c r="D4449">
        <v>0.97601401615065597</v>
      </c>
      <c r="E4449">
        <v>1.0809536126241901</v>
      </c>
      <c r="F4449">
        <v>0.84209669053173297</v>
      </c>
      <c r="G4449">
        <v>0.51488017881406101</v>
      </c>
      <c r="H4449">
        <v>0.41284387524460098</v>
      </c>
      <c r="I4449">
        <v>0.443809453435349</v>
      </c>
      <c r="J4449">
        <v>0.497749152411395</v>
      </c>
      <c r="K4449">
        <v>0.65909464568255105</v>
      </c>
      <c r="L4449">
        <v>4928.0264543997801</v>
      </c>
      <c r="M4449">
        <v>97.408739226859694</v>
      </c>
      <c r="O4449">
        <v>50.569902548680702</v>
      </c>
      <c r="P4449">
        <v>-0.23819364493835599</v>
      </c>
      <c r="Q4449">
        <v>0.50536558632822703</v>
      </c>
      <c r="R4449">
        <v>0.91063395069755904</v>
      </c>
      <c r="S4449" t="s">
        <v>10851</v>
      </c>
      <c r="T4449" t="s">
        <v>12802</v>
      </c>
      <c r="U4449" t="s">
        <v>12802</v>
      </c>
      <c r="V4449" t="s">
        <v>12802</v>
      </c>
      <c r="W4449" t="s">
        <v>17192</v>
      </c>
      <c r="X4449">
        <v>2</v>
      </c>
      <c r="Y4449" t="s">
        <v>23412</v>
      </c>
      <c r="Z4449" t="s">
        <v>29767</v>
      </c>
      <c r="AA4449">
        <v>0.72974464349492618</v>
      </c>
      <c r="AB4449" t="str">
        <f>HYPERLINK("Melting_Curves/meltCurve_Q8N8J7_C4orf32.pdf", "Melting_Curves/meltCurve_Q8N8J7_C4orf32.pdf")</f>
        <v>Melting_Curves/meltCurve_Q8N8J7_C4orf32.pdf</v>
      </c>
    </row>
    <row r="4450" spans="1:28" x14ac:dyDescent="0.25">
      <c r="A4450" t="s">
        <v>4454</v>
      </c>
      <c r="B4450">
        <v>0.99542014353169495</v>
      </c>
      <c r="C4450">
        <v>0.98258297879496304</v>
      </c>
      <c r="D4450">
        <v>0.92773262711285998</v>
      </c>
      <c r="E4450">
        <v>0.67462739295926899</v>
      </c>
      <c r="F4450">
        <v>0.193931547833051</v>
      </c>
      <c r="G4450">
        <v>0.146850101612468</v>
      </c>
      <c r="H4450">
        <v>7.2775542683685093E-2</v>
      </c>
      <c r="I4450">
        <v>5.9768866420806803E-2</v>
      </c>
      <c r="J4450">
        <v>6.70901516238748E-2</v>
      </c>
      <c r="K4450">
        <v>4.1129090916805902E-2</v>
      </c>
      <c r="L4450">
        <v>1372.6020874523199</v>
      </c>
      <c r="M4450">
        <v>28.913625612841098</v>
      </c>
      <c r="N4450">
        <v>47.703090152583897</v>
      </c>
      <c r="O4450">
        <v>47.247157331695597</v>
      </c>
      <c r="P4450">
        <v>-0.143014631385979</v>
      </c>
      <c r="Q4450">
        <v>6.5218139555782498E-2</v>
      </c>
      <c r="R4450">
        <v>0.99648952286163905</v>
      </c>
      <c r="S4450" t="s">
        <v>10852</v>
      </c>
      <c r="T4450" t="s">
        <v>12802</v>
      </c>
      <c r="U4450" t="s">
        <v>12802</v>
      </c>
      <c r="V4450" t="s">
        <v>12802</v>
      </c>
      <c r="W4450" t="s">
        <v>17193</v>
      </c>
      <c r="X4450">
        <v>4</v>
      </c>
      <c r="Y4450" t="s">
        <v>23413</v>
      </c>
      <c r="Z4450" t="s">
        <v>29768</v>
      </c>
      <c r="AA4450">
        <v>0.39743943337119197</v>
      </c>
      <c r="AB4450" t="str">
        <f>HYPERLINK("Melting_Curves/meltCurve_Q8N8N7_PTGR2.pdf", "Melting_Curves/meltCurve_Q8N8N7_PTGR2.pdf")</f>
        <v>Melting_Curves/meltCurve_Q8N8N7_PTGR2.pdf</v>
      </c>
    </row>
    <row r="4451" spans="1:28" x14ac:dyDescent="0.25">
      <c r="A4451" t="s">
        <v>4455</v>
      </c>
      <c r="B4451">
        <v>0.99542014353169495</v>
      </c>
      <c r="C4451">
        <v>1.02616991240821</v>
      </c>
      <c r="D4451">
        <v>1.0361783052559901</v>
      </c>
      <c r="E4451">
        <v>0.93795174373190104</v>
      </c>
      <c r="F4451">
        <v>0.65290061885181105</v>
      </c>
      <c r="G4451">
        <v>0.49708705077503001</v>
      </c>
      <c r="H4451">
        <v>0.15123180482918</v>
      </c>
      <c r="I4451">
        <v>5.2093025228749402E-2</v>
      </c>
      <c r="J4451">
        <v>4.3917642553304E-2</v>
      </c>
      <c r="K4451">
        <v>0</v>
      </c>
      <c r="L4451">
        <v>971.81918463709997</v>
      </c>
      <c r="M4451">
        <v>18.3992695447978</v>
      </c>
      <c r="N4451">
        <v>52.818356849583601</v>
      </c>
      <c r="O4451">
        <v>52.206289653667</v>
      </c>
      <c r="P4451">
        <v>-8.8112477718983895E-2</v>
      </c>
      <c r="Q4451">
        <v>0</v>
      </c>
      <c r="R4451">
        <v>0.99022641750471596</v>
      </c>
      <c r="S4451" t="s">
        <v>10853</v>
      </c>
      <c r="T4451" t="s">
        <v>12802</v>
      </c>
      <c r="U4451" t="s">
        <v>12802</v>
      </c>
      <c r="V4451" t="s">
        <v>12802</v>
      </c>
      <c r="W4451" t="s">
        <v>17194</v>
      </c>
      <c r="X4451">
        <v>5</v>
      </c>
      <c r="Y4451" t="s">
        <v>23414</v>
      </c>
      <c r="Z4451" t="s">
        <v>29769</v>
      </c>
      <c r="AA4451">
        <v>0.54152108436655444</v>
      </c>
      <c r="AB4451" t="str">
        <f>HYPERLINK("Melting_Curves/meltCurve_Q8N8R5_C2orf69.pdf", "Melting_Curves/meltCurve_Q8N8R5_C2orf69.pdf")</f>
        <v>Melting_Curves/meltCurve_Q8N8R5_C2orf69.pdf</v>
      </c>
    </row>
    <row r="4452" spans="1:28" x14ac:dyDescent="0.25">
      <c r="A4452" t="s">
        <v>4456</v>
      </c>
      <c r="B4452">
        <v>0.99542014353169495</v>
      </c>
      <c r="C4452">
        <v>0.88287444660661096</v>
      </c>
      <c r="D4452">
        <v>0.83559669474512699</v>
      </c>
      <c r="E4452">
        <v>0.39629884914112501</v>
      </c>
      <c r="F4452">
        <v>0.182083773224715</v>
      </c>
      <c r="G4452">
        <v>0.126174518600079</v>
      </c>
      <c r="H4452">
        <v>7.4239481381343203E-2</v>
      </c>
      <c r="I4452">
        <v>4.67336598329995E-2</v>
      </c>
      <c r="J4452">
        <v>6.3868172430601E-2</v>
      </c>
      <c r="K4452">
        <v>6.9330051731019096E-2</v>
      </c>
      <c r="L4452">
        <v>956.33336629226903</v>
      </c>
      <c r="M4452">
        <v>21.0032713755364</v>
      </c>
      <c r="N4452">
        <v>45.828854448154601</v>
      </c>
      <c r="O4452">
        <v>45.125858188490298</v>
      </c>
      <c r="P4452">
        <v>-0.108975679534317</v>
      </c>
      <c r="Q4452">
        <v>6.3481282838591793E-2</v>
      </c>
      <c r="R4452">
        <v>0.993256898340516</v>
      </c>
      <c r="S4452" t="s">
        <v>10854</v>
      </c>
      <c r="T4452" t="s">
        <v>12802</v>
      </c>
      <c r="U4452" t="s">
        <v>12802</v>
      </c>
      <c r="V4452" t="s">
        <v>12802</v>
      </c>
      <c r="W4452" t="s">
        <v>17195</v>
      </c>
      <c r="X4452">
        <v>3</v>
      </c>
      <c r="Y4452" t="s">
        <v>23415</v>
      </c>
      <c r="Z4452" t="s">
        <v>29770</v>
      </c>
      <c r="AA4452">
        <v>0.34092470367715688</v>
      </c>
      <c r="AB4452" t="str">
        <f>HYPERLINK("Melting_Curves/meltCurve_Q8N8R7_ARL14EP.pdf", "Melting_Curves/meltCurve_Q8N8R7_ARL14EP.pdf")</f>
        <v>Melting_Curves/meltCurve_Q8N8R7_ARL14EP.pdf</v>
      </c>
    </row>
    <row r="4453" spans="1:28" x14ac:dyDescent="0.25">
      <c r="A4453" t="s">
        <v>4457</v>
      </c>
      <c r="B4453">
        <v>0.99542014353169495</v>
      </c>
      <c r="C4453">
        <v>0.973532198552717</v>
      </c>
      <c r="D4453">
        <v>0.92865943101031001</v>
      </c>
      <c r="E4453">
        <v>0.84211364043803305</v>
      </c>
      <c r="F4453">
        <v>1.1577570307984499</v>
      </c>
      <c r="G4453">
        <v>1.5382819008700801</v>
      </c>
      <c r="H4453">
        <v>0.60270645747775098</v>
      </c>
      <c r="I4453">
        <v>0.259323045311597</v>
      </c>
      <c r="J4453">
        <v>0.20879150384900499</v>
      </c>
      <c r="K4453">
        <v>0.180760517734739</v>
      </c>
      <c r="L4453">
        <v>14348.4064166105</v>
      </c>
      <c r="M4453">
        <v>250</v>
      </c>
      <c r="N4453">
        <v>57.524016899374999</v>
      </c>
      <c r="O4453">
        <v>57.389953295414998</v>
      </c>
      <c r="P4453">
        <v>-0.85349046732243705</v>
      </c>
      <c r="Q4453">
        <v>0.21629155800757099</v>
      </c>
      <c r="R4453">
        <v>0.80787417428932096</v>
      </c>
      <c r="S4453" t="s">
        <v>10855</v>
      </c>
      <c r="T4453" t="s">
        <v>12802</v>
      </c>
      <c r="U4453" t="s">
        <v>12802</v>
      </c>
      <c r="V4453" t="s">
        <v>12802</v>
      </c>
      <c r="W4453" t="s">
        <v>17196</v>
      </c>
      <c r="X4453">
        <v>2</v>
      </c>
      <c r="Y4453" t="s">
        <v>23416</v>
      </c>
      <c r="Z4453" t="s">
        <v>29771</v>
      </c>
      <c r="AA4453">
        <v>0.74912571689834129</v>
      </c>
      <c r="AB4453" t="str">
        <f>HYPERLINK("Melting_Curves/meltCurve_Q8N954_GPATCH11.pdf", "Melting_Curves/meltCurve_Q8N954_GPATCH11.pdf")</f>
        <v>Melting_Curves/meltCurve_Q8N954_GPATCH11.pdf</v>
      </c>
    </row>
    <row r="4454" spans="1:28" x14ac:dyDescent="0.25">
      <c r="A4454" t="s">
        <v>4458</v>
      </c>
      <c r="B4454">
        <v>0.99542014353169495</v>
      </c>
      <c r="C4454">
        <v>1.0863342131673399</v>
      </c>
      <c r="D4454">
        <v>1.11620047630798</v>
      </c>
      <c r="E4454">
        <v>0.96109440734712404</v>
      </c>
      <c r="F4454">
        <v>0.77795208211856004</v>
      </c>
      <c r="G4454">
        <v>0.59212249311860299</v>
      </c>
      <c r="H4454">
        <v>0.34995192432334499</v>
      </c>
      <c r="I4454">
        <v>0.16941604234014301</v>
      </c>
      <c r="J4454">
        <v>0.119188763083815</v>
      </c>
      <c r="K4454">
        <v>0.101087956677106</v>
      </c>
      <c r="L4454">
        <v>933.20215646949396</v>
      </c>
      <c r="M4454">
        <v>17.1333673027519</v>
      </c>
      <c r="N4454">
        <v>54.851608657857902</v>
      </c>
      <c r="O4454">
        <v>53.7411929606344</v>
      </c>
      <c r="P4454">
        <v>-7.5195839336068104E-2</v>
      </c>
      <c r="Q4454">
        <v>5.6607640643236902E-2</v>
      </c>
      <c r="R4454">
        <v>0.98283581120223695</v>
      </c>
      <c r="S4454" t="s">
        <v>10856</v>
      </c>
      <c r="T4454" t="s">
        <v>12802</v>
      </c>
      <c r="U4454" t="s">
        <v>12802</v>
      </c>
      <c r="V4454" t="s">
        <v>12802</v>
      </c>
      <c r="W4454" t="s">
        <v>17197</v>
      </c>
      <c r="X4454">
        <v>6</v>
      </c>
      <c r="Y4454" t="s">
        <v>23417</v>
      </c>
      <c r="Z4454" t="s">
        <v>29772</v>
      </c>
      <c r="AA4454">
        <v>0.6189487593331976</v>
      </c>
      <c r="AB4454" t="str">
        <f>HYPERLINK("Melting_Curves/meltCurve_Q8N999_3_C12orf29.pdf", "Melting_Curves/meltCurve_Q8N999_3_C12orf29.pdf")</f>
        <v>Melting_Curves/meltCurve_Q8N999_3_C12orf29.pdf</v>
      </c>
    </row>
    <row r="4455" spans="1:28" x14ac:dyDescent="0.25">
      <c r="A4455" t="s">
        <v>4459</v>
      </c>
      <c r="B4455">
        <v>0.99542014353169495</v>
      </c>
      <c r="C4455">
        <v>1.01241825745339</v>
      </c>
      <c r="D4455">
        <v>1.0292757220239099</v>
      </c>
      <c r="E4455">
        <v>0.92310570266204195</v>
      </c>
      <c r="F4455">
        <v>0.47370337739990198</v>
      </c>
      <c r="G4455">
        <v>0.18313433933006201</v>
      </c>
      <c r="H4455">
        <v>0.106598194535307</v>
      </c>
      <c r="I4455">
        <v>7.8186577592495199E-2</v>
      </c>
      <c r="J4455">
        <v>7.3128274431871906E-2</v>
      </c>
      <c r="K4455">
        <v>0.112484212801918</v>
      </c>
      <c r="L4455">
        <v>1647.3425105123299</v>
      </c>
      <c r="M4455">
        <v>33.094416782033598</v>
      </c>
      <c r="N4455">
        <v>50.087151339625301</v>
      </c>
      <c r="O4455">
        <v>49.596356941182101</v>
      </c>
      <c r="P4455">
        <v>-0.15136651559313799</v>
      </c>
      <c r="Q4455">
        <v>9.2633092504987302E-2</v>
      </c>
      <c r="R4455">
        <v>0.99826928882241195</v>
      </c>
      <c r="S4455" t="s">
        <v>10857</v>
      </c>
      <c r="T4455" t="s">
        <v>12802</v>
      </c>
      <c r="U4455" t="s">
        <v>12802</v>
      </c>
      <c r="V4455" t="s">
        <v>12802</v>
      </c>
      <c r="W4455" t="s">
        <v>17198</v>
      </c>
      <c r="X4455">
        <v>6</v>
      </c>
      <c r="Y4455" t="s">
        <v>23418</v>
      </c>
      <c r="Z4455" t="s">
        <v>29773</v>
      </c>
      <c r="AA4455">
        <v>0.48364537362226051</v>
      </c>
      <c r="AB4455" t="str">
        <f>HYPERLINK("Melting_Curves/meltCurve_Q8N9F7_GDPD1.pdf", "Melting_Curves/meltCurve_Q8N9F7_GDPD1.pdf")</f>
        <v>Melting_Curves/meltCurve_Q8N9F7_GDPD1.pdf</v>
      </c>
    </row>
    <row r="4456" spans="1:28" x14ac:dyDescent="0.25">
      <c r="A4456" t="s">
        <v>4460</v>
      </c>
      <c r="B4456">
        <v>0.99542014353169495</v>
      </c>
      <c r="C4456">
        <v>1.18415288957937</v>
      </c>
      <c r="D4456">
        <v>0.959067606595149</v>
      </c>
      <c r="E4456">
        <v>0.34804826253675297</v>
      </c>
      <c r="F4456">
        <v>0.196427236631041</v>
      </c>
      <c r="G4456">
        <v>0.13239213862568899</v>
      </c>
      <c r="H4456">
        <v>7.4911067747046395E-2</v>
      </c>
      <c r="I4456">
        <v>0.101834953405275</v>
      </c>
      <c r="J4456">
        <v>8.4578029602584703E-2</v>
      </c>
      <c r="K4456">
        <v>0.1152083187118</v>
      </c>
      <c r="L4456">
        <v>2133.2555652137398</v>
      </c>
      <c r="M4456">
        <v>46.758363520970804</v>
      </c>
      <c r="N4456">
        <v>45.877774975039799</v>
      </c>
      <c r="O4456">
        <v>45.5397585997409</v>
      </c>
      <c r="P4456">
        <v>-0.22733563567800599</v>
      </c>
      <c r="Q4456">
        <v>0.114357516260939</v>
      </c>
      <c r="R4456">
        <v>0.97613427005708597</v>
      </c>
      <c r="S4456" t="s">
        <v>10858</v>
      </c>
      <c r="T4456" t="s">
        <v>12802</v>
      </c>
      <c r="U4456" t="s">
        <v>12802</v>
      </c>
      <c r="V4456" t="s">
        <v>12802</v>
      </c>
      <c r="W4456" t="s">
        <v>17199</v>
      </c>
      <c r="X4456">
        <v>3</v>
      </c>
      <c r="Y4456" t="s">
        <v>23419</v>
      </c>
      <c r="Z4456" t="s">
        <v>29774</v>
      </c>
      <c r="AA4456">
        <v>0.37095986798747471</v>
      </c>
      <c r="AB4456" t="str">
        <f>HYPERLINK("Melting_Curves/meltCurve_Q8N9M1_3_C19orf47.pdf", "Melting_Curves/meltCurve_Q8N9M1_3_C19orf47.pdf")</f>
        <v>Melting_Curves/meltCurve_Q8N9M1_3_C19orf47.pdf</v>
      </c>
    </row>
    <row r="4457" spans="1:28" x14ac:dyDescent="0.25">
      <c r="A4457" t="s">
        <v>4461</v>
      </c>
      <c r="B4457">
        <v>0.99542014353169495</v>
      </c>
      <c r="C4457">
        <v>0.989623007710007</v>
      </c>
      <c r="D4457">
        <v>0.96036405987755902</v>
      </c>
      <c r="E4457">
        <v>0.87625145437884999</v>
      </c>
      <c r="F4457">
        <v>0.66536158640426302</v>
      </c>
      <c r="G4457">
        <v>0.41586670233682399</v>
      </c>
      <c r="H4457">
        <v>0.122264320938026</v>
      </c>
      <c r="I4457">
        <v>8.6668125851925501E-2</v>
      </c>
      <c r="J4457">
        <v>8.4311511790213206E-2</v>
      </c>
      <c r="K4457">
        <v>8.9134871251285899E-2</v>
      </c>
      <c r="L4457">
        <v>964.32467994645401</v>
      </c>
      <c r="M4457">
        <v>18.588560584045599</v>
      </c>
      <c r="N4457">
        <v>52.149538493920403</v>
      </c>
      <c r="O4457">
        <v>51.288112022319901</v>
      </c>
      <c r="P4457">
        <v>-8.6422865336849702E-2</v>
      </c>
      <c r="Q4457">
        <v>4.6236501671014098E-2</v>
      </c>
      <c r="R4457">
        <v>0.99487579131922799</v>
      </c>
      <c r="S4457" t="s">
        <v>10859</v>
      </c>
      <c r="T4457" t="s">
        <v>12802</v>
      </c>
      <c r="U4457" t="s">
        <v>12802</v>
      </c>
      <c r="V4457" t="s">
        <v>12802</v>
      </c>
      <c r="W4457" t="s">
        <v>17200</v>
      </c>
      <c r="X4457">
        <v>8</v>
      </c>
      <c r="Y4457" t="s">
        <v>23420</v>
      </c>
      <c r="Z4457" t="s">
        <v>29775</v>
      </c>
      <c r="AA4457">
        <v>0.53302771751145084</v>
      </c>
      <c r="AB4457" t="str">
        <f>HYPERLINK("Melting_Curves/meltCurve_Q8N9N7_LRRC57.pdf", "Melting_Curves/meltCurve_Q8N9N7_LRRC57.pdf")</f>
        <v>Melting_Curves/meltCurve_Q8N9N7_LRRC57.pdf</v>
      </c>
    </row>
    <row r="4458" spans="1:28" x14ac:dyDescent="0.25">
      <c r="A4458" t="s">
        <v>4462</v>
      </c>
      <c r="B4458">
        <v>0.99542014353169495</v>
      </c>
      <c r="C4458">
        <v>1.13161285563085</v>
      </c>
      <c r="D4458">
        <v>0.98902381100522796</v>
      </c>
      <c r="E4458">
        <v>1.02119911238133</v>
      </c>
      <c r="F4458">
        <v>0.84228187349055805</v>
      </c>
      <c r="G4458">
        <v>0.78901658455547796</v>
      </c>
      <c r="H4458">
        <v>0.59410854696925797</v>
      </c>
      <c r="I4458">
        <v>0.42179716379744597</v>
      </c>
      <c r="J4458">
        <v>0.61810869775087096</v>
      </c>
      <c r="K4458">
        <v>0.92333756011212298</v>
      </c>
      <c r="L4458">
        <v>1532.3831826349999</v>
      </c>
      <c r="M4458">
        <v>29.853461778480899</v>
      </c>
      <c r="O4458">
        <v>51.101497526117903</v>
      </c>
      <c r="P4458">
        <v>-5.1551050498817398E-2</v>
      </c>
      <c r="Q4458">
        <v>0.64703345325668904</v>
      </c>
      <c r="R4458">
        <v>0.65265766943983405</v>
      </c>
      <c r="S4458" t="s">
        <v>10860</v>
      </c>
      <c r="T4458" t="s">
        <v>12802</v>
      </c>
      <c r="U4458" t="s">
        <v>12802</v>
      </c>
      <c r="V4458" t="s">
        <v>12802</v>
      </c>
      <c r="W4458" t="s">
        <v>17201</v>
      </c>
      <c r="X4458">
        <v>1</v>
      </c>
      <c r="Y4458" t="s">
        <v>23421</v>
      </c>
      <c r="Z4458" t="s">
        <v>29776</v>
      </c>
      <c r="AA4458">
        <v>0.81786582652640283</v>
      </c>
      <c r="AB4458" t="str">
        <f>HYPERLINK("Melting_Curves/meltCurve_Q8N9Q2_SREK1IP1.pdf", "Melting_Curves/meltCurve_Q8N9Q2_SREK1IP1.pdf")</f>
        <v>Melting_Curves/meltCurve_Q8N9Q2_SREK1IP1.pdf</v>
      </c>
    </row>
    <row r="4459" spans="1:28" x14ac:dyDescent="0.25">
      <c r="A4459" t="s">
        <v>4463</v>
      </c>
      <c r="B4459">
        <v>0.99542014353169495</v>
      </c>
      <c r="C4459">
        <v>1.0306918505220699</v>
      </c>
      <c r="D4459">
        <v>0.93784759451271305</v>
      </c>
      <c r="E4459">
        <v>0.93964809417297601</v>
      </c>
      <c r="F4459">
        <v>0.72845120236685801</v>
      </c>
      <c r="G4459">
        <v>0.50890313673561005</v>
      </c>
      <c r="H4459">
        <v>0.28806143619874303</v>
      </c>
      <c r="I4459">
        <v>0.16527368429373199</v>
      </c>
      <c r="J4459">
        <v>0.12513140003954701</v>
      </c>
      <c r="K4459">
        <v>0.10592686761643801</v>
      </c>
      <c r="L4459">
        <v>855.37615129156802</v>
      </c>
      <c r="M4459">
        <v>16.058099194899299</v>
      </c>
      <c r="N4459">
        <v>53.746440398719002</v>
      </c>
      <c r="O4459">
        <v>52.462036015972402</v>
      </c>
      <c r="P4459">
        <v>-7.1427518394790904E-2</v>
      </c>
      <c r="Q4459">
        <v>6.6653339793074196E-2</v>
      </c>
      <c r="R4459">
        <v>0.99686642726366703</v>
      </c>
      <c r="S4459" t="s">
        <v>10861</v>
      </c>
      <c r="T4459" t="s">
        <v>12802</v>
      </c>
      <c r="U4459" t="s">
        <v>12802</v>
      </c>
      <c r="V4459" t="s">
        <v>12802</v>
      </c>
      <c r="W4459" t="s">
        <v>17202</v>
      </c>
      <c r="X4459">
        <v>6</v>
      </c>
      <c r="Y4459" t="s">
        <v>23422</v>
      </c>
      <c r="Z4459" t="s">
        <v>29777</v>
      </c>
      <c r="AA4459">
        <v>0.58800624600714946</v>
      </c>
      <c r="AB4459" t="str">
        <f>HYPERLINK("Melting_Curves/meltCurve_Q8N9V3_2_WDSUB1.pdf", "Melting_Curves/meltCurve_Q8N9V3_2_WDSUB1.pdf")</f>
        <v>Melting_Curves/meltCurve_Q8N9V3_2_WDSUB1.pdf</v>
      </c>
    </row>
    <row r="4460" spans="1:28" x14ac:dyDescent="0.25">
      <c r="A4460" t="s">
        <v>4464</v>
      </c>
      <c r="B4460">
        <v>0.99542014353169495</v>
      </c>
      <c r="C4460">
        <v>0.88455331028851703</v>
      </c>
      <c r="D4460">
        <v>0.901161604722998</v>
      </c>
      <c r="E4460">
        <v>0.45019774566964998</v>
      </c>
      <c r="F4460">
        <v>0.26536782887368798</v>
      </c>
      <c r="G4460">
        <v>0.12514152911331899</v>
      </c>
      <c r="H4460">
        <v>0.10572292569516099</v>
      </c>
      <c r="I4460">
        <v>6.9784077790377E-2</v>
      </c>
      <c r="J4460">
        <v>5.17136471665222E-2</v>
      </c>
      <c r="K4460">
        <v>5.11248951218745E-2</v>
      </c>
      <c r="L4460">
        <v>895.32464886441301</v>
      </c>
      <c r="M4460">
        <v>19.333109822071499</v>
      </c>
      <c r="N4460">
        <v>46.634038624568603</v>
      </c>
      <c r="O4460">
        <v>45.823493431027998</v>
      </c>
      <c r="P4460">
        <v>-9.8858507100975004E-2</v>
      </c>
      <c r="Q4460">
        <v>6.2774049622994793E-2</v>
      </c>
      <c r="R4460">
        <v>0.98849964557199999</v>
      </c>
      <c r="S4460" t="s">
        <v>10862</v>
      </c>
      <c r="T4460" t="s">
        <v>12802</v>
      </c>
      <c r="U4460" t="s">
        <v>12802</v>
      </c>
      <c r="V4460" t="s">
        <v>12802</v>
      </c>
      <c r="W4460" t="s">
        <v>17203</v>
      </c>
      <c r="X4460">
        <v>3</v>
      </c>
      <c r="Y4460" t="s">
        <v>23423</v>
      </c>
      <c r="Z4460" t="s">
        <v>29778</v>
      </c>
      <c r="AA4460">
        <v>0.36675267761169272</v>
      </c>
      <c r="AB4460" t="str">
        <f>HYPERLINK("Melting_Curves/meltCurve_Q8N9Z2_CCDC71L.pdf", "Melting_Curves/meltCurve_Q8N9Z2_CCDC71L.pdf")</f>
        <v>Melting_Curves/meltCurve_Q8N9Z2_CCDC71L.pdf</v>
      </c>
    </row>
    <row r="4461" spans="1:28" x14ac:dyDescent="0.25">
      <c r="A4461" t="s">
        <v>4465</v>
      </c>
      <c r="B4461">
        <v>0.99542014353169495</v>
      </c>
      <c r="C4461">
        <v>1.06611872301471</v>
      </c>
      <c r="D4461">
        <v>1.0382530900582301</v>
      </c>
      <c r="E4461">
        <v>0.97932840178124603</v>
      </c>
      <c r="F4461">
        <v>0.89162035108468596</v>
      </c>
      <c r="G4461">
        <v>0.72523951668073094</v>
      </c>
      <c r="H4461">
        <v>0.56391987763930995</v>
      </c>
      <c r="I4461">
        <v>0.47616002626843101</v>
      </c>
      <c r="J4461">
        <v>0.54015582463926104</v>
      </c>
      <c r="K4461">
        <v>0.64615873429428805</v>
      </c>
      <c r="L4461">
        <v>1545.9552039120499</v>
      </c>
      <c r="M4461">
        <v>29.421782389873201</v>
      </c>
      <c r="O4461">
        <v>52.3036386129194</v>
      </c>
      <c r="P4461">
        <v>-6.3386743467740994E-2</v>
      </c>
      <c r="Q4461">
        <v>0.549268146662789</v>
      </c>
      <c r="R4461">
        <v>0.94988708247504505</v>
      </c>
      <c r="S4461" t="s">
        <v>10863</v>
      </c>
      <c r="T4461" t="s">
        <v>12802</v>
      </c>
      <c r="U4461" t="s">
        <v>12802</v>
      </c>
      <c r="V4461" t="s">
        <v>12802</v>
      </c>
      <c r="W4461" t="s">
        <v>17204</v>
      </c>
      <c r="X4461">
        <v>2</v>
      </c>
      <c r="Y4461" t="s">
        <v>23424</v>
      </c>
      <c r="Z4461" t="s">
        <v>29779</v>
      </c>
      <c r="AA4461">
        <v>0.78578219164196317</v>
      </c>
      <c r="AB4461" t="str">
        <f>HYPERLINK("Melting_Curves/meltCurve_Q8NA54_2_IQUB.pdf", "Melting_Curves/meltCurve_Q8NA54_2_IQUB.pdf")</f>
        <v>Melting_Curves/meltCurve_Q8NA54_2_IQUB.pdf</v>
      </c>
    </row>
    <row r="4462" spans="1:28" x14ac:dyDescent="0.25">
      <c r="A4462" t="s">
        <v>4466</v>
      </c>
      <c r="B4462">
        <v>0.99542014353169495</v>
      </c>
      <c r="C4462">
        <v>1.0292198467181799</v>
      </c>
      <c r="D4462">
        <v>0.91739693761783903</v>
      </c>
      <c r="E4462">
        <v>0.81586433656199697</v>
      </c>
      <c r="F4462">
        <v>0.68910987451502304</v>
      </c>
      <c r="G4462">
        <v>0.27610235677636202</v>
      </c>
      <c r="H4462">
        <v>0.175348237053878</v>
      </c>
      <c r="I4462">
        <v>0.122252909826956</v>
      </c>
      <c r="J4462">
        <v>0.152738370318421</v>
      </c>
      <c r="K4462">
        <v>0.129894295757469</v>
      </c>
      <c r="L4462">
        <v>1024.7195031480301</v>
      </c>
      <c r="M4462">
        <v>20.163233680796001</v>
      </c>
      <c r="N4462">
        <v>51.449126209604898</v>
      </c>
      <c r="O4462">
        <v>50.329219957191199</v>
      </c>
      <c r="P4462">
        <v>-8.9234962613569904E-2</v>
      </c>
      <c r="Q4462">
        <v>0.109074561331887</v>
      </c>
      <c r="R4462">
        <v>0.98620340438103504</v>
      </c>
      <c r="S4462" t="s">
        <v>10864</v>
      </c>
      <c r="T4462" t="s">
        <v>12802</v>
      </c>
      <c r="U4462" t="s">
        <v>12802</v>
      </c>
      <c r="V4462" t="s">
        <v>12802</v>
      </c>
      <c r="W4462" t="s">
        <v>17205</v>
      </c>
      <c r="X4462">
        <v>3</v>
      </c>
      <c r="Y4462" t="s">
        <v>23425</v>
      </c>
      <c r="Z4462" t="s">
        <v>29780</v>
      </c>
      <c r="AA4462">
        <v>0.5310530812337575</v>
      </c>
      <c r="AB4462" t="str">
        <f>HYPERLINK("Melting_Curves/meltCurve_Q8NAF0_ZNF579.pdf", "Melting_Curves/meltCurve_Q8NAF0_ZNF579.pdf")</f>
        <v>Melting_Curves/meltCurve_Q8NAF0_ZNF579.pdf</v>
      </c>
    </row>
    <row r="4463" spans="1:28" x14ac:dyDescent="0.25">
      <c r="A4463" t="s">
        <v>4467</v>
      </c>
      <c r="B4463">
        <v>0.99542014353169495</v>
      </c>
      <c r="C4463">
        <v>0.85384831955287999</v>
      </c>
      <c r="D4463">
        <v>0.96491223586616404</v>
      </c>
      <c r="E4463">
        <v>0.69812243070982005</v>
      </c>
      <c r="F4463">
        <v>0.65132356259577395</v>
      </c>
      <c r="G4463">
        <v>0.31633684501392201</v>
      </c>
      <c r="H4463">
        <v>0.245848677244659</v>
      </c>
      <c r="I4463">
        <v>0.107052485550786</v>
      </c>
      <c r="J4463">
        <v>6.7350654449875202E-2</v>
      </c>
      <c r="K4463">
        <v>2.7079110839799601E-2</v>
      </c>
      <c r="L4463">
        <v>616.593530791116</v>
      </c>
      <c r="M4463">
        <v>12.030195356432399</v>
      </c>
      <c r="N4463">
        <v>51.253825083462601</v>
      </c>
      <c r="O4463">
        <v>49.899224199900203</v>
      </c>
      <c r="P4463">
        <v>-6.0286848261682298E-2</v>
      </c>
      <c r="Q4463">
        <v>0</v>
      </c>
      <c r="R4463">
        <v>0.97452413843458796</v>
      </c>
      <c r="S4463" t="s">
        <v>10865</v>
      </c>
      <c r="T4463" t="s">
        <v>12802</v>
      </c>
      <c r="U4463" t="s">
        <v>12802</v>
      </c>
      <c r="V4463" t="s">
        <v>12802</v>
      </c>
      <c r="W4463" t="s">
        <v>17206</v>
      </c>
      <c r="X4463">
        <v>2</v>
      </c>
      <c r="Y4463" t="s">
        <v>23426</v>
      </c>
      <c r="Z4463" t="s">
        <v>29781</v>
      </c>
      <c r="AA4463">
        <v>0.50055546617977498</v>
      </c>
      <c r="AB4463" t="str">
        <f>HYPERLINK("Melting_Curves/meltCurve_Q8NAT1_GTDC2.pdf", "Melting_Curves/meltCurve_Q8NAT1_GTDC2.pdf")</f>
        <v>Melting_Curves/meltCurve_Q8NAT1_GTDC2.pdf</v>
      </c>
    </row>
    <row r="4464" spans="1:28" x14ac:dyDescent="0.25">
      <c r="A4464" t="s">
        <v>4468</v>
      </c>
      <c r="B4464">
        <v>0.99542014353169495</v>
      </c>
      <c r="C4464">
        <v>0.92503102563361195</v>
      </c>
      <c r="D4464">
        <v>0.92612106507172398</v>
      </c>
      <c r="E4464">
        <v>0.71529434527990599</v>
      </c>
      <c r="F4464">
        <v>0.34822280880168099</v>
      </c>
      <c r="G4464">
        <v>0.15778245919164799</v>
      </c>
      <c r="H4464">
        <v>9.7223343001634405E-2</v>
      </c>
      <c r="I4464">
        <v>6.0716673115541402E-2</v>
      </c>
      <c r="J4464">
        <v>5.5102883114165002E-2</v>
      </c>
      <c r="K4464">
        <v>5.8638732107828301E-2</v>
      </c>
      <c r="L4464">
        <v>976.01880884559705</v>
      </c>
      <c r="M4464">
        <v>20.175330833972598</v>
      </c>
      <c r="N4464">
        <v>48.634779417865701</v>
      </c>
      <c r="O4464">
        <v>47.909090038436403</v>
      </c>
      <c r="P4464">
        <v>-9.9940879050263595E-2</v>
      </c>
      <c r="Q4464">
        <v>5.0736591168857502E-2</v>
      </c>
      <c r="R4464">
        <v>0.99709108058038698</v>
      </c>
      <c r="S4464" t="s">
        <v>10866</v>
      </c>
      <c r="T4464" t="s">
        <v>12802</v>
      </c>
      <c r="U4464" t="s">
        <v>12802</v>
      </c>
      <c r="V4464" t="s">
        <v>12802</v>
      </c>
      <c r="W4464" t="s">
        <v>17207</v>
      </c>
      <c r="X4464">
        <v>5</v>
      </c>
      <c r="Y4464" t="s">
        <v>23427</v>
      </c>
      <c r="Z4464" t="s">
        <v>29782</v>
      </c>
      <c r="AA4464">
        <v>0.42300961192654851</v>
      </c>
      <c r="AB4464" t="str">
        <f>HYPERLINK("Melting_Curves/meltCurve_Q8NAV1_PRPF38A.pdf", "Melting_Curves/meltCurve_Q8NAV1_PRPF38A.pdf")</f>
        <v>Melting_Curves/meltCurve_Q8NAV1_PRPF38A.pdf</v>
      </c>
    </row>
    <row r="4465" spans="1:28" x14ac:dyDescent="0.25">
      <c r="A4465" t="s">
        <v>4469</v>
      </c>
      <c r="B4465">
        <v>0.99542014353169495</v>
      </c>
      <c r="C4465">
        <v>0.95047681736709799</v>
      </c>
      <c r="D4465">
        <v>1.31897473976027</v>
      </c>
      <c r="E4465">
        <v>0.84417544307834302</v>
      </c>
      <c r="F4465">
        <v>0.415303145370302</v>
      </c>
      <c r="G4465">
        <v>0.17944739128462001</v>
      </c>
      <c r="H4465">
        <v>9.47496299296616E-2</v>
      </c>
      <c r="I4465">
        <v>9.5272125910955296E-2</v>
      </c>
      <c r="J4465">
        <v>3.9967257801872901E-2</v>
      </c>
      <c r="K4465">
        <v>3.9444933210988999E-2</v>
      </c>
      <c r="L4465">
        <v>1544.4063638504999</v>
      </c>
      <c r="M4465">
        <v>31.2546935759433</v>
      </c>
      <c r="N4465">
        <v>49.657820442578497</v>
      </c>
      <c r="O4465">
        <v>49.212616640259903</v>
      </c>
      <c r="P4465">
        <v>-0.147462669720864</v>
      </c>
      <c r="Q4465">
        <v>7.1245617716008194E-2</v>
      </c>
      <c r="R4465">
        <v>0.94506613008581897</v>
      </c>
      <c r="S4465" t="s">
        <v>10867</v>
      </c>
      <c r="T4465" t="s">
        <v>12802</v>
      </c>
      <c r="U4465" t="s">
        <v>12802</v>
      </c>
      <c r="V4465" t="s">
        <v>12802</v>
      </c>
      <c r="W4465" t="s">
        <v>17208</v>
      </c>
      <c r="X4465">
        <v>3</v>
      </c>
      <c r="Y4465" t="s">
        <v>23428</v>
      </c>
      <c r="Z4465" t="s">
        <v>29783</v>
      </c>
      <c r="AA4465">
        <v>0.46075220938117062</v>
      </c>
      <c r="AB4465" t="str">
        <f>HYPERLINK("Melting_Curves/meltCurve_Q8NB15_2_ZNF511.pdf", "Melting_Curves/meltCurve_Q8NB15_2_ZNF511.pdf")</f>
        <v>Melting_Curves/meltCurve_Q8NB15_2_ZNF511.pdf</v>
      </c>
    </row>
    <row r="4466" spans="1:28" x14ac:dyDescent="0.25">
      <c r="A4466" t="s">
        <v>4470</v>
      </c>
      <c r="B4466">
        <v>0.99542014353169495</v>
      </c>
      <c r="C4466">
        <v>0.99324190765293396</v>
      </c>
      <c r="D4466">
        <v>0.93075048289187501</v>
      </c>
      <c r="E4466">
        <v>0.85158270799057301</v>
      </c>
      <c r="F4466">
        <v>0.77980554175150396</v>
      </c>
      <c r="G4466">
        <v>0.64293620310506505</v>
      </c>
      <c r="H4466">
        <v>0.43421907642956997</v>
      </c>
      <c r="I4466">
        <v>0.305244137186996</v>
      </c>
      <c r="J4466">
        <v>0.259594320689921</v>
      </c>
      <c r="K4466">
        <v>0.25271290021083298</v>
      </c>
      <c r="L4466">
        <v>589.55304206665699</v>
      </c>
      <c r="M4466">
        <v>10.744973454821499</v>
      </c>
      <c r="N4466">
        <v>56.201560686599997</v>
      </c>
      <c r="O4466">
        <v>53.069813012016702</v>
      </c>
      <c r="P4466">
        <v>-4.4937224284097597E-2</v>
      </c>
      <c r="Q4466">
        <v>0.112541388619779</v>
      </c>
      <c r="R4466">
        <v>0.99281421027360095</v>
      </c>
      <c r="S4466" t="s">
        <v>10868</v>
      </c>
      <c r="T4466" t="s">
        <v>12802</v>
      </c>
      <c r="U4466" t="s">
        <v>12802</v>
      </c>
      <c r="V4466" t="s">
        <v>12802</v>
      </c>
      <c r="W4466" t="s">
        <v>17209</v>
      </c>
      <c r="X4466">
        <v>7</v>
      </c>
      <c r="Y4466" t="s">
        <v>23429</v>
      </c>
      <c r="Z4466" t="s">
        <v>29784</v>
      </c>
      <c r="AA4466">
        <v>0.65342015593280267</v>
      </c>
      <c r="AB4466" t="str">
        <f>HYPERLINK("Melting_Curves/meltCurve_Q8NB37_PDDC1.pdf", "Melting_Curves/meltCurve_Q8NB37_PDDC1.pdf")</f>
        <v>Melting_Curves/meltCurve_Q8NB37_PDDC1.pdf</v>
      </c>
    </row>
    <row r="4467" spans="1:28" x14ac:dyDescent="0.25">
      <c r="A4467" t="s">
        <v>4471</v>
      </c>
      <c r="B4467">
        <v>0.99542014353169495</v>
      </c>
      <c r="C4467">
        <v>0.88603656177149404</v>
      </c>
      <c r="D4467">
        <v>0.89198237350253895</v>
      </c>
      <c r="E4467">
        <v>0.57308356573603203</v>
      </c>
      <c r="F4467">
        <v>0.356575890554303</v>
      </c>
      <c r="G4467">
        <v>0.184491286637923</v>
      </c>
      <c r="H4467">
        <v>0.114119180555874</v>
      </c>
      <c r="I4467">
        <v>9.1681244991576399E-2</v>
      </c>
      <c r="J4467">
        <v>9.1309628847879201E-2</v>
      </c>
      <c r="K4467">
        <v>9.8327396178897505E-2</v>
      </c>
      <c r="L4467">
        <v>756.74430780221201</v>
      </c>
      <c r="M4467">
        <v>15.989030270949501</v>
      </c>
      <c r="N4467">
        <v>47.809246080959099</v>
      </c>
      <c r="O4467">
        <v>46.607188587283801</v>
      </c>
      <c r="P4467">
        <v>-7.94079603955022E-2</v>
      </c>
      <c r="Q4467">
        <v>7.4192600320201502E-2</v>
      </c>
      <c r="R4467">
        <v>0.99347478963374103</v>
      </c>
      <c r="S4467" t="s">
        <v>10869</v>
      </c>
      <c r="T4467" t="s">
        <v>12802</v>
      </c>
      <c r="U4467" t="s">
        <v>12802</v>
      </c>
      <c r="V4467" t="s">
        <v>12802</v>
      </c>
      <c r="W4467" t="s">
        <v>17210</v>
      </c>
      <c r="X4467">
        <v>5</v>
      </c>
      <c r="Y4467" t="s">
        <v>23430</v>
      </c>
      <c r="Z4467" t="s">
        <v>29785</v>
      </c>
      <c r="AA4467">
        <v>0.41141413804263272</v>
      </c>
      <c r="AB4467" t="str">
        <f>HYPERLINK("Melting_Curves/meltCurve_Q8NB46_ANKRD52.pdf", "Melting_Curves/meltCurve_Q8NB46_ANKRD52.pdf")</f>
        <v>Melting_Curves/meltCurve_Q8NB46_ANKRD52.pdf</v>
      </c>
    </row>
    <row r="4468" spans="1:28" x14ac:dyDescent="0.25">
      <c r="A4468" t="s">
        <v>4472</v>
      </c>
      <c r="B4468">
        <v>0.99542014353169495</v>
      </c>
      <c r="C4468">
        <v>0.94304885460527099</v>
      </c>
      <c r="D4468">
        <v>0.95516918190863498</v>
      </c>
      <c r="E4468">
        <v>0.777060328007941</v>
      </c>
      <c r="F4468">
        <v>0.68313152348672601</v>
      </c>
      <c r="G4468">
        <v>0.416562638994947</v>
      </c>
      <c r="H4468">
        <v>0.20412573342363899</v>
      </c>
      <c r="I4468">
        <v>8.5505486142577303E-2</v>
      </c>
      <c r="J4468">
        <v>8.0297022215060299E-2</v>
      </c>
      <c r="K4468">
        <v>8.4182949191005496E-2</v>
      </c>
      <c r="L4468">
        <v>699.45397292625898</v>
      </c>
      <c r="M4468">
        <v>13.3950194180184</v>
      </c>
      <c r="N4468">
        <v>52.217458562918701</v>
      </c>
      <c r="O4468">
        <v>51.094852111206201</v>
      </c>
      <c r="P4468">
        <v>-6.5550271140740607E-2</v>
      </c>
      <c r="Q4468">
        <v>0</v>
      </c>
      <c r="R4468">
        <v>0.99161953179546902</v>
      </c>
      <c r="S4468" t="s">
        <v>10870</v>
      </c>
      <c r="T4468" t="s">
        <v>12802</v>
      </c>
      <c r="U4468" t="s">
        <v>12802</v>
      </c>
      <c r="V4468" t="s">
        <v>12802</v>
      </c>
      <c r="W4468" t="s">
        <v>17211</v>
      </c>
      <c r="X4468">
        <v>15</v>
      </c>
      <c r="Y4468" t="s">
        <v>23431</v>
      </c>
      <c r="Z4468" t="s">
        <v>29786</v>
      </c>
      <c r="AA4468">
        <v>0.52843900629079354</v>
      </c>
      <c r="AB4468" t="str">
        <f>HYPERLINK("Melting_Curves/meltCurve_Q8NB49_3_ATP11C.pdf", "Melting_Curves/meltCurve_Q8NB49_3_ATP11C.pdf")</f>
        <v>Melting_Curves/meltCurve_Q8NB49_3_ATP11C.pdf</v>
      </c>
    </row>
    <row r="4469" spans="1:28" x14ac:dyDescent="0.25">
      <c r="A4469" t="s">
        <v>4473</v>
      </c>
      <c r="B4469">
        <v>0.99542014353169495</v>
      </c>
      <c r="C4469">
        <v>0.84367507349856297</v>
      </c>
      <c r="D4469">
        <v>0.853552945625353</v>
      </c>
      <c r="E4469">
        <v>0.76237102572206805</v>
      </c>
      <c r="F4469">
        <v>0.67335282839851895</v>
      </c>
      <c r="G4469">
        <v>0.364540236543764</v>
      </c>
      <c r="H4469">
        <v>0.34395733914163401</v>
      </c>
      <c r="I4469">
        <v>0.11116338509236701</v>
      </c>
      <c r="J4469">
        <v>5.5886783050104298E-2</v>
      </c>
      <c r="K4469">
        <v>4.96029883063029E-2</v>
      </c>
      <c r="L4469">
        <v>557.94346385205199</v>
      </c>
      <c r="M4469">
        <v>10.7533087121094</v>
      </c>
      <c r="N4469">
        <v>51.885747772032602</v>
      </c>
      <c r="O4469">
        <v>50.1879758335023</v>
      </c>
      <c r="P4469">
        <v>-5.3584885181317002E-2</v>
      </c>
      <c r="Q4469">
        <v>0</v>
      </c>
      <c r="R4469">
        <v>0.96662699868736501</v>
      </c>
      <c r="S4469" t="s">
        <v>10871</v>
      </c>
      <c r="T4469" t="s">
        <v>12802</v>
      </c>
      <c r="U4469" t="s">
        <v>12802</v>
      </c>
      <c r="V4469" t="s">
        <v>12802</v>
      </c>
      <c r="W4469" t="s">
        <v>17212</v>
      </c>
      <c r="X4469">
        <v>13</v>
      </c>
      <c r="Y4469" t="s">
        <v>23432</v>
      </c>
      <c r="Z4469" t="s">
        <v>29787</v>
      </c>
      <c r="AA4469">
        <v>0.52220375148454745</v>
      </c>
      <c r="AB4469" t="str">
        <f>HYPERLINK("Melting_Curves/meltCurve_Q8NB90_SPATA5.pdf", "Melting_Curves/meltCurve_Q8NB90_SPATA5.pdf")</f>
        <v>Melting_Curves/meltCurve_Q8NB90_SPATA5.pdf</v>
      </c>
    </row>
    <row r="4470" spans="1:28" x14ac:dyDescent="0.25">
      <c r="A4470" t="s">
        <v>4474</v>
      </c>
      <c r="B4470">
        <v>0.99542014353169495</v>
      </c>
      <c r="C4470">
        <v>0.982696576120628</v>
      </c>
      <c r="D4470">
        <v>0.886879331581093</v>
      </c>
      <c r="E4470">
        <v>0.62349915822286694</v>
      </c>
      <c r="F4470">
        <v>0.29566394367156201</v>
      </c>
      <c r="G4470">
        <v>0.124702831419784</v>
      </c>
      <c r="H4470">
        <v>8.1297103084058395E-2</v>
      </c>
      <c r="I4470">
        <v>4.7601143478814299E-2</v>
      </c>
      <c r="J4470">
        <v>4.6266884690095801E-2</v>
      </c>
      <c r="K4470">
        <v>4.8814038869792402E-2</v>
      </c>
      <c r="L4470">
        <v>931.60036251464396</v>
      </c>
      <c r="M4470">
        <v>19.574416667298198</v>
      </c>
      <c r="N4470">
        <v>47.8010911642141</v>
      </c>
      <c r="O4470">
        <v>47.104379774809097</v>
      </c>
      <c r="P4470">
        <v>-9.9644240318914903E-2</v>
      </c>
      <c r="Q4470">
        <v>4.0888136894698598E-2</v>
      </c>
      <c r="R4470">
        <v>0.99982845122447594</v>
      </c>
      <c r="S4470" t="s">
        <v>10872</v>
      </c>
      <c r="T4470" t="s">
        <v>12802</v>
      </c>
      <c r="U4470" t="s">
        <v>12802</v>
      </c>
      <c r="V4470" t="s">
        <v>12802</v>
      </c>
      <c r="W4470" t="s">
        <v>17213</v>
      </c>
      <c r="X4470">
        <v>3</v>
      </c>
      <c r="Y4470" t="s">
        <v>23433</v>
      </c>
      <c r="Z4470" t="s">
        <v>29788</v>
      </c>
      <c r="AA4470">
        <v>0.39265359002221761</v>
      </c>
      <c r="AB4470" t="str">
        <f>HYPERLINK("Melting_Curves/meltCurve_Q8NBA8_DTWD2.pdf", "Melting_Curves/meltCurve_Q8NBA8_DTWD2.pdf")</f>
        <v>Melting_Curves/meltCurve_Q8NBA8_DTWD2.pdf</v>
      </c>
    </row>
    <row r="4471" spans="1:28" x14ac:dyDescent="0.25">
      <c r="A4471" t="s">
        <v>4475</v>
      </c>
      <c r="B4471">
        <v>0.99542014353169495</v>
      </c>
      <c r="C4471">
        <v>0.94185510620728397</v>
      </c>
      <c r="D4471">
        <v>0.89573983648422195</v>
      </c>
      <c r="E4471">
        <v>0.78353229013217696</v>
      </c>
      <c r="F4471">
        <v>0.39348074278050399</v>
      </c>
      <c r="G4471">
        <v>9.26305117771309E-2</v>
      </c>
      <c r="H4471">
        <v>5.34331252834516E-2</v>
      </c>
      <c r="I4471">
        <v>2.75867584422963E-2</v>
      </c>
      <c r="J4471">
        <v>2.6395120505227802E-2</v>
      </c>
      <c r="K4471">
        <v>3.00293310998417E-2</v>
      </c>
      <c r="L4471">
        <v>1101.86979879861</v>
      </c>
      <c r="M4471">
        <v>22.483665833744599</v>
      </c>
      <c r="N4471">
        <v>49.072789843219603</v>
      </c>
      <c r="O4471">
        <v>48.624823181700997</v>
      </c>
      <c r="P4471">
        <v>-0.113898420215914</v>
      </c>
      <c r="Q4471">
        <v>1.47199023167681E-2</v>
      </c>
      <c r="R4471">
        <v>0.99453516701686695</v>
      </c>
      <c r="S4471" t="s">
        <v>10873</v>
      </c>
      <c r="T4471" t="s">
        <v>12802</v>
      </c>
      <c r="U4471" t="s">
        <v>12802</v>
      </c>
      <c r="V4471" t="s">
        <v>12802</v>
      </c>
      <c r="W4471" t="s">
        <v>17214</v>
      </c>
      <c r="X4471">
        <v>11</v>
      </c>
      <c r="Y4471" t="s">
        <v>23434</v>
      </c>
      <c r="Z4471" t="s">
        <v>29789</v>
      </c>
      <c r="AA4471">
        <v>0.41952029127474932</v>
      </c>
      <c r="AB4471" t="str">
        <f>HYPERLINK("Melting_Curves/meltCurve_Q8NBF2_NHLRC2.pdf", "Melting_Curves/meltCurve_Q8NBF2_NHLRC2.pdf")</f>
        <v>Melting_Curves/meltCurve_Q8NBF2_NHLRC2.pdf</v>
      </c>
    </row>
    <row r="4472" spans="1:28" x14ac:dyDescent="0.25">
      <c r="A4472" t="s">
        <v>4476</v>
      </c>
      <c r="B4472">
        <v>0.99542014353169495</v>
      </c>
      <c r="C4472">
        <v>0.96098463504848997</v>
      </c>
      <c r="D4472">
        <v>0.91288073260750402</v>
      </c>
      <c r="E4472">
        <v>0.81310009453759202</v>
      </c>
      <c r="F4472">
        <v>0.554179226839429</v>
      </c>
      <c r="G4472">
        <v>0.31385266503669002</v>
      </c>
      <c r="H4472">
        <v>8.91205710476628E-2</v>
      </c>
      <c r="I4472">
        <v>4.6140035088826102E-2</v>
      </c>
      <c r="J4472">
        <v>4.1271822414541498E-2</v>
      </c>
      <c r="K4472">
        <v>3.2889384049379598E-2</v>
      </c>
      <c r="L4472">
        <v>821.35940576163</v>
      </c>
      <c r="M4472">
        <v>16.174761724311299</v>
      </c>
      <c r="N4472">
        <v>50.780310433697501</v>
      </c>
      <c r="O4472">
        <v>50.023138009821501</v>
      </c>
      <c r="P4472">
        <v>-8.0842471337743901E-2</v>
      </c>
      <c r="Q4472">
        <v>0</v>
      </c>
      <c r="R4472">
        <v>0.99658257389847404</v>
      </c>
      <c r="S4472" t="s">
        <v>10874</v>
      </c>
      <c r="T4472" t="s">
        <v>12802</v>
      </c>
      <c r="U4472" t="s">
        <v>12802</v>
      </c>
      <c r="V4472" t="s">
        <v>12802</v>
      </c>
      <c r="W4472" t="s">
        <v>17215</v>
      </c>
      <c r="X4472">
        <v>6</v>
      </c>
      <c r="Y4472" t="s">
        <v>23435</v>
      </c>
      <c r="Z4472" t="s">
        <v>29790</v>
      </c>
      <c r="AA4472">
        <v>0.47763901212965398</v>
      </c>
      <c r="AB4472" t="str">
        <f>HYPERLINK("Melting_Curves/meltCurve_Q8NBF6_AVL9.pdf", "Melting_Curves/meltCurve_Q8NBF6_AVL9.pdf")</f>
        <v>Melting_Curves/meltCurve_Q8NBF6_AVL9.pdf</v>
      </c>
    </row>
    <row r="4473" spans="1:28" x14ac:dyDescent="0.25">
      <c r="A4473" t="s">
        <v>4477</v>
      </c>
      <c r="B4473">
        <v>0.99542014353169495</v>
      </c>
      <c r="C4473">
        <v>0.86991060535143605</v>
      </c>
      <c r="D4473">
        <v>1.01244107182544</v>
      </c>
      <c r="E4473">
        <v>0.84513554181070505</v>
      </c>
      <c r="F4473">
        <v>0.69856695935262303</v>
      </c>
      <c r="G4473">
        <v>0.447813829918211</v>
      </c>
      <c r="H4473">
        <v>0.36238649905050102</v>
      </c>
      <c r="I4473">
        <v>0.30972408421416098</v>
      </c>
      <c r="J4473">
        <v>0.37157456427771302</v>
      </c>
      <c r="K4473">
        <v>0.29030484527545403</v>
      </c>
      <c r="L4473">
        <v>932.123491929274</v>
      </c>
      <c r="M4473">
        <v>18.491875117888998</v>
      </c>
      <c r="N4473">
        <v>53.097376624415098</v>
      </c>
      <c r="O4473">
        <v>49.828805157006798</v>
      </c>
      <c r="P4473">
        <v>-6.45684390124239E-2</v>
      </c>
      <c r="Q4473">
        <v>0.30407826044681902</v>
      </c>
      <c r="R4473">
        <v>0.96973895144385103</v>
      </c>
      <c r="S4473" t="s">
        <v>10875</v>
      </c>
      <c r="T4473" t="s">
        <v>12802</v>
      </c>
      <c r="U4473" t="s">
        <v>12802</v>
      </c>
      <c r="V4473" t="s">
        <v>12802</v>
      </c>
      <c r="W4473" t="s">
        <v>17216</v>
      </c>
      <c r="X4473">
        <v>5</v>
      </c>
      <c r="Y4473" t="s">
        <v>23436</v>
      </c>
      <c r="Z4473" t="s">
        <v>29791</v>
      </c>
      <c r="AA4473">
        <v>0.62552738764956495</v>
      </c>
      <c r="AB4473" t="str">
        <f>HYPERLINK("Melting_Curves/meltCurve_Q8NBI5_SLC43A3.pdf", "Melting_Curves/meltCurve_Q8NBI5_SLC43A3.pdf")</f>
        <v>Melting_Curves/meltCurve_Q8NBI5_SLC43A3.pdf</v>
      </c>
    </row>
    <row r="4474" spans="1:28" x14ac:dyDescent="0.25">
      <c r="A4474" t="s">
        <v>4478</v>
      </c>
      <c r="B4474">
        <v>0.99542014353169495</v>
      </c>
      <c r="C4474">
        <v>1.0282772644445399</v>
      </c>
      <c r="D4474">
        <v>0.99425157593292601</v>
      </c>
      <c r="E4474">
        <v>0.87098495553652699</v>
      </c>
      <c r="F4474">
        <v>0.77469917503416297</v>
      </c>
      <c r="G4474">
        <v>0.61270660024590695</v>
      </c>
      <c r="H4474">
        <v>0.37055935736940199</v>
      </c>
      <c r="I4474">
        <v>0.216045745479262</v>
      </c>
      <c r="J4474">
        <v>0.295055997253998</v>
      </c>
      <c r="K4474">
        <v>0.82984009869043296</v>
      </c>
      <c r="L4474">
        <v>1239.5243251818099</v>
      </c>
      <c r="M4474">
        <v>24.399430566117999</v>
      </c>
      <c r="N4474">
        <v>55.303538499878599</v>
      </c>
      <c r="O4474">
        <v>50.463804184731899</v>
      </c>
      <c r="P4474">
        <v>-6.8730972370893706E-2</v>
      </c>
      <c r="Q4474">
        <v>0.43140065729967503</v>
      </c>
      <c r="R4474">
        <v>0.70861051767599603</v>
      </c>
      <c r="S4474" t="s">
        <v>10876</v>
      </c>
      <c r="T4474" t="s">
        <v>12802</v>
      </c>
      <c r="U4474" t="s">
        <v>12802</v>
      </c>
      <c r="V4474" t="s">
        <v>12802</v>
      </c>
      <c r="W4474" t="s">
        <v>17217</v>
      </c>
      <c r="X4474">
        <v>2</v>
      </c>
      <c r="Y4474" t="s">
        <v>23437</v>
      </c>
      <c r="Z4474" t="s">
        <v>29792</v>
      </c>
      <c r="AA4474">
        <v>0.69822333552464111</v>
      </c>
      <c r="AB4474" t="str">
        <f>HYPERLINK("Melting_Curves/meltCurve_Q8NBI6_XXYLT1.pdf", "Melting_Curves/meltCurve_Q8NBI6_XXYLT1.pdf")</f>
        <v>Melting_Curves/meltCurve_Q8NBI6_XXYLT1.pdf</v>
      </c>
    </row>
    <row r="4475" spans="1:28" x14ac:dyDescent="0.25">
      <c r="A4475" t="s">
        <v>4479</v>
      </c>
      <c r="B4475">
        <v>0.99542014353169495</v>
      </c>
      <c r="C4475">
        <v>0.94932762646731805</v>
      </c>
      <c r="D4475">
        <v>0.90765698614380297</v>
      </c>
      <c r="E4475">
        <v>0.74032466242273098</v>
      </c>
      <c r="F4475">
        <v>0.41629762089591599</v>
      </c>
      <c r="G4475">
        <v>0.13955338382308899</v>
      </c>
      <c r="H4475">
        <v>9.0761111246011703E-2</v>
      </c>
      <c r="I4475">
        <v>5.8307907995064502E-2</v>
      </c>
      <c r="J4475">
        <v>6.2774361877610305E-2</v>
      </c>
      <c r="K4475">
        <v>5.23297859128668E-2</v>
      </c>
      <c r="L4475">
        <v>953.48127039689996</v>
      </c>
      <c r="M4475">
        <v>19.521823516980401</v>
      </c>
      <c r="N4475">
        <v>49.054464741703697</v>
      </c>
      <c r="O4475">
        <v>48.337976597754803</v>
      </c>
      <c r="P4475">
        <v>-9.6872331985375107E-2</v>
      </c>
      <c r="Q4475">
        <v>4.0572453545548802E-2</v>
      </c>
      <c r="R4475">
        <v>0.99708136901052802</v>
      </c>
      <c r="S4475" t="s">
        <v>10877</v>
      </c>
      <c r="T4475" t="s">
        <v>12802</v>
      </c>
      <c r="U4475" t="s">
        <v>12802</v>
      </c>
      <c r="V4475" t="s">
        <v>12802</v>
      </c>
      <c r="W4475" t="s">
        <v>17218</v>
      </c>
      <c r="X4475">
        <v>14</v>
      </c>
      <c r="Y4475" t="s">
        <v>23438</v>
      </c>
      <c r="Z4475" t="s">
        <v>29793</v>
      </c>
      <c r="AA4475">
        <v>0.43249213518519231</v>
      </c>
      <c r="AB4475" t="str">
        <f>HYPERLINK("Melting_Curves/meltCurve_Q8NBJ5_COLGALT1.pdf", "Melting_Curves/meltCurve_Q8NBJ5_COLGALT1.pdf")</f>
        <v>Melting_Curves/meltCurve_Q8NBJ5_COLGALT1.pdf</v>
      </c>
    </row>
    <row r="4476" spans="1:28" x14ac:dyDescent="0.25">
      <c r="A4476" t="s">
        <v>4480</v>
      </c>
      <c r="B4476">
        <v>0.99542014353169495</v>
      </c>
      <c r="C4476">
        <v>1.1836467610170101</v>
      </c>
      <c r="D4476">
        <v>0.95234023050375305</v>
      </c>
      <c r="E4476">
        <v>1.0256479199591</v>
      </c>
      <c r="F4476">
        <v>0.96240819796694799</v>
      </c>
      <c r="G4476">
        <v>0.63250169389067101</v>
      </c>
      <c r="H4476">
        <v>8.4041863823792098E-2</v>
      </c>
      <c r="I4476">
        <v>3.7881216827910499E-2</v>
      </c>
      <c r="J4476">
        <v>7.2946353722752905E-2</v>
      </c>
      <c r="K4476">
        <v>0</v>
      </c>
      <c r="L4476">
        <v>2768.5306383094799</v>
      </c>
      <c r="M4476">
        <v>50.984939258213501</v>
      </c>
      <c r="N4476">
        <v>54.3750374658593</v>
      </c>
      <c r="O4476">
        <v>54.217606785695203</v>
      </c>
      <c r="P4476">
        <v>-0.227206278675741</v>
      </c>
      <c r="Q4476">
        <v>3.3552173559882603E-2</v>
      </c>
      <c r="R4476">
        <v>0.98146878712547203</v>
      </c>
      <c r="S4476" t="s">
        <v>10878</v>
      </c>
      <c r="T4476" t="s">
        <v>12802</v>
      </c>
      <c r="U4476" t="s">
        <v>12802</v>
      </c>
      <c r="V4476" t="s">
        <v>12802</v>
      </c>
      <c r="W4476" t="s">
        <v>17219</v>
      </c>
      <c r="X4476">
        <v>1</v>
      </c>
      <c r="Y4476" t="s">
        <v>23439</v>
      </c>
      <c r="Z4476" t="s">
        <v>29794</v>
      </c>
      <c r="AA4476">
        <v>0.59312335052247911</v>
      </c>
      <c r="AB4476" t="str">
        <f>HYPERLINK("Melting_Curves/meltCurve_Q8NBK3_4_SUMF1.pdf", "Melting_Curves/meltCurve_Q8NBK3_4_SUMF1.pdf")</f>
        <v>Melting_Curves/meltCurve_Q8NBK3_4_SUMF1.pdf</v>
      </c>
    </row>
    <row r="4477" spans="1:28" x14ac:dyDescent="0.25">
      <c r="A4477" t="s">
        <v>4481</v>
      </c>
      <c r="B4477">
        <v>0.99542014353169495</v>
      </c>
      <c r="C4477">
        <v>0.90071724232360295</v>
      </c>
      <c r="D4477">
        <v>0.90763216280709103</v>
      </c>
      <c r="E4477">
        <v>0.67390947856119898</v>
      </c>
      <c r="F4477">
        <v>0.605794983040849</v>
      </c>
      <c r="G4477">
        <v>0.26054459273363301</v>
      </c>
      <c r="H4477">
        <v>0.28863945642940397</v>
      </c>
      <c r="I4477">
        <v>0.245596557285467</v>
      </c>
      <c r="J4477">
        <v>0.240759808667876</v>
      </c>
      <c r="K4477">
        <v>0.23391177899892299</v>
      </c>
      <c r="L4477">
        <v>676.81957658657802</v>
      </c>
      <c r="M4477">
        <v>13.9625212223555</v>
      </c>
      <c r="N4477">
        <v>50.339895723801</v>
      </c>
      <c r="O4477">
        <v>47.512164958365801</v>
      </c>
      <c r="P4477">
        <v>-5.8635129845649898E-2</v>
      </c>
      <c r="Q4477">
        <v>0.20200387337557901</v>
      </c>
      <c r="R4477">
        <v>0.97111971174765499</v>
      </c>
      <c r="S4477" t="s">
        <v>10879</v>
      </c>
      <c r="T4477" t="s">
        <v>12802</v>
      </c>
      <c r="U4477" t="s">
        <v>12802</v>
      </c>
      <c r="V4477" t="s">
        <v>12802</v>
      </c>
      <c r="W4477" t="s">
        <v>17220</v>
      </c>
      <c r="X4477">
        <v>7</v>
      </c>
      <c r="Y4477" t="s">
        <v>23440</v>
      </c>
      <c r="Z4477" t="s">
        <v>29795</v>
      </c>
      <c r="AA4477">
        <v>0.5267048621777668</v>
      </c>
      <c r="AB4477" t="str">
        <f>HYPERLINK("Melting_Curves/meltCurve_Q8NBL1_POGLUT1.pdf", "Melting_Curves/meltCurve_Q8NBL1_POGLUT1.pdf")</f>
        <v>Melting_Curves/meltCurve_Q8NBL1_POGLUT1.pdf</v>
      </c>
    </row>
    <row r="4478" spans="1:28" x14ac:dyDescent="0.25">
      <c r="A4478" t="s">
        <v>4482</v>
      </c>
      <c r="B4478">
        <v>0.99542014353169495</v>
      </c>
      <c r="C4478">
        <v>0.98142157207244596</v>
      </c>
      <c r="D4478">
        <v>0.888835670479179</v>
      </c>
      <c r="E4478">
        <v>0.68351788506506495</v>
      </c>
      <c r="F4478">
        <v>0.42610632698719503</v>
      </c>
      <c r="G4478">
        <v>0.20518063451617599</v>
      </c>
      <c r="H4478">
        <v>6.5402770718628295E-2</v>
      </c>
      <c r="I4478">
        <v>6.1147157148602603E-2</v>
      </c>
      <c r="J4478">
        <v>0.13114732336104401</v>
      </c>
      <c r="K4478">
        <v>0.17774047217916999</v>
      </c>
      <c r="L4478">
        <v>895.65327267293105</v>
      </c>
      <c r="M4478">
        <v>18.567500483879801</v>
      </c>
      <c r="N4478">
        <v>48.788151112022298</v>
      </c>
      <c r="O4478">
        <v>47.688592847168401</v>
      </c>
      <c r="P4478">
        <v>-8.8142296756394595E-2</v>
      </c>
      <c r="Q4478">
        <v>9.4504130785998203E-2</v>
      </c>
      <c r="R4478">
        <v>0.987504013713843</v>
      </c>
      <c r="S4478" t="s">
        <v>10880</v>
      </c>
      <c r="T4478" t="s">
        <v>12802</v>
      </c>
      <c r="U4478" t="s">
        <v>12802</v>
      </c>
      <c r="V4478" t="s">
        <v>12802</v>
      </c>
      <c r="W4478" t="s">
        <v>17221</v>
      </c>
      <c r="X4478">
        <v>3</v>
      </c>
      <c r="Y4478" t="s">
        <v>23441</v>
      </c>
      <c r="Z4478" t="s">
        <v>29796</v>
      </c>
      <c r="AA4478">
        <v>0.44735798935841847</v>
      </c>
      <c r="AB4478" t="str">
        <f>HYPERLINK("Melting_Curves/meltCurve_Q8NBM4_4_UBAC2.pdf", "Melting_Curves/meltCurve_Q8NBM4_4_UBAC2.pdf")</f>
        <v>Melting_Curves/meltCurve_Q8NBM4_4_UBAC2.pdf</v>
      </c>
    </row>
    <row r="4479" spans="1:28" x14ac:dyDescent="0.25">
      <c r="A4479" t="s">
        <v>4483</v>
      </c>
      <c r="B4479">
        <v>0.99542014353169495</v>
      </c>
      <c r="C4479">
        <v>1.12781257231484</v>
      </c>
      <c r="D4479">
        <v>1.03149581919371</v>
      </c>
      <c r="E4479">
        <v>0.97149431360203897</v>
      </c>
      <c r="F4479">
        <v>0.77416805156983404</v>
      </c>
      <c r="G4479">
        <v>0.58406635471946899</v>
      </c>
      <c r="H4479">
        <v>0.41765653029891098</v>
      </c>
      <c r="I4479">
        <v>0.29134781462710302</v>
      </c>
      <c r="J4479">
        <v>0.12267911145787901</v>
      </c>
      <c r="K4479">
        <v>0.13689183396027199</v>
      </c>
      <c r="L4479">
        <v>781.61538043984001</v>
      </c>
      <c r="M4479">
        <v>14.1999473473674</v>
      </c>
      <c r="N4479">
        <v>55.543670579117901</v>
      </c>
      <c r="O4479">
        <v>53.986395037493203</v>
      </c>
      <c r="P4479">
        <v>-6.18186068406422E-2</v>
      </c>
      <c r="Q4479">
        <v>6.0011723635958698E-2</v>
      </c>
      <c r="R4479">
        <v>0.97925069862477698</v>
      </c>
      <c r="S4479" t="s">
        <v>10881</v>
      </c>
      <c r="T4479" t="s">
        <v>12802</v>
      </c>
      <c r="U4479" t="s">
        <v>12802</v>
      </c>
      <c r="V4479" t="s">
        <v>12802</v>
      </c>
      <c r="W4479" t="s">
        <v>17222</v>
      </c>
      <c r="X4479">
        <v>4</v>
      </c>
      <c r="Y4479" t="s">
        <v>23442</v>
      </c>
      <c r="Z4479" t="s">
        <v>29797</v>
      </c>
      <c r="AA4479">
        <v>0.63873665691956016</v>
      </c>
      <c r="AB4479" t="str">
        <f>HYPERLINK("Melting_Curves/meltCurve_Q8NBM8_PCYOX1L.pdf", "Melting_Curves/meltCurve_Q8NBM8_PCYOX1L.pdf")</f>
        <v>Melting_Curves/meltCurve_Q8NBM8_PCYOX1L.pdf</v>
      </c>
    </row>
    <row r="4480" spans="1:28" x14ac:dyDescent="0.25">
      <c r="A4480" t="s">
        <v>4484</v>
      </c>
      <c r="B4480">
        <v>0.99542014353169495</v>
      </c>
      <c r="C4480">
        <v>0.98875884444947004</v>
      </c>
      <c r="D4480">
        <v>1.0530392547062499</v>
      </c>
      <c r="E4480">
        <v>0.95052115850316399</v>
      </c>
      <c r="F4480">
        <v>0.84998814167527104</v>
      </c>
      <c r="G4480">
        <v>0.61728767766891302</v>
      </c>
      <c r="H4480">
        <v>0.489264406435856</v>
      </c>
      <c r="I4480">
        <v>0.34647003508764401</v>
      </c>
      <c r="J4480">
        <v>0.37128038571342398</v>
      </c>
      <c r="K4480">
        <v>0.329976554039004</v>
      </c>
      <c r="L4480">
        <v>1036.94812772812</v>
      </c>
      <c r="M4480">
        <v>19.450080047897998</v>
      </c>
      <c r="N4480">
        <v>56.354678370591998</v>
      </c>
      <c r="O4480">
        <v>52.759339348178202</v>
      </c>
      <c r="P4480">
        <v>-6.2215220104497301E-2</v>
      </c>
      <c r="Q4480">
        <v>0.32497663585832198</v>
      </c>
      <c r="R4480">
        <v>0.99196843255510303</v>
      </c>
      <c r="S4480" t="s">
        <v>10882</v>
      </c>
      <c r="T4480" t="s">
        <v>12802</v>
      </c>
      <c r="U4480" t="s">
        <v>12802</v>
      </c>
      <c r="V4480" t="s">
        <v>12802</v>
      </c>
      <c r="W4480" t="s">
        <v>17223</v>
      </c>
      <c r="X4480">
        <v>5</v>
      </c>
      <c r="Y4480" t="s">
        <v>23443</v>
      </c>
      <c r="Z4480" t="s">
        <v>29798</v>
      </c>
      <c r="AA4480">
        <v>0.70077942075408117</v>
      </c>
      <c r="AB4480" t="str">
        <f>HYPERLINK("Melting_Curves/meltCurve_Q8NBN3_TMEM87A.pdf", "Melting_Curves/meltCurve_Q8NBN3_TMEM87A.pdf")</f>
        <v>Melting_Curves/meltCurve_Q8NBN3_TMEM87A.pdf</v>
      </c>
    </row>
    <row r="4481" spans="1:28" x14ac:dyDescent="0.25">
      <c r="A4481" t="s">
        <v>4485</v>
      </c>
      <c r="B4481">
        <v>0.99542014353169495</v>
      </c>
      <c r="C4481">
        <v>1.02661471577813</v>
      </c>
      <c r="D4481">
        <v>0.866168609776099</v>
      </c>
      <c r="E4481">
        <v>0.71257896129471299</v>
      </c>
      <c r="F4481">
        <v>0.27333836974801101</v>
      </c>
      <c r="G4481">
        <v>0.124245188931419</v>
      </c>
      <c r="H4481">
        <v>6.7910662349992101E-2</v>
      </c>
      <c r="I4481">
        <v>5.7265261829144702E-2</v>
      </c>
      <c r="J4481">
        <v>6.3493916664711395E-2</v>
      </c>
      <c r="K4481">
        <v>7.89200757739595E-2</v>
      </c>
      <c r="L4481">
        <v>1127.8164315205499</v>
      </c>
      <c r="M4481">
        <v>23.557539644482201</v>
      </c>
      <c r="N4481">
        <v>48.127467063262401</v>
      </c>
      <c r="O4481">
        <v>47.533984606559798</v>
      </c>
      <c r="P4481">
        <v>-0.116698100159044</v>
      </c>
      <c r="Q4481">
        <v>5.81306274577384E-2</v>
      </c>
      <c r="R4481">
        <v>0.99441424547033797</v>
      </c>
      <c r="S4481" t="s">
        <v>10883</v>
      </c>
      <c r="T4481" t="s">
        <v>12802</v>
      </c>
      <c r="U4481" t="s">
        <v>12802</v>
      </c>
      <c r="V4481" t="s">
        <v>12802</v>
      </c>
      <c r="W4481" t="s">
        <v>17224</v>
      </c>
      <c r="X4481">
        <v>15</v>
      </c>
      <c r="Y4481" t="s">
        <v>23444</v>
      </c>
      <c r="Z4481" t="s">
        <v>29799</v>
      </c>
      <c r="AA4481">
        <v>0.4085665989965454</v>
      </c>
      <c r="AB4481" t="str">
        <f>HYPERLINK("Melting_Curves/meltCurve_Q8NBN7_RDH13.pdf", "Melting_Curves/meltCurve_Q8NBN7_RDH13.pdf")</f>
        <v>Melting_Curves/meltCurve_Q8NBN7_RDH13.pdf</v>
      </c>
    </row>
    <row r="4482" spans="1:28" x14ac:dyDescent="0.25">
      <c r="A4482" t="s">
        <v>4486</v>
      </c>
      <c r="B4482">
        <v>0.99542014353169495</v>
      </c>
      <c r="C4482">
        <v>0.91253151031771396</v>
      </c>
      <c r="D4482">
        <v>0.92183623573361495</v>
      </c>
      <c r="E4482">
        <v>0.69976209955509405</v>
      </c>
      <c r="F4482">
        <v>0.34304193808385303</v>
      </c>
      <c r="G4482">
        <v>0.12235248408303299</v>
      </c>
      <c r="H4482">
        <v>8.3199542959161807E-2</v>
      </c>
      <c r="I4482">
        <v>5.5658613758080198E-2</v>
      </c>
      <c r="J4482">
        <v>8.8012274005023705E-2</v>
      </c>
      <c r="K4482">
        <v>5.7087004917879103E-2</v>
      </c>
      <c r="L4482">
        <v>1017.1595074706401</v>
      </c>
      <c r="M4482">
        <v>21.117469342260001</v>
      </c>
      <c r="N4482">
        <v>48.432060344470699</v>
      </c>
      <c r="O4482">
        <v>47.741038289353199</v>
      </c>
      <c r="P4482">
        <v>-0.104545944679799</v>
      </c>
      <c r="Q4482">
        <v>5.4621301752564903E-2</v>
      </c>
      <c r="R4482">
        <v>0.99491133614767602</v>
      </c>
      <c r="S4482" t="s">
        <v>10884</v>
      </c>
      <c r="T4482" t="s">
        <v>12802</v>
      </c>
      <c r="U4482" t="s">
        <v>12802</v>
      </c>
      <c r="V4482" t="s">
        <v>12802</v>
      </c>
      <c r="W4482" t="s">
        <v>17225</v>
      </c>
      <c r="X4482">
        <v>7</v>
      </c>
      <c r="Y4482" t="s">
        <v>23445</v>
      </c>
      <c r="Z4482" t="s">
        <v>29800</v>
      </c>
      <c r="AA4482">
        <v>0.41772580146359028</v>
      </c>
      <c r="AB4482" t="str">
        <f>HYPERLINK("Melting_Curves/meltCurve_Q8NBU5_ATAD1.pdf", "Melting_Curves/meltCurve_Q8NBU5_ATAD1.pdf")</f>
        <v>Melting_Curves/meltCurve_Q8NBU5_ATAD1.pdf</v>
      </c>
    </row>
    <row r="4483" spans="1:28" x14ac:dyDescent="0.25">
      <c r="A4483" t="s">
        <v>4487</v>
      </c>
      <c r="B4483">
        <v>0.99542014353169495</v>
      </c>
      <c r="C4483">
        <v>0.97717673661091997</v>
      </c>
      <c r="D4483">
        <v>0.92863389425514897</v>
      </c>
      <c r="E4483">
        <v>0.90888020286901405</v>
      </c>
      <c r="F4483">
        <v>0.69454458939449903</v>
      </c>
      <c r="G4483">
        <v>0.40406541140798202</v>
      </c>
      <c r="H4483">
        <v>0.15112381469392899</v>
      </c>
      <c r="I4483">
        <v>7.2586998553777704E-2</v>
      </c>
      <c r="J4483">
        <v>7.2646213150755701E-2</v>
      </c>
      <c r="K4483">
        <v>7.5521831090778604E-2</v>
      </c>
      <c r="L4483">
        <v>1007.86465688242</v>
      </c>
      <c r="M4483">
        <v>19.321957449407499</v>
      </c>
      <c r="N4483">
        <v>52.381300890509401</v>
      </c>
      <c r="O4483">
        <v>51.612537095599897</v>
      </c>
      <c r="P4483">
        <v>-8.9952633246852501E-2</v>
      </c>
      <c r="Q4483">
        <v>3.8915144698332502E-2</v>
      </c>
      <c r="R4483">
        <v>0.99610990812286604</v>
      </c>
      <c r="S4483" t="s">
        <v>10885</v>
      </c>
      <c r="T4483" t="s">
        <v>12802</v>
      </c>
      <c r="U4483" t="s">
        <v>12802</v>
      </c>
      <c r="V4483" t="s">
        <v>12802</v>
      </c>
      <c r="W4483" t="s">
        <v>17226</v>
      </c>
      <c r="X4483">
        <v>12</v>
      </c>
      <c r="Y4483" t="s">
        <v>23446</v>
      </c>
      <c r="Z4483" t="s">
        <v>29801</v>
      </c>
      <c r="AA4483">
        <v>0.53767589898753476</v>
      </c>
      <c r="AB4483" t="str">
        <f>HYPERLINK("Melting_Curves/meltCurve_Q8NBX0_SCCPDH.pdf", "Melting_Curves/meltCurve_Q8NBX0_SCCPDH.pdf")</f>
        <v>Melting_Curves/meltCurve_Q8NBX0_SCCPDH.pdf</v>
      </c>
    </row>
    <row r="4484" spans="1:28" x14ac:dyDescent="0.25">
      <c r="A4484" t="s">
        <v>4488</v>
      </c>
      <c r="B4484">
        <v>0.99542014353169495</v>
      </c>
      <c r="C4484">
        <v>1.00224768532669</v>
      </c>
      <c r="D4484">
        <v>0.94756203887899504</v>
      </c>
      <c r="E4484">
        <v>0.78658355364242205</v>
      </c>
      <c r="F4484">
        <v>0.35038909830457099</v>
      </c>
      <c r="G4484">
        <v>0.119291767163656</v>
      </c>
      <c r="H4484">
        <v>7.1748670924141805E-2</v>
      </c>
      <c r="I4484">
        <v>5.2714872054385201E-2</v>
      </c>
      <c r="J4484">
        <v>6.7418729045425202E-2</v>
      </c>
      <c r="K4484">
        <v>6.8976648822580602E-2</v>
      </c>
      <c r="L4484">
        <v>1301.7273326909601</v>
      </c>
      <c r="M4484">
        <v>26.738100071879899</v>
      </c>
      <c r="N4484">
        <v>48.911041327484398</v>
      </c>
      <c r="O4484">
        <v>48.414489177874302</v>
      </c>
      <c r="P4484">
        <v>-0.130024592011006</v>
      </c>
      <c r="Q4484">
        <v>5.8271304479208398E-2</v>
      </c>
      <c r="R4484">
        <v>0.999369204364568</v>
      </c>
      <c r="S4484" t="s">
        <v>10886</v>
      </c>
      <c r="T4484" t="s">
        <v>12802</v>
      </c>
      <c r="U4484" t="s">
        <v>12802</v>
      </c>
      <c r="V4484" t="s">
        <v>12802</v>
      </c>
      <c r="W4484" t="s">
        <v>17227</v>
      </c>
      <c r="X4484">
        <v>18</v>
      </c>
      <c r="Y4484" t="s">
        <v>23447</v>
      </c>
      <c r="Z4484" t="s">
        <v>29802</v>
      </c>
      <c r="AA4484">
        <v>0.43215488787294709</v>
      </c>
      <c r="AB4484" t="str">
        <f>HYPERLINK("Melting_Curves/meltCurve_Q8NBY1_MST4.pdf", "Melting_Curves/meltCurve_Q8NBY1_MST4.pdf")</f>
        <v>Melting_Curves/meltCurve_Q8NBY1_MST4.pdf</v>
      </c>
    </row>
    <row r="4485" spans="1:28" x14ac:dyDescent="0.25">
      <c r="A4485" t="s">
        <v>4489</v>
      </c>
      <c r="B4485">
        <v>0.99542014353169495</v>
      </c>
      <c r="C4485">
        <v>0.99273815165498802</v>
      </c>
      <c r="D4485">
        <v>0.88406337604452101</v>
      </c>
      <c r="E4485">
        <v>0.79101463264465199</v>
      </c>
      <c r="F4485">
        <v>0.55651806517148295</v>
      </c>
      <c r="G4485">
        <v>0.531898798867531</v>
      </c>
      <c r="H4485">
        <v>0.58031498044013696</v>
      </c>
      <c r="I4485">
        <v>0.74791456968176095</v>
      </c>
      <c r="J4485">
        <v>1.6910882703155701</v>
      </c>
      <c r="K4485">
        <v>2.4952327064811102</v>
      </c>
      <c r="L4485">
        <v>15000</v>
      </c>
      <c r="M4485">
        <v>239.81795446526999</v>
      </c>
      <c r="O4485">
        <v>62.543094445262597</v>
      </c>
      <c r="P4485">
        <v>0.47930542659284497</v>
      </c>
      <c r="Q4485">
        <v>1.5</v>
      </c>
      <c r="R4485">
        <v>0.490825487525826</v>
      </c>
      <c r="S4485" t="s">
        <v>10887</v>
      </c>
      <c r="T4485" t="s">
        <v>12802</v>
      </c>
      <c r="U4485" t="s">
        <v>12802</v>
      </c>
      <c r="V4485" t="s">
        <v>12802</v>
      </c>
      <c r="W4485" t="s">
        <v>17228</v>
      </c>
      <c r="X4485">
        <v>22</v>
      </c>
      <c r="Y4485" t="s">
        <v>23448</v>
      </c>
      <c r="Z4485" t="s">
        <v>29803</v>
      </c>
      <c r="AA4485">
        <v>1.0741496271126729</v>
      </c>
      <c r="AB4485" t="str">
        <f>HYPERLINK("Melting_Curves/meltCurve_Q8NC51_2_SERBP1.pdf", "Melting_Curves/meltCurve_Q8NC51_2_SERBP1.pdf")</f>
        <v>Melting_Curves/meltCurve_Q8NC51_2_SERBP1.pdf</v>
      </c>
    </row>
    <row r="4486" spans="1:28" x14ac:dyDescent="0.25">
      <c r="A4486" t="s">
        <v>4490</v>
      </c>
      <c r="B4486">
        <v>0.99542014353169495</v>
      </c>
      <c r="C4486">
        <v>0.98179461947795199</v>
      </c>
      <c r="D4486">
        <v>1.0679202536664401</v>
      </c>
      <c r="E4486">
        <v>0.62113659388045706</v>
      </c>
      <c r="F4486">
        <v>0.34922435822098902</v>
      </c>
      <c r="G4486">
        <v>0.18634009573461</v>
      </c>
      <c r="H4486">
        <v>0.13459818966668399</v>
      </c>
      <c r="I4486">
        <v>0.124505587142755</v>
      </c>
      <c r="J4486">
        <v>0.10819971369253401</v>
      </c>
      <c r="K4486">
        <v>0.12012975956285001</v>
      </c>
      <c r="L4486">
        <v>1219.8946594754</v>
      </c>
      <c r="M4486">
        <v>25.6218839677571</v>
      </c>
      <c r="N4486">
        <v>48.156904010402599</v>
      </c>
      <c r="O4486">
        <v>47.324244146346302</v>
      </c>
      <c r="P4486">
        <v>-0.118306678895276</v>
      </c>
      <c r="Q4486">
        <v>0.12594935108035199</v>
      </c>
      <c r="R4486">
        <v>0.98626976822442203</v>
      </c>
      <c r="S4486" t="s">
        <v>10888</v>
      </c>
      <c r="T4486" t="s">
        <v>12802</v>
      </c>
      <c r="U4486" t="s">
        <v>12802</v>
      </c>
      <c r="V4486" t="s">
        <v>12802</v>
      </c>
      <c r="W4486" t="s">
        <v>17229</v>
      </c>
      <c r="X4486">
        <v>6</v>
      </c>
      <c r="Y4486" t="s">
        <v>23449</v>
      </c>
      <c r="Z4486" t="s">
        <v>29804</v>
      </c>
      <c r="AA4486">
        <v>0.44216595280626692</v>
      </c>
      <c r="AB4486" t="str">
        <f>HYPERLINK("Melting_Curves/meltCurve_Q8NC56_LEMD2.pdf", "Melting_Curves/meltCurve_Q8NC56_LEMD2.pdf")</f>
        <v>Melting_Curves/meltCurve_Q8NC56_LEMD2.pdf</v>
      </c>
    </row>
    <row r="4487" spans="1:28" x14ac:dyDescent="0.25">
      <c r="A4487" t="s">
        <v>4491</v>
      </c>
      <c r="B4487">
        <v>0.99542014353169495</v>
      </c>
      <c r="C4487">
        <v>1.04772137162917</v>
      </c>
      <c r="D4487">
        <v>1.00137818498348</v>
      </c>
      <c r="E4487">
        <v>0.84679150453106</v>
      </c>
      <c r="F4487">
        <v>0.39581772406557503</v>
      </c>
      <c r="G4487">
        <v>0.14314378259524399</v>
      </c>
      <c r="H4487">
        <v>6.7915514849931899E-2</v>
      </c>
      <c r="I4487">
        <v>3.7547337849823399E-2</v>
      </c>
      <c r="J4487">
        <v>3.0580311635357099E-2</v>
      </c>
      <c r="K4487">
        <v>3.3119405560874199E-2</v>
      </c>
      <c r="L4487">
        <v>1368.1385462675</v>
      </c>
      <c r="M4487">
        <v>27.730349941864901</v>
      </c>
      <c r="N4487">
        <v>49.4791624724622</v>
      </c>
      <c r="O4487">
        <v>49.082789800322097</v>
      </c>
      <c r="P4487">
        <v>-0.135843823075422</v>
      </c>
      <c r="Q4487">
        <v>3.8232930119400502E-2</v>
      </c>
      <c r="R4487">
        <v>0.99817739035379804</v>
      </c>
      <c r="S4487" t="s">
        <v>10889</v>
      </c>
      <c r="T4487" t="s">
        <v>12802</v>
      </c>
      <c r="U4487" t="s">
        <v>12802</v>
      </c>
      <c r="V4487" t="s">
        <v>12802</v>
      </c>
      <c r="W4487" t="s">
        <v>17230</v>
      </c>
      <c r="X4487">
        <v>7</v>
      </c>
      <c r="Y4487" t="s">
        <v>23450</v>
      </c>
      <c r="Z4487" t="s">
        <v>29805</v>
      </c>
      <c r="AA4487">
        <v>0.44056919448085069</v>
      </c>
      <c r="AB4487" t="str">
        <f>HYPERLINK("Melting_Curves/meltCurve_Q8NC60_NOA1.pdf", "Melting_Curves/meltCurve_Q8NC60_NOA1.pdf")</f>
        <v>Melting_Curves/meltCurve_Q8NC60_NOA1.pdf</v>
      </c>
    </row>
    <row r="4488" spans="1:28" x14ac:dyDescent="0.25">
      <c r="A4488" t="s">
        <v>4492</v>
      </c>
      <c r="B4488">
        <v>0.99542014353169495</v>
      </c>
      <c r="C4488">
        <v>0.98780566961307104</v>
      </c>
      <c r="D4488">
        <v>0.90606278921898997</v>
      </c>
      <c r="E4488">
        <v>0.86405695001454697</v>
      </c>
      <c r="F4488">
        <v>0.71679204043660505</v>
      </c>
      <c r="G4488">
        <v>0.38535105242936302</v>
      </c>
      <c r="H4488">
        <v>0.20237139043890401</v>
      </c>
      <c r="I4488">
        <v>0.16107867300996301</v>
      </c>
      <c r="J4488">
        <v>0.220719596538201</v>
      </c>
      <c r="K4488">
        <v>0.318328735587324</v>
      </c>
      <c r="L4488">
        <v>1207.20813996478</v>
      </c>
      <c r="M4488">
        <v>23.7017496252992</v>
      </c>
      <c r="N4488">
        <v>52.138559141165899</v>
      </c>
      <c r="O4488">
        <v>50.5748600595035</v>
      </c>
      <c r="P4488">
        <v>-9.2451486337621402E-2</v>
      </c>
      <c r="Q4488">
        <v>0.21091988041741</v>
      </c>
      <c r="R4488">
        <v>0.97154457056253996</v>
      </c>
      <c r="S4488" t="s">
        <v>10890</v>
      </c>
      <c r="T4488" t="s">
        <v>12802</v>
      </c>
      <c r="U4488" t="s">
        <v>12802</v>
      </c>
      <c r="V4488" t="s">
        <v>12802</v>
      </c>
      <c r="W4488" t="s">
        <v>17231</v>
      </c>
      <c r="X4488">
        <v>4</v>
      </c>
      <c r="Y4488" t="s">
        <v>23451</v>
      </c>
      <c r="Z4488" t="s">
        <v>29806</v>
      </c>
      <c r="AA4488">
        <v>0.58507983923751694</v>
      </c>
      <c r="AB4488" t="str">
        <f>HYPERLINK("Melting_Curves/meltCurve_Q8NC96_NECAP1.pdf", "Melting_Curves/meltCurve_Q8NC96_NECAP1.pdf")</f>
        <v>Melting_Curves/meltCurve_Q8NC96_NECAP1.pdf</v>
      </c>
    </row>
    <row r="4489" spans="1:28" x14ac:dyDescent="0.25">
      <c r="A4489" t="s">
        <v>4493</v>
      </c>
      <c r="B4489">
        <v>0.99542014353169495</v>
      </c>
      <c r="C4489">
        <v>0.87821131819057496</v>
      </c>
      <c r="D4489">
        <v>1.0460087179180899</v>
      </c>
      <c r="E4489">
        <v>0.89817678303353599</v>
      </c>
      <c r="F4489">
        <v>0.60029134658040895</v>
      </c>
      <c r="G4489">
        <v>0.157455533802286</v>
      </c>
      <c r="H4489">
        <v>8.96575080852694E-2</v>
      </c>
      <c r="I4489">
        <v>5.6531266878564398E-2</v>
      </c>
      <c r="J4489">
        <v>4.4693562242862299E-2</v>
      </c>
      <c r="K4489">
        <v>6.2538192624465402E-2</v>
      </c>
      <c r="L4489">
        <v>1552.3025675862</v>
      </c>
      <c r="M4489">
        <v>30.689099186503501</v>
      </c>
      <c r="N4489">
        <v>50.762181152727898</v>
      </c>
      <c r="O4489">
        <v>50.368246319046698</v>
      </c>
      <c r="P4489">
        <v>-0.14444581160988201</v>
      </c>
      <c r="Q4489">
        <v>5.1723380122150102E-2</v>
      </c>
      <c r="R4489">
        <v>0.98841468010067002</v>
      </c>
      <c r="S4489" t="s">
        <v>10891</v>
      </c>
      <c r="T4489" t="s">
        <v>12802</v>
      </c>
      <c r="U4489" t="s">
        <v>12802</v>
      </c>
      <c r="V4489" t="s">
        <v>12802</v>
      </c>
      <c r="W4489" t="s">
        <v>17232</v>
      </c>
      <c r="X4489">
        <v>7</v>
      </c>
      <c r="Y4489" t="s">
        <v>23452</v>
      </c>
      <c r="Z4489" t="s">
        <v>29807</v>
      </c>
      <c r="AA4489">
        <v>0.48664157499544081</v>
      </c>
      <c r="AB4489" t="str">
        <f>HYPERLINK("Melting_Curves/meltCurve_Q8NCA5_2_FAM98A.pdf", "Melting_Curves/meltCurve_Q8NCA5_2_FAM98A.pdf")</f>
        <v>Melting_Curves/meltCurve_Q8NCA5_2_FAM98A.pdf</v>
      </c>
    </row>
    <row r="4490" spans="1:28" x14ac:dyDescent="0.25">
      <c r="A4490" t="s">
        <v>4494</v>
      </c>
      <c r="B4490">
        <v>0.99542014353169495</v>
      </c>
      <c r="C4490">
        <v>1.0318663535311601</v>
      </c>
      <c r="D4490">
        <v>0.85352943829678296</v>
      </c>
      <c r="E4490">
        <v>0.85572067459554402</v>
      </c>
      <c r="F4490">
        <v>0.77606514690797201</v>
      </c>
      <c r="G4490">
        <v>0.64074010434510897</v>
      </c>
      <c r="H4490">
        <v>0.48017218629555602</v>
      </c>
      <c r="I4490">
        <v>0.48268420805970202</v>
      </c>
      <c r="J4490">
        <v>0.68290253889631403</v>
      </c>
      <c r="K4490">
        <v>0.74376322668379602</v>
      </c>
      <c r="L4490">
        <v>798.97512837729903</v>
      </c>
      <c r="M4490">
        <v>16.8000354541389</v>
      </c>
      <c r="O4490">
        <v>46.899438429205198</v>
      </c>
      <c r="P4490">
        <v>-3.5981655677668103E-2</v>
      </c>
      <c r="Q4490">
        <v>0.59823651933869704</v>
      </c>
      <c r="R4490">
        <v>0.76455925107305001</v>
      </c>
      <c r="S4490" t="s">
        <v>10892</v>
      </c>
      <c r="T4490" t="s">
        <v>12802</v>
      </c>
      <c r="U4490" t="s">
        <v>12802</v>
      </c>
      <c r="V4490" t="s">
        <v>12802</v>
      </c>
      <c r="W4490" t="s">
        <v>17233</v>
      </c>
      <c r="X4490">
        <v>6</v>
      </c>
      <c r="Y4490" t="s">
        <v>23453</v>
      </c>
      <c r="Z4490" t="s">
        <v>29808</v>
      </c>
      <c r="AA4490">
        <v>0.74693514632505231</v>
      </c>
      <c r="AB4490" t="str">
        <f>HYPERLINK("Melting_Curves/meltCurve_Q8NCC3_PLA2G15.pdf", "Melting_Curves/meltCurve_Q8NCC3_PLA2G15.pdf")</f>
        <v>Melting_Curves/meltCurve_Q8NCC3_PLA2G15.pdf</v>
      </c>
    </row>
    <row r="4491" spans="1:28" x14ac:dyDescent="0.25">
      <c r="A4491" t="s">
        <v>4495</v>
      </c>
      <c r="B4491">
        <v>0.99542014353169495</v>
      </c>
      <c r="C4491">
        <v>1.0512580138405601</v>
      </c>
      <c r="D4491">
        <v>0.85546904719972205</v>
      </c>
      <c r="E4491">
        <v>0.82699843009547003</v>
      </c>
      <c r="F4491">
        <v>0.51663656421357496</v>
      </c>
      <c r="G4491">
        <v>0.19670225287769599</v>
      </c>
      <c r="H4491">
        <v>7.8774003027409098E-2</v>
      </c>
      <c r="I4491">
        <v>5.2381596772678E-2</v>
      </c>
      <c r="J4491">
        <v>4.1848404194517803E-2</v>
      </c>
      <c r="K4491">
        <v>6.00017636015302E-2</v>
      </c>
      <c r="L4491">
        <v>981.91168930691504</v>
      </c>
      <c r="M4491">
        <v>19.648739833872799</v>
      </c>
      <c r="N4491">
        <v>50.117848564669998</v>
      </c>
      <c r="O4491">
        <v>49.464284159582498</v>
      </c>
      <c r="P4491">
        <v>-9.6574815933160502E-2</v>
      </c>
      <c r="Q4491">
        <v>2.7553677992108099E-2</v>
      </c>
      <c r="R4491">
        <v>0.98962204849242796</v>
      </c>
      <c r="S4491" t="s">
        <v>10893</v>
      </c>
      <c r="T4491" t="s">
        <v>12802</v>
      </c>
      <c r="U4491" t="s">
        <v>12802</v>
      </c>
      <c r="V4491" t="s">
        <v>12802</v>
      </c>
      <c r="W4491" t="s">
        <v>17234</v>
      </c>
      <c r="X4491">
        <v>2</v>
      </c>
      <c r="Y4491" t="s">
        <v>23454</v>
      </c>
      <c r="Z4491" t="s">
        <v>29809</v>
      </c>
      <c r="AA4491">
        <v>0.46128960973668032</v>
      </c>
      <c r="AB4491" t="str">
        <f>HYPERLINK("Melting_Curves/meltCurve_Q8NCE2_3_MTMR14.pdf", "Melting_Curves/meltCurve_Q8NCE2_3_MTMR14.pdf")</f>
        <v>Melting_Curves/meltCurve_Q8NCE2_3_MTMR14.pdf</v>
      </c>
    </row>
    <row r="4492" spans="1:28" x14ac:dyDescent="0.25">
      <c r="A4492" t="s">
        <v>4496</v>
      </c>
      <c r="B4492">
        <v>0.99542014353169495</v>
      </c>
      <c r="C4492">
        <v>0.99572704626309605</v>
      </c>
      <c r="D4492">
        <v>0.88161590095624898</v>
      </c>
      <c r="E4492">
        <v>0.76065793492627098</v>
      </c>
      <c r="F4492">
        <v>0.42877851743753298</v>
      </c>
      <c r="G4492">
        <v>0.259790108502297</v>
      </c>
      <c r="H4492">
        <v>0.135922356969573</v>
      </c>
      <c r="I4492">
        <v>0.10689049550159201</v>
      </c>
      <c r="J4492">
        <v>0.12821996881849199</v>
      </c>
      <c r="K4492">
        <v>0.143498340719384</v>
      </c>
      <c r="L4492">
        <v>890.57345286131795</v>
      </c>
      <c r="M4492">
        <v>18.261996085568899</v>
      </c>
      <c r="N4492">
        <v>49.426791720401901</v>
      </c>
      <c r="O4492">
        <v>48.193015037027699</v>
      </c>
      <c r="P4492">
        <v>-8.4483054194347706E-2</v>
      </c>
      <c r="Q4492">
        <v>0.108245707749948</v>
      </c>
      <c r="R4492">
        <v>0.99569417562898599</v>
      </c>
      <c r="S4492" t="s">
        <v>10894</v>
      </c>
      <c r="T4492" t="s">
        <v>12802</v>
      </c>
      <c r="U4492" t="s">
        <v>12802</v>
      </c>
      <c r="V4492" t="s">
        <v>12802</v>
      </c>
      <c r="W4492" t="s">
        <v>17235</v>
      </c>
      <c r="X4492">
        <v>3</v>
      </c>
      <c r="Y4492" t="s">
        <v>23455</v>
      </c>
      <c r="Z4492" t="s">
        <v>29810</v>
      </c>
      <c r="AA4492">
        <v>0.471847337550788</v>
      </c>
      <c r="AB4492" t="str">
        <f>HYPERLINK("Melting_Curves/meltCurve_Q8NCF5_NFATC2IP.pdf", "Melting_Curves/meltCurve_Q8NCF5_NFATC2IP.pdf")</f>
        <v>Melting_Curves/meltCurve_Q8NCF5_NFATC2IP.pdf</v>
      </c>
    </row>
    <row r="4493" spans="1:28" x14ac:dyDescent="0.25">
      <c r="A4493" t="s">
        <v>4497</v>
      </c>
      <c r="B4493">
        <v>0.99542014353169495</v>
      </c>
      <c r="C4493">
        <v>0.89783764905031405</v>
      </c>
      <c r="D4493">
        <v>0.82076332067310798</v>
      </c>
      <c r="E4493">
        <v>0.74016556969022096</v>
      </c>
      <c r="F4493">
        <v>0.43664974298164599</v>
      </c>
      <c r="G4493">
        <v>0.18599865828734399</v>
      </c>
      <c r="H4493">
        <v>0.11271151976228699</v>
      </c>
      <c r="I4493">
        <v>6.7725187231561401E-2</v>
      </c>
      <c r="J4493">
        <v>3.9795162696430603E-2</v>
      </c>
      <c r="K4493">
        <v>8.3492904985618802E-2</v>
      </c>
      <c r="L4493">
        <v>694.84031100152799</v>
      </c>
      <c r="M4493">
        <v>14.1966194503926</v>
      </c>
      <c r="N4493">
        <v>49.068862580178603</v>
      </c>
      <c r="O4493">
        <v>48.003640374495902</v>
      </c>
      <c r="P4493">
        <v>-7.2633294032034196E-2</v>
      </c>
      <c r="Q4493">
        <v>1.7730749850403502E-2</v>
      </c>
      <c r="R4493">
        <v>0.98807453063600503</v>
      </c>
      <c r="S4493" t="s">
        <v>10895</v>
      </c>
      <c r="T4493" t="s">
        <v>12802</v>
      </c>
      <c r="U4493" t="s">
        <v>12802</v>
      </c>
      <c r="V4493" t="s">
        <v>12802</v>
      </c>
      <c r="W4493" t="s">
        <v>17236</v>
      </c>
      <c r="X4493">
        <v>4</v>
      </c>
      <c r="Y4493" t="s">
        <v>23456</v>
      </c>
      <c r="Z4493" t="s">
        <v>29811</v>
      </c>
      <c r="AA4493">
        <v>0.43184889358668599</v>
      </c>
      <c r="AB4493" t="str">
        <f>HYPERLINK("Melting_Curves/meltCurve_Q8NCH0_CHST14.pdf", "Melting_Curves/meltCurve_Q8NCH0_CHST14.pdf")</f>
        <v>Melting_Curves/meltCurve_Q8NCH0_CHST14.pdf</v>
      </c>
    </row>
    <row r="4494" spans="1:28" x14ac:dyDescent="0.25">
      <c r="A4494" t="s">
        <v>4498</v>
      </c>
      <c r="B4494">
        <v>0.99542014353169495</v>
      </c>
      <c r="C4494">
        <v>0.92528055550400701</v>
      </c>
      <c r="D4494">
        <v>0.99405240156420205</v>
      </c>
      <c r="E4494">
        <v>0.88557727000393505</v>
      </c>
      <c r="F4494">
        <v>0.74913910827363595</v>
      </c>
      <c r="G4494">
        <v>0.22975894186003901</v>
      </c>
      <c r="H4494">
        <v>5.5431069653748201E-2</v>
      </c>
      <c r="I4494">
        <v>4.2982957793635201E-2</v>
      </c>
      <c r="J4494">
        <v>3.2508365013853402E-2</v>
      </c>
      <c r="K4494">
        <v>3.4079981516413803E-2</v>
      </c>
      <c r="L4494">
        <v>1632.7917028158499</v>
      </c>
      <c r="M4494">
        <v>31.603608643039699</v>
      </c>
      <c r="N4494">
        <v>51.756928887592302</v>
      </c>
      <c r="O4494">
        <v>51.4591840850699</v>
      </c>
      <c r="P4494">
        <v>-0.149335318345269</v>
      </c>
      <c r="Q4494">
        <v>2.7372718198583602E-2</v>
      </c>
      <c r="R4494">
        <v>0.99233340447470497</v>
      </c>
      <c r="S4494" t="s">
        <v>10896</v>
      </c>
      <c r="T4494" t="s">
        <v>12802</v>
      </c>
      <c r="U4494" t="s">
        <v>12802</v>
      </c>
      <c r="V4494" t="s">
        <v>12802</v>
      </c>
      <c r="W4494" t="s">
        <v>17237</v>
      </c>
      <c r="X4494">
        <v>3</v>
      </c>
      <c r="Y4494" t="s">
        <v>23457</v>
      </c>
      <c r="Z4494" t="s">
        <v>29812</v>
      </c>
      <c r="AA4494">
        <v>0.50834222854133548</v>
      </c>
      <c r="AB4494" t="str">
        <f>HYPERLINK("Melting_Curves/meltCurve_Q8NCL4_GALNT6.pdf", "Melting_Curves/meltCurve_Q8NCL4_GALNT6.pdf")</f>
        <v>Melting_Curves/meltCurve_Q8NCL4_GALNT6.pdf</v>
      </c>
    </row>
    <row r="4495" spans="1:28" x14ac:dyDescent="0.25">
      <c r="A4495" t="s">
        <v>4499</v>
      </c>
      <c r="B4495">
        <v>0.99542014353169495</v>
      </c>
      <c r="C4495">
        <v>0.99540322263050396</v>
      </c>
      <c r="D4495">
        <v>0.89936934958248804</v>
      </c>
      <c r="E4495">
        <v>0.61010809559233103</v>
      </c>
      <c r="F4495">
        <v>0.42619723001901999</v>
      </c>
      <c r="G4495">
        <v>0.26271381370008301</v>
      </c>
      <c r="H4495">
        <v>0.16067463483358399</v>
      </c>
      <c r="I4495">
        <v>0.117217118100522</v>
      </c>
      <c r="J4495">
        <v>0.14644047780313499</v>
      </c>
      <c r="K4495">
        <v>0.196349565766295</v>
      </c>
      <c r="L4495">
        <v>812.65514956871903</v>
      </c>
      <c r="M4495">
        <v>17.067121422331599</v>
      </c>
      <c r="N4495">
        <v>48.561571620330596</v>
      </c>
      <c r="O4495">
        <v>46.975963996125898</v>
      </c>
      <c r="P4495">
        <v>-7.7984514403473801E-2</v>
      </c>
      <c r="Q4495">
        <v>0.14146627183850299</v>
      </c>
      <c r="R4495">
        <v>0.99261555413960201</v>
      </c>
      <c r="S4495" t="s">
        <v>10897</v>
      </c>
      <c r="T4495" t="s">
        <v>12802</v>
      </c>
      <c r="U4495" t="s">
        <v>12802</v>
      </c>
      <c r="V4495" t="s">
        <v>12802</v>
      </c>
      <c r="W4495" t="s">
        <v>17238</v>
      </c>
      <c r="X4495">
        <v>6</v>
      </c>
      <c r="Y4495" t="s">
        <v>23458</v>
      </c>
      <c r="Z4495" t="s">
        <v>29813</v>
      </c>
      <c r="AA4495">
        <v>0.46041173626479759</v>
      </c>
      <c r="AB4495" t="str">
        <f>HYPERLINK("Melting_Curves/meltCurve_Q8NCN4_RNF169.pdf", "Melting_Curves/meltCurve_Q8NCN4_RNF169.pdf")</f>
        <v>Melting_Curves/meltCurve_Q8NCN4_RNF169.pdf</v>
      </c>
    </row>
    <row r="4496" spans="1:28" x14ac:dyDescent="0.25">
      <c r="A4496" t="s">
        <v>4500</v>
      </c>
      <c r="B4496">
        <v>0.99542014353169495</v>
      </c>
      <c r="C4496">
        <v>0.95564917984208897</v>
      </c>
      <c r="D4496">
        <v>0.94246397390168601</v>
      </c>
      <c r="E4496">
        <v>0.92188066803050805</v>
      </c>
      <c r="F4496">
        <v>0.758551574801823</v>
      </c>
      <c r="G4496">
        <v>0.638363516719607</v>
      </c>
      <c r="H4496">
        <v>0.52021301814533405</v>
      </c>
      <c r="I4496">
        <v>0.50745015201794696</v>
      </c>
      <c r="J4496">
        <v>0.77042975022229698</v>
      </c>
      <c r="K4496">
        <v>0.68208319298410902</v>
      </c>
      <c r="L4496">
        <v>1416.8890185600401</v>
      </c>
      <c r="M4496">
        <v>28.974951456905</v>
      </c>
      <c r="O4496">
        <v>48.669352782516</v>
      </c>
      <c r="P4496">
        <v>-5.66203909114813E-2</v>
      </c>
      <c r="Q4496">
        <v>0.61958096641711302</v>
      </c>
      <c r="R4496">
        <v>0.81284239162332605</v>
      </c>
      <c r="S4496" t="s">
        <v>10898</v>
      </c>
      <c r="T4496" t="s">
        <v>12802</v>
      </c>
      <c r="U4496" t="s">
        <v>12802</v>
      </c>
      <c r="V4496" t="s">
        <v>12802</v>
      </c>
      <c r="W4496" t="s">
        <v>17239</v>
      </c>
      <c r="X4496">
        <v>14</v>
      </c>
      <c r="Y4496" t="s">
        <v>23459</v>
      </c>
      <c r="Z4496" t="s">
        <v>29814</v>
      </c>
      <c r="AA4496">
        <v>0.77294132902822421</v>
      </c>
      <c r="AB4496" t="str">
        <f>HYPERLINK("Melting_Curves/meltCurve_Q8NCW5_APOA1BP.pdf", "Melting_Curves/meltCurve_Q8NCW5_APOA1BP.pdf")</f>
        <v>Melting_Curves/meltCurve_Q8NCW5_APOA1BP.pdf</v>
      </c>
    </row>
    <row r="4497" spans="1:28" x14ac:dyDescent="0.25">
      <c r="A4497" t="s">
        <v>4501</v>
      </c>
      <c r="B4497">
        <v>0.99542014353169495</v>
      </c>
      <c r="C4497">
        <v>0.90783567870396997</v>
      </c>
      <c r="D4497">
        <v>0.92945262135753404</v>
      </c>
      <c r="E4497">
        <v>0.52439615162991504</v>
      </c>
      <c r="F4497">
        <v>0.23921198641458599</v>
      </c>
      <c r="G4497">
        <v>0.13833706838452001</v>
      </c>
      <c r="H4497">
        <v>0.105885638915415</v>
      </c>
      <c r="I4497">
        <v>7.5509315815508807E-2</v>
      </c>
      <c r="J4497">
        <v>8.8241205794353905E-2</v>
      </c>
      <c r="K4497">
        <v>9.5855282465890798E-2</v>
      </c>
      <c r="L4497">
        <v>1101.81043268345</v>
      </c>
      <c r="M4497">
        <v>23.6551186800355</v>
      </c>
      <c r="N4497">
        <v>46.975098503997003</v>
      </c>
      <c r="O4497">
        <v>46.249052775317999</v>
      </c>
      <c r="P4497">
        <v>-0.11628538417152701</v>
      </c>
      <c r="Q4497">
        <v>9.0598742763801698E-2</v>
      </c>
      <c r="R4497">
        <v>0.99401970949080398</v>
      </c>
      <c r="S4497" t="s">
        <v>10899</v>
      </c>
      <c r="T4497" t="s">
        <v>12802</v>
      </c>
      <c r="U4497" t="s">
        <v>12802</v>
      </c>
      <c r="V4497" t="s">
        <v>12802</v>
      </c>
      <c r="W4497" t="s">
        <v>17240</v>
      </c>
      <c r="X4497">
        <v>11</v>
      </c>
      <c r="Y4497" t="s">
        <v>23460</v>
      </c>
      <c r="Z4497" t="s">
        <v>29815</v>
      </c>
      <c r="AA4497">
        <v>0.38943458496152089</v>
      </c>
      <c r="AB4497" t="str">
        <f>HYPERLINK("Melting_Curves/meltCurve_Q8ND04_SMG8.pdf", "Melting_Curves/meltCurve_Q8ND04_SMG8.pdf")</f>
        <v>Melting_Curves/meltCurve_Q8ND04_SMG8.pdf</v>
      </c>
    </row>
    <row r="4498" spans="1:28" x14ac:dyDescent="0.25">
      <c r="A4498" t="s">
        <v>4502</v>
      </c>
      <c r="B4498">
        <v>0.99542014353169495</v>
      </c>
      <c r="C4498">
        <v>1.0580610968241699</v>
      </c>
      <c r="D4498">
        <v>0.95036455109664397</v>
      </c>
      <c r="E4498">
        <v>0.60605842004805199</v>
      </c>
      <c r="F4498">
        <v>0.22566373904453499</v>
      </c>
      <c r="G4498">
        <v>0.11113503944365299</v>
      </c>
      <c r="H4498">
        <v>6.9352100189402494E-2</v>
      </c>
      <c r="I4498">
        <v>5.68529029677768E-2</v>
      </c>
      <c r="J4498">
        <v>6.5719375353985601E-2</v>
      </c>
      <c r="K4498">
        <v>7.6954754921080198E-2</v>
      </c>
      <c r="L4498">
        <v>1305.7634479666799</v>
      </c>
      <c r="M4498">
        <v>27.668438835998199</v>
      </c>
      <c r="N4498">
        <v>47.446897526531401</v>
      </c>
      <c r="O4498">
        <v>46.948791884221897</v>
      </c>
      <c r="P4498">
        <v>-0.137205491182505</v>
      </c>
      <c r="Q4498">
        <v>6.87478582160303E-2</v>
      </c>
      <c r="R4498">
        <v>0.99715719631009403</v>
      </c>
      <c r="S4498" t="s">
        <v>10900</v>
      </c>
      <c r="T4498" t="s">
        <v>12802</v>
      </c>
      <c r="U4498" t="s">
        <v>12802</v>
      </c>
      <c r="V4498" t="s">
        <v>12802</v>
      </c>
      <c r="W4498" t="s">
        <v>17241</v>
      </c>
      <c r="X4498">
        <v>18</v>
      </c>
      <c r="Y4498" t="s">
        <v>23461</v>
      </c>
      <c r="Z4498" t="s">
        <v>29816</v>
      </c>
      <c r="AA4498">
        <v>0.39155966169104178</v>
      </c>
      <c r="AB4498" t="str">
        <f>HYPERLINK("Melting_Curves/meltCurve_Q8ND24_RNF214.pdf", "Melting_Curves/meltCurve_Q8ND24_RNF214.pdf")</f>
        <v>Melting_Curves/meltCurve_Q8ND24_RNF214.pdf</v>
      </c>
    </row>
    <row r="4499" spans="1:28" x14ac:dyDescent="0.25">
      <c r="A4499" t="s">
        <v>4503</v>
      </c>
      <c r="B4499">
        <v>0.99542014353169495</v>
      </c>
      <c r="C4499">
        <v>0.95669615911005301</v>
      </c>
      <c r="D4499">
        <v>0.95524586374139397</v>
      </c>
      <c r="E4499">
        <v>0.80810867341126502</v>
      </c>
      <c r="F4499">
        <v>0.49033689663642399</v>
      </c>
      <c r="G4499">
        <v>0.209984824865077</v>
      </c>
      <c r="H4499">
        <v>8.7382008886912596E-2</v>
      </c>
      <c r="I4499">
        <v>5.3132964313995501E-2</v>
      </c>
      <c r="J4499">
        <v>6.6081533182724903E-2</v>
      </c>
      <c r="K4499">
        <v>8.6416089468800403E-2</v>
      </c>
      <c r="L4499">
        <v>1044.1611987711201</v>
      </c>
      <c r="M4499">
        <v>21.004044697717401</v>
      </c>
      <c r="N4499">
        <v>49.978879253566603</v>
      </c>
      <c r="O4499">
        <v>49.268348091750703</v>
      </c>
      <c r="P4499">
        <v>-0.100936380494382</v>
      </c>
      <c r="Q4499">
        <v>5.2975639223720998E-2</v>
      </c>
      <c r="R4499">
        <v>0.99786029521891895</v>
      </c>
      <c r="S4499" t="s">
        <v>10901</v>
      </c>
      <c r="T4499" t="s">
        <v>12802</v>
      </c>
      <c r="U4499" t="s">
        <v>12802</v>
      </c>
      <c r="V4499" t="s">
        <v>12802</v>
      </c>
      <c r="W4499" t="s">
        <v>17242</v>
      </c>
      <c r="X4499">
        <v>9</v>
      </c>
      <c r="Y4499" t="s">
        <v>23462</v>
      </c>
      <c r="Z4499" t="s">
        <v>29817</v>
      </c>
      <c r="AA4499">
        <v>0.46570370664771932</v>
      </c>
      <c r="AB4499" t="str">
        <f>HYPERLINK("Melting_Curves/meltCurve_Q8ND56_2_LSM14A.pdf", "Melting_Curves/meltCurve_Q8ND56_2_LSM14A.pdf")</f>
        <v>Melting_Curves/meltCurve_Q8ND56_2_LSM14A.pdf</v>
      </c>
    </row>
    <row r="4500" spans="1:28" x14ac:dyDescent="0.25">
      <c r="A4500" t="s">
        <v>4504</v>
      </c>
      <c r="B4500">
        <v>0.99542014353169495</v>
      </c>
      <c r="C4500">
        <v>0.97452849106621697</v>
      </c>
      <c r="D4500">
        <v>1.1876257411058699</v>
      </c>
      <c r="E4500">
        <v>1.0286194695154001</v>
      </c>
      <c r="F4500">
        <v>0.36560009177493702</v>
      </c>
      <c r="G4500">
        <v>0.14737921895172101</v>
      </c>
      <c r="H4500">
        <v>6.5353666372010996E-2</v>
      </c>
      <c r="I4500">
        <v>3.9650022368179903E-2</v>
      </c>
      <c r="J4500">
        <v>5.4862472473157897E-2</v>
      </c>
      <c r="K4500">
        <v>5.1370672480861197E-2</v>
      </c>
      <c r="L4500">
        <v>4077.92422332363</v>
      </c>
      <c r="M4500">
        <v>81.994742501543598</v>
      </c>
      <c r="N4500">
        <v>49.827290102736299</v>
      </c>
      <c r="O4500">
        <v>49.704412044926102</v>
      </c>
      <c r="P4500">
        <v>-0.38306371608789802</v>
      </c>
      <c r="Q4500">
        <v>7.1162186404898395E-2</v>
      </c>
      <c r="R4500">
        <v>0.97961358341932903</v>
      </c>
      <c r="S4500" t="s">
        <v>10902</v>
      </c>
      <c r="T4500" t="s">
        <v>12802</v>
      </c>
      <c r="U4500" t="s">
        <v>12802</v>
      </c>
      <c r="V4500" t="s">
        <v>12802</v>
      </c>
      <c r="W4500" t="s">
        <v>17243</v>
      </c>
      <c r="X4500">
        <v>4</v>
      </c>
      <c r="Y4500" t="s">
        <v>23463</v>
      </c>
      <c r="Z4500" t="s">
        <v>29818</v>
      </c>
      <c r="AA4500">
        <v>0.46617705557460198</v>
      </c>
      <c r="AB4500" t="str">
        <f>HYPERLINK("Melting_Curves/meltCurve_Q8ND76_CCNY.pdf", "Melting_Curves/meltCurve_Q8ND76_CCNY.pdf")</f>
        <v>Melting_Curves/meltCurve_Q8ND76_CCNY.pdf</v>
      </c>
    </row>
    <row r="4501" spans="1:28" x14ac:dyDescent="0.25">
      <c r="A4501" t="s">
        <v>4505</v>
      </c>
      <c r="B4501">
        <v>0.99542014353169495</v>
      </c>
      <c r="C4501">
        <v>1.0173254521977499</v>
      </c>
      <c r="D4501">
        <v>0.92691141077922801</v>
      </c>
      <c r="E4501">
        <v>0.83502823354064004</v>
      </c>
      <c r="F4501">
        <v>0.64527880422300499</v>
      </c>
      <c r="G4501">
        <v>0.46318069552197999</v>
      </c>
      <c r="H4501">
        <v>0.31789819743907999</v>
      </c>
      <c r="I4501">
        <v>0.262337766666697</v>
      </c>
      <c r="J4501">
        <v>0.38762162659023303</v>
      </c>
      <c r="K4501">
        <v>0.437252180737697</v>
      </c>
      <c r="L4501">
        <v>991.48238358764002</v>
      </c>
      <c r="M4501">
        <v>20.076873898929499</v>
      </c>
      <c r="N4501">
        <v>52.4050665029242</v>
      </c>
      <c r="O4501">
        <v>48.902186524643199</v>
      </c>
      <c r="P4501">
        <v>-6.7452619645201703E-2</v>
      </c>
      <c r="Q4501">
        <v>0.34283098932814898</v>
      </c>
      <c r="R4501">
        <v>0.96631126445568605</v>
      </c>
      <c r="S4501" t="s">
        <v>10903</v>
      </c>
      <c r="T4501" t="s">
        <v>12802</v>
      </c>
      <c r="U4501" t="s">
        <v>12802</v>
      </c>
      <c r="V4501" t="s">
        <v>12802</v>
      </c>
      <c r="W4501" t="s">
        <v>17244</v>
      </c>
      <c r="X4501">
        <v>1</v>
      </c>
      <c r="Y4501" t="s">
        <v>23464</v>
      </c>
      <c r="Z4501" t="s">
        <v>29819</v>
      </c>
      <c r="AA4501">
        <v>0.62271824513765295</v>
      </c>
      <c r="AB4501" t="str">
        <f>HYPERLINK("Melting_Curves/meltCurve_Q8NDC0_MAPK1IP1L.pdf", "Melting_Curves/meltCurve_Q8NDC0_MAPK1IP1L.pdf")</f>
        <v>Melting_Curves/meltCurve_Q8NDC0_MAPK1IP1L.pdf</v>
      </c>
    </row>
    <row r="4502" spans="1:28" x14ac:dyDescent="0.25">
      <c r="A4502" t="s">
        <v>4506</v>
      </c>
      <c r="B4502">
        <v>0.99542014353169495</v>
      </c>
      <c r="C4502">
        <v>1.16791191174394</v>
      </c>
      <c r="D4502">
        <v>1.5133181495460299</v>
      </c>
      <c r="E4502">
        <v>1.5998483059939399</v>
      </c>
      <c r="F4502">
        <v>1.39034369985206</v>
      </c>
      <c r="G4502">
        <v>1.0681203414749001</v>
      </c>
      <c r="H4502">
        <v>0.72132897618376801</v>
      </c>
      <c r="I4502">
        <v>0.54455220406596805</v>
      </c>
      <c r="J4502">
        <v>0.84079626357328496</v>
      </c>
      <c r="K4502">
        <v>1.11560981963491</v>
      </c>
      <c r="L4502">
        <v>4221.3073051481797</v>
      </c>
      <c r="M4502">
        <v>76.084504427407595</v>
      </c>
      <c r="O4502">
        <v>55.443534015847</v>
      </c>
      <c r="P4502">
        <v>-6.66697180510821E-2</v>
      </c>
      <c r="Q4502">
        <v>0.80566848826641901</v>
      </c>
      <c r="R4502">
        <v>5.2189006122485601E-2</v>
      </c>
      <c r="S4502" t="s">
        <v>10904</v>
      </c>
      <c r="T4502" t="s">
        <v>12802</v>
      </c>
      <c r="U4502" t="s">
        <v>12802</v>
      </c>
      <c r="V4502" t="s">
        <v>12802</v>
      </c>
      <c r="W4502" t="s">
        <v>17245</v>
      </c>
      <c r="X4502">
        <v>9</v>
      </c>
      <c r="Y4502" t="s">
        <v>23465</v>
      </c>
      <c r="Z4502" t="s">
        <v>29820</v>
      </c>
      <c r="AA4502">
        <v>0.9255932574792517</v>
      </c>
      <c r="AB4502" t="str">
        <f>HYPERLINK("Melting_Curves/meltCurve_Q8NDD1_2_C1orf131.pdf", "Melting_Curves/meltCurve_Q8NDD1_2_C1orf131.pdf")</f>
        <v>Melting_Curves/meltCurve_Q8NDD1_2_C1orf131.pdf</v>
      </c>
    </row>
    <row r="4503" spans="1:28" x14ac:dyDescent="0.25">
      <c r="A4503" t="s">
        <v>4507</v>
      </c>
      <c r="B4503">
        <v>0.99542014353169495</v>
      </c>
      <c r="C4503">
        <v>1.1199676274357999</v>
      </c>
      <c r="D4503">
        <v>1.5605950961409401</v>
      </c>
      <c r="E4503">
        <v>1.6690134956789899</v>
      </c>
      <c r="F4503">
        <v>1.5404590334778101</v>
      </c>
      <c r="G4503">
        <v>1.21173776751818</v>
      </c>
      <c r="H4503">
        <v>0.78220638031330703</v>
      </c>
      <c r="I4503">
        <v>0.594771782061988</v>
      </c>
      <c r="J4503">
        <v>0.94600963628062595</v>
      </c>
      <c r="K4503">
        <v>1.17497424439055</v>
      </c>
      <c r="L4503">
        <v>15000</v>
      </c>
      <c r="M4503">
        <v>223.26128652951701</v>
      </c>
      <c r="Q4503">
        <v>1.5</v>
      </c>
      <c r="R4503">
        <v>-0.20276744453883699</v>
      </c>
      <c r="S4503" t="s">
        <v>10905</v>
      </c>
      <c r="T4503" t="s">
        <v>12802</v>
      </c>
      <c r="U4503" t="s">
        <v>12802</v>
      </c>
      <c r="V4503" t="s">
        <v>12802</v>
      </c>
      <c r="W4503" t="s">
        <v>17246</v>
      </c>
      <c r="X4503">
        <v>9</v>
      </c>
      <c r="Y4503" t="s">
        <v>23465</v>
      </c>
      <c r="Z4503" t="s">
        <v>29821</v>
      </c>
      <c r="AA4503">
        <v>1.002127117761652</v>
      </c>
      <c r="AB4503" t="str">
        <f>HYPERLINK("Melting_Curves/meltCurve_Q8NDD1_3_C1orf131.pdf", "Melting_Curves/meltCurve_Q8NDD1_3_C1orf131.pdf")</f>
        <v>Melting_Curves/meltCurve_Q8NDD1_3_C1orf131.pdf</v>
      </c>
    </row>
    <row r="4504" spans="1:28" x14ac:dyDescent="0.25">
      <c r="A4504" t="s">
        <v>4508</v>
      </c>
      <c r="B4504">
        <v>0.99542014353169495</v>
      </c>
      <c r="C4504">
        <v>0.96827888161734599</v>
      </c>
      <c r="D4504">
        <v>0.89031812392127496</v>
      </c>
      <c r="E4504">
        <v>0.53100776740578604</v>
      </c>
      <c r="F4504">
        <v>0.35349647907186199</v>
      </c>
      <c r="G4504">
        <v>0.21310355046864199</v>
      </c>
      <c r="H4504">
        <v>0.124221920018053</v>
      </c>
      <c r="I4504">
        <v>0.105845911729446</v>
      </c>
      <c r="J4504">
        <v>0.123812071715778</v>
      </c>
      <c r="K4504">
        <v>9.2649640496059199E-2</v>
      </c>
      <c r="L4504">
        <v>817.37985869120598</v>
      </c>
      <c r="M4504">
        <v>17.3994429554958</v>
      </c>
      <c r="N4504">
        <v>47.599884501830601</v>
      </c>
      <c r="O4504">
        <v>46.369992015250197</v>
      </c>
      <c r="P4504">
        <v>-8.4266499290403293E-2</v>
      </c>
      <c r="Q4504">
        <v>0.101760504971869</v>
      </c>
      <c r="R4504">
        <v>0.99499368347992301</v>
      </c>
      <c r="S4504" t="s">
        <v>10906</v>
      </c>
      <c r="T4504" t="s">
        <v>12802</v>
      </c>
      <c r="U4504" t="s">
        <v>12802</v>
      </c>
      <c r="V4504" t="s">
        <v>12802</v>
      </c>
      <c r="W4504" t="s">
        <v>17247</v>
      </c>
      <c r="X4504">
        <v>7</v>
      </c>
      <c r="Y4504" t="s">
        <v>23466</v>
      </c>
      <c r="Z4504" t="s">
        <v>29822</v>
      </c>
      <c r="AA4504">
        <v>0.4158790583601496</v>
      </c>
      <c r="AB4504" t="str">
        <f>HYPERLINK("Melting_Curves/meltCurve_Q8NDI1_3_EHBP1.pdf", "Melting_Curves/meltCurve_Q8NDI1_3_EHBP1.pdf")</f>
        <v>Melting_Curves/meltCurve_Q8NDI1_3_EHBP1.pdf</v>
      </c>
    </row>
    <row r="4505" spans="1:28" x14ac:dyDescent="0.25">
      <c r="A4505" t="s">
        <v>4509</v>
      </c>
      <c r="B4505">
        <v>0.99542014353169495</v>
      </c>
      <c r="C4505">
        <v>1.0427077049748199</v>
      </c>
      <c r="D4505">
        <v>0.99171700753625103</v>
      </c>
      <c r="E4505">
        <v>0.777267180589998</v>
      </c>
      <c r="F4505">
        <v>0.58540879062905804</v>
      </c>
      <c r="G4505">
        <v>0.234863117351365</v>
      </c>
      <c r="H4505">
        <v>0.12624882950576</v>
      </c>
      <c r="I4505">
        <v>0.10759231395352301</v>
      </c>
      <c r="J4505">
        <v>0.112883518930053</v>
      </c>
      <c r="K4505">
        <v>0.14728168311301901</v>
      </c>
      <c r="L4505">
        <v>1046.73539861564</v>
      </c>
      <c r="M4505">
        <v>20.951470445572401</v>
      </c>
      <c r="N4505">
        <v>50.501761676659903</v>
      </c>
      <c r="O4505">
        <v>49.511536876759301</v>
      </c>
      <c r="P4505">
        <v>-9.5146010443112106E-2</v>
      </c>
      <c r="Q4505">
        <v>0.100645886763229</v>
      </c>
      <c r="R4505">
        <v>0.99106584514485896</v>
      </c>
      <c r="S4505" t="s">
        <v>10907</v>
      </c>
      <c r="T4505" t="s">
        <v>12802</v>
      </c>
      <c r="U4505" t="s">
        <v>12802</v>
      </c>
      <c r="V4505" t="s">
        <v>12802</v>
      </c>
      <c r="W4505" t="s">
        <v>17248</v>
      </c>
      <c r="X4505">
        <v>4</v>
      </c>
      <c r="Y4505" t="s">
        <v>23467</v>
      </c>
      <c r="Z4505" t="s">
        <v>29823</v>
      </c>
      <c r="AA4505">
        <v>0.5000748024393048</v>
      </c>
      <c r="AB4505" t="str">
        <f>HYPERLINK("Melting_Curves/meltCurve_Q8NDZ4_C3orf58.pdf", "Melting_Curves/meltCurve_Q8NDZ4_C3orf58.pdf")</f>
        <v>Melting_Curves/meltCurve_Q8NDZ4_C3orf58.pdf</v>
      </c>
    </row>
    <row r="4506" spans="1:28" x14ac:dyDescent="0.25">
      <c r="A4506" t="s">
        <v>4510</v>
      </c>
      <c r="B4506">
        <v>0.99542014353169495</v>
      </c>
      <c r="C4506">
        <v>1.0509245655533801</v>
      </c>
      <c r="D4506">
        <v>0.87925716199820003</v>
      </c>
      <c r="E4506">
        <v>0.67456339179165603</v>
      </c>
      <c r="F4506">
        <v>0.44045956358497701</v>
      </c>
      <c r="G4506">
        <v>0.16661757995826099</v>
      </c>
      <c r="H4506">
        <v>7.6073908076595503E-2</v>
      </c>
      <c r="I4506">
        <v>4.6828670302041603E-2</v>
      </c>
      <c r="J4506">
        <v>2.1030120264693399E-2</v>
      </c>
      <c r="K4506">
        <v>2.9639745520066901E-2</v>
      </c>
      <c r="L4506">
        <v>800.66207753239303</v>
      </c>
      <c r="M4506">
        <v>16.3587556184325</v>
      </c>
      <c r="N4506">
        <v>48.972491571645897</v>
      </c>
      <c r="O4506">
        <v>48.230090819892901</v>
      </c>
      <c r="P4506">
        <v>-8.4398819625575605E-2</v>
      </c>
      <c r="Q4506">
        <v>4.7482295351641297E-3</v>
      </c>
      <c r="R4506">
        <v>0.99442433336034097</v>
      </c>
      <c r="S4506" t="s">
        <v>10908</v>
      </c>
      <c r="T4506" t="s">
        <v>12802</v>
      </c>
      <c r="U4506" t="s">
        <v>12802</v>
      </c>
      <c r="V4506" t="s">
        <v>12802</v>
      </c>
      <c r="W4506" t="s">
        <v>17249</v>
      </c>
      <c r="X4506">
        <v>5</v>
      </c>
      <c r="Y4506" t="s">
        <v>23468</v>
      </c>
      <c r="Z4506" t="s">
        <v>29824</v>
      </c>
      <c r="AA4506">
        <v>0.41962169629966561</v>
      </c>
      <c r="AB4506" t="str">
        <f>HYPERLINK("Melting_Curves/meltCurve_Q8NE01_2_CNNM3.pdf", "Melting_Curves/meltCurve_Q8NE01_2_CNNM3.pdf")</f>
        <v>Melting_Curves/meltCurve_Q8NE01_2_CNNM3.pdf</v>
      </c>
    </row>
    <row r="4507" spans="1:28" x14ac:dyDescent="0.25">
      <c r="A4507" t="s">
        <v>4511</v>
      </c>
      <c r="B4507">
        <v>0.99542014353169495</v>
      </c>
      <c r="C4507">
        <v>1.0178449561996901</v>
      </c>
      <c r="D4507">
        <v>1.0019158199998801</v>
      </c>
      <c r="E4507">
        <v>0.97854476152088798</v>
      </c>
      <c r="F4507">
        <v>0.76197877698639105</v>
      </c>
      <c r="G4507">
        <v>0.494703300152114</v>
      </c>
      <c r="H4507">
        <v>0.12217911444495</v>
      </c>
      <c r="I4507">
        <v>6.4023175753104705E-2</v>
      </c>
      <c r="J4507">
        <v>5.9583744285652801E-2</v>
      </c>
      <c r="K4507">
        <v>6.5417235975104807E-2</v>
      </c>
      <c r="L4507">
        <v>1256.54254736443</v>
      </c>
      <c r="M4507">
        <v>23.6670404475054</v>
      </c>
      <c r="N4507">
        <v>53.249748624561001</v>
      </c>
      <c r="O4507">
        <v>52.717815140660498</v>
      </c>
      <c r="P4507">
        <v>-0.108448453300028</v>
      </c>
      <c r="Q4507">
        <v>3.3749913302814002E-2</v>
      </c>
      <c r="R4507">
        <v>0.99513013418232898</v>
      </c>
      <c r="S4507" t="s">
        <v>10909</v>
      </c>
      <c r="T4507" t="s">
        <v>12802</v>
      </c>
      <c r="U4507" t="s">
        <v>12802</v>
      </c>
      <c r="V4507" t="s">
        <v>12802</v>
      </c>
      <c r="W4507" t="s">
        <v>17250</v>
      </c>
      <c r="X4507">
        <v>53</v>
      </c>
      <c r="Y4507" t="s">
        <v>23469</v>
      </c>
      <c r="Z4507" t="s">
        <v>29825</v>
      </c>
      <c r="AA4507">
        <v>0.5614191247488185</v>
      </c>
      <c r="AB4507" t="str">
        <f>HYPERLINK("Melting_Curves/meltCurve_Q8NE71_ABCF1.pdf", "Melting_Curves/meltCurve_Q8NE71_ABCF1.pdf")</f>
        <v>Melting_Curves/meltCurve_Q8NE71_ABCF1.pdf</v>
      </c>
    </row>
    <row r="4508" spans="1:28" x14ac:dyDescent="0.25">
      <c r="A4508" t="s">
        <v>4512</v>
      </c>
      <c r="B4508">
        <v>0.99542014353169495</v>
      </c>
      <c r="C4508">
        <v>1.0271488594928799</v>
      </c>
      <c r="D4508">
        <v>1.1806896318092099</v>
      </c>
      <c r="E4508">
        <v>0.90077039448502005</v>
      </c>
      <c r="F4508">
        <v>0.74972765102948402</v>
      </c>
      <c r="G4508">
        <v>0.40192916197291101</v>
      </c>
      <c r="H4508">
        <v>0.231431472020661</v>
      </c>
      <c r="I4508">
        <v>0.22051192985378901</v>
      </c>
      <c r="J4508">
        <v>0.24881341793796299</v>
      </c>
      <c r="K4508">
        <v>0.29082109447278498</v>
      </c>
      <c r="L4508">
        <v>1523.2074929054299</v>
      </c>
      <c r="M4508">
        <v>29.697522567417899</v>
      </c>
      <c r="N4508">
        <v>52.449021506102198</v>
      </c>
      <c r="O4508">
        <v>51.0598431999829</v>
      </c>
      <c r="P4508">
        <v>-0.110436399832784</v>
      </c>
      <c r="Q4508">
        <v>0.24049866480628901</v>
      </c>
      <c r="R4508">
        <v>0.96723205920954203</v>
      </c>
      <c r="S4508" t="s">
        <v>10910</v>
      </c>
      <c r="T4508" t="s">
        <v>12802</v>
      </c>
      <c r="U4508" t="s">
        <v>12802</v>
      </c>
      <c r="V4508" t="s">
        <v>12802</v>
      </c>
      <c r="W4508" t="s">
        <v>17251</v>
      </c>
      <c r="X4508">
        <v>4</v>
      </c>
      <c r="Y4508" t="s">
        <v>23470</v>
      </c>
      <c r="Z4508" t="s">
        <v>29826</v>
      </c>
      <c r="AA4508">
        <v>0.60713784153191619</v>
      </c>
      <c r="AB4508" t="str">
        <f>HYPERLINK("Melting_Curves/meltCurve_Q8NE86_3_MCU.pdf", "Melting_Curves/meltCurve_Q8NE86_3_MCU.pdf")</f>
        <v>Melting_Curves/meltCurve_Q8NE86_3_MCU.pdf</v>
      </c>
    </row>
    <row r="4509" spans="1:28" x14ac:dyDescent="0.25">
      <c r="A4509" t="s">
        <v>4513</v>
      </c>
      <c r="B4509">
        <v>0.99542014353169495</v>
      </c>
      <c r="C4509">
        <v>0.87779003069380801</v>
      </c>
      <c r="D4509">
        <v>0.91560236040250897</v>
      </c>
      <c r="E4509">
        <v>0.62862739957497404</v>
      </c>
      <c r="F4509">
        <v>0.43241875475868202</v>
      </c>
      <c r="G4509">
        <v>0.173946274623693</v>
      </c>
      <c r="H4509">
        <v>8.3213123078856394E-2</v>
      </c>
      <c r="I4509">
        <v>5.2304729234887999E-2</v>
      </c>
      <c r="J4509">
        <v>4.67422937753776E-2</v>
      </c>
      <c r="K4509">
        <v>4.9368233181461302E-2</v>
      </c>
      <c r="L4509">
        <v>715.36956524576101</v>
      </c>
      <c r="M4509">
        <v>14.7289291018455</v>
      </c>
      <c r="N4509">
        <v>48.646651153189502</v>
      </c>
      <c r="O4509">
        <v>47.700079995686302</v>
      </c>
      <c r="P4509">
        <v>-7.6307093004847601E-2</v>
      </c>
      <c r="Q4509">
        <v>1.1616155841473E-2</v>
      </c>
      <c r="R4509">
        <v>0.99069644651120403</v>
      </c>
      <c r="S4509" t="s">
        <v>10911</v>
      </c>
      <c r="T4509" t="s">
        <v>12802</v>
      </c>
      <c r="U4509" t="s">
        <v>12802</v>
      </c>
      <c r="V4509" t="s">
        <v>12802</v>
      </c>
      <c r="W4509" t="s">
        <v>17252</v>
      </c>
      <c r="X4509">
        <v>12</v>
      </c>
      <c r="Y4509" t="s">
        <v>23471</v>
      </c>
      <c r="Z4509" t="s">
        <v>29827</v>
      </c>
      <c r="AA4509">
        <v>0.41489920878003078</v>
      </c>
      <c r="AB4509" t="str">
        <f>HYPERLINK("Melting_Curves/meltCurve_Q8NEB9_PIK3C3.pdf", "Melting_Curves/meltCurve_Q8NEB9_PIK3C3.pdf")</f>
        <v>Melting_Curves/meltCurve_Q8NEB9_PIK3C3.pdf</v>
      </c>
    </row>
    <row r="4510" spans="1:28" x14ac:dyDescent="0.25">
      <c r="A4510" t="s">
        <v>4514</v>
      </c>
      <c r="B4510">
        <v>0.99542014353169495</v>
      </c>
      <c r="C4510">
        <v>0.984845373308462</v>
      </c>
      <c r="D4510">
        <v>0.77950598600346699</v>
      </c>
      <c r="E4510">
        <v>0.33684604467005602</v>
      </c>
      <c r="F4510">
        <v>7.4324851041122006E-2</v>
      </c>
      <c r="G4510">
        <v>4.18574633342308E-2</v>
      </c>
      <c r="H4510">
        <v>2.9027658534837599E-2</v>
      </c>
      <c r="I4510">
        <v>1.40200747650543E-2</v>
      </c>
      <c r="J4510">
        <v>1.5198459863849999E-2</v>
      </c>
      <c r="K4510">
        <v>1.7507102210173701E-2</v>
      </c>
      <c r="L4510">
        <v>1152.06952956907</v>
      </c>
      <c r="M4510">
        <v>25.493614556930599</v>
      </c>
      <c r="N4510">
        <v>45.252526962821101</v>
      </c>
      <c r="O4510">
        <v>44.915224076030697</v>
      </c>
      <c r="P4510">
        <v>-0.13946441300541401</v>
      </c>
      <c r="Q4510">
        <v>1.7166471416720199E-2</v>
      </c>
      <c r="R4510">
        <v>0.99948291397364397</v>
      </c>
      <c r="S4510" t="s">
        <v>10912</v>
      </c>
      <c r="T4510" t="s">
        <v>12802</v>
      </c>
      <c r="U4510" t="s">
        <v>12802</v>
      </c>
      <c r="V4510" t="s">
        <v>12802</v>
      </c>
      <c r="W4510" t="s">
        <v>17253</v>
      </c>
      <c r="X4510">
        <v>5</v>
      </c>
      <c r="Y4510" t="s">
        <v>23472</v>
      </c>
      <c r="Z4510" t="s">
        <v>29828</v>
      </c>
      <c r="AA4510">
        <v>0.29325193137192379</v>
      </c>
      <c r="AB4510" t="str">
        <f>HYPERLINK("Melting_Curves/meltCurve_Q8NEC7_GSTCD.pdf", "Melting_Curves/meltCurve_Q8NEC7_GSTCD.pdf")</f>
        <v>Melting_Curves/meltCurve_Q8NEC7_GSTCD.pdf</v>
      </c>
    </row>
    <row r="4511" spans="1:28" x14ac:dyDescent="0.25">
      <c r="A4511" t="s">
        <v>4515</v>
      </c>
      <c r="B4511">
        <v>0.99542014353169495</v>
      </c>
      <c r="C4511">
        <v>1.0870469181870199</v>
      </c>
      <c r="D4511">
        <v>0.97718929382578501</v>
      </c>
      <c r="E4511">
        <v>0.84929064232510998</v>
      </c>
      <c r="F4511">
        <v>0.87082649891335795</v>
      </c>
      <c r="G4511">
        <v>0.791078489717297</v>
      </c>
      <c r="H4511">
        <v>0.64502263968741202</v>
      </c>
      <c r="I4511">
        <v>0.74520050149554296</v>
      </c>
      <c r="J4511">
        <v>0.95620680484938902</v>
      </c>
      <c r="K4511">
        <v>0.66137399119520301</v>
      </c>
      <c r="L4511">
        <v>969.62770910047698</v>
      </c>
      <c r="M4511">
        <v>20.567374056712801</v>
      </c>
      <c r="O4511">
        <v>46.7050839828566</v>
      </c>
      <c r="P4511">
        <v>-2.64035604026868E-2</v>
      </c>
      <c r="Q4511">
        <v>0.76017461873314796</v>
      </c>
      <c r="R4511">
        <v>0.60852601343212398</v>
      </c>
      <c r="S4511" t="s">
        <v>10913</v>
      </c>
      <c r="T4511" t="s">
        <v>12802</v>
      </c>
      <c r="U4511" t="s">
        <v>12802</v>
      </c>
      <c r="V4511" t="s">
        <v>12802</v>
      </c>
      <c r="W4511" t="s">
        <v>17254</v>
      </c>
      <c r="X4511">
        <v>1</v>
      </c>
      <c r="Y4511" t="s">
        <v>23473</v>
      </c>
      <c r="Z4511" t="s">
        <v>29829</v>
      </c>
      <c r="AA4511">
        <v>0.84424146659854293</v>
      </c>
      <c r="AB4511" t="str">
        <f>HYPERLINK("Melting_Curves/meltCurve_Q8NEF9_SRFBP1.pdf", "Melting_Curves/meltCurve_Q8NEF9_SRFBP1.pdf")</f>
        <v>Melting_Curves/meltCurve_Q8NEF9_SRFBP1.pdf</v>
      </c>
    </row>
    <row r="4512" spans="1:28" x14ac:dyDescent="0.25">
      <c r="A4512" t="s">
        <v>4516</v>
      </c>
      <c r="B4512">
        <v>0.99542014353169495</v>
      </c>
      <c r="C4512">
        <v>1.17971494428372</v>
      </c>
      <c r="D4512">
        <v>0.94447968875477195</v>
      </c>
      <c r="E4512">
        <v>0.68257281195529196</v>
      </c>
      <c r="F4512">
        <v>0.49968710582638998</v>
      </c>
      <c r="G4512">
        <v>0.25828031335381801</v>
      </c>
      <c r="H4512">
        <v>0.178155909804084</v>
      </c>
      <c r="I4512">
        <v>0.123430621836932</v>
      </c>
      <c r="J4512">
        <v>0.129617865914508</v>
      </c>
      <c r="K4512">
        <v>0.18744857668823001</v>
      </c>
      <c r="L4512">
        <v>922.90344357078902</v>
      </c>
      <c r="M4512">
        <v>18.9397591767605</v>
      </c>
      <c r="N4512">
        <v>49.5744927025085</v>
      </c>
      <c r="O4512">
        <v>48.194882539528201</v>
      </c>
      <c r="P4512">
        <v>-8.4680636073322907E-2</v>
      </c>
      <c r="Q4512">
        <v>0.13810760893524501</v>
      </c>
      <c r="R4512">
        <v>0.96831400828496805</v>
      </c>
      <c r="S4512" t="s">
        <v>10914</v>
      </c>
      <c r="T4512" t="s">
        <v>12802</v>
      </c>
      <c r="U4512" t="s">
        <v>12802</v>
      </c>
      <c r="V4512" t="s">
        <v>12802</v>
      </c>
      <c r="W4512" t="s">
        <v>17255</v>
      </c>
      <c r="X4512">
        <v>1</v>
      </c>
      <c r="Y4512" t="s">
        <v>23474</v>
      </c>
      <c r="Z4512" t="s">
        <v>29830</v>
      </c>
      <c r="AA4512">
        <v>0.487595042393421</v>
      </c>
      <c r="AB4512" t="str">
        <f>HYPERLINK("Melting_Curves/meltCurve_Q8NEJ9_2_NGDN.pdf", "Melting_Curves/meltCurve_Q8NEJ9_2_NGDN.pdf")</f>
        <v>Melting_Curves/meltCurve_Q8NEJ9_2_NGDN.pdf</v>
      </c>
    </row>
    <row r="4513" spans="1:28" x14ac:dyDescent="0.25">
      <c r="A4513" t="s">
        <v>4517</v>
      </c>
      <c r="B4513">
        <v>0.99542014353169495</v>
      </c>
      <c r="C4513">
        <v>0.86114906467984798</v>
      </c>
      <c r="D4513">
        <v>0.89161472060352198</v>
      </c>
      <c r="E4513">
        <v>0.44473410440334599</v>
      </c>
      <c r="F4513">
        <v>0.27900550274844799</v>
      </c>
      <c r="G4513">
        <v>8.8346369315047996E-2</v>
      </c>
      <c r="H4513">
        <v>7.0074144956824902E-2</v>
      </c>
      <c r="I4513">
        <v>4.5119149693745801E-2</v>
      </c>
      <c r="J4513">
        <v>3.2574094298550897E-2</v>
      </c>
      <c r="K4513">
        <v>5.12512359787545E-2</v>
      </c>
      <c r="L4513">
        <v>832.32895396301706</v>
      </c>
      <c r="M4513">
        <v>17.933328406573199</v>
      </c>
      <c r="N4513">
        <v>46.603830189051799</v>
      </c>
      <c r="O4513">
        <v>45.846834417433897</v>
      </c>
      <c r="P4513">
        <v>-9.4321940457065101E-2</v>
      </c>
      <c r="Q4513">
        <v>3.5506227551100597E-2</v>
      </c>
      <c r="R4513">
        <v>0.985607848348376</v>
      </c>
      <c r="S4513" t="s">
        <v>10915</v>
      </c>
      <c r="T4513" t="s">
        <v>12802</v>
      </c>
      <c r="U4513" t="s">
        <v>12802</v>
      </c>
      <c r="V4513" t="s">
        <v>12802</v>
      </c>
      <c r="W4513" t="s">
        <v>17256</v>
      </c>
      <c r="X4513">
        <v>1</v>
      </c>
      <c r="Y4513" t="s">
        <v>23475</v>
      </c>
      <c r="Z4513" t="s">
        <v>29831</v>
      </c>
      <c r="AA4513">
        <v>0.35376290212101541</v>
      </c>
      <c r="AB4513" t="str">
        <f>HYPERLINK("Melting_Curves/meltCurve_Q8NEM0_2_MCPH1.pdf", "Melting_Curves/meltCurve_Q8NEM0_2_MCPH1.pdf")</f>
        <v>Melting_Curves/meltCurve_Q8NEM0_2_MCPH1.pdf</v>
      </c>
    </row>
    <row r="4514" spans="1:28" x14ac:dyDescent="0.25">
      <c r="A4514" t="s">
        <v>4518</v>
      </c>
      <c r="B4514">
        <v>0.99542014353169495</v>
      </c>
      <c r="C4514">
        <v>0.92463253207979101</v>
      </c>
      <c r="D4514">
        <v>0.73455523060999595</v>
      </c>
      <c r="E4514">
        <v>0.418468419280211</v>
      </c>
      <c r="F4514">
        <v>0.30368852680752101</v>
      </c>
      <c r="G4514">
        <v>0.16004153223751999</v>
      </c>
      <c r="H4514">
        <v>0.102585979887964</v>
      </c>
      <c r="I4514">
        <v>7.4996432260439505E-2</v>
      </c>
      <c r="J4514">
        <v>5.70196194488959E-2</v>
      </c>
      <c r="K4514">
        <v>7.8173291852450796E-2</v>
      </c>
      <c r="L4514">
        <v>680.28126783263804</v>
      </c>
      <c r="M4514">
        <v>14.894839695744899</v>
      </c>
      <c r="N4514">
        <v>46.086531856348699</v>
      </c>
      <c r="O4514">
        <v>44.872738953748303</v>
      </c>
      <c r="P4514">
        <v>-7.7792590775175696E-2</v>
      </c>
      <c r="Q4514">
        <v>6.2654107283727195E-2</v>
      </c>
      <c r="R4514">
        <v>0.99532554612351798</v>
      </c>
      <c r="S4514" t="s">
        <v>10916</v>
      </c>
      <c r="T4514" t="s">
        <v>12802</v>
      </c>
      <c r="U4514" t="s">
        <v>12802</v>
      </c>
      <c r="V4514" t="s">
        <v>12802</v>
      </c>
      <c r="W4514" t="s">
        <v>17257</v>
      </c>
      <c r="X4514">
        <v>7</v>
      </c>
      <c r="Y4514" t="s">
        <v>23476</v>
      </c>
      <c r="Z4514" t="s">
        <v>29832</v>
      </c>
      <c r="AA4514">
        <v>0.35573132569171662</v>
      </c>
      <c r="AB4514" t="str">
        <f>HYPERLINK("Melting_Curves/meltCurve_Q8NEM2_SHCBP1.pdf", "Melting_Curves/meltCurve_Q8NEM2_SHCBP1.pdf")</f>
        <v>Melting_Curves/meltCurve_Q8NEM2_SHCBP1.pdf</v>
      </c>
    </row>
    <row r="4515" spans="1:28" x14ac:dyDescent="0.25">
      <c r="A4515" t="s">
        <v>4519</v>
      </c>
      <c r="B4515">
        <v>0.99542014353169495</v>
      </c>
      <c r="C4515">
        <v>0.87890643653142497</v>
      </c>
      <c r="D4515">
        <v>0.99192519709286497</v>
      </c>
      <c r="E4515">
        <v>0.76080945120159105</v>
      </c>
      <c r="F4515">
        <v>0.56103776430152497</v>
      </c>
      <c r="G4515">
        <v>0.16571136612811599</v>
      </c>
      <c r="H4515">
        <v>7.4639486322236104E-2</v>
      </c>
      <c r="I4515">
        <v>4.87028108668398E-2</v>
      </c>
      <c r="J4515">
        <v>3.8088650886239098E-2</v>
      </c>
      <c r="K4515">
        <v>4.7846476814215902E-2</v>
      </c>
      <c r="L4515">
        <v>980.72566529757796</v>
      </c>
      <c r="M4515">
        <v>19.599728515683701</v>
      </c>
      <c r="N4515">
        <v>50.132696357698002</v>
      </c>
      <c r="O4515">
        <v>49.525558363898298</v>
      </c>
      <c r="P4515">
        <v>-9.7137409708895603E-2</v>
      </c>
      <c r="Q4515">
        <v>1.82282720962436E-2</v>
      </c>
      <c r="R4515">
        <v>0.98450277937598696</v>
      </c>
      <c r="S4515" t="s">
        <v>10917</v>
      </c>
      <c r="T4515" t="s">
        <v>12802</v>
      </c>
      <c r="U4515" t="s">
        <v>12802</v>
      </c>
      <c r="V4515" t="s">
        <v>12802</v>
      </c>
      <c r="W4515" t="s">
        <v>17258</v>
      </c>
      <c r="X4515">
        <v>5</v>
      </c>
      <c r="Y4515" t="s">
        <v>23477</v>
      </c>
      <c r="Z4515" t="s">
        <v>29833</v>
      </c>
      <c r="AA4515">
        <v>0.45828693572205048</v>
      </c>
      <c r="AB4515" t="str">
        <f>HYPERLINK("Melting_Curves/meltCurve_Q8NEN9_PDZD8.pdf", "Melting_Curves/meltCurve_Q8NEN9_PDZD8.pdf")</f>
        <v>Melting_Curves/meltCurve_Q8NEN9_PDZD8.pdf</v>
      </c>
    </row>
    <row r="4516" spans="1:28" x14ac:dyDescent="0.25">
      <c r="A4516" t="s">
        <v>4520</v>
      </c>
      <c r="B4516">
        <v>0.99542014353169495</v>
      </c>
      <c r="C4516">
        <v>0.82672744166671397</v>
      </c>
      <c r="D4516">
        <v>0.87439477729329795</v>
      </c>
      <c r="E4516">
        <v>0.47027877653911299</v>
      </c>
      <c r="F4516">
        <v>0.31019651013289301</v>
      </c>
      <c r="G4516">
        <v>0.26917500616157702</v>
      </c>
      <c r="H4516">
        <v>0.841225048595313</v>
      </c>
      <c r="I4516">
        <v>0.84723272546079598</v>
      </c>
      <c r="J4516">
        <v>0.23946037331005701</v>
      </c>
      <c r="K4516">
        <v>0.23529430416222499</v>
      </c>
      <c r="L4516">
        <v>2312.59077109686</v>
      </c>
      <c r="M4516">
        <v>52.659074305796501</v>
      </c>
      <c r="N4516">
        <v>46.032040333800097</v>
      </c>
      <c r="O4516">
        <v>43.8530852686375</v>
      </c>
      <c r="P4516">
        <v>-0.163443500676523</v>
      </c>
      <c r="Q4516">
        <v>0.45555466688575202</v>
      </c>
      <c r="R4516">
        <v>0.448167325771758</v>
      </c>
      <c r="S4516" t="s">
        <v>10918</v>
      </c>
      <c r="T4516" t="s">
        <v>12802</v>
      </c>
      <c r="U4516" t="s">
        <v>12802</v>
      </c>
      <c r="V4516" t="s">
        <v>12802</v>
      </c>
      <c r="W4516" t="s">
        <v>17259</v>
      </c>
      <c r="X4516">
        <v>4</v>
      </c>
      <c r="Y4516" t="s">
        <v>23478</v>
      </c>
      <c r="Z4516" t="s">
        <v>29834</v>
      </c>
      <c r="AA4516">
        <v>0.58202346865167354</v>
      </c>
      <c r="AB4516" t="str">
        <f>HYPERLINK("Melting_Curves/meltCurve_Q8NEY1_7_NAV1.pdf", "Melting_Curves/meltCurve_Q8NEY1_7_NAV1.pdf")</f>
        <v>Melting_Curves/meltCurve_Q8NEY1_7_NAV1.pdf</v>
      </c>
    </row>
    <row r="4517" spans="1:28" x14ac:dyDescent="0.25">
      <c r="A4517" t="s">
        <v>4521</v>
      </c>
      <c r="B4517">
        <v>0.99542014353169495</v>
      </c>
      <c r="C4517">
        <v>0.99168210530752099</v>
      </c>
      <c r="D4517">
        <v>1.07747761563572</v>
      </c>
      <c r="E4517">
        <v>0.64132976979439105</v>
      </c>
      <c r="F4517">
        <v>0.140709791515615</v>
      </c>
      <c r="G4517">
        <v>1.95646770167353E-2</v>
      </c>
      <c r="H4517">
        <v>0</v>
      </c>
      <c r="I4517">
        <v>0</v>
      </c>
      <c r="J4517">
        <v>0</v>
      </c>
      <c r="K4517">
        <v>0</v>
      </c>
      <c r="L4517">
        <v>1763.8955176857301</v>
      </c>
      <c r="M4517">
        <v>37.1908066086296</v>
      </c>
      <c r="N4517">
        <v>47.439335742797901</v>
      </c>
      <c r="O4517">
        <v>47.291784794323902</v>
      </c>
      <c r="P4517">
        <v>-0.19575516180806901</v>
      </c>
      <c r="Q4517">
        <v>4.3150588565056798E-3</v>
      </c>
      <c r="R4517">
        <v>0.99477272392743998</v>
      </c>
      <c r="S4517" t="s">
        <v>10919</v>
      </c>
      <c r="T4517" t="s">
        <v>12802</v>
      </c>
      <c r="U4517" t="s">
        <v>12802</v>
      </c>
      <c r="V4517" t="s">
        <v>12802</v>
      </c>
      <c r="W4517" t="s">
        <v>17260</v>
      </c>
      <c r="X4517">
        <v>2</v>
      </c>
      <c r="Y4517" t="s">
        <v>23479</v>
      </c>
      <c r="Z4517" t="s">
        <v>29835</v>
      </c>
      <c r="AA4517">
        <v>0.3542053195359115</v>
      </c>
      <c r="AB4517" t="str">
        <f>HYPERLINK("Melting_Curves/meltCurve_Q8NEZ2_2_VPS37A.pdf", "Melting_Curves/meltCurve_Q8NEZ2_2_VPS37A.pdf")</f>
        <v>Melting_Curves/meltCurve_Q8NEZ2_2_VPS37A.pdf</v>
      </c>
    </row>
    <row r="4518" spans="1:28" x14ac:dyDescent="0.25">
      <c r="A4518" t="s">
        <v>4522</v>
      </c>
      <c r="B4518">
        <v>0.99542014353169495</v>
      </c>
      <c r="C4518">
        <v>0.96974477492612698</v>
      </c>
      <c r="D4518">
        <v>1.14074335486287</v>
      </c>
      <c r="E4518">
        <v>0.78825555054460905</v>
      </c>
      <c r="F4518">
        <v>0.757664581179886</v>
      </c>
      <c r="G4518">
        <v>0.40554952694171698</v>
      </c>
      <c r="H4518">
        <v>0.44986904606721401</v>
      </c>
      <c r="I4518">
        <v>0.396865037854918</v>
      </c>
      <c r="J4518">
        <v>0.47569202025984503</v>
      </c>
      <c r="K4518">
        <v>0.54085135669908402</v>
      </c>
      <c r="L4518">
        <v>1259.2529712609901</v>
      </c>
      <c r="M4518">
        <v>25.5599812719841</v>
      </c>
      <c r="N4518">
        <v>54.1018081722465</v>
      </c>
      <c r="O4518">
        <v>48.967985950087602</v>
      </c>
      <c r="P4518">
        <v>-7.1892209694282394E-2</v>
      </c>
      <c r="Q4518">
        <v>0.44908045898867599</v>
      </c>
      <c r="R4518">
        <v>0.90007862288764295</v>
      </c>
      <c r="S4518" t="s">
        <v>10920</v>
      </c>
      <c r="T4518" t="s">
        <v>12802</v>
      </c>
      <c r="U4518" t="s">
        <v>12802</v>
      </c>
      <c r="V4518" t="s">
        <v>12802</v>
      </c>
      <c r="W4518" t="s">
        <v>17261</v>
      </c>
      <c r="X4518">
        <v>3</v>
      </c>
      <c r="Y4518" t="s">
        <v>23480</v>
      </c>
      <c r="Z4518" t="s">
        <v>29836</v>
      </c>
      <c r="AA4518">
        <v>0.67891997537082227</v>
      </c>
      <c r="AB4518" t="str">
        <f>HYPERLINK("Melting_Curves/meltCurve_Q8NEZ4_MLL3.pdf", "Melting_Curves/meltCurve_Q8NEZ4_MLL3.pdf")</f>
        <v>Melting_Curves/meltCurve_Q8NEZ4_MLL3.pdf</v>
      </c>
    </row>
    <row r="4519" spans="1:28" x14ac:dyDescent="0.25">
      <c r="A4519" t="s">
        <v>4523</v>
      </c>
      <c r="B4519">
        <v>0.99542014353169495</v>
      </c>
      <c r="C4519">
        <v>0.98783505543752903</v>
      </c>
      <c r="D4519">
        <v>0.89576501415553</v>
      </c>
      <c r="E4519">
        <v>0.755386575796828</v>
      </c>
      <c r="F4519">
        <v>0.43199635085620602</v>
      </c>
      <c r="G4519">
        <v>0.18540721155444001</v>
      </c>
      <c r="H4519">
        <v>5.1188341864268003E-2</v>
      </c>
      <c r="I4519">
        <v>3.6570632582347697E-2</v>
      </c>
      <c r="J4519">
        <v>3.4440317117252199E-2</v>
      </c>
      <c r="K4519">
        <v>3.5817879052154597E-2</v>
      </c>
      <c r="L4519">
        <v>895.79019962692598</v>
      </c>
      <c r="M4519">
        <v>18.176585842842599</v>
      </c>
      <c r="N4519">
        <v>49.339988996617599</v>
      </c>
      <c r="O4519">
        <v>48.6977680956931</v>
      </c>
      <c r="P4519">
        <v>-9.2342346467593303E-2</v>
      </c>
      <c r="Q4519">
        <v>1.04520741269493E-2</v>
      </c>
      <c r="R4519">
        <v>0.99811838863412194</v>
      </c>
      <c r="S4519" t="s">
        <v>10921</v>
      </c>
      <c r="T4519" t="s">
        <v>12802</v>
      </c>
      <c r="U4519" t="s">
        <v>12802</v>
      </c>
      <c r="V4519" t="s">
        <v>12802</v>
      </c>
      <c r="W4519" t="s">
        <v>17262</v>
      </c>
      <c r="X4519">
        <v>8</v>
      </c>
      <c r="Y4519" t="s">
        <v>23481</v>
      </c>
      <c r="Z4519" t="s">
        <v>29837</v>
      </c>
      <c r="AA4519">
        <v>0.43103294111967022</v>
      </c>
      <c r="AB4519" t="str">
        <f>HYPERLINK("Melting_Curves/meltCurve_Q8NEZ5_FBXO22.pdf", "Melting_Curves/meltCurve_Q8NEZ5_FBXO22.pdf")</f>
        <v>Melting_Curves/meltCurve_Q8NEZ5_FBXO22.pdf</v>
      </c>
    </row>
    <row r="4520" spans="1:28" x14ac:dyDescent="0.25">
      <c r="A4520" t="s">
        <v>4524</v>
      </c>
      <c r="B4520">
        <v>0.99542014353169495</v>
      </c>
      <c r="C4520">
        <v>0.91761774268650498</v>
      </c>
      <c r="D4520">
        <v>1.0943273077108699</v>
      </c>
      <c r="E4520">
        <v>0.832894402851591</v>
      </c>
      <c r="F4520">
        <v>0.57833332253473102</v>
      </c>
      <c r="G4520">
        <v>0.460614008876577</v>
      </c>
      <c r="H4520">
        <v>0.30990399472184899</v>
      </c>
      <c r="I4520">
        <v>0.102729258023478</v>
      </c>
      <c r="J4520">
        <v>0.16354697216932901</v>
      </c>
      <c r="K4520">
        <v>0.32974963823270398</v>
      </c>
      <c r="L4520">
        <v>929.05964368531102</v>
      </c>
      <c r="M4520">
        <v>18.405682047104399</v>
      </c>
      <c r="N4520">
        <v>51.9249317353094</v>
      </c>
      <c r="O4520">
        <v>49.892241396883101</v>
      </c>
      <c r="P4520">
        <v>-7.3716109835691504E-2</v>
      </c>
      <c r="Q4520">
        <v>0.200747578027135</v>
      </c>
      <c r="R4520">
        <v>0.94549362259416703</v>
      </c>
      <c r="S4520" t="s">
        <v>10922</v>
      </c>
      <c r="T4520" t="s">
        <v>12802</v>
      </c>
      <c r="U4520" t="s">
        <v>12802</v>
      </c>
      <c r="V4520" t="s">
        <v>12802</v>
      </c>
      <c r="W4520" t="s">
        <v>17263</v>
      </c>
      <c r="X4520">
        <v>4</v>
      </c>
      <c r="Y4520" t="s">
        <v>23482</v>
      </c>
      <c r="Z4520" t="s">
        <v>29838</v>
      </c>
      <c r="AA4520">
        <v>0.57186081304151959</v>
      </c>
      <c r="AB4520" t="str">
        <f>HYPERLINK("Melting_Curves/meltCurve_Q8NF37_LPCAT1.pdf", "Melting_Curves/meltCurve_Q8NF37_LPCAT1.pdf")</f>
        <v>Melting_Curves/meltCurve_Q8NF37_LPCAT1.pdf</v>
      </c>
    </row>
    <row r="4521" spans="1:28" x14ac:dyDescent="0.25">
      <c r="A4521" t="s">
        <v>4525</v>
      </c>
      <c r="B4521">
        <v>0.99542014353169495</v>
      </c>
      <c r="C4521">
        <v>0.88198620646081805</v>
      </c>
      <c r="D4521">
        <v>0.85817553602784502</v>
      </c>
      <c r="E4521">
        <v>0.35458658611219701</v>
      </c>
      <c r="F4521">
        <v>0.19820641846940301</v>
      </c>
      <c r="G4521">
        <v>0.115286824204616</v>
      </c>
      <c r="H4521">
        <v>9.1414314409664701E-2</v>
      </c>
      <c r="I4521">
        <v>5.4874656631972697E-2</v>
      </c>
      <c r="J4521">
        <v>7.1188209451325896E-2</v>
      </c>
      <c r="K4521">
        <v>8.3703865602952704E-2</v>
      </c>
      <c r="L4521">
        <v>1095.39455355877</v>
      </c>
      <c r="M4521">
        <v>24.159873039950099</v>
      </c>
      <c r="N4521">
        <v>45.6712044687144</v>
      </c>
      <c r="O4521">
        <v>45.032235314093001</v>
      </c>
      <c r="P4521">
        <v>-0.12333199657300301</v>
      </c>
      <c r="Q4521">
        <v>8.0487299148833194E-2</v>
      </c>
      <c r="R4521">
        <v>0.98939596518596895</v>
      </c>
      <c r="S4521" t="s">
        <v>10923</v>
      </c>
      <c r="T4521" t="s">
        <v>12802</v>
      </c>
      <c r="U4521" t="s">
        <v>12802</v>
      </c>
      <c r="V4521" t="s">
        <v>12802</v>
      </c>
      <c r="W4521" t="s">
        <v>17264</v>
      </c>
      <c r="X4521">
        <v>14</v>
      </c>
      <c r="Y4521" t="s">
        <v>23483</v>
      </c>
      <c r="Z4521" t="s">
        <v>29839</v>
      </c>
      <c r="AA4521">
        <v>0.34421908750982522</v>
      </c>
      <c r="AB4521" t="str">
        <f>HYPERLINK("Melting_Curves/meltCurve_Q8NF50_4_DOCK8.pdf", "Melting_Curves/meltCurve_Q8NF50_4_DOCK8.pdf")</f>
        <v>Melting_Curves/meltCurve_Q8NF50_4_DOCK8.pdf</v>
      </c>
    </row>
    <row r="4522" spans="1:28" x14ac:dyDescent="0.25">
      <c r="A4522" t="s">
        <v>4526</v>
      </c>
      <c r="B4522">
        <v>0.99542014353169495</v>
      </c>
      <c r="C4522">
        <v>0.868749615110464</v>
      </c>
      <c r="D4522">
        <v>0.790857469843675</v>
      </c>
      <c r="E4522">
        <v>0.46273490188456601</v>
      </c>
      <c r="F4522">
        <v>0.27755881402708299</v>
      </c>
      <c r="G4522">
        <v>0.14597922595961799</v>
      </c>
      <c r="H4522">
        <v>9.7009874617265499E-2</v>
      </c>
      <c r="I4522">
        <v>7.5226298774264205E-2</v>
      </c>
      <c r="J4522">
        <v>9.33604818455811E-2</v>
      </c>
      <c r="K4522">
        <v>8.6094927404191002E-2</v>
      </c>
      <c r="L4522">
        <v>711.08898810361995</v>
      </c>
      <c r="M4522">
        <v>15.4949033611774</v>
      </c>
      <c r="N4522">
        <v>46.330829135410198</v>
      </c>
      <c r="O4522">
        <v>45.147801595999098</v>
      </c>
      <c r="P4522">
        <v>-7.9949657211720607E-2</v>
      </c>
      <c r="Q4522">
        <v>6.8279384136168603E-2</v>
      </c>
      <c r="R4522">
        <v>0.99587210220622102</v>
      </c>
      <c r="S4522" t="s">
        <v>10924</v>
      </c>
      <c r="T4522" t="s">
        <v>12802</v>
      </c>
      <c r="U4522" t="s">
        <v>12802</v>
      </c>
      <c r="V4522" t="s">
        <v>12802</v>
      </c>
      <c r="W4522" t="s">
        <v>17265</v>
      </c>
      <c r="X4522">
        <v>10</v>
      </c>
      <c r="Y4522" t="s">
        <v>23484</v>
      </c>
      <c r="Z4522" t="s">
        <v>29840</v>
      </c>
      <c r="AA4522">
        <v>0.36468528623835889</v>
      </c>
      <c r="AB4522" t="str">
        <f>HYPERLINK("Melting_Curves/meltCurve_Q8NFA0_USP32.pdf", "Melting_Curves/meltCurve_Q8NFA0_USP32.pdf")</f>
        <v>Melting_Curves/meltCurve_Q8NFA0_USP32.pdf</v>
      </c>
    </row>
    <row r="4523" spans="1:28" x14ac:dyDescent="0.25">
      <c r="A4523" t="s">
        <v>4527</v>
      </c>
      <c r="B4523">
        <v>0.99542014353169495</v>
      </c>
      <c r="C4523">
        <v>0.94150402620932605</v>
      </c>
      <c r="D4523">
        <v>0.91579235005362902</v>
      </c>
      <c r="E4523">
        <v>0.87924984534165995</v>
      </c>
      <c r="F4523">
        <v>0.87722239413856096</v>
      </c>
      <c r="G4523">
        <v>0.64357374676275603</v>
      </c>
      <c r="H4523">
        <v>0.48426385708729502</v>
      </c>
      <c r="I4523">
        <v>0.41043745213425498</v>
      </c>
      <c r="J4523">
        <v>0.54878805133100295</v>
      </c>
      <c r="K4523">
        <v>0.68472179393861898</v>
      </c>
      <c r="L4523">
        <v>1545.68185480427</v>
      </c>
      <c r="M4523">
        <v>30.026245888233198</v>
      </c>
      <c r="O4523">
        <v>51.2509783114754</v>
      </c>
      <c r="P4523">
        <v>-6.8852251474835896E-2</v>
      </c>
      <c r="Q4523">
        <v>0.52991495862943006</v>
      </c>
      <c r="R4523">
        <v>0.83600004879329504</v>
      </c>
      <c r="S4523" t="s">
        <v>10925</v>
      </c>
      <c r="T4523" t="s">
        <v>12802</v>
      </c>
      <c r="U4523" t="s">
        <v>12802</v>
      </c>
      <c r="V4523" t="s">
        <v>12802</v>
      </c>
      <c r="W4523" t="s">
        <v>17266</v>
      </c>
      <c r="X4523">
        <v>62</v>
      </c>
      <c r="Y4523" t="s">
        <v>23485</v>
      </c>
      <c r="Z4523" t="s">
        <v>29841</v>
      </c>
      <c r="AA4523">
        <v>0.75971579490719043</v>
      </c>
      <c r="AB4523" t="str">
        <f>HYPERLINK("Melting_Curves/meltCurve_Q8NFC6_BOD1L1.pdf", "Melting_Curves/meltCurve_Q8NFC6_BOD1L1.pdf")</f>
        <v>Melting_Curves/meltCurve_Q8NFC6_BOD1L1.pdf</v>
      </c>
    </row>
    <row r="4524" spans="1:28" x14ac:dyDescent="0.25">
      <c r="A4524" t="s">
        <v>4528</v>
      </c>
      <c r="B4524">
        <v>0.99542014353169495</v>
      </c>
      <c r="C4524">
        <v>1.0432929791163199</v>
      </c>
      <c r="D4524">
        <v>1.0399154470445999</v>
      </c>
      <c r="E4524">
        <v>0.82605650670606001</v>
      </c>
      <c r="F4524">
        <v>0.52208077392072305</v>
      </c>
      <c r="G4524">
        <v>0.164934765111411</v>
      </c>
      <c r="H4524">
        <v>8.6208331778921093E-2</v>
      </c>
      <c r="I4524">
        <v>6.2708448440267295E-2</v>
      </c>
      <c r="J4524">
        <v>7.4998778233369298E-2</v>
      </c>
      <c r="K4524">
        <v>9.1846646271096496E-2</v>
      </c>
      <c r="L4524">
        <v>1284.6959016698399</v>
      </c>
      <c r="M4524">
        <v>25.7634985319877</v>
      </c>
      <c r="N4524">
        <v>50.139136424687898</v>
      </c>
      <c r="O4524">
        <v>49.567445765673398</v>
      </c>
      <c r="P4524">
        <v>-0.121405419540438</v>
      </c>
      <c r="Q4524">
        <v>6.57037924033545E-2</v>
      </c>
      <c r="R4524">
        <v>0.99481071096028295</v>
      </c>
      <c r="S4524" t="s">
        <v>10926</v>
      </c>
      <c r="T4524" t="s">
        <v>12802</v>
      </c>
      <c r="U4524" t="s">
        <v>12802</v>
      </c>
      <c r="V4524" t="s">
        <v>12802</v>
      </c>
      <c r="W4524" t="s">
        <v>17267</v>
      </c>
      <c r="X4524">
        <v>14</v>
      </c>
      <c r="Y4524" t="s">
        <v>23486</v>
      </c>
      <c r="Z4524" t="s">
        <v>29842</v>
      </c>
      <c r="AA4524">
        <v>0.47406133052015598</v>
      </c>
      <c r="AB4524" t="str">
        <f>HYPERLINK("Melting_Curves/meltCurve_Q8NFF5_2_FLAD1.pdf", "Melting_Curves/meltCurve_Q8NFF5_2_FLAD1.pdf")</f>
        <v>Melting_Curves/meltCurve_Q8NFF5_2_FLAD1.pdf</v>
      </c>
    </row>
    <row r="4525" spans="1:28" x14ac:dyDescent="0.25">
      <c r="A4525" t="s">
        <v>4529</v>
      </c>
      <c r="B4525">
        <v>0.99542014353169495</v>
      </c>
      <c r="C4525">
        <v>0.98679787397571195</v>
      </c>
      <c r="D4525">
        <v>0.86325229176865004</v>
      </c>
      <c r="E4525">
        <v>0.50941598278280298</v>
      </c>
      <c r="F4525">
        <v>0.33187283936084699</v>
      </c>
      <c r="G4525">
        <v>0.134103082625013</v>
      </c>
      <c r="H4525">
        <v>9.1467270033058198E-2</v>
      </c>
      <c r="I4525">
        <v>5.8086136595573698E-2</v>
      </c>
      <c r="J4525">
        <v>4.9202148627796101E-2</v>
      </c>
      <c r="K4525">
        <v>6.2724099201010602E-2</v>
      </c>
      <c r="L4525">
        <v>815.02178039808496</v>
      </c>
      <c r="M4525">
        <v>17.350004937412098</v>
      </c>
      <c r="N4525">
        <v>47.261528977482101</v>
      </c>
      <c r="O4525">
        <v>46.364573549919697</v>
      </c>
      <c r="P4525">
        <v>-8.8891563783384295E-2</v>
      </c>
      <c r="Q4525">
        <v>4.98712385070069E-2</v>
      </c>
      <c r="R4525">
        <v>0.99565624748857795</v>
      </c>
      <c r="S4525" t="s">
        <v>10927</v>
      </c>
      <c r="T4525" t="s">
        <v>12802</v>
      </c>
      <c r="U4525" t="s">
        <v>12802</v>
      </c>
      <c r="V4525" t="s">
        <v>12802</v>
      </c>
      <c r="W4525" t="s">
        <v>17268</v>
      </c>
      <c r="X4525">
        <v>4</v>
      </c>
      <c r="Y4525" t="s">
        <v>23487</v>
      </c>
      <c r="Z4525" t="s">
        <v>29843</v>
      </c>
      <c r="AA4525">
        <v>0.38215886226338353</v>
      </c>
      <c r="AB4525" t="str">
        <f>HYPERLINK("Melting_Curves/meltCurve_Q8NFG4_FLCN.pdf", "Melting_Curves/meltCurve_Q8NFG4_FLCN.pdf")</f>
        <v>Melting_Curves/meltCurve_Q8NFG4_FLCN.pdf</v>
      </c>
    </row>
    <row r="4526" spans="1:28" x14ac:dyDescent="0.25">
      <c r="A4526" t="s">
        <v>4530</v>
      </c>
      <c r="B4526">
        <v>0.99542014353169495</v>
      </c>
      <c r="C4526">
        <v>1.03459192849338</v>
      </c>
      <c r="D4526">
        <v>0.91128092415002104</v>
      </c>
      <c r="E4526">
        <v>0.84993702802726201</v>
      </c>
      <c r="F4526">
        <v>0.68853154655226001</v>
      </c>
      <c r="G4526">
        <v>0.56650199014678504</v>
      </c>
      <c r="H4526">
        <v>0.35986880090904</v>
      </c>
      <c r="I4526">
        <v>0.26031101161189701</v>
      </c>
      <c r="J4526">
        <v>0.17783633028033399</v>
      </c>
      <c r="K4526">
        <v>9.8456485127198096E-2</v>
      </c>
      <c r="L4526">
        <v>567.68458504232399</v>
      </c>
      <c r="M4526">
        <v>10.415573733144999</v>
      </c>
      <c r="N4526">
        <v>54.5034378756609</v>
      </c>
      <c r="O4526">
        <v>52.609164892161097</v>
      </c>
      <c r="P4526">
        <v>-4.9515645755125501E-2</v>
      </c>
      <c r="Q4526">
        <v>0</v>
      </c>
      <c r="R4526">
        <v>0.99404388995833404</v>
      </c>
      <c r="S4526" t="s">
        <v>10928</v>
      </c>
      <c r="T4526" t="s">
        <v>12802</v>
      </c>
      <c r="U4526" t="s">
        <v>12802</v>
      </c>
      <c r="V4526" t="s">
        <v>12802</v>
      </c>
      <c r="W4526" t="s">
        <v>17269</v>
      </c>
      <c r="X4526">
        <v>9</v>
      </c>
      <c r="Y4526" t="s">
        <v>23488</v>
      </c>
      <c r="Z4526" t="s">
        <v>29844</v>
      </c>
      <c r="AA4526">
        <v>0.59882435606620565</v>
      </c>
      <c r="AB4526" t="str">
        <f>HYPERLINK("Melting_Curves/meltCurve_Q8NFH3_NUP43.pdf", "Melting_Curves/meltCurve_Q8NFH3_NUP43.pdf")</f>
        <v>Melting_Curves/meltCurve_Q8NFH3_NUP43.pdf</v>
      </c>
    </row>
    <row r="4527" spans="1:28" x14ac:dyDescent="0.25">
      <c r="A4527" t="s">
        <v>4531</v>
      </c>
      <c r="B4527">
        <v>0.99542014353169495</v>
      </c>
      <c r="C4527">
        <v>1.04977796004407</v>
      </c>
      <c r="D4527">
        <v>1.0423464899932899</v>
      </c>
      <c r="E4527">
        <v>0.96073044091427495</v>
      </c>
      <c r="F4527">
        <v>0.77219816803957098</v>
      </c>
      <c r="G4527">
        <v>0.70829801877301701</v>
      </c>
      <c r="H4527">
        <v>0.41140882326744699</v>
      </c>
      <c r="I4527">
        <v>0.15504464593211001</v>
      </c>
      <c r="J4527">
        <v>7.8545837361908302E-2</v>
      </c>
      <c r="K4527">
        <v>7.0446089316579003E-2</v>
      </c>
      <c r="L4527">
        <v>925.79229586106499</v>
      </c>
      <c r="M4527">
        <v>16.586990805980999</v>
      </c>
      <c r="N4527">
        <v>55.814362199909901</v>
      </c>
      <c r="O4527">
        <v>55.022027055719001</v>
      </c>
      <c r="P4527">
        <v>-7.5370364202603096E-2</v>
      </c>
      <c r="Q4527">
        <v>0</v>
      </c>
      <c r="R4527">
        <v>0.98666007688067203</v>
      </c>
      <c r="S4527" t="s">
        <v>10929</v>
      </c>
      <c r="T4527" t="s">
        <v>12802</v>
      </c>
      <c r="U4527" t="s">
        <v>12802</v>
      </c>
      <c r="V4527" t="s">
        <v>12802</v>
      </c>
      <c r="W4527" t="s">
        <v>17270</v>
      </c>
      <c r="X4527">
        <v>8</v>
      </c>
      <c r="Y4527" t="s">
        <v>23489</v>
      </c>
      <c r="Z4527" t="s">
        <v>29845</v>
      </c>
      <c r="AA4527">
        <v>0.6389372677287305</v>
      </c>
      <c r="AB4527" t="str">
        <f>HYPERLINK("Melting_Curves/meltCurve_Q8NFH4_NUP37.pdf", "Melting_Curves/meltCurve_Q8NFH4_NUP37.pdf")</f>
        <v>Melting_Curves/meltCurve_Q8NFH4_NUP37.pdf</v>
      </c>
    </row>
    <row r="4528" spans="1:28" x14ac:dyDescent="0.25">
      <c r="A4528" t="s">
        <v>4532</v>
      </c>
      <c r="B4528">
        <v>0.99542014353169495</v>
      </c>
      <c r="C4528">
        <v>0.996202422019279</v>
      </c>
      <c r="D4528">
        <v>0.95550137776154298</v>
      </c>
      <c r="E4528">
        <v>0.83165116090312396</v>
      </c>
      <c r="F4528">
        <v>0.653390949559709</v>
      </c>
      <c r="G4528">
        <v>0.365511280879249</v>
      </c>
      <c r="H4528">
        <v>0.185786261618124</v>
      </c>
      <c r="I4528">
        <v>9.4186635798899299E-2</v>
      </c>
      <c r="J4528">
        <v>8.0097431460539201E-2</v>
      </c>
      <c r="K4528">
        <v>0.12097372747759901</v>
      </c>
      <c r="L4528">
        <v>871.42273687709405</v>
      </c>
      <c r="M4528">
        <v>16.944289888052399</v>
      </c>
      <c r="N4528">
        <v>51.825434507662699</v>
      </c>
      <c r="O4528">
        <v>50.728396518662997</v>
      </c>
      <c r="P4528">
        <v>-7.8430611812734696E-2</v>
      </c>
      <c r="Q4528">
        <v>6.08257671323785E-2</v>
      </c>
      <c r="R4528">
        <v>0.99671796913336697</v>
      </c>
      <c r="S4528" t="s">
        <v>10930</v>
      </c>
      <c r="T4528" t="s">
        <v>12802</v>
      </c>
      <c r="U4528" t="s">
        <v>12802</v>
      </c>
      <c r="V4528" t="s">
        <v>12802</v>
      </c>
      <c r="W4528" t="s">
        <v>17271</v>
      </c>
      <c r="X4528">
        <v>12</v>
      </c>
      <c r="Y4528" t="s">
        <v>23490</v>
      </c>
      <c r="Z4528" t="s">
        <v>29846</v>
      </c>
      <c r="AA4528">
        <v>0.52828507795306734</v>
      </c>
      <c r="AB4528" t="str">
        <f>HYPERLINK("Melting_Curves/meltCurve_Q8NFI3_ENGASE.pdf", "Melting_Curves/meltCurve_Q8NFI3_ENGASE.pdf")</f>
        <v>Melting_Curves/meltCurve_Q8NFI3_ENGASE.pdf</v>
      </c>
    </row>
    <row r="4529" spans="1:28" x14ac:dyDescent="0.25">
      <c r="A4529" t="s">
        <v>4533</v>
      </c>
      <c r="B4529">
        <v>0.99542014353169495</v>
      </c>
      <c r="C4529">
        <v>1.0072960541921201</v>
      </c>
      <c r="D4529">
        <v>1.13101121013845</v>
      </c>
      <c r="E4529">
        <v>0.90347275283321804</v>
      </c>
      <c r="F4529">
        <v>0.73210251578067798</v>
      </c>
      <c r="G4529">
        <v>0.25766450087006398</v>
      </c>
      <c r="H4529">
        <v>0.107356403392237</v>
      </c>
      <c r="I4529">
        <v>7.8901378535128006E-2</v>
      </c>
      <c r="J4529">
        <v>7.5270419545121606E-2</v>
      </c>
      <c r="K4529">
        <v>0.103278953558853</v>
      </c>
      <c r="L4529">
        <v>1632.2600327474199</v>
      </c>
      <c r="M4529">
        <v>31.710691527315799</v>
      </c>
      <c r="N4529">
        <v>51.757203124920302</v>
      </c>
      <c r="O4529">
        <v>51.270104961440801</v>
      </c>
      <c r="P4529">
        <v>-0.14229064823686799</v>
      </c>
      <c r="Q4529">
        <v>7.9778430386528598E-2</v>
      </c>
      <c r="R4529">
        <v>0.98752102567952704</v>
      </c>
      <c r="S4529" t="s">
        <v>10931</v>
      </c>
      <c r="T4529" t="s">
        <v>12802</v>
      </c>
      <c r="U4529" t="s">
        <v>12802</v>
      </c>
      <c r="V4529" t="s">
        <v>12802</v>
      </c>
      <c r="W4529" t="s">
        <v>17272</v>
      </c>
      <c r="X4529">
        <v>10</v>
      </c>
      <c r="Y4529" t="s">
        <v>23491</v>
      </c>
      <c r="Z4529" t="s">
        <v>29847</v>
      </c>
      <c r="AA4529">
        <v>0.52891873562014291</v>
      </c>
      <c r="AB4529" t="str">
        <f>HYPERLINK("Melting_Curves/meltCurve_Q8NFQ8_TOR1AIP2.pdf", "Melting_Curves/meltCurve_Q8NFQ8_TOR1AIP2.pdf")</f>
        <v>Melting_Curves/meltCurve_Q8NFQ8_TOR1AIP2.pdf</v>
      </c>
    </row>
    <row r="4530" spans="1:28" x14ac:dyDescent="0.25">
      <c r="A4530" t="s">
        <v>4534</v>
      </c>
      <c r="B4530">
        <v>0.99542014353169495</v>
      </c>
      <c r="C4530">
        <v>1.0451355865887899</v>
      </c>
      <c r="D4530">
        <v>0.92432862837378404</v>
      </c>
      <c r="E4530">
        <v>0.73952591243186105</v>
      </c>
      <c r="F4530">
        <v>0.3226022124679</v>
      </c>
      <c r="G4530">
        <v>0.15049760154817399</v>
      </c>
      <c r="H4530">
        <v>9.4238574548305906E-2</v>
      </c>
      <c r="I4530">
        <v>7.4681880756062705E-2</v>
      </c>
      <c r="J4530">
        <v>8.7330239506546406E-2</v>
      </c>
      <c r="K4530">
        <v>0.14276180392844701</v>
      </c>
      <c r="L4530">
        <v>1252.9440349633701</v>
      </c>
      <c r="M4530">
        <v>26.033917706512799</v>
      </c>
      <c r="N4530">
        <v>48.520714380723</v>
      </c>
      <c r="O4530">
        <v>47.846098891868401</v>
      </c>
      <c r="P4530">
        <v>-0.123090007968483</v>
      </c>
      <c r="Q4530">
        <v>9.5132850759375095E-2</v>
      </c>
      <c r="R4530">
        <v>0.99551371362045504</v>
      </c>
      <c r="S4530" t="s">
        <v>10932</v>
      </c>
      <c r="T4530" t="s">
        <v>12802</v>
      </c>
      <c r="U4530" t="s">
        <v>12802</v>
      </c>
      <c r="V4530" t="s">
        <v>12802</v>
      </c>
      <c r="W4530" t="s">
        <v>17273</v>
      </c>
      <c r="X4530">
        <v>9</v>
      </c>
      <c r="Y4530" t="s">
        <v>23492</v>
      </c>
      <c r="Z4530" t="s">
        <v>29848</v>
      </c>
      <c r="AA4530">
        <v>0.43788908194278953</v>
      </c>
      <c r="AB4530" t="str">
        <f>HYPERLINK("Melting_Curves/meltCurve_Q8NFV4_ABHD11.pdf", "Melting_Curves/meltCurve_Q8NFV4_ABHD11.pdf")</f>
        <v>Melting_Curves/meltCurve_Q8NFV4_ABHD11.pdf</v>
      </c>
    </row>
    <row r="4531" spans="1:28" x14ac:dyDescent="0.25">
      <c r="A4531" t="s">
        <v>4535</v>
      </c>
      <c r="B4531">
        <v>0.99542014353169495</v>
      </c>
      <c r="C4531">
        <v>0.883743657732045</v>
      </c>
      <c r="D4531">
        <v>1.00751402565268</v>
      </c>
      <c r="E4531">
        <v>0.84850528475811804</v>
      </c>
      <c r="F4531">
        <v>0.47804383758304902</v>
      </c>
      <c r="G4531">
        <v>0.113904797827245</v>
      </c>
      <c r="H4531">
        <v>8.1695209428285495E-2</v>
      </c>
      <c r="I4531">
        <v>5.3605030703725798E-2</v>
      </c>
      <c r="J4531">
        <v>6.0237047852821198E-2</v>
      </c>
      <c r="K4531">
        <v>5.6601575574018098E-2</v>
      </c>
      <c r="L4531">
        <v>1392.51344692507</v>
      </c>
      <c r="M4531">
        <v>28.0355007978247</v>
      </c>
      <c r="N4531">
        <v>49.858519024891002</v>
      </c>
      <c r="O4531">
        <v>49.418995833140798</v>
      </c>
      <c r="P4531">
        <v>-0.13468167892623001</v>
      </c>
      <c r="Q4531">
        <v>5.0378789042201097E-2</v>
      </c>
      <c r="R4531">
        <v>0.99031983729523698</v>
      </c>
      <c r="S4531" t="s">
        <v>10933</v>
      </c>
      <c r="T4531" t="s">
        <v>12802</v>
      </c>
      <c r="U4531" t="s">
        <v>12802</v>
      </c>
      <c r="V4531" t="s">
        <v>12802</v>
      </c>
      <c r="W4531" t="s">
        <v>17274</v>
      </c>
      <c r="X4531">
        <v>11</v>
      </c>
      <c r="Y4531" t="s">
        <v>23493</v>
      </c>
      <c r="Z4531" t="s">
        <v>29849</v>
      </c>
      <c r="AA4531">
        <v>0.45804730125823129</v>
      </c>
      <c r="AB4531" t="str">
        <f>HYPERLINK("Melting_Curves/meltCurve_Q8NFW8_CMAS.pdf", "Melting_Curves/meltCurve_Q8NFW8_CMAS.pdf")</f>
        <v>Melting_Curves/meltCurve_Q8NFW8_CMAS.pdf</v>
      </c>
    </row>
    <row r="4532" spans="1:28" x14ac:dyDescent="0.25">
      <c r="A4532" t="s">
        <v>4536</v>
      </c>
      <c r="B4532">
        <v>0.99542014353169495</v>
      </c>
      <c r="C4532">
        <v>1.0135071637725499</v>
      </c>
      <c r="D4532">
        <v>1.00752768691954</v>
      </c>
      <c r="E4532">
        <v>0.86176766830764095</v>
      </c>
      <c r="F4532">
        <v>0.59016013945739898</v>
      </c>
      <c r="G4532">
        <v>0.24687161271084099</v>
      </c>
      <c r="H4532">
        <v>9.72436306844571E-2</v>
      </c>
      <c r="I4532">
        <v>5.9529315162789802E-2</v>
      </c>
      <c r="J4532">
        <v>8.6263701506473597E-2</v>
      </c>
      <c r="K4532">
        <v>9.3244207474809507E-2</v>
      </c>
      <c r="L4532">
        <v>1200.8745631383099</v>
      </c>
      <c r="M4532">
        <v>23.746715947226399</v>
      </c>
      <c r="N4532">
        <v>50.874428084132902</v>
      </c>
      <c r="O4532">
        <v>50.2155997308843</v>
      </c>
      <c r="P4532">
        <v>-0.110398575110078</v>
      </c>
      <c r="Q4532">
        <v>6.6205259402915995E-2</v>
      </c>
      <c r="R4532">
        <v>0.99785242166082</v>
      </c>
      <c r="S4532" t="s">
        <v>10934</v>
      </c>
      <c r="T4532" t="s">
        <v>12802</v>
      </c>
      <c r="U4532" t="s">
        <v>12802</v>
      </c>
      <c r="V4532" t="s">
        <v>12802</v>
      </c>
      <c r="W4532" t="s">
        <v>17275</v>
      </c>
      <c r="X4532">
        <v>7</v>
      </c>
      <c r="Y4532" t="s">
        <v>23494</v>
      </c>
      <c r="Z4532" t="s">
        <v>29850</v>
      </c>
      <c r="AA4532">
        <v>0.49763306413818847</v>
      </c>
      <c r="AB4532" t="str">
        <f>HYPERLINK("Melting_Curves/meltCurve_Q8NFY9_KBTBD8.pdf", "Melting_Curves/meltCurve_Q8NFY9_KBTBD8.pdf")</f>
        <v>Melting_Curves/meltCurve_Q8NFY9_KBTBD8.pdf</v>
      </c>
    </row>
    <row r="4533" spans="1:28" x14ac:dyDescent="0.25">
      <c r="A4533" t="s">
        <v>4537</v>
      </c>
      <c r="B4533">
        <v>0.99542014353169495</v>
      </c>
      <c r="C4533">
        <v>0.93670378199457804</v>
      </c>
      <c r="D4533">
        <v>0.99882133673346296</v>
      </c>
      <c r="E4533">
        <v>0.91328112398095496</v>
      </c>
      <c r="F4533">
        <v>0.58729188284538503</v>
      </c>
      <c r="G4533">
        <v>0.237311735272869</v>
      </c>
      <c r="H4533">
        <v>9.3191371366953601E-2</v>
      </c>
      <c r="I4533">
        <v>6.0986369416213798E-2</v>
      </c>
      <c r="J4533">
        <v>7.99542535372052E-2</v>
      </c>
      <c r="K4533">
        <v>7.3217561239897894E-2</v>
      </c>
      <c r="L4533">
        <v>1331.67188684145</v>
      </c>
      <c r="M4533">
        <v>26.283467327564601</v>
      </c>
      <c r="N4533">
        <v>50.9309935387761</v>
      </c>
      <c r="O4533">
        <v>50.3751789664854</v>
      </c>
      <c r="P4533">
        <v>-0.122096926819692</v>
      </c>
      <c r="Q4533">
        <v>6.3960819337636102E-2</v>
      </c>
      <c r="R4533">
        <v>0.99722878134053095</v>
      </c>
      <c r="S4533" t="s">
        <v>10935</v>
      </c>
      <c r="T4533" t="s">
        <v>12802</v>
      </c>
      <c r="U4533" t="s">
        <v>12802</v>
      </c>
      <c r="V4533" t="s">
        <v>12802</v>
      </c>
      <c r="W4533" t="s">
        <v>17276</v>
      </c>
      <c r="X4533">
        <v>8</v>
      </c>
      <c r="Y4533" t="s">
        <v>23495</v>
      </c>
      <c r="Z4533" t="s">
        <v>29851</v>
      </c>
      <c r="AA4533">
        <v>0.49784460381009521</v>
      </c>
      <c r="AB4533" t="str">
        <f>HYPERLINK("Melting_Curves/meltCurve_Q8NFZ0_FBXO18.pdf", "Melting_Curves/meltCurve_Q8NFZ0_FBXO18.pdf")</f>
        <v>Melting_Curves/meltCurve_Q8NFZ0_FBXO18.pdf</v>
      </c>
    </row>
    <row r="4534" spans="1:28" x14ac:dyDescent="0.25">
      <c r="A4534" t="s">
        <v>4538</v>
      </c>
      <c r="B4534">
        <v>0.99542014353169495</v>
      </c>
      <c r="C4534">
        <v>0.96703376174003197</v>
      </c>
      <c r="D4534">
        <v>0.98406413369460999</v>
      </c>
      <c r="E4534">
        <v>0.861290626143285</v>
      </c>
      <c r="F4534">
        <v>0.73179030752848395</v>
      </c>
      <c r="G4534">
        <v>0.460628726453856</v>
      </c>
      <c r="H4534">
        <v>0.20891199744601599</v>
      </c>
      <c r="I4534">
        <v>8.9056122307673999E-2</v>
      </c>
      <c r="J4534">
        <v>5.6286969060024103E-2</v>
      </c>
      <c r="K4534">
        <v>5.5975937021745997E-2</v>
      </c>
      <c r="L4534">
        <v>854.77606378803</v>
      </c>
      <c r="M4534">
        <v>16.1163574613288</v>
      </c>
      <c r="N4534">
        <v>53.037795036277899</v>
      </c>
      <c r="O4534">
        <v>52.241379679406499</v>
      </c>
      <c r="P4534">
        <v>-7.7130381358563302E-2</v>
      </c>
      <c r="Q4534">
        <v>0</v>
      </c>
      <c r="R4534">
        <v>0.997078904457121</v>
      </c>
      <c r="S4534" t="s">
        <v>10936</v>
      </c>
      <c r="T4534" t="s">
        <v>12802</v>
      </c>
      <c r="U4534" t="s">
        <v>12802</v>
      </c>
      <c r="V4534" t="s">
        <v>12802</v>
      </c>
      <c r="W4534" t="s">
        <v>17277</v>
      </c>
      <c r="X4534">
        <v>7</v>
      </c>
      <c r="Y4534" t="s">
        <v>23496</v>
      </c>
      <c r="Z4534" t="s">
        <v>29852</v>
      </c>
      <c r="AA4534">
        <v>0.55113082013461523</v>
      </c>
      <c r="AB4534" t="str">
        <f>HYPERLINK("Melting_Curves/meltCurve_Q8NG08_HELB.pdf", "Melting_Curves/meltCurve_Q8NG08_HELB.pdf")</f>
        <v>Melting_Curves/meltCurve_Q8NG08_HELB.pdf</v>
      </c>
    </row>
    <row r="4535" spans="1:28" x14ac:dyDescent="0.25">
      <c r="A4535" t="s">
        <v>4539</v>
      </c>
      <c r="B4535">
        <v>0.99542014353169495</v>
      </c>
      <c r="C4535">
        <v>0.96149148264105699</v>
      </c>
      <c r="D4535">
        <v>0.98768575014288795</v>
      </c>
      <c r="E4535">
        <v>0.97594276990888396</v>
      </c>
      <c r="F4535">
        <v>0.82083734107246198</v>
      </c>
      <c r="G4535">
        <v>0.60602363423314698</v>
      </c>
      <c r="H4535">
        <v>0.47659202322004302</v>
      </c>
      <c r="I4535">
        <v>0.42169763111049602</v>
      </c>
      <c r="J4535">
        <v>0.59913222710876801</v>
      </c>
      <c r="K4535">
        <v>0.709490726219142</v>
      </c>
      <c r="L4535">
        <v>2087.2026181371898</v>
      </c>
      <c r="M4535">
        <v>41.178701772889099</v>
      </c>
      <c r="O4535">
        <v>50.567362406054002</v>
      </c>
      <c r="P4535">
        <v>-9.0784268620337005E-2</v>
      </c>
      <c r="Q4535">
        <v>0.55406923207014003</v>
      </c>
      <c r="R4535">
        <v>0.88225957537750599</v>
      </c>
      <c r="S4535" t="s">
        <v>10937</v>
      </c>
      <c r="T4535" t="s">
        <v>12802</v>
      </c>
      <c r="U4535" t="s">
        <v>12802</v>
      </c>
      <c r="V4535" t="s">
        <v>12802</v>
      </c>
      <c r="W4535" t="s">
        <v>17278</v>
      </c>
      <c r="X4535">
        <v>7</v>
      </c>
      <c r="Y4535" t="s">
        <v>23497</v>
      </c>
      <c r="Z4535" t="s">
        <v>29853</v>
      </c>
      <c r="AA4535">
        <v>0.75898205541439479</v>
      </c>
      <c r="AB4535" t="str">
        <f>HYPERLINK("Melting_Curves/meltCurve_Q8NG11_2_TSPAN14.pdf", "Melting_Curves/meltCurve_Q8NG11_2_TSPAN14.pdf")</f>
        <v>Melting_Curves/meltCurve_Q8NG11_2_TSPAN14.pdf</v>
      </c>
    </row>
    <row r="4536" spans="1:28" x14ac:dyDescent="0.25">
      <c r="A4536" t="s">
        <v>4540</v>
      </c>
      <c r="B4536">
        <v>0.99542014353169495</v>
      </c>
      <c r="C4536">
        <v>0.98820098420332503</v>
      </c>
      <c r="D4536">
        <v>1.01837433278316</v>
      </c>
      <c r="E4536">
        <v>0.85328140700000599</v>
      </c>
      <c r="F4536">
        <v>0.58841120114488299</v>
      </c>
      <c r="G4536">
        <v>0.25427408170625398</v>
      </c>
      <c r="H4536">
        <v>0.120299557571254</v>
      </c>
      <c r="I4536">
        <v>6.7111105294592993E-2</v>
      </c>
      <c r="J4536">
        <v>8.09226190015324E-2</v>
      </c>
      <c r="K4536">
        <v>0.11799600765443399</v>
      </c>
      <c r="L4536">
        <v>1168.09131890394</v>
      </c>
      <c r="M4536">
        <v>23.127299879074901</v>
      </c>
      <c r="N4536">
        <v>50.875765440059702</v>
      </c>
      <c r="O4536">
        <v>50.133970213664298</v>
      </c>
      <c r="P4536">
        <v>-0.10643053551486401</v>
      </c>
      <c r="Q4536">
        <v>7.71621853450037E-2</v>
      </c>
      <c r="R4536">
        <v>0.99697925204313997</v>
      </c>
      <c r="S4536" t="s">
        <v>10938</v>
      </c>
      <c r="T4536" t="s">
        <v>12802</v>
      </c>
      <c r="U4536" t="s">
        <v>12802</v>
      </c>
      <c r="V4536" t="s">
        <v>12802</v>
      </c>
      <c r="W4536" t="s">
        <v>17279</v>
      </c>
      <c r="X4536">
        <v>7</v>
      </c>
      <c r="Y4536" t="s">
        <v>23498</v>
      </c>
      <c r="Z4536" t="s">
        <v>29854</v>
      </c>
      <c r="AA4536">
        <v>0.50202846482337271</v>
      </c>
      <c r="AB4536" t="str">
        <f>HYPERLINK("Melting_Curves/meltCurve_Q8NG68_TTL.pdf", "Melting_Curves/meltCurve_Q8NG68_TTL.pdf")</f>
        <v>Melting_Curves/meltCurve_Q8NG68_TTL.pdf</v>
      </c>
    </row>
    <row r="4537" spans="1:28" x14ac:dyDescent="0.25">
      <c r="A4537" t="s">
        <v>4541</v>
      </c>
      <c r="B4537">
        <v>0.99542014353169495</v>
      </c>
      <c r="C4537">
        <v>1.45070771565372</v>
      </c>
      <c r="D4537">
        <v>1.21035977835611</v>
      </c>
      <c r="E4537">
        <v>1.0709168352270799</v>
      </c>
      <c r="F4537">
        <v>0.96156340874761304</v>
      </c>
      <c r="G4537">
        <v>0.567823489085306</v>
      </c>
      <c r="H4537">
        <v>0.33888581316337302</v>
      </c>
      <c r="I4537">
        <v>0.239606426353662</v>
      </c>
      <c r="J4537">
        <v>0.331050251410065</v>
      </c>
      <c r="K4537">
        <v>0.280806228878766</v>
      </c>
      <c r="L4537">
        <v>2386.11830744791</v>
      </c>
      <c r="M4537">
        <v>44.766268510590599</v>
      </c>
      <c r="N4537">
        <v>54.350060334232097</v>
      </c>
      <c r="O4537">
        <v>53.195665137489499</v>
      </c>
      <c r="P4537">
        <v>-0.14955083598618499</v>
      </c>
      <c r="Q4537">
        <v>0.28915713318470199</v>
      </c>
      <c r="R4537">
        <v>0.85437098181750604</v>
      </c>
      <c r="S4537" t="s">
        <v>10939</v>
      </c>
      <c r="T4537" t="s">
        <v>12802</v>
      </c>
      <c r="U4537" t="s">
        <v>12802</v>
      </c>
      <c r="V4537" t="s">
        <v>12802</v>
      </c>
      <c r="W4537" t="s">
        <v>17280</v>
      </c>
      <c r="X4537">
        <v>1</v>
      </c>
      <c r="Y4537" t="s">
        <v>23499</v>
      </c>
      <c r="Z4537" t="s">
        <v>29855</v>
      </c>
      <c r="AA4537">
        <v>0.67750493767139275</v>
      </c>
      <c r="AB4537" t="str">
        <f>HYPERLINK("Melting_Curves/meltCurve_Q8NGC4_OR10G3.pdf", "Melting_Curves/meltCurve_Q8NGC4_OR10G3.pdf")</f>
        <v>Melting_Curves/meltCurve_Q8NGC4_OR10G3.pdf</v>
      </c>
    </row>
    <row r="4538" spans="1:28" x14ac:dyDescent="0.25">
      <c r="A4538" t="s">
        <v>4542</v>
      </c>
      <c r="B4538">
        <v>0.99542014353169495</v>
      </c>
      <c r="C4538">
        <v>0.97687825299369102</v>
      </c>
      <c r="D4538">
        <v>0.93818814655330796</v>
      </c>
      <c r="E4538">
        <v>0.81295639617899396</v>
      </c>
      <c r="F4538">
        <v>0.73565889622369496</v>
      </c>
      <c r="G4538">
        <v>0.58148986569966499</v>
      </c>
      <c r="H4538">
        <v>0.52134313859313297</v>
      </c>
      <c r="I4538">
        <v>0.51598226441165995</v>
      </c>
      <c r="J4538">
        <v>0.71613563517398804</v>
      </c>
      <c r="K4538">
        <v>0.96579765850342403</v>
      </c>
      <c r="L4538">
        <v>1201.2958097450801</v>
      </c>
      <c r="M4538">
        <v>26.107731746531801</v>
      </c>
      <c r="O4538">
        <v>45.745616358602497</v>
      </c>
      <c r="P4538">
        <v>-4.7718418529946897E-2</v>
      </c>
      <c r="Q4538">
        <v>0.66555750284660098</v>
      </c>
      <c r="R4538">
        <v>0.55205951264179598</v>
      </c>
      <c r="S4538" t="s">
        <v>10940</v>
      </c>
      <c r="T4538" t="s">
        <v>12802</v>
      </c>
      <c r="U4538" t="s">
        <v>12802</v>
      </c>
      <c r="V4538" t="s">
        <v>12802</v>
      </c>
      <c r="W4538" t="s">
        <v>17281</v>
      </c>
      <c r="X4538">
        <v>4</v>
      </c>
      <c r="Y4538" t="s">
        <v>23500</v>
      </c>
      <c r="Z4538" t="s">
        <v>29856</v>
      </c>
      <c r="AA4538">
        <v>0.76857146827531475</v>
      </c>
      <c r="AB4538" t="str">
        <f>HYPERLINK("Melting_Curves/meltCurve_Q8NHG7_SVIP.pdf", "Melting_Curves/meltCurve_Q8NHG7_SVIP.pdf")</f>
        <v>Melting_Curves/meltCurve_Q8NHG7_SVIP.pdf</v>
      </c>
    </row>
    <row r="4539" spans="1:28" x14ac:dyDescent="0.25">
      <c r="A4539" t="s">
        <v>4543</v>
      </c>
      <c r="B4539">
        <v>0.99542014353169495</v>
      </c>
      <c r="C4539">
        <v>0.98464493658729602</v>
      </c>
      <c r="D4539">
        <v>0.90468122123314898</v>
      </c>
      <c r="E4539">
        <v>0.820959757526742</v>
      </c>
      <c r="F4539">
        <v>0.67725545348655203</v>
      </c>
      <c r="G4539">
        <v>0.52075212870535303</v>
      </c>
      <c r="H4539">
        <v>0.34712820633286801</v>
      </c>
      <c r="I4539">
        <v>0.30709799247585701</v>
      </c>
      <c r="J4539">
        <v>0.371353771637288</v>
      </c>
      <c r="K4539">
        <v>0.40613177719903698</v>
      </c>
      <c r="L4539">
        <v>761.63809885568105</v>
      </c>
      <c r="M4539">
        <v>15.2776234009451</v>
      </c>
      <c r="N4539">
        <v>53.631003643375401</v>
      </c>
      <c r="O4539">
        <v>49.022446036031099</v>
      </c>
      <c r="P4539">
        <v>-5.2240513585545503E-2</v>
      </c>
      <c r="Q4539">
        <v>0.32955096285582802</v>
      </c>
      <c r="R4539">
        <v>0.97764917670142704</v>
      </c>
      <c r="S4539" t="s">
        <v>10941</v>
      </c>
      <c r="T4539" t="s">
        <v>12802</v>
      </c>
      <c r="U4539" t="s">
        <v>12802</v>
      </c>
      <c r="V4539" t="s">
        <v>12802</v>
      </c>
      <c r="W4539" t="s">
        <v>17282</v>
      </c>
      <c r="X4539">
        <v>5</v>
      </c>
      <c r="Y4539" t="s">
        <v>23501</v>
      </c>
      <c r="Z4539" t="s">
        <v>29857</v>
      </c>
      <c r="AA4539">
        <v>0.63050186244156969</v>
      </c>
      <c r="AB4539" t="str">
        <f>HYPERLINK("Melting_Curves/meltCurve_Q8NHG8_ZNRF2.pdf", "Melting_Curves/meltCurve_Q8NHG8_ZNRF2.pdf")</f>
        <v>Melting_Curves/meltCurve_Q8NHG8_ZNRF2.pdf</v>
      </c>
    </row>
    <row r="4540" spans="1:28" x14ac:dyDescent="0.25">
      <c r="A4540" t="s">
        <v>4544</v>
      </c>
      <c r="B4540">
        <v>0.99542014353169495</v>
      </c>
      <c r="C4540">
        <v>0.96077824789551203</v>
      </c>
      <c r="D4540">
        <v>0.95625310510642003</v>
      </c>
      <c r="E4540">
        <v>0.933577724601514</v>
      </c>
      <c r="F4540">
        <v>0.74181609556039096</v>
      </c>
      <c r="G4540">
        <v>0.17577364241923399</v>
      </c>
      <c r="H4540">
        <v>7.3232690331771003E-2</v>
      </c>
      <c r="I4540">
        <v>4.6173625284069798E-2</v>
      </c>
      <c r="J4540">
        <v>5.5224815534739097E-2</v>
      </c>
      <c r="K4540">
        <v>5.0729715226891001E-2</v>
      </c>
      <c r="L4540">
        <v>2048.6118072916902</v>
      </c>
      <c r="M4540">
        <v>39.874415411569302</v>
      </c>
      <c r="N4540">
        <v>51.514266842036001</v>
      </c>
      <c r="O4540">
        <v>51.247907470444098</v>
      </c>
      <c r="P4540">
        <v>-0.184686885184278</v>
      </c>
      <c r="Q4540">
        <v>5.0539812419141003E-2</v>
      </c>
      <c r="R4540">
        <v>0.996493749974252</v>
      </c>
      <c r="S4540" t="s">
        <v>10942</v>
      </c>
      <c r="T4540" t="s">
        <v>12802</v>
      </c>
      <c r="U4540" t="s">
        <v>12802</v>
      </c>
      <c r="V4540" t="s">
        <v>12802</v>
      </c>
      <c r="W4540" t="s">
        <v>17283</v>
      </c>
      <c r="X4540">
        <v>13</v>
      </c>
      <c r="Y4540" t="s">
        <v>23502</v>
      </c>
      <c r="Z4540" t="s">
        <v>29858</v>
      </c>
      <c r="AA4540">
        <v>0.5089275040668424</v>
      </c>
      <c r="AB4540" t="str">
        <f>HYPERLINK("Melting_Curves/meltCurve_Q8NHH9_ATL2.pdf", "Melting_Curves/meltCurve_Q8NHH9_ATL2.pdf")</f>
        <v>Melting_Curves/meltCurve_Q8NHH9_ATL2.pdf</v>
      </c>
    </row>
    <row r="4541" spans="1:28" x14ac:dyDescent="0.25">
      <c r="A4541" t="s">
        <v>4545</v>
      </c>
      <c r="B4541">
        <v>0.99542014353169495</v>
      </c>
      <c r="C4541">
        <v>1.06102865381605</v>
      </c>
      <c r="D4541">
        <v>0.99685889053846199</v>
      </c>
      <c r="E4541">
        <v>0.91795816448054901</v>
      </c>
      <c r="F4541">
        <v>0.76257038948185396</v>
      </c>
      <c r="G4541">
        <v>0.59001343233353198</v>
      </c>
      <c r="H4541">
        <v>0.40558873098273501</v>
      </c>
      <c r="I4541">
        <v>0.36617530420022698</v>
      </c>
      <c r="J4541">
        <v>0.36300472377369902</v>
      </c>
      <c r="K4541">
        <v>0.29441924613221998</v>
      </c>
      <c r="L4541">
        <v>898.77089452901396</v>
      </c>
      <c r="M4541">
        <v>17.1808512637229</v>
      </c>
      <c r="N4541">
        <v>55.329990387846799</v>
      </c>
      <c r="O4541">
        <v>51.619082605693499</v>
      </c>
      <c r="P4541">
        <v>-5.7908820307780703E-2</v>
      </c>
      <c r="Q4541">
        <v>0.304103637789152</v>
      </c>
      <c r="R4541">
        <v>0.99166133199853501</v>
      </c>
      <c r="S4541" t="s">
        <v>10943</v>
      </c>
      <c r="T4541" t="s">
        <v>12802</v>
      </c>
      <c r="U4541" t="s">
        <v>12802</v>
      </c>
      <c r="V4541" t="s">
        <v>12802</v>
      </c>
      <c r="W4541" t="s">
        <v>17284</v>
      </c>
      <c r="X4541">
        <v>9</v>
      </c>
      <c r="Y4541" t="s">
        <v>23503</v>
      </c>
      <c r="Z4541" t="s">
        <v>29859</v>
      </c>
      <c r="AA4541">
        <v>0.67038499960651399</v>
      </c>
      <c r="AB4541" t="str">
        <f>HYPERLINK("Melting_Curves/meltCurve_Q8NHP8_PLBD2.pdf", "Melting_Curves/meltCurve_Q8NHP8_PLBD2.pdf")</f>
        <v>Melting_Curves/meltCurve_Q8NHP8_PLBD2.pdf</v>
      </c>
    </row>
    <row r="4542" spans="1:28" x14ac:dyDescent="0.25">
      <c r="A4542" t="s">
        <v>4546</v>
      </c>
      <c r="B4542">
        <v>0.99542014353169495</v>
      </c>
      <c r="C4542">
        <v>0.94957090347144002</v>
      </c>
      <c r="D4542">
        <v>0.84795369807940202</v>
      </c>
      <c r="E4542">
        <v>0.45170492774228599</v>
      </c>
      <c r="F4542">
        <v>0.100492394873246</v>
      </c>
      <c r="G4542">
        <v>5.1176889907895901E-2</v>
      </c>
      <c r="H4542">
        <v>3.5900226288177198E-2</v>
      </c>
      <c r="I4542">
        <v>1.36023425328449E-2</v>
      </c>
      <c r="J4542">
        <v>0</v>
      </c>
      <c r="K4542">
        <v>2.60726828786439E-2</v>
      </c>
      <c r="L4542">
        <v>1129.3550629276699</v>
      </c>
      <c r="M4542">
        <v>24.523888485234998</v>
      </c>
      <c r="N4542">
        <v>46.10416163499</v>
      </c>
      <c r="O4542">
        <v>45.748292854254501</v>
      </c>
      <c r="P4542">
        <v>-0.13215667929574801</v>
      </c>
      <c r="Q4542">
        <v>1.38831818504276E-2</v>
      </c>
      <c r="R4542">
        <v>0.99844377585441002</v>
      </c>
      <c r="S4542" t="s">
        <v>10944</v>
      </c>
      <c r="T4542" t="s">
        <v>12802</v>
      </c>
      <c r="U4542" t="s">
        <v>12802</v>
      </c>
      <c r="V4542" t="s">
        <v>12802</v>
      </c>
      <c r="W4542" t="s">
        <v>17285</v>
      </c>
      <c r="X4542">
        <v>3</v>
      </c>
      <c r="Y4542" t="s">
        <v>23504</v>
      </c>
      <c r="Z4542" t="s">
        <v>29860</v>
      </c>
      <c r="AA4542">
        <v>0.31990626506499031</v>
      </c>
      <c r="AB4542" t="str">
        <f>HYPERLINK("Melting_Curves/meltCurve_Q8NHU6_2_TDRD7.pdf", "Melting_Curves/meltCurve_Q8NHU6_2_TDRD7.pdf")</f>
        <v>Melting_Curves/meltCurve_Q8NHU6_2_TDRD7.pdf</v>
      </c>
    </row>
    <row r="4543" spans="1:28" x14ac:dyDescent="0.25">
      <c r="A4543" t="s">
        <v>4547</v>
      </c>
      <c r="B4543">
        <v>0.99542014353169495</v>
      </c>
      <c r="C4543">
        <v>1.1511243136764899</v>
      </c>
      <c r="D4543">
        <v>1.0617604138193599</v>
      </c>
      <c r="E4543">
        <v>1.1117489012919599</v>
      </c>
      <c r="F4543">
        <v>0.938661296572879</v>
      </c>
      <c r="G4543">
        <v>0.85928356542546502</v>
      </c>
      <c r="H4543">
        <v>0.76598270982960703</v>
      </c>
      <c r="I4543">
        <v>0.77022739761516601</v>
      </c>
      <c r="J4543">
        <v>1.22809531086293</v>
      </c>
      <c r="K4543">
        <v>0.82781303400775197</v>
      </c>
      <c r="L4543">
        <v>12538.087232545</v>
      </c>
      <c r="M4543">
        <v>250</v>
      </c>
      <c r="O4543">
        <v>50.149137954525798</v>
      </c>
      <c r="P4543">
        <v>-0.13674162530364301</v>
      </c>
      <c r="Q4543">
        <v>0.89028040261463404</v>
      </c>
      <c r="R4543">
        <v>0.228082473750578</v>
      </c>
      <c r="S4543" t="s">
        <v>10945</v>
      </c>
      <c r="T4543" t="s">
        <v>12802</v>
      </c>
      <c r="U4543" t="s">
        <v>12802</v>
      </c>
      <c r="V4543" t="s">
        <v>12802</v>
      </c>
      <c r="W4543" t="s">
        <v>17286</v>
      </c>
      <c r="X4543">
        <v>1</v>
      </c>
      <c r="Y4543" t="s">
        <v>23505</v>
      </c>
      <c r="Z4543" t="s">
        <v>29861</v>
      </c>
      <c r="AA4543">
        <v>0.93839240740269281</v>
      </c>
      <c r="AB4543" t="str">
        <f>HYPERLINK("Melting_Curves/meltCurve_Q8NHV1_GIMAP7.pdf", "Melting_Curves/meltCurve_Q8NHV1_GIMAP7.pdf")</f>
        <v>Melting_Curves/meltCurve_Q8NHV1_GIMAP7.pdf</v>
      </c>
    </row>
    <row r="4544" spans="1:28" x14ac:dyDescent="0.25">
      <c r="A4544" t="s">
        <v>4548</v>
      </c>
      <c r="B4544">
        <v>0.99542014353169495</v>
      </c>
      <c r="C4544">
        <v>1.0405154869134901</v>
      </c>
      <c r="D4544">
        <v>0.99982881833540205</v>
      </c>
      <c r="E4544">
        <v>0.97973181909172502</v>
      </c>
      <c r="F4544">
        <v>0.85100685084324401</v>
      </c>
      <c r="G4544">
        <v>0.59794924232580804</v>
      </c>
      <c r="H4544">
        <v>0.25545732304195901</v>
      </c>
      <c r="I4544">
        <v>0.118462692241628</v>
      </c>
      <c r="J4544">
        <v>9.4351182035019104E-2</v>
      </c>
      <c r="K4544">
        <v>6.3231064030560197E-2</v>
      </c>
      <c r="L4544">
        <v>1225.10554172205</v>
      </c>
      <c r="M4544">
        <v>22.5517943425486</v>
      </c>
      <c r="N4544">
        <v>54.587833858727997</v>
      </c>
      <c r="O4544">
        <v>53.902325602515504</v>
      </c>
      <c r="P4544">
        <v>-9.9198507202835906E-2</v>
      </c>
      <c r="Q4544">
        <v>5.1618937377922197E-2</v>
      </c>
      <c r="R4544">
        <v>0.99816684162654701</v>
      </c>
      <c r="S4544" t="s">
        <v>10946</v>
      </c>
      <c r="T4544" t="s">
        <v>12802</v>
      </c>
      <c r="U4544" t="s">
        <v>12802</v>
      </c>
      <c r="V4544" t="s">
        <v>12802</v>
      </c>
      <c r="W4544" t="s">
        <v>17287</v>
      </c>
      <c r="X4544">
        <v>7</v>
      </c>
      <c r="Y4544" t="s">
        <v>23506</v>
      </c>
      <c r="Z4544" t="s">
        <v>29862</v>
      </c>
      <c r="AA4544">
        <v>0.60888358468197445</v>
      </c>
      <c r="AB4544" t="str">
        <f>HYPERLINK("Melting_Curves/meltCurve_Q8NHV4_2_NEDD1.pdf", "Melting_Curves/meltCurve_Q8NHV4_2_NEDD1.pdf")</f>
        <v>Melting_Curves/meltCurve_Q8NHV4_2_NEDD1.pdf</v>
      </c>
    </row>
    <row r="4545" spans="1:28" x14ac:dyDescent="0.25">
      <c r="A4545" t="s">
        <v>4549</v>
      </c>
      <c r="B4545">
        <v>0.99542014353169495</v>
      </c>
      <c r="C4545">
        <v>0.93715819593618599</v>
      </c>
      <c r="D4545">
        <v>0.907574023596318</v>
      </c>
      <c r="E4545">
        <v>0.71140542768109205</v>
      </c>
      <c r="F4545">
        <v>0.54763284062032702</v>
      </c>
      <c r="G4545">
        <v>0.34329666323672797</v>
      </c>
      <c r="H4545">
        <v>0.420159419265552</v>
      </c>
      <c r="I4545">
        <v>0.30864384287151603</v>
      </c>
      <c r="J4545">
        <v>0.37200384476196402</v>
      </c>
      <c r="K4545">
        <v>0.47009307301347297</v>
      </c>
      <c r="L4545">
        <v>919.77377707574794</v>
      </c>
      <c r="M4545">
        <v>19.599376206951199</v>
      </c>
      <c r="N4545">
        <v>50.487580346630502</v>
      </c>
      <c r="O4545">
        <v>46.448373570846698</v>
      </c>
      <c r="P4545">
        <v>-6.5996413374485696E-2</v>
      </c>
      <c r="Q4545">
        <v>0.37440499345106998</v>
      </c>
      <c r="R4545">
        <v>0.96143552624501605</v>
      </c>
      <c r="S4545" t="s">
        <v>10947</v>
      </c>
      <c r="T4545" t="s">
        <v>12802</v>
      </c>
      <c r="U4545" t="s">
        <v>12802</v>
      </c>
      <c r="V4545" t="s">
        <v>12802</v>
      </c>
      <c r="W4545" t="s">
        <v>17288</v>
      </c>
      <c r="X4545">
        <v>3</v>
      </c>
      <c r="Y4545" t="s">
        <v>23507</v>
      </c>
      <c r="Z4545" t="s">
        <v>29863</v>
      </c>
      <c r="AA4545">
        <v>0.58996987282524471</v>
      </c>
      <c r="AB4545" t="str">
        <f>HYPERLINK("Melting_Curves/meltCurve_Q8NHZ8_CDC26.pdf", "Melting_Curves/meltCurve_Q8NHZ8_CDC26.pdf")</f>
        <v>Melting_Curves/meltCurve_Q8NHZ8_CDC26.pdf</v>
      </c>
    </row>
    <row r="4546" spans="1:28" x14ac:dyDescent="0.25">
      <c r="A4546" t="s">
        <v>4550</v>
      </c>
      <c r="B4546">
        <v>0.99542014353169495</v>
      </c>
      <c r="C4546">
        <v>0.88808629443703202</v>
      </c>
      <c r="D4546">
        <v>0.89782721557334599</v>
      </c>
      <c r="E4546">
        <v>0.88670668294194299</v>
      </c>
      <c r="F4546">
        <v>0.724332309657722</v>
      </c>
      <c r="G4546">
        <v>0.62398871111410403</v>
      </c>
      <c r="H4546">
        <v>0.49997548657640001</v>
      </c>
      <c r="I4546">
        <v>0.46651465932970498</v>
      </c>
      <c r="J4546">
        <v>0.67076148318575302</v>
      </c>
      <c r="K4546">
        <v>0.81576870015194203</v>
      </c>
      <c r="L4546">
        <v>910.40080724010897</v>
      </c>
      <c r="M4546">
        <v>19.2114444304976</v>
      </c>
      <c r="O4546">
        <v>46.883964617696201</v>
      </c>
      <c r="P4546">
        <v>-3.9976972747585902E-2</v>
      </c>
      <c r="Q4546">
        <v>0.60977271087206897</v>
      </c>
      <c r="R4546">
        <v>0.65848600199717899</v>
      </c>
      <c r="S4546" t="s">
        <v>10948</v>
      </c>
      <c r="T4546" t="s">
        <v>12802</v>
      </c>
      <c r="U4546" t="s">
        <v>12802</v>
      </c>
      <c r="V4546" t="s">
        <v>12802</v>
      </c>
      <c r="W4546" t="s">
        <v>17289</v>
      </c>
      <c r="X4546">
        <v>1</v>
      </c>
      <c r="Y4546" t="s">
        <v>23508</v>
      </c>
      <c r="Z4546" t="s">
        <v>29864</v>
      </c>
      <c r="AA4546">
        <v>0.7504282491761588</v>
      </c>
      <c r="AB4546" t="str">
        <f>HYPERLINK("Melting_Curves/meltCurve_Q8NI22_2_MCFD2.pdf", "Melting_Curves/meltCurve_Q8NI22_2_MCFD2.pdf")</f>
        <v>Melting_Curves/meltCurve_Q8NI22_2_MCFD2.pdf</v>
      </c>
    </row>
    <row r="4547" spans="1:28" x14ac:dyDescent="0.25">
      <c r="A4547" t="s">
        <v>4551</v>
      </c>
      <c r="B4547">
        <v>0.99542014353169495</v>
      </c>
      <c r="C4547">
        <v>0.85443625457149497</v>
      </c>
      <c r="D4547">
        <v>0.83398723093518101</v>
      </c>
      <c r="E4547">
        <v>0.458089418310761</v>
      </c>
      <c r="F4547">
        <v>0.17515929892675</v>
      </c>
      <c r="G4547">
        <v>8.6951345926487497E-2</v>
      </c>
      <c r="H4547">
        <v>6.3355668920687197E-2</v>
      </c>
      <c r="I4547">
        <v>4.52238535983642E-2</v>
      </c>
      <c r="J4547">
        <v>4.4192886469916003E-2</v>
      </c>
      <c r="K4547">
        <v>4.9100711808239397E-2</v>
      </c>
      <c r="L4547">
        <v>875.64035077142603</v>
      </c>
      <c r="M4547">
        <v>19.061715320239699</v>
      </c>
      <c r="N4547">
        <v>46.123411224885601</v>
      </c>
      <c r="O4547">
        <v>45.440503618059601</v>
      </c>
      <c r="P4547">
        <v>-0.100990326500456</v>
      </c>
      <c r="Q4547">
        <v>3.7049837728184397E-2</v>
      </c>
      <c r="R4547">
        <v>0.99185600928997697</v>
      </c>
      <c r="S4547" t="s">
        <v>10949</v>
      </c>
      <c r="T4547" t="s">
        <v>12802</v>
      </c>
      <c r="U4547" t="s">
        <v>12802</v>
      </c>
      <c r="V4547" t="s">
        <v>12802</v>
      </c>
      <c r="W4547" t="s">
        <v>17290</v>
      </c>
      <c r="X4547">
        <v>21</v>
      </c>
      <c r="Y4547" t="s">
        <v>23509</v>
      </c>
      <c r="Z4547" t="s">
        <v>29865</v>
      </c>
      <c r="AA4547">
        <v>0.3377945384364785</v>
      </c>
      <c r="AB4547" t="str">
        <f>HYPERLINK("Melting_Curves/meltCurve_Q8NI27_THOC2.pdf", "Melting_Curves/meltCurve_Q8NI27_THOC2.pdf")</f>
        <v>Melting_Curves/meltCurve_Q8NI27_THOC2.pdf</v>
      </c>
    </row>
    <row r="4548" spans="1:28" x14ac:dyDescent="0.25">
      <c r="A4548" t="s">
        <v>4552</v>
      </c>
      <c r="B4548">
        <v>0.99542014353169495</v>
      </c>
      <c r="C4548">
        <v>1.00640489291806</v>
      </c>
      <c r="D4548">
        <v>1.0162949069973</v>
      </c>
      <c r="E4548">
        <v>1.08703564263422</v>
      </c>
      <c r="F4548">
        <v>0.498019826679795</v>
      </c>
      <c r="G4548">
        <v>0.166509259462332</v>
      </c>
      <c r="H4548">
        <v>0.102656852314414</v>
      </c>
      <c r="I4548">
        <v>6.8089793273906102E-2</v>
      </c>
      <c r="J4548">
        <v>7.3112032916816297E-2</v>
      </c>
      <c r="K4548">
        <v>6.3841115450969099E-2</v>
      </c>
      <c r="L4548">
        <v>3978.2860723466101</v>
      </c>
      <c r="M4548">
        <v>79.4561514224511</v>
      </c>
      <c r="N4548">
        <v>50.200316618068697</v>
      </c>
      <c r="O4548">
        <v>50.037263563695397</v>
      </c>
      <c r="P4548">
        <v>-0.359721509862519</v>
      </c>
      <c r="Q4548">
        <v>9.3866180318043696E-2</v>
      </c>
      <c r="R4548">
        <v>0.99218218573238204</v>
      </c>
      <c r="S4548" t="s">
        <v>10950</v>
      </c>
      <c r="T4548" t="s">
        <v>12802</v>
      </c>
      <c r="U4548" t="s">
        <v>12802</v>
      </c>
      <c r="V4548" t="s">
        <v>12802</v>
      </c>
      <c r="W4548" t="s">
        <v>17291</v>
      </c>
      <c r="X4548">
        <v>15</v>
      </c>
      <c r="Y4548" t="s">
        <v>23510</v>
      </c>
      <c r="Z4548" t="s">
        <v>29866</v>
      </c>
      <c r="AA4548">
        <v>0.48939656633660261</v>
      </c>
      <c r="AB4548" t="str">
        <f>HYPERLINK("Melting_Curves/meltCurve_Q8NI36_WDR36.pdf", "Melting_Curves/meltCurve_Q8NI36_WDR36.pdf")</f>
        <v>Melting_Curves/meltCurve_Q8NI36_WDR36.pdf</v>
      </c>
    </row>
    <row r="4549" spans="1:28" x14ac:dyDescent="0.25">
      <c r="A4549" t="s">
        <v>4553</v>
      </c>
      <c r="B4549">
        <v>0.99542014353169495</v>
      </c>
      <c r="C4549">
        <v>0.96116699520635895</v>
      </c>
      <c r="D4549">
        <v>0.94824552084338898</v>
      </c>
      <c r="E4549">
        <v>0.88932121544827702</v>
      </c>
      <c r="F4549">
        <v>0.68379235648187098</v>
      </c>
      <c r="G4549">
        <v>0.48897509513361098</v>
      </c>
      <c r="H4549">
        <v>0.33520005671650199</v>
      </c>
      <c r="I4549">
        <v>0.26061643059219802</v>
      </c>
      <c r="J4549">
        <v>0.33531992046884201</v>
      </c>
      <c r="K4549">
        <v>0.28737609132227598</v>
      </c>
      <c r="L4549">
        <v>921.14100475767702</v>
      </c>
      <c r="M4549">
        <v>18.092869758612999</v>
      </c>
      <c r="N4549">
        <v>53.226876690524797</v>
      </c>
      <c r="O4549">
        <v>50.302095834716297</v>
      </c>
      <c r="P4549">
        <v>-6.5431483426130504E-2</v>
      </c>
      <c r="Q4549">
        <v>0.27238036895756501</v>
      </c>
      <c r="R4549">
        <v>0.99200054660660797</v>
      </c>
      <c r="S4549" t="s">
        <v>10951</v>
      </c>
      <c r="T4549" t="s">
        <v>12802</v>
      </c>
      <c r="U4549" t="s">
        <v>12802</v>
      </c>
      <c r="V4549" t="s">
        <v>12802</v>
      </c>
      <c r="W4549" t="s">
        <v>17292</v>
      </c>
      <c r="X4549">
        <v>5</v>
      </c>
      <c r="Y4549" t="s">
        <v>23511</v>
      </c>
      <c r="Z4549" t="s">
        <v>29867</v>
      </c>
      <c r="AA4549">
        <v>0.62101143835691341</v>
      </c>
      <c r="AB4549" t="str">
        <f>HYPERLINK("Melting_Curves/meltCurve_Q8TA86_RP9.pdf", "Melting_Curves/meltCurve_Q8TA86_RP9.pdf")</f>
        <v>Melting_Curves/meltCurve_Q8TA86_RP9.pdf</v>
      </c>
    </row>
    <row r="4550" spans="1:28" x14ac:dyDescent="0.25">
      <c r="A4550" t="s">
        <v>4554</v>
      </c>
      <c r="B4550">
        <v>0.99542014353169495</v>
      </c>
      <c r="C4550">
        <v>1.0518972445577599</v>
      </c>
      <c r="D4550">
        <v>0.92171250609664801</v>
      </c>
      <c r="E4550">
        <v>0.43111631035224601</v>
      </c>
      <c r="F4550">
        <v>0.16771736433011</v>
      </c>
      <c r="G4550">
        <v>9.5052186095532606E-2</v>
      </c>
      <c r="H4550">
        <v>6.9658888986662101E-2</v>
      </c>
      <c r="I4550">
        <v>5.3202988934436E-2</v>
      </c>
      <c r="J4550">
        <v>5.4378099904799401E-2</v>
      </c>
      <c r="K4550">
        <v>6.0371257767394999E-2</v>
      </c>
      <c r="L4550">
        <v>1441.11889199149</v>
      </c>
      <c r="M4550">
        <v>31.3010929243849</v>
      </c>
      <c r="N4550">
        <v>46.259050768566503</v>
      </c>
      <c r="O4550">
        <v>45.853832167756103</v>
      </c>
      <c r="P4550">
        <v>-0.15893018360944</v>
      </c>
      <c r="Q4550">
        <v>6.8720340098705701E-2</v>
      </c>
      <c r="R4550">
        <v>0.99640608326209001</v>
      </c>
      <c r="S4550" t="s">
        <v>10952</v>
      </c>
      <c r="T4550" t="s">
        <v>12802</v>
      </c>
      <c r="U4550" t="s">
        <v>12802</v>
      </c>
      <c r="V4550" t="s">
        <v>12802</v>
      </c>
      <c r="W4550" t="s">
        <v>17293</v>
      </c>
      <c r="X4550">
        <v>4</v>
      </c>
      <c r="Y4550" t="s">
        <v>23512</v>
      </c>
      <c r="Z4550" t="s">
        <v>29868</v>
      </c>
      <c r="AA4550">
        <v>0.35423883898442299</v>
      </c>
      <c r="AB4550" t="str">
        <f>HYPERLINK("Melting_Curves/meltCurve_Q8TAA5_GRPEL2.pdf", "Melting_Curves/meltCurve_Q8TAA5_GRPEL2.pdf")</f>
        <v>Melting_Curves/meltCurve_Q8TAA5_GRPEL2.pdf</v>
      </c>
    </row>
    <row r="4551" spans="1:28" x14ac:dyDescent="0.25">
      <c r="A4551" t="s">
        <v>4555</v>
      </c>
      <c r="B4551">
        <v>0.99542014353169495</v>
      </c>
      <c r="C4551">
        <v>1.2396206437634001</v>
      </c>
      <c r="D4551">
        <v>1.0565382692951399</v>
      </c>
      <c r="E4551">
        <v>0.91679451303248904</v>
      </c>
      <c r="F4551">
        <v>0.80565934966396302</v>
      </c>
      <c r="G4551">
        <v>0.41995437123339502</v>
      </c>
      <c r="H4551">
        <v>0.38010808330907198</v>
      </c>
      <c r="I4551">
        <v>0.20549641136921601</v>
      </c>
      <c r="J4551">
        <v>0</v>
      </c>
      <c r="K4551">
        <v>0</v>
      </c>
      <c r="L4551">
        <v>860.49497508865898</v>
      </c>
      <c r="M4551">
        <v>15.901460237522</v>
      </c>
      <c r="N4551">
        <v>54.114211274064097</v>
      </c>
      <c r="O4551">
        <v>53.280070763867101</v>
      </c>
      <c r="P4551">
        <v>-7.4618604372780506E-2</v>
      </c>
      <c r="Q4551">
        <v>0</v>
      </c>
      <c r="R4551">
        <v>0.94834036366465801</v>
      </c>
      <c r="S4551" t="s">
        <v>10953</v>
      </c>
      <c r="T4551" t="s">
        <v>12802</v>
      </c>
      <c r="U4551" t="s">
        <v>12802</v>
      </c>
      <c r="V4551" t="s">
        <v>12802</v>
      </c>
      <c r="W4551" t="s">
        <v>17294</v>
      </c>
      <c r="X4551">
        <v>2</v>
      </c>
      <c r="Y4551" t="s">
        <v>23513</v>
      </c>
      <c r="Z4551" t="s">
        <v>29869</v>
      </c>
      <c r="AA4551">
        <v>0.58576912479800436</v>
      </c>
      <c r="AB4551" t="str">
        <f>HYPERLINK("Melting_Curves/meltCurve_Q8TAA9_2_VANGL1.pdf", "Melting_Curves/meltCurve_Q8TAA9_2_VANGL1.pdf")</f>
        <v>Melting_Curves/meltCurve_Q8TAA9_2_VANGL1.pdf</v>
      </c>
    </row>
    <row r="4552" spans="1:28" x14ac:dyDescent="0.25">
      <c r="A4552" t="s">
        <v>4556</v>
      </c>
      <c r="B4552">
        <v>0.99542014353169495</v>
      </c>
      <c r="C4552">
        <v>0.93940545718677304</v>
      </c>
      <c r="D4552">
        <v>1.01050705857023</v>
      </c>
      <c r="E4552">
        <v>0.99352646082138696</v>
      </c>
      <c r="F4552">
        <v>0.81336503545213601</v>
      </c>
      <c r="G4552">
        <v>0.69624371764930104</v>
      </c>
      <c r="H4552">
        <v>0.471200756213001</v>
      </c>
      <c r="I4552">
        <v>0.29110918686318399</v>
      </c>
      <c r="J4552">
        <v>0.14982955610988399</v>
      </c>
      <c r="K4552">
        <v>0.16110457359084199</v>
      </c>
      <c r="L4552">
        <v>802.53655996691498</v>
      </c>
      <c r="M4552">
        <v>14.2292705141755</v>
      </c>
      <c r="N4552">
        <v>56.756912699163401</v>
      </c>
      <c r="O4552">
        <v>55.321515824532298</v>
      </c>
      <c r="P4552">
        <v>-6.1561271288239697E-2</v>
      </c>
      <c r="Q4552">
        <v>4.27506655824254E-2</v>
      </c>
      <c r="R4552">
        <v>0.99100417358522397</v>
      </c>
      <c r="S4552" t="s">
        <v>10954</v>
      </c>
      <c r="T4552" t="s">
        <v>12802</v>
      </c>
      <c r="U4552" t="s">
        <v>12802</v>
      </c>
      <c r="V4552" t="s">
        <v>12802</v>
      </c>
      <c r="W4552" t="s">
        <v>17295</v>
      </c>
      <c r="X4552">
        <v>10</v>
      </c>
      <c r="Y4552" t="s">
        <v>23514</v>
      </c>
      <c r="Z4552" t="s">
        <v>29870</v>
      </c>
      <c r="AA4552">
        <v>0.6712960762387955</v>
      </c>
      <c r="AB4552" t="str">
        <f>HYPERLINK("Melting_Curves/meltCurve_Q8TAC1_RFESD.pdf", "Melting_Curves/meltCurve_Q8TAC1_RFESD.pdf")</f>
        <v>Melting_Curves/meltCurve_Q8TAC1_RFESD.pdf</v>
      </c>
    </row>
    <row r="4553" spans="1:28" x14ac:dyDescent="0.25">
      <c r="A4553" t="s">
        <v>4557</v>
      </c>
      <c r="B4553">
        <v>0.99542014353169495</v>
      </c>
      <c r="C4553">
        <v>0.99119407175321905</v>
      </c>
      <c r="D4553">
        <v>0.82165656061299897</v>
      </c>
      <c r="E4553">
        <v>0.39426425077057897</v>
      </c>
      <c r="F4553">
        <v>0.26276191583647601</v>
      </c>
      <c r="G4553">
        <v>0.17252912664596601</v>
      </c>
      <c r="H4553">
        <v>0.15505240627431699</v>
      </c>
      <c r="I4553">
        <v>0.14766639223465899</v>
      </c>
      <c r="J4553">
        <v>0.21055504285496801</v>
      </c>
      <c r="K4553">
        <v>0.195380826346196</v>
      </c>
      <c r="L4553">
        <v>1237.5160483790301</v>
      </c>
      <c r="M4553">
        <v>27.514705470034201</v>
      </c>
      <c r="N4553">
        <v>45.715964598447897</v>
      </c>
      <c r="O4553">
        <v>44.740966125196202</v>
      </c>
      <c r="P4553">
        <v>-0.12613323581275099</v>
      </c>
      <c r="Q4553">
        <v>0.17959929074327799</v>
      </c>
      <c r="R4553">
        <v>0.99550838942656905</v>
      </c>
      <c r="S4553" t="s">
        <v>10955</v>
      </c>
      <c r="T4553" t="s">
        <v>12802</v>
      </c>
      <c r="U4553" t="s">
        <v>12802</v>
      </c>
      <c r="V4553" t="s">
        <v>12802</v>
      </c>
      <c r="W4553" t="s">
        <v>17296</v>
      </c>
      <c r="X4553">
        <v>3</v>
      </c>
      <c r="Y4553" t="s">
        <v>23515</v>
      </c>
      <c r="Z4553" t="s">
        <v>29871</v>
      </c>
      <c r="AA4553">
        <v>0.4032404012781387</v>
      </c>
      <c r="AB4553" t="str">
        <f>HYPERLINK("Melting_Curves/meltCurve_Q8TAD8_SNIP1.pdf", "Melting_Curves/meltCurve_Q8TAD8_SNIP1.pdf")</f>
        <v>Melting_Curves/meltCurve_Q8TAD8_SNIP1.pdf</v>
      </c>
    </row>
    <row r="4554" spans="1:28" x14ac:dyDescent="0.25">
      <c r="A4554" t="s">
        <v>4558</v>
      </c>
      <c r="B4554">
        <v>0.99542014353169495</v>
      </c>
      <c r="C4554">
        <v>0.944522105498389</v>
      </c>
      <c r="D4554">
        <v>0.88736623125355196</v>
      </c>
      <c r="E4554">
        <v>0.89191398066833505</v>
      </c>
      <c r="F4554">
        <v>0.68225302324872605</v>
      </c>
      <c r="G4554">
        <v>0.63267461208873799</v>
      </c>
      <c r="H4554">
        <v>0.45216792855823801</v>
      </c>
      <c r="I4554">
        <v>0.30489190820288498</v>
      </c>
      <c r="J4554">
        <v>0.41602836258484399</v>
      </c>
      <c r="K4554">
        <v>0.48869024255638599</v>
      </c>
      <c r="L4554">
        <v>688.38592951716805</v>
      </c>
      <c r="M4554">
        <v>13.6055620232652</v>
      </c>
      <c r="N4554">
        <v>56.3112029758476</v>
      </c>
      <c r="O4554">
        <v>49.540446270917997</v>
      </c>
      <c r="P4554">
        <v>-4.2964665901927102E-2</v>
      </c>
      <c r="Q4554">
        <v>0.37432269459977802</v>
      </c>
      <c r="R4554">
        <v>0.93404144720257198</v>
      </c>
      <c r="S4554" t="s">
        <v>10956</v>
      </c>
      <c r="T4554" t="s">
        <v>12802</v>
      </c>
      <c r="U4554" t="s">
        <v>12802</v>
      </c>
      <c r="V4554" t="s">
        <v>12802</v>
      </c>
      <c r="W4554" t="s">
        <v>17297</v>
      </c>
      <c r="X4554">
        <v>6</v>
      </c>
      <c r="Y4554" t="s">
        <v>23516</v>
      </c>
      <c r="Z4554" t="s">
        <v>29872</v>
      </c>
      <c r="AA4554">
        <v>0.67241879733435139</v>
      </c>
      <c r="AB4554" t="str">
        <f>HYPERLINK("Melting_Curves/meltCurve_Q8TAE8_GADD45GIP1.pdf", "Melting_Curves/meltCurve_Q8TAE8_GADD45GIP1.pdf")</f>
        <v>Melting_Curves/meltCurve_Q8TAE8_GADD45GIP1.pdf</v>
      </c>
    </row>
    <row r="4555" spans="1:28" x14ac:dyDescent="0.25">
      <c r="A4555" t="s">
        <v>4559</v>
      </c>
      <c r="B4555">
        <v>0.99542014353169495</v>
      </c>
      <c r="C4555">
        <v>0.91952108824036105</v>
      </c>
      <c r="D4555">
        <v>0.84940614571661399</v>
      </c>
      <c r="E4555">
        <v>0.79775838432628998</v>
      </c>
      <c r="F4555">
        <v>0.65057489806482105</v>
      </c>
      <c r="G4555">
        <v>0.50049329024343203</v>
      </c>
      <c r="H4555">
        <v>0.40856857029942101</v>
      </c>
      <c r="I4555">
        <v>0.18619113049396399</v>
      </c>
      <c r="J4555">
        <v>0.14295959060649199</v>
      </c>
      <c r="K4555">
        <v>0.13830028150102999</v>
      </c>
      <c r="L4555">
        <v>485.04578605637403</v>
      </c>
      <c r="M4555">
        <v>9.0829910669049507</v>
      </c>
      <c r="N4555">
        <v>53.4015327439907</v>
      </c>
      <c r="O4555">
        <v>51.003925924131103</v>
      </c>
      <c r="P4555">
        <v>-4.4552282628572901E-2</v>
      </c>
      <c r="Q4555">
        <v>0</v>
      </c>
      <c r="R4555">
        <v>0.98679991682571799</v>
      </c>
      <c r="S4555" t="s">
        <v>10957</v>
      </c>
      <c r="T4555" t="s">
        <v>12802</v>
      </c>
      <c r="U4555" t="s">
        <v>12802</v>
      </c>
      <c r="V4555" t="s">
        <v>12802</v>
      </c>
      <c r="W4555" t="s">
        <v>17298</v>
      </c>
      <c r="X4555">
        <v>13</v>
      </c>
      <c r="Y4555" t="s">
        <v>23517</v>
      </c>
      <c r="Z4555" t="s">
        <v>29873</v>
      </c>
      <c r="AA4555">
        <v>0.56691851143610106</v>
      </c>
      <c r="AB4555" t="str">
        <f>HYPERLINK("Melting_Curves/meltCurve_Q8TAF3_WDR48.pdf", "Melting_Curves/meltCurve_Q8TAF3_WDR48.pdf")</f>
        <v>Melting_Curves/meltCurve_Q8TAF3_WDR48.pdf</v>
      </c>
    </row>
    <row r="4556" spans="1:28" x14ac:dyDescent="0.25">
      <c r="A4556" t="s">
        <v>4560</v>
      </c>
      <c r="B4556">
        <v>0.99542014353169495</v>
      </c>
      <c r="C4556">
        <v>0.90216504068495695</v>
      </c>
      <c r="D4556">
        <v>0.90093077666799704</v>
      </c>
      <c r="E4556">
        <v>0.47282727666729701</v>
      </c>
      <c r="F4556">
        <v>0.17960244867345501</v>
      </c>
      <c r="G4556">
        <v>0.12803599704610499</v>
      </c>
      <c r="H4556">
        <v>7.7187225986442301E-2</v>
      </c>
      <c r="I4556">
        <v>6.0446347304887002E-2</v>
      </c>
      <c r="J4556">
        <v>4.9748366229564203E-2</v>
      </c>
      <c r="K4556">
        <v>5.7054900640905001E-2</v>
      </c>
      <c r="L4556">
        <v>1100.78111083877</v>
      </c>
      <c r="M4556">
        <v>23.8204088215019</v>
      </c>
      <c r="N4556">
        <v>46.476437173790103</v>
      </c>
      <c r="O4556">
        <v>45.889684891628796</v>
      </c>
      <c r="P4556">
        <v>-0.121538662169299</v>
      </c>
      <c r="Q4556">
        <v>6.3445116103332796E-2</v>
      </c>
      <c r="R4556">
        <v>0.99388238211104296</v>
      </c>
      <c r="S4556" t="s">
        <v>10958</v>
      </c>
      <c r="T4556" t="s">
        <v>12802</v>
      </c>
      <c r="U4556" t="s">
        <v>12802</v>
      </c>
      <c r="V4556" t="s">
        <v>12802</v>
      </c>
      <c r="W4556" t="s">
        <v>17299</v>
      </c>
      <c r="X4556">
        <v>12</v>
      </c>
      <c r="Y4556" t="s">
        <v>23518</v>
      </c>
      <c r="Z4556" t="s">
        <v>29874</v>
      </c>
      <c r="AA4556">
        <v>0.35960700986559879</v>
      </c>
      <c r="AB4556" t="str">
        <f>HYPERLINK("Melting_Curves/meltCurve_Q8TAG9_EXOC6.pdf", "Melting_Curves/meltCurve_Q8TAG9_EXOC6.pdf")</f>
        <v>Melting_Curves/meltCurve_Q8TAG9_EXOC6.pdf</v>
      </c>
    </row>
    <row r="4557" spans="1:28" x14ac:dyDescent="0.25">
      <c r="A4557" t="s">
        <v>4561</v>
      </c>
      <c r="B4557">
        <v>0.99542014353169495</v>
      </c>
      <c r="C4557">
        <v>0.995641314552285</v>
      </c>
      <c r="D4557">
        <v>1.05900854723902</v>
      </c>
      <c r="E4557">
        <v>0.91356174052226802</v>
      </c>
      <c r="F4557">
        <v>0.73899932750390596</v>
      </c>
      <c r="G4557">
        <v>0.48388882828178797</v>
      </c>
      <c r="H4557">
        <v>0.366096111963847</v>
      </c>
      <c r="I4557">
        <v>0.25317397242448297</v>
      </c>
      <c r="J4557">
        <v>0.31413075742081797</v>
      </c>
      <c r="K4557">
        <v>0.185866826013626</v>
      </c>
      <c r="L4557">
        <v>984.84948370577001</v>
      </c>
      <c r="M4557">
        <v>18.939879593239699</v>
      </c>
      <c r="N4557">
        <v>53.747564799983401</v>
      </c>
      <c r="O4557">
        <v>51.429422829988603</v>
      </c>
      <c r="P4557">
        <v>-7.0892507482795894E-2</v>
      </c>
      <c r="Q4557">
        <v>0.23002361420499101</v>
      </c>
      <c r="R4557">
        <v>0.98717863168015496</v>
      </c>
      <c r="S4557" t="s">
        <v>10959</v>
      </c>
      <c r="T4557" t="s">
        <v>12802</v>
      </c>
      <c r="U4557" t="s">
        <v>12802</v>
      </c>
      <c r="V4557" t="s">
        <v>12802</v>
      </c>
      <c r="W4557" t="s">
        <v>17300</v>
      </c>
      <c r="X4557">
        <v>2</v>
      </c>
      <c r="Y4557" t="s">
        <v>23519</v>
      </c>
      <c r="Z4557" t="s">
        <v>29875</v>
      </c>
      <c r="AA4557">
        <v>0.62578744446253454</v>
      </c>
      <c r="AB4557" t="str">
        <f>HYPERLINK("Melting_Curves/meltCurve_Q8TAP6_2_CEP76.pdf", "Melting_Curves/meltCurve_Q8TAP6_2_CEP76.pdf")</f>
        <v>Melting_Curves/meltCurve_Q8TAP6_2_CEP76.pdf</v>
      </c>
    </row>
    <row r="4558" spans="1:28" x14ac:dyDescent="0.25">
      <c r="A4558" t="s">
        <v>4562</v>
      </c>
      <c r="B4558">
        <v>0.99542014353169495</v>
      </c>
      <c r="C4558">
        <v>1.01940482661556</v>
      </c>
      <c r="D4558">
        <v>0.99863674769305599</v>
      </c>
      <c r="E4558">
        <v>0.93719639977592795</v>
      </c>
      <c r="F4558">
        <v>0.78827758337725196</v>
      </c>
      <c r="G4558">
        <v>0.59815203404077</v>
      </c>
      <c r="H4558">
        <v>0.31292786263421402</v>
      </c>
      <c r="I4558">
        <v>0.28307170963087003</v>
      </c>
      <c r="J4558">
        <v>0.33570192332051102</v>
      </c>
      <c r="K4558">
        <v>0.40411826229586001</v>
      </c>
      <c r="L4558">
        <v>1269.68923197399</v>
      </c>
      <c r="M4558">
        <v>24.353303203401701</v>
      </c>
      <c r="N4558">
        <v>54.427408973422096</v>
      </c>
      <c r="O4558">
        <v>51.788511958863403</v>
      </c>
      <c r="P4558">
        <v>-7.9868541305699203E-2</v>
      </c>
      <c r="Q4558">
        <v>0.32063262273772802</v>
      </c>
      <c r="R4558">
        <v>0.97704446077746199</v>
      </c>
      <c r="S4558" t="s">
        <v>10960</v>
      </c>
      <c r="T4558" t="s">
        <v>12802</v>
      </c>
      <c r="U4558" t="s">
        <v>12802</v>
      </c>
      <c r="V4558" t="s">
        <v>12802</v>
      </c>
      <c r="W4558" t="s">
        <v>17301</v>
      </c>
      <c r="X4558">
        <v>6</v>
      </c>
      <c r="Y4558" t="s">
        <v>23520</v>
      </c>
      <c r="Z4558" t="s">
        <v>29876</v>
      </c>
      <c r="AA4558">
        <v>0.66970728266266966</v>
      </c>
      <c r="AB4558" t="str">
        <f>HYPERLINK("Melting_Curves/meltCurve_Q8TAP8_PPP1R35.pdf", "Melting_Curves/meltCurve_Q8TAP8_PPP1R35.pdf")</f>
        <v>Melting_Curves/meltCurve_Q8TAP8_PPP1R35.pdf</v>
      </c>
    </row>
    <row r="4559" spans="1:28" x14ac:dyDescent="0.25">
      <c r="A4559" t="s">
        <v>4563</v>
      </c>
      <c r="B4559">
        <v>0.99542014353169495</v>
      </c>
      <c r="C4559">
        <v>1.0815928710640099</v>
      </c>
      <c r="D4559">
        <v>0.99738394557858401</v>
      </c>
      <c r="E4559">
        <v>0.55838260990070898</v>
      </c>
      <c r="F4559">
        <v>0.47874562929143899</v>
      </c>
      <c r="G4559">
        <v>0.30548339964039201</v>
      </c>
      <c r="H4559">
        <v>0.24720435287604001</v>
      </c>
      <c r="I4559">
        <v>0.24135720540335001</v>
      </c>
      <c r="J4559">
        <v>0.52051368372627804</v>
      </c>
      <c r="K4559">
        <v>0.92230411326189499</v>
      </c>
      <c r="L4559">
        <v>3401.74294117405</v>
      </c>
      <c r="M4559">
        <v>74.422264160863506</v>
      </c>
      <c r="N4559">
        <v>47.200714790841801</v>
      </c>
      <c r="O4559">
        <v>45.675687121292398</v>
      </c>
      <c r="P4559">
        <v>-0.22304516172960001</v>
      </c>
      <c r="Q4559">
        <v>0.452435760760732</v>
      </c>
      <c r="R4559">
        <v>0.65915586445524399</v>
      </c>
      <c r="S4559" t="s">
        <v>10961</v>
      </c>
      <c r="T4559" t="s">
        <v>12802</v>
      </c>
      <c r="U4559" t="s">
        <v>12802</v>
      </c>
      <c r="V4559" t="s">
        <v>12802</v>
      </c>
      <c r="W4559" t="s">
        <v>17302</v>
      </c>
      <c r="X4559">
        <v>1</v>
      </c>
      <c r="Y4559" t="s">
        <v>23521</v>
      </c>
      <c r="Z4559" t="s">
        <v>29877</v>
      </c>
      <c r="AA4559">
        <v>0.61188448295373177</v>
      </c>
      <c r="AB4559" t="str">
        <f>HYPERLINK("Melting_Curves/meltCurve_Q8TAP9_MPLKIP.pdf", "Melting_Curves/meltCurve_Q8TAP9_MPLKIP.pdf")</f>
        <v>Melting_Curves/meltCurve_Q8TAP9_MPLKIP.pdf</v>
      </c>
    </row>
    <row r="4560" spans="1:28" x14ac:dyDescent="0.25">
      <c r="A4560" t="s">
        <v>4564</v>
      </c>
      <c r="B4560">
        <v>0.99542014353169495</v>
      </c>
      <c r="C4560">
        <v>0.80326868660145401</v>
      </c>
      <c r="D4560">
        <v>0.76649543978110501</v>
      </c>
      <c r="E4560">
        <v>0.33978252528865199</v>
      </c>
      <c r="F4560">
        <v>0.16756664026013299</v>
      </c>
      <c r="G4560">
        <v>9.8076721803620606E-2</v>
      </c>
      <c r="H4560">
        <v>6.9450984059081705E-2</v>
      </c>
      <c r="I4560">
        <v>5.3559089941444003E-2</v>
      </c>
      <c r="J4560">
        <v>6.4744448539683502E-2</v>
      </c>
      <c r="K4560">
        <v>4.9300774207065197E-2</v>
      </c>
      <c r="L4560">
        <v>779.04766860688198</v>
      </c>
      <c r="M4560">
        <v>17.3800514179472</v>
      </c>
      <c r="N4560">
        <v>45.079548782914102</v>
      </c>
      <c r="O4560">
        <v>44.2434556169136</v>
      </c>
      <c r="P4560">
        <v>-9.3609127696525393E-2</v>
      </c>
      <c r="Q4560">
        <v>4.6871332750165799E-2</v>
      </c>
      <c r="R4560">
        <v>0.986528346289824</v>
      </c>
      <c r="S4560" t="s">
        <v>10962</v>
      </c>
      <c r="T4560" t="s">
        <v>12802</v>
      </c>
      <c r="U4560" t="s">
        <v>12802</v>
      </c>
      <c r="V4560" t="s">
        <v>12802</v>
      </c>
      <c r="W4560" t="s">
        <v>17303</v>
      </c>
      <c r="X4560">
        <v>25</v>
      </c>
      <c r="Y4560" t="s">
        <v>23522</v>
      </c>
      <c r="Z4560" t="s">
        <v>29878</v>
      </c>
      <c r="AA4560">
        <v>0.31232537266182703</v>
      </c>
      <c r="AB4560" t="str">
        <f>HYPERLINK("Melting_Curves/meltCurve_Q8TAQ2_SMARCC2.pdf", "Melting_Curves/meltCurve_Q8TAQ2_SMARCC2.pdf")</f>
        <v>Melting_Curves/meltCurve_Q8TAQ2_SMARCC2.pdf</v>
      </c>
    </row>
    <row r="4561" spans="1:28" x14ac:dyDescent="0.25">
      <c r="A4561" t="s">
        <v>4565</v>
      </c>
      <c r="B4561">
        <v>0.99542014353169495</v>
      </c>
      <c r="C4561">
        <v>0.98564557105064698</v>
      </c>
      <c r="D4561">
        <v>0.96186505050590498</v>
      </c>
      <c r="E4561">
        <v>0.85413043055929305</v>
      </c>
      <c r="F4561">
        <v>0.58313614846314099</v>
      </c>
      <c r="G4561">
        <v>0.24677285538385199</v>
      </c>
      <c r="H4561">
        <v>7.48353452544403E-2</v>
      </c>
      <c r="I4561">
        <v>5.2102831790736201E-2</v>
      </c>
      <c r="J4561">
        <v>4.8998464724057299E-2</v>
      </c>
      <c r="K4561">
        <v>5.56237671951633E-2</v>
      </c>
      <c r="L4561">
        <v>1091.1828580195399</v>
      </c>
      <c r="M4561">
        <v>21.5322325602015</v>
      </c>
      <c r="N4561">
        <v>50.830702346917498</v>
      </c>
      <c r="O4561">
        <v>50.245702290746102</v>
      </c>
      <c r="P4561">
        <v>-0.103754852006766</v>
      </c>
      <c r="Q4561">
        <v>3.1571385034219697E-2</v>
      </c>
      <c r="R4561">
        <v>0.99858280429269397</v>
      </c>
      <c r="S4561" t="s">
        <v>10963</v>
      </c>
      <c r="T4561" t="s">
        <v>12802</v>
      </c>
      <c r="U4561" t="s">
        <v>12802</v>
      </c>
      <c r="V4561" t="s">
        <v>12802</v>
      </c>
      <c r="W4561" t="s">
        <v>17304</v>
      </c>
      <c r="X4561">
        <v>26</v>
      </c>
      <c r="Y4561" t="s">
        <v>23523</v>
      </c>
      <c r="Z4561" t="s">
        <v>29879</v>
      </c>
      <c r="AA4561">
        <v>0.48425753170314773</v>
      </c>
      <c r="AB4561" t="str">
        <f>HYPERLINK("Melting_Curves/meltCurve_Q8TAT6_NPLOC4.pdf", "Melting_Curves/meltCurve_Q8TAT6_NPLOC4.pdf")</f>
        <v>Melting_Curves/meltCurve_Q8TAT6_NPLOC4.pdf</v>
      </c>
    </row>
    <row r="4562" spans="1:28" x14ac:dyDescent="0.25">
      <c r="A4562" t="s">
        <v>4566</v>
      </c>
      <c r="B4562">
        <v>0.99542014353169495</v>
      </c>
      <c r="C4562">
        <v>0.94632528061313204</v>
      </c>
      <c r="D4562">
        <v>0.97082690661191795</v>
      </c>
      <c r="E4562">
        <v>0.87279178439457905</v>
      </c>
      <c r="F4562">
        <v>0.52430815887875004</v>
      </c>
      <c r="G4562">
        <v>0.21266452170393299</v>
      </c>
      <c r="H4562">
        <v>9.5652622453281905E-2</v>
      </c>
      <c r="I4562">
        <v>5.4674984316575102E-2</v>
      </c>
      <c r="J4562">
        <v>5.5230752570310002E-2</v>
      </c>
      <c r="K4562">
        <v>7.6443408199407398E-2</v>
      </c>
      <c r="L4562">
        <v>1199.81643365321</v>
      </c>
      <c r="M4562">
        <v>23.915006637638001</v>
      </c>
      <c r="N4562">
        <v>50.413701943414999</v>
      </c>
      <c r="O4562">
        <v>49.823195344891602</v>
      </c>
      <c r="P4562">
        <v>-0.113451405052583</v>
      </c>
      <c r="Q4562">
        <v>5.4582141593884602E-2</v>
      </c>
      <c r="R4562">
        <v>0.99788555473275098</v>
      </c>
      <c r="S4562" t="s">
        <v>10964</v>
      </c>
      <c r="T4562" t="s">
        <v>12802</v>
      </c>
      <c r="U4562" t="s">
        <v>12802</v>
      </c>
      <c r="V4562" t="s">
        <v>12802</v>
      </c>
      <c r="W4562" t="s">
        <v>17305</v>
      </c>
      <c r="X4562">
        <v>5</v>
      </c>
      <c r="Y4562" t="s">
        <v>23524</v>
      </c>
      <c r="Z4562" t="s">
        <v>29880</v>
      </c>
      <c r="AA4562">
        <v>0.47862655278998423</v>
      </c>
      <c r="AB4562" t="str">
        <f>HYPERLINK("Melting_Curves/meltCurve_Q8TAV0_FAM76A.pdf", "Melting_Curves/meltCurve_Q8TAV0_FAM76A.pdf")</f>
        <v>Melting_Curves/meltCurve_Q8TAV0_FAM76A.pdf</v>
      </c>
    </row>
    <row r="4563" spans="1:28" x14ac:dyDescent="0.25">
      <c r="A4563" t="s">
        <v>4567</v>
      </c>
      <c r="B4563">
        <v>0.99542014353169495</v>
      </c>
      <c r="C4563">
        <v>1.1759935255276099</v>
      </c>
      <c r="D4563">
        <v>1.3143939178226101</v>
      </c>
      <c r="E4563">
        <v>1.1203565536383699</v>
      </c>
      <c r="F4563">
        <v>0.80938920451901797</v>
      </c>
      <c r="G4563">
        <v>0.163173773175109</v>
      </c>
      <c r="H4563">
        <v>9.0095147261042202E-2</v>
      </c>
      <c r="I4563">
        <v>2.69764044067747E-2</v>
      </c>
      <c r="J4563">
        <v>3.6314080658371002E-2</v>
      </c>
      <c r="K4563">
        <v>5.2503662510210297E-2</v>
      </c>
      <c r="L4563">
        <v>2595.1101512919699</v>
      </c>
      <c r="M4563">
        <v>50.2684605121175</v>
      </c>
      <c r="N4563">
        <v>51.734027593788703</v>
      </c>
      <c r="O4563">
        <v>51.543488807811499</v>
      </c>
      <c r="P4563">
        <v>-0.231563958907055</v>
      </c>
      <c r="Q4563">
        <v>5.0250617885278397E-2</v>
      </c>
      <c r="R4563">
        <v>0.94553497536416597</v>
      </c>
      <c r="S4563" t="s">
        <v>10965</v>
      </c>
      <c r="T4563" t="s">
        <v>12802</v>
      </c>
      <c r="U4563" t="s">
        <v>12802</v>
      </c>
      <c r="V4563" t="s">
        <v>12802</v>
      </c>
      <c r="W4563" t="s">
        <v>17306</v>
      </c>
      <c r="X4563">
        <v>4</v>
      </c>
      <c r="Y4563" t="s">
        <v>23525</v>
      </c>
      <c r="Z4563" t="s">
        <v>29881</v>
      </c>
      <c r="AA4563">
        <v>0.51539303304840633</v>
      </c>
      <c r="AB4563" t="str">
        <f>HYPERLINK("Melting_Curves/meltCurve_Q8TB03_CXorf38.pdf", "Melting_Curves/meltCurve_Q8TB03_CXorf38.pdf")</f>
        <v>Melting_Curves/meltCurve_Q8TB03_CXorf38.pdf</v>
      </c>
    </row>
    <row r="4564" spans="1:28" x14ac:dyDescent="0.25">
      <c r="A4564" t="s">
        <v>4568</v>
      </c>
      <c r="B4564">
        <v>0.99542014353169495</v>
      </c>
      <c r="C4564">
        <v>1.20168429990075</v>
      </c>
      <c r="D4564">
        <v>1.16742429045319</v>
      </c>
      <c r="E4564">
        <v>1.0663053014453601</v>
      </c>
      <c r="F4564">
        <v>0.81983147314922999</v>
      </c>
      <c r="G4564">
        <v>0.50143265534195303</v>
      </c>
      <c r="H4564">
        <v>0.21874519685466501</v>
      </c>
      <c r="I4564">
        <v>5.1364850741364397E-2</v>
      </c>
      <c r="J4564">
        <v>3.2560653157089899E-2</v>
      </c>
      <c r="K4564">
        <v>0</v>
      </c>
      <c r="L4564">
        <v>1271.1680921049301</v>
      </c>
      <c r="M4564">
        <v>23.590479575033299</v>
      </c>
      <c r="N4564">
        <v>53.8955018791399</v>
      </c>
      <c r="O4564">
        <v>53.502064304202797</v>
      </c>
      <c r="P4564">
        <v>-0.10997580114126999</v>
      </c>
      <c r="Q4564">
        <v>2.33774256967198E-3</v>
      </c>
      <c r="R4564">
        <v>0.964394374541924</v>
      </c>
      <c r="S4564" t="s">
        <v>10966</v>
      </c>
      <c r="T4564" t="s">
        <v>12802</v>
      </c>
      <c r="U4564" t="s">
        <v>12802</v>
      </c>
      <c r="V4564" t="s">
        <v>12802</v>
      </c>
      <c r="W4564" t="s">
        <v>17307</v>
      </c>
      <c r="X4564">
        <v>2</v>
      </c>
      <c r="Y4564" t="s">
        <v>23526</v>
      </c>
      <c r="Z4564" t="s">
        <v>29882</v>
      </c>
      <c r="AA4564">
        <v>0.57342119064178443</v>
      </c>
      <c r="AB4564" t="str">
        <f>HYPERLINK("Melting_Curves/meltCurve_Q8TB36_2_GDAP1.pdf", "Melting_Curves/meltCurve_Q8TB36_2_GDAP1.pdf")</f>
        <v>Melting_Curves/meltCurve_Q8TB36_2_GDAP1.pdf</v>
      </c>
    </row>
    <row r="4565" spans="1:28" x14ac:dyDescent="0.25">
      <c r="A4565" t="s">
        <v>4569</v>
      </c>
      <c r="B4565">
        <v>0.99542014353169495</v>
      </c>
      <c r="C4565">
        <v>0.99360333597941197</v>
      </c>
      <c r="D4565">
        <v>0.88122945765864302</v>
      </c>
      <c r="E4565">
        <v>0.734338409076433</v>
      </c>
      <c r="F4565">
        <v>0.64438589688135905</v>
      </c>
      <c r="G4565">
        <v>0.525242484582365</v>
      </c>
      <c r="H4565">
        <v>0.24822575674105399</v>
      </c>
      <c r="I4565">
        <v>0.10884544138987499</v>
      </c>
      <c r="J4565">
        <v>0.10438077935444701</v>
      </c>
      <c r="K4565">
        <v>7.5604057627478294E-2</v>
      </c>
      <c r="L4565">
        <v>583.79470330213098</v>
      </c>
      <c r="M4565">
        <v>11.136141137731</v>
      </c>
      <c r="N4565">
        <v>52.4234289114993</v>
      </c>
      <c r="O4565">
        <v>50.818149930071698</v>
      </c>
      <c r="P4565">
        <v>-5.4801893747712702E-2</v>
      </c>
      <c r="Q4565">
        <v>0</v>
      </c>
      <c r="R4565">
        <v>0.98304115791029401</v>
      </c>
      <c r="S4565" t="s">
        <v>10967</v>
      </c>
      <c r="T4565" t="s">
        <v>12802</v>
      </c>
      <c r="U4565" t="s">
        <v>12802</v>
      </c>
      <c r="V4565" t="s">
        <v>12802</v>
      </c>
      <c r="W4565" t="s">
        <v>17308</v>
      </c>
      <c r="X4565">
        <v>5</v>
      </c>
      <c r="Y4565" t="s">
        <v>23527</v>
      </c>
      <c r="Z4565" t="s">
        <v>29883</v>
      </c>
      <c r="AA4565">
        <v>0.53785455751684697</v>
      </c>
      <c r="AB4565" t="str">
        <f>HYPERLINK("Melting_Curves/meltCurve_Q8TB37_NUBPL.pdf", "Melting_Curves/meltCurve_Q8TB37_NUBPL.pdf")</f>
        <v>Melting_Curves/meltCurve_Q8TB37_NUBPL.pdf</v>
      </c>
    </row>
    <row r="4566" spans="1:28" x14ac:dyDescent="0.25">
      <c r="A4566" t="s">
        <v>4570</v>
      </c>
      <c r="B4566">
        <v>0.99542014353169495</v>
      </c>
      <c r="C4566">
        <v>1.00564740903535</v>
      </c>
      <c r="D4566">
        <v>0.92020187537407705</v>
      </c>
      <c r="E4566">
        <v>0.71259609312560901</v>
      </c>
      <c r="F4566">
        <v>0.367873764483163</v>
      </c>
      <c r="G4566">
        <v>0.153707549297908</v>
      </c>
      <c r="H4566">
        <v>9.6478052580813795E-2</v>
      </c>
      <c r="I4566">
        <v>8.2428352491554197E-2</v>
      </c>
      <c r="J4566">
        <v>6.3944596757036107E-2</v>
      </c>
      <c r="K4566">
        <v>7.8672369601387904E-2</v>
      </c>
      <c r="L4566">
        <v>1015.78178350872</v>
      </c>
      <c r="M4566">
        <v>21.002340199513998</v>
      </c>
      <c r="N4566">
        <v>48.6909637728359</v>
      </c>
      <c r="O4566">
        <v>47.933109076677802</v>
      </c>
      <c r="P4566">
        <v>-0.102362579080402</v>
      </c>
      <c r="Q4566">
        <v>6.5547193688288402E-2</v>
      </c>
      <c r="R4566">
        <v>0.999401041531084</v>
      </c>
      <c r="S4566" t="s">
        <v>10968</v>
      </c>
      <c r="T4566" t="s">
        <v>12802</v>
      </c>
      <c r="U4566" t="s">
        <v>12802</v>
      </c>
      <c r="V4566" t="s">
        <v>12802</v>
      </c>
      <c r="W4566" t="s">
        <v>17309</v>
      </c>
      <c r="X4566">
        <v>8</v>
      </c>
      <c r="Y4566" t="s">
        <v>23528</v>
      </c>
      <c r="Z4566" t="s">
        <v>29884</v>
      </c>
      <c r="AA4566">
        <v>0.43076652104033958</v>
      </c>
      <c r="AB4566" t="str">
        <f>HYPERLINK("Melting_Curves/meltCurve_Q8TB52_FBXO30.pdf", "Melting_Curves/meltCurve_Q8TB52_FBXO30.pdf")</f>
        <v>Melting_Curves/meltCurve_Q8TB52_FBXO30.pdf</v>
      </c>
    </row>
    <row r="4567" spans="1:28" x14ac:dyDescent="0.25">
      <c r="A4567" t="s">
        <v>4571</v>
      </c>
      <c r="B4567">
        <v>0.99542014353169495</v>
      </c>
      <c r="C4567">
        <v>0.85309251496065597</v>
      </c>
      <c r="D4567">
        <v>0.98060200081376503</v>
      </c>
      <c r="E4567">
        <v>0.66684309023335198</v>
      </c>
      <c r="F4567">
        <v>0.63973957438201201</v>
      </c>
      <c r="G4567">
        <v>0.342408247006106</v>
      </c>
      <c r="H4567">
        <v>0.292074754265432</v>
      </c>
      <c r="I4567">
        <v>0.187773803552399</v>
      </c>
      <c r="J4567">
        <v>0.14592057338258099</v>
      </c>
      <c r="K4567">
        <v>9.0954208272921902E-2</v>
      </c>
      <c r="L4567">
        <v>510.97352259894598</v>
      </c>
      <c r="M4567">
        <v>9.9246254603035595</v>
      </c>
      <c r="N4567">
        <v>51.6081287621179</v>
      </c>
      <c r="O4567">
        <v>49.525930127304598</v>
      </c>
      <c r="P4567">
        <v>-4.9538738891504702E-2</v>
      </c>
      <c r="Q4567">
        <v>1.1660675744915401E-2</v>
      </c>
      <c r="R4567">
        <v>0.96859655966684399</v>
      </c>
      <c r="S4567" t="s">
        <v>10969</v>
      </c>
      <c r="T4567" t="s">
        <v>12802</v>
      </c>
      <c r="U4567" t="s">
        <v>12802</v>
      </c>
      <c r="V4567" t="s">
        <v>12802</v>
      </c>
      <c r="W4567" t="s">
        <v>17310</v>
      </c>
      <c r="X4567">
        <v>6</v>
      </c>
      <c r="Y4567" t="s">
        <v>23529</v>
      </c>
      <c r="Z4567" t="s">
        <v>29885</v>
      </c>
      <c r="AA4567">
        <v>0.51735239783753095</v>
      </c>
      <c r="AB4567" t="str">
        <f>HYPERLINK("Melting_Curves/meltCurve_Q8TB61_3_SLC35B2.pdf", "Melting_Curves/meltCurve_Q8TB61_3_SLC35B2.pdf")</f>
        <v>Melting_Curves/meltCurve_Q8TB61_3_SLC35B2.pdf</v>
      </c>
    </row>
    <row r="4568" spans="1:28" x14ac:dyDescent="0.25">
      <c r="A4568" t="s">
        <v>4572</v>
      </c>
      <c r="B4568">
        <v>0.99542014353169495</v>
      </c>
      <c r="C4568">
        <v>0.97451387683496105</v>
      </c>
      <c r="D4568">
        <v>1.0226373199125001</v>
      </c>
      <c r="E4568">
        <v>0.84755682253323095</v>
      </c>
      <c r="F4568">
        <v>0.51190375946667299</v>
      </c>
      <c r="G4568">
        <v>0.19368854153510701</v>
      </c>
      <c r="H4568">
        <v>0.116063042836533</v>
      </c>
      <c r="I4568">
        <v>9.1855628213225599E-2</v>
      </c>
      <c r="J4568">
        <v>8.4822405070033996E-2</v>
      </c>
      <c r="K4568">
        <v>7.6983133756477501E-2</v>
      </c>
      <c r="L4568">
        <v>1254.5909149071499</v>
      </c>
      <c r="M4568">
        <v>25.160650742608901</v>
      </c>
      <c r="N4568">
        <v>50.207383578896199</v>
      </c>
      <c r="O4568">
        <v>49.551430021869301</v>
      </c>
      <c r="P4568">
        <v>-0.11688850282361</v>
      </c>
      <c r="Q4568">
        <v>7.9210377203765905E-2</v>
      </c>
      <c r="R4568">
        <v>0.99832902803368095</v>
      </c>
      <c r="S4568" t="s">
        <v>10970</v>
      </c>
      <c r="T4568" t="s">
        <v>12802</v>
      </c>
      <c r="U4568" t="s">
        <v>12802</v>
      </c>
      <c r="V4568" t="s">
        <v>12802</v>
      </c>
      <c r="W4568" t="s">
        <v>17311</v>
      </c>
      <c r="X4568">
        <v>6</v>
      </c>
      <c r="Y4568" t="s">
        <v>23530</v>
      </c>
      <c r="Z4568" t="s">
        <v>29886</v>
      </c>
      <c r="AA4568">
        <v>0.48196365656982981</v>
      </c>
      <c r="AB4568" t="str">
        <f>HYPERLINK("Melting_Curves/meltCurve_Q8TB70_TXNDC9.pdf", "Melting_Curves/meltCurve_Q8TB70_TXNDC9.pdf")</f>
        <v>Melting_Curves/meltCurve_Q8TB70_TXNDC9.pdf</v>
      </c>
    </row>
    <row r="4569" spans="1:28" x14ac:dyDescent="0.25">
      <c r="A4569" t="s">
        <v>4573</v>
      </c>
      <c r="B4569">
        <v>0.99542014353169495</v>
      </c>
      <c r="C4569">
        <v>0.95175240403257799</v>
      </c>
      <c r="D4569">
        <v>0.94323354920921698</v>
      </c>
      <c r="E4569">
        <v>0.75941970942822901</v>
      </c>
      <c r="F4569">
        <v>0.55375618621867595</v>
      </c>
      <c r="G4569">
        <v>0.29955832256502002</v>
      </c>
      <c r="H4569">
        <v>0.180006716595282</v>
      </c>
      <c r="I4569">
        <v>0.143042338191469</v>
      </c>
      <c r="J4569">
        <v>0.18328980509208501</v>
      </c>
      <c r="K4569">
        <v>0.20497352815251299</v>
      </c>
      <c r="L4569">
        <v>881.24795264127795</v>
      </c>
      <c r="M4569">
        <v>17.847974339853302</v>
      </c>
      <c r="N4569">
        <v>50.3988564090482</v>
      </c>
      <c r="O4569">
        <v>48.767907401238098</v>
      </c>
      <c r="P4569">
        <v>-7.75882859380016E-2</v>
      </c>
      <c r="Q4569">
        <v>0.15203255237207999</v>
      </c>
      <c r="R4569">
        <v>0.99269590953221998</v>
      </c>
      <c r="S4569" t="s">
        <v>10971</v>
      </c>
      <c r="T4569" t="s">
        <v>12802</v>
      </c>
      <c r="U4569" t="s">
        <v>12802</v>
      </c>
      <c r="V4569" t="s">
        <v>12802</v>
      </c>
      <c r="W4569" t="s">
        <v>17312</v>
      </c>
      <c r="X4569">
        <v>14</v>
      </c>
      <c r="Y4569" t="s">
        <v>23531</v>
      </c>
      <c r="Z4569" t="s">
        <v>29887</v>
      </c>
      <c r="AA4569">
        <v>0.51546540342341962</v>
      </c>
      <c r="AB4569" t="str">
        <f>HYPERLINK("Melting_Curves/meltCurve_Q8TBA6_2_GOLGA5.pdf", "Melting_Curves/meltCurve_Q8TBA6_2_GOLGA5.pdf")</f>
        <v>Melting_Curves/meltCurve_Q8TBA6_2_GOLGA5.pdf</v>
      </c>
    </row>
    <row r="4570" spans="1:28" x14ac:dyDescent="0.25">
      <c r="A4570" t="s">
        <v>4574</v>
      </c>
      <c r="B4570">
        <v>0.99542014353169495</v>
      </c>
      <c r="C4570">
        <v>0.95618138498572602</v>
      </c>
      <c r="D4570">
        <v>0.92502386907582002</v>
      </c>
      <c r="E4570">
        <v>0.81338155606451601</v>
      </c>
      <c r="F4570">
        <v>0.418916994959387</v>
      </c>
      <c r="G4570">
        <v>0.242464688894097</v>
      </c>
      <c r="H4570">
        <v>0.135929273346269</v>
      </c>
      <c r="I4570">
        <v>6.7617266305175394E-2</v>
      </c>
      <c r="J4570">
        <v>8.0994141411167994E-2</v>
      </c>
      <c r="K4570">
        <v>9.1385922927572305E-2</v>
      </c>
      <c r="L4570">
        <v>991.98249741404197</v>
      </c>
      <c r="M4570">
        <v>20.135458088764199</v>
      </c>
      <c r="N4570">
        <v>49.667804341714998</v>
      </c>
      <c r="O4570">
        <v>48.787226877171499</v>
      </c>
      <c r="P4570">
        <v>-9.5418406911300005E-2</v>
      </c>
      <c r="Q4570">
        <v>7.5252397845728194E-2</v>
      </c>
      <c r="R4570">
        <v>0.99591423893614095</v>
      </c>
      <c r="S4570" t="s">
        <v>10972</v>
      </c>
      <c r="T4570" t="s">
        <v>12802</v>
      </c>
      <c r="U4570" t="s">
        <v>12802</v>
      </c>
      <c r="V4570" t="s">
        <v>12802</v>
      </c>
      <c r="W4570" t="s">
        <v>17313</v>
      </c>
      <c r="X4570">
        <v>10</v>
      </c>
      <c r="Y4570" t="s">
        <v>23532</v>
      </c>
      <c r="Z4570" t="s">
        <v>29888</v>
      </c>
      <c r="AA4570">
        <v>0.46537297223195512</v>
      </c>
      <c r="AB4570" t="str">
        <f>HYPERLINK("Melting_Curves/meltCurve_Q8TBB5_3_KLHDC4.pdf", "Melting_Curves/meltCurve_Q8TBB5_3_KLHDC4.pdf")</f>
        <v>Melting_Curves/meltCurve_Q8TBB5_3_KLHDC4.pdf</v>
      </c>
    </row>
    <row r="4571" spans="1:28" x14ac:dyDescent="0.25">
      <c r="A4571" t="s">
        <v>4575</v>
      </c>
      <c r="B4571">
        <v>0.99542014353169495</v>
      </c>
      <c r="C4571">
        <v>0.97310226022855095</v>
      </c>
      <c r="D4571">
        <v>0.93087926741035498</v>
      </c>
      <c r="E4571">
        <v>0.80257079702206802</v>
      </c>
      <c r="F4571">
        <v>0.36318439649352202</v>
      </c>
      <c r="G4571">
        <v>0.171082586888091</v>
      </c>
      <c r="H4571">
        <v>9.0599556736578504E-2</v>
      </c>
      <c r="I4571">
        <v>6.2326031979496599E-2</v>
      </c>
      <c r="J4571">
        <v>7.0051606462829999E-2</v>
      </c>
      <c r="K4571">
        <v>6.6938647617542105E-2</v>
      </c>
      <c r="L4571">
        <v>1197.2896141347601</v>
      </c>
      <c r="M4571">
        <v>24.518532279244099</v>
      </c>
      <c r="N4571">
        <v>49.114247324144102</v>
      </c>
      <c r="O4571">
        <v>48.510664532411901</v>
      </c>
      <c r="P4571">
        <v>-0.118055836497075</v>
      </c>
      <c r="Q4571">
        <v>6.5705264044958203E-2</v>
      </c>
      <c r="R4571">
        <v>0.99796974417275597</v>
      </c>
      <c r="S4571" t="s">
        <v>10973</v>
      </c>
      <c r="T4571" t="s">
        <v>12802</v>
      </c>
      <c r="U4571" t="s">
        <v>12802</v>
      </c>
      <c r="V4571" t="s">
        <v>12802</v>
      </c>
      <c r="W4571" t="s">
        <v>17314</v>
      </c>
      <c r="X4571">
        <v>15</v>
      </c>
      <c r="Y4571" t="s">
        <v>23533</v>
      </c>
      <c r="Z4571" t="s">
        <v>29889</v>
      </c>
      <c r="AA4571">
        <v>0.44255813647384712</v>
      </c>
      <c r="AB4571" t="str">
        <f>HYPERLINK("Melting_Curves/meltCurve_Q8TBC4_UBA3.pdf", "Melting_Curves/meltCurve_Q8TBC4_UBA3.pdf")</f>
        <v>Melting_Curves/meltCurve_Q8TBC4_UBA3.pdf</v>
      </c>
    </row>
    <row r="4572" spans="1:28" x14ac:dyDescent="0.25">
      <c r="A4572" t="s">
        <v>4576</v>
      </c>
      <c r="B4572">
        <v>0.99542014353169495</v>
      </c>
      <c r="C4572">
        <v>1.0407934685312401</v>
      </c>
      <c r="D4572">
        <v>0.92303882032987805</v>
      </c>
      <c r="E4572">
        <v>0.70704586297888095</v>
      </c>
      <c r="F4572">
        <v>0.53492268859974401</v>
      </c>
      <c r="G4572">
        <v>0.26693317441527897</v>
      </c>
      <c r="H4572">
        <v>0.13930977375560999</v>
      </c>
      <c r="I4572">
        <v>0.13144998053983101</v>
      </c>
      <c r="J4572">
        <v>0.12380250381592101</v>
      </c>
      <c r="K4572">
        <v>0.1090042335795</v>
      </c>
      <c r="L4572">
        <v>802.38608997429196</v>
      </c>
      <c r="M4572">
        <v>16.242254304189899</v>
      </c>
      <c r="N4572">
        <v>50.000203735513303</v>
      </c>
      <c r="O4572">
        <v>48.670507994005497</v>
      </c>
      <c r="P4572">
        <v>-7.6058674921531205E-2</v>
      </c>
      <c r="Q4572">
        <v>8.8417010744961694E-2</v>
      </c>
      <c r="R4572">
        <v>0.99308444927864903</v>
      </c>
      <c r="S4572" t="s">
        <v>10974</v>
      </c>
      <c r="T4572" t="s">
        <v>12802</v>
      </c>
      <c r="U4572" t="s">
        <v>12802</v>
      </c>
      <c r="V4572" t="s">
        <v>12802</v>
      </c>
      <c r="W4572" t="s">
        <v>17315</v>
      </c>
      <c r="X4572">
        <v>4</v>
      </c>
      <c r="Y4572" t="s">
        <v>23534</v>
      </c>
      <c r="Z4572" t="s">
        <v>29890</v>
      </c>
      <c r="AA4572">
        <v>0.48237104203172632</v>
      </c>
      <c r="AB4572" t="str">
        <f>HYPERLINK("Melting_Curves/meltCurve_Q8TBE0_3_BAHD1.pdf", "Melting_Curves/meltCurve_Q8TBE0_3_BAHD1.pdf")</f>
        <v>Melting_Curves/meltCurve_Q8TBE0_3_BAHD1.pdf</v>
      </c>
    </row>
    <row r="4573" spans="1:28" x14ac:dyDescent="0.25">
      <c r="A4573" t="s">
        <v>4577</v>
      </c>
      <c r="B4573">
        <v>0.99542014353169495</v>
      </c>
      <c r="C4573">
        <v>1.01575566800717</v>
      </c>
      <c r="D4573">
        <v>0.97973235762250499</v>
      </c>
      <c r="E4573">
        <v>0.92519413500608305</v>
      </c>
      <c r="F4573">
        <v>0.67313878205671396</v>
      </c>
      <c r="G4573">
        <v>0.29995424107354901</v>
      </c>
      <c r="H4573">
        <v>0.141772130315515</v>
      </c>
      <c r="I4573">
        <v>8.4722541509379801E-2</v>
      </c>
      <c r="J4573">
        <v>9.4178451575956196E-2</v>
      </c>
      <c r="K4573">
        <v>8.6902841766121799E-2</v>
      </c>
      <c r="L4573">
        <v>1283.6285878994699</v>
      </c>
      <c r="M4573">
        <v>24.999757196154398</v>
      </c>
      <c r="N4573">
        <v>51.705259422007501</v>
      </c>
      <c r="O4573">
        <v>51.020486971838999</v>
      </c>
      <c r="P4573">
        <v>-0.112724775655818</v>
      </c>
      <c r="Q4573">
        <v>7.9799773396024301E-2</v>
      </c>
      <c r="R4573">
        <v>0.99950549082769402</v>
      </c>
      <c r="S4573" t="s">
        <v>10975</v>
      </c>
      <c r="T4573" t="s">
        <v>12802</v>
      </c>
      <c r="U4573" t="s">
        <v>12802</v>
      </c>
      <c r="V4573" t="s">
        <v>12802</v>
      </c>
      <c r="W4573" t="s">
        <v>17316</v>
      </c>
      <c r="X4573">
        <v>5</v>
      </c>
      <c r="Y4573" t="s">
        <v>23535</v>
      </c>
      <c r="Z4573" t="s">
        <v>29891</v>
      </c>
      <c r="AA4573">
        <v>0.52796389348412276</v>
      </c>
      <c r="AB4573" t="str">
        <f>HYPERLINK("Melting_Curves/meltCurve_Q8TBE9_NANP.pdf", "Melting_Curves/meltCurve_Q8TBE9_NANP.pdf")</f>
        <v>Melting_Curves/meltCurve_Q8TBE9_NANP.pdf</v>
      </c>
    </row>
    <row r="4574" spans="1:28" x14ac:dyDescent="0.25">
      <c r="A4574" t="s">
        <v>4578</v>
      </c>
      <c r="B4574">
        <v>0.99542014353169495</v>
      </c>
      <c r="C4574">
        <v>0.85340075651871095</v>
      </c>
      <c r="D4574">
        <v>0.88520104465707905</v>
      </c>
      <c r="E4574">
        <v>0.65627269253998399</v>
      </c>
      <c r="F4574">
        <v>0.41955693830574498</v>
      </c>
      <c r="G4574">
        <v>0.244507565206071</v>
      </c>
      <c r="H4574">
        <v>0.13632107345229699</v>
      </c>
      <c r="I4574">
        <v>6.9654644879175207E-2</v>
      </c>
      <c r="J4574">
        <v>7.6654917489573898E-2</v>
      </c>
      <c r="K4574">
        <v>7.9496581436599004E-2</v>
      </c>
      <c r="L4574">
        <v>625.53569616539801</v>
      </c>
      <c r="M4574">
        <v>12.856719979161999</v>
      </c>
      <c r="N4574">
        <v>48.867479281620803</v>
      </c>
      <c r="O4574">
        <v>47.522366387687697</v>
      </c>
      <c r="P4574">
        <v>-6.5803392944806693E-2</v>
      </c>
      <c r="Q4574">
        <v>2.7261588085564701E-2</v>
      </c>
      <c r="R4574">
        <v>0.99091248976009005</v>
      </c>
      <c r="S4574" t="s">
        <v>10976</v>
      </c>
      <c r="T4574" t="s">
        <v>12802</v>
      </c>
      <c r="U4574" t="s">
        <v>12802</v>
      </c>
      <c r="V4574" t="s">
        <v>12802</v>
      </c>
      <c r="W4574" t="s">
        <v>17317</v>
      </c>
      <c r="X4574">
        <v>1</v>
      </c>
      <c r="Y4574" t="s">
        <v>23536</v>
      </c>
      <c r="Z4574" t="s">
        <v>29892</v>
      </c>
      <c r="AA4574">
        <v>0.43187217474142892</v>
      </c>
      <c r="AB4574" t="str">
        <f>HYPERLINK("Melting_Curves/meltCurve_Q8TBM8_2_DNAJB14.pdf", "Melting_Curves/meltCurve_Q8TBM8_2_DNAJB14.pdf")</f>
        <v>Melting_Curves/meltCurve_Q8TBM8_2_DNAJB14.pdf</v>
      </c>
    </row>
    <row r="4575" spans="1:28" x14ac:dyDescent="0.25">
      <c r="A4575" t="s">
        <v>4579</v>
      </c>
      <c r="B4575">
        <v>0.99542014353169495</v>
      </c>
      <c r="C4575">
        <v>1.0368209611694099</v>
      </c>
      <c r="D4575">
        <v>0.99745427833015698</v>
      </c>
      <c r="E4575">
        <v>0.94471436470465897</v>
      </c>
      <c r="F4575">
        <v>0.63960598469087004</v>
      </c>
      <c r="G4575">
        <v>0.23428905003676001</v>
      </c>
      <c r="H4575">
        <v>6.4933290773875899E-2</v>
      </c>
      <c r="I4575">
        <v>4.3376230861628499E-2</v>
      </c>
      <c r="J4575">
        <v>5.4880803529816301E-2</v>
      </c>
      <c r="K4575">
        <v>5.0824723176593298E-2</v>
      </c>
      <c r="L4575">
        <v>1470.94898594352</v>
      </c>
      <c r="M4575">
        <v>28.782434038002801</v>
      </c>
      <c r="N4575">
        <v>51.262900441515797</v>
      </c>
      <c r="O4575">
        <v>50.861010139356502</v>
      </c>
      <c r="P4575">
        <v>-0.13550428892738001</v>
      </c>
      <c r="Q4575">
        <v>4.2217190502505497E-2</v>
      </c>
      <c r="R4575">
        <v>0.99894276595602005</v>
      </c>
      <c r="S4575" t="s">
        <v>10977</v>
      </c>
      <c r="T4575" t="s">
        <v>12802</v>
      </c>
      <c r="U4575" t="s">
        <v>12802</v>
      </c>
      <c r="V4575" t="s">
        <v>12802</v>
      </c>
      <c r="W4575" t="s">
        <v>17318</v>
      </c>
      <c r="X4575">
        <v>10</v>
      </c>
      <c r="Y4575" t="s">
        <v>23537</v>
      </c>
      <c r="Z4575" t="s">
        <v>29893</v>
      </c>
      <c r="AA4575">
        <v>0.49903562156261683</v>
      </c>
      <c r="AB4575" t="str">
        <f>HYPERLINK("Melting_Curves/meltCurve_Q8TBN0_RAB3IL1.pdf", "Melting_Curves/meltCurve_Q8TBN0_RAB3IL1.pdf")</f>
        <v>Melting_Curves/meltCurve_Q8TBN0_RAB3IL1.pdf</v>
      </c>
    </row>
    <row r="4576" spans="1:28" x14ac:dyDescent="0.25">
      <c r="A4576" t="s">
        <v>4580</v>
      </c>
      <c r="B4576">
        <v>0.99542014353169495</v>
      </c>
      <c r="C4576">
        <v>0.89278065480994995</v>
      </c>
      <c r="D4576">
        <v>0.79850167038590902</v>
      </c>
      <c r="E4576">
        <v>0.76376579745404305</v>
      </c>
      <c r="F4576">
        <v>0.54671922098354697</v>
      </c>
      <c r="G4576">
        <v>0.519861212425343</v>
      </c>
      <c r="H4576">
        <v>0.31883760018989499</v>
      </c>
      <c r="I4576">
        <v>0.24706967529813101</v>
      </c>
      <c r="J4576">
        <v>0.43812201703151399</v>
      </c>
      <c r="K4576">
        <v>0.28393357600409103</v>
      </c>
      <c r="L4576">
        <v>480.31811158952797</v>
      </c>
      <c r="M4576">
        <v>9.8735294788518608</v>
      </c>
      <c r="N4576">
        <v>52.367107703778402</v>
      </c>
      <c r="O4576">
        <v>46.777582905773102</v>
      </c>
      <c r="P4576">
        <v>-3.9488151225246002E-2</v>
      </c>
      <c r="Q4576">
        <v>0.25205367632075498</v>
      </c>
      <c r="R4576">
        <v>0.93853355421972595</v>
      </c>
      <c r="S4576" t="s">
        <v>10978</v>
      </c>
      <c r="T4576" t="s">
        <v>12802</v>
      </c>
      <c r="U4576" t="s">
        <v>12802</v>
      </c>
      <c r="V4576" t="s">
        <v>12802</v>
      </c>
      <c r="W4576" t="s">
        <v>17319</v>
      </c>
      <c r="X4576">
        <v>4</v>
      </c>
      <c r="Y4576" t="s">
        <v>23538</v>
      </c>
      <c r="Z4576" t="s">
        <v>29894</v>
      </c>
      <c r="AA4576">
        <v>0.57144070180197948</v>
      </c>
      <c r="AB4576" t="str">
        <f>HYPERLINK("Melting_Curves/meltCurve_Q8TBP6_SLC25A40.pdf", "Melting_Curves/meltCurve_Q8TBP6_SLC25A40.pdf")</f>
        <v>Melting_Curves/meltCurve_Q8TBP6_SLC25A40.pdf</v>
      </c>
    </row>
    <row r="4577" spans="1:28" x14ac:dyDescent="0.25">
      <c r="A4577" t="s">
        <v>4581</v>
      </c>
      <c r="B4577">
        <v>0.99542014353169495</v>
      </c>
      <c r="C4577">
        <v>0.94075765894105501</v>
      </c>
      <c r="D4577">
        <v>0.90557661060411698</v>
      </c>
      <c r="E4577">
        <v>0.752056155328234</v>
      </c>
      <c r="F4577">
        <v>0.35613057746822602</v>
      </c>
      <c r="G4577">
        <v>0.15823002705640499</v>
      </c>
      <c r="H4577">
        <v>9.9936310472282505E-2</v>
      </c>
      <c r="I4577">
        <v>7.2051697697272904E-2</v>
      </c>
      <c r="J4577">
        <v>7.4067885667576605E-2</v>
      </c>
      <c r="K4577">
        <v>7.3897525052256899E-2</v>
      </c>
      <c r="L4577">
        <v>1041.8479567291599</v>
      </c>
      <c r="M4577">
        <v>21.4879658631876</v>
      </c>
      <c r="N4577">
        <v>48.8019825143435</v>
      </c>
      <c r="O4577">
        <v>48.071127205705302</v>
      </c>
      <c r="P4577">
        <v>-0.104478857071596</v>
      </c>
      <c r="Q4577">
        <v>6.5096686197321299E-2</v>
      </c>
      <c r="R4577">
        <v>0.99660016406270002</v>
      </c>
      <c r="S4577" t="s">
        <v>10979</v>
      </c>
      <c r="T4577" t="s">
        <v>12802</v>
      </c>
      <c r="U4577" t="s">
        <v>12802</v>
      </c>
      <c r="V4577" t="s">
        <v>12802</v>
      </c>
      <c r="W4577" t="s">
        <v>17320</v>
      </c>
      <c r="X4577">
        <v>18</v>
      </c>
      <c r="Y4577" t="s">
        <v>23539</v>
      </c>
      <c r="Z4577" t="s">
        <v>29895</v>
      </c>
      <c r="AA4577">
        <v>0.43376468883068681</v>
      </c>
      <c r="AB4577" t="str">
        <f>HYPERLINK("Melting_Curves/meltCurve_Q8TBX8_PIP4K2C.pdf", "Melting_Curves/meltCurve_Q8TBX8_PIP4K2C.pdf")</f>
        <v>Melting_Curves/meltCurve_Q8TBX8_PIP4K2C.pdf</v>
      </c>
    </row>
    <row r="4578" spans="1:28" x14ac:dyDescent="0.25">
      <c r="A4578" t="s">
        <v>4582</v>
      </c>
      <c r="B4578">
        <v>0.99542014353169495</v>
      </c>
      <c r="C4578">
        <v>0.95990815372789895</v>
      </c>
      <c r="D4578">
        <v>1.00112598810264</v>
      </c>
      <c r="E4578">
        <v>0.77642962716460295</v>
      </c>
      <c r="F4578">
        <v>0.52917995923045602</v>
      </c>
      <c r="G4578">
        <v>0.27612620930843301</v>
      </c>
      <c r="H4578">
        <v>0.12074810876629299</v>
      </c>
      <c r="I4578">
        <v>7.5202451918642998E-2</v>
      </c>
      <c r="J4578">
        <v>7.5176783597891206E-2</v>
      </c>
      <c r="K4578">
        <v>7.2003660031870004E-2</v>
      </c>
      <c r="L4578">
        <v>900.66060782255795</v>
      </c>
      <c r="M4578">
        <v>17.969576231097399</v>
      </c>
      <c r="N4578">
        <v>50.4184476079121</v>
      </c>
      <c r="O4578">
        <v>49.513056206184899</v>
      </c>
      <c r="P4578">
        <v>-8.6178732703361002E-2</v>
      </c>
      <c r="Q4578">
        <v>5.0225658705482797E-2</v>
      </c>
      <c r="R4578">
        <v>0.99677794112713403</v>
      </c>
      <c r="S4578" t="s">
        <v>10980</v>
      </c>
      <c r="T4578" t="s">
        <v>12802</v>
      </c>
      <c r="U4578" t="s">
        <v>12802</v>
      </c>
      <c r="V4578" t="s">
        <v>12802</v>
      </c>
      <c r="W4578" t="s">
        <v>17321</v>
      </c>
      <c r="X4578">
        <v>3</v>
      </c>
      <c r="Y4578" t="s">
        <v>23540</v>
      </c>
      <c r="Z4578" t="s">
        <v>29896</v>
      </c>
      <c r="AA4578">
        <v>0.48062076735284243</v>
      </c>
      <c r="AB4578" t="str">
        <f>HYPERLINK("Melting_Curves/meltCurve_Q8TBZ3_WDR20.pdf", "Melting_Curves/meltCurve_Q8TBZ3_WDR20.pdf")</f>
        <v>Melting_Curves/meltCurve_Q8TBZ3_WDR20.pdf</v>
      </c>
    </row>
    <row r="4579" spans="1:28" x14ac:dyDescent="0.25">
      <c r="A4579" t="s">
        <v>4583</v>
      </c>
      <c r="B4579">
        <v>0.99542014353169495</v>
      </c>
      <c r="C4579">
        <v>1.1438746242721001</v>
      </c>
      <c r="D4579">
        <v>1.11801205837517</v>
      </c>
      <c r="E4579">
        <v>1.0870763031997399</v>
      </c>
      <c r="F4579">
        <v>0.88345288514549303</v>
      </c>
      <c r="G4579">
        <v>0.32741087886176701</v>
      </c>
      <c r="H4579">
        <v>0.15148027042377801</v>
      </c>
      <c r="I4579">
        <v>0.11746653008668401</v>
      </c>
      <c r="J4579">
        <v>0.168643289089801</v>
      </c>
      <c r="K4579">
        <v>0.12097019210968001</v>
      </c>
      <c r="L4579">
        <v>2399.9948411846599</v>
      </c>
      <c r="M4579">
        <v>45.882595277314202</v>
      </c>
      <c r="N4579">
        <v>52.671713340028397</v>
      </c>
      <c r="O4579">
        <v>52.208230674256001</v>
      </c>
      <c r="P4579">
        <v>-0.18983051885903199</v>
      </c>
      <c r="Q4579">
        <v>0.135994497914141</v>
      </c>
      <c r="R4579">
        <v>0.977294903187506</v>
      </c>
      <c r="S4579" t="s">
        <v>10981</v>
      </c>
      <c r="T4579" t="s">
        <v>12802</v>
      </c>
      <c r="U4579" t="s">
        <v>12802</v>
      </c>
      <c r="V4579" t="s">
        <v>12802</v>
      </c>
      <c r="W4579" t="s">
        <v>17322</v>
      </c>
      <c r="X4579">
        <v>5</v>
      </c>
      <c r="Y4579" t="s">
        <v>23541</v>
      </c>
      <c r="Z4579" t="s">
        <v>29897</v>
      </c>
      <c r="AA4579">
        <v>0.57921507917592285</v>
      </c>
      <c r="AB4579" t="str">
        <f>HYPERLINK("Melting_Curves/meltCurve_Q8TBZ6_TRMT10A.pdf", "Melting_Curves/meltCurve_Q8TBZ6_TRMT10A.pdf")</f>
        <v>Melting_Curves/meltCurve_Q8TBZ6_TRMT10A.pdf</v>
      </c>
    </row>
    <row r="4580" spans="1:28" x14ac:dyDescent="0.25">
      <c r="A4580" t="s">
        <v>4584</v>
      </c>
      <c r="B4580">
        <v>0.99542014353169495</v>
      </c>
      <c r="C4580">
        <v>0.96982493169197004</v>
      </c>
      <c r="D4580">
        <v>0.93978416237246498</v>
      </c>
      <c r="E4580">
        <v>0.54352174349707805</v>
      </c>
      <c r="F4580">
        <v>0.125739429119711</v>
      </c>
      <c r="G4580">
        <v>6.1837037641976199E-2</v>
      </c>
      <c r="H4580">
        <v>3.7332466282947403E-2</v>
      </c>
      <c r="I4580">
        <v>2.7181094994552801E-2</v>
      </c>
      <c r="J4580">
        <v>2.7919151566230701E-2</v>
      </c>
      <c r="K4580">
        <v>2.51656779909929E-2</v>
      </c>
      <c r="L4580">
        <v>1451.1677059605699</v>
      </c>
      <c r="M4580">
        <v>31.034619807043999</v>
      </c>
      <c r="N4580">
        <v>46.854722945943799</v>
      </c>
      <c r="O4580">
        <v>46.566792979884902</v>
      </c>
      <c r="P4580">
        <v>-0.161529778082769</v>
      </c>
      <c r="Q4580">
        <v>3.0517672688238399E-2</v>
      </c>
      <c r="R4580">
        <v>0.99940207677505399</v>
      </c>
      <c r="S4580" t="s">
        <v>10982</v>
      </c>
      <c r="T4580" t="s">
        <v>12802</v>
      </c>
      <c r="U4580" t="s">
        <v>12802</v>
      </c>
      <c r="V4580" t="s">
        <v>12802</v>
      </c>
      <c r="W4580" t="s">
        <v>17323</v>
      </c>
      <c r="X4580">
        <v>15</v>
      </c>
      <c r="Y4580" t="s">
        <v>23542</v>
      </c>
      <c r="Z4580" t="s">
        <v>29898</v>
      </c>
      <c r="AA4580">
        <v>0.35114780655511257</v>
      </c>
      <c r="AB4580" t="str">
        <f>HYPERLINK("Melting_Curves/meltCurve_Q8TC07_2_TBC1D15.pdf", "Melting_Curves/meltCurve_Q8TC07_2_TBC1D15.pdf")</f>
        <v>Melting_Curves/meltCurve_Q8TC07_2_TBC1D15.pdf</v>
      </c>
    </row>
    <row r="4581" spans="1:28" x14ac:dyDescent="0.25">
      <c r="A4581" t="s">
        <v>4585</v>
      </c>
      <c r="B4581">
        <v>0.99542014353169495</v>
      </c>
      <c r="C4581">
        <v>0.98191398579259404</v>
      </c>
      <c r="D4581">
        <v>1.01433927794839</v>
      </c>
      <c r="E4581">
        <v>0.66103750649110105</v>
      </c>
      <c r="F4581">
        <v>0.200312614598955</v>
      </c>
      <c r="G4581">
        <v>0.101674064840481</v>
      </c>
      <c r="H4581">
        <v>5.8600542312099803E-2</v>
      </c>
      <c r="I4581">
        <v>3.8422896023446999E-2</v>
      </c>
      <c r="J4581">
        <v>3.5365077207624801E-2</v>
      </c>
      <c r="K4581">
        <v>3.78086906777736E-2</v>
      </c>
      <c r="L4581">
        <v>1510.58697734627</v>
      </c>
      <c r="M4581">
        <v>31.772716478344101</v>
      </c>
      <c r="N4581">
        <v>47.696759119634898</v>
      </c>
      <c r="O4581">
        <v>47.356376700895403</v>
      </c>
      <c r="P4581">
        <v>-0.15959528324963199</v>
      </c>
      <c r="Q4581">
        <v>4.8515062498863198E-2</v>
      </c>
      <c r="R4581">
        <v>0.997798662224331</v>
      </c>
      <c r="S4581" t="s">
        <v>10983</v>
      </c>
      <c r="T4581" t="s">
        <v>12802</v>
      </c>
      <c r="U4581" t="s">
        <v>12802</v>
      </c>
      <c r="V4581" t="s">
        <v>12802</v>
      </c>
      <c r="W4581" t="s">
        <v>17324</v>
      </c>
      <c r="X4581">
        <v>8</v>
      </c>
      <c r="Y4581" t="s">
        <v>23543</v>
      </c>
      <c r="Z4581" t="s">
        <v>29899</v>
      </c>
      <c r="AA4581">
        <v>0.38789179648753669</v>
      </c>
      <c r="AB4581" t="str">
        <f>HYPERLINK("Melting_Curves/meltCurve_Q8TC12_RDH11.pdf", "Melting_Curves/meltCurve_Q8TC12_RDH11.pdf")</f>
        <v>Melting_Curves/meltCurve_Q8TC12_RDH11.pdf</v>
      </c>
    </row>
    <row r="4582" spans="1:28" x14ac:dyDescent="0.25">
      <c r="A4582" t="s">
        <v>4586</v>
      </c>
      <c r="B4582">
        <v>0.99542014353169495</v>
      </c>
      <c r="C4582">
        <v>1.03263462062825</v>
      </c>
      <c r="D4582">
        <v>0.84718813317880604</v>
      </c>
      <c r="E4582">
        <v>0.89918433378261198</v>
      </c>
      <c r="F4582">
        <v>0.48971330663934198</v>
      </c>
      <c r="G4582">
        <v>0.35973956323410899</v>
      </c>
      <c r="H4582">
        <v>5.6419032266935697E-2</v>
      </c>
      <c r="I4582">
        <v>3.60648830802031E-2</v>
      </c>
      <c r="J4582">
        <v>3.7029645675631301E-2</v>
      </c>
      <c r="K4582">
        <v>4.5358290754953699E-2</v>
      </c>
      <c r="L4582">
        <v>869.73391150575401</v>
      </c>
      <c r="M4582">
        <v>17.116971441111499</v>
      </c>
      <c r="N4582">
        <v>50.813713561673701</v>
      </c>
      <c r="O4582">
        <v>50.132893398895</v>
      </c>
      <c r="P4582">
        <v>-8.5327050256559997E-2</v>
      </c>
      <c r="Q4582">
        <v>4.2254288723242098E-4</v>
      </c>
      <c r="R4582">
        <v>0.97851860501906796</v>
      </c>
      <c r="S4582" t="s">
        <v>10984</v>
      </c>
      <c r="T4582" t="s">
        <v>12802</v>
      </c>
      <c r="U4582" t="s">
        <v>12802</v>
      </c>
      <c r="V4582" t="s">
        <v>12802</v>
      </c>
      <c r="W4582" t="s">
        <v>17325</v>
      </c>
      <c r="X4582">
        <v>4</v>
      </c>
      <c r="Y4582" t="s">
        <v>23544</v>
      </c>
      <c r="Z4582" t="s">
        <v>29900</v>
      </c>
      <c r="AA4582">
        <v>0.47741101034874772</v>
      </c>
      <c r="AB4582" t="str">
        <f>HYPERLINK("Melting_Curves/meltCurve_Q8TCA0_LRRC20.pdf", "Melting_Curves/meltCurve_Q8TCA0_LRRC20.pdf")</f>
        <v>Melting_Curves/meltCurve_Q8TCA0_LRRC20.pdf</v>
      </c>
    </row>
    <row r="4583" spans="1:28" x14ac:dyDescent="0.25">
      <c r="A4583" t="s">
        <v>4587</v>
      </c>
      <c r="B4583">
        <v>0.99542014353169495</v>
      </c>
      <c r="C4583">
        <v>1.0441691475827</v>
      </c>
      <c r="D4583">
        <v>1.09986977912063</v>
      </c>
      <c r="E4583">
        <v>1.2054574444192301</v>
      </c>
      <c r="F4583">
        <v>0.92525330514430204</v>
      </c>
      <c r="G4583">
        <v>0.82122336113670402</v>
      </c>
      <c r="H4583">
        <v>0.57514062293408197</v>
      </c>
      <c r="I4583">
        <v>0.530328849703117</v>
      </c>
      <c r="J4583">
        <v>0.70499365137329695</v>
      </c>
      <c r="K4583">
        <v>0.93890218903704903</v>
      </c>
      <c r="L4583">
        <v>13434.4421745449</v>
      </c>
      <c r="M4583">
        <v>250</v>
      </c>
      <c r="O4583">
        <v>53.734329888523398</v>
      </c>
      <c r="P4583">
        <v>-0.36366261458814098</v>
      </c>
      <c r="Q4583">
        <v>0.68734133025740496</v>
      </c>
      <c r="R4583">
        <v>0.64250015719175801</v>
      </c>
      <c r="S4583" t="s">
        <v>10985</v>
      </c>
      <c r="T4583" t="s">
        <v>12802</v>
      </c>
      <c r="U4583" t="s">
        <v>12802</v>
      </c>
      <c r="V4583" t="s">
        <v>12802</v>
      </c>
      <c r="W4583" t="s">
        <v>17326</v>
      </c>
      <c r="X4583">
        <v>1</v>
      </c>
      <c r="Y4583" t="s">
        <v>23545</v>
      </c>
      <c r="Z4583" t="s">
        <v>29901</v>
      </c>
      <c r="AA4583">
        <v>0.86181109995528027</v>
      </c>
      <c r="AB4583" t="str">
        <f>HYPERLINK("Melting_Curves/meltCurve_Q8TCD1_C18orf32.pdf", "Melting_Curves/meltCurve_Q8TCD1_C18orf32.pdf")</f>
        <v>Melting_Curves/meltCurve_Q8TCD1_C18orf32.pdf</v>
      </c>
    </row>
    <row r="4584" spans="1:28" x14ac:dyDescent="0.25">
      <c r="A4584" t="s">
        <v>4588</v>
      </c>
      <c r="B4584">
        <v>0.99542014353169495</v>
      </c>
      <c r="C4584">
        <v>1.0183037109450599</v>
      </c>
      <c r="D4584">
        <v>0.85498222379295097</v>
      </c>
      <c r="E4584">
        <v>0.78596891874286001</v>
      </c>
      <c r="F4584">
        <v>0.62245885563742298</v>
      </c>
      <c r="G4584">
        <v>0.541100248055713</v>
      </c>
      <c r="H4584">
        <v>0.36154626964353997</v>
      </c>
      <c r="I4584">
        <v>0.30189334187550598</v>
      </c>
      <c r="J4584">
        <v>0.26227089540708098</v>
      </c>
      <c r="K4584">
        <v>0.188717816940394</v>
      </c>
      <c r="L4584">
        <v>476.68196424824202</v>
      </c>
      <c r="M4584">
        <v>9.0504397013360798</v>
      </c>
      <c r="N4584">
        <v>53.882854411885504</v>
      </c>
      <c r="O4584">
        <v>50.288922519175102</v>
      </c>
      <c r="P4584">
        <v>-4.0873465135157702E-2</v>
      </c>
      <c r="Q4584">
        <v>9.2189045516994403E-2</v>
      </c>
      <c r="R4584">
        <v>0.98914411845997796</v>
      </c>
      <c r="S4584" t="s">
        <v>10986</v>
      </c>
      <c r="T4584" t="s">
        <v>12802</v>
      </c>
      <c r="U4584" t="s">
        <v>12802</v>
      </c>
      <c r="V4584" t="s">
        <v>12802</v>
      </c>
      <c r="W4584" t="s">
        <v>13997</v>
      </c>
      <c r="X4584">
        <v>10</v>
      </c>
      <c r="Y4584" t="s">
        <v>20313</v>
      </c>
      <c r="Z4584" t="s">
        <v>29902</v>
      </c>
      <c r="AA4584">
        <v>0.58837814707969016</v>
      </c>
      <c r="AB4584" t="str">
        <f>HYPERLINK("Melting_Curves/meltCurve_Q8TCD5_NT5C.pdf", "Melting_Curves/meltCurve_Q8TCD5_NT5C.pdf")</f>
        <v>Melting_Curves/meltCurve_Q8TCD5_NT5C.pdf</v>
      </c>
    </row>
    <row r="4585" spans="1:28" x14ac:dyDescent="0.25">
      <c r="A4585" t="s">
        <v>4589</v>
      </c>
      <c r="B4585">
        <v>0.99542014353169495</v>
      </c>
      <c r="C4585">
        <v>0.95808825150353305</v>
      </c>
      <c r="D4585">
        <v>0.74895271944393205</v>
      </c>
      <c r="E4585">
        <v>0.31613442667835501</v>
      </c>
      <c r="F4585">
        <v>0.19981352836652599</v>
      </c>
      <c r="G4585">
        <v>0.11346992052269</v>
      </c>
      <c r="H4585">
        <v>7.7335284271648499E-2</v>
      </c>
      <c r="I4585">
        <v>6.3424247528416397E-2</v>
      </c>
      <c r="J4585">
        <v>6.7747908090727699E-2</v>
      </c>
      <c r="K4585">
        <v>7.3226799247106802E-2</v>
      </c>
      <c r="L4585">
        <v>1015.64886014117</v>
      </c>
      <c r="M4585">
        <v>22.685297698810299</v>
      </c>
      <c r="N4585">
        <v>45.109835121242902</v>
      </c>
      <c r="O4585">
        <v>44.427687231788603</v>
      </c>
      <c r="P4585">
        <v>-0.11766177671403499</v>
      </c>
      <c r="Q4585">
        <v>7.8286329173210101E-2</v>
      </c>
      <c r="R4585">
        <v>0.99681204366365095</v>
      </c>
      <c r="S4585" t="s">
        <v>10987</v>
      </c>
      <c r="T4585" t="s">
        <v>12802</v>
      </c>
      <c r="U4585" t="s">
        <v>12802</v>
      </c>
      <c r="V4585" t="s">
        <v>12802</v>
      </c>
      <c r="W4585" t="s">
        <v>17327</v>
      </c>
      <c r="X4585">
        <v>12</v>
      </c>
      <c r="Y4585" t="s">
        <v>23546</v>
      </c>
      <c r="Z4585" t="s">
        <v>29903</v>
      </c>
      <c r="AA4585">
        <v>0.32633699920809328</v>
      </c>
      <c r="AB4585" t="str">
        <f>HYPERLINK("Melting_Curves/meltCurve_Q8TCG1_KIAA1524.pdf", "Melting_Curves/meltCurve_Q8TCG1_KIAA1524.pdf")</f>
        <v>Melting_Curves/meltCurve_Q8TCG1_KIAA1524.pdf</v>
      </c>
    </row>
    <row r="4586" spans="1:28" x14ac:dyDescent="0.25">
      <c r="A4586" t="s">
        <v>4590</v>
      </c>
      <c r="B4586">
        <v>0.99542014353169495</v>
      </c>
      <c r="C4586">
        <v>1.01080227659943</v>
      </c>
      <c r="D4586">
        <v>0.82439965973126095</v>
      </c>
      <c r="E4586">
        <v>0.73753483929771602</v>
      </c>
      <c r="F4586">
        <v>0.52042548627401897</v>
      </c>
      <c r="G4586">
        <v>0.231156338200383</v>
      </c>
      <c r="H4586">
        <v>9.6285643529943205E-2</v>
      </c>
      <c r="I4586">
        <v>8.1027442322540305E-2</v>
      </c>
      <c r="J4586">
        <v>6.4375093397550306E-2</v>
      </c>
      <c r="K4586">
        <v>8.0009768071481593E-2</v>
      </c>
      <c r="L4586">
        <v>727.36531489387596</v>
      </c>
      <c r="M4586">
        <v>14.6696871695138</v>
      </c>
      <c r="N4586">
        <v>49.755580116087401</v>
      </c>
      <c r="O4586">
        <v>48.688831812459597</v>
      </c>
      <c r="P4586">
        <v>-7.3462023090561906E-2</v>
      </c>
      <c r="Q4586">
        <v>2.48228775271855E-2</v>
      </c>
      <c r="R4586">
        <v>0.98949617414854796</v>
      </c>
      <c r="S4586" t="s">
        <v>10988</v>
      </c>
      <c r="T4586" t="s">
        <v>12802</v>
      </c>
      <c r="U4586" t="s">
        <v>12802</v>
      </c>
      <c r="V4586" t="s">
        <v>12802</v>
      </c>
      <c r="W4586" t="s">
        <v>17328</v>
      </c>
      <c r="X4586">
        <v>4</v>
      </c>
      <c r="Y4586" t="s">
        <v>23547</v>
      </c>
      <c r="Z4586" t="s">
        <v>29904</v>
      </c>
      <c r="AA4586">
        <v>0.4551830134650911</v>
      </c>
      <c r="AB4586" t="str">
        <f>HYPERLINK("Melting_Curves/meltCurve_Q8TCG2_PI4K2B.pdf", "Melting_Curves/meltCurve_Q8TCG2_PI4K2B.pdf")</f>
        <v>Melting_Curves/meltCurve_Q8TCG2_PI4K2B.pdf</v>
      </c>
    </row>
    <row r="4587" spans="1:28" x14ac:dyDescent="0.25">
      <c r="A4587" t="s">
        <v>4591</v>
      </c>
      <c r="B4587">
        <v>0.99542014353169495</v>
      </c>
      <c r="C4587">
        <v>0.81071516143318101</v>
      </c>
      <c r="D4587">
        <v>0.95909698443920599</v>
      </c>
      <c r="E4587">
        <v>0.65577929336818397</v>
      </c>
      <c r="F4587">
        <v>0.54342247230013696</v>
      </c>
      <c r="G4587">
        <v>0.14955761816923599</v>
      </c>
      <c r="H4587">
        <v>8.9315915078432298E-2</v>
      </c>
      <c r="I4587">
        <v>6.4131900937641498E-2</v>
      </c>
      <c r="J4587">
        <v>7.4893746002009598E-2</v>
      </c>
      <c r="K4587">
        <v>8.3108532558731393E-2</v>
      </c>
      <c r="L4587">
        <v>755.41375369844297</v>
      </c>
      <c r="M4587">
        <v>15.3700645416016</v>
      </c>
      <c r="N4587">
        <v>49.333630597993299</v>
      </c>
      <c r="O4587">
        <v>48.338944461791897</v>
      </c>
      <c r="P4587">
        <v>-7.7269195823348402E-2</v>
      </c>
      <c r="Q4587">
        <v>2.8040934364751999E-2</v>
      </c>
      <c r="R4587">
        <v>0.96118581520200896</v>
      </c>
      <c r="S4587" t="s">
        <v>10989</v>
      </c>
      <c r="T4587" t="s">
        <v>12802</v>
      </c>
      <c r="U4587" t="s">
        <v>12802</v>
      </c>
      <c r="V4587" t="s">
        <v>12802</v>
      </c>
      <c r="W4587" t="s">
        <v>17329</v>
      </c>
      <c r="X4587">
        <v>11</v>
      </c>
      <c r="Y4587" t="s">
        <v>23548</v>
      </c>
      <c r="Z4587" t="s">
        <v>29905</v>
      </c>
      <c r="AA4587">
        <v>0.44168145143616161</v>
      </c>
      <c r="AB4587" t="str">
        <f>HYPERLINK("Melting_Curves/meltCurve_Q8TCJ2_STT3B.pdf", "Melting_Curves/meltCurve_Q8TCJ2_STT3B.pdf")</f>
        <v>Melting_Curves/meltCurve_Q8TCJ2_STT3B.pdf</v>
      </c>
    </row>
    <row r="4588" spans="1:28" x14ac:dyDescent="0.25">
      <c r="A4588" t="s">
        <v>4592</v>
      </c>
      <c r="B4588">
        <v>0.99542014353169495</v>
      </c>
      <c r="C4588">
        <v>0.87208606424694202</v>
      </c>
      <c r="D4588">
        <v>0.89766530675946898</v>
      </c>
      <c r="E4588">
        <v>0.66252300868717895</v>
      </c>
      <c r="F4588">
        <v>0.319151710267017</v>
      </c>
      <c r="G4588">
        <v>0.104424600635634</v>
      </c>
      <c r="H4588">
        <v>6.3157875439417199E-2</v>
      </c>
      <c r="I4588">
        <v>4.2569631443203901E-2</v>
      </c>
      <c r="J4588">
        <v>3.3059388078859497E-2</v>
      </c>
      <c r="K4588">
        <v>3.0000361878479299E-2</v>
      </c>
      <c r="L4588">
        <v>880.48880485591098</v>
      </c>
      <c r="M4588">
        <v>18.348399408076101</v>
      </c>
      <c r="N4588">
        <v>48.075797479917902</v>
      </c>
      <c r="O4588">
        <v>47.428115533661497</v>
      </c>
      <c r="P4588">
        <v>-9.5113879766906495E-2</v>
      </c>
      <c r="Q4588">
        <v>1.6619247394324001E-2</v>
      </c>
      <c r="R4588">
        <v>0.99159001768041699</v>
      </c>
      <c r="S4588" t="s">
        <v>10990</v>
      </c>
      <c r="T4588" t="s">
        <v>12802</v>
      </c>
      <c r="U4588" t="s">
        <v>12802</v>
      </c>
      <c r="V4588" t="s">
        <v>12802</v>
      </c>
      <c r="W4588" t="s">
        <v>17330</v>
      </c>
      <c r="X4588">
        <v>29</v>
      </c>
      <c r="Y4588" t="s">
        <v>23549</v>
      </c>
      <c r="Z4588" t="s">
        <v>29906</v>
      </c>
      <c r="AA4588">
        <v>0.39194931789224791</v>
      </c>
      <c r="AB4588" t="str">
        <f>HYPERLINK("Melting_Curves/meltCurve_Q8TCS8_PNPT1.pdf", "Melting_Curves/meltCurve_Q8TCS8_PNPT1.pdf")</f>
        <v>Melting_Curves/meltCurve_Q8TCS8_PNPT1.pdf</v>
      </c>
    </row>
    <row r="4589" spans="1:28" x14ac:dyDescent="0.25">
      <c r="A4589" t="s">
        <v>4593</v>
      </c>
      <c r="B4589">
        <v>0.99542014353169495</v>
      </c>
      <c r="C4589">
        <v>0.94247182163716103</v>
      </c>
      <c r="D4589">
        <v>0.92137923877233596</v>
      </c>
      <c r="E4589">
        <v>0.89501905534120496</v>
      </c>
      <c r="F4589">
        <v>1.02844564024637</v>
      </c>
      <c r="G4589">
        <v>0.53365790134596902</v>
      </c>
      <c r="H4589">
        <v>0.83586419531010903</v>
      </c>
      <c r="I4589">
        <v>0.36584961062503701</v>
      </c>
      <c r="J4589">
        <v>0.28310041689855803</v>
      </c>
      <c r="K4589">
        <v>0.32212839078979399</v>
      </c>
      <c r="L4589">
        <v>585.50083644753499</v>
      </c>
      <c r="M4589">
        <v>9.7597925955913301</v>
      </c>
      <c r="N4589">
        <v>59.991127139182801</v>
      </c>
      <c r="O4589">
        <v>57.6351220471768</v>
      </c>
      <c r="P4589">
        <v>-4.2356991252131097E-2</v>
      </c>
      <c r="Q4589">
        <v>0</v>
      </c>
      <c r="R4589">
        <v>0.81555631181309995</v>
      </c>
      <c r="S4589" t="s">
        <v>10991</v>
      </c>
      <c r="T4589" t="s">
        <v>12802</v>
      </c>
      <c r="U4589" t="s">
        <v>12802</v>
      </c>
      <c r="V4589" t="s">
        <v>12802</v>
      </c>
      <c r="W4589" t="s">
        <v>17331</v>
      </c>
      <c r="X4589">
        <v>2</v>
      </c>
      <c r="Y4589" t="s">
        <v>23550</v>
      </c>
      <c r="Z4589" t="s">
        <v>29907</v>
      </c>
      <c r="AA4589">
        <v>0.73795275390396498</v>
      </c>
      <c r="AB4589" t="str">
        <f>HYPERLINK("Melting_Curves/meltCurve_Q8TCT8_SPPL2A.pdf", "Melting_Curves/meltCurve_Q8TCT8_SPPL2A.pdf")</f>
        <v>Melting_Curves/meltCurve_Q8TCT8_SPPL2A.pdf</v>
      </c>
    </row>
    <row r="4590" spans="1:28" x14ac:dyDescent="0.25">
      <c r="A4590" t="s">
        <v>4594</v>
      </c>
      <c r="B4590">
        <v>0.99542014353169495</v>
      </c>
      <c r="C4590">
        <v>0.89358708429758205</v>
      </c>
      <c r="D4590">
        <v>1.02443614144732</v>
      </c>
      <c r="E4590">
        <v>0.83133625913704901</v>
      </c>
      <c r="F4590">
        <v>0.84993885095211197</v>
      </c>
      <c r="G4590">
        <v>0.518998901798713</v>
      </c>
      <c r="H4590">
        <v>0.42896591011420798</v>
      </c>
      <c r="I4590">
        <v>0.26462522323234999</v>
      </c>
      <c r="J4590">
        <v>0.14991519112958901</v>
      </c>
      <c r="K4590">
        <v>0.11907945382953999</v>
      </c>
      <c r="L4590">
        <v>642.718570354039</v>
      </c>
      <c r="M4590">
        <v>11.608116572255801</v>
      </c>
      <c r="N4590">
        <v>55.368032064220699</v>
      </c>
      <c r="O4590">
        <v>53.801393093923103</v>
      </c>
      <c r="P4590">
        <v>-5.3954462583530101E-2</v>
      </c>
      <c r="Q4590">
        <v>0</v>
      </c>
      <c r="R4590">
        <v>0.973652565708375</v>
      </c>
      <c r="S4590" t="s">
        <v>10992</v>
      </c>
      <c r="T4590" t="s">
        <v>12802</v>
      </c>
      <c r="U4590" t="s">
        <v>12802</v>
      </c>
      <c r="V4590" t="s">
        <v>12802</v>
      </c>
      <c r="W4590" t="s">
        <v>17332</v>
      </c>
      <c r="X4590">
        <v>5</v>
      </c>
      <c r="Y4590" t="s">
        <v>23551</v>
      </c>
      <c r="Z4590" t="s">
        <v>29908</v>
      </c>
      <c r="AA4590">
        <v>0.62459560669510139</v>
      </c>
      <c r="AB4590" t="str">
        <f>HYPERLINK("Melting_Curves/meltCurve_Q8TCT9_5_HM13.pdf", "Melting_Curves/meltCurve_Q8TCT9_5_HM13.pdf")</f>
        <v>Melting_Curves/meltCurve_Q8TCT9_5_HM13.pdf</v>
      </c>
    </row>
    <row r="4591" spans="1:28" x14ac:dyDescent="0.25">
      <c r="A4591" t="s">
        <v>4595</v>
      </c>
      <c r="B4591">
        <v>0.99542014353169495</v>
      </c>
      <c r="C4591">
        <v>0.95175446236913597</v>
      </c>
      <c r="D4591">
        <v>0.96755277978489995</v>
      </c>
      <c r="E4591">
        <v>0.71133292106729495</v>
      </c>
      <c r="F4591">
        <v>0.40161311738524402</v>
      </c>
      <c r="G4591">
        <v>0.18961804691495901</v>
      </c>
      <c r="H4591">
        <v>0.12943036033064501</v>
      </c>
      <c r="I4591">
        <v>9.6526366112446596E-2</v>
      </c>
      <c r="J4591">
        <v>0.10409727906718901</v>
      </c>
      <c r="K4591">
        <v>0.105301726048853</v>
      </c>
      <c r="L4591">
        <v>1010.15135046757</v>
      </c>
      <c r="M4591">
        <v>20.845935768142599</v>
      </c>
      <c r="N4591">
        <v>48.952121550872199</v>
      </c>
      <c r="O4591">
        <v>48.018632198504498</v>
      </c>
      <c r="P4591">
        <v>-9.8235187071748206E-2</v>
      </c>
      <c r="Q4591">
        <v>9.4885724938629096E-2</v>
      </c>
      <c r="R4591">
        <v>0.99805456136136905</v>
      </c>
      <c r="S4591" t="s">
        <v>10993</v>
      </c>
      <c r="T4591" t="s">
        <v>12802</v>
      </c>
      <c r="U4591" t="s">
        <v>12802</v>
      </c>
      <c r="V4591" t="s">
        <v>12802</v>
      </c>
      <c r="W4591" t="s">
        <v>17333</v>
      </c>
      <c r="X4591">
        <v>3</v>
      </c>
      <c r="Y4591" t="s">
        <v>23552</v>
      </c>
      <c r="Z4591" t="s">
        <v>29909</v>
      </c>
      <c r="AA4591">
        <v>0.45159818854632378</v>
      </c>
      <c r="AB4591" t="str">
        <f>HYPERLINK("Melting_Curves/meltCurve_Q8TCX1_DYNC2LI1.pdf", "Melting_Curves/meltCurve_Q8TCX1_DYNC2LI1.pdf")</f>
        <v>Melting_Curves/meltCurve_Q8TCX1_DYNC2LI1.pdf</v>
      </c>
    </row>
    <row r="4592" spans="1:28" x14ac:dyDescent="0.25">
      <c r="A4592" t="s">
        <v>4596</v>
      </c>
      <c r="B4592">
        <v>0.99542014353169495</v>
      </c>
      <c r="C4592">
        <v>1.0575730261470699</v>
      </c>
      <c r="D4592">
        <v>0.78055250376510799</v>
      </c>
      <c r="E4592">
        <v>0.67085551909700802</v>
      </c>
      <c r="F4592">
        <v>0.50746821673355003</v>
      </c>
      <c r="G4592">
        <v>0.32687205580554501</v>
      </c>
      <c r="H4592">
        <v>0.26773139740991098</v>
      </c>
      <c r="I4592">
        <v>0.23272324341499201</v>
      </c>
      <c r="J4592">
        <v>0.260784911111688</v>
      </c>
      <c r="K4592">
        <v>0.11972939677759099</v>
      </c>
      <c r="L4592">
        <v>608.66391068775897</v>
      </c>
      <c r="M4592">
        <v>12.607183131514001</v>
      </c>
      <c r="N4592">
        <v>49.857748188625102</v>
      </c>
      <c r="O4592">
        <v>47.112748041537799</v>
      </c>
      <c r="P4592">
        <v>-5.5900988146593299E-2</v>
      </c>
      <c r="Q4592">
        <v>0.164563748334423</v>
      </c>
      <c r="R4592">
        <v>0.972771198921354</v>
      </c>
      <c r="S4592" t="s">
        <v>10994</v>
      </c>
      <c r="T4592" t="s">
        <v>12802</v>
      </c>
      <c r="U4592" t="s">
        <v>12802</v>
      </c>
      <c r="V4592" t="s">
        <v>12802</v>
      </c>
      <c r="W4592" t="s">
        <v>17334</v>
      </c>
      <c r="X4592">
        <v>5</v>
      </c>
      <c r="Y4592" t="s">
        <v>23553</v>
      </c>
      <c r="Z4592" t="s">
        <v>29910</v>
      </c>
      <c r="AA4592">
        <v>0.50267176449989048</v>
      </c>
      <c r="AB4592" t="str">
        <f>HYPERLINK("Melting_Curves/meltCurve_Q8TCY9_URGCP.pdf", "Melting_Curves/meltCurve_Q8TCY9_URGCP.pdf")</f>
        <v>Melting_Curves/meltCurve_Q8TCY9_URGCP.pdf</v>
      </c>
    </row>
    <row r="4593" spans="1:28" x14ac:dyDescent="0.25">
      <c r="A4593" t="s">
        <v>4597</v>
      </c>
      <c r="B4593">
        <v>0.99542014353169495</v>
      </c>
      <c r="C4593">
        <v>0.99560179315442499</v>
      </c>
      <c r="D4593">
        <v>0.85169270506323902</v>
      </c>
      <c r="E4593">
        <v>0.78678698618401399</v>
      </c>
      <c r="F4593">
        <v>0.55860087794872504</v>
      </c>
      <c r="G4593">
        <v>0.42580772919535598</v>
      </c>
      <c r="H4593">
        <v>0.21973876290417599</v>
      </c>
      <c r="I4593">
        <v>8.4936931760157097E-2</v>
      </c>
      <c r="J4593">
        <v>2.4268446554115301E-2</v>
      </c>
      <c r="K4593">
        <v>2.9707606983557899E-2</v>
      </c>
      <c r="L4593">
        <v>642.90787395635698</v>
      </c>
      <c r="M4593">
        <v>12.514199418451099</v>
      </c>
      <c r="N4593">
        <v>51.374271319081899</v>
      </c>
      <c r="O4593">
        <v>50.115329624108597</v>
      </c>
      <c r="P4593">
        <v>-6.2439792292340902E-2</v>
      </c>
      <c r="Q4593">
        <v>0</v>
      </c>
      <c r="R4593">
        <v>0.99003178361112798</v>
      </c>
      <c r="S4593" t="s">
        <v>10995</v>
      </c>
      <c r="T4593" t="s">
        <v>12802</v>
      </c>
      <c r="U4593" t="s">
        <v>12802</v>
      </c>
      <c r="V4593" t="s">
        <v>12802</v>
      </c>
      <c r="W4593" t="s">
        <v>17335</v>
      </c>
      <c r="X4593">
        <v>1</v>
      </c>
      <c r="Y4593" t="s">
        <v>23554</v>
      </c>
      <c r="Z4593" t="s">
        <v>29911</v>
      </c>
      <c r="AA4593">
        <v>0.50337820435101732</v>
      </c>
      <c r="AB4593" t="str">
        <f>HYPERLINK("Melting_Curves/meltCurve_Q8TD08_2_MAPK15.pdf", "Melting_Curves/meltCurve_Q8TD08_2_MAPK15.pdf")</f>
        <v>Melting_Curves/meltCurve_Q8TD08_2_MAPK15.pdf</v>
      </c>
    </row>
    <row r="4594" spans="1:28" x14ac:dyDescent="0.25">
      <c r="A4594" t="s">
        <v>4598</v>
      </c>
      <c r="B4594">
        <v>0.99542014353169495</v>
      </c>
      <c r="C4594">
        <v>0.98793335676403204</v>
      </c>
      <c r="D4594">
        <v>1.0190875307384299</v>
      </c>
      <c r="E4594">
        <v>0.75381804577102796</v>
      </c>
      <c r="F4594">
        <v>0.15111704585931299</v>
      </c>
      <c r="G4594">
        <v>9.4936902211500807E-2</v>
      </c>
      <c r="H4594">
        <v>6.4701313828470497E-2</v>
      </c>
      <c r="I4594">
        <v>4.36633618733685E-2</v>
      </c>
      <c r="J4594">
        <v>5.8450563782859802E-2</v>
      </c>
      <c r="K4594">
        <v>6.3870244614269003E-2</v>
      </c>
      <c r="L4594">
        <v>2146.7514846570398</v>
      </c>
      <c r="M4594">
        <v>45.028825538104897</v>
      </c>
      <c r="N4594">
        <v>47.819830709075198</v>
      </c>
      <c r="O4594">
        <v>47.581326303948302</v>
      </c>
      <c r="P4594">
        <v>-0.22151292235485001</v>
      </c>
      <c r="Q4594">
        <v>6.3723273693037E-2</v>
      </c>
      <c r="R4594">
        <v>0.99894044650654301</v>
      </c>
      <c r="S4594" t="s">
        <v>10996</v>
      </c>
      <c r="T4594" t="s">
        <v>12802</v>
      </c>
      <c r="U4594" t="s">
        <v>12802</v>
      </c>
      <c r="V4594" t="s">
        <v>12802</v>
      </c>
      <c r="W4594" t="s">
        <v>17336</v>
      </c>
      <c r="X4594">
        <v>30</v>
      </c>
      <c r="Y4594" t="s">
        <v>23555</v>
      </c>
      <c r="Z4594" t="s">
        <v>29912</v>
      </c>
      <c r="AA4594">
        <v>0.39931407229215399</v>
      </c>
      <c r="AB4594" t="str">
        <f>HYPERLINK("Melting_Curves/meltCurve_Q8TD16_BICD2.pdf", "Melting_Curves/meltCurve_Q8TD16_BICD2.pdf")</f>
        <v>Melting_Curves/meltCurve_Q8TD16_BICD2.pdf</v>
      </c>
    </row>
    <row r="4595" spans="1:28" x14ac:dyDescent="0.25">
      <c r="A4595" t="s">
        <v>4599</v>
      </c>
      <c r="B4595">
        <v>0.99542014353169495</v>
      </c>
      <c r="C4595">
        <v>0.86224206327448205</v>
      </c>
      <c r="D4595">
        <v>0.93861736341862001</v>
      </c>
      <c r="E4595">
        <v>0.68077176077512003</v>
      </c>
      <c r="F4595">
        <v>0.39254756172305</v>
      </c>
      <c r="G4595">
        <v>0.144996180504331</v>
      </c>
      <c r="H4595">
        <v>0.10905757568180099</v>
      </c>
      <c r="I4595">
        <v>7.8496441679854506E-2</v>
      </c>
      <c r="J4595">
        <v>8.3483871836592199E-2</v>
      </c>
      <c r="K4595">
        <v>7.5117440964496199E-2</v>
      </c>
      <c r="L4595">
        <v>893.08913853202705</v>
      </c>
      <c r="M4595">
        <v>18.495485214854099</v>
      </c>
      <c r="N4595">
        <v>48.629214643185499</v>
      </c>
      <c r="O4595">
        <v>47.733011458238899</v>
      </c>
      <c r="P4595">
        <v>-9.09604533643871E-2</v>
      </c>
      <c r="Q4595">
        <v>6.1041328231901303E-2</v>
      </c>
      <c r="R4595">
        <v>0.98770018266159898</v>
      </c>
      <c r="S4595" t="s">
        <v>10997</v>
      </c>
      <c r="T4595" t="s">
        <v>12802</v>
      </c>
      <c r="U4595" t="s">
        <v>12802</v>
      </c>
      <c r="V4595" t="s">
        <v>12802</v>
      </c>
      <c r="W4595" t="s">
        <v>17337</v>
      </c>
      <c r="X4595">
        <v>14</v>
      </c>
      <c r="Y4595" t="s">
        <v>23556</v>
      </c>
      <c r="Z4595" t="s">
        <v>29913</v>
      </c>
      <c r="AA4595">
        <v>0.42857369943464702</v>
      </c>
      <c r="AB4595" t="str">
        <f>HYPERLINK("Melting_Curves/meltCurve_Q8TD19_NEK9.pdf", "Melting_Curves/meltCurve_Q8TD19_NEK9.pdf")</f>
        <v>Melting_Curves/meltCurve_Q8TD19_NEK9.pdf</v>
      </c>
    </row>
    <row r="4596" spans="1:28" x14ac:dyDescent="0.25">
      <c r="A4596" t="s">
        <v>4600</v>
      </c>
      <c r="B4596">
        <v>0.99542014353169495</v>
      </c>
      <c r="C4596">
        <v>1.05832290000338</v>
      </c>
      <c r="D4596">
        <v>0.741960544603811</v>
      </c>
      <c r="E4596">
        <v>0.75422073968977099</v>
      </c>
      <c r="F4596">
        <v>0.44256073080344399</v>
      </c>
      <c r="G4596">
        <v>0.27627921114616999</v>
      </c>
      <c r="H4596">
        <v>0.21280662875397699</v>
      </c>
      <c r="I4596">
        <v>0.23103718569246301</v>
      </c>
      <c r="J4596">
        <v>0.29105636351611502</v>
      </c>
      <c r="K4596">
        <v>0</v>
      </c>
      <c r="L4596">
        <v>643.19981734172597</v>
      </c>
      <c r="M4596">
        <v>13.267721374908801</v>
      </c>
      <c r="N4596">
        <v>49.5507582017527</v>
      </c>
      <c r="O4596">
        <v>47.416942053135699</v>
      </c>
      <c r="P4596">
        <v>-6.1233815383726999E-2</v>
      </c>
      <c r="Q4596">
        <v>0.12477916996565699</v>
      </c>
      <c r="R4596">
        <v>0.93582418132662804</v>
      </c>
      <c r="S4596" t="s">
        <v>10998</v>
      </c>
      <c r="T4596" t="s">
        <v>12802</v>
      </c>
      <c r="U4596" t="s">
        <v>12802</v>
      </c>
      <c r="V4596" t="s">
        <v>12802</v>
      </c>
      <c r="W4596" t="s">
        <v>17338</v>
      </c>
      <c r="X4596">
        <v>2</v>
      </c>
      <c r="Y4596" t="s">
        <v>23557</v>
      </c>
      <c r="Z4596" t="s">
        <v>29914</v>
      </c>
      <c r="AA4596">
        <v>0.48277028032255559</v>
      </c>
      <c r="AB4596" t="str">
        <f>HYPERLINK("Melting_Curves/meltCurve_Q8TD30_GPT2.pdf", "Melting_Curves/meltCurve_Q8TD30_GPT2.pdf")</f>
        <v>Melting_Curves/meltCurve_Q8TD30_GPT2.pdf</v>
      </c>
    </row>
    <row r="4597" spans="1:28" x14ac:dyDescent="0.25">
      <c r="A4597" t="s">
        <v>4601</v>
      </c>
      <c r="B4597">
        <v>0.99542014353169495</v>
      </c>
      <c r="C4597">
        <v>0.94073737367625099</v>
      </c>
      <c r="D4597">
        <v>1.0740853659683001</v>
      </c>
      <c r="E4597">
        <v>0.65044163271051103</v>
      </c>
      <c r="F4597">
        <v>0.20507225396043299</v>
      </c>
      <c r="G4597">
        <v>0.11778158008707899</v>
      </c>
      <c r="H4597">
        <v>8.3047636465795105E-2</v>
      </c>
      <c r="I4597">
        <v>4.6125986602930401E-2</v>
      </c>
      <c r="J4597">
        <v>3.1680809379602902E-2</v>
      </c>
      <c r="K4597">
        <v>3.8210268261318903E-2</v>
      </c>
      <c r="L4597">
        <v>1594.6878433029699</v>
      </c>
      <c r="M4597">
        <v>33.589620557867597</v>
      </c>
      <c r="N4597">
        <v>47.658047360376003</v>
      </c>
      <c r="O4597">
        <v>47.308294937209801</v>
      </c>
      <c r="P4597">
        <v>-0.166796695408365</v>
      </c>
      <c r="Q4597">
        <v>6.0324818373571197E-2</v>
      </c>
      <c r="R4597">
        <v>0.98986603194456502</v>
      </c>
      <c r="S4597" t="s">
        <v>10999</v>
      </c>
      <c r="T4597" t="s">
        <v>12802</v>
      </c>
      <c r="U4597" t="s">
        <v>12802</v>
      </c>
      <c r="V4597" t="s">
        <v>12802</v>
      </c>
      <c r="W4597" t="s">
        <v>17339</v>
      </c>
      <c r="X4597">
        <v>7</v>
      </c>
      <c r="Y4597" t="s">
        <v>23558</v>
      </c>
      <c r="Z4597" t="s">
        <v>29915</v>
      </c>
      <c r="AA4597">
        <v>0.39283447876827199</v>
      </c>
      <c r="AB4597" t="str">
        <f>HYPERLINK("Melting_Curves/meltCurve_Q8TDD1_DDX54.pdf", "Melting_Curves/meltCurve_Q8TDD1_DDX54.pdf")</f>
        <v>Melting_Curves/meltCurve_Q8TDD1_DDX54.pdf</v>
      </c>
    </row>
    <row r="4598" spans="1:28" x14ac:dyDescent="0.25">
      <c r="A4598" t="s">
        <v>4602</v>
      </c>
      <c r="B4598">
        <v>0.99542014353169495</v>
      </c>
      <c r="C4598">
        <v>1.0265595790115301</v>
      </c>
      <c r="D4598">
        <v>0.97991619483230497</v>
      </c>
      <c r="E4598">
        <v>0.79517626490178395</v>
      </c>
      <c r="F4598">
        <v>0.61360436027388898</v>
      </c>
      <c r="G4598">
        <v>0.44029091660354902</v>
      </c>
      <c r="H4598">
        <v>0.23016764956543601</v>
      </c>
      <c r="I4598">
        <v>0.10357797264140001</v>
      </c>
      <c r="J4598">
        <v>0.13630331103990401</v>
      </c>
      <c r="K4598">
        <v>0.19612380936582599</v>
      </c>
      <c r="L4598">
        <v>789.43280175817597</v>
      </c>
      <c r="M4598">
        <v>15.4514878163374</v>
      </c>
      <c r="N4598">
        <v>51.920220825600403</v>
      </c>
      <c r="O4598">
        <v>50.258230356782498</v>
      </c>
      <c r="P4598">
        <v>-6.8463016221018594E-2</v>
      </c>
      <c r="Q4598">
        <v>0.109336080108314</v>
      </c>
      <c r="R4598">
        <v>0.98736836422139296</v>
      </c>
      <c r="S4598" t="s">
        <v>11000</v>
      </c>
      <c r="T4598" t="s">
        <v>12802</v>
      </c>
      <c r="U4598" t="s">
        <v>12802</v>
      </c>
      <c r="V4598" t="s">
        <v>12802</v>
      </c>
      <c r="W4598" t="s">
        <v>17340</v>
      </c>
      <c r="X4598">
        <v>6</v>
      </c>
      <c r="Y4598" t="s">
        <v>23559</v>
      </c>
      <c r="Z4598" t="s">
        <v>29916</v>
      </c>
      <c r="AA4598">
        <v>0.54485757879929975</v>
      </c>
      <c r="AB4598" t="str">
        <f>HYPERLINK("Melting_Curves/meltCurve_Q8TDH9_BLOC1S5.pdf", "Melting_Curves/meltCurve_Q8TDH9_BLOC1S5.pdf")</f>
        <v>Melting_Curves/meltCurve_Q8TDH9_BLOC1S5.pdf</v>
      </c>
    </row>
    <row r="4599" spans="1:28" x14ac:dyDescent="0.25">
      <c r="A4599" t="s">
        <v>4603</v>
      </c>
      <c r="B4599">
        <v>0.99542014353169495</v>
      </c>
      <c r="C4599">
        <v>0.97625105320252004</v>
      </c>
      <c r="D4599">
        <v>0.94919806174540899</v>
      </c>
      <c r="E4599">
        <v>0.83287234583307002</v>
      </c>
      <c r="F4599">
        <v>0.77423936815549699</v>
      </c>
      <c r="G4599">
        <v>0.237564031731896</v>
      </c>
      <c r="H4599">
        <v>6.1083074537407599E-2</v>
      </c>
      <c r="I4599">
        <v>0</v>
      </c>
      <c r="J4599">
        <v>2.8681505486828299E-2</v>
      </c>
      <c r="K4599">
        <v>3.84654125754018E-2</v>
      </c>
      <c r="L4599">
        <v>1534.0749729306599</v>
      </c>
      <c r="M4599">
        <v>29.600091870686601</v>
      </c>
      <c r="N4599">
        <v>51.871281554407197</v>
      </c>
      <c r="O4599">
        <v>51.5918739046095</v>
      </c>
      <c r="P4599">
        <v>-0.14163298214681899</v>
      </c>
      <c r="Q4599">
        <v>1.25624198553521E-2</v>
      </c>
      <c r="R4599">
        <v>0.98627974107944105</v>
      </c>
      <c r="S4599" t="s">
        <v>11001</v>
      </c>
      <c r="T4599" t="s">
        <v>12802</v>
      </c>
      <c r="U4599" t="s">
        <v>12802</v>
      </c>
      <c r="V4599" t="s">
        <v>12802</v>
      </c>
      <c r="W4599" t="s">
        <v>17341</v>
      </c>
      <c r="X4599">
        <v>1</v>
      </c>
      <c r="Y4599" t="s">
        <v>23560</v>
      </c>
      <c r="Z4599" t="s">
        <v>29917</v>
      </c>
      <c r="AA4599">
        <v>0.50695723588687569</v>
      </c>
      <c r="AB4599" t="str">
        <f>HYPERLINK("Melting_Curves/meltCurve_Q8TDN6_BRIX1.pdf", "Melting_Curves/meltCurve_Q8TDN6_BRIX1.pdf")</f>
        <v>Melting_Curves/meltCurve_Q8TDN6_BRIX1.pdf</v>
      </c>
    </row>
    <row r="4600" spans="1:28" x14ac:dyDescent="0.25">
      <c r="A4600" t="s">
        <v>4604</v>
      </c>
      <c r="B4600">
        <v>0.99542014353169495</v>
      </c>
      <c r="C4600">
        <v>0.96656339242286504</v>
      </c>
      <c r="D4600">
        <v>1.0034246581094199</v>
      </c>
      <c r="E4600">
        <v>0.83494187822127297</v>
      </c>
      <c r="F4600">
        <v>0.84929320349583903</v>
      </c>
      <c r="G4600">
        <v>0.56230661690349504</v>
      </c>
      <c r="H4600">
        <v>0.497129184463313</v>
      </c>
      <c r="I4600">
        <v>0.49204521819458003</v>
      </c>
      <c r="J4600">
        <v>0.80142872867487802</v>
      </c>
      <c r="K4600">
        <v>0.74639538622978496</v>
      </c>
      <c r="L4600">
        <v>1180.70444611636</v>
      </c>
      <c r="M4600">
        <v>24.309146321311101</v>
      </c>
      <c r="O4600">
        <v>48.245272499955199</v>
      </c>
      <c r="P4600">
        <v>-4.7292562157320799E-2</v>
      </c>
      <c r="Q4600">
        <v>0.62456794968918705</v>
      </c>
      <c r="R4600">
        <v>0.69001908690532299</v>
      </c>
      <c r="S4600" t="s">
        <v>11002</v>
      </c>
      <c r="T4600" t="s">
        <v>12802</v>
      </c>
      <c r="U4600" t="s">
        <v>12802</v>
      </c>
      <c r="V4600" t="s">
        <v>12802</v>
      </c>
      <c r="W4600" t="s">
        <v>17342</v>
      </c>
      <c r="X4600">
        <v>10</v>
      </c>
      <c r="Y4600" t="s">
        <v>23561</v>
      </c>
      <c r="Z4600" t="s">
        <v>29918</v>
      </c>
      <c r="AA4600">
        <v>0.77277128686017194</v>
      </c>
      <c r="AB4600" t="str">
        <f>HYPERLINK("Melting_Curves/meltCurve_Q8TDQ7_3_GNPDA2.pdf", "Melting_Curves/meltCurve_Q8TDQ7_3_GNPDA2.pdf")</f>
        <v>Melting_Curves/meltCurve_Q8TDQ7_3_GNPDA2.pdf</v>
      </c>
    </row>
    <row r="4601" spans="1:28" x14ac:dyDescent="0.25">
      <c r="A4601" t="s">
        <v>4605</v>
      </c>
      <c r="B4601">
        <v>0.99542014353169495</v>
      </c>
      <c r="C4601">
        <v>0.90294107880466101</v>
      </c>
      <c r="D4601">
        <v>1.03622337245148</v>
      </c>
      <c r="E4601">
        <v>0.67193491558409202</v>
      </c>
      <c r="F4601">
        <v>0.65109165358162602</v>
      </c>
      <c r="G4601">
        <v>0.31631964455011702</v>
      </c>
      <c r="H4601">
        <v>0.13634905481138501</v>
      </c>
      <c r="I4601">
        <v>6.9870436766456295E-2</v>
      </c>
      <c r="J4601">
        <v>8.9498679593636901E-2</v>
      </c>
      <c r="K4601">
        <v>0.11155322817793099</v>
      </c>
      <c r="L4601">
        <v>753.04240085981598</v>
      </c>
      <c r="M4601">
        <v>14.8586564542048</v>
      </c>
      <c r="N4601">
        <v>50.952663592953101</v>
      </c>
      <c r="O4601">
        <v>49.788974109112097</v>
      </c>
      <c r="P4601">
        <v>-7.1768343242315E-2</v>
      </c>
      <c r="Q4601">
        <v>3.81640671926178E-2</v>
      </c>
      <c r="R4601">
        <v>0.96685140606199005</v>
      </c>
      <c r="S4601" t="s">
        <v>11003</v>
      </c>
      <c r="T4601" t="s">
        <v>12802</v>
      </c>
      <c r="U4601" t="s">
        <v>12802</v>
      </c>
      <c r="V4601" t="s">
        <v>12802</v>
      </c>
      <c r="W4601" t="s">
        <v>17343</v>
      </c>
      <c r="X4601">
        <v>5</v>
      </c>
      <c r="Y4601" t="s">
        <v>23562</v>
      </c>
      <c r="Z4601" t="s">
        <v>29919</v>
      </c>
      <c r="AA4601">
        <v>0.4966468026363946</v>
      </c>
      <c r="AB4601" t="str">
        <f>HYPERLINK("Melting_Curves/meltCurve_Q8TDW0_LRRC8C.pdf", "Melting_Curves/meltCurve_Q8TDW0_LRRC8C.pdf")</f>
        <v>Melting_Curves/meltCurve_Q8TDW0_LRRC8C.pdf</v>
      </c>
    </row>
    <row r="4602" spans="1:28" x14ac:dyDescent="0.25">
      <c r="A4602" t="s">
        <v>4606</v>
      </c>
      <c r="B4602">
        <v>0.99542014353169495</v>
      </c>
      <c r="C4602">
        <v>1.14182770446917</v>
      </c>
      <c r="D4602">
        <v>0.94903092666529199</v>
      </c>
      <c r="E4602">
        <v>0.88400190229691999</v>
      </c>
      <c r="F4602">
        <v>0.597762930920964</v>
      </c>
      <c r="G4602">
        <v>0.34442866557394097</v>
      </c>
      <c r="H4602">
        <v>0.151304661260209</v>
      </c>
      <c r="I4602">
        <v>9.5284568109895301E-2</v>
      </c>
      <c r="J4602">
        <v>0.123289429474849</v>
      </c>
      <c r="K4602">
        <v>6.5074215098829602E-2</v>
      </c>
      <c r="L4602">
        <v>1001.40628253216</v>
      </c>
      <c r="M4602">
        <v>19.6159016954424</v>
      </c>
      <c r="N4602">
        <v>51.463595442966501</v>
      </c>
      <c r="O4602">
        <v>50.5290569863527</v>
      </c>
      <c r="P4602">
        <v>-8.9990119234641702E-2</v>
      </c>
      <c r="Q4602">
        <v>7.2801997376339106E-2</v>
      </c>
      <c r="R4602">
        <v>0.98499147828715095</v>
      </c>
      <c r="S4602" t="s">
        <v>11004</v>
      </c>
      <c r="T4602" t="s">
        <v>12802</v>
      </c>
      <c r="U4602" t="s">
        <v>12802</v>
      </c>
      <c r="V4602" t="s">
        <v>12802</v>
      </c>
      <c r="W4602" t="s">
        <v>17344</v>
      </c>
      <c r="X4602">
        <v>7</v>
      </c>
      <c r="Y4602" t="s">
        <v>23563</v>
      </c>
      <c r="Z4602" t="s">
        <v>29920</v>
      </c>
      <c r="AA4602">
        <v>0.5195909075087155</v>
      </c>
      <c r="AB4602" t="str">
        <f>HYPERLINK("Melting_Curves/meltCurve_Q8TDX7_NEK7.pdf", "Melting_Curves/meltCurve_Q8TDX7_NEK7.pdf")</f>
        <v>Melting_Curves/meltCurve_Q8TDX7_NEK7.pdf</v>
      </c>
    </row>
    <row r="4603" spans="1:28" x14ac:dyDescent="0.25">
      <c r="A4603" t="s">
        <v>4607</v>
      </c>
      <c r="B4603">
        <v>0.99542014353169495</v>
      </c>
      <c r="C4603">
        <v>0.87286134216897804</v>
      </c>
      <c r="D4603">
        <v>0.89335323511500098</v>
      </c>
      <c r="E4603">
        <v>0.58758549209975197</v>
      </c>
      <c r="F4603">
        <v>0.24696289636892901</v>
      </c>
      <c r="G4603">
        <v>0.121944090894626</v>
      </c>
      <c r="H4603">
        <v>8.8793784274803098E-2</v>
      </c>
      <c r="I4603">
        <v>6.0024759191381803E-2</v>
      </c>
      <c r="J4603">
        <v>5.9495016960189398E-2</v>
      </c>
      <c r="K4603">
        <v>5.6571482916890299E-2</v>
      </c>
      <c r="L4603">
        <v>920.71620861385395</v>
      </c>
      <c r="M4603">
        <v>19.561978502015901</v>
      </c>
      <c r="N4603">
        <v>47.328878516718703</v>
      </c>
      <c r="O4603">
        <v>46.583042552757</v>
      </c>
      <c r="P4603">
        <v>-9.9595536972069507E-2</v>
      </c>
      <c r="Q4603">
        <v>5.1364193323236197E-2</v>
      </c>
      <c r="R4603">
        <v>0.99199072576161795</v>
      </c>
      <c r="S4603" t="s">
        <v>11005</v>
      </c>
      <c r="T4603" t="s">
        <v>12802</v>
      </c>
      <c r="U4603" t="s">
        <v>12802</v>
      </c>
      <c r="V4603" t="s">
        <v>12802</v>
      </c>
      <c r="W4603" t="s">
        <v>17345</v>
      </c>
      <c r="X4603">
        <v>13</v>
      </c>
      <c r="Y4603" t="s">
        <v>23564</v>
      </c>
      <c r="Z4603" t="s">
        <v>29921</v>
      </c>
      <c r="AA4603">
        <v>0.38265248719317041</v>
      </c>
      <c r="AB4603" t="str">
        <f>HYPERLINK("Melting_Curves/meltCurve_Q8TDY2_2_RB1CC1.pdf", "Melting_Curves/meltCurve_Q8TDY2_2_RB1CC1.pdf")</f>
        <v>Melting_Curves/meltCurve_Q8TDY2_2_RB1CC1.pdf</v>
      </c>
    </row>
    <row r="4604" spans="1:28" x14ac:dyDescent="0.25">
      <c r="A4604" t="s">
        <v>4608</v>
      </c>
      <c r="B4604">
        <v>0.99542014353169495</v>
      </c>
      <c r="C4604">
        <v>1.0749500862814401</v>
      </c>
      <c r="D4604">
        <v>0.95374916136118904</v>
      </c>
      <c r="E4604">
        <v>0.63943838456448499</v>
      </c>
      <c r="F4604">
        <v>0.52586911353054</v>
      </c>
      <c r="G4604">
        <v>0.43619065481672697</v>
      </c>
      <c r="H4604">
        <v>0.20323067147656601</v>
      </c>
      <c r="I4604">
        <v>0.14914083478706899</v>
      </c>
      <c r="J4604">
        <v>0.121867415999281</v>
      </c>
      <c r="K4604">
        <v>7.1624104526205004E-2</v>
      </c>
      <c r="L4604">
        <v>601.09320822459597</v>
      </c>
      <c r="M4604">
        <v>11.8935389717576</v>
      </c>
      <c r="N4604">
        <v>50.908459963904299</v>
      </c>
      <c r="O4604">
        <v>49.174251158117897</v>
      </c>
      <c r="P4604">
        <v>-5.7983776045661503E-2</v>
      </c>
      <c r="Q4604">
        <v>4.1295462622997499E-2</v>
      </c>
      <c r="R4604">
        <v>0.97382110867130101</v>
      </c>
      <c r="S4604" t="s">
        <v>11006</v>
      </c>
      <c r="T4604" t="s">
        <v>12802</v>
      </c>
      <c r="U4604" t="s">
        <v>12802</v>
      </c>
      <c r="V4604" t="s">
        <v>12802</v>
      </c>
      <c r="W4604" t="s">
        <v>17346</v>
      </c>
      <c r="X4604">
        <v>2</v>
      </c>
      <c r="Y4604" t="s">
        <v>23565</v>
      </c>
      <c r="Z4604" t="s">
        <v>29922</v>
      </c>
      <c r="AA4604">
        <v>0.50007792259925687</v>
      </c>
      <c r="AB4604" t="str">
        <f>HYPERLINK("Melting_Curves/meltCurve_Q8TDZ2_MICAL1.pdf", "Melting_Curves/meltCurve_Q8TDZ2_MICAL1.pdf")</f>
        <v>Melting_Curves/meltCurve_Q8TDZ2_MICAL1.pdf</v>
      </c>
    </row>
    <row r="4605" spans="1:28" x14ac:dyDescent="0.25">
      <c r="A4605" t="s">
        <v>4609</v>
      </c>
      <c r="B4605">
        <v>0.99542014353169495</v>
      </c>
      <c r="C4605">
        <v>1.0661640860199799</v>
      </c>
      <c r="D4605">
        <v>0.98122551717138495</v>
      </c>
      <c r="E4605">
        <v>0.914038204377006</v>
      </c>
      <c r="F4605">
        <v>0.66180558686130497</v>
      </c>
      <c r="G4605">
        <v>0.38548623373228302</v>
      </c>
      <c r="H4605">
        <v>0.13093613596266801</v>
      </c>
      <c r="I4605">
        <v>9.0784335757060505E-2</v>
      </c>
      <c r="J4605">
        <v>9.4051868817674897E-2</v>
      </c>
      <c r="K4605">
        <v>9.9356501766561994E-2</v>
      </c>
      <c r="L4605">
        <v>1100.32860078873</v>
      </c>
      <c r="M4605">
        <v>21.294282690380701</v>
      </c>
      <c r="N4605">
        <v>52.045892579649902</v>
      </c>
      <c r="O4605">
        <v>51.223259932089398</v>
      </c>
      <c r="P4605">
        <v>-9.6569083953298607E-2</v>
      </c>
      <c r="Q4605">
        <v>7.0838365859444405E-2</v>
      </c>
      <c r="R4605">
        <v>0.99483762931525399</v>
      </c>
      <c r="S4605" t="s">
        <v>11007</v>
      </c>
      <c r="T4605" t="s">
        <v>12802</v>
      </c>
      <c r="U4605" t="s">
        <v>12802</v>
      </c>
      <c r="V4605" t="s">
        <v>12802</v>
      </c>
      <c r="W4605" t="s">
        <v>17347</v>
      </c>
      <c r="X4605">
        <v>17</v>
      </c>
      <c r="Y4605" t="s">
        <v>23566</v>
      </c>
      <c r="Z4605" t="s">
        <v>29923</v>
      </c>
      <c r="AA4605">
        <v>0.5361651228758415</v>
      </c>
      <c r="AB4605" t="str">
        <f>HYPERLINK("Melting_Curves/meltCurve_Q8TEA1_NSUN6.pdf", "Melting_Curves/meltCurve_Q8TEA1_NSUN6.pdf")</f>
        <v>Melting_Curves/meltCurve_Q8TEA1_NSUN6.pdf</v>
      </c>
    </row>
    <row r="4606" spans="1:28" x14ac:dyDescent="0.25">
      <c r="A4606" t="s">
        <v>4610</v>
      </c>
      <c r="B4606">
        <v>0.99542014353169495</v>
      </c>
      <c r="C4606">
        <v>1.0544659087604</v>
      </c>
      <c r="D4606">
        <v>0.90898135671851998</v>
      </c>
      <c r="E4606">
        <v>1.04193414848773</v>
      </c>
      <c r="F4606">
        <v>0.86909435025067505</v>
      </c>
      <c r="G4606">
        <v>0.80290713174916695</v>
      </c>
      <c r="H4606">
        <v>0.56545863993995005</v>
      </c>
      <c r="I4606">
        <v>0.59132283650890505</v>
      </c>
      <c r="J4606">
        <v>0.82700030408432501</v>
      </c>
      <c r="K4606">
        <v>0.90544346986925395</v>
      </c>
      <c r="L4606">
        <v>2191.9616485956699</v>
      </c>
      <c r="M4606">
        <v>43.419182877334201</v>
      </c>
      <c r="O4606">
        <v>50.376972709830497</v>
      </c>
      <c r="P4606">
        <v>-5.74829135859041E-2</v>
      </c>
      <c r="Q4606">
        <v>0.73322288076956099</v>
      </c>
      <c r="R4606">
        <v>0.59589694977019103</v>
      </c>
      <c r="S4606" t="s">
        <v>11008</v>
      </c>
      <c r="T4606" t="s">
        <v>12802</v>
      </c>
      <c r="U4606" t="s">
        <v>12802</v>
      </c>
      <c r="V4606" t="s">
        <v>12802</v>
      </c>
      <c r="W4606" t="s">
        <v>17348</v>
      </c>
      <c r="X4606">
        <v>4</v>
      </c>
      <c r="Y4606" t="s">
        <v>23567</v>
      </c>
      <c r="Z4606" t="s">
        <v>29924</v>
      </c>
      <c r="AA4606">
        <v>0.85391659023317823</v>
      </c>
      <c r="AB4606" t="str">
        <f>HYPERLINK("Melting_Curves/meltCurve_Q8TEA8_DTD1.pdf", "Melting_Curves/meltCurve_Q8TEA8_DTD1.pdf")</f>
        <v>Melting_Curves/meltCurve_Q8TEA8_DTD1.pdf</v>
      </c>
    </row>
    <row r="4607" spans="1:28" x14ac:dyDescent="0.25">
      <c r="A4607" t="s">
        <v>4611</v>
      </c>
      <c r="B4607">
        <v>0.99542014353169495</v>
      </c>
      <c r="C4607">
        <v>0.83883969276770198</v>
      </c>
      <c r="D4607">
        <v>0.89831481358176601</v>
      </c>
      <c r="E4607">
        <v>0.666922634575983</v>
      </c>
      <c r="F4607">
        <v>0.47449187676981602</v>
      </c>
      <c r="G4607">
        <v>0.24934644375274501</v>
      </c>
      <c r="H4607">
        <v>0.164524109917359</v>
      </c>
      <c r="I4607">
        <v>9.2429045764424594E-2</v>
      </c>
      <c r="J4607">
        <v>0.166653062605985</v>
      </c>
      <c r="K4607">
        <v>0.11896997978389</v>
      </c>
      <c r="L4607">
        <v>646.01472144471597</v>
      </c>
      <c r="M4607">
        <v>13.303110603104299</v>
      </c>
      <c r="N4607">
        <v>49.211638562840903</v>
      </c>
      <c r="O4607">
        <v>47.503213542442197</v>
      </c>
      <c r="P4607">
        <v>-6.4377567412987696E-2</v>
      </c>
      <c r="Q4607">
        <v>8.0621786802339293E-2</v>
      </c>
      <c r="R4607">
        <v>0.98109782625151498</v>
      </c>
      <c r="S4607" t="s">
        <v>11009</v>
      </c>
      <c r="T4607" t="s">
        <v>12802</v>
      </c>
      <c r="U4607" t="s">
        <v>12802</v>
      </c>
      <c r="V4607" t="s">
        <v>12802</v>
      </c>
      <c r="W4607" t="s">
        <v>17349</v>
      </c>
      <c r="X4607">
        <v>5</v>
      </c>
      <c r="Y4607" t="s">
        <v>23568</v>
      </c>
      <c r="Z4607" t="s">
        <v>29925</v>
      </c>
      <c r="AA4607">
        <v>0.45903364656266749</v>
      </c>
      <c r="AB4607" t="str">
        <f>HYPERLINK("Melting_Curves/meltCurve_Q8TEB1_2_DCAF11.pdf", "Melting_Curves/meltCurve_Q8TEB1_2_DCAF11.pdf")</f>
        <v>Melting_Curves/meltCurve_Q8TEB1_2_DCAF11.pdf</v>
      </c>
    </row>
    <row r="4608" spans="1:28" x14ac:dyDescent="0.25">
      <c r="A4608" t="s">
        <v>4612</v>
      </c>
      <c r="B4608">
        <v>0.99542014353169495</v>
      </c>
      <c r="C4608">
        <v>0.94564533772556103</v>
      </c>
      <c r="D4608">
        <v>0.97085848053106205</v>
      </c>
      <c r="E4608">
        <v>0.79295591331928905</v>
      </c>
      <c r="F4608">
        <v>0.47799587375115599</v>
      </c>
      <c r="G4608">
        <v>0.25501513945126603</v>
      </c>
      <c r="H4608">
        <v>0.14463342606379201</v>
      </c>
      <c r="I4608">
        <v>8.3389523732708803E-2</v>
      </c>
      <c r="J4608">
        <v>0.103420066263417</v>
      </c>
      <c r="K4608">
        <v>8.1664188811009494E-2</v>
      </c>
      <c r="L4608">
        <v>947.03050854769504</v>
      </c>
      <c r="M4608">
        <v>19.095132779339401</v>
      </c>
      <c r="N4608">
        <v>50.034931260509097</v>
      </c>
      <c r="O4608">
        <v>49.061080729372499</v>
      </c>
      <c r="P4608">
        <v>-8.9793111232907494E-2</v>
      </c>
      <c r="Q4608">
        <v>7.7215543648517002E-2</v>
      </c>
      <c r="R4608">
        <v>0.99784295985059301</v>
      </c>
      <c r="S4608" t="s">
        <v>11010</v>
      </c>
      <c r="T4608" t="s">
        <v>12802</v>
      </c>
      <c r="U4608" t="s">
        <v>12802</v>
      </c>
      <c r="V4608" t="s">
        <v>12802</v>
      </c>
      <c r="W4608" t="s">
        <v>17350</v>
      </c>
      <c r="X4608">
        <v>3</v>
      </c>
      <c r="Y4608" t="s">
        <v>23569</v>
      </c>
      <c r="Z4608" t="s">
        <v>29926</v>
      </c>
      <c r="AA4608">
        <v>0.47783725036671332</v>
      </c>
      <c r="AB4608" t="str">
        <f>HYPERLINK("Melting_Curves/meltCurve_Q8TEH3_DENND1A.pdf", "Melting_Curves/meltCurve_Q8TEH3_DENND1A.pdf")</f>
        <v>Melting_Curves/meltCurve_Q8TEH3_DENND1A.pdf</v>
      </c>
    </row>
    <row r="4609" spans="1:28" x14ac:dyDescent="0.25">
      <c r="A4609" t="s">
        <v>4613</v>
      </c>
      <c r="B4609">
        <v>0.99542014353169495</v>
      </c>
      <c r="C4609">
        <v>0.71912460421730795</v>
      </c>
      <c r="D4609">
        <v>0.735112469133401</v>
      </c>
      <c r="E4609">
        <v>0.58029826162762899</v>
      </c>
      <c r="F4609">
        <v>0.44076844387437197</v>
      </c>
      <c r="G4609">
        <v>0.17250154872335999</v>
      </c>
      <c r="H4609">
        <v>8.49586181255996E-2</v>
      </c>
      <c r="I4609">
        <v>5.42796065144329E-2</v>
      </c>
      <c r="J4609">
        <v>5.5928880029617399E-2</v>
      </c>
      <c r="K4609">
        <v>5.0805276785710299E-2</v>
      </c>
      <c r="L4609">
        <v>476.08805833500003</v>
      </c>
      <c r="M4609">
        <v>10.089942195287</v>
      </c>
      <c r="N4609">
        <v>47.184418810548898</v>
      </c>
      <c r="O4609">
        <v>45.443464335775801</v>
      </c>
      <c r="P4609">
        <v>-5.55343058947316E-2</v>
      </c>
      <c r="Q4609">
        <v>0</v>
      </c>
      <c r="R4609">
        <v>0.96284141677788904</v>
      </c>
      <c r="S4609" t="s">
        <v>11011</v>
      </c>
      <c r="T4609" t="s">
        <v>12802</v>
      </c>
      <c r="U4609" t="s">
        <v>12802</v>
      </c>
      <c r="V4609" t="s">
        <v>12802</v>
      </c>
      <c r="W4609" t="s">
        <v>17351</v>
      </c>
      <c r="X4609">
        <v>21</v>
      </c>
      <c r="Y4609" t="s">
        <v>23570</v>
      </c>
      <c r="Z4609" t="s">
        <v>29927</v>
      </c>
      <c r="AA4609">
        <v>0.38155784172182938</v>
      </c>
      <c r="AB4609" t="str">
        <f>HYPERLINK("Melting_Curves/meltCurve_Q8TEM1_NUP210.pdf", "Melting_Curves/meltCurve_Q8TEM1_NUP210.pdf")</f>
        <v>Melting_Curves/meltCurve_Q8TEM1_NUP210.pdf</v>
      </c>
    </row>
    <row r="4610" spans="1:28" x14ac:dyDescent="0.25">
      <c r="A4610" t="s">
        <v>4614</v>
      </c>
      <c r="B4610">
        <v>0.99542014353169495</v>
      </c>
      <c r="C4610">
        <v>0.89167405722568605</v>
      </c>
      <c r="D4610">
        <v>0.97404958900668104</v>
      </c>
      <c r="E4610">
        <v>0.70114832646519398</v>
      </c>
      <c r="F4610">
        <v>0.27920408962229298</v>
      </c>
      <c r="G4610">
        <v>9.9723121052747304E-2</v>
      </c>
      <c r="H4610">
        <v>5.2049099889469597E-2</v>
      </c>
      <c r="I4610">
        <v>4.2966724360634603E-2</v>
      </c>
      <c r="J4610">
        <v>3.89232306412612E-2</v>
      </c>
      <c r="K4610">
        <v>4.5527772481733501E-2</v>
      </c>
      <c r="L4610">
        <v>1227.2382254383001</v>
      </c>
      <c r="M4610">
        <v>25.539581211808699</v>
      </c>
      <c r="N4610">
        <v>48.208217506868102</v>
      </c>
      <c r="O4610">
        <v>47.760701051564098</v>
      </c>
      <c r="P4610">
        <v>-0.128391281027954</v>
      </c>
      <c r="Q4610">
        <v>3.9611216765102798E-2</v>
      </c>
      <c r="R4610">
        <v>0.99317726515061699</v>
      </c>
      <c r="S4610" t="s">
        <v>11012</v>
      </c>
      <c r="T4610" t="s">
        <v>12802</v>
      </c>
      <c r="U4610" t="s">
        <v>12802</v>
      </c>
      <c r="V4610" t="s">
        <v>12802</v>
      </c>
      <c r="W4610" t="s">
        <v>17352</v>
      </c>
      <c r="X4610">
        <v>30</v>
      </c>
      <c r="Y4610" t="s">
        <v>23571</v>
      </c>
      <c r="Z4610" t="s">
        <v>29928</v>
      </c>
      <c r="AA4610">
        <v>0.40128271830822893</v>
      </c>
      <c r="AB4610" t="str">
        <f>HYPERLINK("Melting_Curves/meltCurve_Q8TEQ6_GEMIN5.pdf", "Melting_Curves/meltCurve_Q8TEQ6_GEMIN5.pdf")</f>
        <v>Melting_Curves/meltCurve_Q8TEQ6_GEMIN5.pdf</v>
      </c>
    </row>
    <row r="4611" spans="1:28" x14ac:dyDescent="0.25">
      <c r="A4611" t="s">
        <v>4615</v>
      </c>
      <c r="B4611">
        <v>0.99542014353169495</v>
      </c>
      <c r="C4611">
        <v>0.95236182319468399</v>
      </c>
      <c r="D4611">
        <v>0.834377024672737</v>
      </c>
      <c r="E4611">
        <v>0.51983416926868997</v>
      </c>
      <c r="F4611">
        <v>0.18483965362781499</v>
      </c>
      <c r="G4611">
        <v>9.5045371845660004E-2</v>
      </c>
      <c r="H4611">
        <v>5.5689682925937803E-2</v>
      </c>
      <c r="I4611">
        <v>3.9104211538090801E-2</v>
      </c>
      <c r="J4611">
        <v>4.1100931732575299E-2</v>
      </c>
      <c r="K4611">
        <v>4.21859330148283E-2</v>
      </c>
      <c r="L4611">
        <v>952.27377066934002</v>
      </c>
      <c r="M4611">
        <v>20.5029391809245</v>
      </c>
      <c r="N4611">
        <v>46.611866906727101</v>
      </c>
      <c r="O4611">
        <v>46.0106732061885</v>
      </c>
      <c r="P4611">
        <v>-0.107480785671485</v>
      </c>
      <c r="Q4611">
        <v>3.5237793328915697E-2</v>
      </c>
      <c r="R4611">
        <v>0.99919835819792802</v>
      </c>
      <c r="S4611" t="s">
        <v>11013</v>
      </c>
      <c r="T4611" t="s">
        <v>12802</v>
      </c>
      <c r="U4611" t="s">
        <v>12802</v>
      </c>
      <c r="V4611" t="s">
        <v>12802</v>
      </c>
      <c r="W4611" t="s">
        <v>17353</v>
      </c>
      <c r="X4611">
        <v>22</v>
      </c>
      <c r="Y4611" t="s">
        <v>23572</v>
      </c>
      <c r="Z4611" t="s">
        <v>29929</v>
      </c>
      <c r="AA4611">
        <v>0.35100333691116498</v>
      </c>
      <c r="AB4611" t="str">
        <f>HYPERLINK("Melting_Curves/meltCurve_Q8TEX9_IPO4.pdf", "Melting_Curves/meltCurve_Q8TEX9_IPO4.pdf")</f>
        <v>Melting_Curves/meltCurve_Q8TEX9_IPO4.pdf</v>
      </c>
    </row>
    <row r="4612" spans="1:28" x14ac:dyDescent="0.25">
      <c r="A4612" t="s">
        <v>4616</v>
      </c>
      <c r="B4612">
        <v>0.99542014353169495</v>
      </c>
      <c r="C4612">
        <v>0.85867701601559698</v>
      </c>
      <c r="D4612">
        <v>0.847366128475181</v>
      </c>
      <c r="E4612">
        <v>0.42415344199953098</v>
      </c>
      <c r="F4612">
        <v>0.14023518732426299</v>
      </c>
      <c r="G4612">
        <v>7.1589242462280198E-2</v>
      </c>
      <c r="H4612">
        <v>5.2842102185826099E-2</v>
      </c>
      <c r="I4612">
        <v>4.7907201218580803E-2</v>
      </c>
      <c r="J4612">
        <v>2.5928048280538199E-2</v>
      </c>
      <c r="K4612">
        <v>0</v>
      </c>
      <c r="L4612">
        <v>955.80643740807</v>
      </c>
      <c r="M4612">
        <v>20.8521771073897</v>
      </c>
      <c r="N4612">
        <v>45.941801789988503</v>
      </c>
      <c r="O4612">
        <v>45.421946947533002</v>
      </c>
      <c r="P4612">
        <v>-0.112112860556506</v>
      </c>
      <c r="Q4612">
        <v>2.3173098653147699E-2</v>
      </c>
      <c r="R4612">
        <v>0.99072970158504703</v>
      </c>
      <c r="S4612" t="s">
        <v>11014</v>
      </c>
      <c r="T4612" t="s">
        <v>12802</v>
      </c>
      <c r="U4612" t="s">
        <v>12802</v>
      </c>
      <c r="V4612" t="s">
        <v>12802</v>
      </c>
      <c r="W4612" t="s">
        <v>17354</v>
      </c>
      <c r="X4612">
        <v>1</v>
      </c>
      <c r="Y4612" t="s">
        <v>23573</v>
      </c>
      <c r="Z4612" t="s">
        <v>29930</v>
      </c>
      <c r="AA4612">
        <v>0.32265107331806547</v>
      </c>
      <c r="AB4612" t="str">
        <f>HYPERLINK("Melting_Curves/meltCurve_Q8TEY7_3_USP33.pdf", "Melting_Curves/meltCurve_Q8TEY7_3_USP33.pdf")</f>
        <v>Melting_Curves/meltCurve_Q8TEY7_3_USP33.pdf</v>
      </c>
    </row>
    <row r="4613" spans="1:28" x14ac:dyDescent="0.25">
      <c r="A4613" t="s">
        <v>4617</v>
      </c>
      <c r="B4613">
        <v>0.99542014353169495</v>
      </c>
      <c r="C4613">
        <v>1.0103366014286299</v>
      </c>
      <c r="D4613">
        <v>0.99682154360483599</v>
      </c>
      <c r="E4613">
        <v>0.90892810052948103</v>
      </c>
      <c r="F4613">
        <v>0.73956611663096194</v>
      </c>
      <c r="G4613">
        <v>0.53599618586633002</v>
      </c>
      <c r="H4613">
        <v>0.391582326871037</v>
      </c>
      <c r="I4613">
        <v>0.38367256461419402</v>
      </c>
      <c r="J4613">
        <v>0.57575734421271596</v>
      </c>
      <c r="K4613">
        <v>0.59403001322591498</v>
      </c>
      <c r="L4613">
        <v>1519.9012206964601</v>
      </c>
      <c r="M4613">
        <v>30.478190063794301</v>
      </c>
      <c r="N4613">
        <v>56.482330145493002</v>
      </c>
      <c r="O4613">
        <v>49.655278303739202</v>
      </c>
      <c r="P4613">
        <v>-7.8887602213984595E-2</v>
      </c>
      <c r="Q4613">
        <v>0.48590623812288097</v>
      </c>
      <c r="R4613">
        <v>0.92340672526350798</v>
      </c>
      <c r="S4613" t="s">
        <v>11015</v>
      </c>
      <c r="T4613" t="s">
        <v>12802</v>
      </c>
      <c r="U4613" t="s">
        <v>12802</v>
      </c>
      <c r="V4613" t="s">
        <v>12802</v>
      </c>
      <c r="W4613" t="s">
        <v>17355</v>
      </c>
      <c r="X4613">
        <v>18</v>
      </c>
      <c r="Y4613" t="s">
        <v>23574</v>
      </c>
      <c r="Z4613" t="s">
        <v>29931</v>
      </c>
      <c r="AA4613">
        <v>0.70947706370798602</v>
      </c>
      <c r="AB4613" t="str">
        <f>HYPERLINK("Melting_Curves/meltCurve_Q8TF01_PNISR.pdf", "Melting_Curves/meltCurve_Q8TF01_PNISR.pdf")</f>
        <v>Melting_Curves/meltCurve_Q8TF01_PNISR.pdf</v>
      </c>
    </row>
    <row r="4614" spans="1:28" x14ac:dyDescent="0.25">
      <c r="A4614" t="s">
        <v>4618</v>
      </c>
      <c r="B4614">
        <v>0.99542014353169495</v>
      </c>
      <c r="C4614">
        <v>0.98446559160756597</v>
      </c>
      <c r="D4614">
        <v>0.98328866498958001</v>
      </c>
      <c r="E4614">
        <v>0.79696286786302095</v>
      </c>
      <c r="F4614">
        <v>0.27389140154215702</v>
      </c>
      <c r="G4614">
        <v>9.2450822585269002E-2</v>
      </c>
      <c r="H4614">
        <v>5.5741125764048001E-2</v>
      </c>
      <c r="I4614">
        <v>3.6982998321808E-2</v>
      </c>
      <c r="J4614">
        <v>3.7970855613775098E-2</v>
      </c>
      <c r="K4614">
        <v>3.9675365942290299E-2</v>
      </c>
      <c r="L4614">
        <v>1564.0773083182401</v>
      </c>
      <c r="M4614">
        <v>32.271072431819</v>
      </c>
      <c r="N4614">
        <v>48.601232959040303</v>
      </c>
      <c r="O4614">
        <v>48.2818793047824</v>
      </c>
      <c r="P4614">
        <v>-0.159966845397636</v>
      </c>
      <c r="Q4614">
        <v>4.2676717053185799E-2</v>
      </c>
      <c r="R4614">
        <v>0.99969371485033498</v>
      </c>
      <c r="S4614" t="s">
        <v>11016</v>
      </c>
      <c r="T4614" t="s">
        <v>12802</v>
      </c>
      <c r="U4614" t="s">
        <v>12802</v>
      </c>
      <c r="V4614" t="s">
        <v>12802</v>
      </c>
      <c r="W4614" t="s">
        <v>17356</v>
      </c>
      <c r="X4614">
        <v>24</v>
      </c>
      <c r="Y4614" t="s">
        <v>23575</v>
      </c>
      <c r="Z4614" t="s">
        <v>29932</v>
      </c>
      <c r="AA4614">
        <v>0.41353338607108497</v>
      </c>
      <c r="AB4614" t="str">
        <f>HYPERLINK("Melting_Curves/meltCurve_Q8TF05_2_PPP4R1.pdf", "Melting_Curves/meltCurve_Q8TF05_2_PPP4R1.pdf")</f>
        <v>Melting_Curves/meltCurve_Q8TF05_2_PPP4R1.pdf</v>
      </c>
    </row>
    <row r="4615" spans="1:28" x14ac:dyDescent="0.25">
      <c r="A4615" t="s">
        <v>4619</v>
      </c>
      <c r="B4615">
        <v>0.99542014353169495</v>
      </c>
      <c r="C4615">
        <v>0.80857704705102695</v>
      </c>
      <c r="D4615">
        <v>0.82560293863402201</v>
      </c>
      <c r="E4615">
        <v>0.39434804413079699</v>
      </c>
      <c r="F4615">
        <v>0.16084590785739</v>
      </c>
      <c r="G4615">
        <v>6.8667728242489207E-2</v>
      </c>
      <c r="H4615">
        <v>4.2705131288927702E-2</v>
      </c>
      <c r="I4615">
        <v>2.6426071117467E-2</v>
      </c>
      <c r="J4615">
        <v>2.6827431161437799E-2</v>
      </c>
      <c r="K4615">
        <v>1.6938908694700199E-2</v>
      </c>
      <c r="L4615">
        <v>816.64891719973298</v>
      </c>
      <c r="M4615">
        <v>17.908636208859001</v>
      </c>
      <c r="N4615">
        <v>45.6694259986091</v>
      </c>
      <c r="O4615">
        <v>45.043654242741901</v>
      </c>
      <c r="P4615">
        <v>-9.8082181401165494E-2</v>
      </c>
      <c r="Q4615">
        <v>1.3267628250069601E-2</v>
      </c>
      <c r="R4615">
        <v>0.98487005375566194</v>
      </c>
      <c r="S4615" t="s">
        <v>11017</v>
      </c>
      <c r="T4615" t="s">
        <v>12802</v>
      </c>
      <c r="U4615" t="s">
        <v>12802</v>
      </c>
      <c r="V4615" t="s">
        <v>12802</v>
      </c>
      <c r="W4615" t="s">
        <v>17357</v>
      </c>
      <c r="X4615">
        <v>2</v>
      </c>
      <c r="Y4615" t="s">
        <v>23576</v>
      </c>
      <c r="Z4615" t="s">
        <v>29933</v>
      </c>
      <c r="AA4615">
        <v>0.31234292226555521</v>
      </c>
      <c r="AB4615" t="str">
        <f>HYPERLINK("Melting_Curves/meltCurve_Q8TF46_2_DIS3L.pdf", "Melting_Curves/meltCurve_Q8TF46_2_DIS3L.pdf")</f>
        <v>Melting_Curves/meltCurve_Q8TF46_2_DIS3L.pdf</v>
      </c>
    </row>
    <row r="4616" spans="1:28" x14ac:dyDescent="0.25">
      <c r="A4616" t="s">
        <v>4620</v>
      </c>
      <c r="B4616">
        <v>0.99542014353169495</v>
      </c>
      <c r="C4616">
        <v>1.0981370030178801</v>
      </c>
      <c r="D4616">
        <v>0.94933886119826205</v>
      </c>
      <c r="E4616">
        <v>0.62385960120151496</v>
      </c>
      <c r="F4616">
        <v>0.20286945340715401</v>
      </c>
      <c r="G4616">
        <v>0.108692255895077</v>
      </c>
      <c r="H4616">
        <v>5.3667608021765699E-2</v>
      </c>
      <c r="I4616">
        <v>3.1014886240652101E-2</v>
      </c>
      <c r="J4616">
        <v>3.1430148610684598E-2</v>
      </c>
      <c r="K4616">
        <v>9.5433136779567801E-2</v>
      </c>
      <c r="L4616">
        <v>1378.76743019797</v>
      </c>
      <c r="M4616">
        <v>29.159497625172499</v>
      </c>
      <c r="N4616">
        <v>47.4799231461012</v>
      </c>
      <c r="O4616">
        <v>47.062913259373701</v>
      </c>
      <c r="P4616">
        <v>-0.1461024443908</v>
      </c>
      <c r="Q4616">
        <v>5.6779347914173203E-2</v>
      </c>
      <c r="R4616">
        <v>0.99215718138236997</v>
      </c>
      <c r="S4616" t="s">
        <v>11018</v>
      </c>
      <c r="T4616" t="s">
        <v>12802</v>
      </c>
      <c r="U4616" t="s">
        <v>12802</v>
      </c>
      <c r="V4616" t="s">
        <v>12802</v>
      </c>
      <c r="W4616" t="s">
        <v>17358</v>
      </c>
      <c r="X4616">
        <v>2</v>
      </c>
      <c r="Y4616" t="s">
        <v>23577</v>
      </c>
      <c r="Z4616" t="s">
        <v>29934</v>
      </c>
      <c r="AA4616">
        <v>0.38594107095818653</v>
      </c>
      <c r="AB4616" t="str">
        <f>HYPERLINK("Melting_Curves/meltCurve_Q8TF64_GIPC3.pdf", "Melting_Curves/meltCurve_Q8TF64_GIPC3.pdf")</f>
        <v>Melting_Curves/meltCurve_Q8TF64_GIPC3.pdf</v>
      </c>
    </row>
    <row r="4617" spans="1:28" x14ac:dyDescent="0.25">
      <c r="A4617" t="s">
        <v>4621</v>
      </c>
      <c r="B4617">
        <v>0.99542014353169495</v>
      </c>
      <c r="C4617">
        <v>0.93056651637056198</v>
      </c>
      <c r="D4617">
        <v>0.96953219452329698</v>
      </c>
      <c r="E4617">
        <v>0.90994554893817303</v>
      </c>
      <c r="F4617">
        <v>0.80440040149879199</v>
      </c>
      <c r="G4617">
        <v>0.645896627259536</v>
      </c>
      <c r="H4617">
        <v>0.54513943994196101</v>
      </c>
      <c r="I4617">
        <v>0.47591835208788802</v>
      </c>
      <c r="J4617">
        <v>0.76017675129893403</v>
      </c>
      <c r="K4617">
        <v>0.93150829289567205</v>
      </c>
      <c r="L4617">
        <v>1455.52125475606</v>
      </c>
      <c r="M4617">
        <v>29.923066599599601</v>
      </c>
      <c r="O4617">
        <v>48.426429840312203</v>
      </c>
      <c r="P4617">
        <v>-5.05555331802542E-2</v>
      </c>
      <c r="Q4617">
        <v>0.67273309772938406</v>
      </c>
      <c r="R4617">
        <v>0.54637764905929598</v>
      </c>
      <c r="S4617" t="s">
        <v>11019</v>
      </c>
      <c r="T4617" t="s">
        <v>12802</v>
      </c>
      <c r="U4617" t="s">
        <v>12802</v>
      </c>
      <c r="V4617" t="s">
        <v>12802</v>
      </c>
      <c r="W4617" t="s">
        <v>17359</v>
      </c>
      <c r="X4617">
        <v>11</v>
      </c>
      <c r="Y4617" t="s">
        <v>23578</v>
      </c>
      <c r="Z4617" t="s">
        <v>29935</v>
      </c>
      <c r="AA4617">
        <v>0.80170715282979332</v>
      </c>
      <c r="AB4617" t="str">
        <f>HYPERLINK("Melting_Curves/meltCurve_Q8TF74_WIPF2.pdf", "Melting_Curves/meltCurve_Q8TF74_WIPF2.pdf")</f>
        <v>Melting_Curves/meltCurve_Q8TF74_WIPF2.pdf</v>
      </c>
    </row>
    <row r="4618" spans="1:28" x14ac:dyDescent="0.25">
      <c r="A4618" t="s">
        <v>4622</v>
      </c>
      <c r="B4618">
        <v>0.99542014353169495</v>
      </c>
      <c r="C4618">
        <v>1.0799574640701799</v>
      </c>
      <c r="D4618">
        <v>0.79873981652338299</v>
      </c>
      <c r="E4618">
        <v>0.533805678312953</v>
      </c>
      <c r="F4618">
        <v>0.35254983659955902</v>
      </c>
      <c r="G4618">
        <v>0.18440328064547701</v>
      </c>
      <c r="H4618">
        <v>0.14285350176273801</v>
      </c>
      <c r="I4618">
        <v>8.2528140877755299E-2</v>
      </c>
      <c r="J4618">
        <v>0.11524534341815899</v>
      </c>
      <c r="K4618">
        <v>6.0049357398700598E-2</v>
      </c>
      <c r="L4618">
        <v>782.14798286540702</v>
      </c>
      <c r="M4618">
        <v>16.672273263959202</v>
      </c>
      <c r="N4618">
        <v>47.440058226562101</v>
      </c>
      <c r="O4618">
        <v>46.253756555189597</v>
      </c>
      <c r="P4618">
        <v>-8.2501454450949196E-2</v>
      </c>
      <c r="Q4618">
        <v>8.4528464303307294E-2</v>
      </c>
      <c r="R4618">
        <v>0.98420300269800098</v>
      </c>
      <c r="S4618" t="s">
        <v>11020</v>
      </c>
      <c r="T4618" t="s">
        <v>12802</v>
      </c>
      <c r="U4618" t="s">
        <v>12802</v>
      </c>
      <c r="V4618" t="s">
        <v>12802</v>
      </c>
      <c r="W4618" t="s">
        <v>17360</v>
      </c>
      <c r="X4618">
        <v>2</v>
      </c>
      <c r="Y4618" t="s">
        <v>23579</v>
      </c>
      <c r="Z4618" t="s">
        <v>29936</v>
      </c>
      <c r="AA4618">
        <v>0.40403621179307903</v>
      </c>
      <c r="AB4618" t="str">
        <f>HYPERLINK("Melting_Curves/meltCurve_Q8WTS1_ABHD5.pdf", "Melting_Curves/meltCurve_Q8WTS1_ABHD5.pdf")</f>
        <v>Melting_Curves/meltCurve_Q8WTS1_ABHD5.pdf</v>
      </c>
    </row>
    <row r="4619" spans="1:28" x14ac:dyDescent="0.25">
      <c r="A4619" t="s">
        <v>4623</v>
      </c>
      <c r="B4619">
        <v>0.99542014353169495</v>
      </c>
      <c r="C4619">
        <v>0.95934309789234895</v>
      </c>
      <c r="D4619">
        <v>0.87053081193258497</v>
      </c>
      <c r="E4619">
        <v>0.38422053106050302</v>
      </c>
      <c r="F4619">
        <v>0.29238171408906199</v>
      </c>
      <c r="G4619">
        <v>0.14155977804955899</v>
      </c>
      <c r="H4619">
        <v>7.6385605946429097E-2</v>
      </c>
      <c r="I4619">
        <v>4.2360762980934399E-2</v>
      </c>
      <c r="J4619">
        <v>3.0912666094595399E-2</v>
      </c>
      <c r="K4619">
        <v>3.4948814617377102E-2</v>
      </c>
      <c r="L4619">
        <v>864.39476579230802</v>
      </c>
      <c r="M4619">
        <v>18.742359218471101</v>
      </c>
      <c r="N4619">
        <v>46.374428000590001</v>
      </c>
      <c r="O4619">
        <v>45.604438514229997</v>
      </c>
      <c r="P4619">
        <v>-9.7725489013429603E-2</v>
      </c>
      <c r="Q4619">
        <v>4.8886433047702502E-2</v>
      </c>
      <c r="R4619">
        <v>0.98592292357587996</v>
      </c>
      <c r="S4619" t="s">
        <v>11021</v>
      </c>
      <c r="T4619" t="s">
        <v>12802</v>
      </c>
      <c r="U4619" t="s">
        <v>12802</v>
      </c>
      <c r="V4619" t="s">
        <v>12802</v>
      </c>
      <c r="W4619" t="s">
        <v>17361</v>
      </c>
      <c r="X4619">
        <v>11</v>
      </c>
      <c r="Y4619" t="s">
        <v>23580</v>
      </c>
      <c r="Z4619" t="s">
        <v>29937</v>
      </c>
      <c r="AA4619">
        <v>0.35218769555278723</v>
      </c>
      <c r="AB4619" t="str">
        <f>HYPERLINK("Melting_Curves/meltCurve_Q8WTW3_COG1.pdf", "Melting_Curves/meltCurve_Q8WTW3_COG1.pdf")</f>
        <v>Melting_Curves/meltCurve_Q8WTW3_COG1.pdf</v>
      </c>
    </row>
    <row r="4620" spans="1:28" x14ac:dyDescent="0.25">
      <c r="A4620" t="s">
        <v>4624</v>
      </c>
      <c r="B4620">
        <v>0.99542014353169495</v>
      </c>
      <c r="C4620">
        <v>0.97180948529959399</v>
      </c>
      <c r="D4620">
        <v>0.98791005763671902</v>
      </c>
      <c r="E4620">
        <v>0.678436439914336</v>
      </c>
      <c r="F4620">
        <v>0.29439151006491399</v>
      </c>
      <c r="G4620">
        <v>0.14546260112920001</v>
      </c>
      <c r="H4620">
        <v>0.11886922428937401</v>
      </c>
      <c r="I4620">
        <v>7.69346908002944E-2</v>
      </c>
      <c r="J4620">
        <v>8.2686725112963003E-2</v>
      </c>
      <c r="K4620">
        <v>8.2850419467591002E-2</v>
      </c>
      <c r="L4620">
        <v>1242.85748370076</v>
      </c>
      <c r="M4620">
        <v>26.0049923770645</v>
      </c>
      <c r="N4620">
        <v>48.153041890567799</v>
      </c>
      <c r="O4620">
        <v>47.513099860768499</v>
      </c>
      <c r="P4620">
        <v>-0.124744026267115</v>
      </c>
      <c r="Q4620">
        <v>8.8343186075800204E-2</v>
      </c>
      <c r="R4620">
        <v>0.998248865733667</v>
      </c>
      <c r="S4620" t="s">
        <v>11022</v>
      </c>
      <c r="T4620" t="s">
        <v>12802</v>
      </c>
      <c r="U4620" t="s">
        <v>12802</v>
      </c>
      <c r="V4620" t="s">
        <v>12802</v>
      </c>
      <c r="W4620" t="s">
        <v>17362</v>
      </c>
      <c r="X4620">
        <v>5</v>
      </c>
      <c r="Y4620" t="s">
        <v>23581</v>
      </c>
      <c r="Z4620" t="s">
        <v>29938</v>
      </c>
      <c r="AA4620">
        <v>0.42348935560293849</v>
      </c>
      <c r="AB4620" t="str">
        <f>HYPERLINK("Melting_Curves/meltCurve_Q8WU40_CAMK2G.pdf", "Melting_Curves/meltCurve_Q8WU40_CAMK2G.pdf")</f>
        <v>Melting_Curves/meltCurve_Q8WU40_CAMK2G.pdf</v>
      </c>
    </row>
    <row r="4621" spans="1:28" x14ac:dyDescent="0.25">
      <c r="A4621" t="s">
        <v>4625</v>
      </c>
      <c r="B4621">
        <v>0.99542014353169495</v>
      </c>
      <c r="C4621">
        <v>0.86764726630419398</v>
      </c>
      <c r="D4621">
        <v>0.89836362227126099</v>
      </c>
      <c r="E4621">
        <v>0.46624673678642498</v>
      </c>
      <c r="F4621">
        <v>0.33663588636810599</v>
      </c>
      <c r="G4621">
        <v>0.17511092933562</v>
      </c>
      <c r="H4621">
        <v>9.8713414065802793E-2</v>
      </c>
      <c r="I4621">
        <v>7.2958238089309096E-2</v>
      </c>
      <c r="J4621">
        <v>8.3662313805794794E-2</v>
      </c>
      <c r="K4621">
        <v>6.9213953766844902E-2</v>
      </c>
      <c r="L4621">
        <v>741.15461414731499</v>
      </c>
      <c r="M4621">
        <v>15.8743719736151</v>
      </c>
      <c r="N4621">
        <v>47.092186940900802</v>
      </c>
      <c r="O4621">
        <v>45.9666750427387</v>
      </c>
      <c r="P4621">
        <v>-8.0853909958547202E-2</v>
      </c>
      <c r="Q4621">
        <v>6.3576234292225003E-2</v>
      </c>
      <c r="R4621">
        <v>0.98380020124546796</v>
      </c>
      <c r="S4621" t="s">
        <v>11023</v>
      </c>
      <c r="T4621" t="s">
        <v>12802</v>
      </c>
      <c r="U4621" t="s">
        <v>12802</v>
      </c>
      <c r="V4621" t="s">
        <v>12802</v>
      </c>
      <c r="W4621" t="s">
        <v>17363</v>
      </c>
      <c r="X4621">
        <v>6</v>
      </c>
      <c r="Y4621" t="s">
        <v>23582</v>
      </c>
      <c r="Z4621" t="s">
        <v>29939</v>
      </c>
      <c r="AA4621">
        <v>0.38512607857239861</v>
      </c>
      <c r="AB4621" t="str">
        <f>HYPERLINK("Melting_Curves/meltCurve_Q8WU76_2_SCFD2.pdf", "Melting_Curves/meltCurve_Q8WU76_2_SCFD2.pdf")</f>
        <v>Melting_Curves/meltCurve_Q8WU76_2_SCFD2.pdf</v>
      </c>
    </row>
    <row r="4622" spans="1:28" x14ac:dyDescent="0.25">
      <c r="A4622" t="s">
        <v>4626</v>
      </c>
      <c r="B4622">
        <v>0.99542014353169495</v>
      </c>
      <c r="C4622">
        <v>1.0109478324121399</v>
      </c>
      <c r="D4622">
        <v>0.88910800504495502</v>
      </c>
      <c r="E4622">
        <v>0.67055169751544297</v>
      </c>
      <c r="F4622">
        <v>0.230739894472233</v>
      </c>
      <c r="G4622">
        <v>0.117275738724177</v>
      </c>
      <c r="H4622">
        <v>8.0722262585815996E-2</v>
      </c>
      <c r="I4622">
        <v>5.7392877209882301E-2</v>
      </c>
      <c r="J4622">
        <v>6.2123449850955997E-2</v>
      </c>
      <c r="K4622">
        <v>6.7008840918690804E-2</v>
      </c>
      <c r="L4622">
        <v>1190.8700314621599</v>
      </c>
      <c r="M4622">
        <v>25.065722743044301</v>
      </c>
      <c r="N4622">
        <v>47.758732357444103</v>
      </c>
      <c r="O4622">
        <v>47.2106030057246</v>
      </c>
      <c r="P4622">
        <v>-0.124610066359663</v>
      </c>
      <c r="Q4622">
        <v>6.1213913516632697E-2</v>
      </c>
      <c r="R4622">
        <v>0.99735194452115605</v>
      </c>
      <c r="S4622" t="s">
        <v>11024</v>
      </c>
      <c r="T4622" t="s">
        <v>12802</v>
      </c>
      <c r="U4622" t="s">
        <v>12802</v>
      </c>
      <c r="V4622" t="s">
        <v>12802</v>
      </c>
      <c r="W4622" t="s">
        <v>17364</v>
      </c>
      <c r="X4622">
        <v>12</v>
      </c>
      <c r="Y4622" t="s">
        <v>23583</v>
      </c>
      <c r="Z4622" t="s">
        <v>29940</v>
      </c>
      <c r="AA4622">
        <v>0.39800035633342101</v>
      </c>
      <c r="AB4622" t="str">
        <f>HYPERLINK("Melting_Curves/meltCurve_Q8WU79_SMAP2.pdf", "Melting_Curves/meltCurve_Q8WU79_SMAP2.pdf")</f>
        <v>Melting_Curves/meltCurve_Q8WU79_SMAP2.pdf</v>
      </c>
    </row>
    <row r="4623" spans="1:28" x14ac:dyDescent="0.25">
      <c r="A4623" t="s">
        <v>4627</v>
      </c>
      <c r="B4623">
        <v>0.99542014353169495</v>
      </c>
      <c r="C4623">
        <v>1.002595520668</v>
      </c>
      <c r="D4623">
        <v>1.00400403362524</v>
      </c>
      <c r="E4623">
        <v>0.91352906698320302</v>
      </c>
      <c r="F4623">
        <v>0.70527885561457604</v>
      </c>
      <c r="G4623">
        <v>0.50941783798351503</v>
      </c>
      <c r="H4623">
        <v>0.29304849530917698</v>
      </c>
      <c r="I4623">
        <v>0.158869855353172</v>
      </c>
      <c r="J4623">
        <v>0.181924327370802</v>
      </c>
      <c r="K4623">
        <v>0.22944271744594899</v>
      </c>
      <c r="L4623">
        <v>960.50019982684205</v>
      </c>
      <c r="M4623">
        <v>18.394998459879801</v>
      </c>
      <c r="N4623">
        <v>53.364000695410603</v>
      </c>
      <c r="O4623">
        <v>51.609943713428599</v>
      </c>
      <c r="P4623">
        <v>-7.4541674867959901E-2</v>
      </c>
      <c r="Q4623">
        <v>0.16348633692803299</v>
      </c>
      <c r="R4623">
        <v>0.99261475820838796</v>
      </c>
      <c r="S4623" t="s">
        <v>11025</v>
      </c>
      <c r="T4623" t="s">
        <v>12802</v>
      </c>
      <c r="U4623" t="s">
        <v>12802</v>
      </c>
      <c r="V4623" t="s">
        <v>12802</v>
      </c>
      <c r="W4623" t="s">
        <v>17365</v>
      </c>
      <c r="X4623">
        <v>15</v>
      </c>
      <c r="Y4623" t="s">
        <v>23584</v>
      </c>
      <c r="Z4623" t="s">
        <v>29941</v>
      </c>
      <c r="AA4623">
        <v>0.59992624426639363</v>
      </c>
      <c r="AB4623" t="str">
        <f>HYPERLINK("Melting_Curves/meltCurve_Q8WU90_ZC3H15.pdf", "Melting_Curves/meltCurve_Q8WU90_ZC3H15.pdf")</f>
        <v>Melting_Curves/meltCurve_Q8WU90_ZC3H15.pdf</v>
      </c>
    </row>
    <row r="4624" spans="1:28" x14ac:dyDescent="0.25">
      <c r="A4624" t="s">
        <v>4628</v>
      </c>
      <c r="B4624">
        <v>0.99542014353169495</v>
      </c>
      <c r="C4624">
        <v>0.95030331276291002</v>
      </c>
      <c r="D4624">
        <v>0.96756232813617005</v>
      </c>
      <c r="E4624">
        <v>0.74342514985077901</v>
      </c>
      <c r="F4624">
        <v>0.351379877763696</v>
      </c>
      <c r="G4624">
        <v>0.12478828795281</v>
      </c>
      <c r="H4624">
        <v>6.7668244198945807E-2</v>
      </c>
      <c r="I4624">
        <v>5.4133997356621402E-2</v>
      </c>
      <c r="J4624">
        <v>7.0338993417448495E-2</v>
      </c>
      <c r="K4624">
        <v>7.6846383802090204E-2</v>
      </c>
      <c r="L4624">
        <v>1197.6059680742901</v>
      </c>
      <c r="M4624">
        <v>24.695983367775401</v>
      </c>
      <c r="N4624">
        <v>48.741572112808598</v>
      </c>
      <c r="O4624">
        <v>48.179357675347099</v>
      </c>
      <c r="P4624">
        <v>-0.12059355781049599</v>
      </c>
      <c r="Q4624">
        <v>5.8950426343575099E-2</v>
      </c>
      <c r="R4624">
        <v>0.99819921132172795</v>
      </c>
      <c r="S4624" t="s">
        <v>11026</v>
      </c>
      <c r="T4624" t="s">
        <v>12802</v>
      </c>
      <c r="U4624" t="s">
        <v>12802</v>
      </c>
      <c r="V4624" t="s">
        <v>12802</v>
      </c>
      <c r="W4624" t="s">
        <v>17366</v>
      </c>
      <c r="X4624">
        <v>17</v>
      </c>
      <c r="Y4624" t="s">
        <v>23585</v>
      </c>
      <c r="Z4624" t="s">
        <v>29942</v>
      </c>
      <c r="AA4624">
        <v>0.42776861514534092</v>
      </c>
      <c r="AB4624" t="str">
        <f>HYPERLINK("Melting_Curves/meltCurve_Q8WUA2_PPIL4.pdf", "Melting_Curves/meltCurve_Q8WUA2_PPIL4.pdf")</f>
        <v>Melting_Curves/meltCurve_Q8WUA2_PPIL4.pdf</v>
      </c>
    </row>
    <row r="4625" spans="1:28" x14ac:dyDescent="0.25">
      <c r="A4625" t="s">
        <v>4629</v>
      </c>
      <c r="B4625">
        <v>0.99542014353169495</v>
      </c>
      <c r="C4625">
        <v>0.97014974218135996</v>
      </c>
      <c r="D4625">
        <v>0.830407197675606</v>
      </c>
      <c r="E4625">
        <v>0.59567306017940702</v>
      </c>
      <c r="F4625">
        <v>0.454062094670449</v>
      </c>
      <c r="G4625">
        <v>0.234499174620939</v>
      </c>
      <c r="H4625">
        <v>0.119562664076205</v>
      </c>
      <c r="I4625">
        <v>8.7327902752003694E-2</v>
      </c>
      <c r="J4625">
        <v>3.3287407605766699E-2</v>
      </c>
      <c r="K4625">
        <v>7.6621696247288706E-2</v>
      </c>
      <c r="L4625">
        <v>610.80250385845204</v>
      </c>
      <c r="M4625">
        <v>12.580311111744001</v>
      </c>
      <c r="N4625">
        <v>48.674712008446697</v>
      </c>
      <c r="O4625">
        <v>47.374443614564001</v>
      </c>
      <c r="P4625">
        <v>-6.5366654731972507E-2</v>
      </c>
      <c r="Q4625">
        <v>1.55768005706182E-2</v>
      </c>
      <c r="R4625">
        <v>0.99477213422131905</v>
      </c>
      <c r="S4625" t="s">
        <v>11027</v>
      </c>
      <c r="T4625" t="s">
        <v>12802</v>
      </c>
      <c r="U4625" t="s">
        <v>12802</v>
      </c>
      <c r="V4625" t="s">
        <v>12802</v>
      </c>
      <c r="W4625" t="s">
        <v>17367</v>
      </c>
      <c r="X4625">
        <v>1</v>
      </c>
      <c r="Y4625" t="s">
        <v>23586</v>
      </c>
      <c r="Z4625" t="s">
        <v>29943</v>
      </c>
      <c r="AA4625">
        <v>0.42268599734892742</v>
      </c>
      <c r="AB4625" t="str">
        <f>HYPERLINK("Melting_Curves/meltCurve_Q8WUA4_2_GTF3C2.pdf", "Melting_Curves/meltCurve_Q8WUA4_2_GTF3C2.pdf")</f>
        <v>Melting_Curves/meltCurve_Q8WUA4_2_GTF3C2.pdf</v>
      </c>
    </row>
    <row r="4626" spans="1:28" x14ac:dyDescent="0.25">
      <c r="A4626" t="s">
        <v>4630</v>
      </c>
      <c r="B4626">
        <v>0.99542014353169495</v>
      </c>
      <c r="C4626">
        <v>1.0238385318451899</v>
      </c>
      <c r="D4626">
        <v>0.97948779319592105</v>
      </c>
      <c r="E4626">
        <v>0.75879198231695999</v>
      </c>
      <c r="F4626">
        <v>0.51266487733625898</v>
      </c>
      <c r="G4626">
        <v>0.180828367189213</v>
      </c>
      <c r="H4626">
        <v>0.1010109535947</v>
      </c>
      <c r="I4626">
        <v>3.0508215332706302E-2</v>
      </c>
      <c r="J4626">
        <v>4.1273305885691003E-2</v>
      </c>
      <c r="K4626">
        <v>8.8104254997536893E-2</v>
      </c>
      <c r="L4626">
        <v>1001.10904034125</v>
      </c>
      <c r="M4626">
        <v>20.145344945147901</v>
      </c>
      <c r="N4626">
        <v>49.894705049999097</v>
      </c>
      <c r="O4626">
        <v>49.2123946019492</v>
      </c>
      <c r="P4626">
        <v>-9.8365052867162503E-2</v>
      </c>
      <c r="Q4626">
        <v>3.8859217691821803E-2</v>
      </c>
      <c r="R4626">
        <v>0.99489161776805701</v>
      </c>
      <c r="S4626" t="s">
        <v>11028</v>
      </c>
      <c r="T4626" t="s">
        <v>12802</v>
      </c>
      <c r="U4626" t="s">
        <v>12802</v>
      </c>
      <c r="V4626" t="s">
        <v>12802</v>
      </c>
      <c r="W4626" t="s">
        <v>17368</v>
      </c>
      <c r="X4626">
        <v>4</v>
      </c>
      <c r="Y4626" t="s">
        <v>23587</v>
      </c>
      <c r="Z4626" t="s">
        <v>29944</v>
      </c>
      <c r="AA4626">
        <v>0.45806286836372218</v>
      </c>
      <c r="AB4626" t="str">
        <f>HYPERLINK("Melting_Curves/meltCurve_Q8WUB8_3_PHF10.pdf", "Melting_Curves/meltCurve_Q8WUB8_3_PHF10.pdf")</f>
        <v>Melting_Curves/meltCurve_Q8WUB8_3_PHF10.pdf</v>
      </c>
    </row>
    <row r="4627" spans="1:28" x14ac:dyDescent="0.25">
      <c r="A4627" t="s">
        <v>4631</v>
      </c>
      <c r="B4627">
        <v>0.99542014353169495</v>
      </c>
      <c r="C4627">
        <v>1.00602694602859</v>
      </c>
      <c r="D4627">
        <v>1.0029947520214</v>
      </c>
      <c r="E4627">
        <v>0.92914658744940204</v>
      </c>
      <c r="F4627">
        <v>0.88811151010641998</v>
      </c>
      <c r="G4627">
        <v>0.69677597901622901</v>
      </c>
      <c r="H4627">
        <v>0.52373429722744402</v>
      </c>
      <c r="I4627">
        <v>0.479644000247053</v>
      </c>
      <c r="J4627">
        <v>0.639020020407984</v>
      </c>
      <c r="K4627">
        <v>0.54416549540350301</v>
      </c>
      <c r="L4627">
        <v>1504.27501485117</v>
      </c>
      <c r="M4627">
        <v>28.864346239162501</v>
      </c>
      <c r="O4627">
        <v>51.867130118967303</v>
      </c>
      <c r="P4627">
        <v>-6.3791422405312201E-2</v>
      </c>
      <c r="Q4627">
        <v>0.54148949644912103</v>
      </c>
      <c r="R4627">
        <v>0.95248346770835601</v>
      </c>
      <c r="S4627" t="s">
        <v>11029</v>
      </c>
      <c r="T4627" t="s">
        <v>12802</v>
      </c>
      <c r="U4627" t="s">
        <v>12802</v>
      </c>
      <c r="V4627" t="s">
        <v>12802</v>
      </c>
      <c r="W4627" t="s">
        <v>17369</v>
      </c>
      <c r="X4627">
        <v>12</v>
      </c>
      <c r="Y4627" t="s">
        <v>23588</v>
      </c>
      <c r="Z4627" t="s">
        <v>29945</v>
      </c>
      <c r="AA4627">
        <v>0.77562448629632319</v>
      </c>
      <c r="AB4627" t="str">
        <f>HYPERLINK("Melting_Curves/meltCurve_Q8WUD1_RAB2B.pdf", "Melting_Curves/meltCurve_Q8WUD1_RAB2B.pdf")</f>
        <v>Melting_Curves/meltCurve_Q8WUD1_RAB2B.pdf</v>
      </c>
    </row>
    <row r="4628" spans="1:28" x14ac:dyDescent="0.25">
      <c r="A4628" t="s">
        <v>4632</v>
      </c>
      <c r="B4628">
        <v>0.99542014353169495</v>
      </c>
      <c r="C4628">
        <v>0.85515475301565802</v>
      </c>
      <c r="D4628">
        <v>0.88908106998985503</v>
      </c>
      <c r="E4628">
        <v>0.68643970064531801</v>
      </c>
      <c r="F4628">
        <v>0.47238863445836599</v>
      </c>
      <c r="G4628">
        <v>0.188227214696182</v>
      </c>
      <c r="H4628">
        <v>8.2075942551386893E-2</v>
      </c>
      <c r="I4628">
        <v>7.1389645100026003E-2</v>
      </c>
      <c r="J4628">
        <v>3.9436429805180799E-2</v>
      </c>
      <c r="K4628">
        <v>5.82574338948674E-2</v>
      </c>
      <c r="L4628">
        <v>686.01312402893302</v>
      </c>
      <c r="M4628">
        <v>13.9714352062212</v>
      </c>
      <c r="N4628">
        <v>49.119244753034501</v>
      </c>
      <c r="O4628">
        <v>48.128021065831703</v>
      </c>
      <c r="P4628">
        <v>-7.2397212693942406E-2</v>
      </c>
      <c r="Q4628">
        <v>2.5735195884567198E-3</v>
      </c>
      <c r="R4628">
        <v>0.98696772329189297</v>
      </c>
      <c r="S4628" t="s">
        <v>11030</v>
      </c>
      <c r="T4628" t="s">
        <v>12802</v>
      </c>
      <c r="U4628" t="s">
        <v>12802</v>
      </c>
      <c r="V4628" t="s">
        <v>12802</v>
      </c>
      <c r="W4628" t="s">
        <v>17370</v>
      </c>
      <c r="X4628">
        <v>2</v>
      </c>
      <c r="Y4628" t="s">
        <v>23589</v>
      </c>
      <c r="Z4628" t="s">
        <v>29946</v>
      </c>
      <c r="AA4628">
        <v>0.42874573133086741</v>
      </c>
      <c r="AB4628" t="str">
        <f>HYPERLINK("Melting_Curves/meltCurve_Q8WUD6_CHPT1.pdf", "Melting_Curves/meltCurve_Q8WUD6_CHPT1.pdf")</f>
        <v>Melting_Curves/meltCurve_Q8WUD6_CHPT1.pdf</v>
      </c>
    </row>
    <row r="4629" spans="1:28" x14ac:dyDescent="0.25">
      <c r="A4629" t="s">
        <v>4633</v>
      </c>
      <c r="B4629">
        <v>0.99542014353169495</v>
      </c>
      <c r="C4629">
        <v>0.89816206287378597</v>
      </c>
      <c r="D4629">
        <v>0.87128429037949395</v>
      </c>
      <c r="E4629">
        <v>0.47778687234065798</v>
      </c>
      <c r="F4629">
        <v>0.24775670475807701</v>
      </c>
      <c r="G4629">
        <v>0.121896131071784</v>
      </c>
      <c r="H4629">
        <v>7.81174229018467E-2</v>
      </c>
      <c r="I4629">
        <v>5.7926683696373597E-2</v>
      </c>
      <c r="J4629">
        <v>6.3925116526339601E-2</v>
      </c>
      <c r="K4629">
        <v>6.0355439153088802E-2</v>
      </c>
      <c r="L4629">
        <v>884.28842179998401</v>
      </c>
      <c r="M4629">
        <v>19.0792507134354</v>
      </c>
      <c r="N4629">
        <v>46.641345881487901</v>
      </c>
      <c r="O4629">
        <v>45.848021988032102</v>
      </c>
      <c r="P4629">
        <v>-9.8160458138846302E-2</v>
      </c>
      <c r="Q4629">
        <v>5.6506877698477703E-2</v>
      </c>
      <c r="R4629">
        <v>0.99513939898749904</v>
      </c>
      <c r="S4629" t="s">
        <v>11031</v>
      </c>
      <c r="T4629" t="s">
        <v>12802</v>
      </c>
      <c r="U4629" t="s">
        <v>12802</v>
      </c>
      <c r="V4629" t="s">
        <v>12802</v>
      </c>
      <c r="W4629" t="s">
        <v>17371</v>
      </c>
      <c r="X4629">
        <v>3</v>
      </c>
      <c r="Y4629" t="s">
        <v>23590</v>
      </c>
      <c r="Z4629" t="s">
        <v>29947</v>
      </c>
      <c r="AA4629">
        <v>0.3640562462148928</v>
      </c>
      <c r="AB4629" t="str">
        <f>HYPERLINK("Melting_Curves/meltCurve_Q8WUE5_CXorf48.pdf", "Melting_Curves/meltCurve_Q8WUE5_CXorf48.pdf")</f>
        <v>Melting_Curves/meltCurve_Q8WUE5_CXorf48.pdf</v>
      </c>
    </row>
    <row r="4630" spans="1:28" x14ac:dyDescent="0.25">
      <c r="A4630" t="s">
        <v>4634</v>
      </c>
      <c r="B4630">
        <v>0.99542014353169495</v>
      </c>
      <c r="C4630">
        <v>0.97931791342450103</v>
      </c>
      <c r="D4630">
        <v>0.871876584513534</v>
      </c>
      <c r="E4630">
        <v>0.79816860377736198</v>
      </c>
      <c r="F4630">
        <v>0.54045542025938997</v>
      </c>
      <c r="G4630">
        <v>0.32852841682638501</v>
      </c>
      <c r="H4630">
        <v>0.117239058332522</v>
      </c>
      <c r="I4630">
        <v>4.2409919367592003E-2</v>
      </c>
      <c r="J4630">
        <v>2.59780305973915E-2</v>
      </c>
      <c r="K4630">
        <v>3.2792478339404303E-2</v>
      </c>
      <c r="L4630">
        <v>756.04936719466002</v>
      </c>
      <c r="M4630">
        <v>14.9223103507034</v>
      </c>
      <c r="N4630">
        <v>50.665706211678</v>
      </c>
      <c r="O4630">
        <v>49.7819218120001</v>
      </c>
      <c r="P4630">
        <v>-7.4946130370096703E-2</v>
      </c>
      <c r="Q4630">
        <v>0</v>
      </c>
      <c r="R4630">
        <v>0.99510183249225803</v>
      </c>
      <c r="S4630" t="s">
        <v>11032</v>
      </c>
      <c r="T4630" t="s">
        <v>12802</v>
      </c>
      <c r="U4630" t="s">
        <v>12802</v>
      </c>
      <c r="V4630" t="s">
        <v>12802</v>
      </c>
      <c r="W4630" t="s">
        <v>17372</v>
      </c>
      <c r="X4630">
        <v>3</v>
      </c>
      <c r="Y4630" t="s">
        <v>23591</v>
      </c>
      <c r="Z4630" t="s">
        <v>29948</v>
      </c>
      <c r="AA4630">
        <v>0.47607888918447189</v>
      </c>
      <c r="AB4630" t="str">
        <f>HYPERLINK("Melting_Curves/meltCurve_Q8WUH1_CHURC1.pdf", "Melting_Curves/meltCurve_Q8WUH1_CHURC1.pdf")</f>
        <v>Melting_Curves/meltCurve_Q8WUH1_CHURC1.pdf</v>
      </c>
    </row>
    <row r="4631" spans="1:28" x14ac:dyDescent="0.25">
      <c r="A4631" t="s">
        <v>4635</v>
      </c>
      <c r="B4631">
        <v>0.99542014353169495</v>
      </c>
      <c r="C4631">
        <v>0.82682210178109095</v>
      </c>
      <c r="D4631">
        <v>0.84101782867647801</v>
      </c>
      <c r="E4631">
        <v>0.46134216026257802</v>
      </c>
      <c r="F4631">
        <v>0.20170086156213801</v>
      </c>
      <c r="G4631">
        <v>9.2922009465618197E-2</v>
      </c>
      <c r="H4631">
        <v>5.8765430275214699E-2</v>
      </c>
      <c r="I4631">
        <v>5.4266338752662603E-2</v>
      </c>
      <c r="J4631">
        <v>5.7109686992398899E-2</v>
      </c>
      <c r="K4631">
        <v>4.2459673001085801E-2</v>
      </c>
      <c r="L4631">
        <v>813.03603245295199</v>
      </c>
      <c r="M4631">
        <v>17.6708378252324</v>
      </c>
      <c r="N4631">
        <v>46.204972736451197</v>
      </c>
      <c r="O4631">
        <v>45.432944511541102</v>
      </c>
      <c r="P4631">
        <v>-9.3748171359212096E-2</v>
      </c>
      <c r="Q4631">
        <v>3.5919116486958197E-2</v>
      </c>
      <c r="R4631">
        <v>0.98744441902865898</v>
      </c>
      <c r="S4631" t="s">
        <v>11033</v>
      </c>
      <c r="T4631" t="s">
        <v>12802</v>
      </c>
      <c r="U4631" t="s">
        <v>12802</v>
      </c>
      <c r="V4631" t="s">
        <v>12802</v>
      </c>
      <c r="W4631" t="s">
        <v>17373</v>
      </c>
      <c r="X4631">
        <v>5</v>
      </c>
      <c r="Y4631" t="s">
        <v>23592</v>
      </c>
      <c r="Z4631" t="s">
        <v>29949</v>
      </c>
      <c r="AA4631">
        <v>0.34162971400160053</v>
      </c>
      <c r="AB4631" t="str">
        <f>HYPERLINK("Melting_Curves/meltCurve_Q8WUH2_TGFBRAP1.pdf", "Melting_Curves/meltCurve_Q8WUH2_TGFBRAP1.pdf")</f>
        <v>Melting_Curves/meltCurve_Q8WUH2_TGFBRAP1.pdf</v>
      </c>
    </row>
    <row r="4632" spans="1:28" x14ac:dyDescent="0.25">
      <c r="A4632" t="s">
        <v>4636</v>
      </c>
      <c r="B4632">
        <v>0.99542014353169495</v>
      </c>
      <c r="C4632">
        <v>1.0298390605241501</v>
      </c>
      <c r="D4632">
        <v>0.87569593501445997</v>
      </c>
      <c r="E4632">
        <v>0.65917758012142302</v>
      </c>
      <c r="F4632">
        <v>0.27877980661968699</v>
      </c>
      <c r="G4632">
        <v>0.14089658219060799</v>
      </c>
      <c r="H4632">
        <v>8.2753918994049006E-2</v>
      </c>
      <c r="I4632">
        <v>6.4931262551659596E-2</v>
      </c>
      <c r="J4632">
        <v>0.106183822107891</v>
      </c>
      <c r="K4632">
        <v>0.17368823449951401</v>
      </c>
      <c r="L4632">
        <v>1129.37842191287</v>
      </c>
      <c r="M4632">
        <v>23.846109922646502</v>
      </c>
      <c r="N4632">
        <v>47.808452123623901</v>
      </c>
      <c r="O4632">
        <v>47.031823648239097</v>
      </c>
      <c r="P4632">
        <v>-0.11408278619319601</v>
      </c>
      <c r="Q4632">
        <v>9.9990122225405598E-2</v>
      </c>
      <c r="R4632">
        <v>0.99133435515066104</v>
      </c>
      <c r="S4632" t="s">
        <v>11034</v>
      </c>
      <c r="T4632" t="s">
        <v>12802</v>
      </c>
      <c r="U4632" t="s">
        <v>12802</v>
      </c>
      <c r="V4632" t="s">
        <v>12802</v>
      </c>
      <c r="W4632" t="s">
        <v>17374</v>
      </c>
      <c r="X4632">
        <v>3</v>
      </c>
      <c r="Y4632" t="s">
        <v>23593</v>
      </c>
      <c r="Z4632" t="s">
        <v>29950</v>
      </c>
      <c r="AA4632">
        <v>0.41917650779862731</v>
      </c>
      <c r="AB4632" t="str">
        <f>HYPERLINK("Melting_Curves/meltCurve_Q8WUH6_C12orf23.pdf", "Melting_Curves/meltCurve_Q8WUH6_C12orf23.pdf")</f>
        <v>Melting_Curves/meltCurve_Q8WUH6_C12orf23.pdf</v>
      </c>
    </row>
    <row r="4633" spans="1:28" x14ac:dyDescent="0.25">
      <c r="A4633" t="s">
        <v>4637</v>
      </c>
      <c r="B4633">
        <v>0.99542014353169495</v>
      </c>
      <c r="C4633">
        <v>0.97788779830045802</v>
      </c>
      <c r="D4633">
        <v>1.0010025017864399</v>
      </c>
      <c r="E4633">
        <v>0.80221311152539698</v>
      </c>
      <c r="F4633">
        <v>0.67408588666448199</v>
      </c>
      <c r="G4633">
        <v>0.336644903234188</v>
      </c>
      <c r="H4633">
        <v>0.188934573501779</v>
      </c>
      <c r="I4633">
        <v>0.126524338289491</v>
      </c>
      <c r="J4633">
        <v>0.10126816677705</v>
      </c>
      <c r="K4633">
        <v>8.6354411374600204E-2</v>
      </c>
      <c r="L4633">
        <v>874.93553609539094</v>
      </c>
      <c r="M4633">
        <v>17.036144833393301</v>
      </c>
      <c r="N4633">
        <v>51.781515944157803</v>
      </c>
      <c r="O4633">
        <v>50.665623065503802</v>
      </c>
      <c r="P4633">
        <v>-7.8595018993590296E-2</v>
      </c>
      <c r="Q4633">
        <v>6.5088582685085702E-2</v>
      </c>
      <c r="R4633">
        <v>0.99436938800396002</v>
      </c>
      <c r="S4633" t="s">
        <v>11035</v>
      </c>
      <c r="T4633" t="s">
        <v>12802</v>
      </c>
      <c r="U4633" t="s">
        <v>12802</v>
      </c>
      <c r="V4633" t="s">
        <v>12802</v>
      </c>
      <c r="W4633" t="s">
        <v>17375</v>
      </c>
      <c r="X4633">
        <v>12</v>
      </c>
      <c r="Y4633" t="s">
        <v>23594</v>
      </c>
      <c r="Z4633" t="s">
        <v>29951</v>
      </c>
      <c r="AA4633">
        <v>0.52812464797449066</v>
      </c>
      <c r="AB4633" t="str">
        <f>HYPERLINK("Melting_Curves/meltCurve_Q8WUI4_3_HDAC7.pdf", "Melting_Curves/meltCurve_Q8WUI4_3_HDAC7.pdf")</f>
        <v>Melting_Curves/meltCurve_Q8WUI4_3_HDAC7.pdf</v>
      </c>
    </row>
    <row r="4634" spans="1:28" x14ac:dyDescent="0.25">
      <c r="A4634" t="s">
        <v>4638</v>
      </c>
      <c r="B4634">
        <v>0.99542014353169495</v>
      </c>
      <c r="C4634">
        <v>1.0347068288199299</v>
      </c>
      <c r="D4634">
        <v>0.90499596512396996</v>
      </c>
      <c r="E4634">
        <v>0.57134698037998899</v>
      </c>
      <c r="F4634">
        <v>0.34536551894001499</v>
      </c>
      <c r="G4634">
        <v>0.15242575256153701</v>
      </c>
      <c r="H4634">
        <v>8.1210901049668202E-2</v>
      </c>
      <c r="I4634">
        <v>4.84339702934602E-2</v>
      </c>
      <c r="J4634">
        <v>4.1043610344499902E-2</v>
      </c>
      <c r="K4634">
        <v>3.6384478996394201E-2</v>
      </c>
      <c r="L4634">
        <v>859.41008679243805</v>
      </c>
      <c r="M4634">
        <v>18.021180446446898</v>
      </c>
      <c r="N4634">
        <v>47.887429864287903</v>
      </c>
      <c r="O4634">
        <v>47.113300359691998</v>
      </c>
      <c r="P4634">
        <v>-9.21891445136091E-2</v>
      </c>
      <c r="Q4634">
        <v>3.5996211720180499E-2</v>
      </c>
      <c r="R4634">
        <v>0.99514046321250105</v>
      </c>
      <c r="S4634" t="s">
        <v>11036</v>
      </c>
      <c r="T4634" t="s">
        <v>12802</v>
      </c>
      <c r="U4634" t="s">
        <v>12802</v>
      </c>
      <c r="V4634" t="s">
        <v>12802</v>
      </c>
      <c r="W4634" t="s">
        <v>17376</v>
      </c>
      <c r="X4634">
        <v>3</v>
      </c>
      <c r="Y4634" t="s">
        <v>23595</v>
      </c>
      <c r="Z4634" t="s">
        <v>29952</v>
      </c>
      <c r="AA4634">
        <v>0.39486230033890629</v>
      </c>
      <c r="AB4634" t="str">
        <f>HYPERLINK("Melting_Curves/meltCurve_Q8WUJ0_STYX.pdf", "Melting_Curves/meltCurve_Q8WUJ0_STYX.pdf")</f>
        <v>Melting_Curves/meltCurve_Q8WUJ0_STYX.pdf</v>
      </c>
    </row>
    <row r="4635" spans="1:28" x14ac:dyDescent="0.25">
      <c r="A4635" t="s">
        <v>4639</v>
      </c>
      <c r="B4635">
        <v>0.99542014353169495</v>
      </c>
      <c r="C4635">
        <v>0.95453535358058195</v>
      </c>
      <c r="D4635">
        <v>0.88241737648445595</v>
      </c>
      <c r="E4635">
        <v>0.66492633799199397</v>
      </c>
      <c r="F4635">
        <v>0.30064870104131602</v>
      </c>
      <c r="G4635">
        <v>0.105260169478575</v>
      </c>
      <c r="H4635">
        <v>4.1795388144660703E-2</v>
      </c>
      <c r="I4635">
        <v>2.5023185124488999E-2</v>
      </c>
      <c r="J4635">
        <v>2.7796752139935699E-2</v>
      </c>
      <c r="K4635">
        <v>1.6950503638909702E-2</v>
      </c>
      <c r="L4635">
        <v>929.65885469710599</v>
      </c>
      <c r="M4635">
        <v>19.3708140003727</v>
      </c>
      <c r="N4635">
        <v>48.036669627439601</v>
      </c>
      <c r="O4635">
        <v>47.490057891136701</v>
      </c>
      <c r="P4635">
        <v>-0.101081922144901</v>
      </c>
      <c r="Q4635">
        <v>8.7749424443191604E-3</v>
      </c>
      <c r="R4635">
        <v>0.998739774993743</v>
      </c>
      <c r="S4635" t="s">
        <v>11037</v>
      </c>
      <c r="T4635" t="s">
        <v>12802</v>
      </c>
      <c r="U4635" t="s">
        <v>12802</v>
      </c>
      <c r="V4635" t="s">
        <v>12802</v>
      </c>
      <c r="W4635" t="s">
        <v>17377</v>
      </c>
      <c r="X4635">
        <v>3</v>
      </c>
      <c r="Y4635" t="s">
        <v>23596</v>
      </c>
      <c r="Z4635" t="s">
        <v>29953</v>
      </c>
      <c r="AA4635">
        <v>0.38581580814878019</v>
      </c>
      <c r="AB4635" t="str">
        <f>HYPERLINK("Melting_Curves/meltCurve_Q8WUK0_2_PTPMT1.pdf", "Melting_Curves/meltCurve_Q8WUK0_2_PTPMT1.pdf")</f>
        <v>Melting_Curves/meltCurve_Q8WUK0_2_PTPMT1.pdf</v>
      </c>
    </row>
    <row r="4636" spans="1:28" x14ac:dyDescent="0.25">
      <c r="A4636" t="s">
        <v>4640</v>
      </c>
      <c r="B4636">
        <v>0.99542014353169495</v>
      </c>
      <c r="C4636">
        <v>0.99815946716265502</v>
      </c>
      <c r="D4636">
        <v>0.97539342415985197</v>
      </c>
      <c r="E4636">
        <v>0.60188673942049198</v>
      </c>
      <c r="F4636">
        <v>0.10024274177768699</v>
      </c>
      <c r="G4636">
        <v>6.2719960042414105E-2</v>
      </c>
      <c r="H4636">
        <v>3.6486618243477403E-2</v>
      </c>
      <c r="I4636">
        <v>2.3431063440126298E-2</v>
      </c>
      <c r="J4636">
        <v>2.54825931710995E-2</v>
      </c>
      <c r="K4636">
        <v>2.60122073692809E-2</v>
      </c>
      <c r="L4636">
        <v>1862.41762730452</v>
      </c>
      <c r="M4636">
        <v>39.611826807860602</v>
      </c>
      <c r="N4636">
        <v>47.096594320690599</v>
      </c>
      <c r="O4636">
        <v>46.897356625453298</v>
      </c>
      <c r="P4636">
        <v>-0.204303446726747</v>
      </c>
      <c r="Q4636">
        <v>3.2483812658963801E-2</v>
      </c>
      <c r="R4636">
        <v>0.99956711601742299</v>
      </c>
      <c r="S4636" t="s">
        <v>11038</v>
      </c>
      <c r="T4636" t="s">
        <v>12802</v>
      </c>
      <c r="U4636" t="s">
        <v>12802</v>
      </c>
      <c r="V4636" t="s">
        <v>12802</v>
      </c>
      <c r="W4636" t="s">
        <v>17378</v>
      </c>
      <c r="X4636">
        <v>58</v>
      </c>
      <c r="Y4636" t="s">
        <v>23597</v>
      </c>
      <c r="Z4636" t="s">
        <v>29954</v>
      </c>
      <c r="AA4636">
        <v>0.35873565161456672</v>
      </c>
      <c r="AB4636" t="str">
        <f>HYPERLINK("Melting_Curves/meltCurve_Q8WUM4_PDCD6IP.pdf", "Melting_Curves/meltCurve_Q8WUM4_PDCD6IP.pdf")</f>
        <v>Melting_Curves/meltCurve_Q8WUM4_PDCD6IP.pdf</v>
      </c>
    </row>
    <row r="4637" spans="1:28" x14ac:dyDescent="0.25">
      <c r="A4637" t="s">
        <v>4641</v>
      </c>
      <c r="B4637">
        <v>0.99542014353169495</v>
      </c>
      <c r="C4637">
        <v>0.97072331609954499</v>
      </c>
      <c r="D4637">
        <v>1.03408888998112</v>
      </c>
      <c r="E4637">
        <v>0.80612579416073504</v>
      </c>
      <c r="F4637">
        <v>0.70774935297137098</v>
      </c>
      <c r="G4637">
        <v>0.36952258601042898</v>
      </c>
      <c r="H4637">
        <v>0.27677444547707503</v>
      </c>
      <c r="I4637">
        <v>0.22484907101836299</v>
      </c>
      <c r="J4637">
        <v>0.26170032587525399</v>
      </c>
      <c r="K4637">
        <v>0.33753433565895402</v>
      </c>
      <c r="L4637">
        <v>1101.1106373510599</v>
      </c>
      <c r="M4637">
        <v>21.872767377773801</v>
      </c>
      <c r="N4637">
        <v>52.051731940705899</v>
      </c>
      <c r="O4637">
        <v>49.926514222702103</v>
      </c>
      <c r="P4637">
        <v>-8.1457154010190394E-2</v>
      </c>
      <c r="Q4637">
        <v>0.25628480095489198</v>
      </c>
      <c r="R4637">
        <v>0.97515033565430798</v>
      </c>
      <c r="S4637" t="s">
        <v>11039</v>
      </c>
      <c r="T4637" t="s">
        <v>12802</v>
      </c>
      <c r="U4637" t="s">
        <v>12802</v>
      </c>
      <c r="V4637" t="s">
        <v>12802</v>
      </c>
      <c r="W4637" t="s">
        <v>17379</v>
      </c>
      <c r="X4637">
        <v>6</v>
      </c>
      <c r="Y4637" t="s">
        <v>23598</v>
      </c>
      <c r="Z4637" t="s">
        <v>29955</v>
      </c>
      <c r="AA4637">
        <v>0.59538452986583457</v>
      </c>
      <c r="AB4637" t="str">
        <f>HYPERLINK("Melting_Curves/meltCurve_Q8WUM9_SLC20A1.pdf", "Melting_Curves/meltCurve_Q8WUM9_SLC20A1.pdf")</f>
        <v>Melting_Curves/meltCurve_Q8WUM9_SLC20A1.pdf</v>
      </c>
    </row>
    <row r="4638" spans="1:28" x14ac:dyDescent="0.25">
      <c r="A4638" t="s">
        <v>4642</v>
      </c>
      <c r="B4638">
        <v>0.99542014353169495</v>
      </c>
      <c r="C4638">
        <v>0.967305666321855</v>
      </c>
      <c r="D4638">
        <v>0.86281800495245597</v>
      </c>
      <c r="E4638">
        <v>0.92893296404621395</v>
      </c>
      <c r="F4638">
        <v>0.85166515786556396</v>
      </c>
      <c r="G4638">
        <v>0.79115150499087294</v>
      </c>
      <c r="H4638">
        <v>0.63340041000460701</v>
      </c>
      <c r="I4638">
        <v>0.56199841175075604</v>
      </c>
      <c r="J4638">
        <v>0.75759412405154503</v>
      </c>
      <c r="K4638">
        <v>0.87912386043703405</v>
      </c>
      <c r="L4638">
        <v>609.12812918191401</v>
      </c>
      <c r="M4638">
        <v>12.7881802496925</v>
      </c>
      <c r="O4638">
        <v>46.512441170028602</v>
      </c>
      <c r="P4638">
        <v>-1.9943147682694701E-2</v>
      </c>
      <c r="Q4638">
        <v>0.70991028332997397</v>
      </c>
      <c r="R4638">
        <v>0.56015673053435999</v>
      </c>
      <c r="S4638" t="s">
        <v>11040</v>
      </c>
      <c r="T4638" t="s">
        <v>12802</v>
      </c>
      <c r="U4638" t="s">
        <v>12802</v>
      </c>
      <c r="V4638" t="s">
        <v>12802</v>
      </c>
      <c r="W4638" t="s">
        <v>17380</v>
      </c>
      <c r="X4638">
        <v>3</v>
      </c>
      <c r="Y4638" t="s">
        <v>23599</v>
      </c>
      <c r="Z4638" t="s">
        <v>29956</v>
      </c>
      <c r="AA4638">
        <v>0.82110133860611567</v>
      </c>
      <c r="AB4638" t="str">
        <f>HYPERLINK("Melting_Curves/meltCurve_Q8WUR7_C15orf40.pdf", "Melting_Curves/meltCurve_Q8WUR7_C15orf40.pdf")</f>
        <v>Melting_Curves/meltCurve_Q8WUR7_C15orf40.pdf</v>
      </c>
    </row>
    <row r="4639" spans="1:28" x14ac:dyDescent="0.25">
      <c r="A4639" t="s">
        <v>4643</v>
      </c>
      <c r="B4639">
        <v>0.99542014353169495</v>
      </c>
      <c r="C4639">
        <v>0.96548942806233295</v>
      </c>
      <c r="D4639">
        <v>1.0797296043140601</v>
      </c>
      <c r="E4639">
        <v>0.78176154578690704</v>
      </c>
      <c r="F4639">
        <v>0.78341138359475404</v>
      </c>
      <c r="G4639">
        <v>0.47404329110469201</v>
      </c>
      <c r="H4639">
        <v>0.43207001620334001</v>
      </c>
      <c r="I4639">
        <v>0.29612066630010703</v>
      </c>
      <c r="J4639">
        <v>0.28553966234371098</v>
      </c>
      <c r="K4639">
        <v>0.24192336873894901</v>
      </c>
      <c r="L4639">
        <v>738.84407327583006</v>
      </c>
      <c r="M4639">
        <v>14.156822616991899</v>
      </c>
      <c r="N4639">
        <v>54.438593130852603</v>
      </c>
      <c r="O4639">
        <v>51.181706471661499</v>
      </c>
      <c r="P4639">
        <v>-5.3848290457533199E-2</v>
      </c>
      <c r="Q4639">
        <v>0.22137949024533901</v>
      </c>
      <c r="R4639">
        <v>0.96454341086085105</v>
      </c>
      <c r="S4639" t="s">
        <v>11041</v>
      </c>
      <c r="T4639" t="s">
        <v>12802</v>
      </c>
      <c r="U4639" t="s">
        <v>12802</v>
      </c>
      <c r="V4639" t="s">
        <v>12802</v>
      </c>
      <c r="W4639" t="s">
        <v>17381</v>
      </c>
      <c r="X4639">
        <v>5</v>
      </c>
      <c r="Y4639" t="s">
        <v>23600</v>
      </c>
      <c r="Z4639" t="s">
        <v>29957</v>
      </c>
      <c r="AA4639">
        <v>0.63128893868554026</v>
      </c>
      <c r="AB4639" t="str">
        <f>HYPERLINK("Melting_Curves/meltCurve_Q8WUX1_SLC38A5.pdf", "Melting_Curves/meltCurve_Q8WUX1_SLC38A5.pdf")</f>
        <v>Melting_Curves/meltCurve_Q8WUX1_SLC38A5.pdf</v>
      </c>
    </row>
    <row r="4640" spans="1:28" x14ac:dyDescent="0.25">
      <c r="A4640" t="s">
        <v>4644</v>
      </c>
      <c r="B4640">
        <v>0.99542014353169495</v>
      </c>
      <c r="C4640">
        <v>1.0016307812421399</v>
      </c>
      <c r="D4640">
        <v>0.89144384570354795</v>
      </c>
      <c r="E4640">
        <v>0.90247336898289998</v>
      </c>
      <c r="F4640">
        <v>0.67101694338387596</v>
      </c>
      <c r="G4640">
        <v>0.31402300943501499</v>
      </c>
      <c r="H4640">
        <v>8.1843938682932202E-2</v>
      </c>
      <c r="I4640">
        <v>5.0364194707294002E-2</v>
      </c>
      <c r="J4640">
        <v>3.6540303834034303E-2</v>
      </c>
      <c r="K4640">
        <v>4.0564512812675403E-2</v>
      </c>
      <c r="L4640">
        <v>1111.36241758957</v>
      </c>
      <c r="M4640">
        <v>21.522887075133401</v>
      </c>
      <c r="N4640">
        <v>51.712947708560399</v>
      </c>
      <c r="O4640">
        <v>51.196744220606199</v>
      </c>
      <c r="P4640">
        <v>-0.10345167796283899</v>
      </c>
      <c r="Q4640">
        <v>1.5697088109133901E-2</v>
      </c>
      <c r="R4640">
        <v>0.99332334547446799</v>
      </c>
      <c r="S4640" t="s">
        <v>11042</v>
      </c>
      <c r="T4640" t="s">
        <v>12802</v>
      </c>
      <c r="U4640" t="s">
        <v>12802</v>
      </c>
      <c r="V4640" t="s">
        <v>12802</v>
      </c>
      <c r="W4640" t="s">
        <v>17382</v>
      </c>
      <c r="X4640">
        <v>6</v>
      </c>
      <c r="Y4640" t="s">
        <v>23601</v>
      </c>
      <c r="Z4640" t="s">
        <v>29958</v>
      </c>
      <c r="AA4640">
        <v>0.50725022874107417</v>
      </c>
      <c r="AB4640" t="str">
        <f>HYPERLINK("Melting_Curves/meltCurve_Q8WUX2_CHAC2.pdf", "Melting_Curves/meltCurve_Q8WUX2_CHAC2.pdf")</f>
        <v>Melting_Curves/meltCurve_Q8WUX2_CHAC2.pdf</v>
      </c>
    </row>
    <row r="4641" spans="1:28" x14ac:dyDescent="0.25">
      <c r="A4641" t="s">
        <v>4645</v>
      </c>
      <c r="B4641">
        <v>0.99542014353169495</v>
      </c>
      <c r="C4641">
        <v>1.0147973415140701</v>
      </c>
      <c r="D4641">
        <v>0.91274541625373595</v>
      </c>
      <c r="E4641">
        <v>0.374949588765149</v>
      </c>
      <c r="F4641">
        <v>0.15316465469631699</v>
      </c>
      <c r="G4641">
        <v>9.7082732796013899E-2</v>
      </c>
      <c r="H4641">
        <v>6.5932107011720503E-2</v>
      </c>
      <c r="I4641">
        <v>5.0985752458291698E-2</v>
      </c>
      <c r="J4641">
        <v>7.4104754406349199E-2</v>
      </c>
      <c r="K4641">
        <v>9.7764540119570406E-2</v>
      </c>
      <c r="L4641">
        <v>1579.1550651770201</v>
      </c>
      <c r="M4641">
        <v>34.5878235455328</v>
      </c>
      <c r="N4641">
        <v>45.891447520824997</v>
      </c>
      <c r="O4641">
        <v>45.504576691466497</v>
      </c>
      <c r="P4641">
        <v>-0.17459862564303</v>
      </c>
      <c r="Q4641">
        <v>8.11787201863262E-2</v>
      </c>
      <c r="R4641">
        <v>0.99782828136646096</v>
      </c>
      <c r="S4641" t="s">
        <v>11043</v>
      </c>
      <c r="T4641" t="s">
        <v>12802</v>
      </c>
      <c r="U4641" t="s">
        <v>12802</v>
      </c>
      <c r="V4641" t="s">
        <v>12802</v>
      </c>
      <c r="W4641" t="s">
        <v>17383</v>
      </c>
      <c r="X4641">
        <v>9</v>
      </c>
      <c r="Y4641" t="s">
        <v>23602</v>
      </c>
      <c r="Z4641" t="s">
        <v>29959</v>
      </c>
      <c r="AA4641">
        <v>0.35019839469339159</v>
      </c>
      <c r="AB4641" t="str">
        <f>HYPERLINK("Melting_Curves/meltCurve_Q8WUX9_CHMP7.pdf", "Melting_Curves/meltCurve_Q8WUX9_CHMP7.pdf")</f>
        <v>Melting_Curves/meltCurve_Q8WUX9_CHMP7.pdf</v>
      </c>
    </row>
    <row r="4642" spans="1:28" x14ac:dyDescent="0.25">
      <c r="A4642" t="s">
        <v>4646</v>
      </c>
      <c r="B4642">
        <v>0.99542014353169495</v>
      </c>
      <c r="C4642">
        <v>0.96677253967493404</v>
      </c>
      <c r="D4642">
        <v>0.88192037073544305</v>
      </c>
      <c r="E4642">
        <v>0.78654054518289995</v>
      </c>
      <c r="F4642">
        <v>0.66781661213464305</v>
      </c>
      <c r="G4642">
        <v>0.56593897798094595</v>
      </c>
      <c r="H4642">
        <v>0.43297192905449</v>
      </c>
      <c r="I4642">
        <v>0.427083542033869</v>
      </c>
      <c r="J4642">
        <v>0.55048797011314599</v>
      </c>
      <c r="K4642">
        <v>0.50307121853985304</v>
      </c>
      <c r="L4642">
        <v>689.71647603976305</v>
      </c>
      <c r="M4642">
        <v>14.4559580213341</v>
      </c>
      <c r="N4642">
        <v>58.533291815458298</v>
      </c>
      <c r="O4642">
        <v>46.8264251452932</v>
      </c>
      <c r="P4642">
        <v>-4.1259382289702599E-2</v>
      </c>
      <c r="Q4642">
        <v>0.465465012484368</v>
      </c>
      <c r="R4642">
        <v>0.95926749069935002</v>
      </c>
      <c r="S4642" t="s">
        <v>11044</v>
      </c>
      <c r="T4642" t="s">
        <v>12802</v>
      </c>
      <c r="U4642" t="s">
        <v>12802</v>
      </c>
      <c r="V4642" t="s">
        <v>12802</v>
      </c>
      <c r="W4642" t="s">
        <v>17384</v>
      </c>
      <c r="X4642">
        <v>9</v>
      </c>
      <c r="Y4642" t="s">
        <v>23603</v>
      </c>
      <c r="Z4642" t="s">
        <v>29960</v>
      </c>
      <c r="AA4642">
        <v>0.66893690714038745</v>
      </c>
      <c r="AB4642" t="str">
        <f>HYPERLINK("Melting_Curves/meltCurve_Q8WUY1_THEM6.pdf", "Melting_Curves/meltCurve_Q8WUY1_THEM6.pdf")</f>
        <v>Melting_Curves/meltCurve_Q8WUY1_THEM6.pdf</v>
      </c>
    </row>
    <row r="4643" spans="1:28" x14ac:dyDescent="0.25">
      <c r="A4643" t="s">
        <v>4647</v>
      </c>
      <c r="B4643">
        <v>0.99542014353169495</v>
      </c>
      <c r="C4643">
        <v>0.98892511176170195</v>
      </c>
      <c r="D4643">
        <v>1.02637781850514</v>
      </c>
      <c r="E4643">
        <v>0.83232819050094298</v>
      </c>
      <c r="F4643">
        <v>0.66242169460171896</v>
      </c>
      <c r="G4643">
        <v>0.197450973619411</v>
      </c>
      <c r="H4643">
        <v>0.101944194295854</v>
      </c>
      <c r="I4643">
        <v>5.9984509410247799E-2</v>
      </c>
      <c r="J4643">
        <v>4.4153225439476397E-2</v>
      </c>
      <c r="K4643">
        <v>5.27459561527319E-2</v>
      </c>
      <c r="L4643">
        <v>1256.3765019119401</v>
      </c>
      <c r="M4643">
        <v>24.661809431013001</v>
      </c>
      <c r="N4643">
        <v>51.113406446035697</v>
      </c>
      <c r="O4643">
        <v>50.612798406185199</v>
      </c>
      <c r="P4643">
        <v>-0.117043119065455</v>
      </c>
      <c r="Q4643">
        <v>3.9195356229639398E-2</v>
      </c>
      <c r="R4643">
        <v>0.99240700046382702</v>
      </c>
      <c r="S4643" t="s">
        <v>11045</v>
      </c>
      <c r="T4643" t="s">
        <v>12802</v>
      </c>
      <c r="U4643" t="s">
        <v>12802</v>
      </c>
      <c r="V4643" t="s">
        <v>12802</v>
      </c>
      <c r="W4643" t="s">
        <v>17385</v>
      </c>
      <c r="X4643">
        <v>3</v>
      </c>
      <c r="Y4643" t="s">
        <v>23604</v>
      </c>
      <c r="Z4643" t="s">
        <v>29961</v>
      </c>
      <c r="AA4643">
        <v>0.49447471314626779</v>
      </c>
      <c r="AB4643" t="str">
        <f>HYPERLINK("Melting_Curves/meltCurve_Q8WUY8_NAT14.pdf", "Melting_Curves/meltCurve_Q8WUY8_NAT14.pdf")</f>
        <v>Melting_Curves/meltCurve_Q8WUY8_NAT14.pdf</v>
      </c>
    </row>
    <row r="4644" spans="1:28" x14ac:dyDescent="0.25">
      <c r="A4644" t="s">
        <v>4648</v>
      </c>
      <c r="B4644">
        <v>0.99542014353169495</v>
      </c>
      <c r="C4644">
        <v>1.1562226696929601</v>
      </c>
      <c r="D4644">
        <v>1.0425067776005701</v>
      </c>
      <c r="E4644">
        <v>0.90968590397320803</v>
      </c>
      <c r="F4644">
        <v>0.80263304865451501</v>
      </c>
      <c r="G4644">
        <v>0.53372722264273698</v>
      </c>
      <c r="H4644">
        <v>0.191579719054493</v>
      </c>
      <c r="I4644">
        <v>0.170479874690595</v>
      </c>
      <c r="J4644">
        <v>0.206198076754145</v>
      </c>
      <c r="K4644">
        <v>0.15835752835223799</v>
      </c>
      <c r="L4644">
        <v>1283.43467381612</v>
      </c>
      <c r="M4644">
        <v>24.282132881770998</v>
      </c>
      <c r="N4644">
        <v>53.646153561297297</v>
      </c>
      <c r="O4644">
        <v>52.500537413267303</v>
      </c>
      <c r="P4644">
        <v>-9.8229873699220302E-2</v>
      </c>
      <c r="Q4644">
        <v>0.150479353497603</v>
      </c>
      <c r="R4644">
        <v>0.97393404131686301</v>
      </c>
      <c r="S4644" t="s">
        <v>11046</v>
      </c>
      <c r="T4644" t="s">
        <v>12802</v>
      </c>
      <c r="U4644" t="s">
        <v>12802</v>
      </c>
      <c r="V4644" t="s">
        <v>12802</v>
      </c>
      <c r="W4644" t="s">
        <v>17386</v>
      </c>
      <c r="X4644">
        <v>2</v>
      </c>
      <c r="Y4644" t="s">
        <v>23605</v>
      </c>
      <c r="Z4644" t="s">
        <v>29962</v>
      </c>
      <c r="AA4644">
        <v>0.6073531136713719</v>
      </c>
      <c r="AB4644" t="str">
        <f>HYPERLINK("Melting_Curves/meltCurve_Q8WV07_ORAOV1.pdf", "Melting_Curves/meltCurve_Q8WV07_ORAOV1.pdf")</f>
        <v>Melting_Curves/meltCurve_Q8WV07_ORAOV1.pdf</v>
      </c>
    </row>
    <row r="4645" spans="1:28" x14ac:dyDescent="0.25">
      <c r="A4645" t="s">
        <v>4649</v>
      </c>
      <c r="B4645">
        <v>0.99542014353169495</v>
      </c>
      <c r="C4645">
        <v>0.97447756257060603</v>
      </c>
      <c r="D4645">
        <v>0.845861411962191</v>
      </c>
      <c r="E4645">
        <v>0.63623748682662595</v>
      </c>
      <c r="F4645">
        <v>0.41774228200748198</v>
      </c>
      <c r="G4645">
        <v>0.24667212218204099</v>
      </c>
      <c r="H4645">
        <v>0.172998779823159</v>
      </c>
      <c r="I4645">
        <v>0.11746415941077799</v>
      </c>
      <c r="J4645">
        <v>9.0219609259749201E-2</v>
      </c>
      <c r="K4645">
        <v>0.129702215253297</v>
      </c>
      <c r="L4645">
        <v>690.462129256607</v>
      </c>
      <c r="M4645">
        <v>14.376051752358601</v>
      </c>
      <c r="N4645">
        <v>48.685750821679299</v>
      </c>
      <c r="O4645">
        <v>47.127978036608503</v>
      </c>
      <c r="P4645">
        <v>-6.9543916044665297E-2</v>
      </c>
      <c r="Q4645">
        <v>8.8185442786663404E-2</v>
      </c>
      <c r="R4645">
        <v>0.99826445845019596</v>
      </c>
      <c r="S4645" t="s">
        <v>11047</v>
      </c>
      <c r="T4645" t="s">
        <v>12802</v>
      </c>
      <c r="U4645" t="s">
        <v>12802</v>
      </c>
      <c r="V4645" t="s">
        <v>12802</v>
      </c>
      <c r="W4645" t="s">
        <v>17387</v>
      </c>
      <c r="X4645">
        <v>7</v>
      </c>
      <c r="Y4645" t="s">
        <v>23606</v>
      </c>
      <c r="Z4645" t="s">
        <v>29963</v>
      </c>
      <c r="AA4645">
        <v>0.44492438994659628</v>
      </c>
      <c r="AB4645" t="str">
        <f>HYPERLINK("Melting_Curves/meltCurve_Q8WV22_NSMCE1.pdf", "Melting_Curves/meltCurve_Q8WV22_NSMCE1.pdf")</f>
        <v>Melting_Curves/meltCurve_Q8WV22_NSMCE1.pdf</v>
      </c>
    </row>
    <row r="4646" spans="1:28" x14ac:dyDescent="0.25">
      <c r="A4646" t="s">
        <v>4650</v>
      </c>
      <c r="B4646">
        <v>0.99542014353169495</v>
      </c>
      <c r="C4646">
        <v>0.77617260084956097</v>
      </c>
      <c r="D4646">
        <v>0.87309809460947196</v>
      </c>
      <c r="E4646">
        <v>0.73133526856269604</v>
      </c>
      <c r="F4646">
        <v>0.55803288612115298</v>
      </c>
      <c r="G4646">
        <v>0.47759854419053499</v>
      </c>
      <c r="H4646">
        <v>0.447604664665533</v>
      </c>
      <c r="I4646">
        <v>0.25644032657299598</v>
      </c>
      <c r="J4646">
        <v>2.8109633940210099E-2</v>
      </c>
      <c r="K4646">
        <v>1.1206800654598699E-2</v>
      </c>
      <c r="L4646">
        <v>447.31099018821601</v>
      </c>
      <c r="M4646">
        <v>8.5854510728016393</v>
      </c>
      <c r="N4646">
        <v>52.101047008528603</v>
      </c>
      <c r="O4646">
        <v>49.5054285789803</v>
      </c>
      <c r="P4646">
        <v>-4.3393732040337397E-2</v>
      </c>
      <c r="Q4646">
        <v>0</v>
      </c>
      <c r="R4646">
        <v>0.92248778447256996</v>
      </c>
      <c r="S4646" t="s">
        <v>11048</v>
      </c>
      <c r="T4646" t="s">
        <v>12802</v>
      </c>
      <c r="U4646" t="s">
        <v>12802</v>
      </c>
      <c r="V4646" t="s">
        <v>12802</v>
      </c>
      <c r="W4646" t="s">
        <v>17388</v>
      </c>
      <c r="X4646">
        <v>4</v>
      </c>
      <c r="Y4646" t="s">
        <v>23607</v>
      </c>
      <c r="Z4646" t="s">
        <v>29964</v>
      </c>
      <c r="AA4646">
        <v>0.53096790165900198</v>
      </c>
      <c r="AB4646" t="str">
        <f>HYPERLINK("Melting_Curves/meltCurve_Q8WV41_SNX33.pdf", "Melting_Curves/meltCurve_Q8WV41_SNX33.pdf")</f>
        <v>Melting_Curves/meltCurve_Q8WV41_SNX33.pdf</v>
      </c>
    </row>
    <row r="4647" spans="1:28" x14ac:dyDescent="0.25">
      <c r="A4647" t="s">
        <v>4651</v>
      </c>
      <c r="B4647">
        <v>0.99542014353169495</v>
      </c>
      <c r="C4647">
        <v>1.0631281232104799</v>
      </c>
      <c r="D4647">
        <v>0.95829450721750897</v>
      </c>
      <c r="E4647">
        <v>0.67433938909725299</v>
      </c>
      <c r="F4647">
        <v>0.41631324259821401</v>
      </c>
      <c r="G4647">
        <v>0.28781861955455601</v>
      </c>
      <c r="H4647">
        <v>0.13290271405328999</v>
      </c>
      <c r="I4647">
        <v>0.12091437989473</v>
      </c>
      <c r="J4647">
        <v>0.130063306534239</v>
      </c>
      <c r="K4647">
        <v>0.12898504523319601</v>
      </c>
      <c r="L4647">
        <v>907.50127662570196</v>
      </c>
      <c r="M4647">
        <v>18.7504480620028</v>
      </c>
      <c r="N4647">
        <v>49.1110426104621</v>
      </c>
      <c r="O4647">
        <v>47.858482216692103</v>
      </c>
      <c r="P4647">
        <v>-8.6292230433889602E-2</v>
      </c>
      <c r="Q4647">
        <v>0.1190307773573</v>
      </c>
      <c r="R4647">
        <v>0.99086236042023601</v>
      </c>
      <c r="S4647" t="s">
        <v>11049</v>
      </c>
      <c r="T4647" t="s">
        <v>12802</v>
      </c>
      <c r="U4647" t="s">
        <v>12802</v>
      </c>
      <c r="V4647" t="s">
        <v>12802</v>
      </c>
      <c r="W4647" t="s">
        <v>17389</v>
      </c>
      <c r="X4647">
        <v>1</v>
      </c>
      <c r="Y4647" t="s">
        <v>23608</v>
      </c>
      <c r="Z4647" t="s">
        <v>29965</v>
      </c>
      <c r="AA4647">
        <v>0.46682171721997789</v>
      </c>
      <c r="AB4647" t="str">
        <f>HYPERLINK("Melting_Curves/meltCurve_Q8WV60_PTCD2.pdf", "Melting_Curves/meltCurve_Q8WV60_PTCD2.pdf")</f>
        <v>Melting_Curves/meltCurve_Q8WV60_PTCD2.pdf</v>
      </c>
    </row>
    <row r="4648" spans="1:28" x14ac:dyDescent="0.25">
      <c r="A4648" t="s">
        <v>4652</v>
      </c>
      <c r="B4648">
        <v>0.99542014353169495</v>
      </c>
      <c r="C4648">
        <v>1.03061308674791</v>
      </c>
      <c r="D4648">
        <v>0.90646138333589898</v>
      </c>
      <c r="E4648">
        <v>0.83150789139384496</v>
      </c>
      <c r="F4648">
        <v>0.62524984593244204</v>
      </c>
      <c r="G4648">
        <v>0.36465229492555201</v>
      </c>
      <c r="H4648">
        <v>0.167518639857379</v>
      </c>
      <c r="I4648">
        <v>0.11215634591349299</v>
      </c>
      <c r="J4648">
        <v>9.1708293563377605E-2</v>
      </c>
      <c r="K4648">
        <v>8.1487824692587599E-2</v>
      </c>
      <c r="L4648">
        <v>803.86911875479495</v>
      </c>
      <c r="M4648">
        <v>15.6608805901186</v>
      </c>
      <c r="N4648">
        <v>51.634269435832103</v>
      </c>
      <c r="O4648">
        <v>50.5146856904814</v>
      </c>
      <c r="P4648">
        <v>-7.4093941476715205E-2</v>
      </c>
      <c r="Q4648">
        <v>4.4111874064567902E-2</v>
      </c>
      <c r="R4648">
        <v>0.99594692187755096</v>
      </c>
      <c r="S4648" t="s">
        <v>11050</v>
      </c>
      <c r="T4648" t="s">
        <v>12802</v>
      </c>
      <c r="U4648" t="s">
        <v>12802</v>
      </c>
      <c r="V4648" t="s">
        <v>12802</v>
      </c>
      <c r="W4648" t="s">
        <v>17390</v>
      </c>
      <c r="X4648">
        <v>4</v>
      </c>
      <c r="Y4648" t="s">
        <v>23609</v>
      </c>
      <c r="Z4648" t="s">
        <v>29966</v>
      </c>
      <c r="AA4648">
        <v>0.51862988346383099</v>
      </c>
      <c r="AB4648" t="str">
        <f>HYPERLINK("Melting_Curves/meltCurve_Q8WV92_MITD1.pdf", "Melting_Curves/meltCurve_Q8WV92_MITD1.pdf")</f>
        <v>Melting_Curves/meltCurve_Q8WV92_MITD1.pdf</v>
      </c>
    </row>
    <row r="4649" spans="1:28" x14ac:dyDescent="0.25">
      <c r="A4649" t="s">
        <v>4653</v>
      </c>
      <c r="B4649">
        <v>0.99542014353169495</v>
      </c>
      <c r="C4649">
        <v>0.99729229068960601</v>
      </c>
      <c r="D4649">
        <v>0.82674955308898002</v>
      </c>
      <c r="E4649">
        <v>0.55548267630937098</v>
      </c>
      <c r="F4649">
        <v>0.23999492931469599</v>
      </c>
      <c r="G4649">
        <v>0.13234733499396301</v>
      </c>
      <c r="H4649">
        <v>4.9193289742415602E-2</v>
      </c>
      <c r="I4649">
        <v>3.1139350264810999E-2</v>
      </c>
      <c r="J4649">
        <v>1.02816964658928E-2</v>
      </c>
      <c r="K4649">
        <v>3.2770734584164199E-2</v>
      </c>
      <c r="L4649">
        <v>848.711818858877</v>
      </c>
      <c r="M4649">
        <v>18.0577521604928</v>
      </c>
      <c r="N4649">
        <v>47.096556370341098</v>
      </c>
      <c r="O4649">
        <v>46.434850407810899</v>
      </c>
      <c r="P4649">
        <v>-9.5456113004644794E-2</v>
      </c>
      <c r="Q4649">
        <v>1.82004908061629E-2</v>
      </c>
      <c r="R4649">
        <v>0.99820186540282996</v>
      </c>
      <c r="S4649" t="s">
        <v>11051</v>
      </c>
      <c r="T4649" t="s">
        <v>12802</v>
      </c>
      <c r="U4649" t="s">
        <v>12802</v>
      </c>
      <c r="V4649" t="s">
        <v>12802</v>
      </c>
      <c r="W4649" t="s">
        <v>17391</v>
      </c>
      <c r="X4649">
        <v>2</v>
      </c>
      <c r="Y4649" t="s">
        <v>23610</v>
      </c>
      <c r="Z4649" t="s">
        <v>29967</v>
      </c>
      <c r="AA4649">
        <v>0.36112722868481939</v>
      </c>
      <c r="AB4649" t="str">
        <f>HYPERLINK("Melting_Curves/meltCurve_Q8WV93_LACE1.pdf", "Melting_Curves/meltCurve_Q8WV93_LACE1.pdf")</f>
        <v>Melting_Curves/meltCurve_Q8WV93_LACE1.pdf</v>
      </c>
    </row>
    <row r="4650" spans="1:28" x14ac:dyDescent="0.25">
      <c r="A4650" t="s">
        <v>4654</v>
      </c>
      <c r="B4650">
        <v>0.99542014353169495</v>
      </c>
      <c r="C4650">
        <v>0.89460482147643205</v>
      </c>
      <c r="D4650">
        <v>0.70834828924480797</v>
      </c>
      <c r="E4650">
        <v>0.20131271197721601</v>
      </c>
      <c r="F4650">
        <v>0.145611921770403</v>
      </c>
      <c r="G4650">
        <v>0.10297644347226299</v>
      </c>
      <c r="H4650">
        <v>4.2559705518144697E-2</v>
      </c>
      <c r="I4650">
        <v>4.1621970675854401E-2</v>
      </c>
      <c r="J4650">
        <v>2.5262058659923901E-2</v>
      </c>
      <c r="K4650">
        <v>4.44811676908669E-2</v>
      </c>
      <c r="L4650">
        <v>1113.1967031368599</v>
      </c>
      <c r="M4650">
        <v>25.240730479330502</v>
      </c>
      <c r="N4650">
        <v>44.298458397248901</v>
      </c>
      <c r="O4650">
        <v>43.829149871035703</v>
      </c>
      <c r="P4650">
        <v>-0.13639420210879</v>
      </c>
      <c r="Q4650">
        <v>5.2647933445190503E-2</v>
      </c>
      <c r="R4650">
        <v>0.992195922005084</v>
      </c>
      <c r="S4650" t="s">
        <v>11052</v>
      </c>
      <c r="T4650" t="s">
        <v>12802</v>
      </c>
      <c r="U4650" t="s">
        <v>12802</v>
      </c>
      <c r="V4650" t="s">
        <v>12802</v>
      </c>
      <c r="W4650" t="s">
        <v>17392</v>
      </c>
      <c r="X4650">
        <v>3</v>
      </c>
      <c r="Y4650" t="s">
        <v>23611</v>
      </c>
      <c r="Z4650" t="s">
        <v>29968</v>
      </c>
      <c r="AA4650">
        <v>0.2845708689481698</v>
      </c>
      <c r="AB4650" t="str">
        <f>HYPERLINK("Melting_Curves/meltCurve_Q8WVB6_CHTF18.pdf", "Melting_Curves/meltCurve_Q8WVB6_CHTF18.pdf")</f>
        <v>Melting_Curves/meltCurve_Q8WVB6_CHTF18.pdf</v>
      </c>
    </row>
    <row r="4651" spans="1:28" x14ac:dyDescent="0.25">
      <c r="A4651" t="s">
        <v>4655</v>
      </c>
      <c r="B4651">
        <v>0.99542014353169495</v>
      </c>
      <c r="C4651">
        <v>0.89260299613800198</v>
      </c>
      <c r="D4651">
        <v>0.87279587260726399</v>
      </c>
      <c r="E4651">
        <v>0.56465486715023205</v>
      </c>
      <c r="F4651">
        <v>0.291977622206887</v>
      </c>
      <c r="G4651">
        <v>0.15106758314057001</v>
      </c>
      <c r="H4651">
        <v>9.7098239495601299E-2</v>
      </c>
      <c r="I4651">
        <v>8.6916104478260203E-2</v>
      </c>
      <c r="J4651">
        <v>0.13876268702403699</v>
      </c>
      <c r="K4651">
        <v>0.16166273460928601</v>
      </c>
      <c r="L4651">
        <v>914.13517078565701</v>
      </c>
      <c r="M4651">
        <v>19.603138148251801</v>
      </c>
      <c r="N4651">
        <v>47.227237135730199</v>
      </c>
      <c r="O4651">
        <v>46.154935214782</v>
      </c>
      <c r="P4651">
        <v>-9.4563654907915407E-2</v>
      </c>
      <c r="Q4651">
        <v>0.109443275764131</v>
      </c>
      <c r="R4651">
        <v>0.99045874936867295</v>
      </c>
      <c r="S4651" t="s">
        <v>11053</v>
      </c>
      <c r="T4651" t="s">
        <v>12802</v>
      </c>
      <c r="U4651" t="s">
        <v>12802</v>
      </c>
      <c r="V4651" t="s">
        <v>12802</v>
      </c>
      <c r="W4651" t="s">
        <v>17393</v>
      </c>
      <c r="X4651">
        <v>9</v>
      </c>
      <c r="Y4651" t="s">
        <v>23612</v>
      </c>
      <c r="Z4651" t="s">
        <v>29969</v>
      </c>
      <c r="AA4651">
        <v>0.40749306657304019</v>
      </c>
      <c r="AB4651" t="str">
        <f>HYPERLINK("Melting_Curves/meltCurve_Q8WVC0_LEO1.pdf", "Melting_Curves/meltCurve_Q8WVC0_LEO1.pdf")</f>
        <v>Melting_Curves/meltCurve_Q8WVC0_LEO1.pdf</v>
      </c>
    </row>
    <row r="4652" spans="1:28" x14ac:dyDescent="0.25">
      <c r="A4652" t="s">
        <v>4656</v>
      </c>
      <c r="B4652">
        <v>0.99542014353169495</v>
      </c>
      <c r="C4652">
        <v>1.07925404698808</v>
      </c>
      <c r="D4652">
        <v>0.79618521843414702</v>
      </c>
      <c r="E4652">
        <v>0.766109819467374</v>
      </c>
      <c r="F4652">
        <v>0.57770381538674698</v>
      </c>
      <c r="G4652">
        <v>0.549198612423624</v>
      </c>
      <c r="H4652">
        <v>0.34160193992288101</v>
      </c>
      <c r="I4652">
        <v>0.29684694152734298</v>
      </c>
      <c r="J4652">
        <v>0.386271890318648</v>
      </c>
      <c r="K4652">
        <v>0.85853275365652704</v>
      </c>
      <c r="L4652">
        <v>879.47792189692302</v>
      </c>
      <c r="M4652">
        <v>19.067446877005501</v>
      </c>
      <c r="N4652">
        <v>55.511435837698698</v>
      </c>
      <c r="O4652">
        <v>45.626224559465399</v>
      </c>
      <c r="P4652">
        <v>-5.4318616738357001E-2</v>
      </c>
      <c r="Q4652">
        <v>0.48010744052721499</v>
      </c>
      <c r="R4652">
        <v>0.65752700476715298</v>
      </c>
      <c r="S4652" t="s">
        <v>11054</v>
      </c>
      <c r="T4652" t="s">
        <v>12802</v>
      </c>
      <c r="U4652" t="s">
        <v>12802</v>
      </c>
      <c r="V4652" t="s">
        <v>12802</v>
      </c>
      <c r="W4652" t="s">
        <v>17394</v>
      </c>
      <c r="X4652">
        <v>7</v>
      </c>
      <c r="Y4652" t="s">
        <v>23613</v>
      </c>
      <c r="Z4652" t="s">
        <v>29970</v>
      </c>
      <c r="AA4652">
        <v>0.64571593266279392</v>
      </c>
      <c r="AB4652" t="str">
        <f>HYPERLINK("Melting_Curves/meltCurve_Q8WVC2_RPS21.pdf", "Melting_Curves/meltCurve_Q8WVC2_RPS21.pdf")</f>
        <v>Melting_Curves/meltCurve_Q8WVC2_RPS21.pdf</v>
      </c>
    </row>
    <row r="4653" spans="1:28" x14ac:dyDescent="0.25">
      <c r="A4653" t="s">
        <v>4657</v>
      </c>
      <c r="B4653">
        <v>0.99542014353169495</v>
      </c>
      <c r="C4653">
        <v>1.02711496087043</v>
      </c>
      <c r="D4653">
        <v>0.75229870604758997</v>
      </c>
      <c r="E4653">
        <v>0.45625404720790302</v>
      </c>
      <c r="F4653">
        <v>0.179570833898477</v>
      </c>
      <c r="G4653">
        <v>0.128515516221373</v>
      </c>
      <c r="H4653">
        <v>8.02961141143511E-2</v>
      </c>
      <c r="I4653">
        <v>7.2666498427280096E-2</v>
      </c>
      <c r="J4653">
        <v>6.2470607653249702E-2</v>
      </c>
      <c r="K4653">
        <v>0.10139553604149899</v>
      </c>
      <c r="L4653">
        <v>955.653121264741</v>
      </c>
      <c r="M4653">
        <v>20.967986271957599</v>
      </c>
      <c r="N4653">
        <v>45.942284593555598</v>
      </c>
      <c r="O4653">
        <v>45.168315225070003</v>
      </c>
      <c r="P4653">
        <v>-0.107141908856957</v>
      </c>
      <c r="Q4653">
        <v>7.6823794186531E-2</v>
      </c>
      <c r="R4653">
        <v>0.99367009729159095</v>
      </c>
      <c r="S4653" t="s">
        <v>11055</v>
      </c>
      <c r="T4653" t="s">
        <v>12802</v>
      </c>
      <c r="U4653" t="s">
        <v>12802</v>
      </c>
      <c r="V4653" t="s">
        <v>12802</v>
      </c>
      <c r="W4653" t="s">
        <v>17395</v>
      </c>
      <c r="X4653">
        <v>5</v>
      </c>
      <c r="Y4653" t="s">
        <v>23614</v>
      </c>
      <c r="Z4653" t="s">
        <v>29971</v>
      </c>
      <c r="AA4653">
        <v>0.35171173417467139</v>
      </c>
      <c r="AB4653" t="str">
        <f>HYPERLINK("Melting_Curves/meltCurve_Q8WVD3_RNF138.pdf", "Melting_Curves/meltCurve_Q8WVD3_RNF138.pdf")</f>
        <v>Melting_Curves/meltCurve_Q8WVD3_RNF138.pdf</v>
      </c>
    </row>
    <row r="4654" spans="1:28" x14ac:dyDescent="0.25">
      <c r="A4654" t="s">
        <v>4658</v>
      </c>
      <c r="B4654">
        <v>0.99542014353169495</v>
      </c>
      <c r="C4654">
        <v>0.99587452040352298</v>
      </c>
      <c r="D4654">
        <v>0.86961721637821598</v>
      </c>
      <c r="E4654">
        <v>0.464976467262253</v>
      </c>
      <c r="F4654">
        <v>0.13969783639163599</v>
      </c>
      <c r="G4654">
        <v>8.8022685402329201E-2</v>
      </c>
      <c r="H4654">
        <v>7.2059212406811998E-2</v>
      </c>
      <c r="I4654">
        <v>7.0972184399666002E-2</v>
      </c>
      <c r="J4654">
        <v>6.2195958582227297E-2</v>
      </c>
      <c r="K4654">
        <v>5.9166901369260103E-2</v>
      </c>
      <c r="L4654">
        <v>1244.98033985351</v>
      </c>
      <c r="M4654">
        <v>27.0406149765968</v>
      </c>
      <c r="N4654">
        <v>46.274283708284401</v>
      </c>
      <c r="O4654">
        <v>45.791547408179298</v>
      </c>
      <c r="P4654">
        <v>-0.138228441686298</v>
      </c>
      <c r="Q4654">
        <v>6.3685570599127495E-2</v>
      </c>
      <c r="R4654">
        <v>0.99961571797517201</v>
      </c>
      <c r="S4654" t="s">
        <v>11056</v>
      </c>
      <c r="T4654" t="s">
        <v>12802</v>
      </c>
      <c r="U4654" t="s">
        <v>12802</v>
      </c>
      <c r="V4654" t="s">
        <v>12802</v>
      </c>
      <c r="W4654" t="s">
        <v>17396</v>
      </c>
      <c r="X4654">
        <v>9</v>
      </c>
      <c r="Y4654" t="s">
        <v>23615</v>
      </c>
      <c r="Z4654" t="s">
        <v>29972</v>
      </c>
      <c r="AA4654">
        <v>0.35247344873782799</v>
      </c>
      <c r="AB4654" t="str">
        <f>HYPERLINK("Melting_Curves/meltCurve_Q8WVJ2_NUDCD2.pdf", "Melting_Curves/meltCurve_Q8WVJ2_NUDCD2.pdf")</f>
        <v>Melting_Curves/meltCurve_Q8WVJ2_NUDCD2.pdf</v>
      </c>
    </row>
    <row r="4655" spans="1:28" x14ac:dyDescent="0.25">
      <c r="A4655" t="s">
        <v>4659</v>
      </c>
      <c r="B4655">
        <v>0.99542014353169495</v>
      </c>
      <c r="C4655">
        <v>0.97714529500309899</v>
      </c>
      <c r="D4655">
        <v>1.09150271998555</v>
      </c>
      <c r="E4655">
        <v>1.2529959866401701</v>
      </c>
      <c r="F4655">
        <v>0.93016701481834896</v>
      </c>
      <c r="G4655">
        <v>0.661915458968518</v>
      </c>
      <c r="H4655">
        <v>0.48989413943989402</v>
      </c>
      <c r="I4655">
        <v>0.466997394867115</v>
      </c>
      <c r="J4655">
        <v>0.83354490112947299</v>
      </c>
      <c r="K4655">
        <v>1.0522799107979799</v>
      </c>
      <c r="L4655">
        <v>12609.6709987096</v>
      </c>
      <c r="M4655">
        <v>250</v>
      </c>
      <c r="O4655">
        <v>50.435456545883397</v>
      </c>
      <c r="P4655">
        <v>-0.37061433136659599</v>
      </c>
      <c r="Q4655">
        <v>0.700926354004765</v>
      </c>
      <c r="R4655">
        <v>0.48492611163910199</v>
      </c>
      <c r="S4655" t="s">
        <v>11057</v>
      </c>
      <c r="T4655" t="s">
        <v>12802</v>
      </c>
      <c r="U4655" t="s">
        <v>12802</v>
      </c>
      <c r="V4655" t="s">
        <v>12802</v>
      </c>
      <c r="W4655" t="s">
        <v>17397</v>
      </c>
      <c r="X4655">
        <v>6</v>
      </c>
      <c r="Y4655" t="s">
        <v>23616</v>
      </c>
      <c r="Z4655" t="s">
        <v>29973</v>
      </c>
      <c r="AA4655">
        <v>0.83492470172683186</v>
      </c>
      <c r="AB4655" t="str">
        <f>HYPERLINK("Melting_Curves/meltCurve_Q8WVK2_SNRNP27.pdf", "Melting_Curves/meltCurve_Q8WVK2_SNRNP27.pdf")</f>
        <v>Melting_Curves/meltCurve_Q8WVK2_SNRNP27.pdf</v>
      </c>
    </row>
    <row r="4656" spans="1:28" x14ac:dyDescent="0.25">
      <c r="A4656" t="s">
        <v>4660</v>
      </c>
      <c r="B4656">
        <v>0.99542014353169495</v>
      </c>
      <c r="C4656">
        <v>0.79734376197735302</v>
      </c>
      <c r="D4656">
        <v>0.55398650695400597</v>
      </c>
      <c r="E4656">
        <v>0.27572290158025098</v>
      </c>
      <c r="F4656">
        <v>0.15476044808903799</v>
      </c>
      <c r="G4656">
        <v>0.104120670967993</v>
      </c>
      <c r="H4656">
        <v>6.2756556331132196E-2</v>
      </c>
      <c r="I4656">
        <v>4.1776844005383201E-2</v>
      </c>
      <c r="J4656">
        <v>3.6267203138628898E-2</v>
      </c>
      <c r="K4656">
        <v>4.98040035348217E-2</v>
      </c>
      <c r="L4656">
        <v>706.29038056401203</v>
      </c>
      <c r="M4656">
        <v>16.277883176489301</v>
      </c>
      <c r="N4656">
        <v>43.6461295227625</v>
      </c>
      <c r="O4656">
        <v>42.7505763344153</v>
      </c>
      <c r="P4656">
        <v>-9.0854654236169993E-2</v>
      </c>
      <c r="Q4656">
        <v>4.5624276410489398E-2</v>
      </c>
      <c r="R4656">
        <v>0.99662918206538598</v>
      </c>
      <c r="S4656" t="s">
        <v>11058</v>
      </c>
      <c r="T4656" t="s">
        <v>12802</v>
      </c>
      <c r="U4656" t="s">
        <v>12802</v>
      </c>
      <c r="V4656" t="s">
        <v>12802</v>
      </c>
      <c r="W4656" t="s">
        <v>17398</v>
      </c>
      <c r="X4656">
        <v>2</v>
      </c>
      <c r="Y4656" t="s">
        <v>23617</v>
      </c>
      <c r="Z4656" t="s">
        <v>29974</v>
      </c>
      <c r="AA4656">
        <v>0.26949619525936519</v>
      </c>
      <c r="AB4656" t="str">
        <f>HYPERLINK("Melting_Curves/meltCurve_Q8WVK7_SKA2.pdf", "Melting_Curves/meltCurve_Q8WVK7_SKA2.pdf")</f>
        <v>Melting_Curves/meltCurve_Q8WVK7_SKA2.pdf</v>
      </c>
    </row>
    <row r="4657" spans="1:28" x14ac:dyDescent="0.25">
      <c r="A4657" t="s">
        <v>4661</v>
      </c>
      <c r="B4657">
        <v>0.99542014353169495</v>
      </c>
      <c r="C4657">
        <v>0.98761210355080298</v>
      </c>
      <c r="D4657">
        <v>0.88207059327352799</v>
      </c>
      <c r="E4657">
        <v>0.87829981139915203</v>
      </c>
      <c r="F4657">
        <v>0.65965418898804196</v>
      </c>
      <c r="G4657">
        <v>0.41239527274771498</v>
      </c>
      <c r="H4657">
        <v>0.15541026692625301</v>
      </c>
      <c r="I4657">
        <v>5.1963305511863997E-2</v>
      </c>
      <c r="J4657">
        <v>3.4271280003596603E-2</v>
      </c>
      <c r="K4657">
        <v>5.4841442151047803E-2</v>
      </c>
      <c r="L4657">
        <v>851.17927607107697</v>
      </c>
      <c r="M4657">
        <v>16.316375213493899</v>
      </c>
      <c r="N4657">
        <v>52.167178877810102</v>
      </c>
      <c r="O4657">
        <v>51.4024495926366</v>
      </c>
      <c r="P4657">
        <v>-7.9361783020696394E-2</v>
      </c>
      <c r="Q4657">
        <v>0</v>
      </c>
      <c r="R4657">
        <v>0.99226285635633404</v>
      </c>
      <c r="S4657" t="s">
        <v>11059</v>
      </c>
      <c r="T4657" t="s">
        <v>12802</v>
      </c>
      <c r="U4657" t="s">
        <v>12802</v>
      </c>
      <c r="V4657" t="s">
        <v>12802</v>
      </c>
      <c r="W4657" t="s">
        <v>17399</v>
      </c>
      <c r="X4657">
        <v>3</v>
      </c>
      <c r="Y4657" t="s">
        <v>23618</v>
      </c>
      <c r="Z4657" t="s">
        <v>29975</v>
      </c>
      <c r="AA4657">
        <v>0.52271086532580202</v>
      </c>
      <c r="AB4657" t="str">
        <f>HYPERLINK("Melting_Curves/meltCurve_Q8WVL7_ANKRD49.pdf", "Melting_Curves/meltCurve_Q8WVL7_ANKRD49.pdf")</f>
        <v>Melting_Curves/meltCurve_Q8WVL7_ANKRD49.pdf</v>
      </c>
    </row>
    <row r="4658" spans="1:28" x14ac:dyDescent="0.25">
      <c r="A4658" t="s">
        <v>4662</v>
      </c>
      <c r="B4658">
        <v>0.99542014353169495</v>
      </c>
      <c r="C4658">
        <v>0.87571215650511203</v>
      </c>
      <c r="D4658">
        <v>0.90538960119720902</v>
      </c>
      <c r="E4658">
        <v>0.73202714809080605</v>
      </c>
      <c r="F4658">
        <v>0.39798714115074701</v>
      </c>
      <c r="G4658">
        <v>0.18901302694840899</v>
      </c>
      <c r="H4658">
        <v>0.105526828686866</v>
      </c>
      <c r="I4658">
        <v>5.7460327040663402E-2</v>
      </c>
      <c r="J4658">
        <v>6.4861792357377504E-2</v>
      </c>
      <c r="K4658">
        <v>5.34345872008474E-2</v>
      </c>
      <c r="L4658">
        <v>822.24993120206898</v>
      </c>
      <c r="M4658">
        <v>16.8476629105743</v>
      </c>
      <c r="N4658">
        <v>49.018434784669701</v>
      </c>
      <c r="O4658">
        <v>48.132941149959599</v>
      </c>
      <c r="P4658">
        <v>-8.4416367240286797E-2</v>
      </c>
      <c r="Q4658">
        <v>3.5368188840434599E-2</v>
      </c>
      <c r="R4658">
        <v>0.99145353566749295</v>
      </c>
      <c r="S4658" t="s">
        <v>11060</v>
      </c>
      <c r="T4658" t="s">
        <v>12802</v>
      </c>
      <c r="U4658" t="s">
        <v>12802</v>
      </c>
      <c r="V4658" t="s">
        <v>12802</v>
      </c>
      <c r="W4658" t="s">
        <v>17400</v>
      </c>
      <c r="X4658">
        <v>7</v>
      </c>
      <c r="Y4658" t="s">
        <v>23619</v>
      </c>
      <c r="Z4658" t="s">
        <v>29976</v>
      </c>
      <c r="AA4658">
        <v>0.43216984617120852</v>
      </c>
      <c r="AB4658" t="str">
        <f>HYPERLINK("Melting_Curves/meltCurve_Q8WVM0_TFB1M.pdf", "Melting_Curves/meltCurve_Q8WVM0_TFB1M.pdf")</f>
        <v>Melting_Curves/meltCurve_Q8WVM0_TFB1M.pdf</v>
      </c>
    </row>
    <row r="4659" spans="1:28" x14ac:dyDescent="0.25">
      <c r="A4659" t="s">
        <v>4663</v>
      </c>
      <c r="B4659">
        <v>0.99542014353169495</v>
      </c>
      <c r="C4659">
        <v>0.87056577815158898</v>
      </c>
      <c r="D4659">
        <v>0.92261640320717797</v>
      </c>
      <c r="E4659">
        <v>0.64428018859335701</v>
      </c>
      <c r="F4659">
        <v>0.24306627168976799</v>
      </c>
      <c r="G4659">
        <v>9.8300724088800501E-2</v>
      </c>
      <c r="H4659">
        <v>6.1621726207031498E-2</v>
      </c>
      <c r="I4659">
        <v>4.2306159786529803E-2</v>
      </c>
      <c r="J4659">
        <v>4.75096259114655E-2</v>
      </c>
      <c r="K4659">
        <v>4.7487726682337097E-2</v>
      </c>
      <c r="L4659">
        <v>1082.1492173566301</v>
      </c>
      <c r="M4659">
        <v>22.772584200341502</v>
      </c>
      <c r="N4659">
        <v>47.693567570846099</v>
      </c>
      <c r="O4659">
        <v>47.157937760307</v>
      </c>
      <c r="P4659">
        <v>-0.11592187704839001</v>
      </c>
      <c r="Q4659">
        <v>3.9805026834818402E-2</v>
      </c>
      <c r="R4659">
        <v>0.99045757607131402</v>
      </c>
      <c r="S4659" t="s">
        <v>11061</v>
      </c>
      <c r="T4659" t="s">
        <v>12802</v>
      </c>
      <c r="U4659" t="s">
        <v>12802</v>
      </c>
      <c r="V4659" t="s">
        <v>12802</v>
      </c>
      <c r="W4659" t="s">
        <v>17401</v>
      </c>
      <c r="X4659">
        <v>23</v>
      </c>
      <c r="Y4659" t="s">
        <v>23620</v>
      </c>
      <c r="Z4659" t="s">
        <v>29977</v>
      </c>
      <c r="AA4659">
        <v>0.38628539421833641</v>
      </c>
      <c r="AB4659" t="str">
        <f>HYPERLINK("Melting_Curves/meltCurve_Q8WVM8_SCFD1.pdf", "Melting_Curves/meltCurve_Q8WVM8_SCFD1.pdf")</f>
        <v>Melting_Curves/meltCurve_Q8WVM8_SCFD1.pdf</v>
      </c>
    </row>
    <row r="4660" spans="1:28" x14ac:dyDescent="0.25">
      <c r="A4660" t="s">
        <v>4664</v>
      </c>
      <c r="B4660">
        <v>0.99542014353169495</v>
      </c>
      <c r="C4660">
        <v>0.99427123968967301</v>
      </c>
      <c r="D4660">
        <v>0.95749236100432999</v>
      </c>
      <c r="E4660">
        <v>0.80466703338643097</v>
      </c>
      <c r="F4660">
        <v>0.69194057569576295</v>
      </c>
      <c r="G4660">
        <v>0.40422211908016498</v>
      </c>
      <c r="H4660">
        <v>0.19151525511616899</v>
      </c>
      <c r="I4660">
        <v>8.4889937594570503E-2</v>
      </c>
      <c r="J4660">
        <v>6.05849372112248E-2</v>
      </c>
      <c r="K4660">
        <v>7.1066774151782003E-2</v>
      </c>
      <c r="L4660">
        <v>772.51523899202198</v>
      </c>
      <c r="M4660">
        <v>14.7809614605468</v>
      </c>
      <c r="N4660">
        <v>52.282801495118399</v>
      </c>
      <c r="O4660">
        <v>51.335533627901398</v>
      </c>
      <c r="P4660">
        <v>-7.1801084947106394E-2</v>
      </c>
      <c r="Q4660">
        <v>2.6216918225934198E-3</v>
      </c>
      <c r="R4660">
        <v>0.99533935219880498</v>
      </c>
      <c r="S4660" t="s">
        <v>11062</v>
      </c>
      <c r="T4660" t="s">
        <v>12802</v>
      </c>
      <c r="U4660" t="s">
        <v>12802</v>
      </c>
      <c r="V4660" t="s">
        <v>12802</v>
      </c>
      <c r="W4660" t="s">
        <v>17402</v>
      </c>
      <c r="X4660">
        <v>8</v>
      </c>
      <c r="Y4660" t="s">
        <v>23621</v>
      </c>
      <c r="Z4660" t="s">
        <v>29978</v>
      </c>
      <c r="AA4660">
        <v>0.52917605589873895</v>
      </c>
      <c r="AB4660" t="str">
        <f>HYPERLINK("Melting_Curves/meltCurve_Q8WVQ1_CANT1.pdf", "Melting_Curves/meltCurve_Q8WVQ1_CANT1.pdf")</f>
        <v>Melting_Curves/meltCurve_Q8WVQ1_CANT1.pdf</v>
      </c>
    </row>
    <row r="4661" spans="1:28" x14ac:dyDescent="0.25">
      <c r="A4661" t="s">
        <v>4665</v>
      </c>
      <c r="B4661">
        <v>0.99542014353169495</v>
      </c>
      <c r="C4661">
        <v>0.83709797558086096</v>
      </c>
      <c r="D4661">
        <v>0.884416839650084</v>
      </c>
      <c r="E4661">
        <v>0.486909271209432</v>
      </c>
      <c r="F4661">
        <v>0.16521465478476399</v>
      </c>
      <c r="G4661">
        <v>0.108856169591001</v>
      </c>
      <c r="H4661">
        <v>7.0974655600327105E-2</v>
      </c>
      <c r="I4661">
        <v>6.9264415918476901E-2</v>
      </c>
      <c r="J4661">
        <v>6.9079893331179906E-2</v>
      </c>
      <c r="K4661">
        <v>6.5175387838578805E-2</v>
      </c>
      <c r="L4661">
        <v>1025.1108862421499</v>
      </c>
      <c r="M4661">
        <v>22.2168059121583</v>
      </c>
      <c r="N4661">
        <v>46.4149468918501</v>
      </c>
      <c r="O4661">
        <v>45.772270147742503</v>
      </c>
      <c r="P4661">
        <v>-0.113896514276822</v>
      </c>
      <c r="Q4661">
        <v>6.1396753942228502E-2</v>
      </c>
      <c r="R4661">
        <v>0.98474038058382296</v>
      </c>
      <c r="S4661" t="s">
        <v>11063</v>
      </c>
      <c r="T4661" t="s">
        <v>12802</v>
      </c>
      <c r="U4661" t="s">
        <v>12802</v>
      </c>
      <c r="V4661" t="s">
        <v>12802</v>
      </c>
      <c r="W4661" t="s">
        <v>17403</v>
      </c>
      <c r="X4661">
        <v>9</v>
      </c>
      <c r="Y4661" t="s">
        <v>23622</v>
      </c>
      <c r="Z4661" t="s">
        <v>29979</v>
      </c>
      <c r="AA4661">
        <v>0.35731005184318082</v>
      </c>
      <c r="AB4661" t="str">
        <f>HYPERLINK("Melting_Curves/meltCurve_Q8WVT3_TRAPPC12.pdf", "Melting_Curves/meltCurve_Q8WVT3_TRAPPC12.pdf")</f>
        <v>Melting_Curves/meltCurve_Q8WVT3_TRAPPC12.pdf</v>
      </c>
    </row>
    <row r="4662" spans="1:28" x14ac:dyDescent="0.25">
      <c r="A4662" t="s">
        <v>4666</v>
      </c>
      <c r="B4662">
        <v>0.99542014353169495</v>
      </c>
      <c r="C4662">
        <v>1.03264011910676</v>
      </c>
      <c r="D4662">
        <v>1.0183205966192099</v>
      </c>
      <c r="E4662">
        <v>0.80134669137506098</v>
      </c>
      <c r="F4662">
        <v>0.62485770605634505</v>
      </c>
      <c r="G4662">
        <v>0.29354971188255802</v>
      </c>
      <c r="H4662">
        <v>0.13024489652985899</v>
      </c>
      <c r="I4662">
        <v>7.4166978973546294E-2</v>
      </c>
      <c r="J4662">
        <v>7.3689338087322906E-2</v>
      </c>
      <c r="K4662">
        <v>8.2335986694088995E-2</v>
      </c>
      <c r="L4662">
        <v>975.068445818962</v>
      </c>
      <c r="M4662">
        <v>19.1599214427555</v>
      </c>
      <c r="N4662">
        <v>51.179190206430398</v>
      </c>
      <c r="O4662">
        <v>50.346410521763403</v>
      </c>
      <c r="P4662">
        <v>-9.0279614922535806E-2</v>
      </c>
      <c r="Q4662">
        <v>5.1128089445970498E-2</v>
      </c>
      <c r="R4662">
        <v>0.99410407863356998</v>
      </c>
      <c r="S4662" t="s">
        <v>11064</v>
      </c>
      <c r="T4662" t="s">
        <v>12802</v>
      </c>
      <c r="U4662" t="s">
        <v>12802</v>
      </c>
      <c r="V4662" t="s">
        <v>12802</v>
      </c>
      <c r="W4662" t="s">
        <v>17404</v>
      </c>
      <c r="X4662">
        <v>12</v>
      </c>
      <c r="Y4662" t="s">
        <v>23623</v>
      </c>
      <c r="Z4662" t="s">
        <v>29980</v>
      </c>
      <c r="AA4662">
        <v>0.50383828878352732</v>
      </c>
      <c r="AB4662" t="str">
        <f>HYPERLINK("Melting_Curves/meltCurve_Q8WVX9_FAR1.pdf", "Melting_Curves/meltCurve_Q8WVX9_FAR1.pdf")</f>
        <v>Melting_Curves/meltCurve_Q8WVX9_FAR1.pdf</v>
      </c>
    </row>
    <row r="4663" spans="1:28" x14ac:dyDescent="0.25">
      <c r="A4663" t="s">
        <v>4667</v>
      </c>
      <c r="B4663">
        <v>0.99542014353169495</v>
      </c>
      <c r="C4663">
        <v>1.1487962339582001</v>
      </c>
      <c r="D4663">
        <v>1.0326096830531499</v>
      </c>
      <c r="E4663">
        <v>0.96388613123748001</v>
      </c>
      <c r="F4663">
        <v>0.37205104300533998</v>
      </c>
      <c r="G4663">
        <v>0.107837230340691</v>
      </c>
      <c r="H4663">
        <v>8.2002938659773997E-2</v>
      </c>
      <c r="I4663">
        <v>5.5485382975881799E-2</v>
      </c>
      <c r="J4663">
        <v>5.9834542451777398E-2</v>
      </c>
      <c r="K4663">
        <v>5.6148652827941001E-2</v>
      </c>
      <c r="L4663">
        <v>2419.90234141981</v>
      </c>
      <c r="M4663">
        <v>48.913183081620097</v>
      </c>
      <c r="N4663">
        <v>49.6216194361836</v>
      </c>
      <c r="O4663">
        <v>49.390933524080502</v>
      </c>
      <c r="P4663">
        <v>-0.23075665285983399</v>
      </c>
      <c r="Q4663">
        <v>6.7958766041194094E-2</v>
      </c>
      <c r="R4663">
        <v>0.98838840791628002</v>
      </c>
      <c r="S4663" t="s">
        <v>11065</v>
      </c>
      <c r="T4663" t="s">
        <v>12802</v>
      </c>
      <c r="U4663" t="s">
        <v>12802</v>
      </c>
      <c r="V4663" t="s">
        <v>12802</v>
      </c>
      <c r="W4663" t="s">
        <v>17405</v>
      </c>
      <c r="X4663">
        <v>7</v>
      </c>
      <c r="Y4663" t="s">
        <v>23624</v>
      </c>
      <c r="Z4663" t="s">
        <v>29981</v>
      </c>
      <c r="AA4663">
        <v>0.45760917335735118</v>
      </c>
      <c r="AB4663" t="str">
        <f>HYPERLINK("Melting_Curves/meltCurve_Q8WVY7_UBLCP1.pdf", "Melting_Curves/meltCurve_Q8WVY7_UBLCP1.pdf")</f>
        <v>Melting_Curves/meltCurve_Q8WVY7_UBLCP1.pdf</v>
      </c>
    </row>
    <row r="4664" spans="1:28" x14ac:dyDescent="0.25">
      <c r="A4664" t="s">
        <v>4668</v>
      </c>
      <c r="B4664">
        <v>0.99542014353169495</v>
      </c>
      <c r="C4664">
        <v>1.0558560431035</v>
      </c>
      <c r="D4664">
        <v>1.0187880431801899</v>
      </c>
      <c r="E4664">
        <v>0.87983266898745305</v>
      </c>
      <c r="F4664">
        <v>0.78305950897396503</v>
      </c>
      <c r="G4664">
        <v>0.43286377068078202</v>
      </c>
      <c r="H4664">
        <v>0.205939773902621</v>
      </c>
      <c r="I4664">
        <v>0.12382036717415799</v>
      </c>
      <c r="J4664">
        <v>0.15304597470086101</v>
      </c>
      <c r="K4664">
        <v>0.22105420613957499</v>
      </c>
      <c r="L4664">
        <v>1285.3612349498501</v>
      </c>
      <c r="M4664">
        <v>24.656478126327499</v>
      </c>
      <c r="N4664">
        <v>52.900314247827197</v>
      </c>
      <c r="O4664">
        <v>51.791488653300902</v>
      </c>
      <c r="P4664">
        <v>-0.10108335813647699</v>
      </c>
      <c r="Q4664">
        <v>0.150700579417301</v>
      </c>
      <c r="R4664">
        <v>0.98730414717291204</v>
      </c>
      <c r="S4664" t="s">
        <v>11066</v>
      </c>
      <c r="T4664" t="s">
        <v>12802</v>
      </c>
      <c r="U4664" t="s">
        <v>12802</v>
      </c>
      <c r="V4664" t="s">
        <v>12802</v>
      </c>
      <c r="W4664" t="s">
        <v>17406</v>
      </c>
      <c r="X4664">
        <v>4</v>
      </c>
      <c r="Y4664" t="s">
        <v>23625</v>
      </c>
      <c r="Z4664" t="s">
        <v>29982</v>
      </c>
      <c r="AA4664">
        <v>0.58676520204184901</v>
      </c>
      <c r="AB4664" t="str">
        <f>HYPERLINK("Melting_Curves/meltCurve_Q8WW01_TSEN15.pdf", "Melting_Curves/meltCurve_Q8WW01_TSEN15.pdf")</f>
        <v>Melting_Curves/meltCurve_Q8WW01_TSEN15.pdf</v>
      </c>
    </row>
    <row r="4665" spans="1:28" x14ac:dyDescent="0.25">
      <c r="A4665" t="s">
        <v>4669</v>
      </c>
      <c r="B4665">
        <v>0.99542014353169495</v>
      </c>
      <c r="C4665">
        <v>1.03217734295508</v>
      </c>
      <c r="D4665">
        <v>1.00210493574003</v>
      </c>
      <c r="E4665">
        <v>1.06475463715846</v>
      </c>
      <c r="F4665">
        <v>0.98824671650478402</v>
      </c>
      <c r="G4665">
        <v>0.83382605243651398</v>
      </c>
      <c r="H4665">
        <v>0.717880842300052</v>
      </c>
      <c r="I4665">
        <v>0.65443595361236495</v>
      </c>
      <c r="J4665">
        <v>1.0947728149957501</v>
      </c>
      <c r="K4665">
        <v>1.2327671328304399</v>
      </c>
      <c r="L4665">
        <v>15000</v>
      </c>
      <c r="M4665">
        <v>233.633404620177</v>
      </c>
      <c r="O4665">
        <v>64.198424931850795</v>
      </c>
      <c r="P4665">
        <v>0.211787063569529</v>
      </c>
      <c r="Q4665">
        <v>1.2327817778360599</v>
      </c>
      <c r="R4665">
        <v>0.172737897996914</v>
      </c>
      <c r="S4665" t="s">
        <v>11067</v>
      </c>
      <c r="T4665" t="s">
        <v>12802</v>
      </c>
      <c r="U4665" t="s">
        <v>12802</v>
      </c>
      <c r="V4665" t="s">
        <v>12802</v>
      </c>
      <c r="W4665" t="s">
        <v>17407</v>
      </c>
      <c r="X4665">
        <v>12</v>
      </c>
      <c r="Y4665" t="s">
        <v>23626</v>
      </c>
      <c r="Z4665" t="s">
        <v>29983</v>
      </c>
      <c r="AA4665">
        <v>1.021671977443904</v>
      </c>
      <c r="AB4665" t="str">
        <f>HYPERLINK("Melting_Curves/meltCurve_Q8WW12_PCNP.pdf", "Melting_Curves/meltCurve_Q8WW12_PCNP.pdf")</f>
        <v>Melting_Curves/meltCurve_Q8WW12_PCNP.pdf</v>
      </c>
    </row>
    <row r="4666" spans="1:28" x14ac:dyDescent="0.25">
      <c r="A4666" t="s">
        <v>4670</v>
      </c>
      <c r="B4666">
        <v>0.99542014353169495</v>
      </c>
      <c r="C4666">
        <v>1.0388904539897099</v>
      </c>
      <c r="D4666">
        <v>0.95893607158953698</v>
      </c>
      <c r="E4666">
        <v>0.92411089268129698</v>
      </c>
      <c r="F4666">
        <v>0.74417312742226804</v>
      </c>
      <c r="G4666">
        <v>0.58666554204315402</v>
      </c>
      <c r="H4666">
        <v>0.31492222992910801</v>
      </c>
      <c r="I4666">
        <v>0.104210808993284</v>
      </c>
      <c r="J4666">
        <v>0.178629443615545</v>
      </c>
      <c r="K4666">
        <v>7.5829750050868297E-2</v>
      </c>
      <c r="L4666">
        <v>829.87505963865203</v>
      </c>
      <c r="M4666">
        <v>15.3329532549922</v>
      </c>
      <c r="N4666">
        <v>54.374339489325003</v>
      </c>
      <c r="O4666">
        <v>53.228053871831698</v>
      </c>
      <c r="P4666">
        <v>-6.9564064350749702E-2</v>
      </c>
      <c r="Q4666">
        <v>3.4128276359025302E-2</v>
      </c>
      <c r="R4666">
        <v>0.98885419600413704</v>
      </c>
      <c r="S4666" t="s">
        <v>11068</v>
      </c>
      <c r="T4666" t="s">
        <v>12802</v>
      </c>
      <c r="U4666" t="s">
        <v>12802</v>
      </c>
      <c r="V4666" t="s">
        <v>12802</v>
      </c>
      <c r="W4666" t="s">
        <v>17408</v>
      </c>
      <c r="X4666">
        <v>5</v>
      </c>
      <c r="Y4666" t="s">
        <v>23627</v>
      </c>
      <c r="Z4666" t="s">
        <v>29984</v>
      </c>
      <c r="AA4666">
        <v>0.60061695473819021</v>
      </c>
      <c r="AB4666" t="str">
        <f>HYPERLINK("Melting_Curves/meltCurve_Q8WW59_SPRYD4.pdf", "Melting_Curves/meltCurve_Q8WW59_SPRYD4.pdf")</f>
        <v>Melting_Curves/meltCurve_Q8WW59_SPRYD4.pdf</v>
      </c>
    </row>
    <row r="4667" spans="1:28" x14ac:dyDescent="0.25">
      <c r="A4667" t="s">
        <v>4671</v>
      </c>
      <c r="B4667">
        <v>0.99542014353169495</v>
      </c>
      <c r="C4667">
        <v>1.1391992481334099</v>
      </c>
      <c r="D4667">
        <v>0.92247054811096996</v>
      </c>
      <c r="E4667">
        <v>0.79854891983451404</v>
      </c>
      <c r="F4667">
        <v>0.63212973531190197</v>
      </c>
      <c r="G4667">
        <v>0.48789225874839398</v>
      </c>
      <c r="H4667">
        <v>0.33691709849271601</v>
      </c>
      <c r="I4667">
        <v>0.27540115617753502</v>
      </c>
      <c r="J4667">
        <v>7.7268723144957099E-2</v>
      </c>
      <c r="K4667">
        <v>3.7287334333960503E-2</v>
      </c>
      <c r="L4667">
        <v>593.39731649283306</v>
      </c>
      <c r="M4667">
        <v>11.1282290949987</v>
      </c>
      <c r="N4667">
        <v>53.323607430489403</v>
      </c>
      <c r="O4667">
        <v>51.688574628101598</v>
      </c>
      <c r="P4667">
        <v>-5.3840826476508397E-2</v>
      </c>
      <c r="Q4667">
        <v>0</v>
      </c>
      <c r="R4667">
        <v>0.96911750367598304</v>
      </c>
      <c r="S4667" t="s">
        <v>11069</v>
      </c>
      <c r="T4667" t="s">
        <v>12802</v>
      </c>
      <c r="U4667" t="s">
        <v>12802</v>
      </c>
      <c r="V4667" t="s">
        <v>12802</v>
      </c>
      <c r="W4667" t="s">
        <v>17409</v>
      </c>
      <c r="X4667">
        <v>2</v>
      </c>
      <c r="Y4667" t="s">
        <v>23628</v>
      </c>
      <c r="Z4667" t="s">
        <v>29985</v>
      </c>
      <c r="AA4667">
        <v>0.56474827110841908</v>
      </c>
      <c r="AB4667" t="str">
        <f>HYPERLINK("Melting_Curves/meltCurve_Q8WWB7_2_C1orf85.pdf", "Melting_Curves/meltCurve_Q8WWB7_2_C1orf85.pdf")</f>
        <v>Melting_Curves/meltCurve_Q8WWB7_2_C1orf85.pdf</v>
      </c>
    </row>
    <row r="4668" spans="1:28" x14ac:dyDescent="0.25">
      <c r="A4668" t="s">
        <v>4672</v>
      </c>
      <c r="B4668">
        <v>0.99542014353169495</v>
      </c>
      <c r="C4668">
        <v>0.94257976493884899</v>
      </c>
      <c r="D4668">
        <v>0.83712968624671602</v>
      </c>
      <c r="E4668">
        <v>0.65235595633963295</v>
      </c>
      <c r="F4668">
        <v>0.35594964300447002</v>
      </c>
      <c r="G4668">
        <v>0.20224331394129799</v>
      </c>
      <c r="H4668">
        <v>0.104695789333191</v>
      </c>
      <c r="I4668">
        <v>7.342448460737E-2</v>
      </c>
      <c r="J4668">
        <v>6.5695549261356595E-2</v>
      </c>
      <c r="K4668">
        <v>7.0506944990156195E-2</v>
      </c>
      <c r="L4668">
        <v>721.33872978920203</v>
      </c>
      <c r="M4668">
        <v>15.034172251233</v>
      </c>
      <c r="N4668">
        <v>48.264616156552599</v>
      </c>
      <c r="O4668">
        <v>47.155062917799199</v>
      </c>
      <c r="P4668">
        <v>-7.6331899031478107E-2</v>
      </c>
      <c r="Q4668">
        <v>4.2428130583993098E-2</v>
      </c>
      <c r="R4668">
        <v>0.99859977916607501</v>
      </c>
      <c r="S4668" t="s">
        <v>11070</v>
      </c>
      <c r="T4668" t="s">
        <v>12802</v>
      </c>
      <c r="U4668" t="s">
        <v>12802</v>
      </c>
      <c r="V4668" t="s">
        <v>12802</v>
      </c>
      <c r="W4668" t="s">
        <v>17410</v>
      </c>
      <c r="X4668">
        <v>4</v>
      </c>
      <c r="Y4668" t="s">
        <v>23629</v>
      </c>
      <c r="Z4668" t="s">
        <v>29986</v>
      </c>
      <c r="AA4668">
        <v>0.41391641535962498</v>
      </c>
      <c r="AB4668" t="str">
        <f>HYPERLINK("Melting_Curves/meltCurve_Q8WWC4_C2orf47.pdf", "Melting_Curves/meltCurve_Q8WWC4_C2orf47.pdf")</f>
        <v>Melting_Curves/meltCurve_Q8WWC4_C2orf47.pdf</v>
      </c>
    </row>
    <row r="4669" spans="1:28" x14ac:dyDescent="0.25">
      <c r="A4669" t="s">
        <v>4673</v>
      </c>
      <c r="B4669">
        <v>0.99542014353169495</v>
      </c>
      <c r="C4669">
        <v>1.04084581617203</v>
      </c>
      <c r="D4669">
        <v>0.96977929021003195</v>
      </c>
      <c r="E4669">
        <v>0.72341980454403798</v>
      </c>
      <c r="F4669">
        <v>0.32502137783148499</v>
      </c>
      <c r="G4669">
        <v>0.121286490227275</v>
      </c>
      <c r="H4669">
        <v>4.7985410377861699E-2</v>
      </c>
      <c r="I4669">
        <v>5.4507986157663897E-2</v>
      </c>
      <c r="J4669">
        <v>6.6273934952120195E-2</v>
      </c>
      <c r="K4669">
        <v>9.6850049450792106E-2</v>
      </c>
      <c r="L4669">
        <v>1253.10022270485</v>
      </c>
      <c r="M4669">
        <v>25.965688641868699</v>
      </c>
      <c r="N4669">
        <v>48.508563215734199</v>
      </c>
      <c r="O4669">
        <v>47.976308711362101</v>
      </c>
      <c r="P4669">
        <v>-0.12687326924033701</v>
      </c>
      <c r="Q4669">
        <v>6.2325088632426001E-2</v>
      </c>
      <c r="R4669">
        <v>0.99738150810789705</v>
      </c>
      <c r="S4669" t="s">
        <v>11071</v>
      </c>
      <c r="T4669" t="s">
        <v>12802</v>
      </c>
      <c r="U4669" t="s">
        <v>12802</v>
      </c>
      <c r="V4669" t="s">
        <v>12802</v>
      </c>
      <c r="W4669" t="s">
        <v>17411</v>
      </c>
      <c r="X4669">
        <v>5</v>
      </c>
      <c r="Y4669" t="s">
        <v>23630</v>
      </c>
      <c r="Z4669" t="s">
        <v>29987</v>
      </c>
      <c r="AA4669">
        <v>0.42170316252750811</v>
      </c>
      <c r="AB4669" t="str">
        <f>HYPERLINK("Melting_Curves/meltCurve_Q8WWH5_TRUB1.pdf", "Melting_Curves/meltCurve_Q8WWH5_TRUB1.pdf")</f>
        <v>Melting_Curves/meltCurve_Q8WWH5_TRUB1.pdf</v>
      </c>
    </row>
    <row r="4670" spans="1:28" x14ac:dyDescent="0.25">
      <c r="A4670" t="s">
        <v>4674</v>
      </c>
      <c r="B4670">
        <v>0.99542014353169495</v>
      </c>
      <c r="C4670">
        <v>0.93946665422398301</v>
      </c>
      <c r="D4670">
        <v>0.92829515289265596</v>
      </c>
      <c r="E4670">
        <v>0.931439918582601</v>
      </c>
      <c r="F4670">
        <v>0.77419947211278795</v>
      </c>
      <c r="G4670">
        <v>0.34390644461887698</v>
      </c>
      <c r="H4670">
        <v>0.142517018894429</v>
      </c>
      <c r="I4670">
        <v>0.103235569460155</v>
      </c>
      <c r="J4670">
        <v>8.1114683350544406E-2</v>
      </c>
      <c r="K4670">
        <v>7.8420749125705694E-2</v>
      </c>
      <c r="L4670">
        <v>1409.0552053373499</v>
      </c>
      <c r="M4670">
        <v>27.042636119375999</v>
      </c>
      <c r="N4670">
        <v>52.427402234484099</v>
      </c>
      <c r="O4670">
        <v>51.822523675751903</v>
      </c>
      <c r="P4670">
        <v>-0.120464178394162</v>
      </c>
      <c r="Q4670">
        <v>7.6614236523593504E-2</v>
      </c>
      <c r="R4670">
        <v>0.99354602828568706</v>
      </c>
      <c r="S4670" t="s">
        <v>11072</v>
      </c>
      <c r="T4670" t="s">
        <v>12802</v>
      </c>
      <c r="U4670" t="s">
        <v>12802</v>
      </c>
      <c r="V4670" t="s">
        <v>12802</v>
      </c>
      <c r="W4670" t="s">
        <v>17412</v>
      </c>
      <c r="X4670">
        <v>1</v>
      </c>
      <c r="Y4670" t="s">
        <v>23631</v>
      </c>
      <c r="Z4670" t="s">
        <v>29988</v>
      </c>
      <c r="AA4670">
        <v>0.54862850226013926</v>
      </c>
      <c r="AB4670" t="str">
        <f>HYPERLINK("Melting_Curves/meltCurve_Q8WWL7_CCNB3.pdf", "Melting_Curves/meltCurve_Q8WWL7_CCNB3.pdf")</f>
        <v>Melting_Curves/meltCurve_Q8WWL7_CCNB3.pdf</v>
      </c>
    </row>
    <row r="4671" spans="1:28" x14ac:dyDescent="0.25">
      <c r="A4671" t="s">
        <v>4675</v>
      </c>
      <c r="B4671">
        <v>0.99542014353169495</v>
      </c>
      <c r="C4671">
        <v>0.94241325911229101</v>
      </c>
      <c r="D4671">
        <v>1.00806698573307</v>
      </c>
      <c r="E4671">
        <v>0.83780166320486904</v>
      </c>
      <c r="F4671">
        <v>0.56687690339812202</v>
      </c>
      <c r="G4671">
        <v>0.38919553228207898</v>
      </c>
      <c r="H4671">
        <v>0.13902608147475701</v>
      </c>
      <c r="I4671">
        <v>5.4139414546362903E-2</v>
      </c>
      <c r="J4671">
        <v>5.4540004997155299E-2</v>
      </c>
      <c r="K4671">
        <v>6.0662642475152802E-2</v>
      </c>
      <c r="L4671">
        <v>831.86451601216504</v>
      </c>
      <c r="M4671">
        <v>16.1909995766765</v>
      </c>
      <c r="N4671">
        <v>51.466031384046197</v>
      </c>
      <c r="O4671">
        <v>50.613618916866997</v>
      </c>
      <c r="P4671">
        <v>-7.8889749836972195E-2</v>
      </c>
      <c r="Q4671">
        <v>1.36255705875161E-2</v>
      </c>
      <c r="R4671">
        <v>0.99287429089708501</v>
      </c>
      <c r="S4671" t="s">
        <v>11073</v>
      </c>
      <c r="T4671" t="s">
        <v>12802</v>
      </c>
      <c r="U4671" t="s">
        <v>12802</v>
      </c>
      <c r="V4671" t="s">
        <v>12802</v>
      </c>
      <c r="W4671" t="s">
        <v>13827</v>
      </c>
      <c r="X4671">
        <v>33</v>
      </c>
      <c r="Y4671" t="s">
        <v>20146</v>
      </c>
      <c r="Z4671" t="s">
        <v>29989</v>
      </c>
      <c r="AA4671">
        <v>0.50402852550938548</v>
      </c>
      <c r="AB4671" t="str">
        <f>HYPERLINK("Melting_Curves/meltCurve_Q8WWM7_ATXN2L.pdf", "Melting_Curves/meltCurve_Q8WWM7_ATXN2L.pdf")</f>
        <v>Melting_Curves/meltCurve_Q8WWM7_ATXN2L.pdf</v>
      </c>
    </row>
    <row r="4672" spans="1:28" x14ac:dyDescent="0.25">
      <c r="A4672" t="s">
        <v>4676</v>
      </c>
      <c r="B4672">
        <v>0.99542014353169495</v>
      </c>
      <c r="C4672">
        <v>0.93836060946055799</v>
      </c>
      <c r="D4672">
        <v>0.80307984462572601</v>
      </c>
      <c r="E4672">
        <v>0.52114766547459501</v>
      </c>
      <c r="F4672">
        <v>0.17771972113008799</v>
      </c>
      <c r="G4672">
        <v>9.1188400393790697E-2</v>
      </c>
      <c r="H4672">
        <v>5.4783796640416403E-2</v>
      </c>
      <c r="I4672">
        <v>3.8341728527150898E-2</v>
      </c>
      <c r="J4672">
        <v>3.7962606176585402E-2</v>
      </c>
      <c r="K4672">
        <v>3.7083108578526799E-2</v>
      </c>
      <c r="L4672">
        <v>884.07333793560701</v>
      </c>
      <c r="M4672">
        <v>19.078446382637601</v>
      </c>
      <c r="N4672">
        <v>46.479903263121798</v>
      </c>
      <c r="O4672">
        <v>45.838757155094697</v>
      </c>
      <c r="P4672">
        <v>-0.101129354550702</v>
      </c>
      <c r="Q4672">
        <v>2.81259752618882E-2</v>
      </c>
      <c r="R4672">
        <v>0.99804614967755401</v>
      </c>
      <c r="S4672" t="s">
        <v>11074</v>
      </c>
      <c r="T4672" t="s">
        <v>12802</v>
      </c>
      <c r="U4672" t="s">
        <v>12802</v>
      </c>
      <c r="V4672" t="s">
        <v>12802</v>
      </c>
      <c r="W4672" t="s">
        <v>17413</v>
      </c>
      <c r="X4672">
        <v>6</v>
      </c>
      <c r="Y4672" t="s">
        <v>23632</v>
      </c>
      <c r="Z4672" t="s">
        <v>29990</v>
      </c>
      <c r="AA4672">
        <v>0.34462622595617848</v>
      </c>
      <c r="AB4672" t="str">
        <f>HYPERLINK("Melting_Curves/meltCurve_Q8WWV3_RTN4IP1.pdf", "Melting_Curves/meltCurve_Q8WWV3_RTN4IP1.pdf")</f>
        <v>Melting_Curves/meltCurve_Q8WWV3_RTN4IP1.pdf</v>
      </c>
    </row>
    <row r="4673" spans="1:28" x14ac:dyDescent="0.25">
      <c r="A4673" t="s">
        <v>4677</v>
      </c>
      <c r="B4673">
        <v>0.99542014353169495</v>
      </c>
      <c r="C4673">
        <v>0.95229031642030704</v>
      </c>
      <c r="D4673">
        <v>0.96406889899442905</v>
      </c>
      <c r="E4673">
        <v>0.81237447993399603</v>
      </c>
      <c r="F4673">
        <v>0.62277907283021605</v>
      </c>
      <c r="G4673">
        <v>0.34843195652887099</v>
      </c>
      <c r="H4673">
        <v>0.17085344844675299</v>
      </c>
      <c r="I4673">
        <v>0.116969949815604</v>
      </c>
      <c r="J4673">
        <v>0.15967155575723199</v>
      </c>
      <c r="K4673">
        <v>0.132506319227324</v>
      </c>
      <c r="L4673">
        <v>887.99012571889295</v>
      </c>
      <c r="M4673">
        <v>17.511142223931301</v>
      </c>
      <c r="N4673">
        <v>51.391059354403701</v>
      </c>
      <c r="O4673">
        <v>50.0625441345856</v>
      </c>
      <c r="P4673">
        <v>-7.8395077962700996E-2</v>
      </c>
      <c r="Q4673">
        <v>0.103555622464024</v>
      </c>
      <c r="R4673">
        <v>0.99450153603316604</v>
      </c>
      <c r="S4673" t="s">
        <v>11075</v>
      </c>
      <c r="T4673" t="s">
        <v>12802</v>
      </c>
      <c r="U4673" t="s">
        <v>12802</v>
      </c>
      <c r="V4673" t="s">
        <v>12802</v>
      </c>
      <c r="W4673" t="s">
        <v>17414</v>
      </c>
      <c r="X4673">
        <v>2</v>
      </c>
      <c r="Y4673" t="s">
        <v>23633</v>
      </c>
      <c r="Z4673" t="s">
        <v>29991</v>
      </c>
      <c r="AA4673">
        <v>0.52782364004580484</v>
      </c>
      <c r="AB4673" t="str">
        <f>HYPERLINK("Melting_Curves/meltCurve_Q8WWW0_3_RASSF5.pdf", "Melting_Curves/meltCurve_Q8WWW0_3_RASSF5.pdf")</f>
        <v>Melting_Curves/meltCurve_Q8WWW0_3_RASSF5.pdf</v>
      </c>
    </row>
    <row r="4674" spans="1:28" x14ac:dyDescent="0.25">
      <c r="A4674" t="s">
        <v>4678</v>
      </c>
      <c r="B4674">
        <v>0.99542014353169495</v>
      </c>
      <c r="C4674">
        <v>1.0202514172277499</v>
      </c>
      <c r="D4674">
        <v>0.95122769174361499</v>
      </c>
      <c r="E4674">
        <v>0.85328162152881004</v>
      </c>
      <c r="F4674">
        <v>0.74621669479756803</v>
      </c>
      <c r="G4674">
        <v>0.67585645937623096</v>
      </c>
      <c r="H4674">
        <v>0.436860282885423</v>
      </c>
      <c r="I4674">
        <v>0.43385180887048003</v>
      </c>
      <c r="J4674">
        <v>0.49628680918324902</v>
      </c>
      <c r="K4674">
        <v>0.56099781497307799</v>
      </c>
      <c r="L4674">
        <v>819.54869231667101</v>
      </c>
      <c r="M4674">
        <v>16.333058580832802</v>
      </c>
      <c r="N4674">
        <v>60.725410644786002</v>
      </c>
      <c r="O4674">
        <v>49.4431767686537</v>
      </c>
      <c r="P4674">
        <v>-4.3715222917795303E-2</v>
      </c>
      <c r="Q4674">
        <v>0.470701907177278</v>
      </c>
      <c r="R4674">
        <v>0.94311394707862395</v>
      </c>
      <c r="S4674" t="s">
        <v>11076</v>
      </c>
      <c r="T4674" t="s">
        <v>12802</v>
      </c>
      <c r="U4674" t="s">
        <v>12802</v>
      </c>
      <c r="V4674" t="s">
        <v>12802</v>
      </c>
      <c r="W4674" t="s">
        <v>17415</v>
      </c>
      <c r="X4674">
        <v>1</v>
      </c>
      <c r="Y4674" t="s">
        <v>23634</v>
      </c>
      <c r="Z4674" t="s">
        <v>29992</v>
      </c>
      <c r="AA4674">
        <v>0.71289347269015435</v>
      </c>
      <c r="AB4674" t="str">
        <f>HYPERLINK("Melting_Curves/meltCurve_Q8WWX9_SELM.pdf", "Melting_Curves/meltCurve_Q8WWX9_SELM.pdf")</f>
        <v>Melting_Curves/meltCurve_Q8WWX9_SELM.pdf</v>
      </c>
    </row>
    <row r="4675" spans="1:28" x14ac:dyDescent="0.25">
      <c r="A4675" t="s">
        <v>4679</v>
      </c>
      <c r="B4675">
        <v>0.99542014353169495</v>
      </c>
      <c r="C4675">
        <v>0.93092264920500201</v>
      </c>
      <c r="D4675">
        <v>0.66851567302953496</v>
      </c>
      <c r="E4675">
        <v>0.334446162964538</v>
      </c>
      <c r="F4675">
        <v>0.21291208175043</v>
      </c>
      <c r="G4675">
        <v>0.107696920683232</v>
      </c>
      <c r="H4675">
        <v>5.5399255641339601E-2</v>
      </c>
      <c r="I4675">
        <v>4.1461991717595501E-2</v>
      </c>
      <c r="J4675">
        <v>4.0759927543104903E-2</v>
      </c>
      <c r="K4675">
        <v>2.72722556231666E-2</v>
      </c>
      <c r="L4675">
        <v>774.93408144383898</v>
      </c>
      <c r="M4675">
        <v>17.313005811101601</v>
      </c>
      <c r="N4675">
        <v>44.9808032030272</v>
      </c>
      <c r="O4675">
        <v>44.175861314488401</v>
      </c>
      <c r="P4675">
        <v>-9.3995670994344999E-2</v>
      </c>
      <c r="Q4675">
        <v>4.0697854611086097E-2</v>
      </c>
      <c r="R4675">
        <v>0.99593246312775996</v>
      </c>
      <c r="S4675" t="s">
        <v>11077</v>
      </c>
      <c r="T4675" t="s">
        <v>12802</v>
      </c>
      <c r="U4675" t="s">
        <v>12802</v>
      </c>
      <c r="V4675" t="s">
        <v>12802</v>
      </c>
      <c r="W4675" t="s">
        <v>17416</v>
      </c>
      <c r="X4675">
        <v>7</v>
      </c>
      <c r="Y4675" t="s">
        <v>23635</v>
      </c>
      <c r="Z4675" t="s">
        <v>29993</v>
      </c>
      <c r="AA4675">
        <v>0.30599001287405919</v>
      </c>
      <c r="AB4675" t="str">
        <f>HYPERLINK("Melting_Curves/meltCurve_Q8WWY3_PRPF31.pdf", "Melting_Curves/meltCurve_Q8WWY3_PRPF31.pdf")</f>
        <v>Melting_Curves/meltCurve_Q8WWY3_PRPF31.pdf</v>
      </c>
    </row>
    <row r="4676" spans="1:28" x14ac:dyDescent="0.25">
      <c r="A4676" t="s">
        <v>4680</v>
      </c>
      <c r="B4676">
        <v>0.99542014353169495</v>
      </c>
      <c r="C4676">
        <v>0.955309857150071</v>
      </c>
      <c r="D4676">
        <v>0.95409308593429598</v>
      </c>
      <c r="E4676">
        <v>0.65287537872804202</v>
      </c>
      <c r="F4676">
        <v>0.32436584246707401</v>
      </c>
      <c r="G4676">
        <v>0.11220085478695099</v>
      </c>
      <c r="H4676">
        <v>4.9156362369798298E-2</v>
      </c>
      <c r="I4676">
        <v>1.68196995112537E-2</v>
      </c>
      <c r="J4676">
        <v>1.2786534306628799E-2</v>
      </c>
      <c r="K4676">
        <v>1.26496625380125E-2</v>
      </c>
      <c r="L4676">
        <v>976.67221410152297</v>
      </c>
      <c r="M4676">
        <v>20.260458201887101</v>
      </c>
      <c r="N4676">
        <v>48.2428033827753</v>
      </c>
      <c r="O4676">
        <v>47.743568217787299</v>
      </c>
      <c r="P4676">
        <v>-0.105275943597665</v>
      </c>
      <c r="Q4676">
        <v>7.7036751873562704E-3</v>
      </c>
      <c r="R4676">
        <v>0.99854879351843195</v>
      </c>
      <c r="S4676" t="s">
        <v>11078</v>
      </c>
      <c r="T4676" t="s">
        <v>12802</v>
      </c>
      <c r="U4676" t="s">
        <v>12802</v>
      </c>
      <c r="V4676" t="s">
        <v>12802</v>
      </c>
      <c r="W4676" t="s">
        <v>17417</v>
      </c>
      <c r="X4676">
        <v>14</v>
      </c>
      <c r="Y4676" t="s">
        <v>23636</v>
      </c>
      <c r="Z4676" t="s">
        <v>29994</v>
      </c>
      <c r="AA4676">
        <v>0.391086704619031</v>
      </c>
      <c r="AB4676" t="str">
        <f>HYPERLINK("Melting_Curves/meltCurve_Q8WX92_NELFB.pdf", "Melting_Curves/meltCurve_Q8WX92_NELFB.pdf")</f>
        <v>Melting_Curves/meltCurve_Q8WX92_NELFB.pdf</v>
      </c>
    </row>
    <row r="4677" spans="1:28" x14ac:dyDescent="0.25">
      <c r="A4677" t="s">
        <v>4681</v>
      </c>
      <c r="B4677">
        <v>0.99542014353169495</v>
      </c>
      <c r="C4677">
        <v>0.99581231013536298</v>
      </c>
      <c r="D4677">
        <v>0.96069577795004502</v>
      </c>
      <c r="E4677">
        <v>0.74659505708167195</v>
      </c>
      <c r="F4677">
        <v>0.33992080521527401</v>
      </c>
      <c r="G4677">
        <v>0.14793278117685099</v>
      </c>
      <c r="H4677">
        <v>8.8908642069264798E-2</v>
      </c>
      <c r="I4677">
        <v>6.7428969461850799E-2</v>
      </c>
      <c r="J4677">
        <v>6.9336039042193501E-2</v>
      </c>
      <c r="K4677">
        <v>6.3368280651995901E-2</v>
      </c>
      <c r="L4677">
        <v>1189.0921463233799</v>
      </c>
      <c r="M4677">
        <v>24.540925310126799</v>
      </c>
      <c r="N4677">
        <v>48.7339002247707</v>
      </c>
      <c r="O4677">
        <v>48.135162078871403</v>
      </c>
      <c r="P4677">
        <v>-0.11906563130963201</v>
      </c>
      <c r="Q4677">
        <v>6.5861142481330695E-2</v>
      </c>
      <c r="R4677">
        <v>0.999913645821774</v>
      </c>
      <c r="S4677" t="s">
        <v>11079</v>
      </c>
      <c r="T4677" t="s">
        <v>12802</v>
      </c>
      <c r="U4677" t="s">
        <v>12802</v>
      </c>
      <c r="V4677" t="s">
        <v>12802</v>
      </c>
      <c r="W4677" t="s">
        <v>17418</v>
      </c>
      <c r="X4677">
        <v>12</v>
      </c>
      <c r="Y4677" t="s">
        <v>23637</v>
      </c>
      <c r="Z4677" t="s">
        <v>29995</v>
      </c>
      <c r="AA4677">
        <v>0.43080642990359558</v>
      </c>
      <c r="AB4677" t="str">
        <f>HYPERLINK("Melting_Curves/meltCurve_Q8WXA9_2_SREK1.pdf", "Melting_Curves/meltCurve_Q8WXA9_2_SREK1.pdf")</f>
        <v>Melting_Curves/meltCurve_Q8WXA9_2_SREK1.pdf</v>
      </c>
    </row>
    <row r="4678" spans="1:28" x14ac:dyDescent="0.25">
      <c r="A4678" t="s">
        <v>4682</v>
      </c>
      <c r="B4678">
        <v>0.99542014353169495</v>
      </c>
      <c r="C4678">
        <v>0.975547128560734</v>
      </c>
      <c r="D4678">
        <v>0.95837735088127796</v>
      </c>
      <c r="E4678">
        <v>0.97702596468639002</v>
      </c>
      <c r="F4678">
        <v>0.78361930962820003</v>
      </c>
      <c r="G4678">
        <v>0.60460126027958305</v>
      </c>
      <c r="H4678">
        <v>0.53694369668838804</v>
      </c>
      <c r="I4678">
        <v>0.495766475704702</v>
      </c>
      <c r="J4678">
        <v>0.75980701155765196</v>
      </c>
      <c r="K4678">
        <v>0.96509907062793499</v>
      </c>
      <c r="L4678">
        <v>12516.5704826396</v>
      </c>
      <c r="M4678">
        <v>250</v>
      </c>
      <c r="O4678">
        <v>50.063092265898398</v>
      </c>
      <c r="P4678">
        <v>-0.40892973224748402</v>
      </c>
      <c r="Q4678">
        <v>0.67244350252289198</v>
      </c>
      <c r="R4678">
        <v>0.57560112099483296</v>
      </c>
      <c r="S4678" t="s">
        <v>11080</v>
      </c>
      <c r="T4678" t="s">
        <v>12802</v>
      </c>
      <c r="U4678" t="s">
        <v>12802</v>
      </c>
      <c r="V4678" t="s">
        <v>12802</v>
      </c>
      <c r="W4678" t="s">
        <v>17419</v>
      </c>
      <c r="X4678">
        <v>3</v>
      </c>
      <c r="Y4678" t="s">
        <v>23638</v>
      </c>
      <c r="Z4678" t="s">
        <v>29996</v>
      </c>
      <c r="AA4678">
        <v>0.81513713492732365</v>
      </c>
      <c r="AB4678" t="str">
        <f>HYPERLINK("Melting_Curves/meltCurve_Q8WXD2_SCG3.pdf", "Melting_Curves/meltCurve_Q8WXD2_SCG3.pdf")</f>
        <v>Melting_Curves/meltCurve_Q8WXD2_SCG3.pdf</v>
      </c>
    </row>
    <row r="4679" spans="1:28" x14ac:dyDescent="0.25">
      <c r="A4679" t="s">
        <v>4683</v>
      </c>
      <c r="B4679">
        <v>0.99542014353169495</v>
      </c>
      <c r="C4679">
        <v>0.94412322489440603</v>
      </c>
      <c r="D4679">
        <v>0.98224365485543996</v>
      </c>
      <c r="E4679">
        <v>0.80541300583064701</v>
      </c>
      <c r="F4679">
        <v>0.45798475553836698</v>
      </c>
      <c r="G4679">
        <v>0.478536304701218</v>
      </c>
      <c r="H4679">
        <v>0.35245664449451503</v>
      </c>
      <c r="I4679">
        <v>0.16987322273963201</v>
      </c>
      <c r="J4679">
        <v>0.143632431162868</v>
      </c>
      <c r="K4679">
        <v>0.10111347375681</v>
      </c>
      <c r="L4679">
        <v>561.59646846989494</v>
      </c>
      <c r="M4679">
        <v>10.8785283992428</v>
      </c>
      <c r="N4679">
        <v>52.083849817853199</v>
      </c>
      <c r="O4679">
        <v>49.9717228203125</v>
      </c>
      <c r="P4679">
        <v>-5.1951271615596102E-2</v>
      </c>
      <c r="Q4679">
        <v>4.57603728270937E-2</v>
      </c>
      <c r="R4679">
        <v>0.96947081255170597</v>
      </c>
      <c r="S4679" t="s">
        <v>11081</v>
      </c>
      <c r="T4679" t="s">
        <v>12802</v>
      </c>
      <c r="U4679" t="s">
        <v>12802</v>
      </c>
      <c r="V4679" t="s">
        <v>12802</v>
      </c>
      <c r="W4679" t="s">
        <v>17420</v>
      </c>
      <c r="X4679">
        <v>4</v>
      </c>
      <c r="Y4679" t="s">
        <v>23639</v>
      </c>
      <c r="Z4679" t="s">
        <v>29997</v>
      </c>
      <c r="AA4679">
        <v>0.53635416384681023</v>
      </c>
      <c r="AB4679" t="str">
        <f>HYPERLINK("Melting_Curves/meltCurve_Q8WXD5_GEMIN6.pdf", "Melting_Curves/meltCurve_Q8WXD5_GEMIN6.pdf")</f>
        <v>Melting_Curves/meltCurve_Q8WXD5_GEMIN6.pdf</v>
      </c>
    </row>
    <row r="4680" spans="1:28" x14ac:dyDescent="0.25">
      <c r="A4680" t="s">
        <v>4684</v>
      </c>
      <c r="B4680">
        <v>0.99542014353169495</v>
      </c>
      <c r="C4680">
        <v>1.0165591355116901</v>
      </c>
      <c r="D4680">
        <v>0.91948031472603697</v>
      </c>
      <c r="E4680">
        <v>0.72405839555180296</v>
      </c>
      <c r="F4680">
        <v>0.557771194806847</v>
      </c>
      <c r="G4680">
        <v>0.28585279221582799</v>
      </c>
      <c r="H4680">
        <v>0.27060520667500598</v>
      </c>
      <c r="I4680">
        <v>0.23400266696351499</v>
      </c>
      <c r="J4680">
        <v>0.22106432044400501</v>
      </c>
      <c r="K4680">
        <v>0.18879810831118801</v>
      </c>
      <c r="L4680">
        <v>812.62162053323698</v>
      </c>
      <c r="M4680">
        <v>16.632092561477201</v>
      </c>
      <c r="N4680">
        <v>50.347278487333803</v>
      </c>
      <c r="O4680">
        <v>48.168723632868002</v>
      </c>
      <c r="P4680">
        <v>-6.9560691318774001E-2</v>
      </c>
      <c r="Q4680">
        <v>0.194226647054243</v>
      </c>
      <c r="R4680">
        <v>0.99273676663975496</v>
      </c>
      <c r="S4680" t="s">
        <v>11082</v>
      </c>
      <c r="T4680" t="s">
        <v>12802</v>
      </c>
      <c r="U4680" t="s">
        <v>12802</v>
      </c>
      <c r="V4680" t="s">
        <v>12802</v>
      </c>
      <c r="W4680" t="s">
        <v>17421</v>
      </c>
      <c r="X4680">
        <v>3</v>
      </c>
      <c r="Y4680" t="s">
        <v>23640</v>
      </c>
      <c r="Z4680" t="s">
        <v>29998</v>
      </c>
      <c r="AA4680">
        <v>0.52743032318593741</v>
      </c>
      <c r="AB4680" t="str">
        <f>HYPERLINK("Melting_Curves/meltCurve_Q8WXE1_5_ATRIP.pdf", "Melting_Curves/meltCurve_Q8WXE1_5_ATRIP.pdf")</f>
        <v>Melting_Curves/meltCurve_Q8WXE1_5_ATRIP.pdf</v>
      </c>
    </row>
    <row r="4681" spans="1:28" x14ac:dyDescent="0.25">
      <c r="A4681" t="s">
        <v>4685</v>
      </c>
      <c r="B4681">
        <v>0.99542014353169495</v>
      </c>
      <c r="C4681">
        <v>1.00824531027388</v>
      </c>
      <c r="D4681">
        <v>0.96021548083770802</v>
      </c>
      <c r="E4681">
        <v>0.71283972219578795</v>
      </c>
      <c r="F4681">
        <v>0.25517756035523798</v>
      </c>
      <c r="G4681">
        <v>0.12124171630198299</v>
      </c>
      <c r="H4681">
        <v>7.1516608880267896E-2</v>
      </c>
      <c r="I4681">
        <v>5.35137989910799E-2</v>
      </c>
      <c r="J4681">
        <v>6.1069517348816001E-2</v>
      </c>
      <c r="K4681">
        <v>7.3257908879269903E-2</v>
      </c>
      <c r="L4681">
        <v>1370.8947515136399</v>
      </c>
      <c r="M4681">
        <v>28.623315258881501</v>
      </c>
      <c r="N4681">
        <v>48.128539167231999</v>
      </c>
      <c r="O4681">
        <v>47.662393293589098</v>
      </c>
      <c r="P4681">
        <v>-0.14037682385240699</v>
      </c>
      <c r="Q4681">
        <v>6.50080161378917E-2</v>
      </c>
      <c r="R4681">
        <v>0.99950865460467897</v>
      </c>
      <c r="S4681" t="s">
        <v>11083</v>
      </c>
      <c r="T4681" t="s">
        <v>12802</v>
      </c>
      <c r="U4681" t="s">
        <v>12802</v>
      </c>
      <c r="V4681" t="s">
        <v>12802</v>
      </c>
      <c r="W4681" t="s">
        <v>17422</v>
      </c>
      <c r="X4681">
        <v>22</v>
      </c>
      <c r="Y4681" t="s">
        <v>23641</v>
      </c>
      <c r="Z4681" t="s">
        <v>29999</v>
      </c>
      <c r="AA4681">
        <v>0.41061845028875249</v>
      </c>
      <c r="AB4681" t="str">
        <f>HYPERLINK("Melting_Curves/meltCurve_Q8WXF1_PSPC1.pdf", "Melting_Curves/meltCurve_Q8WXF1_PSPC1.pdf")</f>
        <v>Melting_Curves/meltCurve_Q8WXF1_PSPC1.pdf</v>
      </c>
    </row>
    <row r="4682" spans="1:28" x14ac:dyDescent="0.25">
      <c r="A4682" t="s">
        <v>4686</v>
      </c>
      <c r="B4682">
        <v>0.99542014353169495</v>
      </c>
      <c r="C4682">
        <v>0.92855007210006002</v>
      </c>
      <c r="D4682">
        <v>0.85962296242042002</v>
      </c>
      <c r="E4682">
        <v>0.46589372282864699</v>
      </c>
      <c r="F4682">
        <v>0.26054050852653698</v>
      </c>
      <c r="G4682">
        <v>9.1029817304501007E-2</v>
      </c>
      <c r="H4682">
        <v>7.4626079040161303E-2</v>
      </c>
      <c r="I4682">
        <v>5.34204402292651E-2</v>
      </c>
      <c r="J4682">
        <v>4.7806311331946502E-2</v>
      </c>
      <c r="K4682">
        <v>4.8928201740940001E-2</v>
      </c>
      <c r="L4682">
        <v>882.92489217693696</v>
      </c>
      <c r="M4682">
        <v>19.044773931615602</v>
      </c>
      <c r="N4682">
        <v>46.593928157712902</v>
      </c>
      <c r="O4682">
        <v>45.858422213238498</v>
      </c>
      <c r="P4682">
        <v>-9.9103316614492107E-2</v>
      </c>
      <c r="Q4682">
        <v>4.5503860450831303E-2</v>
      </c>
      <c r="R4682">
        <v>0.99662274827071795</v>
      </c>
      <c r="S4682" t="s">
        <v>11084</v>
      </c>
      <c r="T4682" t="s">
        <v>12802</v>
      </c>
      <c r="U4682" t="s">
        <v>12802</v>
      </c>
      <c r="V4682" t="s">
        <v>12802</v>
      </c>
      <c r="W4682" t="s">
        <v>17423</v>
      </c>
      <c r="X4682">
        <v>4</v>
      </c>
      <c r="Y4682" t="s">
        <v>23642</v>
      </c>
      <c r="Z4682" t="s">
        <v>30000</v>
      </c>
      <c r="AA4682">
        <v>0.35708039807666958</v>
      </c>
      <c r="AB4682" t="str">
        <f>HYPERLINK("Melting_Curves/meltCurve_Q8WXG6_7_MADD.pdf", "Melting_Curves/meltCurve_Q8WXG6_7_MADD.pdf")</f>
        <v>Melting_Curves/meltCurve_Q8WXG6_7_MADD.pdf</v>
      </c>
    </row>
    <row r="4683" spans="1:28" x14ac:dyDescent="0.25">
      <c r="A4683" t="s">
        <v>4687</v>
      </c>
      <c r="B4683">
        <v>0.99542014353169495</v>
      </c>
      <c r="C4683">
        <v>0.88254869253852197</v>
      </c>
      <c r="D4683">
        <v>0.82565355384176897</v>
      </c>
      <c r="E4683">
        <v>0.397216507822859</v>
      </c>
      <c r="F4683">
        <v>0.197159237795375</v>
      </c>
      <c r="G4683">
        <v>0.12598852737772601</v>
      </c>
      <c r="H4683">
        <v>7.3936108305030501E-2</v>
      </c>
      <c r="I4683">
        <v>5.2133078746599899E-2</v>
      </c>
      <c r="J4683">
        <v>5.3274134074048102E-2</v>
      </c>
      <c r="K4683">
        <v>4.9208227895825102E-2</v>
      </c>
      <c r="L4683">
        <v>884.65820138267202</v>
      </c>
      <c r="M4683">
        <v>19.405520150880498</v>
      </c>
      <c r="N4683">
        <v>45.860320666119897</v>
      </c>
      <c r="O4683">
        <v>45.112133556210502</v>
      </c>
      <c r="P4683">
        <v>-0.101691199109466</v>
      </c>
      <c r="Q4683">
        <v>5.4426113286246601E-2</v>
      </c>
      <c r="R4683">
        <v>0.99392443570641398</v>
      </c>
      <c r="S4683" t="s">
        <v>11085</v>
      </c>
      <c r="T4683" t="s">
        <v>12802</v>
      </c>
      <c r="U4683" t="s">
        <v>12802</v>
      </c>
      <c r="V4683" t="s">
        <v>12802</v>
      </c>
      <c r="W4683" t="s">
        <v>17424</v>
      </c>
      <c r="X4683">
        <v>13</v>
      </c>
      <c r="Y4683" t="s">
        <v>23643</v>
      </c>
      <c r="Z4683" t="s">
        <v>30001</v>
      </c>
      <c r="AA4683">
        <v>0.33827781879896268</v>
      </c>
      <c r="AB4683" t="str">
        <f>HYPERLINK("Melting_Curves/meltCurve_Q8WXI9_GATAD2B.pdf", "Melting_Curves/meltCurve_Q8WXI9_GATAD2B.pdf")</f>
        <v>Melting_Curves/meltCurve_Q8WXI9_GATAD2B.pdf</v>
      </c>
    </row>
    <row r="4684" spans="1:28" x14ac:dyDescent="0.25">
      <c r="A4684" t="s">
        <v>4688</v>
      </c>
      <c r="B4684">
        <v>0.99542014353169495</v>
      </c>
      <c r="C4684">
        <v>1.02610817798061</v>
      </c>
      <c r="D4684">
        <v>0.78808113022177795</v>
      </c>
      <c r="E4684">
        <v>0.31713519554837499</v>
      </c>
      <c r="F4684">
        <v>0.214857320472291</v>
      </c>
      <c r="G4684">
        <v>0.13168263311081199</v>
      </c>
      <c r="H4684">
        <v>8.2085068430285693E-2</v>
      </c>
      <c r="I4684">
        <v>5.9740811532556802E-2</v>
      </c>
      <c r="J4684">
        <v>6.7833410076005698E-2</v>
      </c>
      <c r="K4684">
        <v>0.10725263945595701</v>
      </c>
      <c r="L4684">
        <v>1205.9708543106001</v>
      </c>
      <c r="M4684">
        <v>26.853112568782802</v>
      </c>
      <c r="N4684">
        <v>45.269870273216497</v>
      </c>
      <c r="O4684">
        <v>44.663050062472401</v>
      </c>
      <c r="P4684">
        <v>-0.13586132177888899</v>
      </c>
      <c r="Q4684">
        <v>9.6131334826635703E-2</v>
      </c>
      <c r="R4684">
        <v>0.99171087535437696</v>
      </c>
      <c r="S4684" t="s">
        <v>11086</v>
      </c>
      <c r="T4684" t="s">
        <v>12802</v>
      </c>
      <c r="U4684" t="s">
        <v>12802</v>
      </c>
      <c r="V4684" t="s">
        <v>12802</v>
      </c>
      <c r="W4684" t="s">
        <v>17425</v>
      </c>
      <c r="X4684">
        <v>3</v>
      </c>
      <c r="Y4684" t="s">
        <v>23644</v>
      </c>
      <c r="Z4684" t="s">
        <v>30002</v>
      </c>
      <c r="AA4684">
        <v>0.34083111862110299</v>
      </c>
      <c r="AB4684" t="str">
        <f>HYPERLINK("Melting_Curves/meltCurve_Q8WXW3_PIBF1.pdf", "Melting_Curves/meltCurve_Q8WXW3_PIBF1.pdf")</f>
        <v>Melting_Curves/meltCurve_Q8WXW3_PIBF1.pdf</v>
      </c>
    </row>
    <row r="4685" spans="1:28" x14ac:dyDescent="0.25">
      <c r="A4685" t="s">
        <v>4689</v>
      </c>
      <c r="B4685">
        <v>0.99542014353169495</v>
      </c>
      <c r="C4685">
        <v>0.99018511444431001</v>
      </c>
      <c r="D4685">
        <v>0.96672721634991599</v>
      </c>
      <c r="E4685">
        <v>1.0567173713878399</v>
      </c>
      <c r="F4685">
        <v>0.84879201193563203</v>
      </c>
      <c r="G4685">
        <v>0.29898518826266002</v>
      </c>
      <c r="H4685">
        <v>0.15983381462312299</v>
      </c>
      <c r="I4685">
        <v>0.10093743885062099</v>
      </c>
      <c r="J4685">
        <v>0.10803739059918401</v>
      </c>
      <c r="K4685">
        <v>0.120553877156773</v>
      </c>
      <c r="L4685">
        <v>2205.5900654234301</v>
      </c>
      <c r="M4685">
        <v>42.329131580919501</v>
      </c>
      <c r="N4685">
        <v>52.435420803456402</v>
      </c>
      <c r="O4685">
        <v>51.989837649688702</v>
      </c>
      <c r="P4685">
        <v>-0.179764959343299</v>
      </c>
      <c r="Q4685">
        <v>0.11683190656443899</v>
      </c>
      <c r="R4685">
        <v>0.99635463777745803</v>
      </c>
      <c r="S4685" t="s">
        <v>11087</v>
      </c>
      <c r="T4685" t="s">
        <v>12802</v>
      </c>
      <c r="U4685" t="s">
        <v>12802</v>
      </c>
      <c r="V4685" t="s">
        <v>12802</v>
      </c>
      <c r="W4685" t="s">
        <v>17426</v>
      </c>
      <c r="X4685">
        <v>18</v>
      </c>
      <c r="Y4685" t="s">
        <v>23645</v>
      </c>
      <c r="Z4685" t="s">
        <v>30003</v>
      </c>
      <c r="AA4685">
        <v>0.56436172680337526</v>
      </c>
      <c r="AB4685" t="str">
        <f>HYPERLINK("Melting_Curves/meltCurve_Q8WXX5_DNAJC9.pdf", "Melting_Curves/meltCurve_Q8WXX5_DNAJC9.pdf")</f>
        <v>Melting_Curves/meltCurve_Q8WXX5_DNAJC9.pdf</v>
      </c>
    </row>
    <row r="4686" spans="1:28" x14ac:dyDescent="0.25">
      <c r="A4686" t="s">
        <v>4690</v>
      </c>
      <c r="B4686">
        <v>0.99542014353169495</v>
      </c>
      <c r="C4686">
        <v>1.0233445201474001</v>
      </c>
      <c r="D4686">
        <v>1.03917966632656</v>
      </c>
      <c r="E4686">
        <v>0.89562152811360296</v>
      </c>
      <c r="F4686">
        <v>0.83226351054742598</v>
      </c>
      <c r="G4686">
        <v>0.51211076733757999</v>
      </c>
      <c r="H4686">
        <v>0.397390573989648</v>
      </c>
      <c r="I4686">
        <v>0.34869022404767902</v>
      </c>
      <c r="J4686">
        <v>0.46408956248979399</v>
      </c>
      <c r="K4686">
        <v>0.61702649864973103</v>
      </c>
      <c r="L4686">
        <v>2068.2742329561001</v>
      </c>
      <c r="M4686">
        <v>40.507884840972103</v>
      </c>
      <c r="N4686">
        <v>54.285386369313201</v>
      </c>
      <c r="O4686">
        <v>50.934594011227802</v>
      </c>
      <c r="P4686">
        <v>-0.10835947958898499</v>
      </c>
      <c r="Q4686">
        <v>0.45499642274790703</v>
      </c>
      <c r="R4686">
        <v>0.92152146141892299</v>
      </c>
      <c r="S4686" t="s">
        <v>11088</v>
      </c>
      <c r="T4686" t="s">
        <v>12802</v>
      </c>
      <c r="U4686" t="s">
        <v>12802</v>
      </c>
      <c r="V4686" t="s">
        <v>12802</v>
      </c>
      <c r="W4686" t="s">
        <v>17427</v>
      </c>
      <c r="X4686">
        <v>2</v>
      </c>
      <c r="Y4686" t="s">
        <v>23646</v>
      </c>
      <c r="Z4686" t="s">
        <v>30004</v>
      </c>
      <c r="AA4686">
        <v>0.71226818538207437</v>
      </c>
      <c r="AB4686" t="str">
        <f>HYPERLINK("Melting_Curves/meltCurve_Q8WY22_BRI3BP.pdf", "Melting_Curves/meltCurve_Q8WY22_BRI3BP.pdf")</f>
        <v>Melting_Curves/meltCurve_Q8WY22_BRI3BP.pdf</v>
      </c>
    </row>
    <row r="4687" spans="1:28" x14ac:dyDescent="0.25">
      <c r="A4687" t="s">
        <v>4691</v>
      </c>
      <c r="B4687">
        <v>0.99542014353169495</v>
      </c>
      <c r="C4687">
        <v>1.0154821641070499</v>
      </c>
      <c r="D4687">
        <v>1.00002117380916</v>
      </c>
      <c r="E4687">
        <v>0.92691951761489</v>
      </c>
      <c r="F4687">
        <v>0.85896833764118796</v>
      </c>
      <c r="G4687">
        <v>0.68381751254162604</v>
      </c>
      <c r="H4687">
        <v>0.35959201473802599</v>
      </c>
      <c r="I4687">
        <v>0.17168803436741401</v>
      </c>
      <c r="J4687">
        <v>0.18800497770359101</v>
      </c>
      <c r="K4687">
        <v>0.22886003581154599</v>
      </c>
      <c r="L4687">
        <v>1245.0760926656101</v>
      </c>
      <c r="M4687">
        <v>22.850487769011199</v>
      </c>
      <c r="N4687">
        <v>55.461934681506797</v>
      </c>
      <c r="O4687">
        <v>54.075779714586098</v>
      </c>
      <c r="P4687">
        <v>-8.8183324319067599E-2</v>
      </c>
      <c r="Q4687">
        <v>0.165271135489577</v>
      </c>
      <c r="R4687">
        <v>0.98929075985645698</v>
      </c>
      <c r="S4687" t="s">
        <v>11089</v>
      </c>
      <c r="T4687" t="s">
        <v>12802</v>
      </c>
      <c r="U4687" t="s">
        <v>12802</v>
      </c>
      <c r="V4687" t="s">
        <v>12802</v>
      </c>
      <c r="W4687" t="s">
        <v>17428</v>
      </c>
      <c r="X4687">
        <v>1</v>
      </c>
      <c r="Y4687" t="s">
        <v>23647</v>
      </c>
      <c r="Z4687" t="s">
        <v>30005</v>
      </c>
      <c r="AA4687">
        <v>0.66010437509709918</v>
      </c>
      <c r="AB4687" t="str">
        <f>HYPERLINK("Melting_Curves/meltCurve_Q8WY54_2_PPM1E.pdf", "Melting_Curves/meltCurve_Q8WY54_2_PPM1E.pdf")</f>
        <v>Melting_Curves/meltCurve_Q8WY54_2_PPM1E.pdf</v>
      </c>
    </row>
    <row r="4688" spans="1:28" x14ac:dyDescent="0.25">
      <c r="A4688" t="s">
        <v>4692</v>
      </c>
      <c r="B4688">
        <v>0.99542014353169495</v>
      </c>
      <c r="C4688">
        <v>0.79578207743421903</v>
      </c>
      <c r="D4688">
        <v>0.73397924199562303</v>
      </c>
      <c r="E4688">
        <v>0.59714034715830799</v>
      </c>
      <c r="F4688">
        <v>0.378574118392912</v>
      </c>
      <c r="G4688">
        <v>0.31681519545904302</v>
      </c>
      <c r="H4688">
        <v>0.22969641701886401</v>
      </c>
      <c r="I4688">
        <v>7.5188713687107694E-2</v>
      </c>
      <c r="J4688">
        <v>6.4650079182161202E-2</v>
      </c>
      <c r="K4688">
        <v>0</v>
      </c>
      <c r="L4688">
        <v>444.174794064168</v>
      </c>
      <c r="M4688">
        <v>9.2545581898546203</v>
      </c>
      <c r="N4688">
        <v>47.995264172660598</v>
      </c>
      <c r="O4688">
        <v>45.913902356032203</v>
      </c>
      <c r="P4688">
        <v>-5.0423751729078099E-2</v>
      </c>
      <c r="Q4688">
        <v>0</v>
      </c>
      <c r="R4688">
        <v>0.97978975099200005</v>
      </c>
      <c r="S4688" t="s">
        <v>11090</v>
      </c>
      <c r="T4688" t="s">
        <v>12802</v>
      </c>
      <c r="U4688" t="s">
        <v>12802</v>
      </c>
      <c r="V4688" t="s">
        <v>12802</v>
      </c>
      <c r="W4688" t="s">
        <v>17429</v>
      </c>
      <c r="X4688">
        <v>1</v>
      </c>
      <c r="Y4688" t="s">
        <v>23648</v>
      </c>
      <c r="Z4688" t="s">
        <v>30006</v>
      </c>
      <c r="AA4688">
        <v>0.41069105218174062</v>
      </c>
      <c r="AB4688" t="str">
        <f>HYPERLINK("Melting_Curves/meltCurve_Q8WY91_THAP4.pdf", "Melting_Curves/meltCurve_Q8WY91_THAP4.pdf")</f>
        <v>Melting_Curves/meltCurve_Q8WY91_THAP4.pdf</v>
      </c>
    </row>
    <row r="4689" spans="1:28" x14ac:dyDescent="0.25">
      <c r="A4689" t="s">
        <v>4693</v>
      </c>
      <c r="B4689">
        <v>0.99542014353169495</v>
      </c>
      <c r="C4689">
        <v>0.98380708145251505</v>
      </c>
      <c r="D4689">
        <v>0.95644962566300695</v>
      </c>
      <c r="E4689">
        <v>0.74364893515810704</v>
      </c>
      <c r="F4689">
        <v>0.58595450513873204</v>
      </c>
      <c r="G4689">
        <v>0.44266650865018298</v>
      </c>
      <c r="H4689">
        <v>0.27091641211473499</v>
      </c>
      <c r="I4689">
        <v>0.115965227383853</v>
      </c>
      <c r="J4689">
        <v>7.56554334282665E-2</v>
      </c>
      <c r="K4689">
        <v>9.5738293980978301E-2</v>
      </c>
      <c r="L4689">
        <v>595.75553593470704</v>
      </c>
      <c r="M4689">
        <v>11.465590156869601</v>
      </c>
      <c r="N4689">
        <v>51.9603027503113</v>
      </c>
      <c r="O4689">
        <v>50.455048771483398</v>
      </c>
      <c r="P4689">
        <v>-5.6827253833785799E-2</v>
      </c>
      <c r="Q4689">
        <v>0</v>
      </c>
      <c r="R4689">
        <v>0.99318636926131598</v>
      </c>
      <c r="S4689" t="s">
        <v>11091</v>
      </c>
      <c r="T4689" t="s">
        <v>12802</v>
      </c>
      <c r="U4689" t="s">
        <v>12802</v>
      </c>
      <c r="V4689" t="s">
        <v>12802</v>
      </c>
      <c r="W4689" t="s">
        <v>17430</v>
      </c>
      <c r="X4689">
        <v>5</v>
      </c>
      <c r="Y4689" t="s">
        <v>23649</v>
      </c>
      <c r="Z4689" t="s">
        <v>30007</v>
      </c>
      <c r="AA4689">
        <v>0.52336566543781404</v>
      </c>
      <c r="AB4689" t="str">
        <f>HYPERLINK("Melting_Curves/meltCurve_Q8WZ42_11_TTN.pdf", "Melting_Curves/meltCurve_Q8WZ42_11_TTN.pdf")</f>
        <v>Melting_Curves/meltCurve_Q8WZ42_11_TTN.pdf</v>
      </c>
    </row>
    <row r="4690" spans="1:28" x14ac:dyDescent="0.25">
      <c r="A4690" t="s">
        <v>4694</v>
      </c>
      <c r="B4690">
        <v>0.99542014353169495</v>
      </c>
      <c r="C4690">
        <v>1.1106013442354601</v>
      </c>
      <c r="D4690">
        <v>0.94311539475234996</v>
      </c>
      <c r="E4690">
        <v>0.67937857023162596</v>
      </c>
      <c r="F4690">
        <v>0.38614485292345802</v>
      </c>
      <c r="G4690">
        <v>0.22377127353061099</v>
      </c>
      <c r="H4690">
        <v>0.223708182037443</v>
      </c>
      <c r="I4690">
        <v>0.13736002571574099</v>
      </c>
      <c r="J4690">
        <v>0.13679973683798</v>
      </c>
      <c r="K4690">
        <v>0.17806452171722001</v>
      </c>
      <c r="L4690">
        <v>1079.6670693640799</v>
      </c>
      <c r="M4690">
        <v>22.589788055691301</v>
      </c>
      <c r="N4690">
        <v>48.639452562989597</v>
      </c>
      <c r="O4690">
        <v>47.4246567162091</v>
      </c>
      <c r="P4690">
        <v>-9.9758004843607903E-2</v>
      </c>
      <c r="Q4690">
        <v>0.162295079035222</v>
      </c>
      <c r="R4690">
        <v>0.98637386150194994</v>
      </c>
      <c r="S4690" t="s">
        <v>11092</v>
      </c>
      <c r="T4690" t="s">
        <v>12802</v>
      </c>
      <c r="U4690" t="s">
        <v>12802</v>
      </c>
      <c r="V4690" t="s">
        <v>12802</v>
      </c>
      <c r="W4690" t="s">
        <v>17431</v>
      </c>
      <c r="X4690">
        <v>3</v>
      </c>
      <c r="Y4690" t="s">
        <v>23650</v>
      </c>
      <c r="Z4690" t="s">
        <v>30008</v>
      </c>
      <c r="AA4690">
        <v>0.47240671182602417</v>
      </c>
      <c r="AB4690" t="str">
        <f>HYPERLINK("Melting_Curves/meltCurve_Q8WZ82_OVCA2.pdf", "Melting_Curves/meltCurve_Q8WZ82_OVCA2.pdf")</f>
        <v>Melting_Curves/meltCurve_Q8WZ82_OVCA2.pdf</v>
      </c>
    </row>
    <row r="4691" spans="1:28" x14ac:dyDescent="0.25">
      <c r="A4691" t="s">
        <v>4695</v>
      </c>
      <c r="B4691">
        <v>0.99542014353169495</v>
      </c>
      <c r="C4691">
        <v>1.0640719344399701</v>
      </c>
      <c r="D4691">
        <v>1.03007885650427</v>
      </c>
      <c r="E4691">
        <v>1.1080690070277499</v>
      </c>
      <c r="F4691">
        <v>0.93870873100375296</v>
      </c>
      <c r="G4691">
        <v>0.78446131094634497</v>
      </c>
      <c r="H4691">
        <v>0.55342252621015997</v>
      </c>
      <c r="I4691">
        <v>0.40629886558078598</v>
      </c>
      <c r="J4691">
        <v>0.49627288989593299</v>
      </c>
      <c r="K4691">
        <v>0.50697657478289404</v>
      </c>
      <c r="L4691">
        <v>1887.4961001023901</v>
      </c>
      <c r="M4691">
        <v>34.7438820749556</v>
      </c>
      <c r="N4691">
        <v>59.067391779391002</v>
      </c>
      <c r="O4691">
        <v>54.146969478488302</v>
      </c>
      <c r="P4691">
        <v>-8.51393901954835E-2</v>
      </c>
      <c r="Q4691">
        <v>0.46925639118483098</v>
      </c>
      <c r="R4691">
        <v>0.96131161408875898</v>
      </c>
      <c r="S4691" t="s">
        <v>11093</v>
      </c>
      <c r="T4691" t="s">
        <v>12802</v>
      </c>
      <c r="U4691" t="s">
        <v>12802</v>
      </c>
      <c r="V4691" t="s">
        <v>12802</v>
      </c>
      <c r="W4691" t="s">
        <v>17432</v>
      </c>
      <c r="X4691">
        <v>14</v>
      </c>
      <c r="Y4691" t="s">
        <v>23651</v>
      </c>
      <c r="Z4691" t="s">
        <v>30009</v>
      </c>
      <c r="AA4691">
        <v>0.77836513975336885</v>
      </c>
      <c r="AB4691" t="str">
        <f>HYPERLINK("Melting_Curves/meltCurve_Q8WZA0_LZIC.pdf", "Melting_Curves/meltCurve_Q8WZA0_LZIC.pdf")</f>
        <v>Melting_Curves/meltCurve_Q8WZA0_LZIC.pdf</v>
      </c>
    </row>
    <row r="4692" spans="1:28" x14ac:dyDescent="0.25">
      <c r="A4692" t="s">
        <v>4696</v>
      </c>
      <c r="B4692">
        <v>0.99542014353169495</v>
      </c>
      <c r="C4692">
        <v>1.08383111372511</v>
      </c>
      <c r="D4692">
        <v>1.0136530527262499</v>
      </c>
      <c r="E4692">
        <v>0.95171169465732197</v>
      </c>
      <c r="F4692">
        <v>0.408678688938234</v>
      </c>
      <c r="G4692">
        <v>9.3334036086816202E-2</v>
      </c>
      <c r="H4692">
        <v>5.5209576193766798E-2</v>
      </c>
      <c r="I4692">
        <v>4.19832209437421E-2</v>
      </c>
      <c r="J4692">
        <v>4.0936372962952897E-2</v>
      </c>
      <c r="K4692">
        <v>3.71756203472835E-2</v>
      </c>
      <c r="L4692">
        <v>2119.28906445658</v>
      </c>
      <c r="M4692">
        <v>42.688507449626201</v>
      </c>
      <c r="N4692">
        <v>49.757288380219201</v>
      </c>
      <c r="O4692">
        <v>49.536827315094698</v>
      </c>
      <c r="P4692">
        <v>-0.20557955676679701</v>
      </c>
      <c r="Q4692">
        <v>4.5762174831964202E-2</v>
      </c>
      <c r="R4692">
        <v>0.99625939259449903</v>
      </c>
      <c r="S4692" t="s">
        <v>11094</v>
      </c>
      <c r="T4692" t="s">
        <v>12802</v>
      </c>
      <c r="U4692" t="s">
        <v>12802</v>
      </c>
      <c r="V4692" t="s">
        <v>12802</v>
      </c>
      <c r="W4692" t="s">
        <v>17433</v>
      </c>
      <c r="X4692">
        <v>17</v>
      </c>
      <c r="Y4692" t="s">
        <v>23652</v>
      </c>
      <c r="Z4692" t="s">
        <v>30010</v>
      </c>
      <c r="AA4692">
        <v>0.45085861327154231</v>
      </c>
      <c r="AB4692" t="str">
        <f>HYPERLINK("Melting_Curves/meltCurve_Q8WZA9_IRGQ.pdf", "Melting_Curves/meltCurve_Q8WZA9_IRGQ.pdf")</f>
        <v>Melting_Curves/meltCurve_Q8WZA9_IRGQ.pdf</v>
      </c>
    </row>
    <row r="4693" spans="1:28" x14ac:dyDescent="0.25">
      <c r="A4693" t="s">
        <v>4697</v>
      </c>
      <c r="B4693">
        <v>0.99542014353169495</v>
      </c>
      <c r="C4693">
        <v>0.96603385918664797</v>
      </c>
      <c r="D4693">
        <v>0.99904203750416798</v>
      </c>
      <c r="E4693">
        <v>0.79720526938111202</v>
      </c>
      <c r="F4693">
        <v>0.400154853757968</v>
      </c>
      <c r="G4693">
        <v>0.10051988843025</v>
      </c>
      <c r="H4693">
        <v>5.0534674154848302E-2</v>
      </c>
      <c r="I4693">
        <v>3.54853975001162E-2</v>
      </c>
      <c r="J4693">
        <v>3.7059177709442601E-2</v>
      </c>
      <c r="K4693">
        <v>3.3372624979795401E-2</v>
      </c>
      <c r="L4693">
        <v>1281.62915097924</v>
      </c>
      <c r="M4693">
        <v>26.0767314216959</v>
      </c>
      <c r="N4693">
        <v>49.259144584883003</v>
      </c>
      <c r="O4693">
        <v>48.862074942452097</v>
      </c>
      <c r="P4693">
        <v>-0.129621820750985</v>
      </c>
      <c r="Q4693">
        <v>2.8479612545191098E-2</v>
      </c>
      <c r="R4693">
        <v>0.99864756583396896</v>
      </c>
      <c r="S4693" t="s">
        <v>11095</v>
      </c>
      <c r="T4693" t="s">
        <v>12802</v>
      </c>
      <c r="U4693" t="s">
        <v>12802</v>
      </c>
      <c r="V4693" t="s">
        <v>12802</v>
      </c>
      <c r="W4693" t="s">
        <v>17434</v>
      </c>
      <c r="X4693">
        <v>27</v>
      </c>
      <c r="Y4693" t="s">
        <v>23653</v>
      </c>
      <c r="Z4693" t="s">
        <v>30011</v>
      </c>
      <c r="AA4693">
        <v>0.42964135381372343</v>
      </c>
      <c r="AB4693" t="str">
        <f>HYPERLINK("Melting_Curves/meltCurve_Q92499_DDX1.pdf", "Melting_Curves/meltCurve_Q92499_DDX1.pdf")</f>
        <v>Melting_Curves/meltCurve_Q92499_DDX1.pdf</v>
      </c>
    </row>
    <row r="4694" spans="1:28" x14ac:dyDescent="0.25">
      <c r="A4694" t="s">
        <v>4698</v>
      </c>
      <c r="B4694">
        <v>0.99542014353169495</v>
      </c>
      <c r="C4694">
        <v>1.0163126155894899</v>
      </c>
      <c r="D4694">
        <v>1.14320144537154</v>
      </c>
      <c r="E4694">
        <v>0.86240974934010395</v>
      </c>
      <c r="F4694">
        <v>0.96948302259208696</v>
      </c>
      <c r="G4694">
        <v>0.54546804269009697</v>
      </c>
      <c r="H4694">
        <v>0.459201065016202</v>
      </c>
      <c r="I4694">
        <v>0.42825652066002701</v>
      </c>
      <c r="J4694">
        <v>0.55675999035245405</v>
      </c>
      <c r="K4694">
        <v>0.68946855061634205</v>
      </c>
      <c r="L4694">
        <v>4737.6640477086803</v>
      </c>
      <c r="M4694">
        <v>91.720623565356206</v>
      </c>
      <c r="O4694">
        <v>51.6286648523892</v>
      </c>
      <c r="P4694">
        <v>-0.20719808541638099</v>
      </c>
      <c r="Q4694">
        <v>0.53348073817449804</v>
      </c>
      <c r="R4694">
        <v>0.86792768702702905</v>
      </c>
      <c r="S4694" t="s">
        <v>11096</v>
      </c>
      <c r="T4694" t="s">
        <v>12802</v>
      </c>
      <c r="U4694" t="s">
        <v>12802</v>
      </c>
      <c r="V4694" t="s">
        <v>12802</v>
      </c>
      <c r="W4694" t="s">
        <v>17435</v>
      </c>
      <c r="X4694">
        <v>2</v>
      </c>
      <c r="Y4694" t="s">
        <v>23654</v>
      </c>
      <c r="Z4694" t="s">
        <v>30012</v>
      </c>
      <c r="AA4694">
        <v>0.76166209699788945</v>
      </c>
      <c r="AB4694" t="str">
        <f>HYPERLINK("Melting_Curves/meltCurve_Q92504_SLC39A7.pdf", "Melting_Curves/meltCurve_Q92504_SLC39A7.pdf")</f>
        <v>Melting_Curves/meltCurve_Q92504_SLC39A7.pdf</v>
      </c>
    </row>
    <row r="4695" spans="1:28" x14ac:dyDescent="0.25">
      <c r="A4695" t="s">
        <v>4699</v>
      </c>
      <c r="B4695">
        <v>0.99542014353169495</v>
      </c>
      <c r="C4695">
        <v>0.95883548530264995</v>
      </c>
      <c r="D4695">
        <v>0.90279694585443204</v>
      </c>
      <c r="E4695">
        <v>0.93743630669053002</v>
      </c>
      <c r="F4695">
        <v>0.68436180618283904</v>
      </c>
      <c r="G4695">
        <v>0.39253550805366499</v>
      </c>
      <c r="H4695">
        <v>0.297825354214375</v>
      </c>
      <c r="I4695">
        <v>0.26355151907501301</v>
      </c>
      <c r="J4695">
        <v>0.34798819192115898</v>
      </c>
      <c r="K4695">
        <v>0.449344848173589</v>
      </c>
      <c r="L4695">
        <v>1719.98113673528</v>
      </c>
      <c r="M4695">
        <v>34.234507543495504</v>
      </c>
      <c r="N4695">
        <v>51.937961134159004</v>
      </c>
      <c r="O4695">
        <v>50.0706550574399</v>
      </c>
      <c r="P4695">
        <v>-0.113395199014357</v>
      </c>
      <c r="Q4695">
        <v>0.33660508486753998</v>
      </c>
      <c r="R4695">
        <v>0.961281340371967</v>
      </c>
      <c r="S4695" t="s">
        <v>11097</v>
      </c>
      <c r="T4695" t="s">
        <v>12802</v>
      </c>
      <c r="U4695" t="s">
        <v>12802</v>
      </c>
      <c r="V4695" t="s">
        <v>12802</v>
      </c>
      <c r="W4695" t="s">
        <v>17436</v>
      </c>
      <c r="X4695">
        <v>6</v>
      </c>
      <c r="Y4695" t="s">
        <v>23655</v>
      </c>
      <c r="Z4695" t="s">
        <v>30013</v>
      </c>
      <c r="AA4695">
        <v>0.63255335877596086</v>
      </c>
      <c r="AB4695" t="str">
        <f>HYPERLINK("Melting_Curves/meltCurve_Q92506_HSD17B8.pdf", "Melting_Curves/meltCurve_Q92506_HSD17B8.pdf")</f>
        <v>Melting_Curves/meltCurve_Q92506_HSD17B8.pdf</v>
      </c>
    </row>
    <row r="4696" spans="1:28" x14ac:dyDescent="0.25">
      <c r="A4696" t="s">
        <v>4700</v>
      </c>
      <c r="B4696">
        <v>0.99542014353169495</v>
      </c>
      <c r="C4696">
        <v>0.94800540013463896</v>
      </c>
      <c r="D4696">
        <v>0.85372219895553203</v>
      </c>
      <c r="E4696">
        <v>0.66093951225001701</v>
      </c>
      <c r="F4696">
        <v>0.481493955668711</v>
      </c>
      <c r="G4696">
        <v>0.255198016904506</v>
      </c>
      <c r="H4696">
        <v>0.17711702348362099</v>
      </c>
      <c r="I4696">
        <v>0.119959109905399</v>
      </c>
      <c r="J4696">
        <v>0.11915824305453999</v>
      </c>
      <c r="K4696">
        <v>0.11385338513452201</v>
      </c>
      <c r="L4696">
        <v>643.88458901287402</v>
      </c>
      <c r="M4696">
        <v>13.2250799189014</v>
      </c>
      <c r="N4696">
        <v>49.287524171753901</v>
      </c>
      <c r="O4696">
        <v>47.613833282593802</v>
      </c>
      <c r="P4696">
        <v>-6.4279879116059202E-2</v>
      </c>
      <c r="Q4696">
        <v>7.4453699111111299E-2</v>
      </c>
      <c r="R4696">
        <v>0.99776833343153704</v>
      </c>
      <c r="S4696" t="s">
        <v>11098</v>
      </c>
      <c r="T4696" t="s">
        <v>12802</v>
      </c>
      <c r="U4696" t="s">
        <v>12802</v>
      </c>
      <c r="V4696" t="s">
        <v>12802</v>
      </c>
      <c r="W4696" t="s">
        <v>17437</v>
      </c>
      <c r="X4696">
        <v>6</v>
      </c>
      <c r="Y4696" t="s">
        <v>23656</v>
      </c>
      <c r="Z4696" t="s">
        <v>30014</v>
      </c>
      <c r="AA4696">
        <v>0.45936848193579383</v>
      </c>
      <c r="AB4696" t="str">
        <f>HYPERLINK("Melting_Curves/meltCurve_Q92508_PIEZO1.pdf", "Melting_Curves/meltCurve_Q92508_PIEZO1.pdf")</f>
        <v>Melting_Curves/meltCurve_Q92508_PIEZO1.pdf</v>
      </c>
    </row>
    <row r="4697" spans="1:28" x14ac:dyDescent="0.25">
      <c r="A4697" t="s">
        <v>4701</v>
      </c>
      <c r="B4697">
        <v>0.99542014353169495</v>
      </c>
      <c r="C4697">
        <v>0.98856205846009604</v>
      </c>
      <c r="D4697">
        <v>0.91680161847349995</v>
      </c>
      <c r="E4697">
        <v>0.82100251424383097</v>
      </c>
      <c r="F4697">
        <v>0.64314327452695397</v>
      </c>
      <c r="G4697">
        <v>0.37724926361560801</v>
      </c>
      <c r="H4697">
        <v>0.167805833052422</v>
      </c>
      <c r="I4697">
        <v>0.12916217270569899</v>
      </c>
      <c r="J4697">
        <v>0.15761376270365199</v>
      </c>
      <c r="K4697">
        <v>0.14903994859946201</v>
      </c>
      <c r="L4697">
        <v>853.35150295562801</v>
      </c>
      <c r="M4697">
        <v>16.7535544561714</v>
      </c>
      <c r="N4697">
        <v>51.653486671192198</v>
      </c>
      <c r="O4697">
        <v>50.226447974710297</v>
      </c>
      <c r="P4697">
        <v>-7.4733470929025603E-2</v>
      </c>
      <c r="Q4697">
        <v>0.103867502028548</v>
      </c>
      <c r="R4697">
        <v>0.99274389007585795</v>
      </c>
      <c r="S4697" t="s">
        <v>11099</v>
      </c>
      <c r="T4697" t="s">
        <v>12802</v>
      </c>
      <c r="U4697" t="s">
        <v>12802</v>
      </c>
      <c r="V4697" t="s">
        <v>12802</v>
      </c>
      <c r="W4697" t="s">
        <v>17438</v>
      </c>
      <c r="X4697">
        <v>11</v>
      </c>
      <c r="Y4697" t="s">
        <v>23657</v>
      </c>
      <c r="Z4697" t="s">
        <v>30015</v>
      </c>
      <c r="AA4697">
        <v>0.53564607585951718</v>
      </c>
      <c r="AB4697" t="str">
        <f>HYPERLINK("Melting_Curves/meltCurve_Q92520_FAM3C.pdf", "Melting_Curves/meltCurve_Q92520_FAM3C.pdf")</f>
        <v>Melting_Curves/meltCurve_Q92520_FAM3C.pdf</v>
      </c>
    </row>
    <row r="4698" spans="1:28" x14ac:dyDescent="0.25">
      <c r="A4698" t="s">
        <v>4702</v>
      </c>
      <c r="B4698">
        <v>0.99542014353169495</v>
      </c>
      <c r="C4698">
        <v>0.90284540313052797</v>
      </c>
      <c r="D4698">
        <v>0.90650344690005202</v>
      </c>
      <c r="E4698">
        <v>0.67854549904283801</v>
      </c>
      <c r="F4698">
        <v>0.42761037808802399</v>
      </c>
      <c r="G4698">
        <v>0.16615615342019499</v>
      </c>
      <c r="H4698">
        <v>8.5462861230826997E-2</v>
      </c>
      <c r="I4698">
        <v>5.1151068457397197E-2</v>
      </c>
      <c r="J4698">
        <v>7.08076698795264E-2</v>
      </c>
      <c r="K4698">
        <v>4.4463105014752501E-2</v>
      </c>
      <c r="L4698">
        <v>785.73737331730001</v>
      </c>
      <c r="M4698">
        <v>16.136117641978402</v>
      </c>
      <c r="N4698">
        <v>48.847286699093402</v>
      </c>
      <c r="O4698">
        <v>47.964865358957098</v>
      </c>
      <c r="P4698">
        <v>-8.2038025981051296E-2</v>
      </c>
      <c r="Q4698">
        <v>2.4636667983641801E-2</v>
      </c>
      <c r="R4698">
        <v>0.99435492692942695</v>
      </c>
      <c r="S4698" t="s">
        <v>11100</v>
      </c>
      <c r="T4698" t="s">
        <v>12802</v>
      </c>
      <c r="U4698" t="s">
        <v>12802</v>
      </c>
      <c r="V4698" t="s">
        <v>12802</v>
      </c>
      <c r="W4698" t="s">
        <v>17439</v>
      </c>
      <c r="X4698">
        <v>1</v>
      </c>
      <c r="Y4698" t="s">
        <v>23658</v>
      </c>
      <c r="Z4698" t="s">
        <v>30016</v>
      </c>
      <c r="AA4698">
        <v>0.42360027674498679</v>
      </c>
      <c r="AB4698" t="str">
        <f>HYPERLINK("Melting_Curves/meltCurve_Q92522_H1FX.pdf", "Melting_Curves/meltCurve_Q92522_H1FX.pdf")</f>
        <v>Melting_Curves/meltCurve_Q92522_H1FX.pdf</v>
      </c>
    </row>
    <row r="4699" spans="1:28" x14ac:dyDescent="0.25">
      <c r="A4699" t="s">
        <v>4703</v>
      </c>
      <c r="B4699">
        <v>0.99542014353169495</v>
      </c>
      <c r="C4699">
        <v>0.96589661259868098</v>
      </c>
      <c r="D4699">
        <v>0.89521025226508899</v>
      </c>
      <c r="E4699">
        <v>0.78916465376893996</v>
      </c>
      <c r="F4699">
        <v>0.39561007863245201</v>
      </c>
      <c r="G4699">
        <v>0.15705434731940299</v>
      </c>
      <c r="H4699">
        <v>0.103438030239152</v>
      </c>
      <c r="I4699">
        <v>7.4918413061537695E-2</v>
      </c>
      <c r="J4699">
        <v>5.8613290064901097E-2</v>
      </c>
      <c r="K4699">
        <v>4.8571739113413302E-2</v>
      </c>
      <c r="L4699">
        <v>1037.83867969882</v>
      </c>
      <c r="M4699">
        <v>21.203040642833599</v>
      </c>
      <c r="N4699">
        <v>49.201089756350498</v>
      </c>
      <c r="O4699">
        <v>48.518484710196198</v>
      </c>
      <c r="P4699">
        <v>-0.103602814634269</v>
      </c>
      <c r="Q4699">
        <v>5.17358365302793E-2</v>
      </c>
      <c r="R4699">
        <v>0.99640188424367104</v>
      </c>
      <c r="S4699" t="s">
        <v>11101</v>
      </c>
      <c r="T4699" t="s">
        <v>12802</v>
      </c>
      <c r="U4699" t="s">
        <v>12802</v>
      </c>
      <c r="V4699" t="s">
        <v>12802</v>
      </c>
      <c r="W4699" t="s">
        <v>17440</v>
      </c>
      <c r="X4699">
        <v>6</v>
      </c>
      <c r="Y4699" t="s">
        <v>23659</v>
      </c>
      <c r="Z4699" t="s">
        <v>30017</v>
      </c>
      <c r="AA4699">
        <v>0.44060080942666757</v>
      </c>
      <c r="AB4699" t="str">
        <f>HYPERLINK("Melting_Curves/meltCurve_Q92526_CCT6B.pdf", "Melting_Curves/meltCurve_Q92526_CCT6B.pdf")</f>
        <v>Melting_Curves/meltCurve_Q92526_CCT6B.pdf</v>
      </c>
    </row>
    <row r="4700" spans="1:28" x14ac:dyDescent="0.25">
      <c r="A4700" t="s">
        <v>4704</v>
      </c>
      <c r="B4700">
        <v>0.99542014353169495</v>
      </c>
      <c r="C4700">
        <v>0.96300042705232003</v>
      </c>
      <c r="D4700">
        <v>0.94186254598357999</v>
      </c>
      <c r="E4700">
        <v>0.670110841621256</v>
      </c>
      <c r="F4700">
        <v>0.233149803356104</v>
      </c>
      <c r="G4700">
        <v>0.134306071585791</v>
      </c>
      <c r="H4700">
        <v>9.4946065644422206E-2</v>
      </c>
      <c r="I4700">
        <v>5.4364746125900899E-2</v>
      </c>
      <c r="J4700">
        <v>5.0515318288642398E-2</v>
      </c>
      <c r="K4700">
        <v>4.7366691828337103E-2</v>
      </c>
      <c r="L4700">
        <v>1239.12249150722</v>
      </c>
      <c r="M4700">
        <v>26.028276703614601</v>
      </c>
      <c r="N4700">
        <v>47.846446727019099</v>
      </c>
      <c r="O4700">
        <v>47.328430479562698</v>
      </c>
      <c r="P4700">
        <v>-0.129086136150139</v>
      </c>
      <c r="Q4700">
        <v>6.1117345731109898E-2</v>
      </c>
      <c r="R4700">
        <v>0.99788562682244197</v>
      </c>
      <c r="S4700" t="s">
        <v>11102</v>
      </c>
      <c r="T4700" t="s">
        <v>12802</v>
      </c>
      <c r="U4700" t="s">
        <v>12802</v>
      </c>
      <c r="V4700" t="s">
        <v>12802</v>
      </c>
      <c r="W4700" t="s">
        <v>17441</v>
      </c>
      <c r="X4700">
        <v>21</v>
      </c>
      <c r="Y4700" t="s">
        <v>23660</v>
      </c>
      <c r="Z4700" t="s">
        <v>30018</v>
      </c>
      <c r="AA4700">
        <v>0.40040852561228008</v>
      </c>
      <c r="AB4700" t="str">
        <f>HYPERLINK("Melting_Curves/meltCurve_Q92538_GBF1.pdf", "Melting_Curves/meltCurve_Q92538_GBF1.pdf")</f>
        <v>Melting_Curves/meltCurve_Q92538_GBF1.pdf</v>
      </c>
    </row>
    <row r="4701" spans="1:28" x14ac:dyDescent="0.25">
      <c r="A4701" t="s">
        <v>4705</v>
      </c>
      <c r="B4701">
        <v>0.99542014353169495</v>
      </c>
      <c r="C4701">
        <v>0.99697172973888903</v>
      </c>
      <c r="D4701">
        <v>0.99121657269655095</v>
      </c>
      <c r="E4701">
        <v>0.88839185348942296</v>
      </c>
      <c r="F4701">
        <v>0.60786928987244704</v>
      </c>
      <c r="G4701">
        <v>0.22918537280144999</v>
      </c>
      <c r="H4701">
        <v>9.8329462339751497E-2</v>
      </c>
      <c r="I4701">
        <v>7.1080698398520006E-2</v>
      </c>
      <c r="J4701">
        <v>8.1349204671872996E-2</v>
      </c>
      <c r="K4701">
        <v>8.2156119217587406E-2</v>
      </c>
      <c r="L4701">
        <v>1311.68348895133</v>
      </c>
      <c r="M4701">
        <v>25.8790257801423</v>
      </c>
      <c r="N4701">
        <v>50.971531153740202</v>
      </c>
      <c r="O4701">
        <v>50.385431964890302</v>
      </c>
      <c r="P4701">
        <v>-0.11971979238780101</v>
      </c>
      <c r="Q4701">
        <v>6.7651894666703002E-2</v>
      </c>
      <c r="R4701">
        <v>0.99914624930603002</v>
      </c>
      <c r="S4701" t="s">
        <v>11103</v>
      </c>
      <c r="T4701" t="s">
        <v>12802</v>
      </c>
      <c r="U4701" t="s">
        <v>12802</v>
      </c>
      <c r="V4701" t="s">
        <v>12802</v>
      </c>
      <c r="W4701" t="s">
        <v>17442</v>
      </c>
      <c r="X4701">
        <v>29</v>
      </c>
      <c r="Y4701" t="s">
        <v>23661</v>
      </c>
      <c r="Z4701" t="s">
        <v>30019</v>
      </c>
      <c r="AA4701">
        <v>0.50065329633447875</v>
      </c>
      <c r="AB4701" t="str">
        <f>HYPERLINK("Melting_Curves/meltCurve_Q92541_RTF1.pdf", "Melting_Curves/meltCurve_Q92541_RTF1.pdf")</f>
        <v>Melting_Curves/meltCurve_Q92541_RTF1.pdf</v>
      </c>
    </row>
    <row r="4702" spans="1:28" x14ac:dyDescent="0.25">
      <c r="A4702" t="s">
        <v>4706</v>
      </c>
      <c r="B4702">
        <v>0.99542014353169495</v>
      </c>
      <c r="C4702">
        <v>0.89356743843753395</v>
      </c>
      <c r="D4702">
        <v>0.97977943055204797</v>
      </c>
      <c r="E4702">
        <v>0.80833646429269701</v>
      </c>
      <c r="F4702">
        <v>0.503148143093752</v>
      </c>
      <c r="G4702">
        <v>0.15335567621339499</v>
      </c>
      <c r="H4702">
        <v>8.5256347700584698E-2</v>
      </c>
      <c r="I4702">
        <v>5.9557987502793203E-2</v>
      </c>
      <c r="J4702">
        <v>5.9592801534025901E-2</v>
      </c>
      <c r="K4702">
        <v>6.1362189152604697E-2</v>
      </c>
      <c r="L4702">
        <v>1134.3098065311201</v>
      </c>
      <c r="M4702">
        <v>22.816065489803002</v>
      </c>
      <c r="N4702">
        <v>49.926772969626199</v>
      </c>
      <c r="O4702">
        <v>49.338215708052502</v>
      </c>
      <c r="P4702">
        <v>-0.110290106357342</v>
      </c>
      <c r="Q4702">
        <v>4.6038531170910203E-2</v>
      </c>
      <c r="R4702">
        <v>0.99134288613296095</v>
      </c>
      <c r="S4702" t="s">
        <v>11104</v>
      </c>
      <c r="T4702" t="s">
        <v>12802</v>
      </c>
      <c r="U4702" t="s">
        <v>12802</v>
      </c>
      <c r="V4702" t="s">
        <v>12802</v>
      </c>
      <c r="W4702" t="s">
        <v>17443</v>
      </c>
      <c r="X4702">
        <v>12</v>
      </c>
      <c r="Y4702" t="s">
        <v>23662</v>
      </c>
      <c r="Z4702" t="s">
        <v>30020</v>
      </c>
      <c r="AA4702">
        <v>0.46025981248314091</v>
      </c>
      <c r="AB4702" t="str">
        <f>HYPERLINK("Melting_Curves/meltCurve_Q92544_TM9SF4.pdf", "Melting_Curves/meltCurve_Q92544_TM9SF4.pdf")</f>
        <v>Melting_Curves/meltCurve_Q92544_TM9SF4.pdf</v>
      </c>
    </row>
    <row r="4703" spans="1:28" x14ac:dyDescent="0.25">
      <c r="A4703" t="s">
        <v>4707</v>
      </c>
      <c r="B4703">
        <v>0.99542014353169495</v>
      </c>
      <c r="C4703">
        <v>0.97104526775678901</v>
      </c>
      <c r="D4703">
        <v>0.90464869304783202</v>
      </c>
      <c r="E4703">
        <v>0.48403294297699101</v>
      </c>
      <c r="F4703">
        <v>0.254714776602951</v>
      </c>
      <c r="G4703">
        <v>0.16655133295508301</v>
      </c>
      <c r="H4703">
        <v>0.103275397924022</v>
      </c>
      <c r="I4703">
        <v>9.0223912077215002E-2</v>
      </c>
      <c r="J4703">
        <v>0.122285185464112</v>
      </c>
      <c r="K4703">
        <v>0.109075295260377</v>
      </c>
      <c r="L4703">
        <v>1107.5706192031</v>
      </c>
      <c r="M4703">
        <v>23.961488136122298</v>
      </c>
      <c r="N4703">
        <v>46.717904599170701</v>
      </c>
      <c r="O4703">
        <v>45.904612484677301</v>
      </c>
      <c r="P4703">
        <v>-0.115869511624758</v>
      </c>
      <c r="Q4703">
        <v>0.112098487600436</v>
      </c>
      <c r="R4703">
        <v>0.99687500449651401</v>
      </c>
      <c r="S4703" t="s">
        <v>11105</v>
      </c>
      <c r="T4703" t="s">
        <v>12802</v>
      </c>
      <c r="U4703" t="s">
        <v>12802</v>
      </c>
      <c r="V4703" t="s">
        <v>12802</v>
      </c>
      <c r="W4703" t="s">
        <v>17444</v>
      </c>
      <c r="X4703">
        <v>9</v>
      </c>
      <c r="Y4703" t="s">
        <v>23663</v>
      </c>
      <c r="Z4703" t="s">
        <v>30021</v>
      </c>
      <c r="AA4703">
        <v>0.39311200568726928</v>
      </c>
      <c r="AB4703" t="str">
        <f>HYPERLINK("Melting_Curves/meltCurve_Q92547_TOPBP1.pdf", "Melting_Curves/meltCurve_Q92547_TOPBP1.pdf")</f>
        <v>Melting_Curves/meltCurve_Q92547_TOPBP1.pdf</v>
      </c>
    </row>
    <row r="4704" spans="1:28" x14ac:dyDescent="0.25">
      <c r="A4704" t="s">
        <v>4708</v>
      </c>
      <c r="B4704">
        <v>0.99542014353169495</v>
      </c>
      <c r="C4704">
        <v>0.94809991331298005</v>
      </c>
      <c r="D4704">
        <v>0.98763945793306296</v>
      </c>
      <c r="E4704">
        <v>0.58903970653261895</v>
      </c>
      <c r="F4704">
        <v>0.13092227905361001</v>
      </c>
      <c r="G4704">
        <v>9.8060518828973098E-2</v>
      </c>
      <c r="H4704">
        <v>6.5684362429826601E-2</v>
      </c>
      <c r="I4704">
        <v>4.6002998628924201E-2</v>
      </c>
      <c r="J4704">
        <v>5.2867951852484697E-2</v>
      </c>
      <c r="K4704">
        <v>3.96885217258112E-2</v>
      </c>
      <c r="L4704">
        <v>1778.2158724694</v>
      </c>
      <c r="M4704">
        <v>37.892895139960899</v>
      </c>
      <c r="N4704">
        <v>47.081781545311003</v>
      </c>
      <c r="O4704">
        <v>46.797299581998601</v>
      </c>
      <c r="P4704">
        <v>-0.19060717950582601</v>
      </c>
      <c r="Q4704">
        <v>5.8411579227605898E-2</v>
      </c>
      <c r="R4704">
        <v>0.99734031840910498</v>
      </c>
      <c r="S4704" t="s">
        <v>11106</v>
      </c>
      <c r="T4704" t="s">
        <v>12802</v>
      </c>
      <c r="U4704" t="s">
        <v>12802</v>
      </c>
      <c r="V4704" t="s">
        <v>12802</v>
      </c>
      <c r="W4704" t="s">
        <v>17445</v>
      </c>
      <c r="X4704">
        <v>5</v>
      </c>
      <c r="Y4704" t="s">
        <v>23664</v>
      </c>
      <c r="Z4704" t="s">
        <v>30022</v>
      </c>
      <c r="AA4704">
        <v>0.37340417356335409</v>
      </c>
      <c r="AB4704" t="str">
        <f>HYPERLINK("Melting_Curves/meltCurve_Q92551_IP6K1.pdf", "Melting_Curves/meltCurve_Q92551_IP6K1.pdf")</f>
        <v>Melting_Curves/meltCurve_Q92551_IP6K1.pdf</v>
      </c>
    </row>
    <row r="4705" spans="1:28" x14ac:dyDescent="0.25">
      <c r="A4705" t="s">
        <v>4709</v>
      </c>
      <c r="B4705">
        <v>0.99542014353169495</v>
      </c>
      <c r="C4705">
        <v>0.78320627832318301</v>
      </c>
      <c r="D4705">
        <v>0.838654325575382</v>
      </c>
      <c r="E4705">
        <v>0.96005601783434902</v>
      </c>
      <c r="F4705">
        <v>0.48248417321262799</v>
      </c>
      <c r="G4705">
        <v>0.31807820348118998</v>
      </c>
      <c r="H4705">
        <v>0.22972874215397199</v>
      </c>
      <c r="I4705">
        <v>0.30388624740989501</v>
      </c>
      <c r="J4705">
        <v>0.82081279949511599</v>
      </c>
      <c r="K4705">
        <v>1.2671876746061499</v>
      </c>
      <c r="L4705">
        <v>11756.1491022588</v>
      </c>
      <c r="M4705">
        <v>250</v>
      </c>
      <c r="O4705">
        <v>47.021587160271103</v>
      </c>
      <c r="P4705">
        <v>-0.57106355152836097</v>
      </c>
      <c r="Q4705">
        <v>0.57036296763101701</v>
      </c>
      <c r="R4705">
        <v>0.191837833438289</v>
      </c>
      <c r="S4705" t="s">
        <v>11107</v>
      </c>
      <c r="T4705" t="s">
        <v>12802</v>
      </c>
      <c r="U4705" t="s">
        <v>12802</v>
      </c>
      <c r="V4705" t="s">
        <v>12802</v>
      </c>
      <c r="W4705" t="s">
        <v>17446</v>
      </c>
      <c r="X4705">
        <v>8</v>
      </c>
      <c r="Y4705" t="s">
        <v>23665</v>
      </c>
      <c r="Z4705" t="s">
        <v>30023</v>
      </c>
      <c r="AA4705">
        <v>0.71396301953569608</v>
      </c>
      <c r="AB4705" t="str">
        <f>HYPERLINK("Melting_Curves/meltCurve_Q92552_MRPS27.pdf", "Melting_Curves/meltCurve_Q92552_MRPS27.pdf")</f>
        <v>Melting_Curves/meltCurve_Q92552_MRPS27.pdf</v>
      </c>
    </row>
    <row r="4706" spans="1:28" x14ac:dyDescent="0.25">
      <c r="A4706" t="s">
        <v>4710</v>
      </c>
      <c r="B4706">
        <v>0.99542014353169495</v>
      </c>
      <c r="C4706">
        <v>1.11476596904143</v>
      </c>
      <c r="D4706">
        <v>0.82355764166548096</v>
      </c>
      <c r="E4706">
        <v>0.88768520180225696</v>
      </c>
      <c r="F4706">
        <v>0.54182972298474796</v>
      </c>
      <c r="G4706">
        <v>0.25187394690857101</v>
      </c>
      <c r="H4706">
        <v>0.29631591543893798</v>
      </c>
      <c r="I4706">
        <v>0.118846316243298</v>
      </c>
      <c r="J4706">
        <v>0.17812568614712701</v>
      </c>
      <c r="K4706">
        <v>0.20695309444837201</v>
      </c>
      <c r="L4706">
        <v>1114.87563636041</v>
      </c>
      <c r="M4706">
        <v>22.455919405256601</v>
      </c>
      <c r="N4706">
        <v>50.627043572340199</v>
      </c>
      <c r="O4706">
        <v>49.258595377496199</v>
      </c>
      <c r="P4706">
        <v>-9.3886646570721502E-2</v>
      </c>
      <c r="Q4706">
        <v>0.17622964787290801</v>
      </c>
      <c r="R4706">
        <v>0.95887115865391503</v>
      </c>
      <c r="S4706" t="s">
        <v>11108</v>
      </c>
      <c r="T4706" t="s">
        <v>12802</v>
      </c>
      <c r="U4706" t="s">
        <v>12802</v>
      </c>
      <c r="V4706" t="s">
        <v>12802</v>
      </c>
      <c r="W4706" t="s">
        <v>17447</v>
      </c>
      <c r="X4706">
        <v>3</v>
      </c>
      <c r="Y4706" t="s">
        <v>23666</v>
      </c>
      <c r="Z4706" t="s">
        <v>30024</v>
      </c>
      <c r="AA4706">
        <v>0.53230323938379243</v>
      </c>
      <c r="AB4706" t="str">
        <f>HYPERLINK("Melting_Curves/meltCurve_Q92556_ELMO1.pdf", "Melting_Curves/meltCurve_Q92556_ELMO1.pdf")</f>
        <v>Melting_Curves/meltCurve_Q92556_ELMO1.pdf</v>
      </c>
    </row>
    <row r="4707" spans="1:28" x14ac:dyDescent="0.25">
      <c r="A4707" t="s">
        <v>4711</v>
      </c>
      <c r="B4707">
        <v>0.99542014353169495</v>
      </c>
      <c r="C4707">
        <v>0.86268925492162196</v>
      </c>
      <c r="D4707">
        <v>0.92073500557759902</v>
      </c>
      <c r="E4707">
        <v>0.63912285401471602</v>
      </c>
      <c r="F4707">
        <v>0.37637882669896</v>
      </c>
      <c r="G4707">
        <v>8.96738960016044E-2</v>
      </c>
      <c r="H4707">
        <v>5.42068914365611E-2</v>
      </c>
      <c r="I4707">
        <v>3.4346168676136497E-2</v>
      </c>
      <c r="J4707">
        <v>3.5544185439129503E-2</v>
      </c>
      <c r="K4707">
        <v>3.0322604683297699E-2</v>
      </c>
      <c r="L4707">
        <v>844.26647396585497</v>
      </c>
      <c r="M4707">
        <v>17.520026943271201</v>
      </c>
      <c r="N4707">
        <v>48.230439972625398</v>
      </c>
      <c r="O4707">
        <v>47.573993253829599</v>
      </c>
      <c r="P4707">
        <v>-9.1378760340869003E-2</v>
      </c>
      <c r="Q4707">
        <v>7.5325904350914E-3</v>
      </c>
      <c r="R4707">
        <v>0.98773246209864196</v>
      </c>
      <c r="S4707" t="s">
        <v>11109</v>
      </c>
      <c r="T4707" t="s">
        <v>12802</v>
      </c>
      <c r="U4707" t="s">
        <v>12802</v>
      </c>
      <c r="V4707" t="s">
        <v>12802</v>
      </c>
      <c r="W4707" t="s">
        <v>17448</v>
      </c>
      <c r="X4707">
        <v>4</v>
      </c>
      <c r="Y4707" t="s">
        <v>23667</v>
      </c>
      <c r="Z4707" t="s">
        <v>30025</v>
      </c>
      <c r="AA4707">
        <v>0.39431947363756231</v>
      </c>
      <c r="AB4707" t="str">
        <f>HYPERLINK("Melting_Curves/meltCurve_Q92572_AP3S1.pdf", "Melting_Curves/meltCurve_Q92572_AP3S1.pdf")</f>
        <v>Melting_Curves/meltCurve_Q92572_AP3S1.pdf</v>
      </c>
    </row>
    <row r="4708" spans="1:28" x14ac:dyDescent="0.25">
      <c r="A4708" t="s">
        <v>4712</v>
      </c>
      <c r="B4708">
        <v>0.99542014353169495</v>
      </c>
      <c r="C4708">
        <v>1.0121360939952799</v>
      </c>
      <c r="D4708">
        <v>1.08623256352706</v>
      </c>
      <c r="E4708">
        <v>0.76510179553663804</v>
      </c>
      <c r="F4708">
        <v>0.48497862814393999</v>
      </c>
      <c r="G4708">
        <v>0.160594255875046</v>
      </c>
      <c r="H4708">
        <v>5.4060612951710302E-2</v>
      </c>
      <c r="I4708">
        <v>3.41047212754736E-2</v>
      </c>
      <c r="J4708">
        <v>4.68175994497066E-2</v>
      </c>
      <c r="K4708">
        <v>5.6545543733328402E-2</v>
      </c>
      <c r="L4708">
        <v>1154.3252181262999</v>
      </c>
      <c r="M4708">
        <v>23.261106909990001</v>
      </c>
      <c r="N4708">
        <v>49.774304558750998</v>
      </c>
      <c r="O4708">
        <v>49.262306294501997</v>
      </c>
      <c r="P4708">
        <v>-0.114063330640888</v>
      </c>
      <c r="Q4708">
        <v>3.3765628320509201E-2</v>
      </c>
      <c r="R4708">
        <v>0.98991638359587997</v>
      </c>
      <c r="S4708" t="s">
        <v>11110</v>
      </c>
      <c r="T4708" t="s">
        <v>12802</v>
      </c>
      <c r="U4708" t="s">
        <v>12802</v>
      </c>
      <c r="V4708" t="s">
        <v>12802</v>
      </c>
      <c r="W4708" t="s">
        <v>17449</v>
      </c>
      <c r="X4708">
        <v>7</v>
      </c>
      <c r="Y4708" t="s">
        <v>23668</v>
      </c>
      <c r="Z4708" t="s">
        <v>30026</v>
      </c>
      <c r="AA4708">
        <v>0.45003120276136038</v>
      </c>
      <c r="AB4708" t="str">
        <f>HYPERLINK("Melting_Curves/meltCurve_Q92575_UBXN4.pdf", "Melting_Curves/meltCurve_Q92575_UBXN4.pdf")</f>
        <v>Melting_Curves/meltCurve_Q92575_UBXN4.pdf</v>
      </c>
    </row>
    <row r="4709" spans="1:28" x14ac:dyDescent="0.25">
      <c r="A4709" t="s">
        <v>4713</v>
      </c>
      <c r="B4709">
        <v>0.99542014353169495</v>
      </c>
      <c r="C4709">
        <v>0.98650050178065396</v>
      </c>
      <c r="D4709">
        <v>0.94151858098333097</v>
      </c>
      <c r="E4709">
        <v>0.787127116547502</v>
      </c>
      <c r="F4709">
        <v>0.57220601622061995</v>
      </c>
      <c r="G4709">
        <v>0.34305904855659902</v>
      </c>
      <c r="H4709">
        <v>0.221052631050908</v>
      </c>
      <c r="I4709">
        <v>0.161399720745285</v>
      </c>
      <c r="J4709">
        <v>0.18710422390230599</v>
      </c>
      <c r="K4709">
        <v>0.25124852128795999</v>
      </c>
      <c r="L4709">
        <v>893.71082836165601</v>
      </c>
      <c r="M4709">
        <v>18.016414626862101</v>
      </c>
      <c r="N4709">
        <v>50.8661888373191</v>
      </c>
      <c r="O4709">
        <v>49.006334295484699</v>
      </c>
      <c r="P4709">
        <v>-7.5360319866131301E-2</v>
      </c>
      <c r="Q4709">
        <v>0.18009181285822701</v>
      </c>
      <c r="R4709">
        <v>0.99295999086201503</v>
      </c>
      <c r="S4709" t="s">
        <v>11111</v>
      </c>
      <c r="T4709" t="s">
        <v>12802</v>
      </c>
      <c r="U4709" t="s">
        <v>12802</v>
      </c>
      <c r="V4709" t="s">
        <v>12802</v>
      </c>
      <c r="W4709" t="s">
        <v>17450</v>
      </c>
      <c r="X4709">
        <v>28</v>
      </c>
      <c r="Y4709" t="s">
        <v>23669</v>
      </c>
      <c r="Z4709" t="s">
        <v>30027</v>
      </c>
      <c r="AA4709">
        <v>0.53755205482034474</v>
      </c>
      <c r="AB4709" t="str">
        <f>HYPERLINK("Melting_Curves/meltCurve_Q92576_2_PHF3.pdf", "Melting_Curves/meltCurve_Q92576_2_PHF3.pdf")</f>
        <v>Melting_Curves/meltCurve_Q92576_2_PHF3.pdf</v>
      </c>
    </row>
    <row r="4710" spans="1:28" x14ac:dyDescent="0.25">
      <c r="A4710" t="s">
        <v>4714</v>
      </c>
      <c r="B4710">
        <v>0.99542014353169495</v>
      </c>
      <c r="C4710">
        <v>0.95709937324759897</v>
      </c>
      <c r="D4710">
        <v>0.84963165303997601</v>
      </c>
      <c r="E4710">
        <v>0.72300178986178398</v>
      </c>
      <c r="F4710">
        <v>0.77463469329273504</v>
      </c>
      <c r="G4710">
        <v>0.40655356732838099</v>
      </c>
      <c r="H4710">
        <v>0.30172688206961001</v>
      </c>
      <c r="I4710">
        <v>0.25603847219821202</v>
      </c>
      <c r="J4710">
        <v>0.29272413107308298</v>
      </c>
      <c r="K4710">
        <v>0.218172366149334</v>
      </c>
      <c r="L4710">
        <v>535.64667654532502</v>
      </c>
      <c r="M4710">
        <v>10.4491389049955</v>
      </c>
      <c r="N4710">
        <v>53.006635155771903</v>
      </c>
      <c r="O4710">
        <v>49.491439258009301</v>
      </c>
      <c r="P4710">
        <v>-4.51218367234128E-2</v>
      </c>
      <c r="Q4710">
        <v>0.145488604887511</v>
      </c>
      <c r="R4710">
        <v>0.95418490617825102</v>
      </c>
      <c r="S4710" t="s">
        <v>11112</v>
      </c>
      <c r="T4710" t="s">
        <v>12802</v>
      </c>
      <c r="U4710" t="s">
        <v>12802</v>
      </c>
      <c r="V4710" t="s">
        <v>12802</v>
      </c>
      <c r="W4710" t="s">
        <v>17451</v>
      </c>
      <c r="X4710">
        <v>1</v>
      </c>
      <c r="Y4710" t="s">
        <v>23670</v>
      </c>
      <c r="Z4710" t="s">
        <v>30028</v>
      </c>
      <c r="AA4710">
        <v>0.57617968882573267</v>
      </c>
      <c r="AB4710" t="str">
        <f>HYPERLINK("Melting_Curves/meltCurve_Q92581_3_SLC9A6.pdf", "Melting_Curves/meltCurve_Q92581_3_SLC9A6.pdf")</f>
        <v>Melting_Curves/meltCurve_Q92581_3_SLC9A6.pdf</v>
      </c>
    </row>
    <row r="4711" spans="1:28" x14ac:dyDescent="0.25">
      <c r="A4711" t="s">
        <v>4715</v>
      </c>
      <c r="B4711">
        <v>0.99542014353169495</v>
      </c>
      <c r="C4711">
        <v>0.96834125473096699</v>
      </c>
      <c r="D4711">
        <v>0.94817156461776197</v>
      </c>
      <c r="E4711">
        <v>0.81698916767825502</v>
      </c>
      <c r="F4711">
        <v>0.29763803327813299</v>
      </c>
      <c r="G4711">
        <v>0.110387259960309</v>
      </c>
      <c r="H4711">
        <v>6.5202057672206104E-2</v>
      </c>
      <c r="I4711">
        <v>4.50698935506448E-2</v>
      </c>
      <c r="J4711">
        <v>5.0703813345744503E-2</v>
      </c>
      <c r="K4711">
        <v>5.4219538096529497E-2</v>
      </c>
      <c r="L4711">
        <v>1529.6588371510099</v>
      </c>
      <c r="M4711">
        <v>31.474149916939801</v>
      </c>
      <c r="N4711">
        <v>48.775312148862902</v>
      </c>
      <c r="O4711">
        <v>48.405563114452399</v>
      </c>
      <c r="P4711">
        <v>-0.153885213907066</v>
      </c>
      <c r="Q4711">
        <v>5.33363683765141E-2</v>
      </c>
      <c r="R4711">
        <v>0.99834462507149002</v>
      </c>
      <c r="S4711" t="s">
        <v>11113</v>
      </c>
      <c r="T4711" t="s">
        <v>12802</v>
      </c>
      <c r="U4711" t="s">
        <v>12802</v>
      </c>
      <c r="V4711" t="s">
        <v>12802</v>
      </c>
      <c r="W4711" t="s">
        <v>17452</v>
      </c>
      <c r="X4711">
        <v>55</v>
      </c>
      <c r="Y4711" t="s">
        <v>23671</v>
      </c>
      <c r="Z4711" t="s">
        <v>30029</v>
      </c>
      <c r="AA4711">
        <v>0.42454480192070188</v>
      </c>
      <c r="AB4711" t="str">
        <f>HYPERLINK("Melting_Curves/meltCurve_Q92598_2_HSPH1.pdf", "Melting_Curves/meltCurve_Q92598_2_HSPH1.pdf")</f>
        <v>Melting_Curves/meltCurve_Q92598_2_HSPH1.pdf</v>
      </c>
    </row>
    <row r="4712" spans="1:28" x14ac:dyDescent="0.25">
      <c r="A4712" t="s">
        <v>4716</v>
      </c>
      <c r="B4712">
        <v>0.99542014353169495</v>
      </c>
      <c r="C4712">
        <v>0.81750187923288198</v>
      </c>
      <c r="D4712">
        <v>0.84200582096928001</v>
      </c>
      <c r="E4712">
        <v>0.53130936739077095</v>
      </c>
      <c r="F4712">
        <v>0.27339817023669899</v>
      </c>
      <c r="G4712">
        <v>0.16350471501911201</v>
      </c>
      <c r="H4712">
        <v>0.222384412954449</v>
      </c>
      <c r="I4712">
        <v>0.16229474571625099</v>
      </c>
      <c r="J4712">
        <v>7.5352522890296897E-2</v>
      </c>
      <c r="K4712">
        <v>6.4005650680808004E-2</v>
      </c>
      <c r="L4712">
        <v>666.93295791774096</v>
      </c>
      <c r="M4712">
        <v>14.403335431605599</v>
      </c>
      <c r="N4712">
        <v>46.955082798843101</v>
      </c>
      <c r="O4712">
        <v>45.438932637045198</v>
      </c>
      <c r="P4712">
        <v>-7.2081498004642697E-2</v>
      </c>
      <c r="Q4712">
        <v>9.0511041335772494E-2</v>
      </c>
      <c r="R4712">
        <v>0.97439986833162695</v>
      </c>
      <c r="S4712" t="s">
        <v>11114</v>
      </c>
      <c r="T4712" t="s">
        <v>12802</v>
      </c>
      <c r="U4712" t="s">
        <v>12802</v>
      </c>
      <c r="V4712" t="s">
        <v>12802</v>
      </c>
      <c r="W4712" t="s">
        <v>17453</v>
      </c>
      <c r="X4712">
        <v>3</v>
      </c>
      <c r="Y4712" t="s">
        <v>23672</v>
      </c>
      <c r="Z4712" t="s">
        <v>30030</v>
      </c>
      <c r="AA4712">
        <v>0.39500881068793248</v>
      </c>
      <c r="AB4712" t="str">
        <f>HYPERLINK("Melting_Curves/meltCurve_Q92600_RQCD1.pdf", "Melting_Curves/meltCurve_Q92600_RQCD1.pdf")</f>
        <v>Melting_Curves/meltCurve_Q92600_RQCD1.pdf</v>
      </c>
    </row>
    <row r="4713" spans="1:28" x14ac:dyDescent="0.25">
      <c r="A4713" t="s">
        <v>4717</v>
      </c>
      <c r="B4713">
        <v>0.99542014353169495</v>
      </c>
      <c r="C4713">
        <v>0.92075790579160099</v>
      </c>
      <c r="D4713">
        <v>0.90796506653181397</v>
      </c>
      <c r="E4713">
        <v>0.69300557308271304</v>
      </c>
      <c r="F4713">
        <v>0.28674366357461401</v>
      </c>
      <c r="G4713">
        <v>0.140927378564499</v>
      </c>
      <c r="H4713">
        <v>8.7543675736292403E-2</v>
      </c>
      <c r="I4713">
        <v>6.4069394911604502E-2</v>
      </c>
      <c r="J4713">
        <v>5.1833293531022701E-2</v>
      </c>
      <c r="K4713">
        <v>5.1798122973211499E-2</v>
      </c>
      <c r="L4713">
        <v>1025.1152154403501</v>
      </c>
      <c r="M4713">
        <v>21.393182062392299</v>
      </c>
      <c r="N4713">
        <v>48.163645534468301</v>
      </c>
      <c r="O4713">
        <v>47.505040639433901</v>
      </c>
      <c r="P4713">
        <v>-0.10676417087243401</v>
      </c>
      <c r="Q4713">
        <v>5.1714621914261398E-2</v>
      </c>
      <c r="R4713">
        <v>0.99582063329999604</v>
      </c>
      <c r="S4713" t="s">
        <v>11115</v>
      </c>
      <c r="T4713" t="s">
        <v>12802</v>
      </c>
      <c r="U4713" t="s">
        <v>12802</v>
      </c>
      <c r="V4713" t="s">
        <v>12802</v>
      </c>
      <c r="W4713" t="s">
        <v>17454</v>
      </c>
      <c r="X4713">
        <v>11</v>
      </c>
      <c r="Y4713" t="s">
        <v>23673</v>
      </c>
      <c r="Z4713" t="s">
        <v>30031</v>
      </c>
      <c r="AA4713">
        <v>0.40777201700249838</v>
      </c>
      <c r="AB4713" t="str">
        <f>HYPERLINK("Melting_Curves/meltCurve_Q92609_TBC1D5.pdf", "Melting_Curves/meltCurve_Q92609_TBC1D5.pdf")</f>
        <v>Melting_Curves/meltCurve_Q92609_TBC1D5.pdf</v>
      </c>
    </row>
    <row r="4714" spans="1:28" x14ac:dyDescent="0.25">
      <c r="A4714" t="s">
        <v>4718</v>
      </c>
      <c r="B4714">
        <v>0.99542014353169495</v>
      </c>
      <c r="C4714">
        <v>0.93710529810689003</v>
      </c>
      <c r="D4714">
        <v>0.90078261560070605</v>
      </c>
      <c r="E4714">
        <v>0.50103239951626</v>
      </c>
      <c r="F4714">
        <v>0.27363989534035599</v>
      </c>
      <c r="G4714">
        <v>0.175304314399888</v>
      </c>
      <c r="H4714">
        <v>0.10609442297364099</v>
      </c>
      <c r="I4714">
        <v>7.9265878291564798E-2</v>
      </c>
      <c r="J4714">
        <v>9.6170222833291005E-2</v>
      </c>
      <c r="K4714">
        <v>0.13950798787994201</v>
      </c>
      <c r="L4714">
        <v>993.88439843686399</v>
      </c>
      <c r="M4714">
        <v>21.424331271399598</v>
      </c>
      <c r="N4714">
        <v>46.916241670719401</v>
      </c>
      <c r="O4714">
        <v>45.991965986576403</v>
      </c>
      <c r="P4714">
        <v>-0.104030634723682</v>
      </c>
      <c r="Q4714">
        <v>0.106725245554517</v>
      </c>
      <c r="R4714">
        <v>0.99443671772139697</v>
      </c>
      <c r="S4714" t="s">
        <v>11116</v>
      </c>
      <c r="T4714" t="s">
        <v>12802</v>
      </c>
      <c r="U4714" t="s">
        <v>12802</v>
      </c>
      <c r="V4714" t="s">
        <v>12802</v>
      </c>
      <c r="W4714" t="s">
        <v>17455</v>
      </c>
      <c r="X4714">
        <v>8</v>
      </c>
      <c r="Y4714" t="s">
        <v>23674</v>
      </c>
      <c r="Z4714" t="s">
        <v>30032</v>
      </c>
      <c r="AA4714">
        <v>0.39650502447850661</v>
      </c>
      <c r="AB4714" t="str">
        <f>HYPERLINK("Melting_Curves/meltCurve_Q92615_LARP4B.pdf", "Melting_Curves/meltCurve_Q92615_LARP4B.pdf")</f>
        <v>Melting_Curves/meltCurve_Q92615_LARP4B.pdf</v>
      </c>
    </row>
    <row r="4715" spans="1:28" x14ac:dyDescent="0.25">
      <c r="A4715" t="s">
        <v>4719</v>
      </c>
      <c r="B4715">
        <v>0.99542014353169495</v>
      </c>
      <c r="C4715">
        <v>0.84296013206652798</v>
      </c>
      <c r="D4715">
        <v>0.56789184460977804</v>
      </c>
      <c r="E4715">
        <v>0.17047093208571601</v>
      </c>
      <c r="F4715">
        <v>0.100075966882425</v>
      </c>
      <c r="G4715">
        <v>5.7530096072914899E-2</v>
      </c>
      <c r="H4715">
        <v>3.90909465519335E-2</v>
      </c>
      <c r="I4715">
        <v>2.7039118036447801E-2</v>
      </c>
      <c r="J4715">
        <v>2.8748964468155301E-2</v>
      </c>
      <c r="K4715">
        <v>2.7180509711699601E-2</v>
      </c>
      <c r="L4715">
        <v>944.78519652617899</v>
      </c>
      <c r="M4715">
        <v>21.846451580258702</v>
      </c>
      <c r="N4715">
        <v>43.3813405786385</v>
      </c>
      <c r="O4715">
        <v>42.889127662257998</v>
      </c>
      <c r="P4715">
        <v>-0.123168983251814</v>
      </c>
      <c r="Q4715">
        <v>3.2796354005670998E-2</v>
      </c>
      <c r="R4715">
        <v>0.99764846207600499</v>
      </c>
      <c r="S4715" t="s">
        <v>11117</v>
      </c>
      <c r="T4715" t="s">
        <v>12802</v>
      </c>
      <c r="U4715" t="s">
        <v>12802</v>
      </c>
      <c r="V4715" t="s">
        <v>12802</v>
      </c>
      <c r="W4715" t="s">
        <v>17456</v>
      </c>
      <c r="X4715">
        <v>72</v>
      </c>
      <c r="Y4715" t="s">
        <v>23675</v>
      </c>
      <c r="Z4715" t="s">
        <v>30033</v>
      </c>
      <c r="AA4715">
        <v>0.2450922102255248</v>
      </c>
      <c r="AB4715" t="str">
        <f>HYPERLINK("Melting_Curves/meltCurve_Q92616_GCN1L1.pdf", "Melting_Curves/meltCurve_Q92616_GCN1L1.pdf")</f>
        <v>Melting_Curves/meltCurve_Q92616_GCN1L1.pdf</v>
      </c>
    </row>
    <row r="4716" spans="1:28" x14ac:dyDescent="0.25">
      <c r="A4716" t="s">
        <v>4720</v>
      </c>
      <c r="B4716">
        <v>0.99542014353169495</v>
      </c>
      <c r="C4716">
        <v>0.90642162010489202</v>
      </c>
      <c r="D4716">
        <v>0.89888835308491899</v>
      </c>
      <c r="E4716">
        <v>0.66812362925094104</v>
      </c>
      <c r="F4716">
        <v>0.35383632362499101</v>
      </c>
      <c r="G4716">
        <v>0.119173352338728</v>
      </c>
      <c r="H4716">
        <v>8.86047657044884E-2</v>
      </c>
      <c r="I4716">
        <v>6.9032068154065401E-2</v>
      </c>
      <c r="J4716">
        <v>9.1866693534529198E-2</v>
      </c>
      <c r="K4716">
        <v>7.2574188398334002E-2</v>
      </c>
      <c r="L4716">
        <v>921.43794575004995</v>
      </c>
      <c r="M4716">
        <v>19.2235954691835</v>
      </c>
      <c r="N4716">
        <v>48.245522676559197</v>
      </c>
      <c r="O4716">
        <v>47.4230068179874</v>
      </c>
      <c r="P4716">
        <v>-9.5405830543960998E-2</v>
      </c>
      <c r="Q4716">
        <v>5.8603126628634303E-2</v>
      </c>
      <c r="R4716">
        <v>0.99385381047007304</v>
      </c>
      <c r="S4716" t="s">
        <v>11118</v>
      </c>
      <c r="T4716" t="s">
        <v>12802</v>
      </c>
      <c r="U4716" t="s">
        <v>12802</v>
      </c>
      <c r="V4716" t="s">
        <v>12802</v>
      </c>
      <c r="W4716" t="s">
        <v>17457</v>
      </c>
      <c r="X4716">
        <v>11</v>
      </c>
      <c r="Y4716" t="s">
        <v>23676</v>
      </c>
      <c r="Z4716" t="s">
        <v>30034</v>
      </c>
      <c r="AA4716">
        <v>0.41499247813528439</v>
      </c>
      <c r="AB4716" t="str">
        <f>HYPERLINK("Melting_Curves/meltCurve_Q92619_HMHA1.pdf", "Melting_Curves/meltCurve_Q92619_HMHA1.pdf")</f>
        <v>Melting_Curves/meltCurve_Q92619_HMHA1.pdf</v>
      </c>
    </row>
    <row r="4717" spans="1:28" x14ac:dyDescent="0.25">
      <c r="A4717" t="s">
        <v>4721</v>
      </c>
      <c r="B4717">
        <v>0.99542014353169495</v>
      </c>
      <c r="C4717">
        <v>0.92505661282004203</v>
      </c>
      <c r="D4717">
        <v>0.92428316781320197</v>
      </c>
      <c r="E4717">
        <v>0.74509116099839601</v>
      </c>
      <c r="F4717">
        <v>0.51886997233048304</v>
      </c>
      <c r="G4717">
        <v>0.224838088466632</v>
      </c>
      <c r="H4717">
        <v>9.8548867833861201E-2</v>
      </c>
      <c r="I4717">
        <v>6.3917784261152605E-2</v>
      </c>
      <c r="J4717">
        <v>6.80628537455365E-2</v>
      </c>
      <c r="K4717">
        <v>6.9886874638515104E-2</v>
      </c>
      <c r="L4717">
        <v>818.32425229732598</v>
      </c>
      <c r="M4717">
        <v>16.459347848748202</v>
      </c>
      <c r="N4717">
        <v>49.914613892001597</v>
      </c>
      <c r="O4717">
        <v>49.0013646170421</v>
      </c>
      <c r="P4717">
        <v>-8.1342575468713305E-2</v>
      </c>
      <c r="Q4717">
        <v>3.1402933623932698E-2</v>
      </c>
      <c r="R4717">
        <v>0.99475064957730497</v>
      </c>
      <c r="S4717" t="s">
        <v>11119</v>
      </c>
      <c r="T4717" t="s">
        <v>12802</v>
      </c>
      <c r="U4717" t="s">
        <v>12802</v>
      </c>
      <c r="V4717" t="s">
        <v>12802</v>
      </c>
      <c r="W4717" t="s">
        <v>17458</v>
      </c>
      <c r="X4717">
        <v>25</v>
      </c>
      <c r="Y4717" t="s">
        <v>23677</v>
      </c>
      <c r="Z4717" t="s">
        <v>30035</v>
      </c>
      <c r="AA4717">
        <v>0.45973461038136682</v>
      </c>
      <c r="AB4717" t="str">
        <f>HYPERLINK("Melting_Curves/meltCurve_Q92620_DHX38.pdf", "Melting_Curves/meltCurve_Q92620_DHX38.pdf")</f>
        <v>Melting_Curves/meltCurve_Q92620_DHX38.pdf</v>
      </c>
    </row>
    <row r="4718" spans="1:28" x14ac:dyDescent="0.25">
      <c r="A4718" t="s">
        <v>4722</v>
      </c>
      <c r="B4718">
        <v>0.99542014353169495</v>
      </c>
      <c r="C4718">
        <v>0.82885773894061798</v>
      </c>
      <c r="D4718">
        <v>0.79715977374952096</v>
      </c>
      <c r="E4718">
        <v>0.41168991623582801</v>
      </c>
      <c r="F4718">
        <v>0.241760431422476</v>
      </c>
      <c r="G4718">
        <v>0.100798401933888</v>
      </c>
      <c r="H4718">
        <v>6.5744123689882403E-2</v>
      </c>
      <c r="I4718">
        <v>4.2488692392095899E-2</v>
      </c>
      <c r="J4718">
        <v>4.8715131415680103E-2</v>
      </c>
      <c r="K4718">
        <v>4.4587608275541001E-2</v>
      </c>
      <c r="L4718">
        <v>707.30824667252296</v>
      </c>
      <c r="M4718">
        <v>15.472978130591599</v>
      </c>
      <c r="N4718">
        <v>45.890587347987598</v>
      </c>
      <c r="O4718">
        <v>44.969348583159601</v>
      </c>
      <c r="P4718">
        <v>-8.3520264304269898E-2</v>
      </c>
      <c r="Q4718">
        <v>2.9142072750193902E-2</v>
      </c>
      <c r="R4718">
        <v>0.99038440812677597</v>
      </c>
      <c r="S4718" t="s">
        <v>11120</v>
      </c>
      <c r="T4718" t="s">
        <v>12802</v>
      </c>
      <c r="U4718" t="s">
        <v>12802</v>
      </c>
      <c r="V4718" t="s">
        <v>12802</v>
      </c>
      <c r="W4718" t="s">
        <v>13296</v>
      </c>
      <c r="X4718">
        <v>16</v>
      </c>
      <c r="Y4718" t="s">
        <v>19619</v>
      </c>
      <c r="Z4718" t="s">
        <v>30036</v>
      </c>
      <c r="AA4718">
        <v>0.33234854174923473</v>
      </c>
      <c r="AB4718" t="str">
        <f>HYPERLINK("Melting_Curves/meltCurve_Q92621_NUP205.pdf", "Melting_Curves/meltCurve_Q92621_NUP205.pdf")</f>
        <v>Melting_Curves/meltCurve_Q92621_NUP205.pdf</v>
      </c>
    </row>
    <row r="4719" spans="1:28" x14ac:dyDescent="0.25">
      <c r="A4719" t="s">
        <v>4723</v>
      </c>
      <c r="B4719">
        <v>0.99542014353169495</v>
      </c>
      <c r="C4719">
        <v>0.957893451143217</v>
      </c>
      <c r="D4719">
        <v>0.66003695327813205</v>
      </c>
      <c r="E4719">
        <v>0.17477054683489501</v>
      </c>
      <c r="F4719">
        <v>7.3646294808198995E-2</v>
      </c>
      <c r="G4719">
        <v>5.0575509024132603E-2</v>
      </c>
      <c r="H4719">
        <v>3.0405851868619702E-2</v>
      </c>
      <c r="I4719">
        <v>2.0339054584754601E-2</v>
      </c>
      <c r="J4719">
        <v>2.32339158965769E-2</v>
      </c>
      <c r="K4719">
        <v>2.3223696185067599E-2</v>
      </c>
      <c r="L4719">
        <v>1292.5454917485599</v>
      </c>
      <c r="M4719">
        <v>29.4425284156614</v>
      </c>
      <c r="N4719">
        <v>43.997008710002099</v>
      </c>
      <c r="O4719">
        <v>43.699600518853899</v>
      </c>
      <c r="P4719">
        <v>-0.16317781114246299</v>
      </c>
      <c r="Q4719">
        <v>3.1230620252006999E-2</v>
      </c>
      <c r="R4719">
        <v>0.999386306486718</v>
      </c>
      <c r="S4719" t="s">
        <v>11121</v>
      </c>
      <c r="T4719" t="s">
        <v>12802</v>
      </c>
      <c r="U4719" t="s">
        <v>12802</v>
      </c>
      <c r="V4719" t="s">
        <v>12802</v>
      </c>
      <c r="W4719" t="s">
        <v>17459</v>
      </c>
      <c r="X4719">
        <v>4</v>
      </c>
      <c r="Y4719" t="s">
        <v>23678</v>
      </c>
      <c r="Z4719" t="s">
        <v>30037</v>
      </c>
      <c r="AA4719">
        <v>0.25966549906419689</v>
      </c>
      <c r="AB4719" t="str">
        <f>HYPERLINK("Melting_Curves/meltCurve_Q92625_ANKS1A.pdf", "Melting_Curves/meltCurve_Q92625_ANKS1A.pdf")</f>
        <v>Melting_Curves/meltCurve_Q92625_ANKS1A.pdf</v>
      </c>
    </row>
    <row r="4720" spans="1:28" x14ac:dyDescent="0.25">
      <c r="A4720" t="s">
        <v>4724</v>
      </c>
      <c r="B4720">
        <v>0.99542014353169495</v>
      </c>
      <c r="C4720">
        <v>0.69401235979338904</v>
      </c>
      <c r="D4720">
        <v>0.75968208873092702</v>
      </c>
      <c r="E4720">
        <v>0.52643985238538304</v>
      </c>
      <c r="F4720">
        <v>0.32583015059060799</v>
      </c>
      <c r="G4720">
        <v>0.103510937369527</v>
      </c>
      <c r="H4720">
        <v>7.1254136990444097E-2</v>
      </c>
      <c r="I4720">
        <v>5.6737227745778399E-2</v>
      </c>
      <c r="J4720">
        <v>3.0831112536046999E-2</v>
      </c>
      <c r="K4720">
        <v>2.6263405619094501E-2</v>
      </c>
      <c r="L4720">
        <v>518.87816724775098</v>
      </c>
      <c r="M4720">
        <v>11.215258152900001</v>
      </c>
      <c r="N4720">
        <v>46.265366082146102</v>
      </c>
      <c r="O4720">
        <v>44.867603540374198</v>
      </c>
      <c r="P4720">
        <v>-6.2510415102149497E-2</v>
      </c>
      <c r="Q4720">
        <v>0</v>
      </c>
      <c r="R4720">
        <v>0.96415926968392596</v>
      </c>
      <c r="S4720" t="s">
        <v>11122</v>
      </c>
      <c r="T4720" t="s">
        <v>12802</v>
      </c>
      <c r="U4720" t="s">
        <v>12802</v>
      </c>
      <c r="V4720" t="s">
        <v>12802</v>
      </c>
      <c r="W4720" t="s">
        <v>17460</v>
      </c>
      <c r="X4720">
        <v>4</v>
      </c>
      <c r="Y4720" t="s">
        <v>23679</v>
      </c>
      <c r="Z4720" t="s">
        <v>30038</v>
      </c>
      <c r="AA4720">
        <v>0.34688620170447049</v>
      </c>
      <c r="AB4720" t="str">
        <f>HYPERLINK("Melting_Curves/meltCurve_Q92636_NSMAF.pdf", "Melting_Curves/meltCurve_Q92636_NSMAF.pdf")</f>
        <v>Melting_Curves/meltCurve_Q92636_NSMAF.pdf</v>
      </c>
    </row>
    <row r="4721" spans="1:28" x14ac:dyDescent="0.25">
      <c r="A4721" t="s">
        <v>4725</v>
      </c>
      <c r="B4721">
        <v>0.99542014353169495</v>
      </c>
      <c r="C4721">
        <v>0.96149105012206904</v>
      </c>
      <c r="D4721">
        <v>0.92603019506037398</v>
      </c>
      <c r="E4721">
        <v>0.52013386655598404</v>
      </c>
      <c r="F4721">
        <v>0.25548570599252401</v>
      </c>
      <c r="G4721">
        <v>9.9922839137625299E-2</v>
      </c>
      <c r="H4721">
        <v>5.3382911887401199E-2</v>
      </c>
      <c r="I4721">
        <v>3.07324960187264E-2</v>
      </c>
      <c r="J4721">
        <v>3.4334487064329997E-2</v>
      </c>
      <c r="K4721">
        <v>4.9627161208900303E-2</v>
      </c>
      <c r="L4721">
        <v>1016.58665253909</v>
      </c>
      <c r="M4721">
        <v>21.664502830128299</v>
      </c>
      <c r="N4721">
        <v>47.099517887235102</v>
      </c>
      <c r="O4721">
        <v>46.529767500790598</v>
      </c>
      <c r="P4721">
        <v>-0.111891659810701</v>
      </c>
      <c r="Q4721">
        <v>3.8765337269007598E-2</v>
      </c>
      <c r="R4721">
        <v>0.99708405783361598</v>
      </c>
      <c r="S4721" t="s">
        <v>11123</v>
      </c>
      <c r="T4721" t="s">
        <v>12802</v>
      </c>
      <c r="U4721" t="s">
        <v>12802</v>
      </c>
      <c r="V4721" t="s">
        <v>12802</v>
      </c>
      <c r="W4721" t="s">
        <v>17461</v>
      </c>
      <c r="X4721">
        <v>5</v>
      </c>
      <c r="Y4721" t="s">
        <v>23680</v>
      </c>
      <c r="Z4721" t="s">
        <v>30039</v>
      </c>
      <c r="AA4721">
        <v>0.36748671789977888</v>
      </c>
      <c r="AB4721" t="str">
        <f>HYPERLINK("Melting_Curves/meltCurve_Q92665_MRPS31.pdf", "Melting_Curves/meltCurve_Q92665_MRPS31.pdf")</f>
        <v>Melting_Curves/meltCurve_Q92665_MRPS31.pdf</v>
      </c>
    </row>
    <row r="4722" spans="1:28" x14ac:dyDescent="0.25">
      <c r="A4722" t="s">
        <v>4726</v>
      </c>
      <c r="B4722">
        <v>0.99542014353169495</v>
      </c>
      <c r="C4722">
        <v>0.86848944119826799</v>
      </c>
      <c r="D4722">
        <v>0.98322039476688095</v>
      </c>
      <c r="E4722">
        <v>0.54997270509628204</v>
      </c>
      <c r="F4722">
        <v>0.29250650126530803</v>
      </c>
      <c r="G4722">
        <v>0.14010282959425099</v>
      </c>
      <c r="H4722">
        <v>0.111354627833994</v>
      </c>
      <c r="I4722">
        <v>8.1415539835269196E-2</v>
      </c>
      <c r="J4722">
        <v>0.104013950747307</v>
      </c>
      <c r="K4722">
        <v>0.10396262354974101</v>
      </c>
      <c r="L4722">
        <v>1096.67009397017</v>
      </c>
      <c r="M4722">
        <v>23.354093651168501</v>
      </c>
      <c r="N4722">
        <v>47.402261198782099</v>
      </c>
      <c r="O4722">
        <v>46.618113405139397</v>
      </c>
      <c r="P4722">
        <v>-0.112942822662515</v>
      </c>
      <c r="Q4722">
        <v>9.8215399600268302E-2</v>
      </c>
      <c r="R4722">
        <v>0.98341196550157495</v>
      </c>
      <c r="S4722" t="s">
        <v>11124</v>
      </c>
      <c r="T4722" t="s">
        <v>12802</v>
      </c>
      <c r="U4722" t="s">
        <v>12802</v>
      </c>
      <c r="V4722" t="s">
        <v>12802</v>
      </c>
      <c r="W4722" t="s">
        <v>17462</v>
      </c>
      <c r="X4722">
        <v>12</v>
      </c>
      <c r="Y4722" t="s">
        <v>23681</v>
      </c>
      <c r="Z4722" t="s">
        <v>30040</v>
      </c>
      <c r="AA4722">
        <v>0.40623707940807618</v>
      </c>
      <c r="AB4722" t="str">
        <f>HYPERLINK("Melting_Curves/meltCurve_Q92667_AKAP1.pdf", "Melting_Curves/meltCurve_Q92667_AKAP1.pdf")</f>
        <v>Melting_Curves/meltCurve_Q92667_AKAP1.pdf</v>
      </c>
    </row>
    <row r="4723" spans="1:28" x14ac:dyDescent="0.25">
      <c r="A4723" t="s">
        <v>4727</v>
      </c>
      <c r="B4723">
        <v>0.99542014353169495</v>
      </c>
      <c r="C4723">
        <v>1.1978764529369701</v>
      </c>
      <c r="D4723">
        <v>0.99927418288441905</v>
      </c>
      <c r="E4723">
        <v>0.93449072964077695</v>
      </c>
      <c r="F4723">
        <v>0.80768813937409101</v>
      </c>
      <c r="G4723">
        <v>0.73695059011765796</v>
      </c>
      <c r="H4723">
        <v>0.63898735070075496</v>
      </c>
      <c r="I4723">
        <v>0.58236970368602203</v>
      </c>
      <c r="J4723">
        <v>0.91514795079186195</v>
      </c>
      <c r="K4723">
        <v>1.1480677051717101</v>
      </c>
      <c r="L4723">
        <v>3486.8813624642899</v>
      </c>
      <c r="M4723">
        <v>74.140417603564302</v>
      </c>
      <c r="O4723">
        <v>46.9965936143142</v>
      </c>
      <c r="P4723">
        <v>-7.7078541021084995E-2</v>
      </c>
      <c r="Q4723">
        <v>0.80456391716654496</v>
      </c>
      <c r="R4723">
        <v>0.33055095829730402</v>
      </c>
      <c r="S4723" t="s">
        <v>11125</v>
      </c>
      <c r="T4723" t="s">
        <v>12802</v>
      </c>
      <c r="U4723" t="s">
        <v>12802</v>
      </c>
      <c r="V4723" t="s">
        <v>12802</v>
      </c>
      <c r="W4723" t="s">
        <v>17463</v>
      </c>
      <c r="X4723">
        <v>1</v>
      </c>
      <c r="Y4723" t="s">
        <v>23682</v>
      </c>
      <c r="Z4723" t="s">
        <v>30041</v>
      </c>
      <c r="AA4723">
        <v>0.8700936046000205</v>
      </c>
      <c r="AB4723" t="str">
        <f>HYPERLINK("Melting_Curves/meltCurve_Q92686_NRGN.pdf", "Melting_Curves/meltCurve_Q92686_NRGN.pdf")</f>
        <v>Melting_Curves/meltCurve_Q92686_NRGN.pdf</v>
      </c>
    </row>
    <row r="4724" spans="1:28" x14ac:dyDescent="0.25">
      <c r="A4724" t="s">
        <v>4728</v>
      </c>
      <c r="B4724">
        <v>0.99542014353169495</v>
      </c>
      <c r="C4724">
        <v>1.0249757504429899</v>
      </c>
      <c r="D4724">
        <v>0.955194002157019</v>
      </c>
      <c r="E4724">
        <v>0.94044034722123604</v>
      </c>
      <c r="F4724">
        <v>0.76544320821143996</v>
      </c>
      <c r="G4724">
        <v>0.58540151209634805</v>
      </c>
      <c r="H4724">
        <v>0.12472765650027</v>
      </c>
      <c r="I4724">
        <v>6.9416269256281998E-2</v>
      </c>
      <c r="J4724">
        <v>7.6993302964879801E-2</v>
      </c>
      <c r="K4724">
        <v>0.103100097783628</v>
      </c>
      <c r="L4724">
        <v>1224.5492401116801</v>
      </c>
      <c r="M4724">
        <v>22.887687972570699</v>
      </c>
      <c r="N4724">
        <v>53.7189282699158</v>
      </c>
      <c r="O4724">
        <v>53.099117211873903</v>
      </c>
      <c r="P4724">
        <v>-0.103015703095761</v>
      </c>
      <c r="Q4724">
        <v>4.40382249493287E-2</v>
      </c>
      <c r="R4724">
        <v>0.98366121755243696</v>
      </c>
      <c r="S4724" t="s">
        <v>11126</v>
      </c>
      <c r="T4724" t="s">
        <v>12802</v>
      </c>
      <c r="U4724" t="s">
        <v>12802</v>
      </c>
      <c r="V4724" t="s">
        <v>12802</v>
      </c>
      <c r="W4724" t="s">
        <v>17464</v>
      </c>
      <c r="X4724">
        <v>12</v>
      </c>
      <c r="Y4724" t="s">
        <v>23683</v>
      </c>
      <c r="Z4724" t="s">
        <v>30042</v>
      </c>
      <c r="AA4724">
        <v>0.57959766238966159</v>
      </c>
      <c r="AB4724" t="str">
        <f>HYPERLINK("Melting_Curves/meltCurve_Q92688_2_ANP32B.pdf", "Melting_Curves/meltCurve_Q92688_2_ANP32B.pdf")</f>
        <v>Melting_Curves/meltCurve_Q92688_2_ANP32B.pdf</v>
      </c>
    </row>
    <row r="4725" spans="1:28" x14ac:dyDescent="0.25">
      <c r="A4725" t="s">
        <v>4729</v>
      </c>
      <c r="B4725">
        <v>0.99542014353169495</v>
      </c>
      <c r="C4725">
        <v>1.00833604675914</v>
      </c>
      <c r="D4725">
        <v>0.953772331707196</v>
      </c>
      <c r="E4725">
        <v>0.89051690559024299</v>
      </c>
      <c r="F4725">
        <v>0.79601439697439103</v>
      </c>
      <c r="G4725">
        <v>0.65406391005641196</v>
      </c>
      <c r="H4725">
        <v>0.45681841471830198</v>
      </c>
      <c r="I4725">
        <v>0.32840137253180701</v>
      </c>
      <c r="J4725">
        <v>0.28110805822266699</v>
      </c>
      <c r="K4725">
        <v>0.26050328386504501</v>
      </c>
      <c r="L4725">
        <v>667.92803305472899</v>
      </c>
      <c r="M4725">
        <v>12.1946927918284</v>
      </c>
      <c r="N4725">
        <v>56.5927255881588</v>
      </c>
      <c r="O4725">
        <v>53.361611248327002</v>
      </c>
      <c r="P4725">
        <v>-4.7873013135057797E-2</v>
      </c>
      <c r="Q4725">
        <v>0.16225802764611399</v>
      </c>
      <c r="R4725">
        <v>0.99689225204932597</v>
      </c>
      <c r="S4725" t="s">
        <v>11127</v>
      </c>
      <c r="T4725" t="s">
        <v>12802</v>
      </c>
      <c r="U4725" t="s">
        <v>12802</v>
      </c>
      <c r="V4725" t="s">
        <v>12802</v>
      </c>
      <c r="W4725" t="s">
        <v>17465</v>
      </c>
      <c r="X4725">
        <v>15</v>
      </c>
      <c r="Y4725" t="s">
        <v>23684</v>
      </c>
      <c r="Z4725" t="s">
        <v>30043</v>
      </c>
      <c r="AA4725">
        <v>0.67121933050143967</v>
      </c>
      <c r="AB4725" t="str">
        <f>HYPERLINK("Melting_Curves/meltCurve_Q92692_PVRL2.pdf", "Melting_Curves/meltCurve_Q92692_PVRL2.pdf")</f>
        <v>Melting_Curves/meltCurve_Q92692_PVRL2.pdf</v>
      </c>
    </row>
    <row r="4726" spans="1:28" x14ac:dyDescent="0.25">
      <c r="A4726" t="s">
        <v>4730</v>
      </c>
      <c r="B4726">
        <v>0.99542014353169495</v>
      </c>
      <c r="C4726">
        <v>0.99369605060084099</v>
      </c>
      <c r="D4726">
        <v>1.08955070063787</v>
      </c>
      <c r="E4726">
        <v>1.08300949154599</v>
      </c>
      <c r="F4726">
        <v>1.08390570059067</v>
      </c>
      <c r="G4726">
        <v>0.87498350043596795</v>
      </c>
      <c r="H4726">
        <v>0.79930510512854303</v>
      </c>
      <c r="I4726">
        <v>0.62880600014761301</v>
      </c>
      <c r="J4726">
        <v>0.49129567752926301</v>
      </c>
      <c r="K4726">
        <v>0.49398957817572098</v>
      </c>
      <c r="L4726">
        <v>1298.49542759733</v>
      </c>
      <c r="M4726">
        <v>22.1445838937099</v>
      </c>
      <c r="N4726">
        <v>65.262368789913793</v>
      </c>
      <c r="O4726">
        <v>58.165265376607003</v>
      </c>
      <c r="P4726">
        <v>-5.2616707554073001E-2</v>
      </c>
      <c r="Q4726">
        <v>0.44719702295717201</v>
      </c>
      <c r="R4726">
        <v>0.94265940618153199</v>
      </c>
      <c r="S4726" t="s">
        <v>11128</v>
      </c>
      <c r="T4726" t="s">
        <v>12802</v>
      </c>
      <c r="U4726" t="s">
        <v>12802</v>
      </c>
      <c r="V4726" t="s">
        <v>12802</v>
      </c>
      <c r="W4726" t="s">
        <v>17466</v>
      </c>
      <c r="X4726">
        <v>13</v>
      </c>
      <c r="Y4726" t="s">
        <v>23684</v>
      </c>
      <c r="Z4726" t="s">
        <v>30044</v>
      </c>
      <c r="AA4726">
        <v>0.84898371400503403</v>
      </c>
      <c r="AB4726" t="str">
        <f>HYPERLINK("Melting_Curves/meltCurve_Q92692_2_PVRL2.pdf", "Melting_Curves/meltCurve_Q92692_2_PVRL2.pdf")</f>
        <v>Melting_Curves/meltCurve_Q92692_2_PVRL2.pdf</v>
      </c>
    </row>
    <row r="4727" spans="1:28" x14ac:dyDescent="0.25">
      <c r="A4727" t="s">
        <v>4731</v>
      </c>
      <c r="B4727">
        <v>0.99542014353169495</v>
      </c>
      <c r="C4727">
        <v>0.96999294208389997</v>
      </c>
      <c r="D4727">
        <v>0.89988776216468802</v>
      </c>
      <c r="E4727">
        <v>0.74849374399890201</v>
      </c>
      <c r="F4727">
        <v>0.56256453859699895</v>
      </c>
      <c r="G4727">
        <v>0.22151939061394299</v>
      </c>
      <c r="H4727">
        <v>6.9924909521234896E-2</v>
      </c>
      <c r="I4727">
        <v>4.7974188896282202E-2</v>
      </c>
      <c r="J4727">
        <v>5.3027603756091703E-2</v>
      </c>
      <c r="K4727">
        <v>7.4913345061316999E-2</v>
      </c>
      <c r="L4727">
        <v>835.08704188358297</v>
      </c>
      <c r="M4727">
        <v>16.6930524533187</v>
      </c>
      <c r="N4727">
        <v>50.128796612406099</v>
      </c>
      <c r="O4727">
        <v>49.324644854899603</v>
      </c>
      <c r="P4727">
        <v>-8.3190365857385498E-2</v>
      </c>
      <c r="Q4727">
        <v>1.6821437728271198E-2</v>
      </c>
      <c r="R4727">
        <v>0.99153357655560803</v>
      </c>
      <c r="S4727" t="s">
        <v>11129</v>
      </c>
      <c r="T4727" t="s">
        <v>12802</v>
      </c>
      <c r="U4727" t="s">
        <v>12802</v>
      </c>
      <c r="V4727" t="s">
        <v>12802</v>
      </c>
      <c r="W4727" t="s">
        <v>17467</v>
      </c>
      <c r="X4727">
        <v>11</v>
      </c>
      <c r="Y4727" t="s">
        <v>23685</v>
      </c>
      <c r="Z4727" t="s">
        <v>30045</v>
      </c>
      <c r="AA4727">
        <v>0.46119821638151209</v>
      </c>
      <c r="AB4727" t="str">
        <f>HYPERLINK("Melting_Curves/meltCurve_Q92696_RABGGTA.pdf", "Melting_Curves/meltCurve_Q92696_RABGGTA.pdf")</f>
        <v>Melting_Curves/meltCurve_Q92696_RABGGTA.pdf</v>
      </c>
    </row>
    <row r="4728" spans="1:28" x14ac:dyDescent="0.25">
      <c r="A4728" t="s">
        <v>4732</v>
      </c>
      <c r="B4728">
        <v>0.99542014353169495</v>
      </c>
      <c r="C4728">
        <v>0.90585120382135298</v>
      </c>
      <c r="D4728">
        <v>0.52915324445446299</v>
      </c>
      <c r="E4728">
        <v>0.17823887033945501</v>
      </c>
      <c r="F4728">
        <v>6.2745862967202706E-2</v>
      </c>
      <c r="G4728">
        <v>1.9896044109280399E-2</v>
      </c>
      <c r="H4728">
        <v>2.5585706627100701E-2</v>
      </c>
      <c r="I4728">
        <v>2.99882291209587E-2</v>
      </c>
      <c r="J4728">
        <v>0</v>
      </c>
      <c r="K4728">
        <v>0</v>
      </c>
      <c r="L4728">
        <v>1042.91703324321</v>
      </c>
      <c r="M4728">
        <v>24.099358673251398</v>
      </c>
      <c r="N4728">
        <v>43.3343051637464</v>
      </c>
      <c r="O4728">
        <v>42.981041388834399</v>
      </c>
      <c r="P4728">
        <v>-0.13792977216377</v>
      </c>
      <c r="Q4728">
        <v>1.60280891635897E-2</v>
      </c>
      <c r="R4728">
        <v>0.99863312214692002</v>
      </c>
      <c r="S4728" t="s">
        <v>11130</v>
      </c>
      <c r="T4728" t="s">
        <v>12802</v>
      </c>
      <c r="U4728" t="s">
        <v>12802</v>
      </c>
      <c r="V4728" t="s">
        <v>12802</v>
      </c>
      <c r="W4728" t="s">
        <v>17468</v>
      </c>
      <c r="X4728">
        <v>1</v>
      </c>
      <c r="Y4728" t="s">
        <v>23686</v>
      </c>
      <c r="Z4728" t="s">
        <v>30046</v>
      </c>
      <c r="AA4728">
        <v>0.2307467092389914</v>
      </c>
      <c r="AB4728" t="str">
        <f>HYPERLINK("Melting_Curves/meltCurve_Q92698_RAD54L.pdf", "Melting_Curves/meltCurve_Q92698_RAD54L.pdf")</f>
        <v>Melting_Curves/meltCurve_Q92698_RAD54L.pdf</v>
      </c>
    </row>
    <row r="4729" spans="1:28" x14ac:dyDescent="0.25">
      <c r="A4729" t="s">
        <v>4733</v>
      </c>
      <c r="B4729">
        <v>0.99542014353169495</v>
      </c>
      <c r="C4729">
        <v>0.97153801035410403</v>
      </c>
      <c r="D4729">
        <v>0.99539555681482395</v>
      </c>
      <c r="E4729">
        <v>0.78324963084354704</v>
      </c>
      <c r="F4729">
        <v>0.59825850770364797</v>
      </c>
      <c r="G4729">
        <v>0.33895001867787899</v>
      </c>
      <c r="H4729">
        <v>0.239498943760172</v>
      </c>
      <c r="I4729">
        <v>0.19508673924133799</v>
      </c>
      <c r="J4729">
        <v>0.27555041622182003</v>
      </c>
      <c r="K4729">
        <v>0.33629522085000602</v>
      </c>
      <c r="L4729">
        <v>1052.5297878546501</v>
      </c>
      <c r="M4729">
        <v>21.372475899035301</v>
      </c>
      <c r="N4729">
        <v>50.8982410520426</v>
      </c>
      <c r="O4729">
        <v>48.821914141693703</v>
      </c>
      <c r="P4729">
        <v>-8.2076587411416602E-2</v>
      </c>
      <c r="Q4729">
        <v>0.250056787235999</v>
      </c>
      <c r="R4729">
        <v>0.98039777179176701</v>
      </c>
      <c r="S4729" t="s">
        <v>11131</v>
      </c>
      <c r="T4729" t="s">
        <v>12802</v>
      </c>
      <c r="U4729" t="s">
        <v>12802</v>
      </c>
      <c r="V4729" t="s">
        <v>12802</v>
      </c>
      <c r="W4729" t="s">
        <v>17469</v>
      </c>
      <c r="X4729">
        <v>8</v>
      </c>
      <c r="Y4729" t="s">
        <v>23687</v>
      </c>
      <c r="Z4729" t="s">
        <v>30047</v>
      </c>
      <c r="AA4729">
        <v>0.56496062220511012</v>
      </c>
      <c r="AB4729" t="str">
        <f>HYPERLINK("Melting_Curves/meltCurve_Q92734_2_TFG.pdf", "Melting_Curves/meltCurve_Q92734_2_TFG.pdf")</f>
        <v>Melting_Curves/meltCurve_Q92734_2_TFG.pdf</v>
      </c>
    </row>
    <row r="4730" spans="1:28" x14ac:dyDescent="0.25">
      <c r="A4730" t="s">
        <v>4734</v>
      </c>
      <c r="B4730">
        <v>0.99542014353169495</v>
      </c>
      <c r="C4730">
        <v>1.03236433642317</v>
      </c>
      <c r="D4730">
        <v>1.0973398282882001</v>
      </c>
      <c r="E4730">
        <v>0.89790226953420504</v>
      </c>
      <c r="F4730">
        <v>0.75749469352798904</v>
      </c>
      <c r="G4730">
        <v>0.53166241404747405</v>
      </c>
      <c r="H4730">
        <v>0.34462443766217898</v>
      </c>
      <c r="I4730">
        <v>0.30921580603332</v>
      </c>
      <c r="J4730">
        <v>0.28628202097925898</v>
      </c>
      <c r="K4730">
        <v>9.6799564532626794E-2</v>
      </c>
      <c r="L4730">
        <v>826.64511478600195</v>
      </c>
      <c r="M4730">
        <v>15.5300643238922</v>
      </c>
      <c r="N4730">
        <v>54.556018133598599</v>
      </c>
      <c r="O4730">
        <v>52.369530844034799</v>
      </c>
      <c r="P4730">
        <v>-6.2478496863364603E-2</v>
      </c>
      <c r="Q4730">
        <v>0.15732927968079299</v>
      </c>
      <c r="R4730">
        <v>0.97275365967162797</v>
      </c>
      <c r="S4730" t="s">
        <v>11132</v>
      </c>
      <c r="T4730" t="s">
        <v>12802</v>
      </c>
      <c r="U4730" t="s">
        <v>12802</v>
      </c>
      <c r="V4730" t="s">
        <v>12802</v>
      </c>
      <c r="W4730" t="s">
        <v>17470</v>
      </c>
      <c r="X4730">
        <v>2</v>
      </c>
      <c r="Y4730" t="s">
        <v>23688</v>
      </c>
      <c r="Z4730" t="s">
        <v>30048</v>
      </c>
      <c r="AA4730">
        <v>0.62745294247783889</v>
      </c>
      <c r="AB4730" t="str">
        <f>HYPERLINK("Melting_Curves/meltCurve_Q92747_ARPC1A.pdf", "Melting_Curves/meltCurve_Q92747_ARPC1A.pdf")</f>
        <v>Melting_Curves/meltCurve_Q92747_ARPC1A.pdf</v>
      </c>
    </row>
    <row r="4731" spans="1:28" x14ac:dyDescent="0.25">
      <c r="A4731" t="s">
        <v>4735</v>
      </c>
      <c r="B4731">
        <v>0.99542014353169495</v>
      </c>
      <c r="C4731">
        <v>0.86650236314840501</v>
      </c>
      <c r="D4731">
        <v>0.82181659934093798</v>
      </c>
      <c r="E4731">
        <v>0.45596073718234398</v>
      </c>
      <c r="F4731">
        <v>0.17712497397256899</v>
      </c>
      <c r="G4731">
        <v>7.2276609953702997E-2</v>
      </c>
      <c r="H4731">
        <v>5.2562845591455402E-2</v>
      </c>
      <c r="I4731">
        <v>3.75178418930181E-2</v>
      </c>
      <c r="J4731">
        <v>4.2481619147547202E-2</v>
      </c>
      <c r="K4731">
        <v>3.74165958934016E-2</v>
      </c>
      <c r="L4731">
        <v>863.64796662866797</v>
      </c>
      <c r="M4731">
        <v>18.797090154102801</v>
      </c>
      <c r="N4731">
        <v>46.085852643889801</v>
      </c>
      <c r="O4731">
        <v>45.435293928122199</v>
      </c>
      <c r="P4731">
        <v>-0.100561359287223</v>
      </c>
      <c r="Q4731">
        <v>2.7754871668419299E-2</v>
      </c>
      <c r="R4731">
        <v>0.99421437369292498</v>
      </c>
      <c r="S4731" t="s">
        <v>11133</v>
      </c>
      <c r="T4731" t="s">
        <v>12802</v>
      </c>
      <c r="U4731" t="s">
        <v>12802</v>
      </c>
      <c r="V4731" t="s">
        <v>12802</v>
      </c>
      <c r="W4731" t="s">
        <v>17471</v>
      </c>
      <c r="X4731">
        <v>6</v>
      </c>
      <c r="Y4731" t="s">
        <v>23689</v>
      </c>
      <c r="Z4731" t="s">
        <v>30049</v>
      </c>
      <c r="AA4731">
        <v>0.33208502402075829</v>
      </c>
      <c r="AB4731" t="str">
        <f>HYPERLINK("Melting_Curves/meltCurve_Q92759_GTF2H4.pdf", "Melting_Curves/meltCurve_Q92759_GTF2H4.pdf")</f>
        <v>Melting_Curves/meltCurve_Q92759_GTF2H4.pdf</v>
      </c>
    </row>
    <row r="4732" spans="1:28" x14ac:dyDescent="0.25">
      <c r="A4732" t="s">
        <v>4736</v>
      </c>
      <c r="B4732">
        <v>0.99542014353169495</v>
      </c>
      <c r="C4732">
        <v>0.88475170698291505</v>
      </c>
      <c r="D4732">
        <v>0.893309927740494</v>
      </c>
      <c r="E4732">
        <v>0.57629373909382198</v>
      </c>
      <c r="F4732">
        <v>0.298646852134139</v>
      </c>
      <c r="G4732">
        <v>0.14538114600975199</v>
      </c>
      <c r="H4732">
        <v>8.3612559182283996E-2</v>
      </c>
      <c r="I4732">
        <v>5.6634701895988501E-2</v>
      </c>
      <c r="J4732">
        <v>7.0665645800993701E-2</v>
      </c>
      <c r="K4732">
        <v>9.2739066689309396E-2</v>
      </c>
      <c r="L4732">
        <v>851.95499823139801</v>
      </c>
      <c r="M4732">
        <v>18.067230638516399</v>
      </c>
      <c r="N4732">
        <v>47.488624197413301</v>
      </c>
      <c r="O4732">
        <v>46.588382386153398</v>
      </c>
      <c r="P4732">
        <v>-9.1172562372171403E-2</v>
      </c>
      <c r="Q4732">
        <v>5.9650481822400701E-2</v>
      </c>
      <c r="R4732">
        <v>0.99332225314923195</v>
      </c>
      <c r="S4732" t="s">
        <v>11134</v>
      </c>
      <c r="T4732" t="s">
        <v>12802</v>
      </c>
      <c r="U4732" t="s">
        <v>12802</v>
      </c>
      <c r="V4732" t="s">
        <v>12802</v>
      </c>
      <c r="W4732" t="s">
        <v>17472</v>
      </c>
      <c r="X4732">
        <v>8</v>
      </c>
      <c r="Y4732" t="s">
        <v>23690</v>
      </c>
      <c r="Z4732" t="s">
        <v>30050</v>
      </c>
      <c r="AA4732">
        <v>0.39292782416192612</v>
      </c>
      <c r="AB4732" t="str">
        <f>HYPERLINK("Melting_Curves/meltCurve_Q92766_RREB1.pdf", "Melting_Curves/meltCurve_Q92766_RREB1.pdf")</f>
        <v>Melting_Curves/meltCurve_Q92766_RREB1.pdf</v>
      </c>
    </row>
    <row r="4733" spans="1:28" x14ac:dyDescent="0.25">
      <c r="A4733" t="s">
        <v>4737</v>
      </c>
      <c r="B4733">
        <v>0.99542014353169495</v>
      </c>
      <c r="C4733">
        <v>0.94372585167243905</v>
      </c>
      <c r="D4733">
        <v>0.89950997584155501</v>
      </c>
      <c r="E4733">
        <v>0.82456094361821997</v>
      </c>
      <c r="F4733">
        <v>0.48101183616822002</v>
      </c>
      <c r="G4733">
        <v>0.15898720851541301</v>
      </c>
      <c r="H4733">
        <v>7.8421203858925204E-2</v>
      </c>
      <c r="I4733">
        <v>5.65207549585868E-2</v>
      </c>
      <c r="J4733">
        <v>6.5831224117523401E-2</v>
      </c>
      <c r="K4733">
        <v>9.2009722028481594E-2</v>
      </c>
      <c r="L4733">
        <v>1123.1219387909</v>
      </c>
      <c r="M4733">
        <v>22.6693726578001</v>
      </c>
      <c r="N4733">
        <v>49.796986335964696</v>
      </c>
      <c r="O4733">
        <v>49.162888071503197</v>
      </c>
      <c r="P4733">
        <v>-0.108999156470235</v>
      </c>
      <c r="Q4733">
        <v>5.4476412174058998E-2</v>
      </c>
      <c r="R4733">
        <v>0.99282492171438397</v>
      </c>
      <c r="S4733" t="s">
        <v>11135</v>
      </c>
      <c r="T4733" t="s">
        <v>12802</v>
      </c>
      <c r="U4733" t="s">
        <v>12802</v>
      </c>
      <c r="V4733" t="s">
        <v>12802</v>
      </c>
      <c r="W4733" t="s">
        <v>17473</v>
      </c>
      <c r="X4733">
        <v>14</v>
      </c>
      <c r="Y4733" t="s">
        <v>23691</v>
      </c>
      <c r="Z4733" t="s">
        <v>30051</v>
      </c>
      <c r="AA4733">
        <v>0.45972513417049921</v>
      </c>
      <c r="AB4733" t="str">
        <f>HYPERLINK("Melting_Curves/meltCurve_Q92783_2_STAM.pdf", "Melting_Curves/meltCurve_Q92783_2_STAM.pdf")</f>
        <v>Melting_Curves/meltCurve_Q92783_2_STAM.pdf</v>
      </c>
    </row>
    <row r="4734" spans="1:28" x14ac:dyDescent="0.25">
      <c r="A4734" t="s">
        <v>4738</v>
      </c>
      <c r="B4734">
        <v>0.99542014353169495</v>
      </c>
      <c r="C4734">
        <v>0.92341412705561998</v>
      </c>
      <c r="D4734">
        <v>0.932715276518154</v>
      </c>
      <c r="E4734">
        <v>0.74576071115590303</v>
      </c>
      <c r="F4734">
        <v>0.55783213944573096</v>
      </c>
      <c r="G4734">
        <v>0.213483191529758</v>
      </c>
      <c r="H4734">
        <v>7.5450838761137604E-2</v>
      </c>
      <c r="I4734">
        <v>4.6899231032626602E-2</v>
      </c>
      <c r="J4734">
        <v>5.3577602918172797E-2</v>
      </c>
      <c r="K4734">
        <v>4.6991705409623101E-2</v>
      </c>
      <c r="L4734">
        <v>835.54198528691097</v>
      </c>
      <c r="M4734">
        <v>16.6864084902023</v>
      </c>
      <c r="N4734">
        <v>50.124323974119903</v>
      </c>
      <c r="O4734">
        <v>49.370620794360697</v>
      </c>
      <c r="P4734">
        <v>-8.3788416841468205E-2</v>
      </c>
      <c r="Q4734">
        <v>8.4358695685518396E-3</v>
      </c>
      <c r="R4734">
        <v>0.99169276625032199</v>
      </c>
      <c r="S4734" t="s">
        <v>11136</v>
      </c>
      <c r="T4734" t="s">
        <v>12802</v>
      </c>
      <c r="U4734" t="s">
        <v>12802</v>
      </c>
      <c r="V4734" t="s">
        <v>12802</v>
      </c>
      <c r="W4734" t="s">
        <v>17474</v>
      </c>
      <c r="X4734">
        <v>16</v>
      </c>
      <c r="Y4734" t="s">
        <v>23692</v>
      </c>
      <c r="Z4734" t="s">
        <v>30052</v>
      </c>
      <c r="AA4734">
        <v>0.45815648062270531</v>
      </c>
      <c r="AB4734" t="str">
        <f>HYPERLINK("Melting_Curves/meltCurve_Q92793_2_CREBBP.pdf", "Melting_Curves/meltCurve_Q92793_2_CREBBP.pdf")</f>
        <v>Melting_Curves/meltCurve_Q92793_2_CREBBP.pdf</v>
      </c>
    </row>
    <row r="4735" spans="1:28" x14ac:dyDescent="0.25">
      <c r="A4735" t="s">
        <v>4739</v>
      </c>
      <c r="B4735">
        <v>0.99542014353169495</v>
      </c>
      <c r="C4735">
        <v>0.99661919400717702</v>
      </c>
      <c r="D4735">
        <v>0.89221096765533103</v>
      </c>
      <c r="E4735">
        <v>0.35053730110116399</v>
      </c>
      <c r="F4735">
        <v>5.61252518216536E-2</v>
      </c>
      <c r="G4735">
        <v>3.80764485798585E-2</v>
      </c>
      <c r="H4735">
        <v>3.2775220264217898E-2</v>
      </c>
      <c r="I4735">
        <v>3.01525897590822E-2</v>
      </c>
      <c r="J4735">
        <v>2.9681201912186601E-2</v>
      </c>
      <c r="K4735">
        <v>3.5406101403403202E-2</v>
      </c>
      <c r="L4735">
        <v>1588.4811156656101</v>
      </c>
      <c r="M4735">
        <v>34.812991205163399</v>
      </c>
      <c r="N4735">
        <v>45.710250234828798</v>
      </c>
      <c r="O4735">
        <v>45.479201212146002</v>
      </c>
      <c r="P4735">
        <v>-0.18562521686636699</v>
      </c>
      <c r="Q4735">
        <v>3.00108293312377E-2</v>
      </c>
      <c r="R4735">
        <v>0.999837871473235</v>
      </c>
      <c r="S4735" t="s">
        <v>11137</v>
      </c>
      <c r="T4735" t="s">
        <v>12802</v>
      </c>
      <c r="U4735" t="s">
        <v>12802</v>
      </c>
      <c r="V4735" t="s">
        <v>12802</v>
      </c>
      <c r="W4735" t="s">
        <v>17475</v>
      </c>
      <c r="X4735">
        <v>24</v>
      </c>
      <c r="Y4735" t="s">
        <v>23693</v>
      </c>
      <c r="Z4735" t="s">
        <v>30053</v>
      </c>
      <c r="AA4735">
        <v>0.31306938391191907</v>
      </c>
      <c r="AB4735" t="str">
        <f>HYPERLINK("Melting_Curves/meltCurve_Q92797_SYMPK.pdf", "Melting_Curves/meltCurve_Q92797_SYMPK.pdf")</f>
        <v>Melting_Curves/meltCurve_Q92797_SYMPK.pdf</v>
      </c>
    </row>
    <row r="4736" spans="1:28" x14ac:dyDescent="0.25">
      <c r="A4736" t="s">
        <v>4740</v>
      </c>
      <c r="B4736">
        <v>0.99542014353169495</v>
      </c>
      <c r="C4736">
        <v>0.89678854642740702</v>
      </c>
      <c r="D4736">
        <v>0.79435800798996203</v>
      </c>
      <c r="E4736">
        <v>0.67732154537331402</v>
      </c>
      <c r="F4736">
        <v>0.545266571177624</v>
      </c>
      <c r="G4736">
        <v>0.385549808164873</v>
      </c>
      <c r="H4736">
        <v>0.26567659612968503</v>
      </c>
      <c r="I4736">
        <v>0.19422066822978701</v>
      </c>
      <c r="J4736">
        <v>0.22187555116215901</v>
      </c>
      <c r="K4736">
        <v>0.29142764479496602</v>
      </c>
      <c r="L4736">
        <v>515.29758116768005</v>
      </c>
      <c r="M4736">
        <v>10.681097390908301</v>
      </c>
      <c r="N4736">
        <v>50.296367794327303</v>
      </c>
      <c r="O4736">
        <v>46.645025929837097</v>
      </c>
      <c r="P4736">
        <v>-4.7151959153465997E-2</v>
      </c>
      <c r="Q4736">
        <v>0.17664884663072999</v>
      </c>
      <c r="R4736">
        <v>0.98113775504558798</v>
      </c>
      <c r="S4736" t="s">
        <v>11138</v>
      </c>
      <c r="T4736" t="s">
        <v>12802</v>
      </c>
      <c r="U4736" t="s">
        <v>12802</v>
      </c>
      <c r="V4736" t="s">
        <v>12802</v>
      </c>
      <c r="W4736" t="s">
        <v>17476</v>
      </c>
      <c r="X4736">
        <v>6</v>
      </c>
      <c r="Y4736" t="s">
        <v>23694</v>
      </c>
      <c r="Z4736" t="s">
        <v>30054</v>
      </c>
      <c r="AA4736">
        <v>0.51509856847567514</v>
      </c>
      <c r="AB4736" t="str">
        <f>HYPERLINK("Melting_Curves/meltCurve_Q92804_2_TAF15.pdf", "Melting_Curves/meltCurve_Q92804_2_TAF15.pdf")</f>
        <v>Melting_Curves/meltCurve_Q92804_2_TAF15.pdf</v>
      </c>
    </row>
    <row r="4737" spans="1:28" x14ac:dyDescent="0.25">
      <c r="A4737" t="s">
        <v>4741</v>
      </c>
      <c r="B4737">
        <v>0.99542014353169495</v>
      </c>
      <c r="C4737">
        <v>1.0664622680553</v>
      </c>
      <c r="D4737">
        <v>0.95618774945823604</v>
      </c>
      <c r="E4737">
        <v>0.743513973701171</v>
      </c>
      <c r="F4737">
        <v>0.29837964316843402</v>
      </c>
      <c r="G4737">
        <v>0.17411461100963299</v>
      </c>
      <c r="H4737">
        <v>0.11929884982816499</v>
      </c>
      <c r="I4737">
        <v>8.1108043239216998E-2</v>
      </c>
      <c r="J4737">
        <v>9.57690459787022E-2</v>
      </c>
      <c r="K4737">
        <v>0.11101374991935101</v>
      </c>
      <c r="L4737">
        <v>1350.88146219758</v>
      </c>
      <c r="M4737">
        <v>28.1064508881135</v>
      </c>
      <c r="N4737">
        <v>48.4618696325158</v>
      </c>
      <c r="O4737">
        <v>47.821708845941501</v>
      </c>
      <c r="P4737">
        <v>-0.13176326750071099</v>
      </c>
      <c r="Q4737">
        <v>0.103253366532017</v>
      </c>
      <c r="R4737">
        <v>0.99579397936922298</v>
      </c>
      <c r="S4737" t="s">
        <v>11139</v>
      </c>
      <c r="T4737" t="s">
        <v>12802</v>
      </c>
      <c r="U4737" t="s">
        <v>12802</v>
      </c>
      <c r="V4737" t="s">
        <v>12802</v>
      </c>
      <c r="W4737" t="s">
        <v>17477</v>
      </c>
      <c r="X4737">
        <v>13</v>
      </c>
      <c r="Y4737" t="s">
        <v>23695</v>
      </c>
      <c r="Z4737" t="s">
        <v>30055</v>
      </c>
      <c r="AA4737">
        <v>0.4400040920613269</v>
      </c>
      <c r="AB4737" t="str">
        <f>HYPERLINK("Melting_Curves/meltCurve_Q92805_GOLGA1.pdf", "Melting_Curves/meltCurve_Q92805_GOLGA1.pdf")</f>
        <v>Melting_Curves/meltCurve_Q92805_GOLGA1.pdf</v>
      </c>
    </row>
    <row r="4738" spans="1:28" x14ac:dyDescent="0.25">
      <c r="A4738" t="s">
        <v>4742</v>
      </c>
      <c r="B4738">
        <v>0.99542014353169495</v>
      </c>
      <c r="C4738">
        <v>1.0287029950706901</v>
      </c>
      <c r="D4738">
        <v>1.0198770418380401</v>
      </c>
      <c r="E4738">
        <v>0.93765277878364495</v>
      </c>
      <c r="F4738">
        <v>0.82328181284511703</v>
      </c>
      <c r="G4738">
        <v>0.62429165282490295</v>
      </c>
      <c r="H4738">
        <v>0.535755113244749</v>
      </c>
      <c r="I4738">
        <v>0.52555229257162395</v>
      </c>
      <c r="J4738">
        <v>0.86326796224065205</v>
      </c>
      <c r="K4738">
        <v>0.66319321359721195</v>
      </c>
      <c r="L4738">
        <v>2354.4392367032201</v>
      </c>
      <c r="M4738">
        <v>46.993935810967102</v>
      </c>
      <c r="O4738">
        <v>50.010451642215301</v>
      </c>
      <c r="P4738">
        <v>-8.4418789138272096E-2</v>
      </c>
      <c r="Q4738">
        <v>0.64065009843340104</v>
      </c>
      <c r="R4738">
        <v>0.77729901854377903</v>
      </c>
      <c r="S4738" t="s">
        <v>11140</v>
      </c>
      <c r="T4738" t="s">
        <v>12802</v>
      </c>
      <c r="U4738" t="s">
        <v>12802</v>
      </c>
      <c r="V4738" t="s">
        <v>12802</v>
      </c>
      <c r="W4738" t="s">
        <v>17478</v>
      </c>
      <c r="X4738">
        <v>4</v>
      </c>
      <c r="Y4738" t="s">
        <v>23696</v>
      </c>
      <c r="Z4738" t="s">
        <v>30056</v>
      </c>
      <c r="AA4738">
        <v>0.79847669671602384</v>
      </c>
      <c r="AB4738" t="str">
        <f>HYPERLINK("Melting_Curves/meltCurve_Q92820_GGH.pdf", "Melting_Curves/meltCurve_Q92820_GGH.pdf")</f>
        <v>Melting_Curves/meltCurve_Q92820_GGH.pdf</v>
      </c>
    </row>
    <row r="4739" spans="1:28" x14ac:dyDescent="0.25">
      <c r="A4739" t="s">
        <v>4743</v>
      </c>
      <c r="B4739">
        <v>0.99542014353169495</v>
      </c>
      <c r="C4739">
        <v>0.88533898002519296</v>
      </c>
      <c r="D4739">
        <v>0.82422109160983403</v>
      </c>
      <c r="E4739">
        <v>0.68166520228914795</v>
      </c>
      <c r="F4739">
        <v>0.44924404035121601</v>
      </c>
      <c r="G4739">
        <v>0.120868822720339</v>
      </c>
      <c r="H4739">
        <v>6.6061661639389799E-2</v>
      </c>
      <c r="I4739">
        <v>4.53750453784455E-2</v>
      </c>
      <c r="J4739">
        <v>4.3457499225528197E-2</v>
      </c>
      <c r="K4739">
        <v>4.7341074872702199E-2</v>
      </c>
      <c r="L4739">
        <v>702.31299399800605</v>
      </c>
      <c r="M4739">
        <v>14.453308895111499</v>
      </c>
      <c r="N4739">
        <v>48.591848387224097</v>
      </c>
      <c r="O4739">
        <v>47.690068932284099</v>
      </c>
      <c r="P4739">
        <v>-7.5775750727220398E-2</v>
      </c>
      <c r="Q4739">
        <v>0</v>
      </c>
      <c r="R4739">
        <v>0.98564254635382498</v>
      </c>
      <c r="S4739" t="s">
        <v>11141</v>
      </c>
      <c r="T4739" t="s">
        <v>12802</v>
      </c>
      <c r="U4739" t="s">
        <v>12802</v>
      </c>
      <c r="V4739" t="s">
        <v>12802</v>
      </c>
      <c r="W4739" t="s">
        <v>17479</v>
      </c>
      <c r="X4739">
        <v>6</v>
      </c>
      <c r="Y4739" t="s">
        <v>23697</v>
      </c>
      <c r="Z4739" t="s">
        <v>30057</v>
      </c>
      <c r="AA4739">
        <v>0.40945248879788759</v>
      </c>
      <c r="AB4739" t="str">
        <f>HYPERLINK("Melting_Curves/meltCurve_Q92843_2_BCL2L2.pdf", "Melting_Curves/meltCurve_Q92843_2_BCL2L2.pdf")</f>
        <v>Melting_Curves/meltCurve_Q92843_2_BCL2L2.pdf</v>
      </c>
    </row>
    <row r="4740" spans="1:28" x14ac:dyDescent="0.25">
      <c r="A4740" t="s">
        <v>4744</v>
      </c>
      <c r="B4740">
        <v>0.99542014353169495</v>
      </c>
      <c r="C4740">
        <v>1.0087481262757101</v>
      </c>
      <c r="D4740">
        <v>0.90576276279086199</v>
      </c>
      <c r="E4740">
        <v>0.65702927438408598</v>
      </c>
      <c r="F4740">
        <v>0.18525163875822201</v>
      </c>
      <c r="G4740">
        <v>0.108795673638221</v>
      </c>
      <c r="H4740">
        <v>7.7291280022707506E-2</v>
      </c>
      <c r="I4740">
        <v>4.4913701412238598E-2</v>
      </c>
      <c r="J4740">
        <v>4.6745010332338598E-2</v>
      </c>
      <c r="K4740">
        <v>4.6989627153347403E-2</v>
      </c>
      <c r="L4740">
        <v>1330.11215757738</v>
      </c>
      <c r="M4740">
        <v>28.078991901879501</v>
      </c>
      <c r="N4740">
        <v>47.5598853911807</v>
      </c>
      <c r="O4740">
        <v>47.132055193723502</v>
      </c>
      <c r="P4740">
        <v>-0.14105605390803599</v>
      </c>
      <c r="Q4740">
        <v>5.2928259869271202E-2</v>
      </c>
      <c r="R4740">
        <v>0.99732369112025199</v>
      </c>
      <c r="S4740" t="s">
        <v>11142</v>
      </c>
      <c r="T4740" t="s">
        <v>12802</v>
      </c>
      <c r="U4740" t="s">
        <v>12802</v>
      </c>
      <c r="V4740" t="s">
        <v>12802</v>
      </c>
      <c r="W4740" t="s">
        <v>17480</v>
      </c>
      <c r="X4740">
        <v>7</v>
      </c>
      <c r="Y4740" t="s">
        <v>23698</v>
      </c>
      <c r="Z4740" t="s">
        <v>30058</v>
      </c>
      <c r="AA4740">
        <v>0.38664487239851358</v>
      </c>
      <c r="AB4740" t="str">
        <f>HYPERLINK("Melting_Curves/meltCurve_Q92851_2_CASP10.pdf", "Melting_Curves/meltCurve_Q92851_2_CASP10.pdf")</f>
        <v>Melting_Curves/meltCurve_Q92851_2_CASP10.pdf</v>
      </c>
    </row>
    <row r="4741" spans="1:28" x14ac:dyDescent="0.25">
      <c r="A4741" t="s">
        <v>4745</v>
      </c>
      <c r="B4741">
        <v>0.99542014353169495</v>
      </c>
      <c r="C4741">
        <v>1.0029381109000199</v>
      </c>
      <c r="D4741">
        <v>0.88159498223935695</v>
      </c>
      <c r="E4741">
        <v>0.79353455819031005</v>
      </c>
      <c r="F4741">
        <v>0.64920523688537501</v>
      </c>
      <c r="G4741">
        <v>0.35729174875646802</v>
      </c>
      <c r="H4741">
        <v>0.246465374705576</v>
      </c>
      <c r="I4741">
        <v>0.169162551043572</v>
      </c>
      <c r="J4741">
        <v>0.206280883948913</v>
      </c>
      <c r="K4741">
        <v>0.23062750911396801</v>
      </c>
      <c r="L4741">
        <v>785.01363641694695</v>
      </c>
      <c r="M4741">
        <v>15.620791113289499</v>
      </c>
      <c r="N4741">
        <v>51.579867203771698</v>
      </c>
      <c r="O4741">
        <v>49.452442267741603</v>
      </c>
      <c r="P4741">
        <v>-6.5920072726163195E-2</v>
      </c>
      <c r="Q4741">
        <v>0.16531084894885001</v>
      </c>
      <c r="R4741">
        <v>0.986557060790209</v>
      </c>
      <c r="S4741" t="s">
        <v>11143</v>
      </c>
      <c r="T4741" t="s">
        <v>12802</v>
      </c>
      <c r="U4741" t="s">
        <v>12802</v>
      </c>
      <c r="V4741" t="s">
        <v>12802</v>
      </c>
      <c r="W4741" t="s">
        <v>17481</v>
      </c>
      <c r="X4741">
        <v>5</v>
      </c>
      <c r="Y4741" t="s">
        <v>23699</v>
      </c>
      <c r="Z4741" t="s">
        <v>30059</v>
      </c>
      <c r="AA4741">
        <v>0.55040657502413004</v>
      </c>
      <c r="AB4741" t="str">
        <f>HYPERLINK("Melting_Curves/meltCurve_Q92871_PMM1.pdf", "Melting_Curves/meltCurve_Q92871_PMM1.pdf")</f>
        <v>Melting_Curves/meltCurve_Q92871_PMM1.pdf</v>
      </c>
    </row>
    <row r="4742" spans="1:28" x14ac:dyDescent="0.25">
      <c r="A4742" t="s">
        <v>4746</v>
      </c>
      <c r="B4742">
        <v>0.99542014353169495</v>
      </c>
      <c r="C4742">
        <v>0.91026725386209295</v>
      </c>
      <c r="D4742">
        <v>0.95763458883001695</v>
      </c>
      <c r="E4742">
        <v>0.66788963446469196</v>
      </c>
      <c r="F4742">
        <v>0.29265295564822003</v>
      </c>
      <c r="G4742">
        <v>0.16807669871153799</v>
      </c>
      <c r="H4742">
        <v>0.104176918399773</v>
      </c>
      <c r="I4742">
        <v>7.4885402980958707E-2</v>
      </c>
      <c r="J4742">
        <v>6.7886332297921098E-2</v>
      </c>
      <c r="K4742">
        <v>8.1174847605703801E-2</v>
      </c>
      <c r="L4742">
        <v>1082.0350954817</v>
      </c>
      <c r="M4742">
        <v>22.650496021070499</v>
      </c>
      <c r="N4742">
        <v>48.126857455943401</v>
      </c>
      <c r="O4742">
        <v>47.403240772623803</v>
      </c>
      <c r="P4742">
        <v>-0.11024652892930201</v>
      </c>
      <c r="Q4742">
        <v>7.71171047429874E-2</v>
      </c>
      <c r="R4742">
        <v>0.99445237849620605</v>
      </c>
      <c r="S4742" t="s">
        <v>11144</v>
      </c>
      <c r="T4742" t="s">
        <v>12802</v>
      </c>
      <c r="U4742" t="s">
        <v>12802</v>
      </c>
      <c r="V4742" t="s">
        <v>12802</v>
      </c>
      <c r="W4742" t="s">
        <v>17482</v>
      </c>
      <c r="X4742">
        <v>77</v>
      </c>
      <c r="Y4742" t="s">
        <v>23700</v>
      </c>
      <c r="Z4742" t="s">
        <v>30060</v>
      </c>
      <c r="AA4742">
        <v>0.41798383262118483</v>
      </c>
      <c r="AB4742" t="str">
        <f>HYPERLINK("Melting_Curves/meltCurve_Q92878_RAD50.pdf", "Melting_Curves/meltCurve_Q92878_RAD50.pdf")</f>
        <v>Melting_Curves/meltCurve_Q92878_RAD50.pdf</v>
      </c>
    </row>
    <row r="4743" spans="1:28" x14ac:dyDescent="0.25">
      <c r="A4743" t="s">
        <v>4747</v>
      </c>
      <c r="B4743">
        <v>0.99542014353169495</v>
      </c>
      <c r="C4743">
        <v>1.0286046527544801</v>
      </c>
      <c r="D4743">
        <v>0.92409873970568901</v>
      </c>
      <c r="E4743">
        <v>0.66002511356872395</v>
      </c>
      <c r="F4743">
        <v>0.34060083901820098</v>
      </c>
      <c r="G4743">
        <v>0.21953639005478701</v>
      </c>
      <c r="H4743">
        <v>0.150083270307347</v>
      </c>
      <c r="I4743">
        <v>9.7636403170976896E-2</v>
      </c>
      <c r="J4743">
        <v>0.104294983516743</v>
      </c>
      <c r="K4743">
        <v>0.11057455419401099</v>
      </c>
      <c r="L4743">
        <v>975.95414072655296</v>
      </c>
      <c r="M4743">
        <v>20.422901897616999</v>
      </c>
      <c r="N4743">
        <v>48.365152990547102</v>
      </c>
      <c r="O4743">
        <v>47.336150388048303</v>
      </c>
      <c r="P4743">
        <v>-9.6186016510025202E-2</v>
      </c>
      <c r="Q4743">
        <v>0.10826795118615</v>
      </c>
      <c r="R4743">
        <v>0.997375158811735</v>
      </c>
      <c r="S4743" t="s">
        <v>11145</v>
      </c>
      <c r="T4743" t="s">
        <v>12802</v>
      </c>
      <c r="U4743" t="s">
        <v>12802</v>
      </c>
      <c r="V4743" t="s">
        <v>12802</v>
      </c>
      <c r="W4743" t="s">
        <v>17483</v>
      </c>
      <c r="X4743">
        <v>5</v>
      </c>
      <c r="Y4743" t="s">
        <v>23701</v>
      </c>
      <c r="Z4743" t="s">
        <v>30061</v>
      </c>
      <c r="AA4743">
        <v>0.44016037757974052</v>
      </c>
      <c r="AB4743" t="str">
        <f>HYPERLINK("Melting_Curves/meltCurve_Q92882_OSTF1.pdf", "Melting_Curves/meltCurve_Q92882_OSTF1.pdf")</f>
        <v>Melting_Curves/meltCurve_Q92882_OSTF1.pdf</v>
      </c>
    </row>
    <row r="4744" spans="1:28" x14ac:dyDescent="0.25">
      <c r="A4744" t="s">
        <v>4748</v>
      </c>
      <c r="B4744">
        <v>0.99542014353169495</v>
      </c>
      <c r="C4744">
        <v>0.79339695391732801</v>
      </c>
      <c r="D4744">
        <v>0.77938441119020396</v>
      </c>
      <c r="E4744">
        <v>0.53895317323398895</v>
      </c>
      <c r="F4744">
        <v>0.16174630135726201</v>
      </c>
      <c r="G4744">
        <v>4.4145350628939997E-2</v>
      </c>
      <c r="H4744">
        <v>2.8169994730641398E-2</v>
      </c>
      <c r="I4744">
        <v>3.8472613650662603E-2</v>
      </c>
      <c r="J4744">
        <v>0.103703021797158</v>
      </c>
      <c r="K4744">
        <v>0.131424079136023</v>
      </c>
      <c r="L4744">
        <v>792.797441372035</v>
      </c>
      <c r="M4744">
        <v>17.301557801404002</v>
      </c>
      <c r="N4744">
        <v>46.075813833961597</v>
      </c>
      <c r="O4744">
        <v>45.223305764977901</v>
      </c>
      <c r="P4744">
        <v>-9.1308160611885694E-2</v>
      </c>
      <c r="Q4744">
        <v>4.5399486480688797E-2</v>
      </c>
      <c r="R4744">
        <v>0.96340393556535897</v>
      </c>
      <c r="S4744" t="s">
        <v>11146</v>
      </c>
      <c r="T4744" t="s">
        <v>12802</v>
      </c>
      <c r="U4744" t="s">
        <v>12802</v>
      </c>
      <c r="V4744" t="s">
        <v>12802</v>
      </c>
      <c r="W4744" t="s">
        <v>17484</v>
      </c>
      <c r="X4744">
        <v>4</v>
      </c>
      <c r="Y4744" t="s">
        <v>23702</v>
      </c>
      <c r="Z4744" t="s">
        <v>30062</v>
      </c>
      <c r="AA4744">
        <v>0.34285699724464069</v>
      </c>
      <c r="AB4744" t="str">
        <f>HYPERLINK("Melting_Curves/meltCurve_Q92889_ERCC4.pdf", "Melting_Curves/meltCurve_Q92889_ERCC4.pdf")</f>
        <v>Melting_Curves/meltCurve_Q92889_ERCC4.pdf</v>
      </c>
    </row>
    <row r="4745" spans="1:28" x14ac:dyDescent="0.25">
      <c r="A4745" t="s">
        <v>4749</v>
      </c>
      <c r="B4745">
        <v>0.99542014353169495</v>
      </c>
      <c r="C4745">
        <v>0.95862746529640497</v>
      </c>
      <c r="D4745">
        <v>0.89980533529002704</v>
      </c>
      <c r="E4745">
        <v>0.82861823480463204</v>
      </c>
      <c r="F4745">
        <v>0.62533799361418196</v>
      </c>
      <c r="G4745">
        <v>0.46386305574449899</v>
      </c>
      <c r="H4745">
        <v>0.26515008581210597</v>
      </c>
      <c r="I4745">
        <v>0.136988459525649</v>
      </c>
      <c r="J4745">
        <v>6.7349099568746407E-2</v>
      </c>
      <c r="K4745">
        <v>5.35224259146043E-2</v>
      </c>
      <c r="L4745">
        <v>642.41049424218795</v>
      </c>
      <c r="M4745">
        <v>12.2380744758592</v>
      </c>
      <c r="N4745">
        <v>52.492753725140297</v>
      </c>
      <c r="O4745">
        <v>51.150193085011097</v>
      </c>
      <c r="P4745">
        <v>-5.98277719220155E-2</v>
      </c>
      <c r="Q4745">
        <v>0</v>
      </c>
      <c r="R4745">
        <v>0.99632534077164203</v>
      </c>
      <c r="S4745" t="s">
        <v>11147</v>
      </c>
      <c r="T4745" t="s">
        <v>12802</v>
      </c>
      <c r="U4745" t="s">
        <v>12802</v>
      </c>
      <c r="V4745" t="s">
        <v>12802</v>
      </c>
      <c r="W4745" t="s">
        <v>17485</v>
      </c>
      <c r="X4745">
        <v>13</v>
      </c>
      <c r="Y4745" t="s">
        <v>23703</v>
      </c>
      <c r="Z4745" t="s">
        <v>30063</v>
      </c>
      <c r="AA4745">
        <v>0.53861832667930509</v>
      </c>
      <c r="AB4745" t="str">
        <f>HYPERLINK("Melting_Curves/meltCurve_Q92890_UFD1L.pdf", "Melting_Curves/meltCurve_Q92890_UFD1L.pdf")</f>
        <v>Melting_Curves/meltCurve_Q92890_UFD1L.pdf</v>
      </c>
    </row>
    <row r="4746" spans="1:28" x14ac:dyDescent="0.25">
      <c r="A4746" t="s">
        <v>4750</v>
      </c>
      <c r="B4746">
        <v>0.99542014353169495</v>
      </c>
      <c r="C4746">
        <v>0.93623252969779602</v>
      </c>
      <c r="D4746">
        <v>0.96289574914001597</v>
      </c>
      <c r="E4746">
        <v>0.85716005050891897</v>
      </c>
      <c r="F4746">
        <v>0.77268569945895604</v>
      </c>
      <c r="G4746">
        <v>0.52867565337786704</v>
      </c>
      <c r="H4746">
        <v>0.39117882610732002</v>
      </c>
      <c r="I4746">
        <v>0.22274700027210201</v>
      </c>
      <c r="J4746">
        <v>0.20919750271681301</v>
      </c>
      <c r="K4746">
        <v>0.196470763281206</v>
      </c>
      <c r="L4746">
        <v>689.64060460775795</v>
      </c>
      <c r="M4746">
        <v>12.8844612312644</v>
      </c>
      <c r="N4746">
        <v>54.605042661457901</v>
      </c>
      <c r="O4746">
        <v>52.284808229023803</v>
      </c>
      <c r="P4746">
        <v>-5.4687372562020199E-2</v>
      </c>
      <c r="Q4746">
        <v>0.11248260244585701</v>
      </c>
      <c r="R4746">
        <v>0.99229335662395401</v>
      </c>
      <c r="S4746" t="s">
        <v>11148</v>
      </c>
      <c r="T4746" t="s">
        <v>12802</v>
      </c>
      <c r="U4746" t="s">
        <v>12802</v>
      </c>
      <c r="V4746" t="s">
        <v>12802</v>
      </c>
      <c r="W4746" t="s">
        <v>17486</v>
      </c>
      <c r="X4746">
        <v>34</v>
      </c>
      <c r="Y4746" t="s">
        <v>23704</v>
      </c>
      <c r="Z4746" t="s">
        <v>30064</v>
      </c>
      <c r="AA4746">
        <v>0.61812258356726679</v>
      </c>
      <c r="AB4746" t="str">
        <f>HYPERLINK("Melting_Curves/meltCurve_Q92896_GLG1.pdf", "Melting_Curves/meltCurve_Q92896_GLG1.pdf")</f>
        <v>Melting_Curves/meltCurve_Q92896_GLG1.pdf</v>
      </c>
    </row>
    <row r="4747" spans="1:28" x14ac:dyDescent="0.25">
      <c r="A4747" t="s">
        <v>4751</v>
      </c>
      <c r="B4747">
        <v>0.99542014353169495</v>
      </c>
      <c r="C4747">
        <v>0.96436761490958001</v>
      </c>
      <c r="D4747">
        <v>0.96853304239483895</v>
      </c>
      <c r="E4747">
        <v>0.81644969903073805</v>
      </c>
      <c r="F4747">
        <v>0.54183300829880199</v>
      </c>
      <c r="G4747">
        <v>0.27858022622261203</v>
      </c>
      <c r="H4747">
        <v>0.11939675785027801</v>
      </c>
      <c r="I4747">
        <v>9.3097773887440394E-2</v>
      </c>
      <c r="J4747">
        <v>0.111720746708048</v>
      </c>
      <c r="K4747">
        <v>0.120710991514029</v>
      </c>
      <c r="L4747">
        <v>999.27512010936596</v>
      </c>
      <c r="M4747">
        <v>19.9699317269536</v>
      </c>
      <c r="N4747">
        <v>50.528871553723</v>
      </c>
      <c r="O4747">
        <v>49.545319328285501</v>
      </c>
      <c r="P4747">
        <v>-9.1900458460378698E-2</v>
      </c>
      <c r="Q4747">
        <v>8.8011210068396503E-2</v>
      </c>
      <c r="R4747">
        <v>0.99738248351545</v>
      </c>
      <c r="S4747" t="s">
        <v>11149</v>
      </c>
      <c r="T4747" t="s">
        <v>12802</v>
      </c>
      <c r="U4747" t="s">
        <v>12802</v>
      </c>
      <c r="V4747" t="s">
        <v>12802</v>
      </c>
      <c r="W4747" t="s">
        <v>17487</v>
      </c>
      <c r="X4747">
        <v>52</v>
      </c>
      <c r="Y4747" t="s">
        <v>23705</v>
      </c>
      <c r="Z4747" t="s">
        <v>30065</v>
      </c>
      <c r="AA4747">
        <v>0.49643175483589441</v>
      </c>
      <c r="AB4747" t="str">
        <f>HYPERLINK("Melting_Curves/meltCurve_Q92900_UPF1.pdf", "Melting_Curves/meltCurve_Q92900_UPF1.pdf")</f>
        <v>Melting_Curves/meltCurve_Q92900_UPF1.pdf</v>
      </c>
    </row>
    <row r="4748" spans="1:28" x14ac:dyDescent="0.25">
      <c r="A4748" t="s">
        <v>4752</v>
      </c>
      <c r="B4748">
        <v>0.99542014353169495</v>
      </c>
      <c r="C4748">
        <v>0.82971569253266098</v>
      </c>
      <c r="D4748">
        <v>0.95190069612758199</v>
      </c>
      <c r="E4748">
        <v>0.85492107222608604</v>
      </c>
      <c r="F4748">
        <v>0.63368574776530495</v>
      </c>
      <c r="G4748">
        <v>0.37018161468939598</v>
      </c>
      <c r="H4748">
        <v>0.113007718541928</v>
      </c>
      <c r="I4748">
        <v>6.9456994887202E-2</v>
      </c>
      <c r="J4748">
        <v>6.2218568337999797E-2</v>
      </c>
      <c r="K4748">
        <v>6.0850820671217797E-2</v>
      </c>
      <c r="L4748">
        <v>862.95478405726703</v>
      </c>
      <c r="M4748">
        <v>16.7257791855608</v>
      </c>
      <c r="N4748">
        <v>51.679724561247703</v>
      </c>
      <c r="O4748">
        <v>50.873689273822997</v>
      </c>
      <c r="P4748">
        <v>-8.1077322364795298E-2</v>
      </c>
      <c r="Q4748">
        <v>1.3634977103530999E-2</v>
      </c>
      <c r="R4748">
        <v>0.97798625828519903</v>
      </c>
      <c r="S4748" t="s">
        <v>11150</v>
      </c>
      <c r="T4748" t="s">
        <v>12802</v>
      </c>
      <c r="U4748" t="s">
        <v>12802</v>
      </c>
      <c r="V4748" t="s">
        <v>12802</v>
      </c>
      <c r="W4748" t="s">
        <v>17488</v>
      </c>
      <c r="X4748">
        <v>8</v>
      </c>
      <c r="Y4748" t="s">
        <v>23706</v>
      </c>
      <c r="Z4748" t="s">
        <v>30066</v>
      </c>
      <c r="AA4748">
        <v>0.51023613581621141</v>
      </c>
      <c r="AB4748" t="str">
        <f>HYPERLINK("Melting_Curves/meltCurve_Q92905_COPS5.pdf", "Melting_Curves/meltCurve_Q92905_COPS5.pdf")</f>
        <v>Melting_Curves/meltCurve_Q92905_COPS5.pdf</v>
      </c>
    </row>
    <row r="4749" spans="1:28" x14ac:dyDescent="0.25">
      <c r="A4749" t="s">
        <v>4753</v>
      </c>
      <c r="B4749">
        <v>0.99542014353169495</v>
      </c>
      <c r="C4749">
        <v>1.0072393309896199</v>
      </c>
      <c r="D4749">
        <v>0.98504139824278902</v>
      </c>
      <c r="E4749">
        <v>0.67372930936101905</v>
      </c>
      <c r="F4749">
        <v>0.24133669452086601</v>
      </c>
      <c r="G4749">
        <v>0.117518248818077</v>
      </c>
      <c r="H4749">
        <v>8.3131150373985496E-2</v>
      </c>
      <c r="I4749">
        <v>5.5640804891289898E-2</v>
      </c>
      <c r="J4749">
        <v>5.4285737942340297E-2</v>
      </c>
      <c r="K4749">
        <v>5.6178649915113302E-2</v>
      </c>
      <c r="L4749">
        <v>1368.4547124329299</v>
      </c>
      <c r="M4749">
        <v>28.706309850228202</v>
      </c>
      <c r="N4749">
        <v>47.899233240426803</v>
      </c>
      <c r="O4749">
        <v>47.441325577368097</v>
      </c>
      <c r="P4749">
        <v>-0.141599474366363</v>
      </c>
      <c r="Q4749">
        <v>6.3952886743603096E-2</v>
      </c>
      <c r="R4749">
        <v>0.99906464486712498</v>
      </c>
      <c r="S4749" t="s">
        <v>11151</v>
      </c>
      <c r="T4749" t="s">
        <v>12802</v>
      </c>
      <c r="U4749" t="s">
        <v>12802</v>
      </c>
      <c r="V4749" t="s">
        <v>12802</v>
      </c>
      <c r="W4749" t="s">
        <v>17489</v>
      </c>
      <c r="X4749">
        <v>22</v>
      </c>
      <c r="Y4749" t="s">
        <v>23707</v>
      </c>
      <c r="Z4749" t="s">
        <v>30067</v>
      </c>
      <c r="AA4749">
        <v>0.40292115636714593</v>
      </c>
      <c r="AB4749" t="str">
        <f>HYPERLINK("Melting_Curves/meltCurve_Q92917_GPKOW.pdf", "Melting_Curves/meltCurve_Q92917_GPKOW.pdf")</f>
        <v>Melting_Curves/meltCurve_Q92917_GPKOW.pdf</v>
      </c>
    </row>
    <row r="4750" spans="1:28" x14ac:dyDescent="0.25">
      <c r="A4750" t="s">
        <v>4754</v>
      </c>
      <c r="B4750">
        <v>0.99542014353169495</v>
      </c>
      <c r="C4750">
        <v>0.84071660394485104</v>
      </c>
      <c r="D4750">
        <v>0.77638793314648202</v>
      </c>
      <c r="E4750">
        <v>0.31352684360140598</v>
      </c>
      <c r="F4750">
        <v>0.15054558384742101</v>
      </c>
      <c r="G4750">
        <v>9.5337459084729695E-2</v>
      </c>
      <c r="H4750">
        <v>6.0884750943924697E-2</v>
      </c>
      <c r="I4750">
        <v>4.7839991111464399E-2</v>
      </c>
      <c r="J4750">
        <v>5.7831508069047202E-2</v>
      </c>
      <c r="K4750">
        <v>5.1692467838285003E-2</v>
      </c>
      <c r="L4750">
        <v>908.78951214820199</v>
      </c>
      <c r="M4750">
        <v>20.2865307170641</v>
      </c>
      <c r="N4750">
        <v>45.036382835759298</v>
      </c>
      <c r="O4750">
        <v>44.369193013278</v>
      </c>
      <c r="P4750">
        <v>-0.108482198709657</v>
      </c>
      <c r="Q4750">
        <v>5.09723822027714E-2</v>
      </c>
      <c r="R4750">
        <v>0.99012065027099705</v>
      </c>
      <c r="S4750" t="s">
        <v>11152</v>
      </c>
      <c r="T4750" t="s">
        <v>12802</v>
      </c>
      <c r="U4750" t="s">
        <v>12802</v>
      </c>
      <c r="V4750" t="s">
        <v>12802</v>
      </c>
      <c r="W4750" t="s">
        <v>17490</v>
      </c>
      <c r="X4750">
        <v>26</v>
      </c>
      <c r="Y4750" t="s">
        <v>23708</v>
      </c>
      <c r="Z4750" t="s">
        <v>30068</v>
      </c>
      <c r="AA4750">
        <v>0.30977443740900978</v>
      </c>
      <c r="AB4750" t="str">
        <f>HYPERLINK("Melting_Curves/meltCurve_Q92922_SMARCC1.pdf", "Melting_Curves/meltCurve_Q92922_SMARCC1.pdf")</f>
        <v>Melting_Curves/meltCurve_Q92922_SMARCC1.pdf</v>
      </c>
    </row>
    <row r="4751" spans="1:28" x14ac:dyDescent="0.25">
      <c r="A4751" t="s">
        <v>4755</v>
      </c>
      <c r="B4751">
        <v>0.99542014353169495</v>
      </c>
      <c r="C4751">
        <v>1.0218006081028701</v>
      </c>
      <c r="D4751">
        <v>0.94966794538684096</v>
      </c>
      <c r="E4751">
        <v>0.87457715449475504</v>
      </c>
      <c r="F4751">
        <v>0.780682885564563</v>
      </c>
      <c r="G4751">
        <v>0.67676112396723798</v>
      </c>
      <c r="H4751">
        <v>0.45628095297673799</v>
      </c>
      <c r="I4751">
        <v>0.40402022126270598</v>
      </c>
      <c r="J4751">
        <v>0.54670919382665395</v>
      </c>
      <c r="K4751">
        <v>0.34676626118535903</v>
      </c>
      <c r="L4751">
        <v>702.74702988864499</v>
      </c>
      <c r="M4751">
        <v>13.436963912609301</v>
      </c>
      <c r="N4751">
        <v>58.207393183554103</v>
      </c>
      <c r="O4751">
        <v>51.181924426390701</v>
      </c>
      <c r="P4751">
        <v>-4.12138318060788E-2</v>
      </c>
      <c r="Q4751">
        <v>0.37215711134055801</v>
      </c>
      <c r="R4751">
        <v>0.94955775779302098</v>
      </c>
      <c r="S4751" t="s">
        <v>11153</v>
      </c>
      <c r="T4751" t="s">
        <v>12802</v>
      </c>
      <c r="U4751" t="s">
        <v>12802</v>
      </c>
      <c r="V4751" t="s">
        <v>12802</v>
      </c>
      <c r="W4751" t="s">
        <v>17491</v>
      </c>
      <c r="X4751">
        <v>10</v>
      </c>
      <c r="Y4751" t="s">
        <v>23709</v>
      </c>
      <c r="Z4751" t="s">
        <v>30069</v>
      </c>
      <c r="AA4751">
        <v>0.70552013351145526</v>
      </c>
      <c r="AB4751" t="str">
        <f>HYPERLINK("Melting_Curves/meltCurve_Q92930_RAB8B.pdf", "Melting_Curves/meltCurve_Q92930_RAB8B.pdf")</f>
        <v>Melting_Curves/meltCurve_Q92930_RAB8B.pdf</v>
      </c>
    </row>
    <row r="4752" spans="1:28" x14ac:dyDescent="0.25">
      <c r="A4752" t="s">
        <v>4756</v>
      </c>
      <c r="B4752">
        <v>0.99542014353169495</v>
      </c>
      <c r="C4752">
        <v>1.1757703163150499</v>
      </c>
      <c r="D4752">
        <v>1.24575365527157</v>
      </c>
      <c r="E4752">
        <v>1.344432124908</v>
      </c>
      <c r="F4752">
        <v>1.2785686722280101</v>
      </c>
      <c r="G4752">
        <v>0.88445905681523995</v>
      </c>
      <c r="H4752">
        <v>0.74656291146591902</v>
      </c>
      <c r="I4752">
        <v>0.63700586537514403</v>
      </c>
      <c r="J4752">
        <v>1.0609149635472199</v>
      </c>
      <c r="K4752">
        <v>1.09191909262244</v>
      </c>
      <c r="L4752">
        <v>13171.053670102299</v>
      </c>
      <c r="M4752">
        <v>250</v>
      </c>
      <c r="O4752">
        <v>52.680847152866697</v>
      </c>
      <c r="P4752">
        <v>-0.1375693271632</v>
      </c>
      <c r="Q4752">
        <v>0.88404370958304701</v>
      </c>
      <c r="R4752">
        <v>9.3981598835178495E-2</v>
      </c>
      <c r="S4752" t="s">
        <v>11154</v>
      </c>
      <c r="T4752" t="s">
        <v>12802</v>
      </c>
      <c r="U4752" t="s">
        <v>12802</v>
      </c>
      <c r="V4752" t="s">
        <v>12802</v>
      </c>
      <c r="W4752" t="s">
        <v>17492</v>
      </c>
      <c r="X4752">
        <v>2</v>
      </c>
      <c r="Y4752" t="s">
        <v>23710</v>
      </c>
      <c r="Z4752" t="s">
        <v>30070</v>
      </c>
      <c r="AA4752">
        <v>0.94467720931374943</v>
      </c>
      <c r="AB4752" t="str">
        <f>HYPERLINK("Melting_Curves/meltCurve_Q92934_BAD.pdf", "Melting_Curves/meltCurve_Q92934_BAD.pdf")</f>
        <v>Melting_Curves/meltCurve_Q92934_BAD.pdf</v>
      </c>
    </row>
    <row r="4753" spans="1:28" x14ac:dyDescent="0.25">
      <c r="A4753" t="s">
        <v>4757</v>
      </c>
      <c r="B4753">
        <v>0.99542014353169495</v>
      </c>
      <c r="C4753">
        <v>1.0191121100434499</v>
      </c>
      <c r="D4753">
        <v>0.93660893192565797</v>
      </c>
      <c r="E4753">
        <v>0.82371991370867403</v>
      </c>
      <c r="F4753">
        <v>0.59189287713771499</v>
      </c>
      <c r="G4753">
        <v>0.52378527481592696</v>
      </c>
      <c r="H4753">
        <v>0.380540095651347</v>
      </c>
      <c r="I4753">
        <v>0.27475053598212101</v>
      </c>
      <c r="J4753">
        <v>0.33214622020742202</v>
      </c>
      <c r="K4753">
        <v>0.394634685789852</v>
      </c>
      <c r="L4753">
        <v>805.27554037951495</v>
      </c>
      <c r="M4753">
        <v>16.283448620332699</v>
      </c>
      <c r="N4753">
        <v>52.842615727472499</v>
      </c>
      <c r="O4753">
        <v>48.725811452024303</v>
      </c>
      <c r="P4753">
        <v>-5.6478602895980799E-2</v>
      </c>
      <c r="Q4753">
        <v>0.324034057875763</v>
      </c>
      <c r="R4753">
        <v>0.979823693597211</v>
      </c>
      <c r="S4753" t="s">
        <v>11155</v>
      </c>
      <c r="T4753" t="s">
        <v>12802</v>
      </c>
      <c r="U4753" t="s">
        <v>12802</v>
      </c>
      <c r="V4753" t="s">
        <v>12802</v>
      </c>
      <c r="W4753" t="s">
        <v>17493</v>
      </c>
      <c r="X4753">
        <v>50</v>
      </c>
      <c r="Y4753" t="s">
        <v>23711</v>
      </c>
      <c r="Z4753" t="s">
        <v>30071</v>
      </c>
      <c r="AA4753">
        <v>0.61728100326688684</v>
      </c>
      <c r="AB4753" t="str">
        <f>HYPERLINK("Melting_Curves/meltCurve_Q92945_KHSRP.pdf", "Melting_Curves/meltCurve_Q92945_KHSRP.pdf")</f>
        <v>Melting_Curves/meltCurve_Q92945_KHSRP.pdf</v>
      </c>
    </row>
    <row r="4754" spans="1:28" x14ac:dyDescent="0.25">
      <c r="A4754" t="s">
        <v>4758</v>
      </c>
      <c r="B4754">
        <v>0.99542014353169495</v>
      </c>
      <c r="C4754">
        <v>0.97145464865039999</v>
      </c>
      <c r="D4754">
        <v>0.92293686830081201</v>
      </c>
      <c r="E4754">
        <v>0.86540700617107902</v>
      </c>
      <c r="F4754">
        <v>0.65919031382509996</v>
      </c>
      <c r="G4754">
        <v>0.43231521729367101</v>
      </c>
      <c r="H4754">
        <v>0.15782063808973401</v>
      </c>
      <c r="I4754">
        <v>7.6471027931751298E-2</v>
      </c>
      <c r="J4754">
        <v>5.3304487820042101E-2</v>
      </c>
      <c r="K4754">
        <v>4.93109514760132E-2</v>
      </c>
      <c r="L4754">
        <v>820.139359016085</v>
      </c>
      <c r="M4754">
        <v>15.6833796651354</v>
      </c>
      <c r="N4754">
        <v>52.293534535289197</v>
      </c>
      <c r="O4754">
        <v>51.465487734651198</v>
      </c>
      <c r="P4754">
        <v>-7.6190444041235206E-2</v>
      </c>
      <c r="Q4754">
        <v>0</v>
      </c>
      <c r="R4754">
        <v>0.99569260431622097</v>
      </c>
      <c r="S4754" t="s">
        <v>11156</v>
      </c>
      <c r="T4754" t="s">
        <v>12802</v>
      </c>
      <c r="U4754" t="s">
        <v>12802</v>
      </c>
      <c r="V4754" t="s">
        <v>12802</v>
      </c>
      <c r="W4754" t="s">
        <v>17494</v>
      </c>
      <c r="X4754">
        <v>10</v>
      </c>
      <c r="Y4754" t="s">
        <v>23712</v>
      </c>
      <c r="Z4754" t="s">
        <v>30072</v>
      </c>
      <c r="AA4754">
        <v>0.52764777346410463</v>
      </c>
      <c r="AB4754" t="str">
        <f>HYPERLINK("Melting_Curves/meltCurve_Q92947_GCDH.pdf", "Melting_Curves/meltCurve_Q92947_GCDH.pdf")</f>
        <v>Melting_Curves/meltCurve_Q92947_GCDH.pdf</v>
      </c>
    </row>
    <row r="4755" spans="1:28" x14ac:dyDescent="0.25">
      <c r="A4755" t="s">
        <v>4759</v>
      </c>
      <c r="B4755">
        <v>0.99542014353169495</v>
      </c>
      <c r="C4755">
        <v>0.98982094768601903</v>
      </c>
      <c r="D4755">
        <v>1.08739727294572</v>
      </c>
      <c r="E4755">
        <v>0.94475580059136399</v>
      </c>
      <c r="F4755">
        <v>0.85226515231747701</v>
      </c>
      <c r="G4755">
        <v>0.568394917632425</v>
      </c>
      <c r="H4755">
        <v>0.38200652868850798</v>
      </c>
      <c r="I4755">
        <v>0.31030706378600798</v>
      </c>
      <c r="J4755">
        <v>0.42668614948668299</v>
      </c>
      <c r="K4755">
        <v>0.42882262634936302</v>
      </c>
      <c r="L4755">
        <v>1625.83650190551</v>
      </c>
      <c r="M4755">
        <v>31.1930567866033</v>
      </c>
      <c r="N4755">
        <v>54.618864809597497</v>
      </c>
      <c r="O4755">
        <v>51.908929291059998</v>
      </c>
      <c r="P4755">
        <v>-9.3160988790127103E-2</v>
      </c>
      <c r="Q4755">
        <v>0.37987992298529799</v>
      </c>
      <c r="R4755">
        <v>0.97447504790943396</v>
      </c>
      <c r="S4755" t="s">
        <v>11157</v>
      </c>
      <c r="T4755" t="s">
        <v>12802</v>
      </c>
      <c r="U4755" t="s">
        <v>12802</v>
      </c>
      <c r="V4755" t="s">
        <v>12802</v>
      </c>
      <c r="W4755" t="s">
        <v>17495</v>
      </c>
      <c r="X4755">
        <v>3</v>
      </c>
      <c r="Y4755" t="s">
        <v>23713</v>
      </c>
      <c r="Z4755" t="s">
        <v>30073</v>
      </c>
      <c r="AA4755">
        <v>0.69609156073726597</v>
      </c>
      <c r="AB4755" t="str">
        <f>HYPERLINK("Melting_Curves/meltCurve_Q92968_PEX13.pdf", "Melting_Curves/meltCurve_Q92968_PEX13.pdf")</f>
        <v>Melting_Curves/meltCurve_Q92968_PEX13.pdf</v>
      </c>
    </row>
    <row r="4756" spans="1:28" x14ac:dyDescent="0.25">
      <c r="A4756" t="s">
        <v>4760</v>
      </c>
      <c r="B4756">
        <v>0.99542014353169495</v>
      </c>
      <c r="C4756">
        <v>1.0254318590462499</v>
      </c>
      <c r="D4756">
        <v>0.94330589551280697</v>
      </c>
      <c r="E4756">
        <v>0.75317880766595702</v>
      </c>
      <c r="F4756">
        <v>0.25311206330181601</v>
      </c>
      <c r="G4756">
        <v>0.113875942030261</v>
      </c>
      <c r="H4756">
        <v>7.0481042086974102E-2</v>
      </c>
      <c r="I4756">
        <v>4.5982926378945299E-2</v>
      </c>
      <c r="J4756">
        <v>5.7194154248738902E-2</v>
      </c>
      <c r="K4756">
        <v>5.5260737559607302E-2</v>
      </c>
      <c r="L4756">
        <v>1451.52175070061</v>
      </c>
      <c r="M4756">
        <v>30.173454601614701</v>
      </c>
      <c r="N4756">
        <v>48.301673490261301</v>
      </c>
      <c r="O4756">
        <v>47.896102533029797</v>
      </c>
      <c r="P4756">
        <v>-0.148431114697155</v>
      </c>
      <c r="Q4756">
        <v>5.7552224962448398E-2</v>
      </c>
      <c r="R4756">
        <v>0.99848664062537296</v>
      </c>
      <c r="S4756" t="s">
        <v>11158</v>
      </c>
      <c r="T4756" t="s">
        <v>12802</v>
      </c>
      <c r="U4756" t="s">
        <v>12802</v>
      </c>
      <c r="V4756" t="s">
        <v>12802</v>
      </c>
      <c r="W4756" t="s">
        <v>17496</v>
      </c>
      <c r="X4756">
        <v>28</v>
      </c>
      <c r="Y4756" t="s">
        <v>23714</v>
      </c>
      <c r="Z4756" t="s">
        <v>30074</v>
      </c>
      <c r="AA4756">
        <v>0.41197221598956102</v>
      </c>
      <c r="AB4756" t="str">
        <f>HYPERLINK("Melting_Curves/meltCurve_Q92973_2_TNPO1.pdf", "Melting_Curves/meltCurve_Q92973_2_TNPO1.pdf")</f>
        <v>Melting_Curves/meltCurve_Q92973_2_TNPO1.pdf</v>
      </c>
    </row>
    <row r="4757" spans="1:28" x14ac:dyDescent="0.25">
      <c r="A4757" t="s">
        <v>4761</v>
      </c>
      <c r="B4757">
        <v>0.99542014353169495</v>
      </c>
      <c r="C4757">
        <v>1.0763847768399499</v>
      </c>
      <c r="D4757">
        <v>1.26207902960776</v>
      </c>
      <c r="E4757">
        <v>1.38014824939957</v>
      </c>
      <c r="F4757">
        <v>1.1721576363224999</v>
      </c>
      <c r="G4757">
        <v>0.95302453544542998</v>
      </c>
      <c r="H4757">
        <v>0.59122987572768304</v>
      </c>
      <c r="I4757">
        <v>0.35702631872586699</v>
      </c>
      <c r="J4757">
        <v>0.18115132409683901</v>
      </c>
      <c r="K4757">
        <v>0.14519487194991099</v>
      </c>
      <c r="L4757">
        <v>1803.94455939047</v>
      </c>
      <c r="M4757">
        <v>31.147108468218299</v>
      </c>
      <c r="N4757">
        <v>58.608706036342198</v>
      </c>
      <c r="O4757">
        <v>57.679766379512699</v>
      </c>
      <c r="P4757">
        <v>-0.11423515810130699</v>
      </c>
      <c r="Q4757">
        <v>0.15381957954067299</v>
      </c>
      <c r="R4757">
        <v>0.86251446716479396</v>
      </c>
      <c r="S4757" t="s">
        <v>11159</v>
      </c>
      <c r="T4757" t="s">
        <v>12802</v>
      </c>
      <c r="U4757" t="s">
        <v>12802</v>
      </c>
      <c r="V4757" t="s">
        <v>12802</v>
      </c>
      <c r="W4757" t="s">
        <v>17497</v>
      </c>
      <c r="X4757">
        <v>12</v>
      </c>
      <c r="Y4757" t="s">
        <v>23715</v>
      </c>
      <c r="Z4757" t="s">
        <v>30075</v>
      </c>
      <c r="AA4757">
        <v>0.74831604309800825</v>
      </c>
      <c r="AB4757" t="str">
        <f>HYPERLINK("Melting_Curves/meltCurve_Q92979_EMG1.pdf", "Melting_Curves/meltCurve_Q92979_EMG1.pdf")</f>
        <v>Melting_Curves/meltCurve_Q92979_EMG1.pdf</v>
      </c>
    </row>
    <row r="4758" spans="1:28" x14ac:dyDescent="0.25">
      <c r="A4758" t="s">
        <v>4762</v>
      </c>
      <c r="B4758">
        <v>0.99542014353169495</v>
      </c>
      <c r="C4758">
        <v>1.00320904463212</v>
      </c>
      <c r="D4758">
        <v>0.96123274050316598</v>
      </c>
      <c r="E4758">
        <v>0.83983617331112403</v>
      </c>
      <c r="F4758">
        <v>0.575212098011049</v>
      </c>
      <c r="G4758">
        <v>0.19807482308968699</v>
      </c>
      <c r="H4758">
        <v>0.13010004827687299</v>
      </c>
      <c r="I4758">
        <v>7.3523156172901602E-2</v>
      </c>
      <c r="J4758">
        <v>7.2059503024183E-2</v>
      </c>
      <c r="K4758">
        <v>7.4639178787273205E-2</v>
      </c>
      <c r="L4758">
        <v>1136.2546420096601</v>
      </c>
      <c r="M4758">
        <v>22.5955240183903</v>
      </c>
      <c r="N4758">
        <v>50.5849272349339</v>
      </c>
      <c r="O4758">
        <v>49.8978050736971</v>
      </c>
      <c r="P4758">
        <v>-0.10615161228162499</v>
      </c>
      <c r="Q4758">
        <v>6.2358318190014798E-2</v>
      </c>
      <c r="R4758">
        <v>0.99743977527918604</v>
      </c>
      <c r="S4758" t="s">
        <v>11160</v>
      </c>
      <c r="T4758" t="s">
        <v>12802</v>
      </c>
      <c r="U4758" t="s">
        <v>12802</v>
      </c>
      <c r="V4758" t="s">
        <v>12802</v>
      </c>
      <c r="W4758" t="s">
        <v>17498</v>
      </c>
      <c r="X4758">
        <v>16</v>
      </c>
      <c r="Y4758" t="s">
        <v>23716</v>
      </c>
      <c r="Z4758" t="s">
        <v>30076</v>
      </c>
      <c r="AA4758">
        <v>0.48755840537979828</v>
      </c>
      <c r="AB4758" t="str">
        <f>HYPERLINK("Melting_Curves/meltCurve_Q92990_GLMN.pdf", "Melting_Curves/meltCurve_Q92990_GLMN.pdf")</f>
        <v>Melting_Curves/meltCurve_Q92990_GLMN.pdf</v>
      </c>
    </row>
    <row r="4759" spans="1:28" x14ac:dyDescent="0.25">
      <c r="A4759" t="s">
        <v>4763</v>
      </c>
      <c r="B4759">
        <v>0.99542014353169495</v>
      </c>
      <c r="C4759">
        <v>0.84527730350832697</v>
      </c>
      <c r="D4759">
        <v>0.979054598294128</v>
      </c>
      <c r="E4759">
        <v>0.63290028512972196</v>
      </c>
      <c r="F4759">
        <v>0.21064601918970099</v>
      </c>
      <c r="G4759">
        <v>9.7178642125864897E-2</v>
      </c>
      <c r="H4759">
        <v>6.2622126156015506E-2</v>
      </c>
      <c r="I4759">
        <v>4.5295699669074603E-2</v>
      </c>
      <c r="J4759">
        <v>4.8819882722790101E-2</v>
      </c>
      <c r="K4759">
        <v>5.3682465239190097E-2</v>
      </c>
      <c r="L4759">
        <v>1322.17778787515</v>
      </c>
      <c r="M4759">
        <v>27.904433969839001</v>
      </c>
      <c r="N4759">
        <v>47.5697008551968</v>
      </c>
      <c r="O4759">
        <v>47.141014075309201</v>
      </c>
      <c r="P4759">
        <v>-0.14028450543204199</v>
      </c>
      <c r="Q4759">
        <v>5.2036500039448597E-2</v>
      </c>
      <c r="R4759">
        <v>0.98474728246625298</v>
      </c>
      <c r="S4759" t="s">
        <v>11161</v>
      </c>
      <c r="T4759" t="s">
        <v>12802</v>
      </c>
      <c r="U4759" t="s">
        <v>12802</v>
      </c>
      <c r="V4759" t="s">
        <v>12802</v>
      </c>
      <c r="W4759" t="s">
        <v>17499</v>
      </c>
      <c r="X4759">
        <v>38</v>
      </c>
      <c r="Y4759" t="s">
        <v>23717</v>
      </c>
      <c r="Z4759" t="s">
        <v>30077</v>
      </c>
      <c r="AA4759">
        <v>0.38652757038792901</v>
      </c>
      <c r="AB4759" t="str">
        <f>HYPERLINK("Melting_Curves/meltCurve_Q93008_USP9X.pdf", "Melting_Curves/meltCurve_Q93008_USP9X.pdf")</f>
        <v>Melting_Curves/meltCurve_Q93008_USP9X.pdf</v>
      </c>
    </row>
    <row r="4760" spans="1:28" x14ac:dyDescent="0.25">
      <c r="A4760" t="s">
        <v>4764</v>
      </c>
      <c r="B4760">
        <v>0.99542014353169495</v>
      </c>
      <c r="C4760">
        <v>0.95128338652548405</v>
      </c>
      <c r="D4760">
        <v>0.73140029428266595</v>
      </c>
      <c r="E4760">
        <v>0.29767478027545302</v>
      </c>
      <c r="F4760">
        <v>0.20320210607570899</v>
      </c>
      <c r="G4760">
        <v>0.107067580839735</v>
      </c>
      <c r="H4760">
        <v>7.1053977688738307E-2</v>
      </c>
      <c r="I4760">
        <v>8.3005981819061603E-2</v>
      </c>
      <c r="J4760">
        <v>7.7277517126141407E-2</v>
      </c>
      <c r="K4760">
        <v>7.6704701395516994E-2</v>
      </c>
      <c r="L4760">
        <v>1030.87971212148</v>
      </c>
      <c r="M4760">
        <v>23.138686164068499</v>
      </c>
      <c r="N4760">
        <v>44.911930021635101</v>
      </c>
      <c r="O4760">
        <v>44.223448096091701</v>
      </c>
      <c r="P4760">
        <v>-0.11974365385149</v>
      </c>
      <c r="Q4760">
        <v>8.4584070218887697E-2</v>
      </c>
      <c r="R4760">
        <v>0.99641416938221095</v>
      </c>
      <c r="S4760" t="s">
        <v>11162</v>
      </c>
      <c r="T4760" t="s">
        <v>12802</v>
      </c>
      <c r="U4760" t="s">
        <v>12802</v>
      </c>
      <c r="V4760" t="s">
        <v>12802</v>
      </c>
      <c r="W4760" t="s">
        <v>17500</v>
      </c>
      <c r="X4760">
        <v>1</v>
      </c>
      <c r="Y4760" t="s">
        <v>23718</v>
      </c>
      <c r="Z4760" t="s">
        <v>30078</v>
      </c>
      <c r="AA4760">
        <v>0.32388331282728339</v>
      </c>
      <c r="AB4760" t="str">
        <f>HYPERLINK("Melting_Curves/meltCurve_Q93015_NAT6.pdf", "Melting_Curves/meltCurve_Q93015_NAT6.pdf")</f>
        <v>Melting_Curves/meltCurve_Q93015_NAT6.pdf</v>
      </c>
    </row>
    <row r="4761" spans="1:28" x14ac:dyDescent="0.25">
      <c r="A4761" t="s">
        <v>4765</v>
      </c>
      <c r="B4761">
        <v>0.99542014353169495</v>
      </c>
      <c r="C4761">
        <v>0.95760323050562102</v>
      </c>
      <c r="D4761">
        <v>0.97641784305147805</v>
      </c>
      <c r="E4761">
        <v>0.85542622500559096</v>
      </c>
      <c r="F4761">
        <v>0.73600212829057299</v>
      </c>
      <c r="G4761">
        <v>0.53716597046501502</v>
      </c>
      <c r="H4761">
        <v>0.18447343779640299</v>
      </c>
      <c r="I4761">
        <v>7.1065209325998996E-2</v>
      </c>
      <c r="J4761">
        <v>7.3115832929830996E-2</v>
      </c>
      <c r="K4761">
        <v>7.2292570505440898E-2</v>
      </c>
      <c r="L4761">
        <v>871.84931236440696</v>
      </c>
      <c r="M4761">
        <v>16.339583961589302</v>
      </c>
      <c r="N4761">
        <v>53.358109617100702</v>
      </c>
      <c r="O4761">
        <v>52.578064998199999</v>
      </c>
      <c r="P4761">
        <v>-7.7697594942851E-2</v>
      </c>
      <c r="Q4761">
        <v>0</v>
      </c>
      <c r="R4761">
        <v>0.98890858429230399</v>
      </c>
      <c r="S4761" t="s">
        <v>11163</v>
      </c>
      <c r="T4761" t="s">
        <v>12802</v>
      </c>
      <c r="U4761" t="s">
        <v>12802</v>
      </c>
      <c r="V4761" t="s">
        <v>12802</v>
      </c>
      <c r="W4761" t="s">
        <v>17501</v>
      </c>
      <c r="X4761">
        <v>26</v>
      </c>
      <c r="Y4761" t="s">
        <v>23719</v>
      </c>
      <c r="Z4761" t="s">
        <v>30079</v>
      </c>
      <c r="AA4761">
        <v>0.56120269702776326</v>
      </c>
      <c r="AB4761" t="str">
        <f>HYPERLINK("Melting_Curves/meltCurve_Q93034_CUL5.pdf", "Melting_Curves/meltCurve_Q93034_CUL5.pdf")</f>
        <v>Melting_Curves/meltCurve_Q93034_CUL5.pdf</v>
      </c>
    </row>
    <row r="4762" spans="1:28" x14ac:dyDescent="0.25">
      <c r="A4762" t="s">
        <v>4766</v>
      </c>
      <c r="B4762">
        <v>0.99542014353169495</v>
      </c>
      <c r="C4762">
        <v>0.91539630746016698</v>
      </c>
      <c r="D4762">
        <v>0.97326409227408295</v>
      </c>
      <c r="E4762">
        <v>0.616149620492495</v>
      </c>
      <c r="F4762">
        <v>0.38228661297960898</v>
      </c>
      <c r="G4762">
        <v>0.16142220593807399</v>
      </c>
      <c r="H4762">
        <v>0.11270537473971</v>
      </c>
      <c r="I4762">
        <v>7.8835541349701596E-2</v>
      </c>
      <c r="J4762">
        <v>8.6906855246323897E-2</v>
      </c>
      <c r="K4762">
        <v>8.5453790850196804E-2</v>
      </c>
      <c r="L4762">
        <v>915.55170651875403</v>
      </c>
      <c r="M4762">
        <v>19.105320239143499</v>
      </c>
      <c r="N4762">
        <v>48.331060652124798</v>
      </c>
      <c r="O4762">
        <v>47.405544303544403</v>
      </c>
      <c r="P4762">
        <v>-9.3224774491953294E-2</v>
      </c>
      <c r="Q4762">
        <v>7.4771058048873199E-2</v>
      </c>
      <c r="R4762">
        <v>0.99142921253332394</v>
      </c>
      <c r="S4762" t="s">
        <v>11164</v>
      </c>
      <c r="T4762" t="s">
        <v>12802</v>
      </c>
      <c r="U4762" t="s">
        <v>12802</v>
      </c>
      <c r="V4762" t="s">
        <v>12802</v>
      </c>
      <c r="W4762" t="s">
        <v>17502</v>
      </c>
      <c r="X4762">
        <v>4</v>
      </c>
      <c r="Y4762" t="s">
        <v>23720</v>
      </c>
      <c r="Z4762" t="s">
        <v>30080</v>
      </c>
      <c r="AA4762">
        <v>0.4248414647555156</v>
      </c>
      <c r="AB4762" t="str">
        <f>HYPERLINK("Melting_Curves/meltCurve_Q93063_EXT2.pdf", "Melting_Curves/meltCurve_Q93063_EXT2.pdf")</f>
        <v>Melting_Curves/meltCurve_Q93063_EXT2.pdf</v>
      </c>
    </row>
    <row r="4763" spans="1:28" x14ac:dyDescent="0.25">
      <c r="A4763" t="s">
        <v>4767</v>
      </c>
      <c r="B4763">
        <v>0.99542014353169495</v>
      </c>
      <c r="C4763">
        <v>0.80899842253277299</v>
      </c>
      <c r="D4763">
        <v>0.78022977832979501</v>
      </c>
      <c r="E4763">
        <v>0.57808556884406603</v>
      </c>
      <c r="F4763">
        <v>0.26911554947344002</v>
      </c>
      <c r="G4763">
        <v>0.136328142132281</v>
      </c>
      <c r="H4763">
        <v>9.0013381956726299E-2</v>
      </c>
      <c r="I4763">
        <v>7.5658385615916604E-2</v>
      </c>
      <c r="J4763">
        <v>9.0272810400449197E-2</v>
      </c>
      <c r="K4763">
        <v>9.2279128355108306E-2</v>
      </c>
      <c r="L4763">
        <v>639.38500935988304</v>
      </c>
      <c r="M4763">
        <v>13.757120670097001</v>
      </c>
      <c r="N4763">
        <v>46.810724723932999</v>
      </c>
      <c r="O4763">
        <v>45.527623031197002</v>
      </c>
      <c r="P4763">
        <v>-7.20208249905811E-2</v>
      </c>
      <c r="Q4763">
        <v>4.6756181807576097E-2</v>
      </c>
      <c r="R4763">
        <v>0.983490308797482</v>
      </c>
      <c r="S4763" t="s">
        <v>11165</v>
      </c>
      <c r="T4763" t="s">
        <v>12802</v>
      </c>
      <c r="U4763" t="s">
        <v>12802</v>
      </c>
      <c r="V4763" t="s">
        <v>12802</v>
      </c>
      <c r="W4763" t="s">
        <v>17503</v>
      </c>
      <c r="X4763">
        <v>3</v>
      </c>
      <c r="Y4763" t="s">
        <v>23721</v>
      </c>
      <c r="Z4763" t="s">
        <v>30081</v>
      </c>
      <c r="AA4763">
        <v>0.37328252118024269</v>
      </c>
      <c r="AB4763" t="str">
        <f>HYPERLINK("Melting_Curves/meltCurve_Q93074_3_MED12.pdf", "Melting_Curves/meltCurve_Q93074_3_MED12.pdf")</f>
        <v>Melting_Curves/meltCurve_Q93074_3_MED12.pdf</v>
      </c>
    </row>
    <row r="4764" spans="1:28" x14ac:dyDescent="0.25">
      <c r="A4764" t="s">
        <v>4768</v>
      </c>
      <c r="B4764">
        <v>0.99542014353169495</v>
      </c>
      <c r="C4764">
        <v>1.0873813794660701</v>
      </c>
      <c r="D4764">
        <v>1.01214489317351</v>
      </c>
      <c r="E4764">
        <v>0.73331451895472</v>
      </c>
      <c r="F4764">
        <v>0.38525063172370599</v>
      </c>
      <c r="G4764">
        <v>0.24084493791223699</v>
      </c>
      <c r="H4764">
        <v>0.176028504066673</v>
      </c>
      <c r="I4764">
        <v>0.14896053842422699</v>
      </c>
      <c r="J4764">
        <v>0.30661038390257001</v>
      </c>
      <c r="K4764">
        <v>0.557479575290731</v>
      </c>
      <c r="L4764">
        <v>1800.1836399957101</v>
      </c>
      <c r="M4764">
        <v>38.059592154252897</v>
      </c>
      <c r="N4764">
        <v>48.393343370818599</v>
      </c>
      <c r="O4764">
        <v>47.169064501474899</v>
      </c>
      <c r="P4764">
        <v>-0.14351373621326</v>
      </c>
      <c r="Q4764">
        <v>0.28854817917583298</v>
      </c>
      <c r="R4764">
        <v>0.90344705045772</v>
      </c>
      <c r="S4764" t="s">
        <v>11166</v>
      </c>
      <c r="T4764" t="s">
        <v>12802</v>
      </c>
      <c r="U4764" t="s">
        <v>12802</v>
      </c>
      <c r="V4764" t="s">
        <v>12802</v>
      </c>
      <c r="W4764" t="s">
        <v>17504</v>
      </c>
      <c r="X4764">
        <v>6</v>
      </c>
      <c r="Y4764" t="s">
        <v>23722</v>
      </c>
      <c r="Z4764" t="s">
        <v>30082</v>
      </c>
      <c r="AA4764">
        <v>0.53536342552572369</v>
      </c>
      <c r="AB4764" t="str">
        <f>HYPERLINK("Melting_Curves/meltCurve_Q93077_HIST1H2AC.pdf", "Melting_Curves/meltCurve_Q93077_HIST1H2AC.pdf")</f>
        <v>Melting_Curves/meltCurve_Q93077_HIST1H2AC.pdf</v>
      </c>
    </row>
    <row r="4765" spans="1:28" x14ac:dyDescent="0.25">
      <c r="A4765" t="s">
        <v>4769</v>
      </c>
      <c r="B4765">
        <v>0.99542014353169495</v>
      </c>
      <c r="C4765">
        <v>0.92548219265184495</v>
      </c>
      <c r="D4765">
        <v>0.93018020801270496</v>
      </c>
      <c r="E4765">
        <v>0.73996077686019501</v>
      </c>
      <c r="F4765">
        <v>0.62472585394165103</v>
      </c>
      <c r="G4765">
        <v>0.24379212934622499</v>
      </c>
      <c r="H4765">
        <v>0.11139556231580899</v>
      </c>
      <c r="I4765">
        <v>7.4765479575642599E-2</v>
      </c>
      <c r="J4765">
        <v>6.7990002383833098E-2</v>
      </c>
      <c r="K4765">
        <v>7.8503236218072897E-2</v>
      </c>
      <c r="L4765">
        <v>797.80080667432696</v>
      </c>
      <c r="M4765">
        <v>15.8138820060285</v>
      </c>
      <c r="N4765">
        <v>50.612262090216802</v>
      </c>
      <c r="O4765">
        <v>49.663331655997702</v>
      </c>
      <c r="P4765">
        <v>-7.7637114816149405E-2</v>
      </c>
      <c r="Q4765">
        <v>2.48058611341801E-2</v>
      </c>
      <c r="R4765">
        <v>0.98604439718791104</v>
      </c>
      <c r="S4765" t="s">
        <v>11167</v>
      </c>
      <c r="T4765" t="s">
        <v>12802</v>
      </c>
      <c r="U4765" t="s">
        <v>12802</v>
      </c>
      <c r="V4765" t="s">
        <v>12802</v>
      </c>
      <c r="W4765" t="s">
        <v>17505</v>
      </c>
      <c r="X4765">
        <v>26</v>
      </c>
      <c r="Y4765" t="s">
        <v>23723</v>
      </c>
      <c r="Z4765" t="s">
        <v>30083</v>
      </c>
      <c r="AA4765">
        <v>0.4806169106188321</v>
      </c>
      <c r="AB4765" t="str">
        <f>HYPERLINK("Melting_Curves/meltCurve_Q93084_4_ATP2A3.pdf", "Melting_Curves/meltCurve_Q93084_4_ATP2A3.pdf")</f>
        <v>Melting_Curves/meltCurve_Q93084_4_ATP2A3.pdf</v>
      </c>
    </row>
    <row r="4766" spans="1:28" x14ac:dyDescent="0.25">
      <c r="A4766" t="s">
        <v>4770</v>
      </c>
      <c r="B4766">
        <v>0.99542014353169495</v>
      </c>
      <c r="C4766">
        <v>0.95316563508091301</v>
      </c>
      <c r="D4766">
        <v>0.89706783541406798</v>
      </c>
      <c r="E4766">
        <v>0.60600650130010902</v>
      </c>
      <c r="F4766">
        <v>0.36432261073896999</v>
      </c>
      <c r="G4766">
        <v>0.21130153589228301</v>
      </c>
      <c r="H4766">
        <v>0.14973035208211799</v>
      </c>
      <c r="I4766">
        <v>9.2993970729780495E-2</v>
      </c>
      <c r="J4766">
        <v>7.1112039718836201E-2</v>
      </c>
      <c r="K4766">
        <v>9.2419731174303202E-2</v>
      </c>
      <c r="L4766">
        <v>777.91553290737295</v>
      </c>
      <c r="M4766">
        <v>16.300494664741699</v>
      </c>
      <c r="N4766">
        <v>48.213951360992297</v>
      </c>
      <c r="O4766">
        <v>47.022513249408398</v>
      </c>
      <c r="P4766">
        <v>-8.00472852248863E-2</v>
      </c>
      <c r="Q4766">
        <v>7.6408383085083506E-2</v>
      </c>
      <c r="R4766">
        <v>0.99822322536903596</v>
      </c>
      <c r="S4766" t="s">
        <v>11168</v>
      </c>
      <c r="T4766" t="s">
        <v>12802</v>
      </c>
      <c r="U4766" t="s">
        <v>12802</v>
      </c>
      <c r="V4766" t="s">
        <v>12802</v>
      </c>
      <c r="W4766" t="s">
        <v>17506</v>
      </c>
      <c r="X4766">
        <v>6</v>
      </c>
      <c r="Y4766" t="s">
        <v>23724</v>
      </c>
      <c r="Z4766" t="s">
        <v>30084</v>
      </c>
      <c r="AA4766">
        <v>0.42424164535169723</v>
      </c>
      <c r="AB4766" t="str">
        <f>HYPERLINK("Melting_Curves/meltCurve_Q93100_4_PHKB.pdf", "Melting_Curves/meltCurve_Q93100_4_PHKB.pdf")</f>
        <v>Melting_Curves/meltCurve_Q93100_4_PHKB.pdf</v>
      </c>
    </row>
    <row r="4767" spans="1:28" x14ac:dyDescent="0.25">
      <c r="A4767" t="s">
        <v>4771</v>
      </c>
      <c r="B4767">
        <v>0.99542014353169495</v>
      </c>
      <c r="C4767">
        <v>1.0125644985247499</v>
      </c>
      <c r="D4767">
        <v>0.953613439972127</v>
      </c>
      <c r="E4767">
        <v>0.83922698214802405</v>
      </c>
      <c r="F4767">
        <v>0.84159971361395802</v>
      </c>
      <c r="G4767">
        <v>0.64600109583811605</v>
      </c>
      <c r="H4767">
        <v>0.56764788479998796</v>
      </c>
      <c r="I4767">
        <v>0.521885917633227</v>
      </c>
      <c r="J4767">
        <v>0.74639098079853305</v>
      </c>
      <c r="K4767">
        <v>0.83830295136097399</v>
      </c>
      <c r="L4767">
        <v>983.654302213297</v>
      </c>
      <c r="M4767">
        <v>20.620904439367401</v>
      </c>
      <c r="O4767">
        <v>47.259963544352502</v>
      </c>
      <c r="P4767">
        <v>-3.63649956299604E-2</v>
      </c>
      <c r="Q4767">
        <v>0.66663737574837401</v>
      </c>
      <c r="R4767">
        <v>0.69962829579171004</v>
      </c>
      <c r="S4767" t="s">
        <v>11169</v>
      </c>
      <c r="T4767" t="s">
        <v>12802</v>
      </c>
      <c r="U4767" t="s">
        <v>12802</v>
      </c>
      <c r="V4767" t="s">
        <v>12802</v>
      </c>
      <c r="W4767" t="s">
        <v>17507</v>
      </c>
      <c r="X4767">
        <v>1</v>
      </c>
      <c r="Y4767" t="s">
        <v>23725</v>
      </c>
      <c r="Z4767" t="s">
        <v>30085</v>
      </c>
      <c r="AA4767">
        <v>0.78968261058852141</v>
      </c>
      <c r="AB4767" t="str">
        <f>HYPERLINK("Melting_Curves/meltCurve_Q969E2_2_SCAMP4.pdf", "Melting_Curves/meltCurve_Q969E2_2_SCAMP4.pdf")</f>
        <v>Melting_Curves/meltCurve_Q969E2_2_SCAMP4.pdf</v>
      </c>
    </row>
    <row r="4768" spans="1:28" x14ac:dyDescent="0.25">
      <c r="A4768" t="s">
        <v>4772</v>
      </c>
      <c r="B4768">
        <v>0.99542014353169495</v>
      </c>
      <c r="C4768">
        <v>1.13627822192781</v>
      </c>
      <c r="D4768">
        <v>1.07323435342023</v>
      </c>
      <c r="E4768">
        <v>1.04553019719415</v>
      </c>
      <c r="F4768">
        <v>0.81274565568575796</v>
      </c>
      <c r="G4768">
        <v>0.47025594960586897</v>
      </c>
      <c r="H4768">
        <v>0.28432243651121802</v>
      </c>
      <c r="I4768">
        <v>0.196246947805649</v>
      </c>
      <c r="J4768">
        <v>0.26301302559331902</v>
      </c>
      <c r="K4768">
        <v>0.320647546935031</v>
      </c>
      <c r="L4768">
        <v>1717.59939880395</v>
      </c>
      <c r="M4768">
        <v>32.962329152815997</v>
      </c>
      <c r="N4768">
        <v>53.282009749069097</v>
      </c>
      <c r="O4768">
        <v>51.9172836415121</v>
      </c>
      <c r="P4768">
        <v>-0.11774973922536799</v>
      </c>
      <c r="Q4768">
        <v>0.25815688509344098</v>
      </c>
      <c r="R4768">
        <v>0.97249150600290002</v>
      </c>
      <c r="S4768" t="s">
        <v>11170</v>
      </c>
      <c r="T4768" t="s">
        <v>12802</v>
      </c>
      <c r="U4768" t="s">
        <v>12802</v>
      </c>
      <c r="V4768" t="s">
        <v>12802</v>
      </c>
      <c r="W4768" t="s">
        <v>17508</v>
      </c>
      <c r="X4768">
        <v>2</v>
      </c>
      <c r="Y4768" t="s">
        <v>23726</v>
      </c>
      <c r="Z4768" t="s">
        <v>30086</v>
      </c>
      <c r="AA4768">
        <v>0.63565426206281117</v>
      </c>
      <c r="AB4768" t="str">
        <f>HYPERLINK("Melting_Curves/meltCurve_Q969E8_TSR2.pdf", "Melting_Curves/meltCurve_Q969E8_TSR2.pdf")</f>
        <v>Melting_Curves/meltCurve_Q969E8_TSR2.pdf</v>
      </c>
    </row>
    <row r="4769" spans="1:28" x14ac:dyDescent="0.25">
      <c r="A4769" t="s">
        <v>4773</v>
      </c>
      <c r="B4769">
        <v>0.99542014353169495</v>
      </c>
      <c r="C4769">
        <v>0.90484749641343898</v>
      </c>
      <c r="D4769">
        <v>0.95249888992667897</v>
      </c>
      <c r="E4769">
        <v>0.82351175042882596</v>
      </c>
      <c r="F4769">
        <v>0.64899447921462206</v>
      </c>
      <c r="G4769">
        <v>0.451053260732871</v>
      </c>
      <c r="H4769">
        <v>0.300159272100812</v>
      </c>
      <c r="I4769">
        <v>0.21339221972091199</v>
      </c>
      <c r="J4769">
        <v>0.20086949614770699</v>
      </c>
      <c r="K4769">
        <v>0.215780294440863</v>
      </c>
      <c r="L4769">
        <v>697.15062627294105</v>
      </c>
      <c r="M4769">
        <v>13.604666650774099</v>
      </c>
      <c r="N4769">
        <v>52.656633141210698</v>
      </c>
      <c r="O4769">
        <v>50.174352153982603</v>
      </c>
      <c r="P4769">
        <v>-5.7428200442506898E-2</v>
      </c>
      <c r="Q4769">
        <v>0.15293882065636</v>
      </c>
      <c r="R4769">
        <v>0.99176807177764303</v>
      </c>
      <c r="S4769" t="s">
        <v>11171</v>
      </c>
      <c r="T4769" t="s">
        <v>12802</v>
      </c>
      <c r="U4769" t="s">
        <v>12802</v>
      </c>
      <c r="V4769" t="s">
        <v>12802</v>
      </c>
      <c r="W4769" t="s">
        <v>17509</v>
      </c>
      <c r="X4769">
        <v>1</v>
      </c>
      <c r="Y4769" t="s">
        <v>23727</v>
      </c>
      <c r="Z4769" t="s">
        <v>30087</v>
      </c>
      <c r="AA4769">
        <v>0.57407770686335668</v>
      </c>
      <c r="AB4769" t="str">
        <f>HYPERLINK("Melting_Curves/meltCurve_Q969F1_GTF3C6.pdf", "Melting_Curves/meltCurve_Q969F1_GTF3C6.pdf")</f>
        <v>Melting_Curves/meltCurve_Q969F1_GTF3C6.pdf</v>
      </c>
    </row>
    <row r="4770" spans="1:28" x14ac:dyDescent="0.25">
      <c r="A4770" t="s">
        <v>4774</v>
      </c>
      <c r="B4770">
        <v>0.99542014353169495</v>
      </c>
      <c r="C4770">
        <v>0.96130363510547401</v>
      </c>
      <c r="D4770">
        <v>0.98594163953272795</v>
      </c>
      <c r="E4770">
        <v>0.78678249131007605</v>
      </c>
      <c r="F4770">
        <v>0.69634091585381297</v>
      </c>
      <c r="G4770">
        <v>0.39192724907705601</v>
      </c>
      <c r="H4770">
        <v>0.23361934875077101</v>
      </c>
      <c r="I4770">
        <v>0.241941779631555</v>
      </c>
      <c r="J4770">
        <v>0.125197869298455</v>
      </c>
      <c r="K4770">
        <v>0.11301188191466099</v>
      </c>
      <c r="L4770">
        <v>733.00499437391204</v>
      </c>
      <c r="M4770">
        <v>14.179200530905799</v>
      </c>
      <c r="N4770">
        <v>52.405435923137901</v>
      </c>
      <c r="O4770">
        <v>50.700139148250202</v>
      </c>
      <c r="P4770">
        <v>-6.3817864977647298E-2</v>
      </c>
      <c r="Q4770">
        <v>8.7348682682754294E-2</v>
      </c>
      <c r="R4770">
        <v>0.98860968389989301</v>
      </c>
      <c r="S4770" t="s">
        <v>11172</v>
      </c>
      <c r="T4770" t="s">
        <v>12802</v>
      </c>
      <c r="U4770" t="s">
        <v>12802</v>
      </c>
      <c r="V4770" t="s">
        <v>12802</v>
      </c>
      <c r="W4770" t="s">
        <v>17510</v>
      </c>
      <c r="X4770">
        <v>1</v>
      </c>
      <c r="Y4770" t="s">
        <v>23728</v>
      </c>
      <c r="Z4770" t="s">
        <v>30088</v>
      </c>
      <c r="AA4770">
        <v>0.55338316158528078</v>
      </c>
      <c r="AB4770" t="str">
        <f>HYPERLINK("Melting_Curves/meltCurve_Q969F8_KISS1R.pdf", "Melting_Curves/meltCurve_Q969F8_KISS1R.pdf")</f>
        <v>Melting_Curves/meltCurve_Q969F8_KISS1R.pdf</v>
      </c>
    </row>
    <row r="4771" spans="1:28" x14ac:dyDescent="0.25">
      <c r="A4771" t="s">
        <v>4775</v>
      </c>
      <c r="B4771">
        <v>0.99542014353169495</v>
      </c>
      <c r="C4771">
        <v>0.99083370954802696</v>
      </c>
      <c r="D4771">
        <v>0.97489447061136503</v>
      </c>
      <c r="E4771">
        <v>1.0218968533650501</v>
      </c>
      <c r="F4771">
        <v>0.84940034965636602</v>
      </c>
      <c r="G4771">
        <v>0.69840185208424099</v>
      </c>
      <c r="H4771">
        <v>0.27134831710755403</v>
      </c>
      <c r="I4771">
        <v>5.0782990756607499E-2</v>
      </c>
      <c r="J4771">
        <v>2.58837485461971E-2</v>
      </c>
      <c r="K4771">
        <v>2.7083873208357999E-2</v>
      </c>
      <c r="L4771">
        <v>1397.3496226945199</v>
      </c>
      <c r="M4771">
        <v>25.305907334175899</v>
      </c>
      <c r="N4771">
        <v>55.218335225077197</v>
      </c>
      <c r="O4771">
        <v>54.8769607184948</v>
      </c>
      <c r="P4771">
        <v>-0.115286229929632</v>
      </c>
      <c r="Q4771">
        <v>0</v>
      </c>
      <c r="R4771">
        <v>0.99416465044525704</v>
      </c>
      <c r="S4771" t="s">
        <v>11173</v>
      </c>
      <c r="T4771" t="s">
        <v>12802</v>
      </c>
      <c r="U4771" t="s">
        <v>12802</v>
      </c>
      <c r="V4771" t="s">
        <v>12802</v>
      </c>
      <c r="W4771" t="s">
        <v>17511</v>
      </c>
      <c r="X4771">
        <v>4</v>
      </c>
      <c r="Y4771" t="s">
        <v>23729</v>
      </c>
      <c r="Z4771" t="s">
        <v>30089</v>
      </c>
      <c r="AA4771">
        <v>0.61556346090641456</v>
      </c>
      <c r="AB4771" t="str">
        <f>HYPERLINK("Melting_Curves/meltCurve_Q969G6_RFK.pdf", "Melting_Curves/meltCurve_Q969G6_RFK.pdf")</f>
        <v>Melting_Curves/meltCurve_Q969G6_RFK.pdf</v>
      </c>
    </row>
    <row r="4772" spans="1:28" x14ac:dyDescent="0.25">
      <c r="A4772" t="s">
        <v>4776</v>
      </c>
      <c r="B4772">
        <v>0.99542014353169495</v>
      </c>
      <c r="C4772">
        <v>0.88050387598341395</v>
      </c>
      <c r="D4772">
        <v>0.71653598584435396</v>
      </c>
      <c r="E4772">
        <v>0.76569073463948301</v>
      </c>
      <c r="F4772">
        <v>0.73173386727216405</v>
      </c>
      <c r="G4772">
        <v>0.66279467952243498</v>
      </c>
      <c r="H4772">
        <v>0.36859927549691801</v>
      </c>
      <c r="I4772">
        <v>0.24609689299995099</v>
      </c>
      <c r="J4772">
        <v>9.5170332787654896E-2</v>
      </c>
      <c r="K4772">
        <v>0.12645763352162601</v>
      </c>
      <c r="L4772">
        <v>460.09609881807302</v>
      </c>
      <c r="M4772">
        <v>8.5158690160714805</v>
      </c>
      <c r="N4772">
        <v>54.0280987670466</v>
      </c>
      <c r="O4772">
        <v>51.295927189836803</v>
      </c>
      <c r="P4772">
        <v>-4.1540767046205601E-2</v>
      </c>
      <c r="Q4772">
        <v>0</v>
      </c>
      <c r="R4772">
        <v>0.91086613454343301</v>
      </c>
      <c r="S4772" t="s">
        <v>11174</v>
      </c>
      <c r="T4772" t="s">
        <v>12802</v>
      </c>
      <c r="U4772" t="s">
        <v>12802</v>
      </c>
      <c r="V4772" t="s">
        <v>12802</v>
      </c>
      <c r="W4772" t="s">
        <v>17512</v>
      </c>
      <c r="X4772">
        <v>1</v>
      </c>
      <c r="Y4772" t="s">
        <v>23730</v>
      </c>
      <c r="Z4772" t="s">
        <v>30090</v>
      </c>
      <c r="AA4772">
        <v>0.58314258082969994</v>
      </c>
      <c r="AB4772" t="str">
        <f>HYPERLINK("Melting_Curves/meltCurve_Q969H6_2_POP5.pdf", "Melting_Curves/meltCurve_Q969H6_2_POP5.pdf")</f>
        <v>Melting_Curves/meltCurve_Q969H6_2_POP5.pdf</v>
      </c>
    </row>
    <row r="4773" spans="1:28" x14ac:dyDescent="0.25">
      <c r="A4773" t="s">
        <v>4777</v>
      </c>
      <c r="B4773">
        <v>0.99542014353169495</v>
      </c>
      <c r="C4773">
        <v>0.97238413519294098</v>
      </c>
      <c r="D4773">
        <v>0.93137496108220796</v>
      </c>
      <c r="E4773">
        <v>1.00682706708578</v>
      </c>
      <c r="F4773">
        <v>0.83380408744214995</v>
      </c>
      <c r="G4773">
        <v>0.76284271974509998</v>
      </c>
      <c r="H4773">
        <v>0.53760351962397002</v>
      </c>
      <c r="I4773">
        <v>0.359942167404119</v>
      </c>
      <c r="J4773">
        <v>0.20430994978893799</v>
      </c>
      <c r="K4773">
        <v>0.168022190471286</v>
      </c>
      <c r="L4773">
        <v>742.23123597704205</v>
      </c>
      <c r="M4773">
        <v>12.7767426726125</v>
      </c>
      <c r="N4773">
        <v>58.092368014570297</v>
      </c>
      <c r="O4773">
        <v>56.724440291210101</v>
      </c>
      <c r="P4773">
        <v>-5.6321197852779302E-2</v>
      </c>
      <c r="Q4773">
        <v>0</v>
      </c>
      <c r="R4773">
        <v>0.98966553387895595</v>
      </c>
      <c r="S4773" t="s">
        <v>11175</v>
      </c>
      <c r="T4773" t="s">
        <v>12802</v>
      </c>
      <c r="U4773" t="s">
        <v>12802</v>
      </c>
      <c r="V4773" t="s">
        <v>12802</v>
      </c>
      <c r="W4773" t="s">
        <v>17513</v>
      </c>
      <c r="X4773">
        <v>6</v>
      </c>
      <c r="Y4773" t="s">
        <v>23731</v>
      </c>
      <c r="Z4773" t="s">
        <v>30091</v>
      </c>
      <c r="AA4773">
        <v>0.70309007475352725</v>
      </c>
      <c r="AB4773" t="str">
        <f>HYPERLINK("Melting_Curves/meltCurve_Q969H8_C19orf10.pdf", "Melting_Curves/meltCurve_Q969H8_C19orf10.pdf")</f>
        <v>Melting_Curves/meltCurve_Q969H8_C19orf10.pdf</v>
      </c>
    </row>
    <row r="4774" spans="1:28" x14ac:dyDescent="0.25">
      <c r="A4774" t="s">
        <v>4778</v>
      </c>
      <c r="B4774">
        <v>0.99542014353169495</v>
      </c>
      <c r="C4774">
        <v>0.89091369123165198</v>
      </c>
      <c r="D4774">
        <v>0.78630942276353499</v>
      </c>
      <c r="E4774">
        <v>0.53827428425803103</v>
      </c>
      <c r="F4774">
        <v>0.24672500539417599</v>
      </c>
      <c r="G4774">
        <v>0.13366289462752001</v>
      </c>
      <c r="H4774">
        <v>5.9829832701338903E-2</v>
      </c>
      <c r="I4774">
        <v>4.8223352744101701E-2</v>
      </c>
      <c r="J4774">
        <v>2.4643822888711302E-2</v>
      </c>
      <c r="K4774">
        <v>4.2649891345697299E-2</v>
      </c>
      <c r="L4774">
        <v>701.63645789688599</v>
      </c>
      <c r="M4774">
        <v>15.0387539624985</v>
      </c>
      <c r="N4774">
        <v>46.751918430568203</v>
      </c>
      <c r="O4774">
        <v>45.853594812785197</v>
      </c>
      <c r="P4774">
        <v>-8.0745889077812494E-2</v>
      </c>
      <c r="Q4774">
        <v>1.5312298807454701E-2</v>
      </c>
      <c r="R4774">
        <v>0.99760092610702</v>
      </c>
      <c r="S4774" t="s">
        <v>11176</v>
      </c>
      <c r="T4774" t="s">
        <v>12802</v>
      </c>
      <c r="U4774" t="s">
        <v>12802</v>
      </c>
      <c r="V4774" t="s">
        <v>12802</v>
      </c>
      <c r="W4774" t="s">
        <v>17514</v>
      </c>
      <c r="X4774">
        <v>2</v>
      </c>
      <c r="Y4774" t="s">
        <v>23732</v>
      </c>
      <c r="Z4774" t="s">
        <v>30092</v>
      </c>
      <c r="AA4774">
        <v>0.35446206899029931</v>
      </c>
      <c r="AB4774" t="str">
        <f>HYPERLINK("Melting_Curves/meltCurve_Q969K3_RNF34.pdf", "Melting_Curves/meltCurve_Q969K3_RNF34.pdf")</f>
        <v>Melting_Curves/meltCurve_Q969K3_RNF34.pdf</v>
      </c>
    </row>
    <row r="4775" spans="1:28" x14ac:dyDescent="0.25">
      <c r="A4775" t="s">
        <v>4779</v>
      </c>
      <c r="B4775">
        <v>0.99542014353169495</v>
      </c>
      <c r="C4775">
        <v>0.75849038962906801</v>
      </c>
      <c r="D4775">
        <v>0.78661103715394698</v>
      </c>
      <c r="E4775">
        <v>0.66231156835899296</v>
      </c>
      <c r="F4775">
        <v>0.619862429368218</v>
      </c>
      <c r="G4775">
        <v>0.45391950845211998</v>
      </c>
      <c r="H4775">
        <v>0.30205210008480698</v>
      </c>
      <c r="I4775">
        <v>0.16818530943905</v>
      </c>
      <c r="J4775">
        <v>9.1599577078207095E-2</v>
      </c>
      <c r="K4775">
        <v>8.1179592144396295E-2</v>
      </c>
      <c r="L4775">
        <v>404.63907804514503</v>
      </c>
      <c r="M4775">
        <v>7.9494646082870499</v>
      </c>
      <c r="N4775">
        <v>50.901424869620001</v>
      </c>
      <c r="O4775">
        <v>47.982823718757103</v>
      </c>
      <c r="P4775">
        <v>-4.14662426689077E-2</v>
      </c>
      <c r="Q4775">
        <v>0</v>
      </c>
      <c r="R4775">
        <v>0.95258575157815795</v>
      </c>
      <c r="S4775" t="s">
        <v>11177</v>
      </c>
      <c r="T4775" t="s">
        <v>12802</v>
      </c>
      <c r="U4775" t="s">
        <v>12802</v>
      </c>
      <c r="V4775" t="s">
        <v>12802</v>
      </c>
      <c r="W4775" t="s">
        <v>17515</v>
      </c>
      <c r="X4775">
        <v>2</v>
      </c>
      <c r="Y4775" t="s">
        <v>23733</v>
      </c>
      <c r="Z4775" t="s">
        <v>30093</v>
      </c>
      <c r="AA4775">
        <v>0.49891595519974907</v>
      </c>
      <c r="AB4775" t="str">
        <f>HYPERLINK("Melting_Curves/meltCurve_Q969M3_YIPF5.pdf", "Melting_Curves/meltCurve_Q969M3_YIPF5.pdf")</f>
        <v>Melting_Curves/meltCurve_Q969M3_YIPF5.pdf</v>
      </c>
    </row>
    <row r="4776" spans="1:28" x14ac:dyDescent="0.25">
      <c r="A4776" t="s">
        <v>4780</v>
      </c>
      <c r="B4776">
        <v>0.99542014353169495</v>
      </c>
      <c r="C4776">
        <v>0.805265716570019</v>
      </c>
      <c r="D4776">
        <v>0.893250466712185</v>
      </c>
      <c r="E4776">
        <v>0.61451070215824299</v>
      </c>
      <c r="F4776">
        <v>0.47227259626309298</v>
      </c>
      <c r="G4776">
        <v>0.12585975573618099</v>
      </c>
      <c r="H4776">
        <v>8.6434759366035493E-2</v>
      </c>
      <c r="I4776">
        <v>5.6130871300400897E-2</v>
      </c>
      <c r="J4776">
        <v>5.8748912747527901E-2</v>
      </c>
      <c r="K4776">
        <v>7.1006097711242E-2</v>
      </c>
      <c r="L4776">
        <v>650.63797691151206</v>
      </c>
      <c r="M4776">
        <v>13.441029500130901</v>
      </c>
      <c r="N4776">
        <v>48.4582808793079</v>
      </c>
      <c r="O4776">
        <v>47.373039756123099</v>
      </c>
      <c r="P4776">
        <v>-7.0440503767609505E-2</v>
      </c>
      <c r="Q4776">
        <v>7.0813340725902896E-3</v>
      </c>
      <c r="R4776">
        <v>0.96973000240537899</v>
      </c>
      <c r="S4776" t="s">
        <v>11178</v>
      </c>
      <c r="T4776" t="s">
        <v>12802</v>
      </c>
      <c r="U4776" t="s">
        <v>12802</v>
      </c>
      <c r="V4776" t="s">
        <v>12802</v>
      </c>
      <c r="W4776" t="s">
        <v>17516</v>
      </c>
      <c r="X4776">
        <v>7</v>
      </c>
      <c r="Y4776" t="s">
        <v>23734</v>
      </c>
      <c r="Z4776" t="s">
        <v>30094</v>
      </c>
      <c r="AA4776">
        <v>0.41039916878225252</v>
      </c>
      <c r="AB4776" t="str">
        <f>HYPERLINK("Melting_Curves/meltCurve_Q969N2_4_PIGT.pdf", "Melting_Curves/meltCurve_Q969N2_4_PIGT.pdf")</f>
        <v>Melting_Curves/meltCurve_Q969N2_4_PIGT.pdf</v>
      </c>
    </row>
    <row r="4777" spans="1:28" x14ac:dyDescent="0.25">
      <c r="A4777" t="s">
        <v>4781</v>
      </c>
      <c r="B4777">
        <v>0.99542014353169495</v>
      </c>
      <c r="C4777">
        <v>1.09084735089313</v>
      </c>
      <c r="D4777">
        <v>1.0313151658319499</v>
      </c>
      <c r="E4777">
        <v>0.90350135867609405</v>
      </c>
      <c r="F4777">
        <v>0.73307822217650198</v>
      </c>
      <c r="G4777">
        <v>0.382519596978243</v>
      </c>
      <c r="H4777">
        <v>0.31813902328389798</v>
      </c>
      <c r="I4777">
        <v>0.17950122137581201</v>
      </c>
      <c r="J4777">
        <v>6.3975602553416805E-2</v>
      </c>
      <c r="K4777">
        <v>3.4102173566898403E-2</v>
      </c>
      <c r="L4777">
        <v>839.05597461868194</v>
      </c>
      <c r="M4777">
        <v>15.828659625018901</v>
      </c>
      <c r="N4777">
        <v>53.214278662719899</v>
      </c>
      <c r="O4777">
        <v>52.184210094388398</v>
      </c>
      <c r="P4777">
        <v>-7.3587250920090802E-2</v>
      </c>
      <c r="Q4777">
        <v>2.96641575480391E-2</v>
      </c>
      <c r="R4777">
        <v>0.98378151812563497</v>
      </c>
      <c r="S4777" t="s">
        <v>11179</v>
      </c>
      <c r="T4777" t="s">
        <v>12802</v>
      </c>
      <c r="U4777" t="s">
        <v>12802</v>
      </c>
      <c r="V4777" t="s">
        <v>12802</v>
      </c>
      <c r="W4777" t="s">
        <v>17517</v>
      </c>
      <c r="X4777">
        <v>5</v>
      </c>
      <c r="Y4777" t="s">
        <v>23735</v>
      </c>
      <c r="Z4777" t="s">
        <v>30095</v>
      </c>
      <c r="AA4777">
        <v>0.56384936928285112</v>
      </c>
      <c r="AB4777" t="str">
        <f>HYPERLINK("Melting_Curves/meltCurve_Q969P0_3_IGSF8.pdf", "Melting_Curves/meltCurve_Q969P0_3_IGSF8.pdf")</f>
        <v>Melting_Curves/meltCurve_Q969P0_3_IGSF8.pdf</v>
      </c>
    </row>
    <row r="4778" spans="1:28" x14ac:dyDescent="0.25">
      <c r="A4778" t="s">
        <v>4782</v>
      </c>
      <c r="B4778">
        <v>0.99542014353169495</v>
      </c>
      <c r="C4778">
        <v>0.95242640277846202</v>
      </c>
      <c r="D4778">
        <v>0.95034508550335495</v>
      </c>
      <c r="E4778">
        <v>0.81414176899945301</v>
      </c>
      <c r="F4778">
        <v>0.62026556478511896</v>
      </c>
      <c r="G4778">
        <v>0.25899475840665098</v>
      </c>
      <c r="H4778">
        <v>0.114593082860692</v>
      </c>
      <c r="I4778">
        <v>9.5261074632620096E-2</v>
      </c>
      <c r="J4778">
        <v>0.100733647718803</v>
      </c>
      <c r="K4778">
        <v>0.137763441321546</v>
      </c>
      <c r="L4778">
        <v>1040.28078401275</v>
      </c>
      <c r="M4778">
        <v>20.621087993640799</v>
      </c>
      <c r="N4778">
        <v>50.9062817369093</v>
      </c>
      <c r="O4778">
        <v>49.9801894220452</v>
      </c>
      <c r="P4778">
        <v>-9.4401535557599905E-2</v>
      </c>
      <c r="Q4778">
        <v>8.4806671094876995E-2</v>
      </c>
      <c r="R4778">
        <v>0.99147279629380902</v>
      </c>
      <c r="S4778" t="s">
        <v>11180</v>
      </c>
      <c r="T4778" t="s">
        <v>12802</v>
      </c>
      <c r="U4778" t="s">
        <v>12802</v>
      </c>
      <c r="V4778" t="s">
        <v>12802</v>
      </c>
      <c r="W4778" t="s">
        <v>17518</v>
      </c>
      <c r="X4778">
        <v>3</v>
      </c>
      <c r="Y4778" t="s">
        <v>23736</v>
      </c>
      <c r="Z4778" t="s">
        <v>30096</v>
      </c>
      <c r="AA4778">
        <v>0.50645098442788294</v>
      </c>
      <c r="AB4778" t="str">
        <f>HYPERLINK("Melting_Curves/meltCurve_Q969R8_ITFG2.pdf", "Melting_Curves/meltCurve_Q969R8_ITFG2.pdf")</f>
        <v>Melting_Curves/meltCurve_Q969R8_ITFG2.pdf</v>
      </c>
    </row>
    <row r="4779" spans="1:28" x14ac:dyDescent="0.25">
      <c r="A4779" t="s">
        <v>4783</v>
      </c>
      <c r="B4779">
        <v>0.99542014353169495</v>
      </c>
      <c r="C4779">
        <v>1.02083154224006</v>
      </c>
      <c r="D4779">
        <v>0.97989609187830296</v>
      </c>
      <c r="E4779">
        <v>0.90193091536162295</v>
      </c>
      <c r="F4779">
        <v>0.64908211583514097</v>
      </c>
      <c r="G4779">
        <v>0.39730675387598202</v>
      </c>
      <c r="H4779">
        <v>0.122792939288505</v>
      </c>
      <c r="I4779">
        <v>8.3940223062523495E-2</v>
      </c>
      <c r="J4779">
        <v>8.5274444740764996E-2</v>
      </c>
      <c r="K4779">
        <v>9.0351962820941004E-2</v>
      </c>
      <c r="L4779">
        <v>1034.8329878309801</v>
      </c>
      <c r="M4779">
        <v>20.013508990496</v>
      </c>
      <c r="N4779">
        <v>52.019223967775403</v>
      </c>
      <c r="O4779">
        <v>51.198803132327797</v>
      </c>
      <c r="P4779">
        <v>-9.2192291834796006E-2</v>
      </c>
      <c r="Q4779">
        <v>5.6641121528280297E-2</v>
      </c>
      <c r="R4779">
        <v>0.99622672605463902</v>
      </c>
      <c r="S4779" t="s">
        <v>11181</v>
      </c>
      <c r="T4779" t="s">
        <v>12802</v>
      </c>
      <c r="U4779" t="s">
        <v>12802</v>
      </c>
      <c r="V4779" t="s">
        <v>12802</v>
      </c>
      <c r="W4779" t="s">
        <v>17519</v>
      </c>
      <c r="X4779">
        <v>18</v>
      </c>
      <c r="Y4779" t="s">
        <v>23737</v>
      </c>
      <c r="Z4779" t="s">
        <v>30097</v>
      </c>
      <c r="AA4779">
        <v>0.53132925771562911</v>
      </c>
      <c r="AB4779" t="str">
        <f>HYPERLINK("Melting_Curves/meltCurve_Q969S3_ZNF622.pdf", "Melting_Curves/meltCurve_Q969S3_ZNF622.pdf")</f>
        <v>Melting_Curves/meltCurve_Q969S3_ZNF622.pdf</v>
      </c>
    </row>
    <row r="4780" spans="1:28" x14ac:dyDescent="0.25">
      <c r="A4780" t="s">
        <v>4784</v>
      </c>
      <c r="B4780">
        <v>0.99542014353169495</v>
      </c>
      <c r="C4780">
        <v>0.98737144210013505</v>
      </c>
      <c r="D4780">
        <v>0.90206197679647704</v>
      </c>
      <c r="E4780">
        <v>0.39276307826270201</v>
      </c>
      <c r="F4780">
        <v>0.22044086574684901</v>
      </c>
      <c r="G4780">
        <v>0.12392566983179699</v>
      </c>
      <c r="H4780">
        <v>5.3440593553219597E-2</v>
      </c>
      <c r="I4780">
        <v>2.91592204755683E-2</v>
      </c>
      <c r="J4780">
        <v>4.97541720754692E-2</v>
      </c>
      <c r="K4780">
        <v>3.81358244454858E-2</v>
      </c>
      <c r="L4780">
        <v>1152.4004085904</v>
      </c>
      <c r="M4780">
        <v>25.0872708592821</v>
      </c>
      <c r="N4780">
        <v>46.164387807119802</v>
      </c>
      <c r="O4780">
        <v>45.646788058106203</v>
      </c>
      <c r="P4780">
        <v>-0.12937094201054999</v>
      </c>
      <c r="Q4780">
        <v>5.8440827826225901E-2</v>
      </c>
      <c r="R4780">
        <v>0.99218637512790198</v>
      </c>
      <c r="S4780" t="s">
        <v>11182</v>
      </c>
      <c r="T4780" t="s">
        <v>12802</v>
      </c>
      <c r="U4780" t="s">
        <v>12802</v>
      </c>
      <c r="V4780" t="s">
        <v>12802</v>
      </c>
      <c r="W4780" t="s">
        <v>17520</v>
      </c>
      <c r="X4780">
        <v>7</v>
      </c>
      <c r="Y4780" t="s">
        <v>23738</v>
      </c>
      <c r="Z4780" t="s">
        <v>30098</v>
      </c>
      <c r="AA4780">
        <v>0.34662943639092508</v>
      </c>
      <c r="AB4780" t="str">
        <f>HYPERLINK("Melting_Curves/meltCurve_Q969S9_2_GFM2.pdf", "Melting_Curves/meltCurve_Q969S9_2_GFM2.pdf")</f>
        <v>Melting_Curves/meltCurve_Q969S9_2_GFM2.pdf</v>
      </c>
    </row>
    <row r="4781" spans="1:28" x14ac:dyDescent="0.25">
      <c r="A4781" t="s">
        <v>4785</v>
      </c>
      <c r="B4781">
        <v>0.99542014353169495</v>
      </c>
      <c r="C4781">
        <v>0.98569628121010999</v>
      </c>
      <c r="D4781">
        <v>0.95468612640495298</v>
      </c>
      <c r="E4781">
        <v>0.87355082455925404</v>
      </c>
      <c r="F4781">
        <v>0.44763077523697797</v>
      </c>
      <c r="G4781">
        <v>0.119684989518998</v>
      </c>
      <c r="H4781">
        <v>7.6101823424568796E-2</v>
      </c>
      <c r="I4781">
        <v>6.1978043059631102E-2</v>
      </c>
      <c r="J4781">
        <v>4.6551063743335501E-2</v>
      </c>
      <c r="K4781">
        <v>4.4214485004402199E-2</v>
      </c>
      <c r="L4781">
        <v>1446.96681401967</v>
      </c>
      <c r="M4781">
        <v>29.176611644140301</v>
      </c>
      <c r="N4781">
        <v>49.766753030716004</v>
      </c>
      <c r="O4781">
        <v>49.362158770223097</v>
      </c>
      <c r="P4781">
        <v>-0.140628423360212</v>
      </c>
      <c r="Q4781">
        <v>4.8323764058387002E-2</v>
      </c>
      <c r="R4781">
        <v>0.99888207217996605</v>
      </c>
      <c r="S4781" t="s">
        <v>11183</v>
      </c>
      <c r="T4781" t="s">
        <v>12802</v>
      </c>
      <c r="U4781" t="s">
        <v>12802</v>
      </c>
      <c r="V4781" t="s">
        <v>12802</v>
      </c>
      <c r="W4781" t="s">
        <v>17521</v>
      </c>
      <c r="X4781">
        <v>6</v>
      </c>
      <c r="Y4781" t="s">
        <v>23739</v>
      </c>
      <c r="Z4781" t="s">
        <v>30099</v>
      </c>
      <c r="AA4781">
        <v>0.45394604563400792</v>
      </c>
      <c r="AB4781" t="str">
        <f>HYPERLINK("Melting_Curves/meltCurve_Q969T7_2_NT5C3B.pdf", "Melting_Curves/meltCurve_Q969T7_2_NT5C3B.pdf")</f>
        <v>Melting_Curves/meltCurve_Q969T7_2_NT5C3B.pdf</v>
      </c>
    </row>
    <row r="4782" spans="1:28" x14ac:dyDescent="0.25">
      <c r="A4782" t="s">
        <v>4786</v>
      </c>
      <c r="B4782">
        <v>0.99542014353169495</v>
      </c>
      <c r="C4782">
        <v>0.90521870010822003</v>
      </c>
      <c r="D4782">
        <v>0.88931488170176798</v>
      </c>
      <c r="E4782">
        <v>0.82438294554407898</v>
      </c>
      <c r="F4782">
        <v>0.68329197834579303</v>
      </c>
      <c r="G4782">
        <v>0.57181829788376204</v>
      </c>
      <c r="H4782">
        <v>0.36401413917945702</v>
      </c>
      <c r="I4782">
        <v>0.184250883638197</v>
      </c>
      <c r="J4782">
        <v>0.108008210693785</v>
      </c>
      <c r="K4782">
        <v>8.6547710202612399E-2</v>
      </c>
      <c r="L4782">
        <v>581.68834184468301</v>
      </c>
      <c r="M4782">
        <v>10.794723815545</v>
      </c>
      <c r="N4782">
        <v>53.8863570244459</v>
      </c>
      <c r="O4782">
        <v>52.135907404562801</v>
      </c>
      <c r="P4782">
        <v>-5.1781201913125699E-2</v>
      </c>
      <c r="Q4782">
        <v>0</v>
      </c>
      <c r="R4782">
        <v>0.984702503432618</v>
      </c>
      <c r="S4782" t="s">
        <v>11184</v>
      </c>
      <c r="T4782" t="s">
        <v>12802</v>
      </c>
      <c r="U4782" t="s">
        <v>12802</v>
      </c>
      <c r="V4782" t="s">
        <v>12802</v>
      </c>
      <c r="W4782" t="s">
        <v>17522</v>
      </c>
      <c r="X4782">
        <v>10</v>
      </c>
      <c r="Y4782" t="s">
        <v>23740</v>
      </c>
      <c r="Z4782" t="s">
        <v>30100</v>
      </c>
      <c r="AA4782">
        <v>0.58131731386820706</v>
      </c>
      <c r="AB4782" t="str">
        <f>HYPERLINK("Melting_Curves/meltCurve_Q969U7_PSMG2.pdf", "Melting_Curves/meltCurve_Q969U7_PSMG2.pdf")</f>
        <v>Melting_Curves/meltCurve_Q969U7_PSMG2.pdf</v>
      </c>
    </row>
    <row r="4783" spans="1:28" x14ac:dyDescent="0.25">
      <c r="A4783" t="s">
        <v>4787</v>
      </c>
      <c r="B4783">
        <v>0.99542014353169495</v>
      </c>
      <c r="C4783">
        <v>0.94304834854206199</v>
      </c>
      <c r="D4783">
        <v>0.93919240298995998</v>
      </c>
      <c r="E4783">
        <v>0.83461523422304096</v>
      </c>
      <c r="F4783">
        <v>0.59688160945979796</v>
      </c>
      <c r="G4783">
        <v>0.16518124001374501</v>
      </c>
      <c r="H4783">
        <v>7.3807006615630902E-2</v>
      </c>
      <c r="I4783">
        <v>4.8061878362703897E-2</v>
      </c>
      <c r="J4783">
        <v>3.4457598206811102E-2</v>
      </c>
      <c r="K4783">
        <v>4.3638755187107199E-2</v>
      </c>
      <c r="L4783">
        <v>1165.99113953392</v>
      </c>
      <c r="M4783">
        <v>23.094971579466002</v>
      </c>
      <c r="N4783">
        <v>50.592944579404097</v>
      </c>
      <c r="O4783">
        <v>50.1128248015605</v>
      </c>
      <c r="P4783">
        <v>-0.11249209119638599</v>
      </c>
      <c r="Q4783">
        <v>2.3649864394736299E-2</v>
      </c>
      <c r="R4783">
        <v>0.99273133726051899</v>
      </c>
      <c r="S4783" t="s">
        <v>11185</v>
      </c>
      <c r="T4783" t="s">
        <v>12802</v>
      </c>
      <c r="U4783" t="s">
        <v>12802</v>
      </c>
      <c r="V4783" t="s">
        <v>12802</v>
      </c>
      <c r="W4783" t="s">
        <v>17523</v>
      </c>
      <c r="X4783">
        <v>15</v>
      </c>
      <c r="Y4783" t="s">
        <v>23741</v>
      </c>
      <c r="Z4783" t="s">
        <v>30101</v>
      </c>
      <c r="AA4783">
        <v>0.47251862586936139</v>
      </c>
      <c r="AB4783" t="str">
        <f>HYPERLINK("Melting_Curves/meltCurve_Q969V3_2_NCLN.pdf", "Melting_Curves/meltCurve_Q969V3_2_NCLN.pdf")</f>
        <v>Melting_Curves/meltCurve_Q969V3_2_NCLN.pdf</v>
      </c>
    </row>
    <row r="4784" spans="1:28" x14ac:dyDescent="0.25">
      <c r="A4784" t="s">
        <v>4788</v>
      </c>
      <c r="B4784">
        <v>0.99542014353169495</v>
      </c>
      <c r="C4784">
        <v>0.77926370413153101</v>
      </c>
      <c r="D4784">
        <v>0.73862283039799603</v>
      </c>
      <c r="E4784">
        <v>0.55028343920789302</v>
      </c>
      <c r="F4784">
        <v>0.40631079203171899</v>
      </c>
      <c r="G4784">
        <v>0.24053188004909601</v>
      </c>
      <c r="H4784">
        <v>0.149950290798261</v>
      </c>
      <c r="I4784">
        <v>9.1638345703315305E-2</v>
      </c>
      <c r="J4784">
        <v>8.2130167499349704E-2</v>
      </c>
      <c r="K4784">
        <v>7.9052788800846305E-2</v>
      </c>
      <c r="L4784">
        <v>443.07877882034302</v>
      </c>
      <c r="M4784">
        <v>9.3296541310662402</v>
      </c>
      <c r="N4784">
        <v>47.491428542176301</v>
      </c>
      <c r="O4784">
        <v>45.462673244347002</v>
      </c>
      <c r="P4784">
        <v>-5.1336432351968102E-2</v>
      </c>
      <c r="Q4784">
        <v>0</v>
      </c>
      <c r="R4784">
        <v>0.98852026850303898</v>
      </c>
      <c r="S4784" t="s">
        <v>11186</v>
      </c>
      <c r="T4784" t="s">
        <v>12802</v>
      </c>
      <c r="U4784" t="s">
        <v>12802</v>
      </c>
      <c r="V4784" t="s">
        <v>12802</v>
      </c>
      <c r="W4784" t="s">
        <v>17524</v>
      </c>
      <c r="X4784">
        <v>1</v>
      </c>
      <c r="Y4784" t="s">
        <v>23742</v>
      </c>
      <c r="Z4784" t="s">
        <v>30102</v>
      </c>
      <c r="AA4784">
        <v>0.39532688178998532</v>
      </c>
      <c r="AB4784" t="str">
        <f>HYPERLINK("Melting_Curves/meltCurve_Q969V5_MUL1.pdf", "Melting_Curves/meltCurve_Q969V5_MUL1.pdf")</f>
        <v>Melting_Curves/meltCurve_Q969V5_MUL1.pdf</v>
      </c>
    </row>
    <row r="4785" spans="1:28" x14ac:dyDescent="0.25">
      <c r="A4785" t="s">
        <v>4789</v>
      </c>
      <c r="B4785">
        <v>0.99542014353169495</v>
      </c>
      <c r="C4785">
        <v>0.98723835325199805</v>
      </c>
      <c r="D4785">
        <v>0.966397227440428</v>
      </c>
      <c r="E4785">
        <v>0.83681459728343799</v>
      </c>
      <c r="F4785">
        <v>0.79043871135918498</v>
      </c>
      <c r="G4785">
        <v>0.46512451197550297</v>
      </c>
      <c r="H4785">
        <v>0.33381744594894602</v>
      </c>
      <c r="I4785">
        <v>0.15448447048841801</v>
      </c>
      <c r="J4785">
        <v>0.12074990860364</v>
      </c>
      <c r="K4785">
        <v>0.12932659060443299</v>
      </c>
      <c r="L4785">
        <v>766.773990841706</v>
      </c>
      <c r="M4785">
        <v>14.3672978047172</v>
      </c>
      <c r="N4785">
        <v>53.793943234983097</v>
      </c>
      <c r="O4785">
        <v>52.3674129808023</v>
      </c>
      <c r="P4785">
        <v>-6.4920466415860995E-2</v>
      </c>
      <c r="Q4785">
        <v>5.3597975939558902E-2</v>
      </c>
      <c r="R4785">
        <v>0.99101403709507696</v>
      </c>
      <c r="S4785" t="s">
        <v>11187</v>
      </c>
      <c r="T4785" t="s">
        <v>12802</v>
      </c>
      <c r="U4785" t="s">
        <v>12802</v>
      </c>
      <c r="V4785" t="s">
        <v>12802</v>
      </c>
      <c r="W4785" t="s">
        <v>17525</v>
      </c>
      <c r="X4785">
        <v>3</v>
      </c>
      <c r="Y4785" t="s">
        <v>23743</v>
      </c>
      <c r="Z4785" t="s">
        <v>30103</v>
      </c>
      <c r="AA4785">
        <v>0.58695723134555067</v>
      </c>
      <c r="AB4785" t="str">
        <f>HYPERLINK("Melting_Curves/meltCurve_Q969X5_2_ERGIC1.pdf", "Melting_Curves/meltCurve_Q969X5_2_ERGIC1.pdf")</f>
        <v>Melting_Curves/meltCurve_Q969X5_2_ERGIC1.pdf</v>
      </c>
    </row>
    <row r="4786" spans="1:28" x14ac:dyDescent="0.25">
      <c r="A4786" t="s">
        <v>4790</v>
      </c>
      <c r="B4786">
        <v>0.99542014353169495</v>
      </c>
      <c r="C4786">
        <v>1.00449439112163</v>
      </c>
      <c r="D4786">
        <v>1.0128140194172199</v>
      </c>
      <c r="E4786">
        <v>0.89459384053191504</v>
      </c>
      <c r="F4786">
        <v>0.70539798144094201</v>
      </c>
      <c r="G4786">
        <v>0.51780628035882503</v>
      </c>
      <c r="H4786">
        <v>0.26756798075310201</v>
      </c>
      <c r="I4786">
        <v>0.100893951937159</v>
      </c>
      <c r="J4786">
        <v>0.10932468307551101</v>
      </c>
      <c r="K4786">
        <v>0.13183482373424699</v>
      </c>
      <c r="L4786">
        <v>871.29767242027697</v>
      </c>
      <c r="M4786">
        <v>16.436550289493301</v>
      </c>
      <c r="N4786">
        <v>53.432843161539303</v>
      </c>
      <c r="O4786">
        <v>52.243732150034198</v>
      </c>
      <c r="P4786">
        <v>-7.3859373265722394E-2</v>
      </c>
      <c r="Q4786">
        <v>6.1015317264344698E-2</v>
      </c>
      <c r="R4786">
        <v>0.99349202254365099</v>
      </c>
      <c r="S4786" t="s">
        <v>11188</v>
      </c>
      <c r="T4786" t="s">
        <v>12802</v>
      </c>
      <c r="U4786" t="s">
        <v>12802</v>
      </c>
      <c r="V4786" t="s">
        <v>12802</v>
      </c>
      <c r="W4786" t="s">
        <v>17526</v>
      </c>
      <c r="X4786">
        <v>10</v>
      </c>
      <c r="Y4786" t="s">
        <v>23744</v>
      </c>
      <c r="Z4786" t="s">
        <v>30104</v>
      </c>
      <c r="AA4786">
        <v>0.57733570437085335</v>
      </c>
      <c r="AB4786" t="str">
        <f>HYPERLINK("Melting_Curves/meltCurve_Q969Y2_3_GTPBP3.pdf", "Melting_Curves/meltCurve_Q969Y2_3_GTPBP3.pdf")</f>
        <v>Melting_Curves/meltCurve_Q969Y2_3_GTPBP3.pdf</v>
      </c>
    </row>
    <row r="4787" spans="1:28" x14ac:dyDescent="0.25">
      <c r="A4787" t="s">
        <v>4791</v>
      </c>
      <c r="B4787">
        <v>0.99542014353169495</v>
      </c>
      <c r="C4787">
        <v>0.99388219608970796</v>
      </c>
      <c r="D4787">
        <v>0.77097338034811302</v>
      </c>
      <c r="E4787">
        <v>0.39225526569549002</v>
      </c>
      <c r="F4787">
        <v>0.122816799324744</v>
      </c>
      <c r="G4787">
        <v>7.2318018737787093E-2</v>
      </c>
      <c r="H4787">
        <v>4.1220403747242902E-2</v>
      </c>
      <c r="I4787">
        <v>2.9666818422979999E-2</v>
      </c>
      <c r="J4787">
        <v>3.0413163543828899E-2</v>
      </c>
      <c r="K4787">
        <v>3.0204342403742101E-2</v>
      </c>
      <c r="L4787">
        <v>1025.44573580107</v>
      </c>
      <c r="M4787">
        <v>22.5696970314198</v>
      </c>
      <c r="N4787">
        <v>45.564903636330897</v>
      </c>
      <c r="O4787">
        <v>45.082434136433001</v>
      </c>
      <c r="P4787">
        <v>-0.121249612882952</v>
      </c>
      <c r="Q4787">
        <v>3.1246310670661401E-2</v>
      </c>
      <c r="R4787">
        <v>0.99876333230921199</v>
      </c>
      <c r="S4787" t="s">
        <v>11189</v>
      </c>
      <c r="T4787" t="s">
        <v>12802</v>
      </c>
      <c r="U4787" t="s">
        <v>12802</v>
      </c>
      <c r="V4787" t="s">
        <v>12802</v>
      </c>
      <c r="W4787" t="s">
        <v>17527</v>
      </c>
      <c r="X4787">
        <v>22</v>
      </c>
      <c r="Y4787" t="s">
        <v>23745</v>
      </c>
      <c r="Z4787" t="s">
        <v>30105</v>
      </c>
      <c r="AA4787">
        <v>0.31348474972158252</v>
      </c>
      <c r="AB4787" t="str">
        <f>HYPERLINK("Melting_Curves/meltCurve_Q969Z0_TBRG4.pdf", "Melting_Curves/meltCurve_Q969Z0_TBRG4.pdf")</f>
        <v>Melting_Curves/meltCurve_Q969Z0_TBRG4.pdf</v>
      </c>
    </row>
    <row r="4788" spans="1:28" x14ac:dyDescent="0.25">
      <c r="A4788" t="s">
        <v>4792</v>
      </c>
      <c r="B4788">
        <v>0.99542014353169495</v>
      </c>
      <c r="C4788">
        <v>1.02410848238914</v>
      </c>
      <c r="D4788">
        <v>0.87625656312967304</v>
      </c>
      <c r="E4788">
        <v>0.82197209983637998</v>
      </c>
      <c r="F4788">
        <v>0.65430313102517301</v>
      </c>
      <c r="G4788">
        <v>0.54805304415787404</v>
      </c>
      <c r="H4788">
        <v>0.42174511552734001</v>
      </c>
      <c r="I4788">
        <v>0.362097524747376</v>
      </c>
      <c r="J4788">
        <v>0.54218445394276804</v>
      </c>
      <c r="K4788">
        <v>0.62483332105418199</v>
      </c>
      <c r="L4788">
        <v>898.98226791929699</v>
      </c>
      <c r="M4788">
        <v>18.830460915101899</v>
      </c>
      <c r="N4788">
        <v>58.897497285313001</v>
      </c>
      <c r="O4788">
        <v>47.212202867235597</v>
      </c>
      <c r="P4788">
        <v>-5.1266044127908E-2</v>
      </c>
      <c r="Q4788">
        <v>0.48587910390357197</v>
      </c>
      <c r="R4788">
        <v>0.89086525759287205</v>
      </c>
      <c r="S4788" t="s">
        <v>11190</v>
      </c>
      <c r="T4788" t="s">
        <v>12802</v>
      </c>
      <c r="U4788" t="s">
        <v>12802</v>
      </c>
      <c r="V4788" t="s">
        <v>12802</v>
      </c>
      <c r="W4788" t="s">
        <v>17528</v>
      </c>
      <c r="X4788">
        <v>9</v>
      </c>
      <c r="Y4788" t="s">
        <v>23746</v>
      </c>
      <c r="Z4788" t="s">
        <v>30106</v>
      </c>
      <c r="AA4788">
        <v>0.67751267394363623</v>
      </c>
      <c r="AB4788" t="str">
        <f>HYPERLINK("Melting_Curves/meltCurve_Q96A00_PPP1R14A.pdf", "Melting_Curves/meltCurve_Q96A00_PPP1R14A.pdf")</f>
        <v>Melting_Curves/meltCurve_Q96A00_PPP1R14A.pdf</v>
      </c>
    </row>
    <row r="4789" spans="1:28" x14ac:dyDescent="0.25">
      <c r="A4789" t="s">
        <v>4793</v>
      </c>
      <c r="B4789">
        <v>0.99542014353169495</v>
      </c>
      <c r="C4789">
        <v>1.21170874423236</v>
      </c>
      <c r="D4789">
        <v>1.0876945211323601</v>
      </c>
      <c r="E4789">
        <v>0.88242688188026197</v>
      </c>
      <c r="F4789">
        <v>0.68921293737617995</v>
      </c>
      <c r="G4789">
        <v>0.35448298447230098</v>
      </c>
      <c r="H4789">
        <v>0.19644150308960601</v>
      </c>
      <c r="I4789">
        <v>0.15021605718871001</v>
      </c>
      <c r="J4789">
        <v>0.218185015835799</v>
      </c>
      <c r="K4789">
        <v>0.34438717428965099</v>
      </c>
      <c r="L4789">
        <v>1472.9755190191099</v>
      </c>
      <c r="M4789">
        <v>29.0349442352639</v>
      </c>
      <c r="N4789">
        <v>51.7779527389457</v>
      </c>
      <c r="O4789">
        <v>50.492293330770401</v>
      </c>
      <c r="P4789">
        <v>-0.111844397633621</v>
      </c>
      <c r="Q4789">
        <v>0.22200784035131599</v>
      </c>
      <c r="R4789">
        <v>0.94551758672067199</v>
      </c>
      <c r="S4789" t="s">
        <v>11191</v>
      </c>
      <c r="T4789" t="s">
        <v>12802</v>
      </c>
      <c r="U4789" t="s">
        <v>12802</v>
      </c>
      <c r="V4789" t="s">
        <v>12802</v>
      </c>
      <c r="W4789" t="s">
        <v>17529</v>
      </c>
      <c r="X4789">
        <v>2</v>
      </c>
      <c r="Y4789" t="s">
        <v>23747</v>
      </c>
      <c r="Z4789" t="s">
        <v>30107</v>
      </c>
      <c r="AA4789">
        <v>0.58324450601872779</v>
      </c>
      <c r="AB4789" t="str">
        <f>HYPERLINK("Melting_Curves/meltCurve_Q96A19_CCDC102A.pdf", "Melting_Curves/meltCurve_Q96A19_CCDC102A.pdf")</f>
        <v>Melting_Curves/meltCurve_Q96A19_CCDC102A.pdf</v>
      </c>
    </row>
    <row r="4790" spans="1:28" x14ac:dyDescent="0.25">
      <c r="A4790" t="s">
        <v>4794</v>
      </c>
      <c r="B4790">
        <v>0.99542014353169495</v>
      </c>
      <c r="C4790">
        <v>0.94376899296398498</v>
      </c>
      <c r="D4790">
        <v>1.0333774055417599</v>
      </c>
      <c r="E4790">
        <v>0.88867564584328396</v>
      </c>
      <c r="F4790">
        <v>0.75989431443462796</v>
      </c>
      <c r="G4790">
        <v>0.34941945469053798</v>
      </c>
      <c r="H4790">
        <v>9.0131434723623699E-2</v>
      </c>
      <c r="I4790">
        <v>6.7961833418298895E-2</v>
      </c>
      <c r="J4790">
        <v>6.9395525959097801E-2</v>
      </c>
      <c r="K4790">
        <v>8.1127859218436599E-2</v>
      </c>
      <c r="L4790">
        <v>1370.2001267559001</v>
      </c>
      <c r="M4790">
        <v>26.311458701722799</v>
      </c>
      <c r="N4790">
        <v>52.303522430904501</v>
      </c>
      <c r="O4790">
        <v>51.778149680975602</v>
      </c>
      <c r="P4790">
        <v>-0.12017612469078599</v>
      </c>
      <c r="Q4790">
        <v>5.4035103033234902E-2</v>
      </c>
      <c r="R4790">
        <v>0.99274928527714001</v>
      </c>
      <c r="S4790" t="s">
        <v>11192</v>
      </c>
      <c r="T4790" t="s">
        <v>12802</v>
      </c>
      <c r="U4790" t="s">
        <v>12802</v>
      </c>
      <c r="V4790" t="s">
        <v>12802</v>
      </c>
      <c r="W4790" t="s">
        <v>17530</v>
      </c>
      <c r="X4790">
        <v>22</v>
      </c>
      <c r="Y4790" t="s">
        <v>23748</v>
      </c>
      <c r="Z4790" t="s">
        <v>30108</v>
      </c>
      <c r="AA4790">
        <v>0.53705894376788588</v>
      </c>
      <c r="AB4790" t="str">
        <f>HYPERLINK("Melting_Curves/meltCurve_Q96A33_CCDC47.pdf", "Melting_Curves/meltCurve_Q96A33_CCDC47.pdf")</f>
        <v>Melting_Curves/meltCurve_Q96A33_CCDC47.pdf</v>
      </c>
    </row>
    <row r="4791" spans="1:28" x14ac:dyDescent="0.25">
      <c r="A4791" t="s">
        <v>4795</v>
      </c>
      <c r="B4791">
        <v>0.99542014353169495</v>
      </c>
      <c r="C4791">
        <v>1.05335554945275</v>
      </c>
      <c r="D4791">
        <v>0.858956867508894</v>
      </c>
      <c r="E4791">
        <v>0.64046072204110804</v>
      </c>
      <c r="F4791">
        <v>0.34961751623795101</v>
      </c>
      <c r="G4791">
        <v>0.19116942829307401</v>
      </c>
      <c r="H4791">
        <v>0.121100526459964</v>
      </c>
      <c r="I4791">
        <v>7.1071928769359499E-2</v>
      </c>
      <c r="J4791">
        <v>3.7848514856200499E-2</v>
      </c>
      <c r="K4791">
        <v>8.0390666128552002E-2</v>
      </c>
      <c r="L4791">
        <v>829.38014252074299</v>
      </c>
      <c r="M4791">
        <v>17.302943380777101</v>
      </c>
      <c r="N4791">
        <v>48.2634482394187</v>
      </c>
      <c r="O4791">
        <v>47.306401359108101</v>
      </c>
      <c r="P4791">
        <v>-8.6336652800670002E-2</v>
      </c>
      <c r="Q4791">
        <v>5.5873860198295398E-2</v>
      </c>
      <c r="R4791">
        <v>0.99402788534031705</v>
      </c>
      <c r="S4791" t="s">
        <v>11193</v>
      </c>
      <c r="T4791" t="s">
        <v>12802</v>
      </c>
      <c r="U4791" t="s">
        <v>12802</v>
      </c>
      <c r="V4791" t="s">
        <v>12802</v>
      </c>
      <c r="W4791" t="s">
        <v>17531</v>
      </c>
      <c r="X4791">
        <v>3</v>
      </c>
      <c r="Y4791" t="s">
        <v>23749</v>
      </c>
      <c r="Z4791" t="s">
        <v>30109</v>
      </c>
      <c r="AA4791">
        <v>0.41616124195299681</v>
      </c>
      <c r="AB4791" t="str">
        <f>HYPERLINK("Melting_Curves/meltCurve_Q96A47_ISL2.pdf", "Melting_Curves/meltCurve_Q96A47_ISL2.pdf")</f>
        <v>Melting_Curves/meltCurve_Q96A47_ISL2.pdf</v>
      </c>
    </row>
    <row r="4792" spans="1:28" x14ac:dyDescent="0.25">
      <c r="A4792" t="s">
        <v>4796</v>
      </c>
      <c r="B4792">
        <v>0.99542014353169495</v>
      </c>
      <c r="C4792">
        <v>0.984002191830607</v>
      </c>
      <c r="D4792">
        <v>0.96361054479910402</v>
      </c>
      <c r="E4792">
        <v>0.939996738399832</v>
      </c>
      <c r="F4792">
        <v>0.66232009989776197</v>
      </c>
      <c r="G4792">
        <v>0.36316737396152099</v>
      </c>
      <c r="H4792">
        <v>0.15325233738709501</v>
      </c>
      <c r="I4792">
        <v>9.1694659165621195E-2</v>
      </c>
      <c r="J4792">
        <v>8.9117531553357096E-2</v>
      </c>
      <c r="K4792">
        <v>0.10517454262195999</v>
      </c>
      <c r="L4792">
        <v>1145.25213451938</v>
      </c>
      <c r="M4792">
        <v>22.195345613104202</v>
      </c>
      <c r="N4792">
        <v>52.001302711755798</v>
      </c>
      <c r="O4792">
        <v>51.185376006160801</v>
      </c>
      <c r="P4792">
        <v>-9.9851951385166296E-2</v>
      </c>
      <c r="Q4792">
        <v>7.8933176902161603E-2</v>
      </c>
      <c r="R4792">
        <v>0.99822432543183703</v>
      </c>
      <c r="S4792" t="s">
        <v>11194</v>
      </c>
      <c r="T4792" t="s">
        <v>12802</v>
      </c>
      <c r="U4792" t="s">
        <v>12802</v>
      </c>
      <c r="V4792" t="s">
        <v>12802</v>
      </c>
      <c r="W4792" t="s">
        <v>17532</v>
      </c>
      <c r="X4792">
        <v>10</v>
      </c>
      <c r="Y4792" t="s">
        <v>23750</v>
      </c>
      <c r="Z4792" t="s">
        <v>30110</v>
      </c>
      <c r="AA4792">
        <v>0.53721477785802352</v>
      </c>
      <c r="AB4792" t="str">
        <f>HYPERLINK("Melting_Curves/meltCurve_Q96A49_SYAP1.pdf", "Melting_Curves/meltCurve_Q96A49_SYAP1.pdf")</f>
        <v>Melting_Curves/meltCurve_Q96A49_SYAP1.pdf</v>
      </c>
    </row>
    <row r="4793" spans="1:28" x14ac:dyDescent="0.25">
      <c r="A4793" t="s">
        <v>4797</v>
      </c>
      <c r="B4793">
        <v>0.99542014353169495</v>
      </c>
      <c r="C4793">
        <v>0.87468758026978399</v>
      </c>
      <c r="D4793">
        <v>0.84816130908121501</v>
      </c>
      <c r="E4793">
        <v>0.46959352687818301</v>
      </c>
      <c r="F4793">
        <v>0.15154829815126999</v>
      </c>
      <c r="G4793">
        <v>9.1586856691449295E-2</v>
      </c>
      <c r="H4793">
        <v>6.17074574240076E-2</v>
      </c>
      <c r="I4793">
        <v>4.2870626514715501E-2</v>
      </c>
      <c r="J4793">
        <v>3.8076981737777203E-2</v>
      </c>
      <c r="K4793">
        <v>4.85230567624731E-2</v>
      </c>
      <c r="L4793">
        <v>965.47054220225505</v>
      </c>
      <c r="M4793">
        <v>20.973130648221101</v>
      </c>
      <c r="N4793">
        <v>46.212587773849201</v>
      </c>
      <c r="O4793">
        <v>45.621305497377499</v>
      </c>
      <c r="P4793">
        <v>-0.110452193807498</v>
      </c>
      <c r="Q4793">
        <v>3.8991683910546499E-2</v>
      </c>
      <c r="R4793">
        <v>0.99310606972670801</v>
      </c>
      <c r="S4793" t="s">
        <v>11195</v>
      </c>
      <c r="T4793" t="s">
        <v>12802</v>
      </c>
      <c r="U4793" t="s">
        <v>12802</v>
      </c>
      <c r="V4793" t="s">
        <v>12802</v>
      </c>
      <c r="W4793" t="s">
        <v>17533</v>
      </c>
      <c r="X4793">
        <v>17</v>
      </c>
      <c r="Y4793" t="s">
        <v>23751</v>
      </c>
      <c r="Z4793" t="s">
        <v>30111</v>
      </c>
      <c r="AA4793">
        <v>0.33978109212511648</v>
      </c>
      <c r="AB4793" t="str">
        <f>HYPERLINK("Melting_Curves/meltCurve_Q96A65_EXOC4.pdf", "Melting_Curves/meltCurve_Q96A65_EXOC4.pdf")</f>
        <v>Melting_Curves/meltCurve_Q96A65_EXOC4.pdf</v>
      </c>
    </row>
    <row r="4794" spans="1:28" x14ac:dyDescent="0.25">
      <c r="A4794" t="s">
        <v>4798</v>
      </c>
      <c r="B4794">
        <v>0.99542014353169495</v>
      </c>
      <c r="C4794">
        <v>0.92223189609905798</v>
      </c>
      <c r="D4794">
        <v>0.81735759686176501</v>
      </c>
      <c r="E4794">
        <v>0.76640658278432505</v>
      </c>
      <c r="F4794">
        <v>0.46306293409377802</v>
      </c>
      <c r="G4794">
        <v>0.32286489226522702</v>
      </c>
      <c r="H4794">
        <v>0.134557267727236</v>
      </c>
      <c r="I4794">
        <v>0.14704387833940799</v>
      </c>
      <c r="J4794">
        <v>0.27644358931740498</v>
      </c>
      <c r="K4794">
        <v>0.41104974486137902</v>
      </c>
      <c r="L4794">
        <v>860.10625897115995</v>
      </c>
      <c r="M4794">
        <v>18.0226631841666</v>
      </c>
      <c r="N4794">
        <v>49.4488416178175</v>
      </c>
      <c r="O4794">
        <v>47.147678575785697</v>
      </c>
      <c r="P4794">
        <v>-7.3265127203140198E-2</v>
      </c>
      <c r="Q4794">
        <v>0.233384977979462</v>
      </c>
      <c r="R4794">
        <v>0.91969633928759997</v>
      </c>
      <c r="S4794" t="s">
        <v>11196</v>
      </c>
      <c r="T4794" t="s">
        <v>12802</v>
      </c>
      <c r="U4794" t="s">
        <v>12802</v>
      </c>
      <c r="V4794" t="s">
        <v>12802</v>
      </c>
      <c r="W4794" t="s">
        <v>17534</v>
      </c>
      <c r="X4794">
        <v>3</v>
      </c>
      <c r="Y4794" t="s">
        <v>23752</v>
      </c>
      <c r="Z4794" t="s">
        <v>30112</v>
      </c>
      <c r="AA4794">
        <v>0.51965313060913509</v>
      </c>
      <c r="AB4794" t="str">
        <f>HYPERLINK("Melting_Curves/meltCurve_Q96A73_2_KIAA1191.pdf", "Melting_Curves/meltCurve_Q96A73_2_KIAA1191.pdf")</f>
        <v>Melting_Curves/meltCurve_Q96A73_2_KIAA1191.pdf</v>
      </c>
    </row>
    <row r="4795" spans="1:28" x14ac:dyDescent="0.25">
      <c r="A4795" t="s">
        <v>4799</v>
      </c>
      <c r="B4795">
        <v>0.99542014353169495</v>
      </c>
      <c r="C4795">
        <v>1.1152758048007101</v>
      </c>
      <c r="D4795">
        <v>1.00826260739336</v>
      </c>
      <c r="E4795">
        <v>0.95553247537786301</v>
      </c>
      <c r="F4795">
        <v>0.75312228260108605</v>
      </c>
      <c r="G4795">
        <v>0.601139447518244</v>
      </c>
      <c r="H4795">
        <v>0.28091579900826302</v>
      </c>
      <c r="I4795">
        <v>0.19281606948728899</v>
      </c>
      <c r="J4795">
        <v>0.175905080366591</v>
      </c>
      <c r="K4795">
        <v>0.13247131344625299</v>
      </c>
      <c r="L4795">
        <v>969.72957039868095</v>
      </c>
      <c r="M4795">
        <v>18.073517873872898</v>
      </c>
      <c r="N4795">
        <v>54.407665800553097</v>
      </c>
      <c r="O4795">
        <v>53.010790286050202</v>
      </c>
      <c r="P4795">
        <v>-7.58078823955676E-2</v>
      </c>
      <c r="Q4795">
        <v>0.110645484881445</v>
      </c>
      <c r="R4795">
        <v>0.98452707270278506</v>
      </c>
      <c r="S4795" t="s">
        <v>11197</v>
      </c>
      <c r="T4795" t="s">
        <v>12802</v>
      </c>
      <c r="U4795" t="s">
        <v>12802</v>
      </c>
      <c r="V4795" t="s">
        <v>12802</v>
      </c>
      <c r="W4795" t="s">
        <v>17535</v>
      </c>
      <c r="X4795">
        <v>6</v>
      </c>
      <c r="Y4795" t="s">
        <v>23753</v>
      </c>
      <c r="Z4795" t="s">
        <v>30113</v>
      </c>
      <c r="AA4795">
        <v>0.61679681508237072</v>
      </c>
      <c r="AB4795" t="str">
        <f>HYPERLINK("Melting_Curves/meltCurve_Q96AB3_ISOC2.pdf", "Melting_Curves/meltCurve_Q96AB3_ISOC2.pdf")</f>
        <v>Melting_Curves/meltCurve_Q96AB3_ISOC2.pdf</v>
      </c>
    </row>
    <row r="4796" spans="1:28" x14ac:dyDescent="0.25">
      <c r="A4796" t="s">
        <v>4800</v>
      </c>
      <c r="B4796">
        <v>0.99542014353169495</v>
      </c>
      <c r="C4796">
        <v>0.90050837079299395</v>
      </c>
      <c r="D4796">
        <v>0.69411190408246803</v>
      </c>
      <c r="E4796">
        <v>0.41685447896771799</v>
      </c>
      <c r="F4796">
        <v>0.10066418044815099</v>
      </c>
      <c r="G4796">
        <v>3.4070451160029998E-2</v>
      </c>
      <c r="H4796">
        <v>1.7119266702752E-2</v>
      </c>
      <c r="I4796">
        <v>1.1483185676842299E-2</v>
      </c>
      <c r="J4796">
        <v>0</v>
      </c>
      <c r="K4796">
        <v>0</v>
      </c>
      <c r="L4796">
        <v>815.44740823549603</v>
      </c>
      <c r="M4796">
        <v>18.041405341366701</v>
      </c>
      <c r="N4796">
        <v>45.198663291130003</v>
      </c>
      <c r="O4796">
        <v>44.654328415120503</v>
      </c>
      <c r="P4796">
        <v>-0.101010854647337</v>
      </c>
      <c r="Q4796">
        <v>0</v>
      </c>
      <c r="R4796">
        <v>0.996275068097906</v>
      </c>
      <c r="S4796" t="s">
        <v>11198</v>
      </c>
      <c r="T4796" t="s">
        <v>12802</v>
      </c>
      <c r="U4796" t="s">
        <v>12802</v>
      </c>
      <c r="V4796" t="s">
        <v>12802</v>
      </c>
      <c r="W4796" t="s">
        <v>17536</v>
      </c>
      <c r="X4796">
        <v>3</v>
      </c>
      <c r="Y4796" t="s">
        <v>23754</v>
      </c>
      <c r="Z4796" t="s">
        <v>30114</v>
      </c>
      <c r="AA4796">
        <v>0.28954102282409261</v>
      </c>
      <c r="AB4796" t="str">
        <f>HYPERLINK("Melting_Curves/meltCurve_Q96AD5_PNPLA2.pdf", "Melting_Curves/meltCurve_Q96AD5_PNPLA2.pdf")</f>
        <v>Melting_Curves/meltCurve_Q96AD5_PNPLA2.pdf</v>
      </c>
    </row>
    <row r="4797" spans="1:28" x14ac:dyDescent="0.25">
      <c r="A4797" t="s">
        <v>4801</v>
      </c>
      <c r="B4797">
        <v>0.99542014353169495</v>
      </c>
      <c r="C4797">
        <v>1.0247824201472899</v>
      </c>
      <c r="D4797">
        <v>0.99633266235316098</v>
      </c>
      <c r="E4797">
        <v>0.91484211811123395</v>
      </c>
      <c r="F4797">
        <v>0.71189663700489003</v>
      </c>
      <c r="G4797">
        <v>0.59732572201651801</v>
      </c>
      <c r="H4797">
        <v>0.54340210220735097</v>
      </c>
      <c r="I4797">
        <v>0.52857631603585598</v>
      </c>
      <c r="J4797">
        <v>0.76734423096896798</v>
      </c>
      <c r="K4797">
        <v>0.90576016963679595</v>
      </c>
      <c r="L4797">
        <v>2185.9819793813299</v>
      </c>
      <c r="M4797">
        <v>45.8153761965795</v>
      </c>
      <c r="O4797">
        <v>47.622210732954599</v>
      </c>
      <c r="P4797">
        <v>-7.9360034206974794E-2</v>
      </c>
      <c r="Q4797">
        <v>0.67004128035397104</v>
      </c>
      <c r="R4797">
        <v>0.68494433643341002</v>
      </c>
      <c r="S4797" t="s">
        <v>11199</v>
      </c>
      <c r="T4797" t="s">
        <v>12802</v>
      </c>
      <c r="U4797" t="s">
        <v>12802</v>
      </c>
      <c r="V4797" t="s">
        <v>12802</v>
      </c>
      <c r="W4797" t="s">
        <v>17537</v>
      </c>
      <c r="X4797">
        <v>47</v>
      </c>
      <c r="Y4797" t="s">
        <v>23755</v>
      </c>
      <c r="Z4797" t="s">
        <v>30115</v>
      </c>
      <c r="AA4797">
        <v>0.78869579465252437</v>
      </c>
      <c r="AB4797" t="str">
        <f>HYPERLINK("Melting_Curves/meltCurve_Q96AE4_FUBP1.pdf", "Melting_Curves/meltCurve_Q96AE4_FUBP1.pdf")</f>
        <v>Melting_Curves/meltCurve_Q96AE4_FUBP1.pdf</v>
      </c>
    </row>
    <row r="4798" spans="1:28" x14ac:dyDescent="0.25">
      <c r="A4798" t="s">
        <v>4802</v>
      </c>
      <c r="B4798">
        <v>0.99542014353169495</v>
      </c>
      <c r="C4798">
        <v>1.0363852264915401</v>
      </c>
      <c r="D4798">
        <v>1.06277494087028</v>
      </c>
      <c r="E4798">
        <v>0.88039066534900301</v>
      </c>
      <c r="F4798">
        <v>0.61711111998883295</v>
      </c>
      <c r="G4798">
        <v>0.45610309621322398</v>
      </c>
      <c r="H4798">
        <v>0.31309954915926103</v>
      </c>
      <c r="I4798">
        <v>0.25086143495249202</v>
      </c>
      <c r="J4798">
        <v>0.31954216057282497</v>
      </c>
      <c r="K4798">
        <v>0.39844094730164598</v>
      </c>
      <c r="L4798">
        <v>1237.3149348352799</v>
      </c>
      <c r="M4798">
        <v>24.833511491963101</v>
      </c>
      <c r="N4798">
        <v>51.956216675765397</v>
      </c>
      <c r="O4798">
        <v>49.504690271923401</v>
      </c>
      <c r="P4798">
        <v>-8.5340972296115702E-2</v>
      </c>
      <c r="Q4798">
        <v>0.319513070686476</v>
      </c>
      <c r="R4798">
        <v>0.97721157100523204</v>
      </c>
      <c r="S4798" t="s">
        <v>11200</v>
      </c>
      <c r="T4798" t="s">
        <v>12802</v>
      </c>
      <c r="U4798" t="s">
        <v>12802</v>
      </c>
      <c r="V4798" t="s">
        <v>12802</v>
      </c>
      <c r="W4798" t="s">
        <v>17538</v>
      </c>
      <c r="X4798">
        <v>46</v>
      </c>
      <c r="Y4798" t="s">
        <v>23755</v>
      </c>
      <c r="Z4798" t="s">
        <v>30116</v>
      </c>
      <c r="AA4798">
        <v>0.6164238128869769</v>
      </c>
      <c r="AB4798" t="str">
        <f>HYPERLINK("Melting_Curves/meltCurve_Q96AE4_2_FUBP1.pdf", "Melting_Curves/meltCurve_Q96AE4_2_FUBP1.pdf")</f>
        <v>Melting_Curves/meltCurve_Q96AE4_2_FUBP1.pdf</v>
      </c>
    </row>
    <row r="4799" spans="1:28" x14ac:dyDescent="0.25">
      <c r="A4799" t="s">
        <v>4803</v>
      </c>
      <c r="B4799">
        <v>0.99542014353169495</v>
      </c>
      <c r="C4799">
        <v>1.08719107809814</v>
      </c>
      <c r="D4799">
        <v>0.95312377963205697</v>
      </c>
      <c r="E4799">
        <v>0.92345040041536097</v>
      </c>
      <c r="F4799">
        <v>0.71821345883315002</v>
      </c>
      <c r="G4799">
        <v>0.64168276263020596</v>
      </c>
      <c r="H4799">
        <v>0.27594219804065701</v>
      </c>
      <c r="I4799">
        <v>0.17069006187062399</v>
      </c>
      <c r="J4799">
        <v>0.20671930720759099</v>
      </c>
      <c r="K4799">
        <v>0.26069601402156301</v>
      </c>
      <c r="L4799">
        <v>945.72200881455603</v>
      </c>
      <c r="M4799">
        <v>17.8349812838477</v>
      </c>
      <c r="N4799">
        <v>54.284412664502902</v>
      </c>
      <c r="O4799">
        <v>52.3730719511071</v>
      </c>
      <c r="P4799">
        <v>-7.07255771658645E-2</v>
      </c>
      <c r="Q4799">
        <v>0.1692895723766</v>
      </c>
      <c r="R4799">
        <v>0.96707958012999595</v>
      </c>
      <c r="S4799" t="s">
        <v>11201</v>
      </c>
      <c r="T4799" t="s">
        <v>12802</v>
      </c>
      <c r="U4799" t="s">
        <v>12802</v>
      </c>
      <c r="V4799" t="s">
        <v>12802</v>
      </c>
      <c r="W4799" t="s">
        <v>17539</v>
      </c>
      <c r="X4799">
        <v>20</v>
      </c>
      <c r="Y4799" t="s">
        <v>23756</v>
      </c>
      <c r="Z4799" t="s">
        <v>30117</v>
      </c>
      <c r="AA4799">
        <v>0.6252676881776561</v>
      </c>
      <c r="AB4799" t="str">
        <f>HYPERLINK("Melting_Curves/meltCurve_Q96AG4_LRRC59.pdf", "Melting_Curves/meltCurve_Q96AG4_LRRC59.pdf")</f>
        <v>Melting_Curves/meltCurve_Q96AG4_LRRC59.pdf</v>
      </c>
    </row>
    <row r="4800" spans="1:28" x14ac:dyDescent="0.25">
      <c r="A4800" t="s">
        <v>4804</v>
      </c>
      <c r="B4800">
        <v>0.99542014353169495</v>
      </c>
      <c r="C4800">
        <v>0.87733616853552798</v>
      </c>
      <c r="D4800">
        <v>0.80310500223888104</v>
      </c>
      <c r="E4800">
        <v>0.65039279524475802</v>
      </c>
      <c r="F4800">
        <v>0.55918213882938095</v>
      </c>
      <c r="G4800">
        <v>0.38383353924728097</v>
      </c>
      <c r="H4800">
        <v>0.328376003927636</v>
      </c>
      <c r="I4800">
        <v>0.27989456771771698</v>
      </c>
      <c r="J4800">
        <v>0.35828079862193701</v>
      </c>
      <c r="K4800">
        <v>0.44068023760143998</v>
      </c>
      <c r="L4800">
        <v>587.48001620060995</v>
      </c>
      <c r="M4800">
        <v>12.7472759149915</v>
      </c>
      <c r="N4800">
        <v>50.297888711384097</v>
      </c>
      <c r="O4800">
        <v>44.9966843680713</v>
      </c>
      <c r="P4800">
        <v>-4.7600613509665199E-2</v>
      </c>
      <c r="Q4800">
        <v>0.32802559318994701</v>
      </c>
      <c r="R4800">
        <v>0.95567451772831902</v>
      </c>
      <c r="S4800" t="s">
        <v>11202</v>
      </c>
      <c r="T4800" t="s">
        <v>12802</v>
      </c>
      <c r="U4800" t="s">
        <v>12802</v>
      </c>
      <c r="V4800" t="s">
        <v>12802</v>
      </c>
      <c r="W4800" t="s">
        <v>17540</v>
      </c>
      <c r="X4800">
        <v>6</v>
      </c>
      <c r="Y4800" t="s">
        <v>23757</v>
      </c>
      <c r="Z4800" t="s">
        <v>30118</v>
      </c>
      <c r="AA4800">
        <v>0.55235924613836518</v>
      </c>
      <c r="AB4800" t="str">
        <f>HYPERLINK("Melting_Curves/meltCurve_Q96AJ9_1_VTI1A.pdf", "Melting_Curves/meltCurve_Q96AJ9_1_VTI1A.pdf")</f>
        <v>Melting_Curves/meltCurve_Q96AJ9_1_VTI1A.pdf</v>
      </c>
    </row>
    <row r="4801" spans="1:28" x14ac:dyDescent="0.25">
      <c r="A4801" t="s">
        <v>4805</v>
      </c>
      <c r="B4801">
        <v>0.99542014353169495</v>
      </c>
      <c r="C4801">
        <v>0.98366278332166301</v>
      </c>
      <c r="D4801">
        <v>1.0056088803888099</v>
      </c>
      <c r="E4801">
        <v>0.78867063650387403</v>
      </c>
      <c r="F4801">
        <v>0.64579910747615998</v>
      </c>
      <c r="G4801">
        <v>0.33261621983682399</v>
      </c>
      <c r="H4801">
        <v>0.22001071008164599</v>
      </c>
      <c r="I4801">
        <v>0.10175291322403</v>
      </c>
      <c r="J4801">
        <v>0.107039329171649</v>
      </c>
      <c r="K4801">
        <v>0.13137742791593601</v>
      </c>
      <c r="L4801">
        <v>858.90568166364403</v>
      </c>
      <c r="M4801">
        <v>16.8412004203294</v>
      </c>
      <c r="N4801">
        <v>51.5628553278315</v>
      </c>
      <c r="O4801">
        <v>50.297465499397099</v>
      </c>
      <c r="P4801">
        <v>-7.6687420551366403E-2</v>
      </c>
      <c r="Q4801">
        <v>8.3928586496491805E-2</v>
      </c>
      <c r="R4801">
        <v>0.99280481902365503</v>
      </c>
      <c r="S4801" t="s">
        <v>11203</v>
      </c>
      <c r="T4801" t="s">
        <v>12802</v>
      </c>
      <c r="U4801" t="s">
        <v>12802</v>
      </c>
      <c r="V4801" t="s">
        <v>12802</v>
      </c>
      <c r="W4801" t="s">
        <v>17541</v>
      </c>
      <c r="X4801">
        <v>6</v>
      </c>
      <c r="Y4801" t="s">
        <v>23758</v>
      </c>
      <c r="Z4801" t="s">
        <v>30119</v>
      </c>
      <c r="AA4801">
        <v>0.52714142437526879</v>
      </c>
      <c r="AB4801" t="str">
        <f>HYPERLINK("Melting_Curves/meltCurve_Q96AQ8_MCUR1.pdf", "Melting_Curves/meltCurve_Q96AQ8_MCUR1.pdf")</f>
        <v>Melting_Curves/meltCurve_Q96AQ8_MCUR1.pdf</v>
      </c>
    </row>
    <row r="4802" spans="1:28" x14ac:dyDescent="0.25">
      <c r="A4802" t="s">
        <v>4806</v>
      </c>
      <c r="B4802">
        <v>0.99542014353169495</v>
      </c>
      <c r="C4802">
        <v>1.0134755187082201</v>
      </c>
      <c r="D4802">
        <v>0.98153817964693102</v>
      </c>
      <c r="E4802">
        <v>0.89208395576491795</v>
      </c>
      <c r="F4802">
        <v>0.75514192523958801</v>
      </c>
      <c r="G4802">
        <v>0.59663706183691301</v>
      </c>
      <c r="H4802">
        <v>0.51896531430384396</v>
      </c>
      <c r="I4802">
        <v>0.49655538022498902</v>
      </c>
      <c r="J4802">
        <v>0.75308564468990202</v>
      </c>
      <c r="K4802">
        <v>0.96172542960698504</v>
      </c>
      <c r="L4802">
        <v>1626.56513661386</v>
      </c>
      <c r="M4802">
        <v>34.047881785806801</v>
      </c>
      <c r="O4802">
        <v>47.6089843467131</v>
      </c>
      <c r="P4802">
        <v>-5.9175904360386E-2</v>
      </c>
      <c r="Q4802">
        <v>0.66901986988982298</v>
      </c>
      <c r="R4802">
        <v>0.583547428010594</v>
      </c>
      <c r="S4802" t="s">
        <v>11204</v>
      </c>
      <c r="T4802" t="s">
        <v>12802</v>
      </c>
      <c r="U4802" t="s">
        <v>12802</v>
      </c>
      <c r="V4802" t="s">
        <v>12802</v>
      </c>
      <c r="W4802" t="s">
        <v>17542</v>
      </c>
      <c r="X4802">
        <v>14</v>
      </c>
      <c r="Y4802" t="s">
        <v>23759</v>
      </c>
      <c r="Z4802" t="s">
        <v>30120</v>
      </c>
      <c r="AA4802">
        <v>0.7893860602798779</v>
      </c>
      <c r="AB4802" t="str">
        <f>HYPERLINK("Melting_Curves/meltCurve_Q96AT1_KIAA1143.pdf", "Melting_Curves/meltCurve_Q96AT1_KIAA1143.pdf")</f>
        <v>Melting_Curves/meltCurve_Q96AT1_KIAA1143.pdf</v>
      </c>
    </row>
    <row r="4803" spans="1:28" x14ac:dyDescent="0.25">
      <c r="A4803" t="s">
        <v>4807</v>
      </c>
      <c r="B4803">
        <v>0.99542014353169495</v>
      </c>
      <c r="C4803">
        <v>1.06029621464881</v>
      </c>
      <c r="D4803">
        <v>0.89172313840241102</v>
      </c>
      <c r="E4803">
        <v>0.89814351267478698</v>
      </c>
      <c r="F4803">
        <v>0.767815657173477</v>
      </c>
      <c r="G4803">
        <v>0.68929275843650395</v>
      </c>
      <c r="H4803">
        <v>0.418401082502523</v>
      </c>
      <c r="I4803">
        <v>0.29811372773152001</v>
      </c>
      <c r="J4803">
        <v>0.22418390194492699</v>
      </c>
      <c r="K4803">
        <v>0.12905964034279699</v>
      </c>
      <c r="L4803">
        <v>614.59130442445098</v>
      </c>
      <c r="M4803">
        <v>10.9114242038697</v>
      </c>
      <c r="N4803">
        <v>56.325489064753498</v>
      </c>
      <c r="O4803">
        <v>54.532684925779499</v>
      </c>
      <c r="P4803">
        <v>-5.0039799221555097E-2</v>
      </c>
      <c r="Q4803">
        <v>0</v>
      </c>
      <c r="R4803">
        <v>0.98377304780432795</v>
      </c>
      <c r="S4803" t="s">
        <v>11205</v>
      </c>
      <c r="T4803" t="s">
        <v>12802</v>
      </c>
      <c r="U4803" t="s">
        <v>12802</v>
      </c>
      <c r="V4803" t="s">
        <v>12802</v>
      </c>
      <c r="W4803" t="s">
        <v>17543</v>
      </c>
      <c r="X4803">
        <v>7</v>
      </c>
      <c r="Y4803" t="s">
        <v>23760</v>
      </c>
      <c r="Z4803" t="s">
        <v>30121</v>
      </c>
      <c r="AA4803">
        <v>0.65043903647067625</v>
      </c>
      <c r="AB4803" t="str">
        <f>HYPERLINK("Melting_Curves/meltCurve_Q96AT9_RPE.pdf", "Melting_Curves/meltCurve_Q96AT9_RPE.pdf")</f>
        <v>Melting_Curves/meltCurve_Q96AT9_RPE.pdf</v>
      </c>
    </row>
    <row r="4804" spans="1:28" x14ac:dyDescent="0.25">
      <c r="A4804" t="s">
        <v>4808</v>
      </c>
      <c r="B4804">
        <v>0.99542014353169495</v>
      </c>
      <c r="C4804">
        <v>0.88667730145937096</v>
      </c>
      <c r="D4804">
        <v>0.814824538733677</v>
      </c>
      <c r="E4804">
        <v>0.51049762054704395</v>
      </c>
      <c r="F4804">
        <v>0.20186893335857201</v>
      </c>
      <c r="G4804">
        <v>8.6963601957696507E-2</v>
      </c>
      <c r="H4804">
        <v>4.3964799779747502E-2</v>
      </c>
      <c r="I4804">
        <v>2.8910759529742099E-2</v>
      </c>
      <c r="J4804">
        <v>2.86470594155433E-2</v>
      </c>
      <c r="K4804">
        <v>3.3944040830854803E-2</v>
      </c>
      <c r="L4804">
        <v>812.35934464615298</v>
      </c>
      <c r="M4804">
        <v>17.506059808617799</v>
      </c>
      <c r="N4804">
        <v>46.486032445813301</v>
      </c>
      <c r="O4804">
        <v>45.811629061380202</v>
      </c>
      <c r="P4804">
        <v>-9.4093053432573501E-2</v>
      </c>
      <c r="Q4804">
        <v>1.51250934353763E-2</v>
      </c>
      <c r="R4804">
        <v>0.99655244756328798</v>
      </c>
      <c r="S4804" t="s">
        <v>11206</v>
      </c>
      <c r="T4804" t="s">
        <v>12802</v>
      </c>
      <c r="U4804" t="s">
        <v>12802</v>
      </c>
      <c r="V4804" t="s">
        <v>12802</v>
      </c>
      <c r="W4804" t="s">
        <v>17544</v>
      </c>
      <c r="X4804">
        <v>8</v>
      </c>
      <c r="Y4804" t="s">
        <v>23761</v>
      </c>
      <c r="Z4804" t="s">
        <v>30122</v>
      </c>
      <c r="AA4804">
        <v>0.34061794296094883</v>
      </c>
      <c r="AB4804" t="str">
        <f>HYPERLINK("Melting_Curves/meltCurve_Q96AX1_VPS33A.pdf", "Melting_Curves/meltCurve_Q96AX1_VPS33A.pdf")</f>
        <v>Melting_Curves/meltCurve_Q96AX1_VPS33A.pdf</v>
      </c>
    </row>
    <row r="4805" spans="1:28" x14ac:dyDescent="0.25">
      <c r="A4805" t="s">
        <v>4809</v>
      </c>
      <c r="B4805">
        <v>0.99542014353169495</v>
      </c>
      <c r="C4805">
        <v>0.86281326565199201</v>
      </c>
      <c r="D4805">
        <v>0.932132543422169</v>
      </c>
      <c r="E4805">
        <v>0.77321171160929403</v>
      </c>
      <c r="F4805">
        <v>0.65372270611342398</v>
      </c>
      <c r="G4805">
        <v>0.41159724906725698</v>
      </c>
      <c r="H4805">
        <v>0.30156991676053702</v>
      </c>
      <c r="I4805">
        <v>0.26562548878908099</v>
      </c>
      <c r="J4805">
        <v>0.32401699620713598</v>
      </c>
      <c r="K4805">
        <v>0.379410577485852</v>
      </c>
      <c r="L4805">
        <v>754.18568019763302</v>
      </c>
      <c r="M4805">
        <v>15.337959784235</v>
      </c>
      <c r="N4805">
        <v>52.078660277192</v>
      </c>
      <c r="O4805">
        <v>48.358075225388603</v>
      </c>
      <c r="P4805">
        <v>-5.6491424645108097E-2</v>
      </c>
      <c r="Q4805">
        <v>0.28763311130717401</v>
      </c>
      <c r="R4805">
        <v>0.95592063375532699</v>
      </c>
      <c r="S4805" t="s">
        <v>11207</v>
      </c>
      <c r="T4805" t="s">
        <v>12802</v>
      </c>
      <c r="U4805" t="s">
        <v>12802</v>
      </c>
      <c r="V4805" t="s">
        <v>12802</v>
      </c>
      <c r="W4805" t="s">
        <v>17545</v>
      </c>
      <c r="X4805">
        <v>6</v>
      </c>
      <c r="Y4805" t="s">
        <v>23762</v>
      </c>
      <c r="Z4805" t="s">
        <v>30123</v>
      </c>
      <c r="AA4805">
        <v>0.59138002347339169</v>
      </c>
      <c r="AB4805" t="str">
        <f>HYPERLINK("Melting_Curves/meltCurve_Q96B23_2_C18orf25.pdf", "Melting_Curves/meltCurve_Q96B23_2_C18orf25.pdf")</f>
        <v>Melting_Curves/meltCurve_Q96B23_2_C18orf25.pdf</v>
      </c>
    </row>
    <row r="4806" spans="1:28" x14ac:dyDescent="0.25">
      <c r="A4806" t="s">
        <v>4810</v>
      </c>
      <c r="B4806">
        <v>0.99542014353169495</v>
      </c>
      <c r="C4806">
        <v>1.0230249475897299</v>
      </c>
      <c r="D4806">
        <v>1.1941644064213801</v>
      </c>
      <c r="E4806">
        <v>1.2729603063545001</v>
      </c>
      <c r="F4806">
        <v>1.2114682848082801</v>
      </c>
      <c r="G4806">
        <v>0.89717513306017005</v>
      </c>
      <c r="H4806">
        <v>0.61788922446188299</v>
      </c>
      <c r="I4806">
        <v>0.276495057688527</v>
      </c>
      <c r="J4806">
        <v>0.109388133366425</v>
      </c>
      <c r="K4806">
        <v>9.3105289590872997E-2</v>
      </c>
      <c r="L4806">
        <v>1782.2307036218999</v>
      </c>
      <c r="M4806">
        <v>30.654749836857999</v>
      </c>
      <c r="N4806">
        <v>58.451987533936197</v>
      </c>
      <c r="O4806">
        <v>57.893078462569001</v>
      </c>
      <c r="P4806">
        <v>-0.122351898705713</v>
      </c>
      <c r="Q4806">
        <v>7.5734014868127003E-2</v>
      </c>
      <c r="R4806">
        <v>0.91525124772196798</v>
      </c>
      <c r="S4806" t="s">
        <v>11208</v>
      </c>
      <c r="T4806" t="s">
        <v>12802</v>
      </c>
      <c r="U4806" t="s">
        <v>12802</v>
      </c>
      <c r="V4806" t="s">
        <v>12802</v>
      </c>
      <c r="W4806" t="s">
        <v>17546</v>
      </c>
      <c r="X4806">
        <v>10</v>
      </c>
      <c r="Y4806" t="s">
        <v>23763</v>
      </c>
      <c r="Z4806" t="s">
        <v>30124</v>
      </c>
      <c r="AA4806">
        <v>0.73191416177670721</v>
      </c>
      <c r="AB4806" t="str">
        <f>HYPERLINK("Melting_Curves/meltCurve_Q96B26_EXOSC8.pdf", "Melting_Curves/meltCurve_Q96B26_EXOSC8.pdf")</f>
        <v>Melting_Curves/meltCurve_Q96B26_EXOSC8.pdf</v>
      </c>
    </row>
    <row r="4807" spans="1:28" x14ac:dyDescent="0.25">
      <c r="A4807" t="s">
        <v>4811</v>
      </c>
      <c r="B4807">
        <v>0.99542014353169495</v>
      </c>
      <c r="C4807">
        <v>1.09702556798734</v>
      </c>
      <c r="D4807">
        <v>1.0860880814290299</v>
      </c>
      <c r="E4807">
        <v>1.03361082032401</v>
      </c>
      <c r="F4807">
        <v>0.74228001459844495</v>
      </c>
      <c r="G4807">
        <v>0.50230421010347504</v>
      </c>
      <c r="H4807">
        <v>0.31300809005341501</v>
      </c>
      <c r="I4807">
        <v>0.246493150376842</v>
      </c>
      <c r="J4807">
        <v>0.32612512755992901</v>
      </c>
      <c r="K4807">
        <v>0.49818978823735599</v>
      </c>
      <c r="L4807">
        <v>1703.14990819727</v>
      </c>
      <c r="M4807">
        <v>33.303060637075802</v>
      </c>
      <c r="N4807">
        <v>53.049988864566302</v>
      </c>
      <c r="O4807">
        <v>50.957607581763902</v>
      </c>
      <c r="P4807">
        <v>-0.106337482438027</v>
      </c>
      <c r="Q4807">
        <v>0.34916735776303498</v>
      </c>
      <c r="R4807">
        <v>0.94410966095384097</v>
      </c>
      <c r="S4807" t="s">
        <v>11209</v>
      </c>
      <c r="T4807" t="s">
        <v>12802</v>
      </c>
      <c r="U4807" t="s">
        <v>12802</v>
      </c>
      <c r="V4807" t="s">
        <v>12802</v>
      </c>
      <c r="W4807" t="s">
        <v>17547</v>
      </c>
      <c r="X4807">
        <v>7</v>
      </c>
      <c r="Y4807" t="s">
        <v>23764</v>
      </c>
      <c r="Z4807" t="s">
        <v>30125</v>
      </c>
      <c r="AA4807">
        <v>0.65925668760823242</v>
      </c>
      <c r="AB4807" t="str">
        <f>HYPERLINK("Melting_Curves/meltCurve_Q96B36_AKT1S1.pdf", "Melting_Curves/meltCurve_Q96B36_AKT1S1.pdf")</f>
        <v>Melting_Curves/meltCurve_Q96B36_AKT1S1.pdf</v>
      </c>
    </row>
    <row r="4808" spans="1:28" x14ac:dyDescent="0.25">
      <c r="A4808" t="s">
        <v>4812</v>
      </c>
      <c r="B4808">
        <v>0.99542014353169495</v>
      </c>
      <c r="C4808">
        <v>0.97135480067450697</v>
      </c>
      <c r="D4808">
        <v>1.01550143438294</v>
      </c>
      <c r="E4808">
        <v>0.92884291989008805</v>
      </c>
      <c r="F4808">
        <v>0.81711140874002497</v>
      </c>
      <c r="G4808">
        <v>0.59402206197350405</v>
      </c>
      <c r="H4808">
        <v>0.31257405291853702</v>
      </c>
      <c r="I4808">
        <v>0.20308706810445301</v>
      </c>
      <c r="J4808">
        <v>0.23881237937639399</v>
      </c>
      <c r="K4808">
        <v>0.24126355204331701</v>
      </c>
      <c r="L4808">
        <v>1160.35924740785</v>
      </c>
      <c r="M4808">
        <v>21.791719973394201</v>
      </c>
      <c r="N4808">
        <v>54.53873401861</v>
      </c>
      <c r="O4808">
        <v>52.805413570631003</v>
      </c>
      <c r="P4808">
        <v>-8.2382887356529294E-2</v>
      </c>
      <c r="Q4808">
        <v>0.20150223411791801</v>
      </c>
      <c r="R4808">
        <v>0.99260130074734698</v>
      </c>
      <c r="S4808" t="s">
        <v>11210</v>
      </c>
      <c r="T4808" t="s">
        <v>12802</v>
      </c>
      <c r="U4808" t="s">
        <v>12802</v>
      </c>
      <c r="V4808" t="s">
        <v>12802</v>
      </c>
      <c r="W4808" t="s">
        <v>17548</v>
      </c>
      <c r="X4808">
        <v>2</v>
      </c>
      <c r="Y4808" t="s">
        <v>23765</v>
      </c>
      <c r="Z4808" t="s">
        <v>30126</v>
      </c>
      <c r="AA4808">
        <v>0.64275353195126994</v>
      </c>
      <c r="AB4808" t="str">
        <f>HYPERLINK("Melting_Curves/meltCurve_Q96B45_C10orf32.pdf", "Melting_Curves/meltCurve_Q96B45_C10orf32.pdf")</f>
        <v>Melting_Curves/meltCurve_Q96B45_C10orf32.pdf</v>
      </c>
    </row>
    <row r="4809" spans="1:28" x14ac:dyDescent="0.25">
      <c r="A4809" t="s">
        <v>4813</v>
      </c>
      <c r="B4809">
        <v>0.99542014353169495</v>
      </c>
      <c r="C4809">
        <v>0.98272927354496398</v>
      </c>
      <c r="D4809">
        <v>1.04226776166309</v>
      </c>
      <c r="E4809">
        <v>0.76429723054773402</v>
      </c>
      <c r="F4809">
        <v>0.76445631752354004</v>
      </c>
      <c r="G4809">
        <v>0.49667798317907502</v>
      </c>
      <c r="H4809">
        <v>0.38221128515716801</v>
      </c>
      <c r="I4809">
        <v>0.336178567486979</v>
      </c>
      <c r="J4809">
        <v>0.48512233912238301</v>
      </c>
      <c r="K4809">
        <v>0.68268598204354103</v>
      </c>
      <c r="L4809">
        <v>1052.4601634191499</v>
      </c>
      <c r="M4809">
        <v>21.550056281756</v>
      </c>
      <c r="N4809">
        <v>56.019648241332803</v>
      </c>
      <c r="O4809">
        <v>48.423224862498699</v>
      </c>
      <c r="P4809">
        <v>-5.9142203090574899E-2</v>
      </c>
      <c r="Q4809">
        <v>0.468440062215428</v>
      </c>
      <c r="R4809">
        <v>0.83204893380606604</v>
      </c>
      <c r="S4809" t="s">
        <v>11211</v>
      </c>
      <c r="T4809" t="s">
        <v>12802</v>
      </c>
      <c r="U4809" t="s">
        <v>12802</v>
      </c>
      <c r="V4809" t="s">
        <v>12802</v>
      </c>
      <c r="W4809" t="s">
        <v>17549</v>
      </c>
      <c r="X4809">
        <v>3</v>
      </c>
      <c r="Y4809" t="s">
        <v>23766</v>
      </c>
      <c r="Z4809" t="s">
        <v>30127</v>
      </c>
      <c r="AA4809">
        <v>0.68428642714666832</v>
      </c>
      <c r="AB4809" t="str">
        <f>HYPERLINK("Melting_Curves/meltCurve_Q96B49_TOMM6.pdf", "Melting_Curves/meltCurve_Q96B49_TOMM6.pdf")</f>
        <v>Melting_Curves/meltCurve_Q96B49_TOMM6.pdf</v>
      </c>
    </row>
    <row r="4810" spans="1:28" x14ac:dyDescent="0.25">
      <c r="A4810" t="s">
        <v>4814</v>
      </c>
      <c r="B4810">
        <v>0.99542014353169495</v>
      </c>
      <c r="C4810">
        <v>0.90782671843762297</v>
      </c>
      <c r="D4810">
        <v>0.71142448228842103</v>
      </c>
      <c r="E4810">
        <v>0.30583891648165601</v>
      </c>
      <c r="F4810">
        <v>0.16420872585788801</v>
      </c>
      <c r="G4810">
        <v>9.0256028553837298E-2</v>
      </c>
      <c r="H4810">
        <v>6.1855528946694098E-2</v>
      </c>
      <c r="I4810">
        <v>3.9755968798604699E-2</v>
      </c>
      <c r="J4810">
        <v>4.12771526014796E-2</v>
      </c>
      <c r="K4810">
        <v>5.2411944950259901E-2</v>
      </c>
      <c r="L4810">
        <v>901.42764172659997</v>
      </c>
      <c r="M4810">
        <v>20.2120933841069</v>
      </c>
      <c r="N4810">
        <v>44.829834278278199</v>
      </c>
      <c r="O4810">
        <v>44.1687528494611</v>
      </c>
      <c r="P4810">
        <v>-0.108738950895963</v>
      </c>
      <c r="Q4810">
        <v>4.9536599861216203E-2</v>
      </c>
      <c r="R4810">
        <v>0.99837635839069105</v>
      </c>
      <c r="S4810" t="s">
        <v>11212</v>
      </c>
      <c r="T4810" t="s">
        <v>12802</v>
      </c>
      <c r="U4810" t="s">
        <v>12802</v>
      </c>
      <c r="V4810" t="s">
        <v>12802</v>
      </c>
      <c r="W4810" t="s">
        <v>17550</v>
      </c>
      <c r="X4810">
        <v>4</v>
      </c>
      <c r="Y4810" t="s">
        <v>23767</v>
      </c>
      <c r="Z4810" t="s">
        <v>30128</v>
      </c>
      <c r="AA4810">
        <v>0.30254629196832311</v>
      </c>
      <c r="AB4810" t="str">
        <f>HYPERLINK("Melting_Curves/meltCurve_Q96BD8_SKA1.pdf", "Melting_Curves/meltCurve_Q96BD8_SKA1.pdf")</f>
        <v>Melting_Curves/meltCurve_Q96BD8_SKA1.pdf</v>
      </c>
    </row>
    <row r="4811" spans="1:28" x14ac:dyDescent="0.25">
      <c r="A4811" t="s">
        <v>4815</v>
      </c>
      <c r="B4811">
        <v>0.99542014353169495</v>
      </c>
      <c r="C4811">
        <v>1.01355052095836</v>
      </c>
      <c r="D4811">
        <v>0.98186256724156296</v>
      </c>
      <c r="E4811">
        <v>0.94152034526855199</v>
      </c>
      <c r="F4811">
        <v>0.66206542759432596</v>
      </c>
      <c r="G4811">
        <v>0.30696610756699999</v>
      </c>
      <c r="H4811">
        <v>0.13111675629483399</v>
      </c>
      <c r="I4811">
        <v>7.2852018788363504E-2</v>
      </c>
      <c r="J4811">
        <v>0.101348721367859</v>
      </c>
      <c r="K4811">
        <v>0.110367142728725</v>
      </c>
      <c r="L4811">
        <v>1331.3914809696601</v>
      </c>
      <c r="M4811">
        <v>25.9636729857448</v>
      </c>
      <c r="N4811">
        <v>51.659538563424803</v>
      </c>
      <c r="O4811">
        <v>50.977710931157098</v>
      </c>
      <c r="P4811">
        <v>-0.116247598725401</v>
      </c>
      <c r="Q4811">
        <v>8.7037045413605907E-2</v>
      </c>
      <c r="R4811">
        <v>0.99877108083962796</v>
      </c>
      <c r="S4811" t="s">
        <v>11213</v>
      </c>
      <c r="T4811" t="s">
        <v>12802</v>
      </c>
      <c r="U4811" t="s">
        <v>12802</v>
      </c>
      <c r="V4811" t="s">
        <v>12802</v>
      </c>
      <c r="W4811" t="s">
        <v>17551</v>
      </c>
      <c r="X4811">
        <v>8</v>
      </c>
      <c r="Y4811" t="s">
        <v>23768</v>
      </c>
      <c r="Z4811" t="s">
        <v>30129</v>
      </c>
      <c r="AA4811">
        <v>0.52909901545557436</v>
      </c>
      <c r="AB4811" t="str">
        <f>HYPERLINK("Melting_Curves/meltCurve_Q96BH1_RNF25.pdf", "Melting_Curves/meltCurve_Q96BH1_RNF25.pdf")</f>
        <v>Melting_Curves/meltCurve_Q96BH1_RNF25.pdf</v>
      </c>
    </row>
    <row r="4812" spans="1:28" x14ac:dyDescent="0.25">
      <c r="A4812" t="s">
        <v>4816</v>
      </c>
      <c r="B4812">
        <v>0.99542014353169495</v>
      </c>
      <c r="C4812">
        <v>0.97113428753328102</v>
      </c>
      <c r="D4812">
        <v>1.0028454148883501</v>
      </c>
      <c r="E4812">
        <v>0.81855069636151501</v>
      </c>
      <c r="F4812">
        <v>0.52022574428168999</v>
      </c>
      <c r="G4812">
        <v>0.43431779919346503</v>
      </c>
      <c r="H4812">
        <v>0.31734483004660402</v>
      </c>
      <c r="I4812">
        <v>0.22234557763756199</v>
      </c>
      <c r="J4812">
        <v>0.39171383677827398</v>
      </c>
      <c r="K4812">
        <v>0.42607816776152402</v>
      </c>
      <c r="L4812">
        <v>1266.5808034223601</v>
      </c>
      <c r="M4812">
        <v>26.178046093249598</v>
      </c>
      <c r="N4812">
        <v>50.648810994924197</v>
      </c>
      <c r="O4812">
        <v>48.1036270373204</v>
      </c>
      <c r="P4812">
        <v>-8.9119290963337594E-2</v>
      </c>
      <c r="Q4812">
        <v>0.34496056609799097</v>
      </c>
      <c r="R4812">
        <v>0.96471523677313498</v>
      </c>
      <c r="S4812" t="s">
        <v>11214</v>
      </c>
      <c r="T4812" t="s">
        <v>12802</v>
      </c>
      <c r="U4812" t="s">
        <v>12802</v>
      </c>
      <c r="V4812" t="s">
        <v>12802</v>
      </c>
      <c r="W4812" t="s">
        <v>13607</v>
      </c>
      <c r="X4812">
        <v>9</v>
      </c>
      <c r="Y4812" t="s">
        <v>19928</v>
      </c>
      <c r="Z4812" t="s">
        <v>30130</v>
      </c>
      <c r="AA4812">
        <v>0.59863695273640494</v>
      </c>
      <c r="AB4812" t="str">
        <f>HYPERLINK("Melting_Curves/meltCurve_Q96BK5_PINX1.pdf", "Melting_Curves/meltCurve_Q96BK5_PINX1.pdf")</f>
        <v>Melting_Curves/meltCurve_Q96BK5_PINX1.pdf</v>
      </c>
    </row>
    <row r="4813" spans="1:28" x14ac:dyDescent="0.25">
      <c r="A4813" t="s">
        <v>4817</v>
      </c>
      <c r="B4813">
        <v>0.99542014353169495</v>
      </c>
      <c r="C4813">
        <v>1.0019445328180101</v>
      </c>
      <c r="D4813">
        <v>0.91588481095104302</v>
      </c>
      <c r="E4813">
        <v>0.79390163768696997</v>
      </c>
      <c r="F4813">
        <v>0.74710701745803298</v>
      </c>
      <c r="G4813">
        <v>0.64591131612534702</v>
      </c>
      <c r="H4813">
        <v>0.55507451780959205</v>
      </c>
      <c r="I4813">
        <v>0.55266090315900696</v>
      </c>
      <c r="J4813">
        <v>0.85392508251407895</v>
      </c>
      <c r="K4813">
        <v>0.75827371460874404</v>
      </c>
      <c r="L4813">
        <v>1042.76276534985</v>
      </c>
      <c r="M4813">
        <v>22.9796867695385</v>
      </c>
      <c r="O4813">
        <v>45.0381389946022</v>
      </c>
      <c r="P4813">
        <v>-4.1118841026556503E-2</v>
      </c>
      <c r="Q4813">
        <v>0.67764899351997199</v>
      </c>
      <c r="R4813">
        <v>0.700373752845033</v>
      </c>
      <c r="S4813" t="s">
        <v>11215</v>
      </c>
      <c r="T4813" t="s">
        <v>12802</v>
      </c>
      <c r="U4813" t="s">
        <v>12802</v>
      </c>
      <c r="V4813" t="s">
        <v>12802</v>
      </c>
      <c r="W4813" t="s">
        <v>17552</v>
      </c>
      <c r="X4813">
        <v>6</v>
      </c>
      <c r="Y4813" t="s">
        <v>23769</v>
      </c>
      <c r="Z4813" t="s">
        <v>30131</v>
      </c>
      <c r="AA4813">
        <v>0.77082895748769664</v>
      </c>
      <c r="AB4813" t="str">
        <f>HYPERLINK("Melting_Curves/meltCurve_Q96BM9_ARL8A.pdf", "Melting_Curves/meltCurve_Q96BM9_ARL8A.pdf")</f>
        <v>Melting_Curves/meltCurve_Q96BM9_ARL8A.pdf</v>
      </c>
    </row>
    <row r="4814" spans="1:28" x14ac:dyDescent="0.25">
      <c r="A4814" t="s">
        <v>4818</v>
      </c>
      <c r="B4814">
        <v>0.99542014353169495</v>
      </c>
      <c r="C4814">
        <v>1.00264871121669</v>
      </c>
      <c r="D4814">
        <v>0.99227750129173797</v>
      </c>
      <c r="E4814">
        <v>0.74003279997757399</v>
      </c>
      <c r="F4814">
        <v>0.23484504072776299</v>
      </c>
      <c r="G4814">
        <v>0.12546401395647699</v>
      </c>
      <c r="H4814">
        <v>7.6718998779157693E-2</v>
      </c>
      <c r="I4814">
        <v>4.43661944268713E-2</v>
      </c>
      <c r="J4814">
        <v>5.0205160520474398E-2</v>
      </c>
      <c r="K4814">
        <v>6.2085888888837301E-2</v>
      </c>
      <c r="L4814">
        <v>1547.9267850493</v>
      </c>
      <c r="M4814">
        <v>32.264667941937098</v>
      </c>
      <c r="N4814">
        <v>48.178406391521399</v>
      </c>
      <c r="O4814">
        <v>47.792738967583503</v>
      </c>
      <c r="P4814">
        <v>-0.15807293855628601</v>
      </c>
      <c r="Q4814">
        <v>6.3408728095579694E-2</v>
      </c>
      <c r="R4814">
        <v>0.99875579026341099</v>
      </c>
      <c r="S4814" t="s">
        <v>11216</v>
      </c>
      <c r="T4814" t="s">
        <v>12802</v>
      </c>
      <c r="U4814" t="s">
        <v>12802</v>
      </c>
      <c r="V4814" t="s">
        <v>12802</v>
      </c>
      <c r="W4814" t="s">
        <v>17553</v>
      </c>
      <c r="X4814">
        <v>9</v>
      </c>
      <c r="Y4814" t="s">
        <v>23770</v>
      </c>
      <c r="Z4814" t="s">
        <v>30132</v>
      </c>
      <c r="AA4814">
        <v>0.41086305804272061</v>
      </c>
      <c r="AB4814" t="str">
        <f>HYPERLINK("Melting_Curves/meltCurve_Q96BN8_FAM105B.pdf", "Melting_Curves/meltCurve_Q96BN8_FAM105B.pdf")</f>
        <v>Melting_Curves/meltCurve_Q96BN8_FAM105B.pdf</v>
      </c>
    </row>
    <row r="4815" spans="1:28" x14ac:dyDescent="0.25">
      <c r="A4815" t="s">
        <v>4819</v>
      </c>
      <c r="B4815">
        <v>0.99542014353169495</v>
      </c>
      <c r="C4815">
        <v>0.93999506640488195</v>
      </c>
      <c r="D4815">
        <v>0.93771060572841602</v>
      </c>
      <c r="E4815">
        <v>0.81504074472563803</v>
      </c>
      <c r="F4815">
        <v>0.35208686682900198</v>
      </c>
      <c r="G4815">
        <v>0.108897434517935</v>
      </c>
      <c r="H4815">
        <v>6.8748076784441003E-2</v>
      </c>
      <c r="I4815">
        <v>5.5505183850192902E-2</v>
      </c>
      <c r="J4815">
        <v>5.8039844071566302E-2</v>
      </c>
      <c r="K4815">
        <v>5.0702207791959802E-2</v>
      </c>
      <c r="L4815">
        <v>1366.33025871327</v>
      </c>
      <c r="M4815">
        <v>27.977451731579599</v>
      </c>
      <c r="N4815">
        <v>49.026430279712798</v>
      </c>
      <c r="O4815">
        <v>48.589373388792303</v>
      </c>
      <c r="P4815">
        <v>-0.13656903339881299</v>
      </c>
      <c r="Q4815">
        <v>5.1272188997289303E-2</v>
      </c>
      <c r="R4815">
        <v>0.99672931544441001</v>
      </c>
      <c r="S4815" t="s">
        <v>11217</v>
      </c>
      <c r="T4815" t="s">
        <v>12802</v>
      </c>
      <c r="U4815" t="s">
        <v>12802</v>
      </c>
      <c r="V4815" t="s">
        <v>12802</v>
      </c>
      <c r="W4815" t="s">
        <v>17554</v>
      </c>
      <c r="X4815">
        <v>16</v>
      </c>
      <c r="Y4815" t="s">
        <v>23771</v>
      </c>
      <c r="Z4815" t="s">
        <v>30133</v>
      </c>
      <c r="AA4815">
        <v>0.43215918813891702</v>
      </c>
      <c r="AB4815" t="str">
        <f>HYPERLINK("Melting_Curves/meltCurve_Q96BP3_PPWD1.pdf", "Melting_Curves/meltCurve_Q96BP3_PPWD1.pdf")</f>
        <v>Melting_Curves/meltCurve_Q96BP3_PPWD1.pdf</v>
      </c>
    </row>
    <row r="4816" spans="1:28" x14ac:dyDescent="0.25">
      <c r="A4816" t="s">
        <v>4820</v>
      </c>
      <c r="B4816">
        <v>0.99542014353169495</v>
      </c>
      <c r="C4816">
        <v>0.79995146495167202</v>
      </c>
      <c r="D4816">
        <v>0.96615574944453098</v>
      </c>
      <c r="E4816">
        <v>0.65534035688576997</v>
      </c>
      <c r="F4816">
        <v>0.56778194094441403</v>
      </c>
      <c r="G4816">
        <v>0.211304776452718</v>
      </c>
      <c r="H4816">
        <v>0.11855162561315</v>
      </c>
      <c r="I4816">
        <v>7.6855038323748306E-2</v>
      </c>
      <c r="J4816">
        <v>5.2752488456938897E-2</v>
      </c>
      <c r="K4816">
        <v>3.1124794987618599E-2</v>
      </c>
      <c r="L4816">
        <v>665.35070509233196</v>
      </c>
      <c r="M4816">
        <v>13.3712825096316</v>
      </c>
      <c r="N4816">
        <v>49.759692887469498</v>
      </c>
      <c r="O4816">
        <v>48.686236100360098</v>
      </c>
      <c r="P4816">
        <v>-6.8671356101777298E-2</v>
      </c>
      <c r="Q4816">
        <v>0</v>
      </c>
      <c r="R4816">
        <v>0.96428324925631004</v>
      </c>
      <c r="S4816" t="s">
        <v>11218</v>
      </c>
      <c r="T4816" t="s">
        <v>12802</v>
      </c>
      <c r="U4816" t="s">
        <v>12802</v>
      </c>
      <c r="V4816" t="s">
        <v>12802</v>
      </c>
      <c r="W4816" t="s">
        <v>17555</v>
      </c>
      <c r="X4816">
        <v>3</v>
      </c>
      <c r="Y4816" t="s">
        <v>23772</v>
      </c>
      <c r="Z4816" t="s">
        <v>30134</v>
      </c>
      <c r="AA4816">
        <v>0.4500870149478699</v>
      </c>
      <c r="AB4816" t="str">
        <f>HYPERLINK("Melting_Curves/meltCurve_Q96BQ5_CCDC127.pdf", "Melting_Curves/meltCurve_Q96BQ5_CCDC127.pdf")</f>
        <v>Melting_Curves/meltCurve_Q96BQ5_CCDC127.pdf</v>
      </c>
    </row>
    <row r="4817" spans="1:28" x14ac:dyDescent="0.25">
      <c r="A4817" t="s">
        <v>4821</v>
      </c>
      <c r="B4817">
        <v>0.99542014353169495</v>
      </c>
      <c r="C4817">
        <v>0.889562439813258</v>
      </c>
      <c r="D4817">
        <v>0.97345461443818904</v>
      </c>
      <c r="E4817">
        <v>0.836460658794277</v>
      </c>
      <c r="F4817">
        <v>0.63307391548488601</v>
      </c>
      <c r="G4817">
        <v>0.47952477687409201</v>
      </c>
      <c r="H4817">
        <v>0.22548631928631499</v>
      </c>
      <c r="I4817">
        <v>0.16151937768992999</v>
      </c>
      <c r="J4817">
        <v>0.16289389077025099</v>
      </c>
      <c r="K4817">
        <v>0.1648402039331</v>
      </c>
      <c r="L4817">
        <v>737.27718929429</v>
      </c>
      <c r="M4817">
        <v>14.2719734775046</v>
      </c>
      <c r="N4817">
        <v>52.488737699083799</v>
      </c>
      <c r="O4817">
        <v>50.676623000142399</v>
      </c>
      <c r="P4817">
        <v>-6.3305561716059097E-2</v>
      </c>
      <c r="Q4817">
        <v>0.100974132532995</v>
      </c>
      <c r="R4817">
        <v>0.98485275962912699</v>
      </c>
      <c r="S4817" t="s">
        <v>11219</v>
      </c>
      <c r="T4817" t="s">
        <v>12802</v>
      </c>
      <c r="U4817" t="s">
        <v>12802</v>
      </c>
      <c r="V4817" t="s">
        <v>12802</v>
      </c>
      <c r="W4817" t="s">
        <v>17556</v>
      </c>
      <c r="X4817">
        <v>12</v>
      </c>
      <c r="Y4817" t="s">
        <v>23773</v>
      </c>
      <c r="Z4817" t="s">
        <v>30135</v>
      </c>
      <c r="AA4817">
        <v>0.55885716918720729</v>
      </c>
      <c r="AB4817" t="str">
        <f>HYPERLINK("Melting_Curves/meltCurve_Q96BR5_SELRC1.pdf", "Melting_Curves/meltCurve_Q96BR5_SELRC1.pdf")</f>
        <v>Melting_Curves/meltCurve_Q96BR5_SELRC1.pdf</v>
      </c>
    </row>
    <row r="4818" spans="1:28" x14ac:dyDescent="0.25">
      <c r="A4818" t="s">
        <v>4822</v>
      </c>
      <c r="B4818">
        <v>0.99542014353169495</v>
      </c>
      <c r="C4818">
        <v>0.978129168444553</v>
      </c>
      <c r="D4818">
        <v>0.96120497568450902</v>
      </c>
      <c r="E4818">
        <v>0.45070773804645498</v>
      </c>
      <c r="F4818">
        <v>0.1181220617426</v>
      </c>
      <c r="G4818">
        <v>7.9243895014103699E-2</v>
      </c>
      <c r="H4818">
        <v>5.42298317238359E-2</v>
      </c>
      <c r="I4818">
        <v>4.9913713605243298E-2</v>
      </c>
      <c r="J4818">
        <v>5.41808066301162E-2</v>
      </c>
      <c r="K4818">
        <v>6.8736242681273901E-2</v>
      </c>
      <c r="L4818">
        <v>1764.7287527025101</v>
      </c>
      <c r="M4818">
        <v>38.194158036999603</v>
      </c>
      <c r="N4818">
        <v>46.3656955102391</v>
      </c>
      <c r="O4818">
        <v>46.078039895347899</v>
      </c>
      <c r="P4818">
        <v>-0.19431600303316901</v>
      </c>
      <c r="Q4818">
        <v>6.22986959840078E-2</v>
      </c>
      <c r="R4818">
        <v>0.99923933767972495</v>
      </c>
      <c r="S4818" t="s">
        <v>11220</v>
      </c>
      <c r="T4818" t="s">
        <v>12802</v>
      </c>
      <c r="U4818" t="s">
        <v>12802</v>
      </c>
      <c r="V4818" t="s">
        <v>12802</v>
      </c>
      <c r="W4818" t="s">
        <v>17557</v>
      </c>
      <c r="X4818">
        <v>2</v>
      </c>
      <c r="Y4818" t="s">
        <v>23774</v>
      </c>
      <c r="Z4818" t="s">
        <v>30136</v>
      </c>
      <c r="AA4818">
        <v>0.35327986160738889</v>
      </c>
      <c r="AB4818" t="str">
        <f>HYPERLINK("Melting_Curves/meltCurve_Q96BT7_ALKBH8.pdf", "Melting_Curves/meltCurve_Q96BT7_ALKBH8.pdf")</f>
        <v>Melting_Curves/meltCurve_Q96BT7_ALKBH8.pdf</v>
      </c>
    </row>
    <row r="4819" spans="1:28" x14ac:dyDescent="0.25">
      <c r="A4819" t="s">
        <v>4823</v>
      </c>
      <c r="B4819">
        <v>0.99542014353169495</v>
      </c>
      <c r="C4819">
        <v>0.94391128935039303</v>
      </c>
      <c r="D4819">
        <v>0.96128809884403899</v>
      </c>
      <c r="E4819">
        <v>0.73006070953504998</v>
      </c>
      <c r="F4819">
        <v>0.54815484318593199</v>
      </c>
      <c r="G4819">
        <v>0.34693882356412697</v>
      </c>
      <c r="H4819">
        <v>0.28357796672969998</v>
      </c>
      <c r="I4819">
        <v>0.12576910427385701</v>
      </c>
      <c r="J4819">
        <v>0.12810610860030899</v>
      </c>
      <c r="K4819">
        <v>0.17436298876310999</v>
      </c>
      <c r="L4819">
        <v>689.84230329355398</v>
      </c>
      <c r="M4819">
        <v>13.807680058130099</v>
      </c>
      <c r="N4819">
        <v>50.884941591026902</v>
      </c>
      <c r="O4819">
        <v>48.947797721066998</v>
      </c>
      <c r="P4819">
        <v>-6.2710200730203294E-2</v>
      </c>
      <c r="Q4819">
        <v>0.110901318386147</v>
      </c>
      <c r="R4819">
        <v>0.99060725386061299</v>
      </c>
      <c r="S4819" t="s">
        <v>11221</v>
      </c>
      <c r="T4819" t="s">
        <v>12802</v>
      </c>
      <c r="U4819" t="s">
        <v>12802</v>
      </c>
      <c r="V4819" t="s">
        <v>12802</v>
      </c>
      <c r="W4819" t="s">
        <v>17558</v>
      </c>
      <c r="X4819">
        <v>2</v>
      </c>
      <c r="Y4819" t="s">
        <v>23775</v>
      </c>
      <c r="Z4819" t="s">
        <v>30137</v>
      </c>
      <c r="AA4819">
        <v>0.51591305918036123</v>
      </c>
      <c r="AB4819" t="str">
        <f>HYPERLINK("Melting_Curves/meltCurve_Q96BW1_3_UPRT.pdf", "Melting_Curves/meltCurve_Q96BW1_3_UPRT.pdf")</f>
        <v>Melting_Curves/meltCurve_Q96BW1_3_UPRT.pdf</v>
      </c>
    </row>
    <row r="4820" spans="1:28" x14ac:dyDescent="0.25">
      <c r="A4820" t="s">
        <v>4824</v>
      </c>
      <c r="B4820">
        <v>0.99542014353169495</v>
      </c>
      <c r="C4820">
        <v>0.94650130706429003</v>
      </c>
      <c r="D4820">
        <v>0.91803800249898104</v>
      </c>
      <c r="E4820">
        <v>0.94346175064096305</v>
      </c>
      <c r="F4820">
        <v>0.69456960027397896</v>
      </c>
      <c r="G4820">
        <v>0.57149536467380802</v>
      </c>
      <c r="H4820">
        <v>0.37769472309540603</v>
      </c>
      <c r="I4820">
        <v>0.33423161764602799</v>
      </c>
      <c r="J4820">
        <v>0.166012874952955</v>
      </c>
      <c r="K4820">
        <v>0.14310617150896901</v>
      </c>
      <c r="L4820">
        <v>563.27251602627302</v>
      </c>
      <c r="M4820">
        <v>10.2033204214323</v>
      </c>
      <c r="N4820">
        <v>55.221909945029203</v>
      </c>
      <c r="O4820">
        <v>53.210302490311499</v>
      </c>
      <c r="P4820">
        <v>-4.7884640029211598E-2</v>
      </c>
      <c r="Q4820">
        <v>1.57641487079898E-3</v>
      </c>
      <c r="R4820">
        <v>0.98593862204057603</v>
      </c>
      <c r="S4820" t="s">
        <v>11222</v>
      </c>
      <c r="T4820" t="s">
        <v>12802</v>
      </c>
      <c r="U4820" t="s">
        <v>12802</v>
      </c>
      <c r="V4820" t="s">
        <v>12802</v>
      </c>
      <c r="W4820" t="s">
        <v>17559</v>
      </c>
      <c r="X4820">
        <v>9</v>
      </c>
      <c r="Y4820" t="s">
        <v>23776</v>
      </c>
      <c r="Z4820" t="s">
        <v>30138</v>
      </c>
      <c r="AA4820">
        <v>0.61877353452178896</v>
      </c>
      <c r="AB4820" t="str">
        <f>HYPERLINK("Melting_Curves/meltCurve_Q96BW5_2_PTER.pdf", "Melting_Curves/meltCurve_Q96BW5_2_PTER.pdf")</f>
        <v>Melting_Curves/meltCurve_Q96BW5_2_PTER.pdf</v>
      </c>
    </row>
    <row r="4821" spans="1:28" x14ac:dyDescent="0.25">
      <c r="A4821" t="s">
        <v>4825</v>
      </c>
      <c r="B4821">
        <v>0.99542014353169495</v>
      </c>
      <c r="C4821">
        <v>1.3687717341890999</v>
      </c>
      <c r="D4821">
        <v>1.0650197392502101</v>
      </c>
      <c r="E4821">
        <v>0.99701768071907004</v>
      </c>
      <c r="F4821">
        <v>0.603875522968645</v>
      </c>
      <c r="G4821">
        <v>0.235755827598814</v>
      </c>
      <c r="H4821">
        <v>8.2354034643171106E-2</v>
      </c>
      <c r="I4821">
        <v>4.4346639999238303E-2</v>
      </c>
      <c r="J4821">
        <v>1.23697486051075E-2</v>
      </c>
      <c r="K4821">
        <v>3.7227475297096399E-2</v>
      </c>
      <c r="L4821">
        <v>1500.65936370244</v>
      </c>
      <c r="M4821">
        <v>29.398016864377201</v>
      </c>
      <c r="N4821">
        <v>51.173648952104202</v>
      </c>
      <c r="O4821">
        <v>50.811829221627796</v>
      </c>
      <c r="P4821">
        <v>-0.13953976383135999</v>
      </c>
      <c r="Q4821">
        <v>3.5279119139819799E-2</v>
      </c>
      <c r="R4821">
        <v>0.94067613163477204</v>
      </c>
      <c r="S4821" t="s">
        <v>11223</v>
      </c>
      <c r="T4821" t="s">
        <v>12802</v>
      </c>
      <c r="U4821" t="s">
        <v>12802</v>
      </c>
      <c r="V4821" t="s">
        <v>12802</v>
      </c>
      <c r="W4821" t="s">
        <v>17560</v>
      </c>
      <c r="X4821">
        <v>1</v>
      </c>
      <c r="Y4821" t="s">
        <v>23777</v>
      </c>
      <c r="Z4821" t="s">
        <v>30139</v>
      </c>
      <c r="AA4821">
        <v>0.49322644390063508</v>
      </c>
      <c r="AB4821" t="str">
        <f>HYPERLINK("Melting_Curves/meltCurve_Q96BX8_MOB3A.pdf", "Melting_Curves/meltCurve_Q96BX8_MOB3A.pdf")</f>
        <v>Melting_Curves/meltCurve_Q96BX8_MOB3A.pdf</v>
      </c>
    </row>
    <row r="4822" spans="1:28" x14ac:dyDescent="0.25">
      <c r="A4822" t="s">
        <v>4826</v>
      </c>
      <c r="B4822">
        <v>0.99542014353169495</v>
      </c>
      <c r="C4822">
        <v>1.04170173699906</v>
      </c>
      <c r="D4822">
        <v>0.73755215443884803</v>
      </c>
      <c r="E4822">
        <v>0.67909225879118695</v>
      </c>
      <c r="F4822">
        <v>0.54988512679698598</v>
      </c>
      <c r="G4822">
        <v>0.29739682771090697</v>
      </c>
      <c r="H4822">
        <v>0.147941515093442</v>
      </c>
      <c r="I4822">
        <v>4.23075217399339E-2</v>
      </c>
      <c r="J4822">
        <v>4.1727600582054797E-2</v>
      </c>
      <c r="K4822">
        <v>5.7295184752087197E-2</v>
      </c>
      <c r="L4822">
        <v>588.779508756106</v>
      </c>
      <c r="M4822">
        <v>11.843761144326701</v>
      </c>
      <c r="N4822">
        <v>49.712222694869098</v>
      </c>
      <c r="O4822">
        <v>48.3585281870674</v>
      </c>
      <c r="P4822">
        <v>-6.1244448429535199E-2</v>
      </c>
      <c r="Q4822">
        <v>0</v>
      </c>
      <c r="R4822">
        <v>0.97435076676358501</v>
      </c>
      <c r="S4822" t="s">
        <v>11224</v>
      </c>
      <c r="T4822" t="s">
        <v>12802</v>
      </c>
      <c r="U4822" t="s">
        <v>12802</v>
      </c>
      <c r="V4822" t="s">
        <v>12802</v>
      </c>
      <c r="W4822" t="s">
        <v>17561</v>
      </c>
      <c r="X4822">
        <v>5</v>
      </c>
      <c r="Y4822" t="s">
        <v>23778</v>
      </c>
      <c r="Z4822" t="s">
        <v>30140</v>
      </c>
      <c r="AA4822">
        <v>0.4527042459154324</v>
      </c>
      <c r="AB4822" t="str">
        <f>HYPERLINK("Melting_Curves/meltCurve_Q96BY7_ATG2B.pdf", "Melting_Curves/meltCurve_Q96BY7_ATG2B.pdf")</f>
        <v>Melting_Curves/meltCurve_Q96BY7_ATG2B.pdf</v>
      </c>
    </row>
    <row r="4823" spans="1:28" x14ac:dyDescent="0.25">
      <c r="A4823" t="s">
        <v>4827</v>
      </c>
      <c r="B4823">
        <v>0.99542014353169495</v>
      </c>
      <c r="C4823">
        <v>1.0896433829480401</v>
      </c>
      <c r="D4823">
        <v>1.00983735071504</v>
      </c>
      <c r="E4823">
        <v>0.87374879742300904</v>
      </c>
      <c r="F4823">
        <v>0.76613179821913902</v>
      </c>
      <c r="G4823">
        <v>0.60065475674374103</v>
      </c>
      <c r="H4823">
        <v>0.40376129947227901</v>
      </c>
      <c r="I4823">
        <v>0.42888879564111698</v>
      </c>
      <c r="J4823">
        <v>0.69330052743502601</v>
      </c>
      <c r="K4823">
        <v>0.98793512553194596</v>
      </c>
      <c r="L4823">
        <v>1469.87823474532</v>
      </c>
      <c r="M4823">
        <v>30.4415055157741</v>
      </c>
      <c r="O4823">
        <v>48.078398426246302</v>
      </c>
      <c r="P4823">
        <v>-5.9208234574896698E-2</v>
      </c>
      <c r="Q4823">
        <v>0.62595547752320801</v>
      </c>
      <c r="R4823">
        <v>0.56644483374704302</v>
      </c>
      <c r="S4823" t="s">
        <v>11225</v>
      </c>
      <c r="T4823" t="s">
        <v>12802</v>
      </c>
      <c r="U4823" t="s">
        <v>12802</v>
      </c>
      <c r="V4823" t="s">
        <v>12802</v>
      </c>
      <c r="W4823" t="s">
        <v>17562</v>
      </c>
      <c r="X4823">
        <v>10</v>
      </c>
      <c r="Y4823" t="s">
        <v>23779</v>
      </c>
      <c r="Z4823" t="s">
        <v>30141</v>
      </c>
      <c r="AA4823">
        <v>0.76882549772361153</v>
      </c>
      <c r="AB4823" t="str">
        <f>HYPERLINK("Melting_Curves/meltCurve_Q96BZ8_LENG1.pdf", "Melting_Curves/meltCurve_Q96BZ8_LENG1.pdf")</f>
        <v>Melting_Curves/meltCurve_Q96BZ8_LENG1.pdf</v>
      </c>
    </row>
    <row r="4824" spans="1:28" x14ac:dyDescent="0.25">
      <c r="A4824" t="s">
        <v>4828</v>
      </c>
      <c r="B4824">
        <v>0.99542014353169495</v>
      </c>
      <c r="C4824">
        <v>0.92884457164002499</v>
      </c>
      <c r="D4824">
        <v>0.84535180289963696</v>
      </c>
      <c r="E4824">
        <v>0.80633435165062795</v>
      </c>
      <c r="F4824">
        <v>0.55395471249291295</v>
      </c>
      <c r="G4824">
        <v>0.20098962869204801</v>
      </c>
      <c r="H4824">
        <v>9.7837242626963403E-2</v>
      </c>
      <c r="I4824">
        <v>7.8079488975395295E-2</v>
      </c>
      <c r="J4824">
        <v>2.5763577151290601E-2</v>
      </c>
      <c r="K4824">
        <v>0.10637505224014</v>
      </c>
      <c r="L4824">
        <v>866.12888400233203</v>
      </c>
      <c r="M4824">
        <v>17.325169529756899</v>
      </c>
      <c r="N4824">
        <v>50.188181003006598</v>
      </c>
      <c r="O4824">
        <v>49.340741521308502</v>
      </c>
      <c r="P4824">
        <v>-8.4921525385261501E-2</v>
      </c>
      <c r="Q4824">
        <v>3.2655798651892803E-2</v>
      </c>
      <c r="R4824">
        <v>0.98266189226907696</v>
      </c>
      <c r="S4824" t="s">
        <v>11226</v>
      </c>
      <c r="T4824" t="s">
        <v>12802</v>
      </c>
      <c r="U4824" t="s">
        <v>12802</v>
      </c>
      <c r="V4824" t="s">
        <v>12802</v>
      </c>
      <c r="W4824" t="s">
        <v>17563</v>
      </c>
      <c r="X4824">
        <v>3</v>
      </c>
      <c r="Y4824" t="s">
        <v>23780</v>
      </c>
      <c r="Z4824" t="s">
        <v>30142</v>
      </c>
      <c r="AA4824">
        <v>0.46781870438566098</v>
      </c>
      <c r="AB4824" t="str">
        <f>HYPERLINK("Melting_Curves/meltCurve_Q96BZ9_TBC1D20.pdf", "Melting_Curves/meltCurve_Q96BZ9_TBC1D20.pdf")</f>
        <v>Melting_Curves/meltCurve_Q96BZ9_TBC1D20.pdf</v>
      </c>
    </row>
    <row r="4825" spans="1:28" x14ac:dyDescent="0.25">
      <c r="A4825" t="s">
        <v>4829</v>
      </c>
      <c r="B4825">
        <v>0.99542014353169495</v>
      </c>
      <c r="C4825">
        <v>0.99717341276165705</v>
      </c>
      <c r="D4825">
        <v>1.0229388924705001</v>
      </c>
      <c r="E4825">
        <v>1.0064501819957501</v>
      </c>
      <c r="F4825">
        <v>0.838634023765225</v>
      </c>
      <c r="G4825">
        <v>0.70268577350795003</v>
      </c>
      <c r="H4825">
        <v>0.40130328550587602</v>
      </c>
      <c r="I4825">
        <v>0.357114953966092</v>
      </c>
      <c r="J4825">
        <v>0.41619821022652498</v>
      </c>
      <c r="K4825">
        <v>0.51634956759677897</v>
      </c>
      <c r="L4825">
        <v>1493.9927470868499</v>
      </c>
      <c r="M4825">
        <v>28.244055478719599</v>
      </c>
      <c r="N4825">
        <v>56.389718000591799</v>
      </c>
      <c r="O4825">
        <v>52.632792254639199</v>
      </c>
      <c r="P4825">
        <v>-7.8735259361201404E-2</v>
      </c>
      <c r="Q4825">
        <v>0.41311229415357398</v>
      </c>
      <c r="R4825">
        <v>0.96010761707428804</v>
      </c>
      <c r="S4825" t="s">
        <v>11227</v>
      </c>
      <c r="T4825" t="s">
        <v>12802</v>
      </c>
      <c r="U4825" t="s">
        <v>12802</v>
      </c>
      <c r="V4825" t="s">
        <v>12802</v>
      </c>
      <c r="W4825" t="s">
        <v>17564</v>
      </c>
      <c r="X4825">
        <v>15</v>
      </c>
      <c r="Y4825" t="s">
        <v>23781</v>
      </c>
      <c r="Z4825" t="s">
        <v>30143</v>
      </c>
      <c r="AA4825">
        <v>0.72825616806726545</v>
      </c>
      <c r="AB4825" t="str">
        <f>HYPERLINK("Melting_Curves/meltCurve_Q96C01_FAM136A.pdf", "Melting_Curves/meltCurve_Q96C01_FAM136A.pdf")</f>
        <v>Melting_Curves/meltCurve_Q96C01_FAM136A.pdf</v>
      </c>
    </row>
    <row r="4826" spans="1:28" x14ac:dyDescent="0.25">
      <c r="A4826" t="s">
        <v>4830</v>
      </c>
      <c r="B4826">
        <v>0.99542014353169495</v>
      </c>
      <c r="C4826">
        <v>1.04018064668184</v>
      </c>
      <c r="D4826">
        <v>1.0077858852703301</v>
      </c>
      <c r="E4826">
        <v>0.95736619665903999</v>
      </c>
      <c r="F4826">
        <v>0.73223813670779303</v>
      </c>
      <c r="G4826">
        <v>0.32163316901536498</v>
      </c>
      <c r="H4826">
        <v>0.182424302170309</v>
      </c>
      <c r="I4826">
        <v>0.110204264215032</v>
      </c>
      <c r="J4826">
        <v>0.14019239154980601</v>
      </c>
      <c r="K4826">
        <v>0.173407519824652</v>
      </c>
      <c r="L4826">
        <v>1573.9385176983101</v>
      </c>
      <c r="M4826">
        <v>30.5703328280417</v>
      </c>
      <c r="N4826">
        <v>52.045919425322502</v>
      </c>
      <c r="O4826">
        <v>51.2670075782287</v>
      </c>
      <c r="P4826">
        <v>-0.12817838588494501</v>
      </c>
      <c r="Q4826">
        <v>0.14017520490615101</v>
      </c>
      <c r="R4826">
        <v>0.99718413913846105</v>
      </c>
      <c r="S4826" t="s">
        <v>11228</v>
      </c>
      <c r="T4826" t="s">
        <v>12802</v>
      </c>
      <c r="U4826" t="s">
        <v>12802</v>
      </c>
      <c r="V4826" t="s">
        <v>12802</v>
      </c>
      <c r="W4826" t="s">
        <v>17565</v>
      </c>
      <c r="X4826">
        <v>20</v>
      </c>
      <c r="Y4826" t="s">
        <v>23782</v>
      </c>
      <c r="Z4826" t="s">
        <v>30144</v>
      </c>
      <c r="AA4826">
        <v>0.56054932628755183</v>
      </c>
      <c r="AB4826" t="str">
        <f>HYPERLINK("Melting_Curves/meltCurve_Q96C19_EFHD2.pdf", "Melting_Curves/meltCurve_Q96C19_EFHD2.pdf")</f>
        <v>Melting_Curves/meltCurve_Q96C19_EFHD2.pdf</v>
      </c>
    </row>
    <row r="4827" spans="1:28" x14ac:dyDescent="0.25">
      <c r="A4827" t="s">
        <v>4831</v>
      </c>
      <c r="B4827">
        <v>0.99542014353169495</v>
      </c>
      <c r="C4827">
        <v>1.0094847900417401</v>
      </c>
      <c r="D4827">
        <v>0.92105551126994401</v>
      </c>
      <c r="E4827">
        <v>0.82636282911846104</v>
      </c>
      <c r="F4827">
        <v>0.517883925935262</v>
      </c>
      <c r="G4827">
        <v>0.20596947638871599</v>
      </c>
      <c r="H4827">
        <v>6.2163377200342297E-2</v>
      </c>
      <c r="I4827">
        <v>3.7357198159880298E-2</v>
      </c>
      <c r="J4827">
        <v>3.6047486622468601E-2</v>
      </c>
      <c r="K4827">
        <v>4.3492034008267497E-2</v>
      </c>
      <c r="L4827">
        <v>1025.97266254225</v>
      </c>
      <c r="M4827">
        <v>20.469159054091101</v>
      </c>
      <c r="N4827">
        <v>50.213182688042103</v>
      </c>
      <c r="O4827">
        <v>49.651815354877399</v>
      </c>
      <c r="P4827">
        <v>-0.101203500813061</v>
      </c>
      <c r="Q4827">
        <v>1.80762607265584E-2</v>
      </c>
      <c r="R4827">
        <v>0.99775429490890499</v>
      </c>
      <c r="S4827" t="s">
        <v>11229</v>
      </c>
      <c r="T4827" t="s">
        <v>12802</v>
      </c>
      <c r="U4827" t="s">
        <v>12802</v>
      </c>
      <c r="V4827" t="s">
        <v>12802</v>
      </c>
      <c r="W4827" t="s">
        <v>17566</v>
      </c>
      <c r="X4827">
        <v>8</v>
      </c>
      <c r="Y4827" t="s">
        <v>23783</v>
      </c>
      <c r="Z4827" t="s">
        <v>30145</v>
      </c>
      <c r="AA4827">
        <v>0.46000953469220762</v>
      </c>
      <c r="AB4827" t="str">
        <f>HYPERLINK("Melting_Curves/meltCurve_Q96C23_GALM.pdf", "Melting_Curves/meltCurve_Q96C23_GALM.pdf")</f>
        <v>Melting_Curves/meltCurve_Q96C23_GALM.pdf</v>
      </c>
    </row>
    <row r="4828" spans="1:28" x14ac:dyDescent="0.25">
      <c r="A4828" t="s">
        <v>4832</v>
      </c>
      <c r="B4828">
        <v>0.99542014353169495</v>
      </c>
      <c r="C4828">
        <v>0.92582969485479905</v>
      </c>
      <c r="D4828">
        <v>0.985439957395015</v>
      </c>
      <c r="E4828">
        <v>0.81204915682650103</v>
      </c>
      <c r="F4828">
        <v>0.73307526942781698</v>
      </c>
      <c r="G4828">
        <v>0.56314170743452097</v>
      </c>
      <c r="H4828">
        <v>0.35455487308884698</v>
      </c>
      <c r="I4828">
        <v>0.30951258572636797</v>
      </c>
      <c r="J4828">
        <v>0.260568527927869</v>
      </c>
      <c r="K4828">
        <v>0.234820135305601</v>
      </c>
      <c r="L4828">
        <v>616.48898090428304</v>
      </c>
      <c r="M4828">
        <v>11.661870275816399</v>
      </c>
      <c r="N4828">
        <v>54.671893852330001</v>
      </c>
      <c r="O4828">
        <v>51.380980281117303</v>
      </c>
      <c r="P4828">
        <v>-4.7675300685144903E-2</v>
      </c>
      <c r="Q4828">
        <v>0.16001661469612499</v>
      </c>
      <c r="R4828">
        <v>0.98845944863753599</v>
      </c>
      <c r="S4828" t="s">
        <v>11230</v>
      </c>
      <c r="T4828" t="s">
        <v>12802</v>
      </c>
      <c r="U4828" t="s">
        <v>12802</v>
      </c>
      <c r="V4828" t="s">
        <v>12802</v>
      </c>
      <c r="W4828" t="s">
        <v>17567</v>
      </c>
      <c r="X4828">
        <v>14</v>
      </c>
      <c r="Y4828" t="s">
        <v>23784</v>
      </c>
      <c r="Z4828" t="s">
        <v>30146</v>
      </c>
      <c r="AA4828">
        <v>0.62250188417078933</v>
      </c>
      <c r="AB4828" t="str">
        <f>HYPERLINK("Melting_Curves/meltCurve_Q96C36_PYCR2.pdf", "Melting_Curves/meltCurve_Q96C36_PYCR2.pdf")</f>
        <v>Melting_Curves/meltCurve_Q96C36_PYCR2.pdf</v>
      </c>
    </row>
    <row r="4829" spans="1:28" x14ac:dyDescent="0.25">
      <c r="A4829" t="s">
        <v>4833</v>
      </c>
      <c r="B4829">
        <v>0.99542014353169495</v>
      </c>
      <c r="C4829">
        <v>1.01607397719949</v>
      </c>
      <c r="D4829">
        <v>0.95282618930116303</v>
      </c>
      <c r="E4829">
        <v>0.88322765628122402</v>
      </c>
      <c r="F4829">
        <v>1.3179715485963901</v>
      </c>
      <c r="G4829">
        <v>1.0261976973376701</v>
      </c>
      <c r="H4829">
        <v>0.72073279883018404</v>
      </c>
      <c r="I4829">
        <v>0.603554821732872</v>
      </c>
      <c r="J4829">
        <v>0.82514750770670497</v>
      </c>
      <c r="K4829">
        <v>1.0033684450501601</v>
      </c>
      <c r="L4829">
        <v>5772.15262100983</v>
      </c>
      <c r="M4829">
        <v>104.286009547262</v>
      </c>
      <c r="O4829">
        <v>55.3289080023049</v>
      </c>
      <c r="P4829">
        <v>-9.9982971333058904E-2</v>
      </c>
      <c r="Q4829">
        <v>0.78781628272798099</v>
      </c>
      <c r="R4829">
        <v>0.39664247648592299</v>
      </c>
      <c r="S4829" t="s">
        <v>11231</v>
      </c>
      <c r="T4829" t="s">
        <v>12802</v>
      </c>
      <c r="U4829" t="s">
        <v>12802</v>
      </c>
      <c r="V4829" t="s">
        <v>12802</v>
      </c>
      <c r="W4829" t="s">
        <v>17568</v>
      </c>
      <c r="X4829">
        <v>13</v>
      </c>
      <c r="Y4829" t="s">
        <v>23785</v>
      </c>
      <c r="Z4829" t="s">
        <v>30147</v>
      </c>
      <c r="AA4829">
        <v>0.91771527111790685</v>
      </c>
      <c r="AB4829" t="str">
        <f>HYPERLINK("Melting_Curves/meltCurve_Q96C57_C12orf43.pdf", "Melting_Curves/meltCurve_Q96C57_C12orf43.pdf")</f>
        <v>Melting_Curves/meltCurve_Q96C57_C12orf43.pdf</v>
      </c>
    </row>
    <row r="4830" spans="1:28" x14ac:dyDescent="0.25">
      <c r="A4830" t="s">
        <v>4834</v>
      </c>
      <c r="B4830">
        <v>0.99542014353169495</v>
      </c>
      <c r="C4830">
        <v>1.0279863426822899</v>
      </c>
      <c r="D4830">
        <v>0.99387453540033799</v>
      </c>
      <c r="E4830">
        <v>0.88361370661210703</v>
      </c>
      <c r="F4830">
        <v>0.78374578250197902</v>
      </c>
      <c r="G4830">
        <v>0.61133241068670197</v>
      </c>
      <c r="H4830">
        <v>0.42248150475581697</v>
      </c>
      <c r="I4830">
        <v>0.29957059161558097</v>
      </c>
      <c r="J4830">
        <v>0.17921795671181101</v>
      </c>
      <c r="K4830">
        <v>0.14135873846720801</v>
      </c>
      <c r="L4830">
        <v>637.02101124307706</v>
      </c>
      <c r="M4830">
        <v>11.412988422405601</v>
      </c>
      <c r="N4830">
        <v>55.914191964320402</v>
      </c>
      <c r="O4830">
        <v>54.184268206065099</v>
      </c>
      <c r="P4830">
        <v>-5.2148082571925401E-2</v>
      </c>
      <c r="Q4830">
        <v>9.9771789164638004E-3</v>
      </c>
      <c r="R4830">
        <v>0.99709083850227698</v>
      </c>
      <c r="S4830" t="s">
        <v>11232</v>
      </c>
      <c r="T4830" t="s">
        <v>12802</v>
      </c>
      <c r="U4830" t="s">
        <v>12802</v>
      </c>
      <c r="V4830" t="s">
        <v>12802</v>
      </c>
      <c r="W4830" t="s">
        <v>17569</v>
      </c>
      <c r="X4830">
        <v>15</v>
      </c>
      <c r="Y4830" t="s">
        <v>23786</v>
      </c>
      <c r="Z4830" t="s">
        <v>30148</v>
      </c>
      <c r="AA4830">
        <v>0.64074383035194549</v>
      </c>
      <c r="AB4830" t="str">
        <f>HYPERLINK("Melting_Curves/meltCurve_Q96C86_DCPS.pdf", "Melting_Curves/meltCurve_Q96C86_DCPS.pdf")</f>
        <v>Melting_Curves/meltCurve_Q96C86_DCPS.pdf</v>
      </c>
    </row>
    <row r="4831" spans="1:28" x14ac:dyDescent="0.25">
      <c r="A4831" t="s">
        <v>4835</v>
      </c>
      <c r="B4831">
        <v>0.99542014353169495</v>
      </c>
      <c r="C4831">
        <v>1.1243075762777299</v>
      </c>
      <c r="D4831">
        <v>1.1179891751109601</v>
      </c>
      <c r="E4831">
        <v>1.06977892787787</v>
      </c>
      <c r="F4831">
        <v>0.94879853628014199</v>
      </c>
      <c r="G4831">
        <v>0.80426599528093401</v>
      </c>
      <c r="H4831">
        <v>0.64963651680767398</v>
      </c>
      <c r="I4831">
        <v>0.52649722875959803</v>
      </c>
      <c r="J4831">
        <v>0.70940966443267195</v>
      </c>
      <c r="K4831">
        <v>0.84722031841442802</v>
      </c>
      <c r="L4831">
        <v>2434.3216650969898</v>
      </c>
      <c r="M4831">
        <v>45.9307975566594</v>
      </c>
      <c r="O4831">
        <v>52.899615003453903</v>
      </c>
      <c r="P4831">
        <v>-6.8793764367857904E-2</v>
      </c>
      <c r="Q4831">
        <v>0.68307470271293802</v>
      </c>
      <c r="R4831">
        <v>0.76694886613875701</v>
      </c>
      <c r="S4831" t="s">
        <v>11233</v>
      </c>
      <c r="T4831" t="s">
        <v>12802</v>
      </c>
      <c r="U4831" t="s">
        <v>12802</v>
      </c>
      <c r="V4831" t="s">
        <v>12802</v>
      </c>
      <c r="W4831" t="s">
        <v>17570</v>
      </c>
      <c r="X4831">
        <v>5</v>
      </c>
      <c r="Y4831" t="s">
        <v>23787</v>
      </c>
      <c r="Z4831" t="s">
        <v>30149</v>
      </c>
      <c r="AA4831">
        <v>0.85297662483856385</v>
      </c>
      <c r="AB4831" t="str">
        <f>HYPERLINK("Melting_Curves/meltCurve_Q96C90_PPP1R14B.pdf", "Melting_Curves/meltCurve_Q96C90_PPP1R14B.pdf")</f>
        <v>Melting_Curves/meltCurve_Q96C90_PPP1R14B.pdf</v>
      </c>
    </row>
    <row r="4832" spans="1:28" x14ac:dyDescent="0.25">
      <c r="A4832" t="s">
        <v>4836</v>
      </c>
      <c r="B4832">
        <v>0.99542014353169495</v>
      </c>
      <c r="C4832">
        <v>0.97841338390729904</v>
      </c>
      <c r="D4832">
        <v>0.91000042051796504</v>
      </c>
      <c r="E4832">
        <v>0.79863742611944299</v>
      </c>
      <c r="F4832">
        <v>0.55104794603333396</v>
      </c>
      <c r="G4832">
        <v>0.22754468000599301</v>
      </c>
      <c r="H4832">
        <v>0.13192683505428399</v>
      </c>
      <c r="I4832">
        <v>8.6551868926041997E-2</v>
      </c>
      <c r="J4832">
        <v>0.10093921497713799</v>
      </c>
      <c r="K4832">
        <v>7.5327097419945005E-2</v>
      </c>
      <c r="L4832">
        <v>915.79577736580302</v>
      </c>
      <c r="M4832">
        <v>18.320099628751901</v>
      </c>
      <c r="N4832">
        <v>50.348376652605502</v>
      </c>
      <c r="O4832">
        <v>49.404383332999899</v>
      </c>
      <c r="P4832">
        <v>-8.7020964734772194E-2</v>
      </c>
      <c r="Q4832">
        <v>6.1354586976593802E-2</v>
      </c>
      <c r="R4832">
        <v>0.99612783256771298</v>
      </c>
      <c r="S4832" t="s">
        <v>11234</v>
      </c>
      <c r="T4832" t="s">
        <v>12802</v>
      </c>
      <c r="U4832" t="s">
        <v>12802</v>
      </c>
      <c r="V4832" t="s">
        <v>12802</v>
      </c>
      <c r="W4832" t="s">
        <v>17571</v>
      </c>
      <c r="X4832">
        <v>6</v>
      </c>
      <c r="Y4832" t="s">
        <v>23788</v>
      </c>
      <c r="Z4832" t="s">
        <v>30150</v>
      </c>
      <c r="AA4832">
        <v>0.48210706488503319</v>
      </c>
      <c r="AB4832" t="str">
        <f>HYPERLINK("Melting_Curves/meltCurve_Q96CB9_4_NSUN4.pdf", "Melting_Curves/meltCurve_Q96CB9_4_NSUN4.pdf")</f>
        <v>Melting_Curves/meltCurve_Q96CB9_4_NSUN4.pdf</v>
      </c>
    </row>
    <row r="4833" spans="1:28" x14ac:dyDescent="0.25">
      <c r="A4833" t="s">
        <v>4837</v>
      </c>
      <c r="B4833">
        <v>0.99542014353169495</v>
      </c>
      <c r="C4833">
        <v>1.0480727300636099</v>
      </c>
      <c r="D4833">
        <v>0.90377173275073996</v>
      </c>
      <c r="E4833">
        <v>0.88063424530539902</v>
      </c>
      <c r="F4833">
        <v>0.77331769478732104</v>
      </c>
      <c r="G4833">
        <v>0.63007567179163704</v>
      </c>
      <c r="H4833">
        <v>0.40056599136564103</v>
      </c>
      <c r="I4833">
        <v>0.32141701486374402</v>
      </c>
      <c r="J4833">
        <v>0.57085357877596299</v>
      </c>
      <c r="K4833">
        <v>0.642351956106471</v>
      </c>
      <c r="L4833">
        <v>1074.5422003465901</v>
      </c>
      <c r="M4833">
        <v>21.435567963438</v>
      </c>
      <c r="N4833">
        <v>60.107720691187303</v>
      </c>
      <c r="O4833">
        <v>49.698769531013198</v>
      </c>
      <c r="P4833">
        <v>-5.5450454486199098E-2</v>
      </c>
      <c r="Q4833">
        <v>0.48576101882823502</v>
      </c>
      <c r="R4833">
        <v>0.83681515045594201</v>
      </c>
      <c r="S4833" t="s">
        <v>11235</v>
      </c>
      <c r="T4833" t="s">
        <v>12802</v>
      </c>
      <c r="U4833" t="s">
        <v>12802</v>
      </c>
      <c r="V4833" t="s">
        <v>12802</v>
      </c>
      <c r="W4833" t="s">
        <v>17572</v>
      </c>
      <c r="X4833">
        <v>4</v>
      </c>
      <c r="Y4833" t="s">
        <v>23789</v>
      </c>
      <c r="Z4833" t="s">
        <v>30151</v>
      </c>
      <c r="AA4833">
        <v>0.71679582405766662</v>
      </c>
      <c r="AB4833" t="str">
        <f>HYPERLINK("Melting_Curves/meltCurve_Q96CF2_CHMP4C.pdf", "Melting_Curves/meltCurve_Q96CF2_CHMP4C.pdf")</f>
        <v>Melting_Curves/meltCurve_Q96CF2_CHMP4C.pdf</v>
      </c>
    </row>
    <row r="4834" spans="1:28" x14ac:dyDescent="0.25">
      <c r="A4834" t="s">
        <v>4838</v>
      </c>
      <c r="B4834">
        <v>0.99542014353169495</v>
      </c>
      <c r="C4834">
        <v>0.89188111529477698</v>
      </c>
      <c r="D4834">
        <v>1.0048897057986099</v>
      </c>
      <c r="E4834">
        <v>0.79552700815288302</v>
      </c>
      <c r="F4834">
        <v>0.72836805932771498</v>
      </c>
      <c r="G4834">
        <v>0.36022993400251202</v>
      </c>
      <c r="H4834">
        <v>0.42880136937038799</v>
      </c>
      <c r="I4834">
        <v>0.17147440971853201</v>
      </c>
      <c r="J4834">
        <v>9.5391770111994498E-2</v>
      </c>
      <c r="K4834">
        <v>0.12709440565053901</v>
      </c>
      <c r="L4834">
        <v>593.26692608272106</v>
      </c>
      <c r="M4834">
        <v>11.144362954858201</v>
      </c>
      <c r="N4834">
        <v>53.314354113530797</v>
      </c>
      <c r="O4834">
        <v>51.606883488626799</v>
      </c>
      <c r="P4834">
        <v>-5.3558334407531001E-2</v>
      </c>
      <c r="Q4834">
        <v>8.2549160248146201E-3</v>
      </c>
      <c r="R4834">
        <v>0.96030492279520296</v>
      </c>
      <c r="S4834" t="s">
        <v>11236</v>
      </c>
      <c r="T4834" t="s">
        <v>12802</v>
      </c>
      <c r="U4834" t="s">
        <v>12802</v>
      </c>
      <c r="V4834" t="s">
        <v>12802</v>
      </c>
      <c r="W4834" t="s">
        <v>17573</v>
      </c>
      <c r="X4834">
        <v>1</v>
      </c>
      <c r="Y4834" t="s">
        <v>23790</v>
      </c>
      <c r="Z4834" t="s">
        <v>30152</v>
      </c>
      <c r="AA4834">
        <v>0.56571788131550405</v>
      </c>
      <c r="AB4834" t="str">
        <f>HYPERLINK("Melting_Curves/meltCurve_Q96CM3_2_RPUSD4.pdf", "Melting_Curves/meltCurve_Q96CM3_2_RPUSD4.pdf")</f>
        <v>Melting_Curves/meltCurve_Q96CM3_2_RPUSD4.pdf</v>
      </c>
    </row>
    <row r="4835" spans="1:28" x14ac:dyDescent="0.25">
      <c r="A4835" t="s">
        <v>4839</v>
      </c>
      <c r="B4835">
        <v>0.99542014353169495</v>
      </c>
      <c r="C4835">
        <v>1.0047170746345699</v>
      </c>
      <c r="D4835">
        <v>0.95151515764376005</v>
      </c>
      <c r="E4835">
        <v>0.90698285165179504</v>
      </c>
      <c r="F4835">
        <v>0.78248067723877501</v>
      </c>
      <c r="G4835">
        <v>0.72057213437576895</v>
      </c>
      <c r="H4835">
        <v>0.39207980000818199</v>
      </c>
      <c r="I4835">
        <v>7.2356067508293501E-2</v>
      </c>
      <c r="J4835">
        <v>4.0859356224578397E-2</v>
      </c>
      <c r="K4835">
        <v>3.6135416862564801E-2</v>
      </c>
      <c r="L4835">
        <v>1057.9611727782001</v>
      </c>
      <c r="M4835">
        <v>19.0437433891592</v>
      </c>
      <c r="N4835">
        <v>55.554267471845201</v>
      </c>
      <c r="O4835">
        <v>54.952543643165299</v>
      </c>
      <c r="P4835">
        <v>-8.6640619991680101E-2</v>
      </c>
      <c r="Q4835">
        <v>0</v>
      </c>
      <c r="R4835">
        <v>0.97962639459287604</v>
      </c>
      <c r="S4835" t="s">
        <v>11237</v>
      </c>
      <c r="T4835" t="s">
        <v>12802</v>
      </c>
      <c r="U4835" t="s">
        <v>12802</v>
      </c>
      <c r="V4835" t="s">
        <v>12802</v>
      </c>
      <c r="W4835" t="s">
        <v>17574</v>
      </c>
      <c r="X4835">
        <v>10</v>
      </c>
      <c r="Y4835" t="s">
        <v>23791</v>
      </c>
      <c r="Z4835" t="s">
        <v>30153</v>
      </c>
      <c r="AA4835">
        <v>0.62975248356828639</v>
      </c>
      <c r="AB4835" t="str">
        <f>HYPERLINK("Melting_Curves/meltCurve_Q96CN7_ISOC1.pdf", "Melting_Curves/meltCurve_Q96CN7_ISOC1.pdf")</f>
        <v>Melting_Curves/meltCurve_Q96CN7_ISOC1.pdf</v>
      </c>
    </row>
    <row r="4836" spans="1:28" x14ac:dyDescent="0.25">
      <c r="A4836" t="s">
        <v>4840</v>
      </c>
      <c r="B4836">
        <v>0.99542014353169495</v>
      </c>
      <c r="C4836">
        <v>1.0440017134125701</v>
      </c>
      <c r="D4836">
        <v>0.73470974764651598</v>
      </c>
      <c r="E4836">
        <v>0.28749615345275198</v>
      </c>
      <c r="F4836">
        <v>0.21164902269791899</v>
      </c>
      <c r="G4836">
        <v>0.109084446715284</v>
      </c>
      <c r="H4836">
        <v>6.9515542862338395E-2</v>
      </c>
      <c r="I4836">
        <v>3.1182788602513001E-2</v>
      </c>
      <c r="J4836">
        <v>3.0666427512281599E-2</v>
      </c>
      <c r="K4836">
        <v>4.0500261108600798E-2</v>
      </c>
      <c r="L4836">
        <v>1098.55758836565</v>
      </c>
      <c r="M4836">
        <v>24.538503230799499</v>
      </c>
      <c r="N4836">
        <v>45.0164424491945</v>
      </c>
      <c r="O4836">
        <v>44.474584319512999</v>
      </c>
      <c r="P4836">
        <v>-0.129226142310361</v>
      </c>
      <c r="Q4836">
        <v>6.3154698208806703E-2</v>
      </c>
      <c r="R4836">
        <v>0.986368588010748</v>
      </c>
      <c r="S4836" t="s">
        <v>11238</v>
      </c>
      <c r="T4836" t="s">
        <v>12802</v>
      </c>
      <c r="U4836" t="s">
        <v>12802</v>
      </c>
      <c r="V4836" t="s">
        <v>12802</v>
      </c>
      <c r="W4836" t="s">
        <v>17575</v>
      </c>
      <c r="X4836">
        <v>8</v>
      </c>
      <c r="Y4836" t="s">
        <v>23792</v>
      </c>
      <c r="Z4836" t="s">
        <v>30154</v>
      </c>
      <c r="AA4836">
        <v>0.31374968825479138</v>
      </c>
      <c r="AB4836" t="str">
        <f>HYPERLINK("Melting_Curves/meltCurve_Q96CN9_GCC1.pdf", "Melting_Curves/meltCurve_Q96CN9_GCC1.pdf")</f>
        <v>Melting_Curves/meltCurve_Q96CN9_GCC1.pdf</v>
      </c>
    </row>
    <row r="4837" spans="1:28" x14ac:dyDescent="0.25">
      <c r="A4837" t="s">
        <v>4841</v>
      </c>
      <c r="B4837">
        <v>0.99542014353169495</v>
      </c>
      <c r="C4837">
        <v>1.04858820748957</v>
      </c>
      <c r="D4837">
        <v>1.07416397532459</v>
      </c>
      <c r="E4837">
        <v>1.04156644075223</v>
      </c>
      <c r="F4837">
        <v>0.84651764645824801</v>
      </c>
      <c r="G4837">
        <v>0.68327480162737098</v>
      </c>
      <c r="H4837">
        <v>0.49866992406026101</v>
      </c>
      <c r="I4837">
        <v>0.41995291282277097</v>
      </c>
      <c r="J4837">
        <v>0.62732919688120903</v>
      </c>
      <c r="K4837">
        <v>0.69856993336240503</v>
      </c>
      <c r="L4837">
        <v>1834.6248176235899</v>
      </c>
      <c r="M4837">
        <v>35.682371426298403</v>
      </c>
      <c r="O4837">
        <v>51.254755387259202</v>
      </c>
      <c r="P4837">
        <v>-7.55229271011435E-2</v>
      </c>
      <c r="Q4837">
        <v>0.56607185182170805</v>
      </c>
      <c r="R4837">
        <v>0.88128713295361205</v>
      </c>
      <c r="S4837" t="s">
        <v>11239</v>
      </c>
      <c r="T4837" t="s">
        <v>12802</v>
      </c>
      <c r="U4837" t="s">
        <v>12802</v>
      </c>
      <c r="V4837" t="s">
        <v>12802</v>
      </c>
      <c r="W4837" t="s">
        <v>17576</v>
      </c>
      <c r="X4837">
        <v>6</v>
      </c>
      <c r="Y4837" t="s">
        <v>23793</v>
      </c>
      <c r="Z4837" t="s">
        <v>30155</v>
      </c>
      <c r="AA4837">
        <v>0.77651415792703271</v>
      </c>
      <c r="AB4837" t="str">
        <f>HYPERLINK("Melting_Curves/meltCurve_Q96CP2_FLYWCH2.pdf", "Melting_Curves/meltCurve_Q96CP2_FLYWCH2.pdf")</f>
        <v>Melting_Curves/meltCurve_Q96CP2_FLYWCH2.pdf</v>
      </c>
    </row>
    <row r="4838" spans="1:28" x14ac:dyDescent="0.25">
      <c r="A4838" t="s">
        <v>4842</v>
      </c>
      <c r="B4838">
        <v>0.99542014353169495</v>
      </c>
      <c r="C4838">
        <v>0.81069397665199405</v>
      </c>
      <c r="D4838">
        <v>0.73318076326342296</v>
      </c>
      <c r="E4838">
        <v>0.42197089222459699</v>
      </c>
      <c r="F4838">
        <v>0.23756211584353401</v>
      </c>
      <c r="G4838">
        <v>0.127499989713868</v>
      </c>
      <c r="H4838">
        <v>8.8308332499147199E-2</v>
      </c>
      <c r="I4838">
        <v>7.6837620950965704E-2</v>
      </c>
      <c r="J4838">
        <v>8.7163857918898802E-2</v>
      </c>
      <c r="K4838">
        <v>8.5364274135177901E-2</v>
      </c>
      <c r="L4838">
        <v>654.76061712348098</v>
      </c>
      <c r="M4838">
        <v>14.5059338021127</v>
      </c>
      <c r="N4838">
        <v>45.546267997218202</v>
      </c>
      <c r="O4838">
        <v>44.305627118440299</v>
      </c>
      <c r="P4838">
        <v>-7.6863564193937903E-2</v>
      </c>
      <c r="Q4838">
        <v>6.1047367987072797E-2</v>
      </c>
      <c r="R4838">
        <v>0.99271258724434797</v>
      </c>
      <c r="S4838" t="s">
        <v>11240</v>
      </c>
      <c r="T4838" t="s">
        <v>12802</v>
      </c>
      <c r="U4838" t="s">
        <v>12802</v>
      </c>
      <c r="V4838" t="s">
        <v>12802</v>
      </c>
      <c r="W4838" t="s">
        <v>17577</v>
      </c>
      <c r="X4838">
        <v>8</v>
      </c>
      <c r="Y4838" t="s">
        <v>23794</v>
      </c>
      <c r="Z4838" t="s">
        <v>30156</v>
      </c>
      <c r="AA4838">
        <v>0.33947714268669682</v>
      </c>
      <c r="AB4838" t="str">
        <f>HYPERLINK("Melting_Curves/meltCurve_Q96CS2_HAUS1.pdf", "Melting_Curves/meltCurve_Q96CS2_HAUS1.pdf")</f>
        <v>Melting_Curves/meltCurve_Q96CS2_HAUS1.pdf</v>
      </c>
    </row>
    <row r="4839" spans="1:28" x14ac:dyDescent="0.25">
      <c r="A4839" t="s">
        <v>4843</v>
      </c>
      <c r="B4839">
        <v>0.99542014353169495</v>
      </c>
      <c r="C4839">
        <v>0.97083039308027297</v>
      </c>
      <c r="D4839">
        <v>0.93253881786256698</v>
      </c>
      <c r="E4839">
        <v>0.65567841209903299</v>
      </c>
      <c r="F4839">
        <v>0.28655824633967197</v>
      </c>
      <c r="G4839">
        <v>0.10161056386448999</v>
      </c>
      <c r="H4839">
        <v>6.5831555885478496E-2</v>
      </c>
      <c r="I4839">
        <v>4.52518601692447E-2</v>
      </c>
      <c r="J4839">
        <v>7.4715093973337102E-2</v>
      </c>
      <c r="K4839">
        <v>3.34264327775875E-2</v>
      </c>
      <c r="L4839">
        <v>1097.55518347219</v>
      </c>
      <c r="M4839">
        <v>22.977389389130799</v>
      </c>
      <c r="N4839">
        <v>47.965866738678301</v>
      </c>
      <c r="O4839">
        <v>47.409355825801399</v>
      </c>
      <c r="P4839">
        <v>-0.11565543849418899</v>
      </c>
      <c r="Q4839">
        <v>4.5488277778304498E-2</v>
      </c>
      <c r="R4839">
        <v>0.99909306795110098</v>
      </c>
      <c r="S4839" t="s">
        <v>11241</v>
      </c>
      <c r="T4839" t="s">
        <v>12802</v>
      </c>
      <c r="U4839" t="s">
        <v>12802</v>
      </c>
      <c r="V4839" t="s">
        <v>12802</v>
      </c>
      <c r="W4839" t="s">
        <v>17578</v>
      </c>
      <c r="X4839">
        <v>16</v>
      </c>
      <c r="Y4839" t="s">
        <v>23795</v>
      </c>
      <c r="Z4839" t="s">
        <v>30157</v>
      </c>
      <c r="AA4839">
        <v>0.39763096455324271</v>
      </c>
      <c r="AB4839" t="str">
        <f>HYPERLINK("Melting_Curves/meltCurve_Q96CS3_FAF2.pdf", "Melting_Curves/meltCurve_Q96CS3_FAF2.pdf")</f>
        <v>Melting_Curves/meltCurve_Q96CS3_FAF2.pdf</v>
      </c>
    </row>
    <row r="4840" spans="1:28" x14ac:dyDescent="0.25">
      <c r="A4840" t="s">
        <v>4844</v>
      </c>
      <c r="B4840">
        <v>0.99542014353169495</v>
      </c>
      <c r="C4840">
        <v>1.0689151547523199</v>
      </c>
      <c r="D4840">
        <v>0.99938333849391703</v>
      </c>
      <c r="E4840">
        <v>0.895739166621347</v>
      </c>
      <c r="F4840">
        <v>0.72815978149410798</v>
      </c>
      <c r="G4840">
        <v>0.570207602274862</v>
      </c>
      <c r="H4840">
        <v>0.43225980892316102</v>
      </c>
      <c r="I4840">
        <v>0.41602864745380802</v>
      </c>
      <c r="J4840">
        <v>0.64519596378684996</v>
      </c>
      <c r="K4840">
        <v>0.86988138042143703</v>
      </c>
      <c r="L4840">
        <v>1577.8650487152299</v>
      </c>
      <c r="M4840">
        <v>32.449071204380502</v>
      </c>
      <c r="O4840">
        <v>48.442334965825196</v>
      </c>
      <c r="P4840">
        <v>-6.91965385890915E-2</v>
      </c>
      <c r="Q4840">
        <v>0.58679549998856195</v>
      </c>
      <c r="R4840">
        <v>0.717857141436542</v>
      </c>
      <c r="S4840" t="s">
        <v>11242</v>
      </c>
      <c r="T4840" t="s">
        <v>12802</v>
      </c>
      <c r="U4840" t="s">
        <v>12802</v>
      </c>
      <c r="V4840" t="s">
        <v>12802</v>
      </c>
      <c r="W4840" t="s">
        <v>17579</v>
      </c>
      <c r="X4840">
        <v>22</v>
      </c>
      <c r="Y4840" t="s">
        <v>23796</v>
      </c>
      <c r="Z4840" t="s">
        <v>30158</v>
      </c>
      <c r="AA4840">
        <v>0.74904000654864034</v>
      </c>
      <c r="AB4840" t="str">
        <f>HYPERLINK("Melting_Curves/meltCurve_Q96CT7_CCDC124.pdf", "Melting_Curves/meltCurve_Q96CT7_CCDC124.pdf")</f>
        <v>Melting_Curves/meltCurve_Q96CT7_CCDC124.pdf</v>
      </c>
    </row>
    <row r="4841" spans="1:28" x14ac:dyDescent="0.25">
      <c r="A4841" t="s">
        <v>4845</v>
      </c>
      <c r="B4841">
        <v>0.99542014353169495</v>
      </c>
      <c r="C4841">
        <v>0.86374139642718895</v>
      </c>
      <c r="D4841">
        <v>0.86135284316384697</v>
      </c>
      <c r="E4841">
        <v>0.73910318614300097</v>
      </c>
      <c r="F4841">
        <v>0.45713220239740199</v>
      </c>
      <c r="G4841">
        <v>0.22419868313379501</v>
      </c>
      <c r="H4841">
        <v>0.132905576295307</v>
      </c>
      <c r="I4841">
        <v>7.5292331644981406E-2</v>
      </c>
      <c r="J4841">
        <v>5.0421604845405199E-2</v>
      </c>
      <c r="K4841">
        <v>5.7693128549819103E-2</v>
      </c>
      <c r="L4841">
        <v>651.851845125963</v>
      </c>
      <c r="M4841">
        <v>13.1950015882859</v>
      </c>
      <c r="N4841">
        <v>49.435432995032002</v>
      </c>
      <c r="O4841">
        <v>48.308082472111899</v>
      </c>
      <c r="P4841">
        <v>-6.7988316552284295E-2</v>
      </c>
      <c r="Q4841">
        <v>4.5205552590206798E-3</v>
      </c>
      <c r="R4841">
        <v>0.98981756477181104</v>
      </c>
      <c r="S4841" t="s">
        <v>11243</v>
      </c>
      <c r="T4841" t="s">
        <v>12802</v>
      </c>
      <c r="U4841" t="s">
        <v>12802</v>
      </c>
      <c r="V4841" t="s">
        <v>12802</v>
      </c>
      <c r="W4841" t="s">
        <v>17580</v>
      </c>
      <c r="X4841">
        <v>3</v>
      </c>
      <c r="Y4841" t="s">
        <v>23797</v>
      </c>
      <c r="Z4841" t="s">
        <v>30159</v>
      </c>
      <c r="AA4841">
        <v>0.44154451250082621</v>
      </c>
      <c r="AB4841" t="str">
        <f>HYPERLINK("Melting_Curves/meltCurve_Q96CU9_FOXRED1.pdf", "Melting_Curves/meltCurve_Q96CU9_FOXRED1.pdf")</f>
        <v>Melting_Curves/meltCurve_Q96CU9_FOXRED1.pdf</v>
      </c>
    </row>
    <row r="4842" spans="1:28" x14ac:dyDescent="0.25">
      <c r="A4842" t="s">
        <v>4846</v>
      </c>
      <c r="B4842">
        <v>0.99542014353169495</v>
      </c>
      <c r="C4842">
        <v>0.90342608501685795</v>
      </c>
      <c r="D4842">
        <v>0.93432200193106196</v>
      </c>
      <c r="E4842">
        <v>0.77398411291829405</v>
      </c>
      <c r="F4842">
        <v>0.68930400264140901</v>
      </c>
      <c r="G4842">
        <v>0.31638349123992099</v>
      </c>
      <c r="H4842">
        <v>9.9384581393624896E-2</v>
      </c>
      <c r="I4842">
        <v>5.1989032635242502E-2</v>
      </c>
      <c r="J4842">
        <v>3.9079941047873497E-2</v>
      </c>
      <c r="K4842">
        <v>4.4582511679813003E-2</v>
      </c>
      <c r="L4842">
        <v>849.32376580545701</v>
      </c>
      <c r="M4842">
        <v>16.508712626448901</v>
      </c>
      <c r="N4842">
        <v>51.447001706879803</v>
      </c>
      <c r="O4842">
        <v>50.709885590012703</v>
      </c>
      <c r="P4842">
        <v>-8.1393683941186207E-2</v>
      </c>
      <c r="Q4842">
        <v>0</v>
      </c>
      <c r="R4842">
        <v>0.98312309671878495</v>
      </c>
      <c r="S4842" t="s">
        <v>11244</v>
      </c>
      <c r="T4842" t="s">
        <v>12802</v>
      </c>
      <c r="U4842" t="s">
        <v>12802</v>
      </c>
      <c r="V4842" t="s">
        <v>12802</v>
      </c>
      <c r="W4842" t="s">
        <v>17581</v>
      </c>
      <c r="X4842">
        <v>17</v>
      </c>
      <c r="Y4842" t="s">
        <v>23798</v>
      </c>
      <c r="Z4842" t="s">
        <v>30160</v>
      </c>
      <c r="AA4842">
        <v>0.49895613210797662</v>
      </c>
      <c r="AB4842" t="str">
        <f>HYPERLINK("Melting_Curves/meltCurve_Q96CW1_2_AP2M1.pdf", "Melting_Curves/meltCurve_Q96CW1_2_AP2M1.pdf")</f>
        <v>Melting_Curves/meltCurve_Q96CW1_2_AP2M1.pdf</v>
      </c>
    </row>
    <row r="4843" spans="1:28" x14ac:dyDescent="0.25">
      <c r="A4843" t="s">
        <v>4847</v>
      </c>
      <c r="B4843">
        <v>0.99542014353169495</v>
      </c>
      <c r="C4843">
        <v>1.0713215620099299</v>
      </c>
      <c r="D4843">
        <v>1.0934867153044201</v>
      </c>
      <c r="E4843">
        <v>1.0269176172804699</v>
      </c>
      <c r="F4843">
        <v>0.79340414473221499</v>
      </c>
      <c r="G4843">
        <v>0.45076586981490502</v>
      </c>
      <c r="H4843">
        <v>0.22241556232503801</v>
      </c>
      <c r="I4843">
        <v>0.102645957900934</v>
      </c>
      <c r="J4843">
        <v>9.7237779705813099E-2</v>
      </c>
      <c r="K4843">
        <v>0.140182384137544</v>
      </c>
      <c r="L4843">
        <v>1390.57735065627</v>
      </c>
      <c r="M4843">
        <v>26.3403071114783</v>
      </c>
      <c r="N4843">
        <v>53.280161289580199</v>
      </c>
      <c r="O4843">
        <v>52.491282985981698</v>
      </c>
      <c r="P4843">
        <v>-0.11202082966829199</v>
      </c>
      <c r="Q4843">
        <v>0.107063895919379</v>
      </c>
      <c r="R4843">
        <v>0.98825167647608403</v>
      </c>
      <c r="S4843" t="s">
        <v>11245</v>
      </c>
      <c r="T4843" t="s">
        <v>12802</v>
      </c>
      <c r="U4843" t="s">
        <v>12802</v>
      </c>
      <c r="V4843" t="s">
        <v>12802</v>
      </c>
      <c r="W4843" t="s">
        <v>17582</v>
      </c>
      <c r="X4843">
        <v>5</v>
      </c>
      <c r="Y4843" t="s">
        <v>23799</v>
      </c>
      <c r="Z4843" t="s">
        <v>30161</v>
      </c>
      <c r="AA4843">
        <v>0.58433400412295167</v>
      </c>
      <c r="AB4843" t="str">
        <f>HYPERLINK("Melting_Curves/meltCurve_Q96CW6_SLC7A6OS.pdf", "Melting_Curves/meltCurve_Q96CW6_SLC7A6OS.pdf")</f>
        <v>Melting_Curves/meltCurve_Q96CW6_SLC7A6OS.pdf</v>
      </c>
    </row>
    <row r="4844" spans="1:28" x14ac:dyDescent="0.25">
      <c r="A4844" t="s">
        <v>4848</v>
      </c>
      <c r="B4844">
        <v>0.99542014353169495</v>
      </c>
      <c r="C4844">
        <v>0.98747125273339498</v>
      </c>
      <c r="D4844">
        <v>0.80497839303102703</v>
      </c>
      <c r="E4844">
        <v>0.61911166987255295</v>
      </c>
      <c r="F4844">
        <v>0.26340192489728498</v>
      </c>
      <c r="G4844">
        <v>0.12431238446218799</v>
      </c>
      <c r="H4844">
        <v>8.2351550883880506E-2</v>
      </c>
      <c r="I4844">
        <v>4.7164661493473203E-2</v>
      </c>
      <c r="J4844">
        <v>4.36448688277613E-2</v>
      </c>
      <c r="K4844">
        <v>2.3651978762610101E-2</v>
      </c>
      <c r="L4844">
        <v>817.25991186618296</v>
      </c>
      <c r="M4844">
        <v>17.273838972198501</v>
      </c>
      <c r="N4844">
        <v>47.454455511766803</v>
      </c>
      <c r="O4844">
        <v>46.691585889936199</v>
      </c>
      <c r="P4844">
        <v>-9.0157393576720701E-2</v>
      </c>
      <c r="Q4844">
        <v>2.5266657200404299E-2</v>
      </c>
      <c r="R4844">
        <v>0.99612798535019298</v>
      </c>
      <c r="S4844" t="s">
        <v>11246</v>
      </c>
      <c r="T4844" t="s">
        <v>12802</v>
      </c>
      <c r="U4844" t="s">
        <v>12802</v>
      </c>
      <c r="V4844" t="s">
        <v>12802</v>
      </c>
      <c r="W4844" t="s">
        <v>17583</v>
      </c>
      <c r="X4844">
        <v>6</v>
      </c>
      <c r="Y4844" t="s">
        <v>23800</v>
      </c>
      <c r="Z4844" t="s">
        <v>30162</v>
      </c>
      <c r="AA4844">
        <v>0.37719258272603412</v>
      </c>
      <c r="AB4844" t="str">
        <f>HYPERLINK("Melting_Curves/meltCurve_Q96CX6_LRRC58.pdf", "Melting_Curves/meltCurve_Q96CX6_LRRC58.pdf")</f>
        <v>Melting_Curves/meltCurve_Q96CX6_LRRC58.pdf</v>
      </c>
    </row>
    <row r="4845" spans="1:28" x14ac:dyDescent="0.25">
      <c r="A4845" t="s">
        <v>4849</v>
      </c>
      <c r="B4845">
        <v>0.99542014353169495</v>
      </c>
      <c r="C4845">
        <v>1.08157889524448</v>
      </c>
      <c r="D4845">
        <v>0.96937983471894096</v>
      </c>
      <c r="E4845">
        <v>0.94855059661397201</v>
      </c>
      <c r="F4845">
        <v>0.741115206394516</v>
      </c>
      <c r="G4845">
        <v>0.43553228930271198</v>
      </c>
      <c r="H4845">
        <v>0.36094401946166399</v>
      </c>
      <c r="I4845">
        <v>0.308669386727638</v>
      </c>
      <c r="J4845">
        <v>0.30222666832376599</v>
      </c>
      <c r="K4845">
        <v>0.33356068397679101</v>
      </c>
      <c r="L4845">
        <v>1427.5892711516101</v>
      </c>
      <c r="M4845">
        <v>27.979231596012902</v>
      </c>
      <c r="N4845">
        <v>52.901087731310902</v>
      </c>
      <c r="O4845">
        <v>50.7646683510931</v>
      </c>
      <c r="P4845">
        <v>-9.4412631944467099E-2</v>
      </c>
      <c r="Q4845">
        <v>0.31480826800384198</v>
      </c>
      <c r="R4845">
        <v>0.99112348928231297</v>
      </c>
      <c r="S4845" t="s">
        <v>11247</v>
      </c>
      <c r="T4845" t="s">
        <v>12802</v>
      </c>
      <c r="U4845" t="s">
        <v>12802</v>
      </c>
      <c r="V4845" t="s">
        <v>12802</v>
      </c>
      <c r="W4845" t="s">
        <v>17584</v>
      </c>
      <c r="X4845">
        <v>2</v>
      </c>
      <c r="Y4845" t="s">
        <v>23801</v>
      </c>
      <c r="Z4845" t="s">
        <v>30163</v>
      </c>
      <c r="AA4845">
        <v>0.63998094471521205</v>
      </c>
      <c r="AB4845" t="str">
        <f>HYPERLINK("Melting_Curves/meltCurve_Q96D05_C10orf35.pdf", "Melting_Curves/meltCurve_Q96D05_C10orf35.pdf")</f>
        <v>Melting_Curves/meltCurve_Q96D05_C10orf35.pdf</v>
      </c>
    </row>
    <row r="4846" spans="1:28" x14ac:dyDescent="0.25">
      <c r="A4846" t="s">
        <v>4850</v>
      </c>
      <c r="B4846">
        <v>0.99542014353169495</v>
      </c>
      <c r="C4846">
        <v>1.00120088938747</v>
      </c>
      <c r="D4846">
        <v>0.948922781504557</v>
      </c>
      <c r="E4846">
        <v>0.84390297154499605</v>
      </c>
      <c r="F4846">
        <v>0.74940016759870698</v>
      </c>
      <c r="G4846">
        <v>0.51989784960637198</v>
      </c>
      <c r="H4846">
        <v>0.40655957974414098</v>
      </c>
      <c r="I4846">
        <v>0.35964881309749003</v>
      </c>
      <c r="J4846">
        <v>0.50144177843640703</v>
      </c>
      <c r="K4846">
        <v>0.62708511043447701</v>
      </c>
      <c r="L4846">
        <v>1095.86014798724</v>
      </c>
      <c r="M4846">
        <v>22.1994186021251</v>
      </c>
      <c r="N4846">
        <v>56.360618304343198</v>
      </c>
      <c r="O4846">
        <v>48.9690335013021</v>
      </c>
      <c r="P4846">
        <v>-6.0270323207983499E-2</v>
      </c>
      <c r="Q4846">
        <v>0.46821751830122599</v>
      </c>
      <c r="R4846">
        <v>0.90075989580643701</v>
      </c>
      <c r="S4846" t="s">
        <v>11248</v>
      </c>
      <c r="T4846" t="s">
        <v>12802</v>
      </c>
      <c r="U4846" t="s">
        <v>12802</v>
      </c>
      <c r="V4846" t="s">
        <v>12802</v>
      </c>
      <c r="W4846" t="s">
        <v>17585</v>
      </c>
      <c r="X4846">
        <v>5</v>
      </c>
      <c r="Y4846" t="s">
        <v>23802</v>
      </c>
      <c r="Z4846" t="s">
        <v>30164</v>
      </c>
      <c r="AA4846">
        <v>0.69317640913101763</v>
      </c>
      <c r="AB4846" t="str">
        <f>HYPERLINK("Melting_Curves/meltCurve_Q96D15_RCN3.pdf", "Melting_Curves/meltCurve_Q96D15_RCN3.pdf")</f>
        <v>Melting_Curves/meltCurve_Q96D15_RCN3.pdf</v>
      </c>
    </row>
    <row r="4847" spans="1:28" x14ac:dyDescent="0.25">
      <c r="A4847" t="s">
        <v>4851</v>
      </c>
      <c r="B4847">
        <v>0.99542014353169495</v>
      </c>
      <c r="C4847">
        <v>0.85840246515960394</v>
      </c>
      <c r="D4847">
        <v>0.73502352309230601</v>
      </c>
      <c r="E4847">
        <v>0.60417349843471702</v>
      </c>
      <c r="F4847">
        <v>0.57922939431811404</v>
      </c>
      <c r="G4847">
        <v>0.331513631933682</v>
      </c>
      <c r="H4847">
        <v>0.32687940864798398</v>
      </c>
      <c r="I4847">
        <v>0.31479157135959301</v>
      </c>
      <c r="J4847">
        <v>0.44700430276091202</v>
      </c>
      <c r="K4847">
        <v>0.44638116477576101</v>
      </c>
      <c r="L4847">
        <v>584.75252714740395</v>
      </c>
      <c r="M4847">
        <v>13.1419821551663</v>
      </c>
      <c r="N4847">
        <v>49.4435210468272</v>
      </c>
      <c r="O4847">
        <v>43.502593907757102</v>
      </c>
      <c r="P4847">
        <v>-4.7905225277250399E-2</v>
      </c>
      <c r="Q4847">
        <v>0.365803920475471</v>
      </c>
      <c r="R4847">
        <v>0.91925301972520101</v>
      </c>
      <c r="S4847" t="s">
        <v>11249</v>
      </c>
      <c r="T4847" t="s">
        <v>12802</v>
      </c>
      <c r="U4847" t="s">
        <v>12802</v>
      </c>
      <c r="V4847" t="s">
        <v>12802</v>
      </c>
      <c r="W4847" t="s">
        <v>17586</v>
      </c>
      <c r="X4847">
        <v>1</v>
      </c>
      <c r="Y4847" t="s">
        <v>23803</v>
      </c>
      <c r="Z4847" t="s">
        <v>30165</v>
      </c>
      <c r="AA4847">
        <v>0.54425909496536629</v>
      </c>
      <c r="AB4847" t="str">
        <f>HYPERLINK("Melting_Curves/meltCurve_Q96D31_2_ORAI1.pdf", "Melting_Curves/meltCurve_Q96D31_2_ORAI1.pdf")</f>
        <v>Melting_Curves/meltCurve_Q96D31_2_ORAI1.pdf</v>
      </c>
    </row>
    <row r="4848" spans="1:28" x14ac:dyDescent="0.25">
      <c r="A4848" t="s">
        <v>4852</v>
      </c>
      <c r="B4848">
        <v>0.99542014353169495</v>
      </c>
      <c r="C4848">
        <v>0.94622329712308195</v>
      </c>
      <c r="D4848">
        <v>0.65125852899161896</v>
      </c>
      <c r="E4848">
        <v>0.30595867723235498</v>
      </c>
      <c r="F4848">
        <v>0.187673733541278</v>
      </c>
      <c r="G4848">
        <v>0.109324366958904</v>
      </c>
      <c r="H4848">
        <v>9.8086150326800195E-2</v>
      </c>
      <c r="I4848">
        <v>7.7014519730818701E-2</v>
      </c>
      <c r="J4848">
        <v>6.06725699206309E-2</v>
      </c>
      <c r="K4848">
        <v>6.9086702234426103E-2</v>
      </c>
      <c r="L4848">
        <v>918.40395586285297</v>
      </c>
      <c r="M4848">
        <v>20.779676602316901</v>
      </c>
      <c r="N4848">
        <v>44.574105611142699</v>
      </c>
      <c r="O4848">
        <v>43.7940039215637</v>
      </c>
      <c r="P4848">
        <v>-0.10906828235372699</v>
      </c>
      <c r="Q4848">
        <v>8.0562565173005293E-2</v>
      </c>
      <c r="R4848">
        <v>0.99689485960731705</v>
      </c>
      <c r="S4848" t="s">
        <v>11250</v>
      </c>
      <c r="T4848" t="s">
        <v>12802</v>
      </c>
      <c r="U4848" t="s">
        <v>12802</v>
      </c>
      <c r="V4848" t="s">
        <v>12802</v>
      </c>
      <c r="W4848" t="s">
        <v>17587</v>
      </c>
      <c r="X4848">
        <v>11</v>
      </c>
      <c r="Y4848" t="s">
        <v>23804</v>
      </c>
      <c r="Z4848" t="s">
        <v>30166</v>
      </c>
      <c r="AA4848">
        <v>0.31240707551292102</v>
      </c>
      <c r="AB4848" t="str">
        <f>HYPERLINK("Melting_Curves/meltCurve_Q96D71_3_REPS1.pdf", "Melting_Curves/meltCurve_Q96D71_3_REPS1.pdf")</f>
        <v>Melting_Curves/meltCurve_Q96D71_3_REPS1.pdf</v>
      </c>
    </row>
    <row r="4849" spans="1:28" x14ac:dyDescent="0.25">
      <c r="A4849" t="s">
        <v>4853</v>
      </c>
      <c r="B4849">
        <v>0.99542014353169495</v>
      </c>
      <c r="C4849">
        <v>0.95240450753077399</v>
      </c>
      <c r="D4849">
        <v>0.96923202866018698</v>
      </c>
      <c r="E4849">
        <v>0.87465094364291696</v>
      </c>
      <c r="F4849">
        <v>0.65388680125272203</v>
      </c>
      <c r="G4849">
        <v>0.48678170012184102</v>
      </c>
      <c r="H4849">
        <v>0.24702091437565299</v>
      </c>
      <c r="I4849">
        <v>0.138809252764036</v>
      </c>
      <c r="J4849">
        <v>0.14904929364908101</v>
      </c>
      <c r="K4849">
        <v>0.17336074536905899</v>
      </c>
      <c r="L4849">
        <v>817.54304940035297</v>
      </c>
      <c r="M4849">
        <v>15.7272048487701</v>
      </c>
      <c r="N4849">
        <v>52.785137260960802</v>
      </c>
      <c r="O4849">
        <v>51.164056626475798</v>
      </c>
      <c r="P4849">
        <v>-6.8682238230085596E-2</v>
      </c>
      <c r="Q4849">
        <v>0.106321290048564</v>
      </c>
      <c r="R4849">
        <v>0.99256927090857805</v>
      </c>
      <c r="S4849" t="s">
        <v>11251</v>
      </c>
      <c r="T4849" t="s">
        <v>12802</v>
      </c>
      <c r="U4849" t="s">
        <v>12802</v>
      </c>
      <c r="V4849" t="s">
        <v>12802</v>
      </c>
      <c r="W4849" t="s">
        <v>17588</v>
      </c>
      <c r="X4849">
        <v>7</v>
      </c>
      <c r="Y4849" t="s">
        <v>23805</v>
      </c>
      <c r="Z4849" t="s">
        <v>30167</v>
      </c>
      <c r="AA4849">
        <v>0.56882553913167755</v>
      </c>
      <c r="AB4849" t="str">
        <f>HYPERLINK("Melting_Curves/meltCurve_Q96DA6_2_DNAJC19.pdf", "Melting_Curves/meltCurve_Q96DA6_2_DNAJC19.pdf")</f>
        <v>Melting_Curves/meltCurve_Q96DA6_2_DNAJC19.pdf</v>
      </c>
    </row>
    <row r="4850" spans="1:28" x14ac:dyDescent="0.25">
      <c r="A4850" t="s">
        <v>4854</v>
      </c>
      <c r="B4850">
        <v>0.99542014353169495</v>
      </c>
      <c r="C4850">
        <v>1.0184852336281101</v>
      </c>
      <c r="D4850">
        <v>0.92084622867495702</v>
      </c>
      <c r="E4850">
        <v>0.87016141898746602</v>
      </c>
      <c r="F4850">
        <v>0.63646634848846095</v>
      </c>
      <c r="G4850">
        <v>0.39259469937955199</v>
      </c>
      <c r="H4850">
        <v>0.105028587252228</v>
      </c>
      <c r="I4850">
        <v>6.9666092631019305E-2</v>
      </c>
      <c r="J4850">
        <v>6.7978465682919598E-2</v>
      </c>
      <c r="K4850">
        <v>7.1395292408701794E-2</v>
      </c>
      <c r="L4850">
        <v>920.15654065222998</v>
      </c>
      <c r="M4850">
        <v>17.809128586235602</v>
      </c>
      <c r="N4850">
        <v>51.822862731604999</v>
      </c>
      <c r="O4850">
        <v>51.0294667649529</v>
      </c>
      <c r="P4850">
        <v>-8.4988279149276605E-2</v>
      </c>
      <c r="Q4850">
        <v>2.5964348213730001E-2</v>
      </c>
      <c r="R4850">
        <v>0.99330917162392596</v>
      </c>
      <c r="S4850" t="s">
        <v>11252</v>
      </c>
      <c r="T4850" t="s">
        <v>12802</v>
      </c>
      <c r="U4850" t="s">
        <v>12802</v>
      </c>
      <c r="V4850" t="s">
        <v>12802</v>
      </c>
      <c r="W4850" t="s">
        <v>17589</v>
      </c>
      <c r="X4850">
        <v>10</v>
      </c>
      <c r="Y4850" t="s">
        <v>23806</v>
      </c>
      <c r="Z4850" t="s">
        <v>30168</v>
      </c>
      <c r="AA4850">
        <v>0.51729822768734801</v>
      </c>
      <c r="AB4850" t="str">
        <f>HYPERLINK("Melting_Curves/meltCurve_Q96DB5_RMDN1.pdf", "Melting_Curves/meltCurve_Q96DB5_RMDN1.pdf")</f>
        <v>Melting_Curves/meltCurve_Q96DB5_RMDN1.pdf</v>
      </c>
    </row>
    <row r="4851" spans="1:28" x14ac:dyDescent="0.25">
      <c r="A4851" t="s">
        <v>4855</v>
      </c>
      <c r="B4851">
        <v>0.99542014353169495</v>
      </c>
      <c r="C4851">
        <v>1.0128977161880901</v>
      </c>
      <c r="D4851">
        <v>0.86557300225618306</v>
      </c>
      <c r="E4851">
        <v>0.87431991732575598</v>
      </c>
      <c r="F4851">
        <v>0.70505341806238397</v>
      </c>
      <c r="G4851">
        <v>0.65986068199414905</v>
      </c>
      <c r="H4851">
        <v>0.41747797852413598</v>
      </c>
      <c r="I4851">
        <v>0.408478772452599</v>
      </c>
      <c r="J4851">
        <v>0.68381778816542405</v>
      </c>
      <c r="K4851">
        <v>0.78450378910565599</v>
      </c>
      <c r="L4851">
        <v>942.29872735486902</v>
      </c>
      <c r="M4851">
        <v>19.787527833130799</v>
      </c>
      <c r="O4851">
        <v>47.1424755288987</v>
      </c>
      <c r="P4851">
        <v>-4.3861206847504802E-2</v>
      </c>
      <c r="Q4851">
        <v>0.58202850141496398</v>
      </c>
      <c r="R4851">
        <v>0.68553709472110802</v>
      </c>
      <c r="S4851" t="s">
        <v>11253</v>
      </c>
      <c r="T4851" t="s">
        <v>12802</v>
      </c>
      <c r="U4851" t="s">
        <v>12802</v>
      </c>
      <c r="V4851" t="s">
        <v>12802</v>
      </c>
      <c r="W4851" t="s">
        <v>17590</v>
      </c>
      <c r="X4851">
        <v>12</v>
      </c>
      <c r="Y4851" t="s">
        <v>23807</v>
      </c>
      <c r="Z4851" t="s">
        <v>30169</v>
      </c>
      <c r="AA4851">
        <v>0.73559925020364747</v>
      </c>
      <c r="AB4851" t="str">
        <f>HYPERLINK("Melting_Curves/meltCurve_Q96DE0_NUDT16.pdf", "Melting_Curves/meltCurve_Q96DE0_NUDT16.pdf")</f>
        <v>Melting_Curves/meltCurve_Q96DE0_NUDT16.pdf</v>
      </c>
    </row>
    <row r="4852" spans="1:28" x14ac:dyDescent="0.25">
      <c r="A4852" t="s">
        <v>4856</v>
      </c>
      <c r="B4852">
        <v>0.99542014353169495</v>
      </c>
      <c r="C4852">
        <v>1.04970252156977</v>
      </c>
      <c r="D4852">
        <v>0.93868991272649704</v>
      </c>
      <c r="E4852">
        <v>0.78388617290699303</v>
      </c>
      <c r="F4852">
        <v>0.55434445476142502</v>
      </c>
      <c r="G4852">
        <v>0.252993082774845</v>
      </c>
      <c r="H4852">
        <v>0.20717880734150099</v>
      </c>
      <c r="I4852">
        <v>0.14656261416642599</v>
      </c>
      <c r="J4852">
        <v>0.19168328145140101</v>
      </c>
      <c r="K4852">
        <v>0.20229568710485801</v>
      </c>
      <c r="L4852">
        <v>1019.61200419724</v>
      </c>
      <c r="M4852">
        <v>20.6648519707737</v>
      </c>
      <c r="N4852">
        <v>50.322490118916299</v>
      </c>
      <c r="O4852">
        <v>48.885313112697901</v>
      </c>
      <c r="P4852">
        <v>-8.8145931390106999E-2</v>
      </c>
      <c r="Q4852">
        <v>0.16594249416555301</v>
      </c>
      <c r="R4852">
        <v>0.99164636565490005</v>
      </c>
      <c r="S4852" t="s">
        <v>11254</v>
      </c>
      <c r="T4852" t="s">
        <v>12802</v>
      </c>
      <c r="U4852" t="s">
        <v>12802</v>
      </c>
      <c r="V4852" t="s">
        <v>12802</v>
      </c>
      <c r="W4852" t="s">
        <v>17591</v>
      </c>
      <c r="X4852">
        <v>2</v>
      </c>
      <c r="Y4852" t="s">
        <v>23808</v>
      </c>
      <c r="Z4852" t="s">
        <v>30170</v>
      </c>
      <c r="AA4852">
        <v>0.51938878659047316</v>
      </c>
      <c r="AB4852" t="str">
        <f>HYPERLINK("Melting_Curves/meltCurve_Q96DE5_ANAPC16.pdf", "Melting_Curves/meltCurve_Q96DE5_ANAPC16.pdf")</f>
        <v>Melting_Curves/meltCurve_Q96DE5_ANAPC16.pdf</v>
      </c>
    </row>
    <row r="4853" spans="1:28" x14ac:dyDescent="0.25">
      <c r="A4853" t="s">
        <v>4857</v>
      </c>
      <c r="B4853">
        <v>0.99542014353169495</v>
      </c>
      <c r="C4853">
        <v>0.95493098813413102</v>
      </c>
      <c r="D4853">
        <v>0.87184468296263595</v>
      </c>
      <c r="E4853">
        <v>0.68686204601515399</v>
      </c>
      <c r="F4853">
        <v>0.47137112644916401</v>
      </c>
      <c r="G4853">
        <v>0.29061509792710499</v>
      </c>
      <c r="H4853">
        <v>0.218885977660291</v>
      </c>
      <c r="I4853">
        <v>0.195588361786211</v>
      </c>
      <c r="J4853">
        <v>0.34655474090762001</v>
      </c>
      <c r="K4853">
        <v>0.52877467425596703</v>
      </c>
      <c r="L4853">
        <v>1007.91913954072</v>
      </c>
      <c r="M4853">
        <v>21.571006052966901</v>
      </c>
      <c r="N4853">
        <v>48.944857581553201</v>
      </c>
      <c r="O4853">
        <v>46.329630722150398</v>
      </c>
      <c r="P4853">
        <v>-8.0087347704595094E-2</v>
      </c>
      <c r="Q4853">
        <v>0.31197874271723097</v>
      </c>
      <c r="R4853">
        <v>0.90357859753687697</v>
      </c>
      <c r="S4853" t="s">
        <v>11255</v>
      </c>
      <c r="T4853" t="s">
        <v>12802</v>
      </c>
      <c r="U4853" t="s">
        <v>12802</v>
      </c>
      <c r="V4853" t="s">
        <v>12802</v>
      </c>
      <c r="W4853" t="s">
        <v>17592</v>
      </c>
      <c r="X4853">
        <v>21</v>
      </c>
      <c r="Y4853" t="s">
        <v>23809</v>
      </c>
      <c r="Z4853" t="s">
        <v>30171</v>
      </c>
      <c r="AA4853">
        <v>0.54277137720803392</v>
      </c>
      <c r="AB4853" t="str">
        <f>HYPERLINK("Melting_Curves/meltCurve_Q96DF8_DGCR14.pdf", "Melting_Curves/meltCurve_Q96DF8_DGCR14.pdf")</f>
        <v>Melting_Curves/meltCurve_Q96DF8_DGCR14.pdf</v>
      </c>
    </row>
    <row r="4854" spans="1:28" x14ac:dyDescent="0.25">
      <c r="A4854" t="s">
        <v>4858</v>
      </c>
      <c r="B4854">
        <v>0.99542014353169495</v>
      </c>
      <c r="C4854">
        <v>0.99664118897424103</v>
      </c>
      <c r="D4854">
        <v>0.98231454554607001</v>
      </c>
      <c r="E4854">
        <v>0.952156209065253</v>
      </c>
      <c r="F4854">
        <v>0.68175238327158905</v>
      </c>
      <c r="G4854">
        <v>0.44732101437996602</v>
      </c>
      <c r="H4854">
        <v>0.18349772315518501</v>
      </c>
      <c r="I4854">
        <v>0.10998450825009499</v>
      </c>
      <c r="J4854">
        <v>7.3374859775869494E-2</v>
      </c>
      <c r="K4854">
        <v>8.7237442785858696E-2</v>
      </c>
      <c r="L4854">
        <v>1011.9697824316499</v>
      </c>
      <c r="M4854">
        <v>19.309532640893298</v>
      </c>
      <c r="N4854">
        <v>52.731375237437</v>
      </c>
      <c r="O4854">
        <v>51.855408049738003</v>
      </c>
      <c r="P4854">
        <v>-8.7894799863421802E-2</v>
      </c>
      <c r="Q4854">
        <v>5.5875657142642303E-2</v>
      </c>
      <c r="R4854">
        <v>0.99723458814273302</v>
      </c>
      <c r="S4854" t="s">
        <v>11256</v>
      </c>
      <c r="T4854" t="s">
        <v>12802</v>
      </c>
      <c r="U4854" t="s">
        <v>12802</v>
      </c>
      <c r="V4854" t="s">
        <v>12802</v>
      </c>
      <c r="W4854" t="s">
        <v>17593</v>
      </c>
      <c r="X4854">
        <v>16</v>
      </c>
      <c r="Y4854" t="s">
        <v>23810</v>
      </c>
      <c r="Z4854" t="s">
        <v>30172</v>
      </c>
      <c r="AA4854">
        <v>0.55351128374693892</v>
      </c>
      <c r="AB4854" t="str">
        <f>HYPERLINK("Melting_Curves/meltCurve_Q96DG6_CMBL.pdf", "Melting_Curves/meltCurve_Q96DG6_CMBL.pdf")</f>
        <v>Melting_Curves/meltCurve_Q96DG6_CMBL.pdf</v>
      </c>
    </row>
    <row r="4855" spans="1:28" x14ac:dyDescent="0.25">
      <c r="A4855" t="s">
        <v>4859</v>
      </c>
      <c r="B4855">
        <v>0.99542014353169495</v>
      </c>
      <c r="C4855">
        <v>1.0331866117720001</v>
      </c>
      <c r="D4855">
        <v>1.0485433363724499</v>
      </c>
      <c r="E4855">
        <v>0.87989175465889002</v>
      </c>
      <c r="F4855">
        <v>0.83793593678719203</v>
      </c>
      <c r="G4855">
        <v>0.53297524410539698</v>
      </c>
      <c r="H4855">
        <v>0.17820928615885001</v>
      </c>
      <c r="I4855">
        <v>9.5434496842876304E-2</v>
      </c>
      <c r="J4855">
        <v>0.112415222313602</v>
      </c>
      <c r="K4855">
        <v>0.14572034800033101</v>
      </c>
      <c r="L4855">
        <v>1359.54241414493</v>
      </c>
      <c r="M4855">
        <v>25.502171357165</v>
      </c>
      <c r="N4855">
        <v>53.751955011598497</v>
      </c>
      <c r="O4855">
        <v>52.986286384326</v>
      </c>
      <c r="P4855">
        <v>-0.108965354873672</v>
      </c>
      <c r="Q4855">
        <v>9.4414718480690996E-2</v>
      </c>
      <c r="R4855">
        <v>0.98723738703284603</v>
      </c>
      <c r="S4855" t="s">
        <v>11257</v>
      </c>
      <c r="T4855" t="s">
        <v>12802</v>
      </c>
      <c r="U4855" t="s">
        <v>12802</v>
      </c>
      <c r="V4855" t="s">
        <v>12802</v>
      </c>
      <c r="W4855" t="s">
        <v>17594</v>
      </c>
      <c r="X4855">
        <v>8</v>
      </c>
      <c r="Y4855" t="s">
        <v>23811</v>
      </c>
      <c r="Z4855" t="s">
        <v>30173</v>
      </c>
      <c r="AA4855">
        <v>0.59449358473013547</v>
      </c>
      <c r="AB4855" t="str">
        <f>HYPERLINK("Melting_Curves/meltCurve_Q96DI7_SNRNP40.pdf", "Melting_Curves/meltCurve_Q96DI7_SNRNP40.pdf")</f>
        <v>Melting_Curves/meltCurve_Q96DI7_SNRNP40.pdf</v>
      </c>
    </row>
    <row r="4856" spans="1:28" x14ac:dyDescent="0.25">
      <c r="A4856" t="s">
        <v>4860</v>
      </c>
      <c r="B4856">
        <v>0.99542014353169495</v>
      </c>
      <c r="C4856">
        <v>0.954559684293527</v>
      </c>
      <c r="D4856">
        <v>0.88796123651755798</v>
      </c>
      <c r="E4856">
        <v>0.746242290525584</v>
      </c>
      <c r="F4856">
        <v>0.35345888577747298</v>
      </c>
      <c r="G4856">
        <v>0.143072410642651</v>
      </c>
      <c r="H4856">
        <v>7.3259318043187804E-2</v>
      </c>
      <c r="I4856">
        <v>4.9809016204418501E-2</v>
      </c>
      <c r="J4856">
        <v>5.8566183827477497E-2</v>
      </c>
      <c r="K4856">
        <v>5.1314830978990297E-2</v>
      </c>
      <c r="L4856">
        <v>999.922715543609</v>
      </c>
      <c r="M4856">
        <v>20.600392435784599</v>
      </c>
      <c r="N4856">
        <v>48.738554059531602</v>
      </c>
      <c r="O4856">
        <v>48.0885683146047</v>
      </c>
      <c r="P4856">
        <v>-0.102768068906294</v>
      </c>
      <c r="Q4856">
        <v>4.0440479447012997E-2</v>
      </c>
      <c r="R4856">
        <v>0.99672459009596204</v>
      </c>
      <c r="S4856" t="s">
        <v>11258</v>
      </c>
      <c r="T4856" t="s">
        <v>12802</v>
      </c>
      <c r="U4856" t="s">
        <v>12802</v>
      </c>
      <c r="V4856" t="s">
        <v>12802</v>
      </c>
      <c r="W4856" t="s">
        <v>17595</v>
      </c>
      <c r="X4856">
        <v>2</v>
      </c>
      <c r="Y4856" t="s">
        <v>23812</v>
      </c>
      <c r="Z4856" t="s">
        <v>30174</v>
      </c>
      <c r="AA4856">
        <v>0.42147103425933019</v>
      </c>
      <c r="AB4856" t="str">
        <f>HYPERLINK("Melting_Curves/meltCurve_Q96DT6_ATG4C.pdf", "Melting_Curves/meltCurve_Q96DT6_ATG4C.pdf")</f>
        <v>Melting_Curves/meltCurve_Q96DT6_ATG4C.pdf</v>
      </c>
    </row>
    <row r="4857" spans="1:28" x14ac:dyDescent="0.25">
      <c r="A4857" t="s">
        <v>4861</v>
      </c>
      <c r="B4857">
        <v>0.99542014353169495</v>
      </c>
      <c r="C4857">
        <v>0.88693660240579597</v>
      </c>
      <c r="D4857">
        <v>0.56749856688232603</v>
      </c>
      <c r="E4857">
        <v>0.24307250632784899</v>
      </c>
      <c r="F4857">
        <v>0.173115191980315</v>
      </c>
      <c r="G4857">
        <v>9.7439883203869093E-2</v>
      </c>
      <c r="H4857">
        <v>8.5462529678218796E-2</v>
      </c>
      <c r="I4857">
        <v>6.07498442068692E-2</v>
      </c>
      <c r="J4857">
        <v>2.7125933575843E-2</v>
      </c>
      <c r="K4857">
        <v>5.2026179278453703E-2</v>
      </c>
      <c r="L4857">
        <v>872.800592196254</v>
      </c>
      <c r="M4857">
        <v>20.077442283058701</v>
      </c>
      <c r="N4857">
        <v>43.772316992914099</v>
      </c>
      <c r="O4857">
        <v>43.047337122963803</v>
      </c>
      <c r="P4857">
        <v>-0.10909529041697399</v>
      </c>
      <c r="Q4857">
        <v>6.4400592906813506E-2</v>
      </c>
      <c r="R4857">
        <v>0.99507042201528295</v>
      </c>
      <c r="S4857" t="s">
        <v>11259</v>
      </c>
      <c r="T4857" t="s">
        <v>12802</v>
      </c>
      <c r="U4857" t="s">
        <v>12802</v>
      </c>
      <c r="V4857" t="s">
        <v>12802</v>
      </c>
      <c r="W4857" t="s">
        <v>17596</v>
      </c>
      <c r="X4857">
        <v>1</v>
      </c>
      <c r="Y4857" t="s">
        <v>23813</v>
      </c>
      <c r="Z4857" t="s">
        <v>30175</v>
      </c>
      <c r="AA4857">
        <v>0.27887131822967692</v>
      </c>
      <c r="AB4857" t="str">
        <f>HYPERLINK("Melting_Curves/meltCurve_Q96DU7_ITPKC.pdf", "Melting_Curves/meltCurve_Q96DU7_ITPKC.pdf")</f>
        <v>Melting_Curves/meltCurve_Q96DU7_ITPKC.pdf</v>
      </c>
    </row>
    <row r="4858" spans="1:28" x14ac:dyDescent="0.25">
      <c r="A4858" t="s">
        <v>4862</v>
      </c>
      <c r="B4858">
        <v>0.99542014353169495</v>
      </c>
      <c r="C4858">
        <v>1.12024353080678</v>
      </c>
      <c r="D4858">
        <v>1.0766925361326101</v>
      </c>
      <c r="E4858">
        <v>0.57110816731256497</v>
      </c>
      <c r="F4858">
        <v>0.31557852338848202</v>
      </c>
      <c r="G4858">
        <v>2.8265205014866301E-2</v>
      </c>
      <c r="H4858">
        <v>7.4644880487344301E-2</v>
      </c>
      <c r="I4858">
        <v>5.3184142075408697E-2</v>
      </c>
      <c r="J4858">
        <v>0</v>
      </c>
      <c r="K4858">
        <v>0</v>
      </c>
      <c r="L4858">
        <v>1225.741345254</v>
      </c>
      <c r="M4858">
        <v>25.698904887893701</v>
      </c>
      <c r="N4858">
        <v>47.795177113688197</v>
      </c>
      <c r="O4858">
        <v>47.4102625230597</v>
      </c>
      <c r="P4858">
        <v>-0.13200510124801801</v>
      </c>
      <c r="Q4858">
        <v>2.5900945256796801E-2</v>
      </c>
      <c r="R4858">
        <v>0.97439814549602999</v>
      </c>
      <c r="S4858" t="s">
        <v>11260</v>
      </c>
      <c r="T4858" t="s">
        <v>12802</v>
      </c>
      <c r="U4858" t="s">
        <v>12802</v>
      </c>
      <c r="V4858" t="s">
        <v>12802</v>
      </c>
      <c r="W4858" t="s">
        <v>17597</v>
      </c>
      <c r="X4858">
        <v>3</v>
      </c>
      <c r="Y4858" t="s">
        <v>23814</v>
      </c>
      <c r="Z4858" t="s">
        <v>30176</v>
      </c>
      <c r="AA4858">
        <v>0.38103058155169189</v>
      </c>
      <c r="AB4858" t="str">
        <f>HYPERLINK("Melting_Curves/meltCurve_Q96DV4_MRPL38.pdf", "Melting_Curves/meltCurve_Q96DV4_MRPL38.pdf")</f>
        <v>Melting_Curves/meltCurve_Q96DV4_MRPL38.pdf</v>
      </c>
    </row>
    <row r="4859" spans="1:28" x14ac:dyDescent="0.25">
      <c r="A4859" t="s">
        <v>4863</v>
      </c>
      <c r="B4859">
        <v>0.99542014353169495</v>
      </c>
      <c r="C4859">
        <v>1.0011433500239499</v>
      </c>
      <c r="D4859">
        <v>1.02202658284848</v>
      </c>
      <c r="E4859">
        <v>0.792368552413942</v>
      </c>
      <c r="F4859">
        <v>0.74170813878379904</v>
      </c>
      <c r="G4859">
        <v>0.52104890775684298</v>
      </c>
      <c r="H4859">
        <v>0.25982792930062498</v>
      </c>
      <c r="I4859">
        <v>7.4229489445392705E-2</v>
      </c>
      <c r="J4859">
        <v>6.5488511845881503E-2</v>
      </c>
      <c r="K4859">
        <v>2.8795729665198101E-2</v>
      </c>
      <c r="L4859">
        <v>810.27157494353503</v>
      </c>
      <c r="M4859">
        <v>15.1743768696657</v>
      </c>
      <c r="N4859">
        <v>53.397365492065397</v>
      </c>
      <c r="O4859">
        <v>52.495731020248101</v>
      </c>
      <c r="P4859">
        <v>-7.2271763295046906E-2</v>
      </c>
      <c r="Q4859">
        <v>0</v>
      </c>
      <c r="R4859">
        <v>0.98671653034458695</v>
      </c>
      <c r="S4859" t="s">
        <v>11261</v>
      </c>
      <c r="T4859" t="s">
        <v>12802</v>
      </c>
      <c r="U4859" t="s">
        <v>12802</v>
      </c>
      <c r="V4859" t="s">
        <v>12802</v>
      </c>
      <c r="W4859" t="s">
        <v>17598</v>
      </c>
      <c r="X4859">
        <v>5</v>
      </c>
      <c r="Y4859" t="s">
        <v>23815</v>
      </c>
      <c r="Z4859" t="s">
        <v>30177</v>
      </c>
      <c r="AA4859">
        <v>0.56364322787072418</v>
      </c>
      <c r="AB4859" t="str">
        <f>HYPERLINK("Melting_Curves/meltCurve_Q96DX4_RSPRY1.pdf", "Melting_Curves/meltCurve_Q96DX4_RSPRY1.pdf")</f>
        <v>Melting_Curves/meltCurve_Q96DX4_RSPRY1.pdf</v>
      </c>
    </row>
    <row r="4860" spans="1:28" x14ac:dyDescent="0.25">
      <c r="A4860" t="s">
        <v>4864</v>
      </c>
      <c r="B4860">
        <v>0.99542014353169495</v>
      </c>
      <c r="C4860">
        <v>0.93704071591663096</v>
      </c>
      <c r="D4860">
        <v>0.75369363164487202</v>
      </c>
      <c r="E4860">
        <v>0.53736668352642203</v>
      </c>
      <c r="F4860">
        <v>0.35214080910380202</v>
      </c>
      <c r="G4860">
        <v>0.22732712598482499</v>
      </c>
      <c r="H4860">
        <v>0.13937647754156701</v>
      </c>
      <c r="I4860">
        <v>8.7110283851311102E-2</v>
      </c>
      <c r="J4860">
        <v>0.11115386249751399</v>
      </c>
      <c r="K4860">
        <v>0.120125724852112</v>
      </c>
      <c r="L4860">
        <v>629.05794569469504</v>
      </c>
      <c r="M4860">
        <v>13.495156039768201</v>
      </c>
      <c r="N4860">
        <v>47.257038749329197</v>
      </c>
      <c r="O4860">
        <v>45.625769929503001</v>
      </c>
      <c r="P4860">
        <v>-6.7749317258062797E-2</v>
      </c>
      <c r="Q4860">
        <v>8.3925277485157601E-2</v>
      </c>
      <c r="R4860">
        <v>0.99672681332749502</v>
      </c>
      <c r="S4860" t="s">
        <v>11262</v>
      </c>
      <c r="T4860" t="s">
        <v>12802</v>
      </c>
      <c r="U4860" t="s">
        <v>12802</v>
      </c>
      <c r="V4860" t="s">
        <v>12802</v>
      </c>
      <c r="W4860" t="s">
        <v>17599</v>
      </c>
      <c r="X4860">
        <v>5</v>
      </c>
      <c r="Y4860" t="s">
        <v>23816</v>
      </c>
      <c r="Z4860" t="s">
        <v>30178</v>
      </c>
      <c r="AA4860">
        <v>0.40262516347384403</v>
      </c>
      <c r="AB4860" t="str">
        <f>HYPERLINK("Melting_Curves/meltCurve_Q96DX7_TRIM44.pdf", "Melting_Curves/meltCurve_Q96DX7_TRIM44.pdf")</f>
        <v>Melting_Curves/meltCurve_Q96DX7_TRIM44.pdf</v>
      </c>
    </row>
    <row r="4861" spans="1:28" x14ac:dyDescent="0.25">
      <c r="A4861" t="s">
        <v>4865</v>
      </c>
      <c r="B4861">
        <v>0.99542014353169495</v>
      </c>
      <c r="C4861">
        <v>0.81294621069094897</v>
      </c>
      <c r="D4861">
        <v>0.68375394980249204</v>
      </c>
      <c r="E4861">
        <v>0.66491161944428201</v>
      </c>
      <c r="F4861">
        <v>0.60642082499883998</v>
      </c>
      <c r="G4861">
        <v>0.45325140992706697</v>
      </c>
      <c r="H4861">
        <v>0.43805677411213001</v>
      </c>
      <c r="I4861">
        <v>0.50218243193004897</v>
      </c>
      <c r="J4861">
        <v>0.97642084028074805</v>
      </c>
      <c r="K4861">
        <v>1.29249880431707</v>
      </c>
      <c r="L4861">
        <v>9954.0908680436405</v>
      </c>
      <c r="M4861">
        <v>250</v>
      </c>
      <c r="O4861">
        <v>39.813817106164102</v>
      </c>
      <c r="P4861">
        <v>-0.46750875777422901</v>
      </c>
      <c r="Q4861">
        <v>0.70218708159717302</v>
      </c>
      <c r="R4861">
        <v>0.119015491952929</v>
      </c>
      <c r="S4861" t="s">
        <v>11263</v>
      </c>
      <c r="T4861" t="s">
        <v>12802</v>
      </c>
      <c r="U4861" t="s">
        <v>12802</v>
      </c>
      <c r="V4861" t="s">
        <v>12802</v>
      </c>
      <c r="W4861" t="s">
        <v>17600</v>
      </c>
      <c r="X4861">
        <v>1</v>
      </c>
      <c r="Y4861" t="s">
        <v>23817</v>
      </c>
      <c r="Z4861" t="s">
        <v>30179</v>
      </c>
      <c r="AA4861">
        <v>0.7301662060714752</v>
      </c>
      <c r="AB4861" t="str">
        <f>HYPERLINK("Melting_Curves/meltCurve_Q96DY2_IQCD.pdf", "Melting_Curves/meltCurve_Q96DY2_IQCD.pdf")</f>
        <v>Melting_Curves/meltCurve_Q96DY2_IQCD.pdf</v>
      </c>
    </row>
    <row r="4862" spans="1:28" x14ac:dyDescent="0.25">
      <c r="A4862" t="s">
        <v>4866</v>
      </c>
      <c r="B4862">
        <v>0.99542014353169495</v>
      </c>
      <c r="C4862">
        <v>0.96861846492608294</v>
      </c>
      <c r="D4862">
        <v>1.00115429930144</v>
      </c>
      <c r="E4862">
        <v>0.83343844759194796</v>
      </c>
      <c r="F4862">
        <v>0.66316031520457597</v>
      </c>
      <c r="G4862">
        <v>0.38535873942012</v>
      </c>
      <c r="H4862">
        <v>0.16837309446983501</v>
      </c>
      <c r="I4862">
        <v>9.5152193103346494E-2</v>
      </c>
      <c r="J4862">
        <v>9.7890815014648802E-2</v>
      </c>
      <c r="K4862">
        <v>9.3656938369845705E-2</v>
      </c>
      <c r="L4862">
        <v>898.27164671173898</v>
      </c>
      <c r="M4862">
        <v>17.395539261732701</v>
      </c>
      <c r="N4862">
        <v>51.992583565254499</v>
      </c>
      <c r="O4862">
        <v>50.970131320596202</v>
      </c>
      <c r="P4862">
        <v>-8.0554922484983402E-2</v>
      </c>
      <c r="Q4862">
        <v>5.5927354159690801E-2</v>
      </c>
      <c r="R4862">
        <v>0.99609300892872299</v>
      </c>
      <c r="S4862" t="s">
        <v>11264</v>
      </c>
      <c r="T4862" t="s">
        <v>12802</v>
      </c>
      <c r="U4862" t="s">
        <v>12802</v>
      </c>
      <c r="V4862" t="s">
        <v>12802</v>
      </c>
      <c r="W4862" t="s">
        <v>17601</v>
      </c>
      <c r="X4862">
        <v>7</v>
      </c>
      <c r="Y4862" t="s">
        <v>23818</v>
      </c>
      <c r="Z4862" t="s">
        <v>30180</v>
      </c>
      <c r="AA4862">
        <v>0.5317313796271903</v>
      </c>
      <c r="AB4862" t="str">
        <f>HYPERLINK("Melting_Curves/meltCurve_Q96DZ1_2_ERLEC1.pdf", "Melting_Curves/meltCurve_Q96DZ1_2_ERLEC1.pdf")</f>
        <v>Melting_Curves/meltCurve_Q96DZ1_2_ERLEC1.pdf</v>
      </c>
    </row>
    <row r="4863" spans="1:28" x14ac:dyDescent="0.25">
      <c r="A4863" t="s">
        <v>4867</v>
      </c>
      <c r="B4863">
        <v>0.99542014353169495</v>
      </c>
      <c r="C4863">
        <v>0.95558702871571499</v>
      </c>
      <c r="D4863">
        <v>1.07946199841691</v>
      </c>
      <c r="E4863">
        <v>0.95623112712803904</v>
      </c>
      <c r="F4863">
        <v>0.818152597160833</v>
      </c>
      <c r="G4863">
        <v>0.58461726406966297</v>
      </c>
      <c r="H4863">
        <v>0.457816651006138</v>
      </c>
      <c r="I4863">
        <v>0.400243621425246</v>
      </c>
      <c r="J4863">
        <v>0.53996023799390003</v>
      </c>
      <c r="K4863">
        <v>0.71742335088622899</v>
      </c>
      <c r="L4863">
        <v>2033.81732144694</v>
      </c>
      <c r="M4863">
        <v>40.082492086235</v>
      </c>
      <c r="O4863">
        <v>50.614981679957701</v>
      </c>
      <c r="P4863">
        <v>-9.29863374566645E-2</v>
      </c>
      <c r="Q4863">
        <v>0.53031941460464105</v>
      </c>
      <c r="R4863">
        <v>0.87462449996644898</v>
      </c>
      <c r="S4863" t="s">
        <v>11265</v>
      </c>
      <c r="T4863" t="s">
        <v>12802</v>
      </c>
      <c r="U4863" t="s">
        <v>12802</v>
      </c>
      <c r="V4863" t="s">
        <v>12802</v>
      </c>
      <c r="W4863" t="s">
        <v>17602</v>
      </c>
      <c r="X4863">
        <v>7</v>
      </c>
      <c r="Y4863" t="s">
        <v>23819</v>
      </c>
      <c r="Z4863" t="s">
        <v>30181</v>
      </c>
      <c r="AA4863">
        <v>0.74708425790296384</v>
      </c>
      <c r="AB4863" t="str">
        <f>HYPERLINK("Melting_Curves/meltCurve_Q96E09_FAM122A.pdf", "Melting_Curves/meltCurve_Q96E09_FAM122A.pdf")</f>
        <v>Melting_Curves/meltCurve_Q96E09_FAM122A.pdf</v>
      </c>
    </row>
    <row r="4864" spans="1:28" x14ac:dyDescent="0.25">
      <c r="A4864" t="s">
        <v>4868</v>
      </c>
      <c r="B4864">
        <v>0.99542014353169495</v>
      </c>
      <c r="C4864">
        <v>1.0454303162915</v>
      </c>
      <c r="D4864">
        <v>0.92143058290869295</v>
      </c>
      <c r="E4864">
        <v>0.82883210187854395</v>
      </c>
      <c r="F4864">
        <v>0.54179396879906205</v>
      </c>
      <c r="G4864">
        <v>0.3191695278401</v>
      </c>
      <c r="H4864">
        <v>0.196179339489395</v>
      </c>
      <c r="I4864">
        <v>0.12980489700262801</v>
      </c>
      <c r="J4864">
        <v>0.16032912166909999</v>
      </c>
      <c r="K4864">
        <v>0.163324588247729</v>
      </c>
      <c r="L4864">
        <v>944.833240380696</v>
      </c>
      <c r="M4864">
        <v>18.936314534930499</v>
      </c>
      <c r="N4864">
        <v>50.7462582333049</v>
      </c>
      <c r="O4864">
        <v>49.348856889943399</v>
      </c>
      <c r="P4864">
        <v>-8.2884879832179195E-2</v>
      </c>
      <c r="Q4864">
        <v>0.136028527856346</v>
      </c>
      <c r="R4864">
        <v>0.99530926316767099</v>
      </c>
      <c r="S4864" t="s">
        <v>11266</v>
      </c>
      <c r="T4864" t="s">
        <v>12802</v>
      </c>
      <c r="U4864" t="s">
        <v>12802</v>
      </c>
      <c r="V4864" t="s">
        <v>12802</v>
      </c>
      <c r="W4864" t="s">
        <v>17603</v>
      </c>
      <c r="X4864">
        <v>13</v>
      </c>
      <c r="Y4864" t="s">
        <v>23820</v>
      </c>
      <c r="Z4864" t="s">
        <v>30182</v>
      </c>
      <c r="AA4864">
        <v>0.51991304903662439</v>
      </c>
      <c r="AB4864" t="str">
        <f>HYPERLINK("Melting_Curves/meltCurve_Q96E11_3_MRRF.pdf", "Melting_Curves/meltCurve_Q96E11_3_MRRF.pdf")</f>
        <v>Melting_Curves/meltCurve_Q96E11_3_MRRF.pdf</v>
      </c>
    </row>
    <row r="4865" spans="1:28" x14ac:dyDescent="0.25">
      <c r="A4865" t="s">
        <v>4869</v>
      </c>
      <c r="B4865">
        <v>0.99542014353169495</v>
      </c>
      <c r="C4865">
        <v>1.01372550410722</v>
      </c>
      <c r="D4865">
        <v>0.72541105888494295</v>
      </c>
      <c r="E4865">
        <v>0.40495020025842599</v>
      </c>
      <c r="F4865">
        <v>0.167789305415801</v>
      </c>
      <c r="G4865">
        <v>9.2112458558733498E-2</v>
      </c>
      <c r="H4865">
        <v>7.2794953747077396E-2</v>
      </c>
      <c r="I4865">
        <v>6.2521104294138694E-2</v>
      </c>
      <c r="J4865">
        <v>6.0759968308780402E-2</v>
      </c>
      <c r="K4865">
        <v>0.10416261215089501</v>
      </c>
      <c r="L4865">
        <v>973.41320484183404</v>
      </c>
      <c r="M4865">
        <v>21.556999816756399</v>
      </c>
      <c r="N4865">
        <v>45.479921984778898</v>
      </c>
      <c r="O4865">
        <v>44.772125383343301</v>
      </c>
      <c r="P4865">
        <v>-0.111790917117997</v>
      </c>
      <c r="Q4865">
        <v>7.1300126399788194E-2</v>
      </c>
      <c r="R4865">
        <v>0.99458948744188103</v>
      </c>
      <c r="S4865" t="s">
        <v>11267</v>
      </c>
      <c r="T4865" t="s">
        <v>12802</v>
      </c>
      <c r="U4865" t="s">
        <v>12802</v>
      </c>
      <c r="V4865" t="s">
        <v>12802</v>
      </c>
      <c r="W4865" t="s">
        <v>17604</v>
      </c>
      <c r="X4865">
        <v>2</v>
      </c>
      <c r="Y4865" t="s">
        <v>23821</v>
      </c>
      <c r="Z4865" t="s">
        <v>30183</v>
      </c>
      <c r="AA4865">
        <v>0.33417451933363779</v>
      </c>
      <c r="AB4865" t="str">
        <f>HYPERLINK("Melting_Curves/meltCurve_Q96E14_RMI2.pdf", "Melting_Curves/meltCurve_Q96E14_RMI2.pdf")</f>
        <v>Melting_Curves/meltCurve_Q96E14_RMI2.pdf</v>
      </c>
    </row>
    <row r="4866" spans="1:28" x14ac:dyDescent="0.25">
      <c r="A4866" t="s">
        <v>4870</v>
      </c>
      <c r="B4866">
        <v>0.99542014353169495</v>
      </c>
      <c r="C4866">
        <v>1.08440216434045</v>
      </c>
      <c r="D4866">
        <v>1.0486729786162501</v>
      </c>
      <c r="E4866">
        <v>1.00726424872592</v>
      </c>
      <c r="F4866">
        <v>0.92585014839560598</v>
      </c>
      <c r="G4866">
        <v>0.74814744703638003</v>
      </c>
      <c r="H4866">
        <v>0.43185934340922399</v>
      </c>
      <c r="I4866">
        <v>0.16335202627874501</v>
      </c>
      <c r="J4866">
        <v>9.9073767709642296E-2</v>
      </c>
      <c r="K4866">
        <v>7.0426445825693199E-2</v>
      </c>
      <c r="L4866">
        <v>1264.59312571289</v>
      </c>
      <c r="M4866">
        <v>22.454972983995201</v>
      </c>
      <c r="N4866">
        <v>56.5111261482446</v>
      </c>
      <c r="O4866">
        <v>55.875880634530503</v>
      </c>
      <c r="P4866">
        <v>-9.6738061702256697E-2</v>
      </c>
      <c r="Q4866">
        <v>3.71460311814827E-2</v>
      </c>
      <c r="R4866">
        <v>0.99329218615040404</v>
      </c>
      <c r="S4866" t="s">
        <v>11268</v>
      </c>
      <c r="T4866" t="s">
        <v>12802</v>
      </c>
      <c r="U4866" t="s">
        <v>12802</v>
      </c>
      <c r="V4866" t="s">
        <v>12802</v>
      </c>
      <c r="W4866" t="s">
        <v>17605</v>
      </c>
      <c r="X4866">
        <v>5</v>
      </c>
      <c r="Y4866" t="s">
        <v>23822</v>
      </c>
      <c r="Z4866" t="s">
        <v>30184</v>
      </c>
      <c r="AA4866">
        <v>0.66572771279143361</v>
      </c>
      <c r="AB4866" t="str">
        <f>HYPERLINK("Melting_Curves/meltCurve_Q96E22_NUS1.pdf", "Melting_Curves/meltCurve_Q96E22_NUS1.pdf")</f>
        <v>Melting_Curves/meltCurve_Q96E22_NUS1.pdf</v>
      </c>
    </row>
    <row r="4867" spans="1:28" x14ac:dyDescent="0.25">
      <c r="A4867" t="s">
        <v>4871</v>
      </c>
      <c r="B4867">
        <v>0.99542014353169495</v>
      </c>
      <c r="C4867">
        <v>0.95984555773898805</v>
      </c>
      <c r="D4867">
        <v>0.93971559592215204</v>
      </c>
      <c r="E4867">
        <v>0.86341331963557999</v>
      </c>
      <c r="F4867">
        <v>0.73143220570143097</v>
      </c>
      <c r="G4867">
        <v>0.52199939557076402</v>
      </c>
      <c r="H4867">
        <v>0.384090226557529</v>
      </c>
      <c r="I4867">
        <v>0.294760431541148</v>
      </c>
      <c r="J4867">
        <v>0.21112841017119899</v>
      </c>
      <c r="K4867">
        <v>0.18005822319190801</v>
      </c>
      <c r="L4867">
        <v>600.98419178801203</v>
      </c>
      <c r="M4867">
        <v>11.1975237327099</v>
      </c>
      <c r="N4867">
        <v>54.661017922912798</v>
      </c>
      <c r="O4867">
        <v>52.044781400756399</v>
      </c>
      <c r="P4867">
        <v>-4.8867281782630299E-2</v>
      </c>
      <c r="Q4867">
        <v>9.1768781898875995E-2</v>
      </c>
      <c r="R4867">
        <v>0.99847091544208699</v>
      </c>
      <c r="S4867" t="s">
        <v>11269</v>
      </c>
      <c r="T4867" t="s">
        <v>12802</v>
      </c>
      <c r="U4867" t="s">
        <v>12802</v>
      </c>
      <c r="V4867" t="s">
        <v>12802</v>
      </c>
      <c r="W4867" t="s">
        <v>17606</v>
      </c>
      <c r="X4867">
        <v>5</v>
      </c>
      <c r="Y4867" t="s">
        <v>23823</v>
      </c>
      <c r="Z4867" t="s">
        <v>30185</v>
      </c>
      <c r="AA4867">
        <v>0.61400275353943112</v>
      </c>
      <c r="AB4867" t="str">
        <f>HYPERLINK("Melting_Curves/meltCurve_Q96E52_OMA1.pdf", "Melting_Curves/meltCurve_Q96E52_OMA1.pdf")</f>
        <v>Melting_Curves/meltCurve_Q96E52_OMA1.pdf</v>
      </c>
    </row>
    <row r="4868" spans="1:28" x14ac:dyDescent="0.25">
      <c r="A4868" t="s">
        <v>4872</v>
      </c>
      <c r="B4868">
        <v>0.99542014353169495</v>
      </c>
      <c r="C4868">
        <v>0.93065025703126703</v>
      </c>
      <c r="D4868">
        <v>0.89206481263273696</v>
      </c>
      <c r="E4868">
        <v>0.32833727294019899</v>
      </c>
      <c r="F4868">
        <v>0.172239294767112</v>
      </c>
      <c r="G4868">
        <v>9.6637226145527805E-2</v>
      </c>
      <c r="H4868">
        <v>6.9012271097422695E-2</v>
      </c>
      <c r="I4868">
        <v>4.6926901223639003E-2</v>
      </c>
      <c r="J4868">
        <v>5.9622853194130902E-2</v>
      </c>
      <c r="K4868">
        <v>6.9910991040309803E-2</v>
      </c>
      <c r="L4868">
        <v>1441.7898016199699</v>
      </c>
      <c r="M4868">
        <v>31.7781990820503</v>
      </c>
      <c r="N4868">
        <v>45.602462890461098</v>
      </c>
      <c r="O4868">
        <v>45.191880230860299</v>
      </c>
      <c r="P4868">
        <v>-0.1626726315415</v>
      </c>
      <c r="Q4868">
        <v>7.4655831159637101E-2</v>
      </c>
      <c r="R4868">
        <v>0.99369860081458805</v>
      </c>
      <c r="S4868" t="s">
        <v>11270</v>
      </c>
      <c r="T4868" t="s">
        <v>12802</v>
      </c>
      <c r="U4868" t="s">
        <v>12802</v>
      </c>
      <c r="V4868" t="s">
        <v>12802</v>
      </c>
      <c r="W4868" t="s">
        <v>17607</v>
      </c>
      <c r="X4868">
        <v>13</v>
      </c>
      <c r="Y4868" t="s">
        <v>23824</v>
      </c>
      <c r="Z4868" t="s">
        <v>30186</v>
      </c>
      <c r="AA4868">
        <v>0.33748017465270408</v>
      </c>
      <c r="AB4868" t="str">
        <f>HYPERLINK("Melting_Curves/meltCurve_Q96EA4_SPDL1.pdf", "Melting_Curves/meltCurve_Q96EA4_SPDL1.pdf")</f>
        <v>Melting_Curves/meltCurve_Q96EA4_SPDL1.pdf</v>
      </c>
    </row>
    <row r="4869" spans="1:28" x14ac:dyDescent="0.25">
      <c r="A4869" t="s">
        <v>4873</v>
      </c>
      <c r="B4869">
        <v>0.99542014353169495</v>
      </c>
      <c r="C4869">
        <v>0.91251742356929699</v>
      </c>
      <c r="D4869">
        <v>1.0240962630567501</v>
      </c>
      <c r="E4869">
        <v>0.83831392647053105</v>
      </c>
      <c r="F4869">
        <v>0.66136461234219301</v>
      </c>
      <c r="G4869">
        <v>0.42017496952851002</v>
      </c>
      <c r="H4869">
        <v>0.35657688905269502</v>
      </c>
      <c r="I4869">
        <v>0.28891196722163098</v>
      </c>
      <c r="J4869">
        <v>0.36130914650163398</v>
      </c>
      <c r="K4869">
        <v>0.41115941082025997</v>
      </c>
      <c r="L4869">
        <v>1127.0042015981401</v>
      </c>
      <c r="M4869">
        <v>22.7238650340283</v>
      </c>
      <c r="N4869">
        <v>52.265262273213303</v>
      </c>
      <c r="O4869">
        <v>49.216318519588</v>
      </c>
      <c r="P4869">
        <v>-7.5795595155576795E-2</v>
      </c>
      <c r="Q4869">
        <v>0.34336744563264399</v>
      </c>
      <c r="R4869">
        <v>0.97275243105402298</v>
      </c>
      <c r="S4869" t="s">
        <v>11271</v>
      </c>
      <c r="T4869" t="s">
        <v>12802</v>
      </c>
      <c r="U4869" t="s">
        <v>12802</v>
      </c>
      <c r="V4869" t="s">
        <v>12802</v>
      </c>
      <c r="W4869" t="s">
        <v>17608</v>
      </c>
      <c r="X4869">
        <v>12</v>
      </c>
      <c r="Y4869" t="s">
        <v>23825</v>
      </c>
      <c r="Z4869" t="s">
        <v>30187</v>
      </c>
      <c r="AA4869">
        <v>0.62590908292408909</v>
      </c>
      <c r="AB4869" t="str">
        <f>HYPERLINK("Melting_Curves/meltCurve_Q96EB1_ELP4.pdf", "Melting_Curves/meltCurve_Q96EB1_ELP4.pdf")</f>
        <v>Melting_Curves/meltCurve_Q96EB1_ELP4.pdf</v>
      </c>
    </row>
    <row r="4870" spans="1:28" x14ac:dyDescent="0.25">
      <c r="A4870" t="s">
        <v>4874</v>
      </c>
      <c r="B4870">
        <v>0.99542014353169495</v>
      </c>
      <c r="C4870">
        <v>1.0367916728475901</v>
      </c>
      <c r="D4870">
        <v>1.04314910940362</v>
      </c>
      <c r="E4870">
        <v>0.88355669068143505</v>
      </c>
      <c r="F4870">
        <v>0.514809673022947</v>
      </c>
      <c r="G4870">
        <v>0.16410138988748099</v>
      </c>
      <c r="H4870">
        <v>9.3048432634016104E-2</v>
      </c>
      <c r="I4870">
        <v>5.25733547215258E-2</v>
      </c>
      <c r="J4870">
        <v>4.6861781405034601E-2</v>
      </c>
      <c r="K4870">
        <v>4.8917609984376199E-2</v>
      </c>
      <c r="L4870">
        <v>1401.6184331730301</v>
      </c>
      <c r="M4870">
        <v>27.9812113009862</v>
      </c>
      <c r="N4870">
        <v>50.281747324572798</v>
      </c>
      <c r="O4870">
        <v>49.837663673938103</v>
      </c>
      <c r="P4870">
        <v>-0.13330959074024501</v>
      </c>
      <c r="Q4870">
        <v>5.0251131627329998E-2</v>
      </c>
      <c r="R4870">
        <v>0.99746189157844101</v>
      </c>
      <c r="S4870" t="s">
        <v>11272</v>
      </c>
      <c r="T4870" t="s">
        <v>12802</v>
      </c>
      <c r="U4870" t="s">
        <v>12802</v>
      </c>
      <c r="V4870" t="s">
        <v>12802</v>
      </c>
      <c r="W4870" t="s">
        <v>17609</v>
      </c>
      <c r="X4870">
        <v>19</v>
      </c>
      <c r="Y4870" t="s">
        <v>23826</v>
      </c>
      <c r="Z4870" t="s">
        <v>30188</v>
      </c>
      <c r="AA4870">
        <v>0.47139381944506831</v>
      </c>
      <c r="AB4870" t="str">
        <f>HYPERLINK("Melting_Curves/meltCurve_Q96EB6_SIRT1.pdf", "Melting_Curves/meltCurve_Q96EB6_SIRT1.pdf")</f>
        <v>Melting_Curves/meltCurve_Q96EB6_SIRT1.pdf</v>
      </c>
    </row>
    <row r="4871" spans="1:28" x14ac:dyDescent="0.25">
      <c r="A4871" t="s">
        <v>4875</v>
      </c>
      <c r="B4871">
        <v>0.99542014353169495</v>
      </c>
      <c r="C4871">
        <v>1.0351061527444101</v>
      </c>
      <c r="D4871">
        <v>0.943236107273277</v>
      </c>
      <c r="E4871">
        <v>0.822617049227655</v>
      </c>
      <c r="F4871">
        <v>0.76403780214650197</v>
      </c>
      <c r="G4871">
        <v>0.61567848914106604</v>
      </c>
      <c r="H4871">
        <v>0.42086639228218298</v>
      </c>
      <c r="I4871">
        <v>0.29412762580983798</v>
      </c>
      <c r="J4871">
        <v>0.28119833507675002</v>
      </c>
      <c r="K4871">
        <v>0.23143863518184299</v>
      </c>
      <c r="L4871">
        <v>586.26632508374803</v>
      </c>
      <c r="M4871">
        <v>10.796494971362</v>
      </c>
      <c r="N4871">
        <v>55.756318191090202</v>
      </c>
      <c r="O4871">
        <v>52.538143316445797</v>
      </c>
      <c r="P4871">
        <v>-4.5084638311848897E-2</v>
      </c>
      <c r="Q4871">
        <v>0.122750401868996</v>
      </c>
      <c r="R4871">
        <v>0.99017865993938603</v>
      </c>
      <c r="S4871" t="s">
        <v>11273</v>
      </c>
      <c r="T4871" t="s">
        <v>12802</v>
      </c>
      <c r="U4871" t="s">
        <v>12802</v>
      </c>
      <c r="V4871" t="s">
        <v>12802</v>
      </c>
      <c r="W4871" t="s">
        <v>17610</v>
      </c>
      <c r="X4871">
        <v>2</v>
      </c>
      <c r="Y4871" t="s">
        <v>23827</v>
      </c>
      <c r="Z4871" t="s">
        <v>30189</v>
      </c>
      <c r="AA4871">
        <v>0.64324286500761019</v>
      </c>
      <c r="AB4871" t="str">
        <f>HYPERLINK("Melting_Curves/meltCurve_Q96EC8_YIPF6.pdf", "Melting_Curves/meltCurve_Q96EC8_YIPF6.pdf")</f>
        <v>Melting_Curves/meltCurve_Q96EC8_YIPF6.pdf</v>
      </c>
    </row>
    <row r="4872" spans="1:28" x14ac:dyDescent="0.25">
      <c r="A4872" t="s">
        <v>4876</v>
      </c>
      <c r="B4872">
        <v>0.99542014353169495</v>
      </c>
      <c r="C4872">
        <v>1.10683230315998</v>
      </c>
      <c r="D4872">
        <v>1.01494508993906</v>
      </c>
      <c r="E4872">
        <v>0.84624647536281705</v>
      </c>
      <c r="F4872">
        <v>0.79537495529452396</v>
      </c>
      <c r="G4872">
        <v>0.63644497312609905</v>
      </c>
      <c r="H4872">
        <v>0.36758634286409198</v>
      </c>
      <c r="I4872">
        <v>0.14976738635179099</v>
      </c>
      <c r="J4872">
        <v>5.7448360667029602E-2</v>
      </c>
      <c r="K4872">
        <v>8.7933084233289799E-2</v>
      </c>
      <c r="L4872">
        <v>837.99409192913504</v>
      </c>
      <c r="M4872">
        <v>15.2185004288425</v>
      </c>
      <c r="N4872">
        <v>55.0641703495927</v>
      </c>
      <c r="O4872">
        <v>54.139656595091402</v>
      </c>
      <c r="P4872">
        <v>-7.0280982532130803E-2</v>
      </c>
      <c r="Q4872">
        <v>0</v>
      </c>
      <c r="R4872">
        <v>0.98067895407357097</v>
      </c>
      <c r="S4872" t="s">
        <v>11274</v>
      </c>
      <c r="T4872" t="s">
        <v>12802</v>
      </c>
      <c r="U4872" t="s">
        <v>12802</v>
      </c>
      <c r="V4872" t="s">
        <v>12802</v>
      </c>
      <c r="W4872" t="s">
        <v>17611</v>
      </c>
      <c r="X4872">
        <v>3</v>
      </c>
      <c r="Y4872" t="s">
        <v>23828</v>
      </c>
      <c r="Z4872" t="s">
        <v>30190</v>
      </c>
      <c r="AA4872">
        <v>0.61601158428598601</v>
      </c>
      <c r="AB4872" t="str">
        <f>HYPERLINK("Melting_Curves/meltCurve_Q96ED9_2_HOOK2.pdf", "Melting_Curves/meltCurve_Q96ED9_2_HOOK2.pdf")</f>
        <v>Melting_Curves/meltCurve_Q96ED9_2_HOOK2.pdf</v>
      </c>
    </row>
    <row r="4873" spans="1:28" x14ac:dyDescent="0.25">
      <c r="A4873" t="s">
        <v>4877</v>
      </c>
      <c r="B4873">
        <v>0.99542014353169495</v>
      </c>
      <c r="C4873">
        <v>1.00042224374347</v>
      </c>
      <c r="D4873">
        <v>0.94979885857738899</v>
      </c>
      <c r="E4873">
        <v>0.876480653439901</v>
      </c>
      <c r="F4873">
        <v>0.73143748827088795</v>
      </c>
      <c r="G4873">
        <v>0.69761938584302596</v>
      </c>
      <c r="H4873">
        <v>0.33007234243991201</v>
      </c>
      <c r="I4873">
        <v>9.3285921262416902E-2</v>
      </c>
      <c r="J4873">
        <v>6.5565543670645002E-2</v>
      </c>
      <c r="K4873">
        <v>6.8570220917491598E-2</v>
      </c>
      <c r="L4873">
        <v>864.48801209055</v>
      </c>
      <c r="M4873">
        <v>15.7572883962413</v>
      </c>
      <c r="N4873">
        <v>54.862740379107002</v>
      </c>
      <c r="O4873">
        <v>54.0019177095826</v>
      </c>
      <c r="P4873">
        <v>-7.2953892776640106E-2</v>
      </c>
      <c r="Q4873">
        <v>0</v>
      </c>
      <c r="R4873">
        <v>0.976570001679405</v>
      </c>
      <c r="S4873" t="s">
        <v>11275</v>
      </c>
      <c r="T4873" t="s">
        <v>12802</v>
      </c>
      <c r="U4873" t="s">
        <v>12802</v>
      </c>
      <c r="V4873" t="s">
        <v>12802</v>
      </c>
      <c r="W4873" t="s">
        <v>17612</v>
      </c>
      <c r="X4873">
        <v>11</v>
      </c>
      <c r="Y4873" t="s">
        <v>23829</v>
      </c>
      <c r="Z4873" t="s">
        <v>30191</v>
      </c>
      <c r="AA4873">
        <v>0.60948752086621538</v>
      </c>
      <c r="AB4873" t="str">
        <f>HYPERLINK("Melting_Curves/meltCurve_Q96EE3_SEH1L.pdf", "Melting_Curves/meltCurve_Q96EE3_SEH1L.pdf")</f>
        <v>Melting_Curves/meltCurve_Q96EE3_SEH1L.pdf</v>
      </c>
    </row>
    <row r="4874" spans="1:28" x14ac:dyDescent="0.25">
      <c r="A4874" t="s">
        <v>4878</v>
      </c>
      <c r="B4874">
        <v>0.99542014353169495</v>
      </c>
      <c r="C4874">
        <v>0.88852849791187505</v>
      </c>
      <c r="D4874">
        <v>0.97354847977197001</v>
      </c>
      <c r="E4874">
        <v>0.82180474817989801</v>
      </c>
      <c r="F4874">
        <v>0.82553007586916805</v>
      </c>
      <c r="G4874">
        <v>0.65042197354309494</v>
      </c>
      <c r="H4874">
        <v>0.70202940656949997</v>
      </c>
      <c r="I4874">
        <v>0.43960916483114998</v>
      </c>
      <c r="J4874">
        <v>0.18503818111746501</v>
      </c>
      <c r="K4874">
        <v>0.15011211938053501</v>
      </c>
      <c r="L4874">
        <v>589.90219351555595</v>
      </c>
      <c r="M4874">
        <v>10.113153467685001</v>
      </c>
      <c r="N4874">
        <v>58.330193009292998</v>
      </c>
      <c r="O4874">
        <v>56.187267581972101</v>
      </c>
      <c r="P4874">
        <v>-4.5018496125598398E-2</v>
      </c>
      <c r="Q4874">
        <v>0</v>
      </c>
      <c r="R4874">
        <v>0.92154993294199505</v>
      </c>
      <c r="S4874" t="s">
        <v>11276</v>
      </c>
      <c r="T4874" t="s">
        <v>12802</v>
      </c>
      <c r="U4874" t="s">
        <v>12802</v>
      </c>
      <c r="V4874" t="s">
        <v>12802</v>
      </c>
      <c r="W4874" t="s">
        <v>17613</v>
      </c>
      <c r="X4874">
        <v>3</v>
      </c>
      <c r="Y4874" t="s">
        <v>23830</v>
      </c>
      <c r="Z4874" t="s">
        <v>30192</v>
      </c>
      <c r="AA4874">
        <v>0.70023166886745392</v>
      </c>
      <c r="AB4874" t="str">
        <f>HYPERLINK("Melting_Curves/meltCurve_Q96EF9_ZHX1_C8orf76.pdf", "Melting_Curves/meltCurve_Q96EF9_ZHX1_C8orf76.pdf")</f>
        <v>Melting_Curves/meltCurve_Q96EF9_ZHX1_C8orf76.pdf</v>
      </c>
    </row>
    <row r="4875" spans="1:28" x14ac:dyDescent="0.25">
      <c r="A4875" t="s">
        <v>4879</v>
      </c>
      <c r="B4875">
        <v>0.99542014353169495</v>
      </c>
      <c r="C4875">
        <v>1.0047516486132999</v>
      </c>
      <c r="D4875">
        <v>0.89671347055847095</v>
      </c>
      <c r="E4875">
        <v>0.96623138886299598</v>
      </c>
      <c r="F4875">
        <v>0.72110157874843295</v>
      </c>
      <c r="G4875">
        <v>0.69885798499934604</v>
      </c>
      <c r="H4875">
        <v>0.38843449741679498</v>
      </c>
      <c r="I4875">
        <v>0.21259182267573001</v>
      </c>
      <c r="J4875">
        <v>0.13761175727647901</v>
      </c>
      <c r="K4875">
        <v>7.0131980356844398E-2</v>
      </c>
      <c r="L4875">
        <v>749.28414923152195</v>
      </c>
      <c r="M4875">
        <v>13.475869223774501</v>
      </c>
      <c r="N4875">
        <v>55.601916263271598</v>
      </c>
      <c r="O4875">
        <v>54.420339157913801</v>
      </c>
      <c r="P4875">
        <v>-6.1915908073556902E-2</v>
      </c>
      <c r="Q4875">
        <v>0</v>
      </c>
      <c r="R4875">
        <v>0.98003529318042304</v>
      </c>
      <c r="S4875" t="s">
        <v>11277</v>
      </c>
      <c r="T4875" t="s">
        <v>12802</v>
      </c>
      <c r="U4875" t="s">
        <v>12802</v>
      </c>
      <c r="V4875" t="s">
        <v>12802</v>
      </c>
      <c r="W4875" t="s">
        <v>17614</v>
      </c>
      <c r="X4875">
        <v>4</v>
      </c>
      <c r="Y4875" t="s">
        <v>23831</v>
      </c>
      <c r="Z4875" t="s">
        <v>30193</v>
      </c>
      <c r="AA4875">
        <v>0.63252732949986001</v>
      </c>
      <c r="AB4875" t="str">
        <f>HYPERLINK("Melting_Curves/meltCurve_Q96EH3_MALSU1.pdf", "Melting_Curves/meltCurve_Q96EH3_MALSU1.pdf")</f>
        <v>Melting_Curves/meltCurve_Q96EH3_MALSU1.pdf</v>
      </c>
    </row>
    <row r="4876" spans="1:28" x14ac:dyDescent="0.25">
      <c r="A4876" t="s">
        <v>4880</v>
      </c>
      <c r="B4876">
        <v>0.99542014353169495</v>
      </c>
      <c r="C4876">
        <v>1.0311968537612299</v>
      </c>
      <c r="D4876">
        <v>0.97496199027855501</v>
      </c>
      <c r="E4876">
        <v>0.541659586465704</v>
      </c>
      <c r="F4876">
        <v>0.19470640825702001</v>
      </c>
      <c r="G4876">
        <v>0.120513791788774</v>
      </c>
      <c r="H4876">
        <v>8.36080260313532E-2</v>
      </c>
      <c r="I4876">
        <v>5.4248609046792601E-2</v>
      </c>
      <c r="J4876">
        <v>5.6391293177504E-2</v>
      </c>
      <c r="K4876">
        <v>5.8480165974791699E-2</v>
      </c>
      <c r="L4876">
        <v>1422.2589931662301</v>
      </c>
      <c r="M4876">
        <v>30.413174312916698</v>
      </c>
      <c r="N4876">
        <v>47.0062008232766</v>
      </c>
      <c r="O4876">
        <v>46.563781109855</v>
      </c>
      <c r="P4876">
        <v>-0.151473136581211</v>
      </c>
      <c r="Q4876">
        <v>7.2360104732923397E-2</v>
      </c>
      <c r="R4876">
        <v>0.996911188738697</v>
      </c>
      <c r="S4876" t="s">
        <v>11278</v>
      </c>
      <c r="T4876" t="s">
        <v>12802</v>
      </c>
      <c r="U4876" t="s">
        <v>12802</v>
      </c>
      <c r="V4876" t="s">
        <v>12802</v>
      </c>
      <c r="W4876" t="s">
        <v>17615</v>
      </c>
      <c r="X4876">
        <v>13</v>
      </c>
      <c r="Y4876" t="s">
        <v>23832</v>
      </c>
      <c r="Z4876" t="s">
        <v>30194</v>
      </c>
      <c r="AA4876">
        <v>0.37951446895601398</v>
      </c>
      <c r="AB4876" t="str">
        <f>HYPERLINK("Melting_Curves/meltCurve_Q96EK5_KIAA1279.pdf", "Melting_Curves/meltCurve_Q96EK5_KIAA1279.pdf")</f>
        <v>Melting_Curves/meltCurve_Q96EK5_KIAA1279.pdf</v>
      </c>
    </row>
    <row r="4877" spans="1:28" x14ac:dyDescent="0.25">
      <c r="A4877" t="s">
        <v>4881</v>
      </c>
      <c r="B4877">
        <v>0.99542014353169495</v>
      </c>
      <c r="C4877">
        <v>1.01415603029408</v>
      </c>
      <c r="D4877">
        <v>0.96568705507248798</v>
      </c>
      <c r="E4877">
        <v>1.0075256150962699</v>
      </c>
      <c r="F4877">
        <v>0.83233204179506803</v>
      </c>
      <c r="G4877">
        <v>0.74704457113576594</v>
      </c>
      <c r="H4877">
        <v>0.51590563148926905</v>
      </c>
      <c r="I4877">
        <v>0.24532670730881601</v>
      </c>
      <c r="J4877">
        <v>0.118600125404766</v>
      </c>
      <c r="K4877">
        <v>0.10119246573412501</v>
      </c>
      <c r="L4877">
        <v>913.56644720184499</v>
      </c>
      <c r="M4877">
        <v>15.9910282657031</v>
      </c>
      <c r="N4877">
        <v>57.129937664619199</v>
      </c>
      <c r="O4877">
        <v>56.258900381276298</v>
      </c>
      <c r="P4877">
        <v>-7.1065578091969103E-2</v>
      </c>
      <c r="Q4877">
        <v>0</v>
      </c>
      <c r="R4877">
        <v>0.99217877129530996</v>
      </c>
      <c r="S4877" t="s">
        <v>11279</v>
      </c>
      <c r="T4877" t="s">
        <v>12802</v>
      </c>
      <c r="U4877" t="s">
        <v>12802</v>
      </c>
      <c r="V4877" t="s">
        <v>12802</v>
      </c>
      <c r="W4877" t="s">
        <v>17616</v>
      </c>
      <c r="X4877">
        <v>12</v>
      </c>
      <c r="Y4877" t="s">
        <v>23833</v>
      </c>
      <c r="Z4877" t="s">
        <v>30195</v>
      </c>
      <c r="AA4877">
        <v>0.67923362304513024</v>
      </c>
      <c r="AB4877" t="str">
        <f>HYPERLINK("Melting_Curves/meltCurve_Q96EK6_GNPNAT1.pdf", "Melting_Curves/meltCurve_Q96EK6_GNPNAT1.pdf")</f>
        <v>Melting_Curves/meltCurve_Q96EK6_GNPNAT1.pdf</v>
      </c>
    </row>
    <row r="4878" spans="1:28" x14ac:dyDescent="0.25">
      <c r="A4878" t="s">
        <v>4882</v>
      </c>
      <c r="B4878">
        <v>0.99542014353169495</v>
      </c>
      <c r="C4878">
        <v>0.95850771810866997</v>
      </c>
      <c r="D4878">
        <v>0.935073286209398</v>
      </c>
      <c r="E4878">
        <v>0.61730701006375799</v>
      </c>
      <c r="F4878">
        <v>0.25795160731396599</v>
      </c>
      <c r="G4878">
        <v>0.118008509478849</v>
      </c>
      <c r="H4878">
        <v>8.1514245485040396E-2</v>
      </c>
      <c r="I4878">
        <v>5.40863734825009E-2</v>
      </c>
      <c r="J4878">
        <v>6.5044433207741406E-2</v>
      </c>
      <c r="K4878">
        <v>7.9536532595812601E-2</v>
      </c>
      <c r="L4878">
        <v>1128.29699907957</v>
      </c>
      <c r="M4878">
        <v>23.831032317109798</v>
      </c>
      <c r="N4878">
        <v>47.625103010714</v>
      </c>
      <c r="O4878">
        <v>47.016100771865403</v>
      </c>
      <c r="P4878">
        <v>-0.118452621271979</v>
      </c>
      <c r="Q4878">
        <v>6.5237396391192498E-2</v>
      </c>
      <c r="R4878">
        <v>0.99898760152921395</v>
      </c>
      <c r="S4878" t="s">
        <v>11280</v>
      </c>
      <c r="T4878" t="s">
        <v>12802</v>
      </c>
      <c r="U4878" t="s">
        <v>12802</v>
      </c>
      <c r="V4878" t="s">
        <v>12802</v>
      </c>
      <c r="W4878" t="s">
        <v>17617</v>
      </c>
      <c r="X4878">
        <v>10</v>
      </c>
      <c r="Y4878" t="s">
        <v>23834</v>
      </c>
      <c r="Z4878" t="s">
        <v>30196</v>
      </c>
      <c r="AA4878">
        <v>0.39627767398594438</v>
      </c>
      <c r="AB4878" t="str">
        <f>HYPERLINK("Melting_Curves/meltCurve_Q96EK9_KTI12.pdf", "Melting_Curves/meltCurve_Q96EK9_KTI12.pdf")</f>
        <v>Melting_Curves/meltCurve_Q96EK9_KTI12.pdf</v>
      </c>
    </row>
    <row r="4879" spans="1:28" x14ac:dyDescent="0.25">
      <c r="A4879" t="s">
        <v>4883</v>
      </c>
      <c r="B4879">
        <v>0.99542014353169495</v>
      </c>
      <c r="C4879">
        <v>1.07540476962832</v>
      </c>
      <c r="D4879">
        <v>0.86442517777356798</v>
      </c>
      <c r="E4879">
        <v>0.63353044917622903</v>
      </c>
      <c r="F4879">
        <v>0.48075183112376402</v>
      </c>
      <c r="G4879">
        <v>0.139544394877154</v>
      </c>
      <c r="H4879">
        <v>3.9671614605847803E-2</v>
      </c>
      <c r="I4879">
        <v>1.5788119669112501E-2</v>
      </c>
      <c r="J4879">
        <v>2.27142794021668E-2</v>
      </c>
      <c r="K4879">
        <v>2.2424615970628101E-2</v>
      </c>
      <c r="L4879">
        <v>803.16145195473496</v>
      </c>
      <c r="M4879">
        <v>16.449021026132801</v>
      </c>
      <c r="N4879">
        <v>48.827292447118602</v>
      </c>
      <c r="O4879">
        <v>48.122763025816198</v>
      </c>
      <c r="P4879">
        <v>-8.5459443639849794E-2</v>
      </c>
      <c r="Q4879">
        <v>0</v>
      </c>
      <c r="R4879">
        <v>0.98457862148057196</v>
      </c>
      <c r="S4879" t="s">
        <v>11281</v>
      </c>
      <c r="T4879" t="s">
        <v>12802</v>
      </c>
      <c r="U4879" t="s">
        <v>12802</v>
      </c>
      <c r="V4879" t="s">
        <v>12802</v>
      </c>
      <c r="W4879" t="s">
        <v>17618</v>
      </c>
      <c r="X4879">
        <v>1</v>
      </c>
      <c r="Y4879" t="s">
        <v>23835</v>
      </c>
      <c r="Z4879" t="s">
        <v>30197</v>
      </c>
      <c r="AA4879">
        <v>0.41282646436640491</v>
      </c>
      <c r="AB4879" t="str">
        <f>HYPERLINK("Melting_Curves/meltCurve_Q96EL2_MRPS24.pdf", "Melting_Curves/meltCurve_Q96EL2_MRPS24.pdf")</f>
        <v>Melting_Curves/meltCurve_Q96EL2_MRPS24.pdf</v>
      </c>
    </row>
    <row r="4880" spans="1:28" x14ac:dyDescent="0.25">
      <c r="A4880" t="s">
        <v>4884</v>
      </c>
      <c r="B4880">
        <v>0.99542014353169495</v>
      </c>
      <c r="C4880">
        <v>0.94495722606760002</v>
      </c>
      <c r="D4880">
        <v>0.90253338641985104</v>
      </c>
      <c r="E4880">
        <v>0.76472982290537905</v>
      </c>
      <c r="F4880">
        <v>0.411014554931323</v>
      </c>
      <c r="G4880">
        <v>0.26439488867315297</v>
      </c>
      <c r="H4880">
        <v>0.124044011188953</v>
      </c>
      <c r="I4880">
        <v>8.8226572813300194E-2</v>
      </c>
      <c r="J4880">
        <v>6.4532331676273397E-2</v>
      </c>
      <c r="K4880">
        <v>6.7511039875281106E-2</v>
      </c>
      <c r="L4880">
        <v>806.19435116251304</v>
      </c>
      <c r="M4880">
        <v>16.386374905674401</v>
      </c>
      <c r="N4880">
        <v>49.516191427439303</v>
      </c>
      <c r="O4880">
        <v>48.483826690805103</v>
      </c>
      <c r="P4880">
        <v>-8.0290790790263605E-2</v>
      </c>
      <c r="Q4880">
        <v>4.9813394133215401E-2</v>
      </c>
      <c r="R4880">
        <v>0.99644236940565201</v>
      </c>
      <c r="S4880" t="s">
        <v>11282</v>
      </c>
      <c r="T4880" t="s">
        <v>12802</v>
      </c>
      <c r="U4880" t="s">
        <v>12802</v>
      </c>
      <c r="V4880" t="s">
        <v>12802</v>
      </c>
      <c r="W4880" t="s">
        <v>17619</v>
      </c>
      <c r="X4880">
        <v>4</v>
      </c>
      <c r="Y4880" t="s">
        <v>23836</v>
      </c>
      <c r="Z4880" t="s">
        <v>30198</v>
      </c>
      <c r="AA4880">
        <v>0.45385914061524002</v>
      </c>
      <c r="AB4880" t="str">
        <f>HYPERLINK("Melting_Curves/meltCurve_Q96EL3_MRPL53.pdf", "Melting_Curves/meltCurve_Q96EL3_MRPL53.pdf")</f>
        <v>Melting_Curves/meltCurve_Q96EL3_MRPL53.pdf</v>
      </c>
    </row>
    <row r="4881" spans="1:28" x14ac:dyDescent="0.25">
      <c r="A4881" t="s">
        <v>4885</v>
      </c>
      <c r="B4881">
        <v>0.99542014353169495</v>
      </c>
      <c r="C4881">
        <v>1.0416611876636499</v>
      </c>
      <c r="D4881">
        <v>1.0069321685178001</v>
      </c>
      <c r="E4881">
        <v>0.91209379716855898</v>
      </c>
      <c r="F4881">
        <v>0.72313618440295602</v>
      </c>
      <c r="G4881">
        <v>0.52736867128340503</v>
      </c>
      <c r="H4881">
        <v>0.26492199161060898</v>
      </c>
      <c r="I4881">
        <v>8.4648255275926496E-2</v>
      </c>
      <c r="J4881">
        <v>8.8650829360106098E-2</v>
      </c>
      <c r="K4881">
        <v>8.9230907051207994E-2</v>
      </c>
      <c r="L4881">
        <v>888.162073082603</v>
      </c>
      <c r="M4881">
        <v>16.6104605866275</v>
      </c>
      <c r="N4881">
        <v>53.645369958508098</v>
      </c>
      <c r="O4881">
        <v>52.713080925268898</v>
      </c>
      <c r="P4881">
        <v>-7.6701603213443395E-2</v>
      </c>
      <c r="Q4881">
        <v>2.6419745102963601E-2</v>
      </c>
      <c r="R4881">
        <v>0.99420017973230201</v>
      </c>
      <c r="S4881" t="s">
        <v>11283</v>
      </c>
      <c r="T4881" t="s">
        <v>12802</v>
      </c>
      <c r="U4881" t="s">
        <v>12802</v>
      </c>
      <c r="V4881" t="s">
        <v>12802</v>
      </c>
      <c r="W4881" t="s">
        <v>17620</v>
      </c>
      <c r="X4881">
        <v>8</v>
      </c>
      <c r="Y4881" t="s">
        <v>23837</v>
      </c>
      <c r="Z4881" t="s">
        <v>30199</v>
      </c>
      <c r="AA4881">
        <v>0.57603837563104998</v>
      </c>
      <c r="AB4881" t="str">
        <f>HYPERLINK("Melting_Curves/meltCurve_Q96EM0_L3HYPDH.pdf", "Melting_Curves/meltCurve_Q96EM0_L3HYPDH.pdf")</f>
        <v>Melting_Curves/meltCurve_Q96EM0_L3HYPDH.pdf</v>
      </c>
    </row>
    <row r="4882" spans="1:28" x14ac:dyDescent="0.25">
      <c r="A4882" t="s">
        <v>4886</v>
      </c>
      <c r="B4882">
        <v>0.99542014353169495</v>
      </c>
      <c r="C4882">
        <v>1.0283569322577499</v>
      </c>
      <c r="D4882">
        <v>0.99311972203511101</v>
      </c>
      <c r="E4882">
        <v>0.82490417506890701</v>
      </c>
      <c r="F4882">
        <v>0.539626721630593</v>
      </c>
      <c r="G4882">
        <v>0.352885294110241</v>
      </c>
      <c r="H4882">
        <v>0.175932938492911</v>
      </c>
      <c r="I4882">
        <v>9.7043737418868098E-2</v>
      </c>
      <c r="J4882">
        <v>9.5640072639882001E-2</v>
      </c>
      <c r="K4882">
        <v>4.5329569494959199E-2</v>
      </c>
      <c r="L4882">
        <v>835.11157591306301</v>
      </c>
      <c r="M4882">
        <v>16.426608663116099</v>
      </c>
      <c r="N4882">
        <v>51.149937715483901</v>
      </c>
      <c r="O4882">
        <v>50.103418097901802</v>
      </c>
      <c r="P4882">
        <v>-7.8073990096469995E-2</v>
      </c>
      <c r="Q4882">
        <v>4.7521590502119203E-2</v>
      </c>
      <c r="R4882">
        <v>0.99617531854556896</v>
      </c>
      <c r="S4882" t="s">
        <v>11284</v>
      </c>
      <c r="T4882" t="s">
        <v>12802</v>
      </c>
      <c r="U4882" t="s">
        <v>12802</v>
      </c>
      <c r="V4882" t="s">
        <v>12802</v>
      </c>
      <c r="W4882" t="s">
        <v>17621</v>
      </c>
      <c r="X4882">
        <v>3</v>
      </c>
      <c r="Y4882" t="s">
        <v>23838</v>
      </c>
      <c r="Z4882" t="s">
        <v>30200</v>
      </c>
      <c r="AA4882">
        <v>0.50390953570845609</v>
      </c>
      <c r="AB4882" t="str">
        <f>HYPERLINK("Melting_Curves/meltCurve_Q96EN8_MOCOS.pdf", "Melting_Curves/meltCurve_Q96EN8_MOCOS.pdf")</f>
        <v>Melting_Curves/meltCurve_Q96EN8_MOCOS.pdf</v>
      </c>
    </row>
    <row r="4883" spans="1:28" x14ac:dyDescent="0.25">
      <c r="A4883" t="s">
        <v>4887</v>
      </c>
      <c r="B4883">
        <v>0.99542014353169495</v>
      </c>
      <c r="C4883">
        <v>0.99338395358775</v>
      </c>
      <c r="D4883">
        <v>0.87446906963749504</v>
      </c>
      <c r="E4883">
        <v>0.626622589486593</v>
      </c>
      <c r="F4883">
        <v>0.43364528190561602</v>
      </c>
      <c r="G4883">
        <v>0.14194524699344899</v>
      </c>
      <c r="H4883">
        <v>0.100144515195283</v>
      </c>
      <c r="I4883">
        <v>7.4305747157899601E-2</v>
      </c>
      <c r="J4883">
        <v>4.18236699379552E-2</v>
      </c>
      <c r="K4883">
        <v>5.3721707266970099E-2</v>
      </c>
      <c r="L4883">
        <v>766.49303667251797</v>
      </c>
      <c r="M4883">
        <v>15.8516043221624</v>
      </c>
      <c r="N4883">
        <v>48.535952215119899</v>
      </c>
      <c r="O4883">
        <v>47.604363003475299</v>
      </c>
      <c r="P4883">
        <v>-8.0855478036810896E-2</v>
      </c>
      <c r="Q4883">
        <v>2.8802405075303E-2</v>
      </c>
      <c r="R4883">
        <v>0.99490780813324498</v>
      </c>
      <c r="S4883" t="s">
        <v>11285</v>
      </c>
      <c r="T4883" t="s">
        <v>12802</v>
      </c>
      <c r="U4883" t="s">
        <v>12802</v>
      </c>
      <c r="V4883" t="s">
        <v>12802</v>
      </c>
      <c r="W4883" t="s">
        <v>17622</v>
      </c>
      <c r="X4883">
        <v>3</v>
      </c>
      <c r="Y4883" t="s">
        <v>23839</v>
      </c>
      <c r="Z4883" t="s">
        <v>30201</v>
      </c>
      <c r="AA4883">
        <v>0.41573011963986661</v>
      </c>
      <c r="AB4883" t="str">
        <f>HYPERLINK("Melting_Curves/meltCurve_Q96EP1_5_CHFR.pdf", "Melting_Curves/meltCurve_Q96EP1_5_CHFR.pdf")</f>
        <v>Melting_Curves/meltCurve_Q96EP1_5_CHFR.pdf</v>
      </c>
    </row>
    <row r="4884" spans="1:28" x14ac:dyDescent="0.25">
      <c r="A4884" t="s">
        <v>4888</v>
      </c>
      <c r="B4884">
        <v>0.99542014353169495</v>
      </c>
      <c r="C4884">
        <v>1.03715589530717</v>
      </c>
      <c r="D4884">
        <v>1.0946091551778301</v>
      </c>
      <c r="E4884">
        <v>0.88082002999682896</v>
      </c>
      <c r="F4884">
        <v>0.59162978830225199</v>
      </c>
      <c r="G4884">
        <v>0.37903076046052903</v>
      </c>
      <c r="H4884">
        <v>0.182537300849478</v>
      </c>
      <c r="I4884">
        <v>9.4373187059892602E-2</v>
      </c>
      <c r="J4884">
        <v>9.8508915438087805E-2</v>
      </c>
      <c r="K4884">
        <v>0.111993725661743</v>
      </c>
      <c r="L4884">
        <v>1022.89571452138</v>
      </c>
      <c r="M4884">
        <v>19.9935465370116</v>
      </c>
      <c r="N4884">
        <v>51.663479278487699</v>
      </c>
      <c r="O4884">
        <v>50.657731382466203</v>
      </c>
      <c r="P4884">
        <v>-8.9959204360916895E-2</v>
      </c>
      <c r="Q4884">
        <v>8.8309745741556298E-2</v>
      </c>
      <c r="R4884">
        <v>0.98807478422855299</v>
      </c>
      <c r="S4884" t="s">
        <v>11286</v>
      </c>
      <c r="T4884" t="s">
        <v>12802</v>
      </c>
      <c r="U4884" t="s">
        <v>12802</v>
      </c>
      <c r="V4884" t="s">
        <v>12802</v>
      </c>
      <c r="W4884" t="s">
        <v>17623</v>
      </c>
      <c r="X4884">
        <v>5</v>
      </c>
      <c r="Y4884" t="s">
        <v>23840</v>
      </c>
      <c r="Z4884" t="s">
        <v>30202</v>
      </c>
      <c r="AA4884">
        <v>0.53059055067491856</v>
      </c>
      <c r="AB4884" t="str">
        <f>HYPERLINK("Melting_Curves/meltCurve_Q96EP5_DAZAP1.pdf", "Melting_Curves/meltCurve_Q96EP5_DAZAP1.pdf")</f>
        <v>Melting_Curves/meltCurve_Q96EP5_DAZAP1.pdf</v>
      </c>
    </row>
    <row r="4885" spans="1:28" x14ac:dyDescent="0.25">
      <c r="A4885" t="s">
        <v>4889</v>
      </c>
      <c r="B4885">
        <v>0.99542014353169495</v>
      </c>
      <c r="C4885">
        <v>0.90928900966834603</v>
      </c>
      <c r="D4885">
        <v>1.0447538751152401</v>
      </c>
      <c r="E4885">
        <v>0.93396877197931305</v>
      </c>
      <c r="F4885">
        <v>0.80491367628217303</v>
      </c>
      <c r="G4885">
        <v>0.54916125167846497</v>
      </c>
      <c r="H4885">
        <v>0.45025598488937701</v>
      </c>
      <c r="I4885">
        <v>0.41681269530224102</v>
      </c>
      <c r="J4885">
        <v>0.50894654758745606</v>
      </c>
      <c r="K4885">
        <v>0.57223376196928999</v>
      </c>
      <c r="L4885">
        <v>1764.48407563412</v>
      </c>
      <c r="M4885">
        <v>34.745953375120102</v>
      </c>
      <c r="N4885">
        <v>56.498265192118197</v>
      </c>
      <c r="O4885">
        <v>50.615110914779599</v>
      </c>
      <c r="P4885">
        <v>-8.83617532112074E-2</v>
      </c>
      <c r="Q4885">
        <v>0.485128761047048</v>
      </c>
      <c r="R4885">
        <v>0.94843372749162502</v>
      </c>
      <c r="S4885" t="s">
        <v>11287</v>
      </c>
      <c r="T4885" t="s">
        <v>12802</v>
      </c>
      <c r="U4885" t="s">
        <v>12802</v>
      </c>
      <c r="V4885" t="s">
        <v>12802</v>
      </c>
      <c r="W4885" t="s">
        <v>17624</v>
      </c>
      <c r="X4885">
        <v>1</v>
      </c>
      <c r="Y4885" t="s">
        <v>23841</v>
      </c>
      <c r="Z4885" t="s">
        <v>30203</v>
      </c>
      <c r="AA4885">
        <v>0.7240604351515475</v>
      </c>
      <c r="AB4885" t="str">
        <f>HYPERLINK("Melting_Curves/meltCurve_Q96EP9_SLC10A4.pdf", "Melting_Curves/meltCurve_Q96EP9_SLC10A4.pdf")</f>
        <v>Melting_Curves/meltCurve_Q96EP9_SLC10A4.pdf</v>
      </c>
    </row>
    <row r="4886" spans="1:28" x14ac:dyDescent="0.25">
      <c r="A4886" t="s">
        <v>4890</v>
      </c>
      <c r="B4886">
        <v>0.99542014353169495</v>
      </c>
      <c r="C4886">
        <v>0.93296031316546502</v>
      </c>
      <c r="D4886">
        <v>0.92503323285450301</v>
      </c>
      <c r="E4886">
        <v>0.91792132975624097</v>
      </c>
      <c r="F4886">
        <v>0.69039693090048704</v>
      </c>
      <c r="G4886">
        <v>0.37362262111856098</v>
      </c>
      <c r="H4886">
        <v>0.14604998938312699</v>
      </c>
      <c r="I4886">
        <v>8.2818810755458494E-2</v>
      </c>
      <c r="J4886">
        <v>7.7617764858127297E-2</v>
      </c>
      <c r="K4886">
        <v>7.2745600717443404E-2</v>
      </c>
      <c r="L4886">
        <v>1058.2086956872199</v>
      </c>
      <c r="M4886">
        <v>20.377445142175599</v>
      </c>
      <c r="N4886">
        <v>52.197487717479802</v>
      </c>
      <c r="O4886">
        <v>51.438038241479099</v>
      </c>
      <c r="P4886">
        <v>-9.4138243955041598E-2</v>
      </c>
      <c r="Q4886">
        <v>4.9509957939338399E-2</v>
      </c>
      <c r="R4886">
        <v>0.99395949813235096</v>
      </c>
      <c r="S4886" t="s">
        <v>11288</v>
      </c>
      <c r="T4886" t="s">
        <v>12802</v>
      </c>
      <c r="U4886" t="s">
        <v>12802</v>
      </c>
      <c r="V4886" t="s">
        <v>12802</v>
      </c>
      <c r="W4886" t="s">
        <v>17625</v>
      </c>
      <c r="X4886">
        <v>2</v>
      </c>
      <c r="Y4886" t="s">
        <v>23842</v>
      </c>
      <c r="Z4886" t="s">
        <v>30204</v>
      </c>
      <c r="AA4886">
        <v>0.53448134815905457</v>
      </c>
      <c r="AB4886" t="str">
        <f>HYPERLINK("Melting_Curves/meltCurve_Q96EQ0_SGTB.pdf", "Melting_Curves/meltCurve_Q96EQ0_SGTB.pdf")</f>
        <v>Melting_Curves/meltCurve_Q96EQ0_SGTB.pdf</v>
      </c>
    </row>
    <row r="4887" spans="1:28" x14ac:dyDescent="0.25">
      <c r="A4887" t="s">
        <v>4891</v>
      </c>
      <c r="B4887">
        <v>0.99542014353169495</v>
      </c>
      <c r="C4887">
        <v>1.0206956378326399</v>
      </c>
      <c r="D4887">
        <v>0.85399561492637199</v>
      </c>
      <c r="E4887">
        <v>0.65601693930873695</v>
      </c>
      <c r="F4887">
        <v>0.36382773723401302</v>
      </c>
      <c r="G4887">
        <v>0.155070033021872</v>
      </c>
      <c r="H4887">
        <v>9.5341570529038897E-2</v>
      </c>
      <c r="I4887">
        <v>5.8023826005015301E-2</v>
      </c>
      <c r="J4887">
        <v>5.0231579949714798E-2</v>
      </c>
      <c r="K4887">
        <v>5.43349743112964E-2</v>
      </c>
      <c r="L4887">
        <v>826.62326298411404</v>
      </c>
      <c r="M4887">
        <v>17.1855349554151</v>
      </c>
      <c r="N4887">
        <v>48.318913484554201</v>
      </c>
      <c r="O4887">
        <v>47.462830550101501</v>
      </c>
      <c r="P4887">
        <v>-8.7135048440442606E-2</v>
      </c>
      <c r="Q4887">
        <v>3.74623399560211E-2</v>
      </c>
      <c r="R4887">
        <v>0.99729458490088296</v>
      </c>
      <c r="S4887" t="s">
        <v>11289</v>
      </c>
      <c r="T4887" t="s">
        <v>12802</v>
      </c>
      <c r="U4887" t="s">
        <v>12802</v>
      </c>
      <c r="V4887" t="s">
        <v>12802</v>
      </c>
      <c r="W4887" t="s">
        <v>13926</v>
      </c>
      <c r="X4887">
        <v>8</v>
      </c>
      <c r="Y4887" t="s">
        <v>20242</v>
      </c>
      <c r="Z4887" t="s">
        <v>30205</v>
      </c>
      <c r="AA4887">
        <v>0.41031629383548202</v>
      </c>
      <c r="AB4887" t="str">
        <f>HYPERLINK("Melting_Curves/meltCurve_Q96ER3_SAAL1.pdf", "Melting_Curves/meltCurve_Q96ER3_SAAL1.pdf")</f>
        <v>Melting_Curves/meltCurve_Q96ER3_SAAL1.pdf</v>
      </c>
    </row>
    <row r="4888" spans="1:28" x14ac:dyDescent="0.25">
      <c r="A4888" t="s">
        <v>4892</v>
      </c>
      <c r="B4888">
        <v>0.99542014353169495</v>
      </c>
      <c r="C4888">
        <v>0.92639361041394597</v>
      </c>
      <c r="D4888">
        <v>0.92906985073818704</v>
      </c>
      <c r="E4888">
        <v>0.80847352729159505</v>
      </c>
      <c r="F4888">
        <v>0.68642320063873996</v>
      </c>
      <c r="G4888">
        <v>0.47473084216283501</v>
      </c>
      <c r="H4888">
        <v>0.12213553717765201</v>
      </c>
      <c r="I4888">
        <v>8.36560459695877E-2</v>
      </c>
      <c r="J4888">
        <v>8.0849810320161905E-2</v>
      </c>
      <c r="K4888">
        <v>6.8380945294165094E-2</v>
      </c>
      <c r="L4888">
        <v>768.52820786003701</v>
      </c>
      <c r="M4888">
        <v>14.675813991059499</v>
      </c>
      <c r="N4888">
        <v>52.366989886972597</v>
      </c>
      <c r="O4888">
        <v>51.423521065371901</v>
      </c>
      <c r="P4888">
        <v>-7.1355640704923506E-2</v>
      </c>
      <c r="Q4888">
        <v>0</v>
      </c>
      <c r="R4888">
        <v>0.98257735880191099</v>
      </c>
      <c r="S4888" t="s">
        <v>11290</v>
      </c>
      <c r="T4888" t="s">
        <v>12802</v>
      </c>
      <c r="U4888" t="s">
        <v>12802</v>
      </c>
      <c r="V4888" t="s">
        <v>12802</v>
      </c>
      <c r="W4888" t="s">
        <v>17626</v>
      </c>
      <c r="X4888">
        <v>13</v>
      </c>
      <c r="Y4888" t="s">
        <v>23843</v>
      </c>
      <c r="Z4888" t="s">
        <v>30206</v>
      </c>
      <c r="AA4888">
        <v>0.53137489288298234</v>
      </c>
      <c r="AB4888" t="str">
        <f>HYPERLINK("Melting_Curves/meltCurve_Q96ER9_CCDC51.pdf", "Melting_Curves/meltCurve_Q96ER9_CCDC51.pdf")</f>
        <v>Melting_Curves/meltCurve_Q96ER9_CCDC51.pdf</v>
      </c>
    </row>
    <row r="4889" spans="1:28" x14ac:dyDescent="0.25">
      <c r="A4889" t="s">
        <v>4893</v>
      </c>
      <c r="B4889">
        <v>0.99542014353169495</v>
      </c>
      <c r="C4889">
        <v>0.96849100738692595</v>
      </c>
      <c r="D4889">
        <v>0.97537925104776002</v>
      </c>
      <c r="E4889">
        <v>0.81531649048089805</v>
      </c>
      <c r="F4889">
        <v>0.65015302326497304</v>
      </c>
      <c r="G4889">
        <v>0.346257270692306</v>
      </c>
      <c r="H4889">
        <v>0.107572085832047</v>
      </c>
      <c r="I4889">
        <v>6.8789122621630894E-2</v>
      </c>
      <c r="J4889">
        <v>6.8772389902688705E-2</v>
      </c>
      <c r="K4889">
        <v>8.0718301966221706E-2</v>
      </c>
      <c r="L4889">
        <v>919.98751512244405</v>
      </c>
      <c r="M4889">
        <v>17.914879381043701</v>
      </c>
      <c r="N4889">
        <v>51.545982291528297</v>
      </c>
      <c r="O4889">
        <v>50.726216051719597</v>
      </c>
      <c r="P4889">
        <v>-8.5436280287718394E-2</v>
      </c>
      <c r="Q4889">
        <v>3.23928141486306E-2</v>
      </c>
      <c r="R4889">
        <v>0.99409158482145799</v>
      </c>
      <c r="S4889" t="s">
        <v>11291</v>
      </c>
      <c r="T4889" t="s">
        <v>12802</v>
      </c>
      <c r="U4889" t="s">
        <v>12802</v>
      </c>
      <c r="V4889" t="s">
        <v>12802</v>
      </c>
      <c r="W4889" t="s">
        <v>17627</v>
      </c>
      <c r="X4889">
        <v>7</v>
      </c>
      <c r="Y4889" t="s">
        <v>23844</v>
      </c>
      <c r="Z4889" t="s">
        <v>30207</v>
      </c>
      <c r="AA4889">
        <v>0.51033532834641104</v>
      </c>
      <c r="AB4889" t="str">
        <f>HYPERLINK("Melting_Curves/meltCurve_Q96ES7_CCDC101.pdf", "Melting_Curves/meltCurve_Q96ES7_CCDC101.pdf")</f>
        <v>Melting_Curves/meltCurve_Q96ES7_CCDC101.pdf</v>
      </c>
    </row>
    <row r="4890" spans="1:28" x14ac:dyDescent="0.25">
      <c r="A4890" t="s">
        <v>4894</v>
      </c>
      <c r="B4890">
        <v>0.99542014353169495</v>
      </c>
      <c r="C4890">
        <v>1.2928159941688599</v>
      </c>
      <c r="D4890">
        <v>1.10283295956162</v>
      </c>
      <c r="E4890">
        <v>1.13979997659583</v>
      </c>
      <c r="F4890">
        <v>0.88440325661822505</v>
      </c>
      <c r="G4890">
        <v>0.54785044016931805</v>
      </c>
      <c r="H4890">
        <v>0.35618932155091498</v>
      </c>
      <c r="I4890">
        <v>0.22820460328599501</v>
      </c>
      <c r="J4890">
        <v>0.27072002569270798</v>
      </c>
      <c r="K4890">
        <v>0.42587941573441901</v>
      </c>
      <c r="L4890">
        <v>1950.1699224869801</v>
      </c>
      <c r="M4890">
        <v>36.952147577830701</v>
      </c>
      <c r="N4890">
        <v>54.204973120529701</v>
      </c>
      <c r="O4890">
        <v>52.621703529958403</v>
      </c>
      <c r="P4890">
        <v>-0.120905861404228</v>
      </c>
      <c r="Q4890">
        <v>0.31129807057022002</v>
      </c>
      <c r="R4890">
        <v>0.90265948790336803</v>
      </c>
      <c r="S4890" t="s">
        <v>11292</v>
      </c>
      <c r="T4890" t="s">
        <v>12802</v>
      </c>
      <c r="U4890" t="s">
        <v>12802</v>
      </c>
      <c r="V4890" t="s">
        <v>12802</v>
      </c>
      <c r="W4890" t="s">
        <v>17628</v>
      </c>
      <c r="X4890">
        <v>1</v>
      </c>
      <c r="Y4890" t="s">
        <v>23845</v>
      </c>
      <c r="Z4890" t="s">
        <v>30208</v>
      </c>
      <c r="AA4890">
        <v>0.67638014835078242</v>
      </c>
      <c r="AB4890" t="str">
        <f>HYPERLINK("Melting_Curves/meltCurve_Q96EU6_2_RRP36.pdf", "Melting_Curves/meltCurve_Q96EU6_2_RRP36.pdf")</f>
        <v>Melting_Curves/meltCurve_Q96EU6_2_RRP36.pdf</v>
      </c>
    </row>
    <row r="4891" spans="1:28" x14ac:dyDescent="0.25">
      <c r="A4891" t="s">
        <v>4895</v>
      </c>
      <c r="B4891">
        <v>0.99542014353169495</v>
      </c>
      <c r="C4891">
        <v>0.83912861360831403</v>
      </c>
      <c r="D4891">
        <v>0.98246030832962505</v>
      </c>
      <c r="E4891">
        <v>0.70727690948483701</v>
      </c>
      <c r="F4891">
        <v>0.52245902035745595</v>
      </c>
      <c r="G4891">
        <v>0.13402779089237199</v>
      </c>
      <c r="H4891">
        <v>6.3358168450388205E-2</v>
      </c>
      <c r="I4891">
        <v>3.40988442522406E-2</v>
      </c>
      <c r="J4891">
        <v>4.8199915440902803E-2</v>
      </c>
      <c r="K4891">
        <v>4.0867923640070102E-2</v>
      </c>
      <c r="L4891">
        <v>892.41563622338901</v>
      </c>
      <c r="M4891">
        <v>18.029231495724499</v>
      </c>
      <c r="N4891">
        <v>49.5482381049667</v>
      </c>
      <c r="O4891">
        <v>48.901357526995497</v>
      </c>
      <c r="P4891">
        <v>-9.1345579056547693E-2</v>
      </c>
      <c r="Q4891">
        <v>9.00848923031323E-3</v>
      </c>
      <c r="R4891">
        <v>0.97526569553245102</v>
      </c>
      <c r="S4891" t="s">
        <v>11293</v>
      </c>
      <c r="T4891" t="s">
        <v>12802</v>
      </c>
      <c r="U4891" t="s">
        <v>12802</v>
      </c>
      <c r="V4891" t="s">
        <v>12802</v>
      </c>
      <c r="W4891" t="s">
        <v>17629</v>
      </c>
      <c r="X4891">
        <v>1</v>
      </c>
      <c r="Y4891" t="s">
        <v>23846</v>
      </c>
      <c r="Z4891" t="s">
        <v>30209</v>
      </c>
      <c r="AA4891">
        <v>0.43751555920011098</v>
      </c>
      <c r="AB4891" t="str">
        <f>HYPERLINK("Melting_Curves/meltCurve_Q96EU7_C1GALT1C1.pdf", "Melting_Curves/meltCurve_Q96EU7_C1GALT1C1.pdf")</f>
        <v>Melting_Curves/meltCurve_Q96EU7_C1GALT1C1.pdf</v>
      </c>
    </row>
    <row r="4892" spans="1:28" x14ac:dyDescent="0.25">
      <c r="A4892" t="s">
        <v>4896</v>
      </c>
      <c r="B4892">
        <v>0.99542014353169495</v>
      </c>
      <c r="C4892">
        <v>0.963013705323021</v>
      </c>
      <c r="D4892">
        <v>0.89526763252937702</v>
      </c>
      <c r="E4892">
        <v>0.68201001027757802</v>
      </c>
      <c r="F4892">
        <v>0.452248463218684</v>
      </c>
      <c r="G4892">
        <v>0.20770419556393899</v>
      </c>
      <c r="H4892">
        <v>0.123030625299606</v>
      </c>
      <c r="I4892">
        <v>8.4875033543634196E-2</v>
      </c>
      <c r="J4892">
        <v>9.9674396168414101E-2</v>
      </c>
      <c r="K4892">
        <v>0.12552697334275201</v>
      </c>
      <c r="L4892">
        <v>806.02813479810698</v>
      </c>
      <c r="M4892">
        <v>16.601238099587601</v>
      </c>
      <c r="N4892">
        <v>49.053154512690099</v>
      </c>
      <c r="O4892">
        <v>47.864200088815899</v>
      </c>
      <c r="P4892">
        <v>-7.9955623538003701E-2</v>
      </c>
      <c r="Q4892">
        <v>7.7959774274117197E-2</v>
      </c>
      <c r="R4892">
        <v>0.99655184148607501</v>
      </c>
      <c r="S4892" t="s">
        <v>11294</v>
      </c>
      <c r="T4892" t="s">
        <v>12802</v>
      </c>
      <c r="U4892" t="s">
        <v>12802</v>
      </c>
      <c r="V4892" t="s">
        <v>12802</v>
      </c>
      <c r="W4892" t="s">
        <v>17630</v>
      </c>
      <c r="X4892">
        <v>16</v>
      </c>
      <c r="Y4892" t="s">
        <v>23847</v>
      </c>
      <c r="Z4892" t="s">
        <v>30210</v>
      </c>
      <c r="AA4892">
        <v>0.44994768914283861</v>
      </c>
      <c r="AB4892" t="str">
        <f>HYPERLINK("Melting_Curves/meltCurve_Q96EV2_RBM33.pdf", "Melting_Curves/meltCurve_Q96EV2_RBM33.pdf")</f>
        <v>Melting_Curves/meltCurve_Q96EV2_RBM33.pdf</v>
      </c>
    </row>
    <row r="4893" spans="1:28" x14ac:dyDescent="0.25">
      <c r="A4893" t="s">
        <v>4897</v>
      </c>
      <c r="B4893">
        <v>0.99542014353169495</v>
      </c>
      <c r="C4893">
        <v>1.00269722277994</v>
      </c>
      <c r="D4893">
        <v>0.91646118071406701</v>
      </c>
      <c r="E4893">
        <v>0.81047683807412996</v>
      </c>
      <c r="F4893">
        <v>0.65918296423415201</v>
      </c>
      <c r="G4893">
        <v>0.46654056928363702</v>
      </c>
      <c r="H4893">
        <v>0.22875816120874101</v>
      </c>
      <c r="I4893">
        <v>9.9991210639565398E-2</v>
      </c>
      <c r="J4893">
        <v>8.3237338137276295E-2</v>
      </c>
      <c r="K4893">
        <v>7.9052656960326095E-2</v>
      </c>
      <c r="L4893">
        <v>681.80756452263597</v>
      </c>
      <c r="M4893">
        <v>12.9786159425576</v>
      </c>
      <c r="N4893">
        <v>52.533158606069797</v>
      </c>
      <c r="O4893">
        <v>51.332887210602102</v>
      </c>
      <c r="P4893">
        <v>-6.3219334046424797E-2</v>
      </c>
      <c r="Q4893">
        <v>0</v>
      </c>
      <c r="R4893">
        <v>0.99507997307700702</v>
      </c>
      <c r="S4893" t="s">
        <v>11295</v>
      </c>
      <c r="T4893" t="s">
        <v>12802</v>
      </c>
      <c r="U4893" t="s">
        <v>12802</v>
      </c>
      <c r="V4893" t="s">
        <v>12802</v>
      </c>
      <c r="W4893" t="s">
        <v>17631</v>
      </c>
      <c r="X4893">
        <v>8</v>
      </c>
      <c r="Y4893" t="s">
        <v>23848</v>
      </c>
      <c r="Z4893" t="s">
        <v>30211</v>
      </c>
      <c r="AA4893">
        <v>0.53891750615359746</v>
      </c>
      <c r="AB4893" t="str">
        <f>HYPERLINK("Melting_Curves/meltCurve_Q96EV8_DTNBP1.pdf", "Melting_Curves/meltCurve_Q96EV8_DTNBP1.pdf")</f>
        <v>Melting_Curves/meltCurve_Q96EV8_DTNBP1.pdf</v>
      </c>
    </row>
    <row r="4894" spans="1:28" x14ac:dyDescent="0.25">
      <c r="A4894" t="s">
        <v>4898</v>
      </c>
      <c r="B4894">
        <v>0.99542014353169495</v>
      </c>
      <c r="C4894">
        <v>1.0121277541478999</v>
      </c>
      <c r="D4894">
        <v>1.09499116093003</v>
      </c>
      <c r="E4894">
        <v>0.97974832148256197</v>
      </c>
      <c r="F4894">
        <v>0.82536302492281299</v>
      </c>
      <c r="G4894">
        <v>0.69019310313339699</v>
      </c>
      <c r="H4894">
        <v>0.51291394134894996</v>
      </c>
      <c r="I4894">
        <v>0.42029323466631402</v>
      </c>
      <c r="J4894">
        <v>0.624480399506531</v>
      </c>
      <c r="K4894">
        <v>0.78319272102652604</v>
      </c>
      <c r="L4894">
        <v>1709.6380462479101</v>
      </c>
      <c r="M4894">
        <v>33.640877737897398</v>
      </c>
      <c r="O4894">
        <v>50.641688211835799</v>
      </c>
      <c r="P4894">
        <v>-6.7841883450136795E-2</v>
      </c>
      <c r="Q4894">
        <v>0.59149542861896298</v>
      </c>
      <c r="R4894">
        <v>0.81673440270794595</v>
      </c>
      <c r="S4894" t="s">
        <v>11296</v>
      </c>
      <c r="T4894" t="s">
        <v>12802</v>
      </c>
      <c r="U4894" t="s">
        <v>12802</v>
      </c>
      <c r="V4894" t="s">
        <v>12802</v>
      </c>
      <c r="W4894" t="s">
        <v>17632</v>
      </c>
      <c r="X4894">
        <v>3</v>
      </c>
      <c r="Y4894" t="s">
        <v>23849</v>
      </c>
      <c r="Z4894" t="s">
        <v>30212</v>
      </c>
      <c r="AA4894">
        <v>0.78170880316111846</v>
      </c>
      <c r="AB4894" t="str">
        <f>HYPERLINK("Melting_Curves/meltCurve_Q96EX1_SMIM12.pdf", "Melting_Curves/meltCurve_Q96EX1_SMIM12.pdf")</f>
        <v>Melting_Curves/meltCurve_Q96EX1_SMIM12.pdf</v>
      </c>
    </row>
    <row r="4895" spans="1:28" x14ac:dyDescent="0.25">
      <c r="A4895" t="s">
        <v>4899</v>
      </c>
      <c r="B4895">
        <v>0.99542014353169495</v>
      </c>
      <c r="C4895">
        <v>0.97191983326590004</v>
      </c>
      <c r="D4895">
        <v>0.80964829910240999</v>
      </c>
      <c r="E4895">
        <v>0.61144258960579101</v>
      </c>
      <c r="F4895">
        <v>0.51679188941454401</v>
      </c>
      <c r="G4895">
        <v>0.32555822217386798</v>
      </c>
      <c r="H4895">
        <v>0.12825176689225801</v>
      </c>
      <c r="I4895">
        <v>5.8855854327906E-2</v>
      </c>
      <c r="J4895">
        <v>6.22664717538014E-2</v>
      </c>
      <c r="K4895">
        <v>2.73519521719254E-2</v>
      </c>
      <c r="L4895">
        <v>565.38723084415699</v>
      </c>
      <c r="M4895">
        <v>11.4499912402165</v>
      </c>
      <c r="N4895">
        <v>49.378811491934599</v>
      </c>
      <c r="O4895">
        <v>47.944647684702701</v>
      </c>
      <c r="P4895">
        <v>-5.9721477419317701E-2</v>
      </c>
      <c r="Q4895">
        <v>0</v>
      </c>
      <c r="R4895">
        <v>0.98848114891869798</v>
      </c>
      <c r="S4895" t="s">
        <v>11297</v>
      </c>
      <c r="T4895" t="s">
        <v>12802</v>
      </c>
      <c r="U4895" t="s">
        <v>12802</v>
      </c>
      <c r="V4895" t="s">
        <v>12802</v>
      </c>
      <c r="W4895" t="s">
        <v>17633</v>
      </c>
      <c r="X4895">
        <v>3</v>
      </c>
      <c r="Y4895" t="s">
        <v>23850</v>
      </c>
      <c r="Z4895" t="s">
        <v>30213</v>
      </c>
      <c r="AA4895">
        <v>0.44345683415389192</v>
      </c>
      <c r="AB4895" t="str">
        <f>HYPERLINK("Melting_Curves/meltCurve_Q96EX3_WDR34.pdf", "Melting_Curves/meltCurve_Q96EX3_WDR34.pdf")</f>
        <v>Melting_Curves/meltCurve_Q96EX3_WDR34.pdf</v>
      </c>
    </row>
    <row r="4896" spans="1:28" x14ac:dyDescent="0.25">
      <c r="A4896" t="s">
        <v>4900</v>
      </c>
      <c r="B4896">
        <v>0.99542014353169495</v>
      </c>
      <c r="C4896">
        <v>0.86985386868681602</v>
      </c>
      <c r="D4896">
        <v>0.74249481856802102</v>
      </c>
      <c r="E4896">
        <v>0.462876628650499</v>
      </c>
      <c r="F4896">
        <v>0.263535743979949</v>
      </c>
      <c r="G4896">
        <v>0.14854756218007201</v>
      </c>
      <c r="H4896">
        <v>7.9511602873814993E-2</v>
      </c>
      <c r="I4896">
        <v>4.9954856620709899E-2</v>
      </c>
      <c r="J4896">
        <v>4.1186034295674898E-2</v>
      </c>
      <c r="K4896">
        <v>4.3387401705497597E-2</v>
      </c>
      <c r="L4896">
        <v>630.73409724554699</v>
      </c>
      <c r="M4896">
        <v>13.703800485421899</v>
      </c>
      <c r="N4896">
        <v>46.188092969552102</v>
      </c>
      <c r="O4896">
        <v>45.079320649701003</v>
      </c>
      <c r="P4896">
        <v>-7.4227089600591198E-2</v>
      </c>
      <c r="Q4896">
        <v>2.34463630855112E-2</v>
      </c>
      <c r="R4896">
        <v>0.99858375551247203</v>
      </c>
      <c r="S4896" t="s">
        <v>11298</v>
      </c>
      <c r="T4896" t="s">
        <v>12802</v>
      </c>
      <c r="U4896" t="s">
        <v>12802</v>
      </c>
      <c r="V4896" t="s">
        <v>12802</v>
      </c>
      <c r="W4896" t="s">
        <v>17634</v>
      </c>
      <c r="X4896">
        <v>9</v>
      </c>
      <c r="Y4896" t="s">
        <v>23851</v>
      </c>
      <c r="Z4896" t="s">
        <v>30214</v>
      </c>
      <c r="AA4896">
        <v>0.34388781169240951</v>
      </c>
      <c r="AB4896" t="str">
        <f>HYPERLINK("Melting_Curves/meltCurve_Q96EY1_DNAJA3.pdf", "Melting_Curves/meltCurve_Q96EY1_DNAJA3.pdf")</f>
        <v>Melting_Curves/meltCurve_Q96EY1_DNAJA3.pdf</v>
      </c>
    </row>
    <row r="4897" spans="1:28" x14ac:dyDescent="0.25">
      <c r="A4897" t="s">
        <v>4901</v>
      </c>
      <c r="B4897">
        <v>0.99542014353169495</v>
      </c>
      <c r="C4897">
        <v>0.93210688593251101</v>
      </c>
      <c r="D4897">
        <v>0.87105514782287297</v>
      </c>
      <c r="E4897">
        <v>0.60971080714612702</v>
      </c>
      <c r="F4897">
        <v>0.167027114642644</v>
      </c>
      <c r="G4897">
        <v>8.9585828596588896E-2</v>
      </c>
      <c r="H4897">
        <v>5.0535779697578699E-2</v>
      </c>
      <c r="I4897">
        <v>3.4316715266025699E-2</v>
      </c>
      <c r="J4897">
        <v>4.1739994671638803E-2</v>
      </c>
      <c r="K4897">
        <v>3.3260969401882001E-2</v>
      </c>
      <c r="L4897">
        <v>1113.88080768638</v>
      </c>
      <c r="M4897">
        <v>23.6775305551892</v>
      </c>
      <c r="N4897">
        <v>47.175295126193802</v>
      </c>
      <c r="O4897">
        <v>46.712075970310401</v>
      </c>
      <c r="P4897">
        <v>-0.122675743834687</v>
      </c>
      <c r="Q4897">
        <v>3.1935675627604902E-2</v>
      </c>
      <c r="R4897">
        <v>0.99505415261319397</v>
      </c>
      <c r="S4897" t="s">
        <v>11299</v>
      </c>
      <c r="T4897" t="s">
        <v>12802</v>
      </c>
      <c r="U4897" t="s">
        <v>12802</v>
      </c>
      <c r="V4897" t="s">
        <v>12802</v>
      </c>
      <c r="W4897" t="s">
        <v>17635</v>
      </c>
      <c r="X4897">
        <v>7</v>
      </c>
      <c r="Y4897" t="s">
        <v>23852</v>
      </c>
      <c r="Z4897" t="s">
        <v>30215</v>
      </c>
      <c r="AA4897">
        <v>0.3651092335790595</v>
      </c>
      <c r="AB4897" t="str">
        <f>HYPERLINK("Melting_Curves/meltCurve_Q96EY5_MVB12A.pdf", "Melting_Curves/meltCurve_Q96EY5_MVB12A.pdf")</f>
        <v>Melting_Curves/meltCurve_Q96EY5_MVB12A.pdf</v>
      </c>
    </row>
    <row r="4898" spans="1:28" x14ac:dyDescent="0.25">
      <c r="A4898" t="s">
        <v>4902</v>
      </c>
      <c r="B4898">
        <v>0.99542014353169495</v>
      </c>
      <c r="C4898">
        <v>0.86109283246827795</v>
      </c>
      <c r="D4898">
        <v>0.57113683997206199</v>
      </c>
      <c r="E4898">
        <v>0.30595473976294502</v>
      </c>
      <c r="F4898">
        <v>0.10375091333117401</v>
      </c>
      <c r="G4898">
        <v>4.18026696966265E-2</v>
      </c>
      <c r="H4898">
        <v>3.0139430634362301E-2</v>
      </c>
      <c r="I4898">
        <v>1.73039062216859E-2</v>
      </c>
      <c r="J4898">
        <v>4.46944770780691E-3</v>
      </c>
      <c r="K4898">
        <v>1.21040224113226E-2</v>
      </c>
      <c r="L4898">
        <v>756.659456940773</v>
      </c>
      <c r="M4898">
        <v>17.210915366420402</v>
      </c>
      <c r="N4898">
        <v>44.000989683694002</v>
      </c>
      <c r="O4898">
        <v>43.383278270148601</v>
      </c>
      <c r="P4898">
        <v>-9.8471544381310894E-2</v>
      </c>
      <c r="Q4898">
        <v>7.1958787699671397E-3</v>
      </c>
      <c r="R4898">
        <v>0.99786537839516298</v>
      </c>
      <c r="S4898" t="s">
        <v>11300</v>
      </c>
      <c r="T4898" t="s">
        <v>12802</v>
      </c>
      <c r="U4898" t="s">
        <v>12802</v>
      </c>
      <c r="V4898" t="s">
        <v>12802</v>
      </c>
      <c r="W4898" t="s">
        <v>17636</v>
      </c>
      <c r="X4898">
        <v>5</v>
      </c>
      <c r="Y4898" t="s">
        <v>23853</v>
      </c>
      <c r="Z4898" t="s">
        <v>30216</v>
      </c>
      <c r="AA4898">
        <v>0.25611039101455801</v>
      </c>
      <c r="AB4898" t="str">
        <f>HYPERLINK("Melting_Curves/meltCurve_Q96EY7_PTCD3.pdf", "Melting_Curves/meltCurve_Q96EY7_PTCD3.pdf")</f>
        <v>Melting_Curves/meltCurve_Q96EY7_PTCD3.pdf</v>
      </c>
    </row>
    <row r="4899" spans="1:28" x14ac:dyDescent="0.25">
      <c r="A4899" t="s">
        <v>4903</v>
      </c>
      <c r="B4899">
        <v>0.99542014353169495</v>
      </c>
      <c r="C4899">
        <v>1.0235330787413399</v>
      </c>
      <c r="D4899">
        <v>0.99025700732067801</v>
      </c>
      <c r="E4899">
        <v>0.98608215459887105</v>
      </c>
      <c r="F4899">
        <v>0.88210594362830597</v>
      </c>
      <c r="G4899">
        <v>0.70942815609946697</v>
      </c>
      <c r="H4899">
        <v>0.44610796405626701</v>
      </c>
      <c r="I4899">
        <v>0.36141983793910298</v>
      </c>
      <c r="J4899">
        <v>0.374097973535992</v>
      </c>
      <c r="K4899">
        <v>0.382415010112644</v>
      </c>
      <c r="L4899">
        <v>1369.5143659646899</v>
      </c>
      <c r="M4899">
        <v>25.438249126160699</v>
      </c>
      <c r="N4899">
        <v>56.599929133683297</v>
      </c>
      <c r="O4899">
        <v>53.507419648969801</v>
      </c>
      <c r="P4899">
        <v>-7.6593423394353197E-2</v>
      </c>
      <c r="Q4899">
        <v>0.35557435874051002</v>
      </c>
      <c r="R4899">
        <v>0.99489419820682201</v>
      </c>
      <c r="S4899" t="s">
        <v>11301</v>
      </c>
      <c r="T4899" t="s">
        <v>12802</v>
      </c>
      <c r="U4899" t="s">
        <v>12802</v>
      </c>
      <c r="V4899" t="s">
        <v>12802</v>
      </c>
      <c r="W4899" t="s">
        <v>17637</v>
      </c>
      <c r="X4899">
        <v>8</v>
      </c>
      <c r="Y4899" t="s">
        <v>23854</v>
      </c>
      <c r="Z4899" t="s">
        <v>30217</v>
      </c>
      <c r="AA4899">
        <v>0.72272644271808784</v>
      </c>
      <c r="AB4899" t="str">
        <f>HYPERLINK("Melting_Curves/meltCurve_Q96EY8_MMAB.pdf", "Melting_Curves/meltCurve_Q96EY8_MMAB.pdf")</f>
        <v>Melting_Curves/meltCurve_Q96EY8_MMAB.pdf</v>
      </c>
    </row>
    <row r="4900" spans="1:28" x14ac:dyDescent="0.25">
      <c r="A4900" t="s">
        <v>4904</v>
      </c>
      <c r="B4900">
        <v>0.99542014353169495</v>
      </c>
      <c r="C4900">
        <v>1.03591742469335</v>
      </c>
      <c r="D4900">
        <v>0.91851640722329198</v>
      </c>
      <c r="E4900">
        <v>0.77718144478358797</v>
      </c>
      <c r="F4900">
        <v>0.54626993343133401</v>
      </c>
      <c r="G4900">
        <v>0.33014360797721698</v>
      </c>
      <c r="H4900">
        <v>0.25313254805715801</v>
      </c>
      <c r="I4900">
        <v>0.12826296230735301</v>
      </c>
      <c r="J4900">
        <v>9.9504233670999503E-2</v>
      </c>
      <c r="K4900">
        <v>7.4935530558554703E-2</v>
      </c>
      <c r="L4900">
        <v>694.92983834735401</v>
      </c>
      <c r="M4900">
        <v>13.724069504582401</v>
      </c>
      <c r="N4900">
        <v>51.055470078506801</v>
      </c>
      <c r="O4900">
        <v>49.597058754325502</v>
      </c>
      <c r="P4900">
        <v>-6.5497800230728806E-2</v>
      </c>
      <c r="Q4900">
        <v>5.3332115928432698E-2</v>
      </c>
      <c r="R4900">
        <v>0.99566403856517005</v>
      </c>
      <c r="S4900" t="s">
        <v>11302</v>
      </c>
      <c r="T4900" t="s">
        <v>12802</v>
      </c>
      <c r="U4900" t="s">
        <v>12802</v>
      </c>
      <c r="V4900" t="s">
        <v>12802</v>
      </c>
      <c r="W4900" t="s">
        <v>17638</v>
      </c>
      <c r="X4900">
        <v>5</v>
      </c>
      <c r="Y4900" t="s">
        <v>23855</v>
      </c>
      <c r="Z4900" t="s">
        <v>30218</v>
      </c>
      <c r="AA4900">
        <v>0.50533915892516867</v>
      </c>
      <c r="AB4900" t="str">
        <f>HYPERLINK("Melting_Curves/meltCurve_Q96EY9_ADAT3.pdf", "Melting_Curves/meltCurve_Q96EY9_ADAT3.pdf")</f>
        <v>Melting_Curves/meltCurve_Q96EY9_ADAT3.pdf</v>
      </c>
    </row>
    <row r="4901" spans="1:28" x14ac:dyDescent="0.25">
      <c r="A4901" t="s">
        <v>4905</v>
      </c>
      <c r="B4901">
        <v>0.99542014353169495</v>
      </c>
      <c r="C4901">
        <v>1.00343758398167</v>
      </c>
      <c r="D4901">
        <v>0.82143896860044796</v>
      </c>
      <c r="E4901">
        <v>0.68806711034873802</v>
      </c>
      <c r="F4901">
        <v>0.51440224084362596</v>
      </c>
      <c r="G4901">
        <v>0.329341651272889</v>
      </c>
      <c r="H4901">
        <v>0.186100887172506</v>
      </c>
      <c r="I4901">
        <v>0.117866075977202</v>
      </c>
      <c r="J4901">
        <v>0.117942914919466</v>
      </c>
      <c r="K4901">
        <v>0.12768132005500599</v>
      </c>
      <c r="L4901">
        <v>598.88168126154005</v>
      </c>
      <c r="M4901">
        <v>12.112808948324099</v>
      </c>
      <c r="N4901">
        <v>49.981276898526701</v>
      </c>
      <c r="O4901">
        <v>48.152304315410298</v>
      </c>
      <c r="P4901">
        <v>-5.9049565436086998E-2</v>
      </c>
      <c r="Q4901">
        <v>6.1254436279094798E-2</v>
      </c>
      <c r="R4901">
        <v>0.99311498421949695</v>
      </c>
      <c r="S4901" t="s">
        <v>11303</v>
      </c>
      <c r="T4901" t="s">
        <v>12802</v>
      </c>
      <c r="U4901" t="s">
        <v>12802</v>
      </c>
      <c r="V4901" t="s">
        <v>12802</v>
      </c>
      <c r="W4901" t="s">
        <v>17639</v>
      </c>
      <c r="X4901">
        <v>3</v>
      </c>
      <c r="Y4901" t="s">
        <v>23856</v>
      </c>
      <c r="Z4901" t="s">
        <v>30219</v>
      </c>
      <c r="AA4901">
        <v>0.47746820822600888</v>
      </c>
      <c r="AB4901" t="str">
        <f>HYPERLINK("Melting_Curves/meltCurve_Q96F24_2_NRBF2.pdf", "Melting_Curves/meltCurve_Q96F24_2_NRBF2.pdf")</f>
        <v>Melting_Curves/meltCurve_Q96F24_2_NRBF2.pdf</v>
      </c>
    </row>
    <row r="4902" spans="1:28" x14ac:dyDescent="0.25">
      <c r="A4902" t="s">
        <v>4906</v>
      </c>
      <c r="B4902">
        <v>0.99542014353169495</v>
      </c>
      <c r="C4902">
        <v>0.97079698037121798</v>
      </c>
      <c r="D4902">
        <v>0.925876087789133</v>
      </c>
      <c r="E4902">
        <v>0.65654777428891498</v>
      </c>
      <c r="F4902">
        <v>0.26566579209493302</v>
      </c>
      <c r="G4902">
        <v>0.11751382110110099</v>
      </c>
      <c r="H4902">
        <v>6.5237403851029704E-2</v>
      </c>
      <c r="I4902">
        <v>4.6623387981040001E-2</v>
      </c>
      <c r="J4902">
        <v>4.2677944933200603E-2</v>
      </c>
      <c r="K4902">
        <v>4.1897416265750803E-2</v>
      </c>
      <c r="L4902">
        <v>1093.67542314908</v>
      </c>
      <c r="M4902">
        <v>22.9191759022588</v>
      </c>
      <c r="N4902">
        <v>47.9030835067731</v>
      </c>
      <c r="O4902">
        <v>47.359991226594801</v>
      </c>
      <c r="P4902">
        <v>-0.115880740041077</v>
      </c>
      <c r="Q4902">
        <v>4.2198748596639898E-2</v>
      </c>
      <c r="R4902">
        <v>0.99962508281210405</v>
      </c>
      <c r="S4902" t="s">
        <v>11304</v>
      </c>
      <c r="T4902" t="s">
        <v>12802</v>
      </c>
      <c r="U4902" t="s">
        <v>12802</v>
      </c>
      <c r="V4902" t="s">
        <v>12802</v>
      </c>
      <c r="W4902" t="s">
        <v>17640</v>
      </c>
      <c r="X4902">
        <v>10</v>
      </c>
      <c r="Y4902" t="s">
        <v>23857</v>
      </c>
      <c r="Z4902" t="s">
        <v>30220</v>
      </c>
      <c r="AA4902">
        <v>0.39406672646070001</v>
      </c>
      <c r="AB4902" t="str">
        <f>HYPERLINK("Melting_Curves/meltCurve_Q96F44_3_TRIM11.pdf", "Melting_Curves/meltCurve_Q96F44_3_TRIM11.pdf")</f>
        <v>Melting_Curves/meltCurve_Q96F44_3_TRIM11.pdf</v>
      </c>
    </row>
    <row r="4903" spans="1:28" x14ac:dyDescent="0.25">
      <c r="A4903" t="s">
        <v>4907</v>
      </c>
      <c r="B4903">
        <v>0.99542014353169495</v>
      </c>
      <c r="C4903">
        <v>0.93127266076506998</v>
      </c>
      <c r="D4903">
        <v>0.88386360945903397</v>
      </c>
      <c r="E4903">
        <v>0.716105191653718</v>
      </c>
      <c r="F4903">
        <v>0.51007989446467406</v>
      </c>
      <c r="G4903">
        <v>0.27501455944060199</v>
      </c>
      <c r="H4903">
        <v>0.114763039481206</v>
      </c>
      <c r="I4903">
        <v>7.7233217247539093E-2</v>
      </c>
      <c r="J4903">
        <v>6.3522665277795806E-2</v>
      </c>
      <c r="K4903">
        <v>6.6634964263565299E-2</v>
      </c>
      <c r="L4903">
        <v>669.39573930154302</v>
      </c>
      <c r="M4903">
        <v>13.4383154341701</v>
      </c>
      <c r="N4903">
        <v>49.888111566495503</v>
      </c>
      <c r="O4903">
        <v>48.7482108539335</v>
      </c>
      <c r="P4903">
        <v>-6.8232782452167906E-2</v>
      </c>
      <c r="Q4903">
        <v>1.00813689535927E-2</v>
      </c>
      <c r="R4903">
        <v>0.99662031104866999</v>
      </c>
      <c r="S4903" t="s">
        <v>11305</v>
      </c>
      <c r="T4903" t="s">
        <v>12802</v>
      </c>
      <c r="U4903" t="s">
        <v>12802</v>
      </c>
      <c r="V4903" t="s">
        <v>12802</v>
      </c>
      <c r="W4903" t="s">
        <v>17641</v>
      </c>
      <c r="X4903">
        <v>3</v>
      </c>
      <c r="Y4903" t="s">
        <v>23858</v>
      </c>
      <c r="Z4903" t="s">
        <v>30221</v>
      </c>
      <c r="AA4903">
        <v>0.45715043035538211</v>
      </c>
      <c r="AB4903" t="str">
        <f>HYPERLINK("Melting_Curves/meltCurve_Q96F46_IL17RA.pdf", "Melting_Curves/meltCurve_Q96F46_IL17RA.pdf")</f>
        <v>Melting_Curves/meltCurve_Q96F46_IL17RA.pdf</v>
      </c>
    </row>
    <row r="4904" spans="1:28" x14ac:dyDescent="0.25">
      <c r="A4904" t="s">
        <v>4908</v>
      </c>
      <c r="B4904">
        <v>0.99542014353169495</v>
      </c>
      <c r="C4904">
        <v>0.83855362926948496</v>
      </c>
      <c r="D4904">
        <v>0.78827684068360204</v>
      </c>
      <c r="E4904">
        <v>0.43491741593413602</v>
      </c>
      <c r="F4904">
        <v>0.18203749108714401</v>
      </c>
      <c r="G4904">
        <v>0.117676051498945</v>
      </c>
      <c r="H4904">
        <v>6.9818730664004999E-2</v>
      </c>
      <c r="I4904">
        <v>5.5638967962104199E-2</v>
      </c>
      <c r="J4904">
        <v>6.4644836013745793E-2</v>
      </c>
      <c r="K4904">
        <v>4.65922509855419E-2</v>
      </c>
      <c r="L4904">
        <v>765.50665101000004</v>
      </c>
      <c r="M4904">
        <v>16.803159424640601</v>
      </c>
      <c r="N4904">
        <v>45.803506305480603</v>
      </c>
      <c r="O4904">
        <v>44.926730442944397</v>
      </c>
      <c r="P4904">
        <v>-8.9471399986475506E-2</v>
      </c>
      <c r="Q4904">
        <v>4.3180556230970502E-2</v>
      </c>
      <c r="R4904">
        <v>0.99227428957840902</v>
      </c>
      <c r="S4904" t="s">
        <v>11306</v>
      </c>
      <c r="T4904" t="s">
        <v>12802</v>
      </c>
      <c r="U4904" t="s">
        <v>12802</v>
      </c>
      <c r="V4904" t="s">
        <v>12802</v>
      </c>
      <c r="W4904" t="s">
        <v>17642</v>
      </c>
      <c r="X4904">
        <v>2</v>
      </c>
      <c r="Y4904" t="s">
        <v>23859</v>
      </c>
      <c r="Z4904" t="s">
        <v>30222</v>
      </c>
      <c r="AA4904">
        <v>0.33396578665362181</v>
      </c>
      <c r="AB4904" t="str">
        <f>HYPERLINK("Melting_Curves/meltCurve_Q96F63_CCDC97.pdf", "Melting_Curves/meltCurve_Q96F63_CCDC97.pdf")</f>
        <v>Melting_Curves/meltCurve_Q96F63_CCDC97.pdf</v>
      </c>
    </row>
    <row r="4905" spans="1:28" x14ac:dyDescent="0.25">
      <c r="A4905" t="s">
        <v>4909</v>
      </c>
      <c r="B4905">
        <v>0.99542014353169495</v>
      </c>
      <c r="C4905">
        <v>0.95668897914104001</v>
      </c>
      <c r="D4905">
        <v>0.92319353603315202</v>
      </c>
      <c r="E4905">
        <v>0.58497347652660603</v>
      </c>
      <c r="F4905">
        <v>0.272297198358947</v>
      </c>
      <c r="G4905">
        <v>0.125462393945314</v>
      </c>
      <c r="H4905">
        <v>6.0359961400209002E-2</v>
      </c>
      <c r="I4905">
        <v>4.1655514764255601E-2</v>
      </c>
      <c r="J4905">
        <v>3.7430267358979002E-2</v>
      </c>
      <c r="K4905">
        <v>4.5563373351656999E-2</v>
      </c>
      <c r="L4905">
        <v>979.73413787545701</v>
      </c>
      <c r="M4905">
        <v>20.682221282695899</v>
      </c>
      <c r="N4905">
        <v>47.556149136818703</v>
      </c>
      <c r="O4905">
        <v>46.934647259425901</v>
      </c>
      <c r="P4905">
        <v>-0.10590296389154601</v>
      </c>
      <c r="Q4905">
        <v>3.8715142110321198E-2</v>
      </c>
      <c r="R4905">
        <v>0.99880770136388597</v>
      </c>
      <c r="S4905" t="s">
        <v>11307</v>
      </c>
      <c r="T4905" t="s">
        <v>12802</v>
      </c>
      <c r="U4905" t="s">
        <v>12802</v>
      </c>
      <c r="V4905" t="s">
        <v>12802</v>
      </c>
      <c r="W4905" t="s">
        <v>17643</v>
      </c>
      <c r="X4905">
        <v>13</v>
      </c>
      <c r="Y4905" t="s">
        <v>23860</v>
      </c>
      <c r="Z4905" t="s">
        <v>30223</v>
      </c>
      <c r="AA4905">
        <v>0.38283284181262778</v>
      </c>
      <c r="AB4905" t="str">
        <f>HYPERLINK("Melting_Curves/meltCurve_Q96F86_EDC3.pdf", "Melting_Curves/meltCurve_Q96F86_EDC3.pdf")</f>
        <v>Melting_Curves/meltCurve_Q96F86_EDC3.pdf</v>
      </c>
    </row>
    <row r="4906" spans="1:28" x14ac:dyDescent="0.25">
      <c r="A4906" t="s">
        <v>4910</v>
      </c>
      <c r="B4906">
        <v>0.99542014353169495</v>
      </c>
      <c r="C4906">
        <v>0.91622525695102697</v>
      </c>
      <c r="D4906">
        <v>0.88237467635334899</v>
      </c>
      <c r="E4906">
        <v>0.67666347016220296</v>
      </c>
      <c r="F4906">
        <v>0.42135021413801299</v>
      </c>
      <c r="G4906">
        <v>0.24035746799767899</v>
      </c>
      <c r="H4906">
        <v>0.17546805983113101</v>
      </c>
      <c r="I4906">
        <v>0.15017257123994901</v>
      </c>
      <c r="J4906">
        <v>0.15824219834832301</v>
      </c>
      <c r="K4906">
        <v>0.194002538101546</v>
      </c>
      <c r="L4906">
        <v>799.42176554105799</v>
      </c>
      <c r="M4906">
        <v>16.725656709224101</v>
      </c>
      <c r="N4906">
        <v>48.800374989932799</v>
      </c>
      <c r="O4906">
        <v>47.1285636907213</v>
      </c>
      <c r="P4906">
        <v>-7.5810320065861497E-2</v>
      </c>
      <c r="Q4906">
        <v>0.14560087369510999</v>
      </c>
      <c r="R4906">
        <v>0.99458335247357399</v>
      </c>
      <c r="S4906" t="s">
        <v>11308</v>
      </c>
      <c r="T4906" t="s">
        <v>12802</v>
      </c>
      <c r="U4906" t="s">
        <v>12802</v>
      </c>
      <c r="V4906" t="s">
        <v>12802</v>
      </c>
      <c r="W4906" t="s">
        <v>17644</v>
      </c>
      <c r="X4906">
        <v>1</v>
      </c>
      <c r="Y4906" t="s">
        <v>23861</v>
      </c>
      <c r="Z4906" t="s">
        <v>30224</v>
      </c>
      <c r="AA4906">
        <v>0.46869643691231988</v>
      </c>
      <c r="AB4906" t="str">
        <f>HYPERLINK("Melting_Curves/meltCurve_Q96FB5_RRNAD1.pdf", "Melting_Curves/meltCurve_Q96FB5_RRNAD1.pdf")</f>
        <v>Melting_Curves/meltCurve_Q96FB5_RRNAD1.pdf</v>
      </c>
    </row>
    <row r="4907" spans="1:28" x14ac:dyDescent="0.25">
      <c r="A4907" t="s">
        <v>4911</v>
      </c>
      <c r="B4907">
        <v>0.99542014353169495</v>
      </c>
      <c r="C4907">
        <v>0.908959370139379</v>
      </c>
      <c r="D4907">
        <v>0.929375720651757</v>
      </c>
      <c r="E4907">
        <v>0.79852407379005796</v>
      </c>
      <c r="F4907">
        <v>0.64161027288634298</v>
      </c>
      <c r="G4907">
        <v>0.32563997671149802</v>
      </c>
      <c r="H4907">
        <v>0.30683031885104101</v>
      </c>
      <c r="I4907">
        <v>0.11751113269761999</v>
      </c>
      <c r="J4907">
        <v>0.15203277119050801</v>
      </c>
      <c r="K4907">
        <v>0.16002165683948799</v>
      </c>
      <c r="L4907">
        <v>710.852318648606</v>
      </c>
      <c r="M4907">
        <v>13.9722380740179</v>
      </c>
      <c r="N4907">
        <v>51.696836082835901</v>
      </c>
      <c r="O4907">
        <v>49.867888886785799</v>
      </c>
      <c r="P4907">
        <v>-6.3086732961667599E-2</v>
      </c>
      <c r="Q4907">
        <v>9.9476350828191396E-2</v>
      </c>
      <c r="R4907">
        <v>0.983155858973631</v>
      </c>
      <c r="S4907" t="s">
        <v>11309</v>
      </c>
      <c r="T4907" t="s">
        <v>12802</v>
      </c>
      <c r="U4907" t="s">
        <v>12802</v>
      </c>
      <c r="V4907" t="s">
        <v>12802</v>
      </c>
      <c r="W4907" t="s">
        <v>17645</v>
      </c>
      <c r="X4907">
        <v>3</v>
      </c>
      <c r="Y4907" t="s">
        <v>23862</v>
      </c>
      <c r="Z4907" t="s">
        <v>30225</v>
      </c>
      <c r="AA4907">
        <v>0.53595674922008885</v>
      </c>
      <c r="AB4907" t="str">
        <f>HYPERLINK("Melting_Curves/meltCurve_Q96FC9_4_DDX11.pdf", "Melting_Curves/meltCurve_Q96FC9_4_DDX11.pdf")</f>
        <v>Melting_Curves/meltCurve_Q96FC9_4_DDX11.pdf</v>
      </c>
    </row>
    <row r="4908" spans="1:28" x14ac:dyDescent="0.25">
      <c r="A4908" t="s">
        <v>4912</v>
      </c>
      <c r="B4908">
        <v>0.99542014353169495</v>
      </c>
      <c r="C4908">
        <v>0.86803822832560396</v>
      </c>
      <c r="D4908">
        <v>0.83906639099120806</v>
      </c>
      <c r="E4908">
        <v>0.70783114928679502</v>
      </c>
      <c r="F4908">
        <v>0.57203641796611104</v>
      </c>
      <c r="G4908">
        <v>0.47278647323669099</v>
      </c>
      <c r="H4908">
        <v>0.23579141869565201</v>
      </c>
      <c r="I4908">
        <v>0.142518228583152</v>
      </c>
      <c r="J4908">
        <v>0.16181731733673499</v>
      </c>
      <c r="K4908">
        <v>0.125503193364842</v>
      </c>
      <c r="L4908">
        <v>454.116263547534</v>
      </c>
      <c r="M4908">
        <v>8.8342893882634907</v>
      </c>
      <c r="N4908">
        <v>51.403824609209302</v>
      </c>
      <c r="O4908">
        <v>48.974243931055199</v>
      </c>
      <c r="P4908">
        <v>-4.5131744100725603E-2</v>
      </c>
      <c r="Q4908">
        <v>0</v>
      </c>
      <c r="R4908">
        <v>0.98438868070686403</v>
      </c>
      <c r="S4908" t="s">
        <v>11310</v>
      </c>
      <c r="T4908" t="s">
        <v>12802</v>
      </c>
      <c r="U4908" t="s">
        <v>12802</v>
      </c>
      <c r="V4908" t="s">
        <v>12802</v>
      </c>
      <c r="W4908" t="s">
        <v>17646</v>
      </c>
      <c r="X4908">
        <v>2</v>
      </c>
      <c r="Y4908" t="s">
        <v>23863</v>
      </c>
      <c r="Z4908" t="s">
        <v>30226</v>
      </c>
      <c r="AA4908">
        <v>0.51118457729529487</v>
      </c>
      <c r="AB4908" t="str">
        <f>HYPERLINK("Melting_Curves/meltCurve_Q96FH0_2_MEF2BNB.pdf", "Melting_Curves/meltCurve_Q96FH0_2_MEF2BNB.pdf")</f>
        <v>Melting_Curves/meltCurve_Q96FH0_2_MEF2BNB.pdf</v>
      </c>
    </row>
    <row r="4909" spans="1:28" x14ac:dyDescent="0.25">
      <c r="A4909" t="s">
        <v>4913</v>
      </c>
      <c r="B4909">
        <v>0.99542014353169495</v>
      </c>
      <c r="C4909">
        <v>0.868982199408594</v>
      </c>
      <c r="D4909">
        <v>0.85004459044424396</v>
      </c>
      <c r="E4909">
        <v>0.67700488995271402</v>
      </c>
      <c r="F4909">
        <v>0.47713273625927299</v>
      </c>
      <c r="G4909">
        <v>0.26775017326830702</v>
      </c>
      <c r="H4909">
        <v>0.14178032527182199</v>
      </c>
      <c r="I4909">
        <v>9.7158037701025698E-2</v>
      </c>
      <c r="J4909">
        <v>8.7353490529340203E-2</v>
      </c>
      <c r="K4909">
        <v>7.7789122842344002E-2</v>
      </c>
      <c r="L4909">
        <v>567.06766972141099</v>
      </c>
      <c r="M4909">
        <v>11.513665482022899</v>
      </c>
      <c r="N4909">
        <v>49.352239313040101</v>
      </c>
      <c r="O4909">
        <v>47.836244729674803</v>
      </c>
      <c r="P4909">
        <v>-5.9491671575191002E-2</v>
      </c>
      <c r="Q4909">
        <v>1.1590790448576501E-2</v>
      </c>
      <c r="R4909">
        <v>0.99354582004023395</v>
      </c>
      <c r="S4909" t="s">
        <v>11311</v>
      </c>
      <c r="T4909" t="s">
        <v>12802</v>
      </c>
      <c r="U4909" t="s">
        <v>12802</v>
      </c>
      <c r="V4909" t="s">
        <v>12802</v>
      </c>
      <c r="W4909" t="s">
        <v>17647</v>
      </c>
      <c r="X4909">
        <v>6</v>
      </c>
      <c r="Y4909" t="s">
        <v>23864</v>
      </c>
      <c r="Z4909" t="s">
        <v>30227</v>
      </c>
      <c r="AA4909">
        <v>0.44576267694507971</v>
      </c>
      <c r="AB4909" t="str">
        <f>HYPERLINK("Melting_Curves/meltCurve_Q96FJ2_DYNLL2.pdf", "Melting_Curves/meltCurve_Q96FJ2_DYNLL2.pdf")</f>
        <v>Melting_Curves/meltCurve_Q96FJ2_DYNLL2.pdf</v>
      </c>
    </row>
    <row r="4910" spans="1:28" x14ac:dyDescent="0.25">
      <c r="A4910" t="s">
        <v>4914</v>
      </c>
      <c r="B4910">
        <v>0.99542014353169495</v>
      </c>
      <c r="C4910">
        <v>0.97833464751326005</v>
      </c>
      <c r="D4910">
        <v>1.2536097756704401</v>
      </c>
      <c r="E4910">
        <v>1.4897329865905</v>
      </c>
      <c r="F4910">
        <v>1.2546000587802899</v>
      </c>
      <c r="G4910">
        <v>1.15870812465017</v>
      </c>
      <c r="H4910">
        <v>0.44581410543123701</v>
      </c>
      <c r="I4910">
        <v>0.124159062827765</v>
      </c>
      <c r="J4910">
        <v>3.2558197353067003E-2</v>
      </c>
      <c r="K4910">
        <v>3.5601188987183098E-2</v>
      </c>
      <c r="L4910">
        <v>13366.7838289463</v>
      </c>
      <c r="M4910">
        <v>233.24364005120901</v>
      </c>
      <c r="N4910">
        <v>57.341992833980399</v>
      </c>
      <c r="O4910">
        <v>57.304027854648098</v>
      </c>
      <c r="P4910">
        <v>-0.95233855473512397</v>
      </c>
      <c r="Q4910">
        <v>6.4105851789384299E-2</v>
      </c>
      <c r="R4910">
        <v>0.85897833730226802</v>
      </c>
      <c r="S4910" t="s">
        <v>11312</v>
      </c>
      <c r="T4910" t="s">
        <v>12802</v>
      </c>
      <c r="U4910" t="s">
        <v>12802</v>
      </c>
      <c r="V4910" t="s">
        <v>12802</v>
      </c>
      <c r="W4910" t="s">
        <v>17648</v>
      </c>
      <c r="X4910">
        <v>4</v>
      </c>
      <c r="Y4910" t="s">
        <v>23865</v>
      </c>
      <c r="Z4910" t="s">
        <v>30228</v>
      </c>
      <c r="AA4910">
        <v>0.69775960310400087</v>
      </c>
      <c r="AB4910" t="str">
        <f>HYPERLINK("Melting_Curves/meltCurve_Q96FK6_WDR89.pdf", "Melting_Curves/meltCurve_Q96FK6_WDR89.pdf")</f>
        <v>Melting_Curves/meltCurve_Q96FK6_WDR89.pdf</v>
      </c>
    </row>
    <row r="4911" spans="1:28" x14ac:dyDescent="0.25">
      <c r="A4911" t="s">
        <v>4915</v>
      </c>
      <c r="B4911">
        <v>0.99542014353169495</v>
      </c>
      <c r="C4911">
        <v>1.0108597299167399</v>
      </c>
      <c r="D4911">
        <v>1.03217019069258</v>
      </c>
      <c r="E4911">
        <v>1.0114774926349499</v>
      </c>
      <c r="F4911">
        <v>0.71976994372112602</v>
      </c>
      <c r="G4911">
        <v>0.63935211566310901</v>
      </c>
      <c r="H4911">
        <v>0.542421150874285</v>
      </c>
      <c r="I4911">
        <v>0.48128043197985598</v>
      </c>
      <c r="J4911">
        <v>0.66836674687137099</v>
      </c>
      <c r="K4911">
        <v>0.93676258791522904</v>
      </c>
      <c r="L4911">
        <v>12477.5143168094</v>
      </c>
      <c r="M4911">
        <v>250</v>
      </c>
      <c r="O4911">
        <v>49.9068679156792</v>
      </c>
      <c r="P4911">
        <v>-0.43376222648352197</v>
      </c>
      <c r="Q4911">
        <v>0.65363660571283499</v>
      </c>
      <c r="R4911">
        <v>0.70296875875912102</v>
      </c>
      <c r="S4911" t="s">
        <v>11313</v>
      </c>
      <c r="T4911" t="s">
        <v>12802</v>
      </c>
      <c r="U4911" t="s">
        <v>12802</v>
      </c>
      <c r="V4911" t="s">
        <v>12802</v>
      </c>
      <c r="W4911" t="s">
        <v>17649</v>
      </c>
      <c r="X4911">
        <v>1</v>
      </c>
      <c r="Y4911" t="s">
        <v>23866</v>
      </c>
      <c r="Z4911" t="s">
        <v>30229</v>
      </c>
      <c r="AA4911">
        <v>0.80271931934242324</v>
      </c>
      <c r="AB4911" t="str">
        <f>HYPERLINK("Melting_Curves/meltCurve_Q96FQ7_LINC00526.pdf", "Melting_Curves/meltCurve_Q96FQ7_LINC00526.pdf")</f>
        <v>Melting_Curves/meltCurve_Q96FQ7_LINC00526.pdf</v>
      </c>
    </row>
    <row r="4912" spans="1:28" x14ac:dyDescent="0.25">
      <c r="A4912" t="s">
        <v>4916</v>
      </c>
      <c r="B4912">
        <v>0.99542014353169495</v>
      </c>
      <c r="C4912">
        <v>1.03598046469015</v>
      </c>
      <c r="D4912">
        <v>1.0318607134392199</v>
      </c>
      <c r="E4912">
        <v>0.83064336163337804</v>
      </c>
      <c r="F4912">
        <v>0.41799652762995998</v>
      </c>
      <c r="G4912">
        <v>0.14437194072675899</v>
      </c>
      <c r="H4912">
        <v>8.1360345107416202E-2</v>
      </c>
      <c r="I4912">
        <v>5.5114265093484403E-2</v>
      </c>
      <c r="J4912">
        <v>5.07676679014692E-2</v>
      </c>
      <c r="K4912">
        <v>7.6613521039374993E-2</v>
      </c>
      <c r="L4912">
        <v>1374.4992406352901</v>
      </c>
      <c r="M4912">
        <v>27.884352207377699</v>
      </c>
      <c r="N4912">
        <v>49.521329976972702</v>
      </c>
      <c r="O4912">
        <v>49.041427507947297</v>
      </c>
      <c r="P4912">
        <v>-0.13356818111232999</v>
      </c>
      <c r="Q4912">
        <v>6.0359563650785902E-2</v>
      </c>
      <c r="R4912">
        <v>0.99760558610973205</v>
      </c>
      <c r="S4912" t="s">
        <v>11314</v>
      </c>
      <c r="T4912" t="s">
        <v>12802</v>
      </c>
      <c r="U4912" t="s">
        <v>12802</v>
      </c>
      <c r="V4912" t="s">
        <v>12802</v>
      </c>
      <c r="W4912" t="s">
        <v>17650</v>
      </c>
      <c r="X4912">
        <v>12</v>
      </c>
      <c r="Y4912" t="s">
        <v>23867</v>
      </c>
      <c r="Z4912" t="s">
        <v>30230</v>
      </c>
      <c r="AA4912">
        <v>0.4519728385560462</v>
      </c>
      <c r="AB4912" t="str">
        <f>HYPERLINK("Melting_Curves/meltCurve_Q96FS4_SIPA1.pdf", "Melting_Curves/meltCurve_Q96FS4_SIPA1.pdf")</f>
        <v>Melting_Curves/meltCurve_Q96FS4_SIPA1.pdf</v>
      </c>
    </row>
    <row r="4913" spans="1:28" x14ac:dyDescent="0.25">
      <c r="A4913" t="s">
        <v>4917</v>
      </c>
      <c r="B4913">
        <v>0.99542014353169495</v>
      </c>
      <c r="C4913">
        <v>0.85237577252882002</v>
      </c>
      <c r="D4913">
        <v>0.77752333405141405</v>
      </c>
      <c r="E4913">
        <v>0.47614176315349599</v>
      </c>
      <c r="F4913">
        <v>0.19160176302888701</v>
      </c>
      <c r="G4913">
        <v>9.9847546621697994E-2</v>
      </c>
      <c r="H4913">
        <v>7.5153175123892704E-2</v>
      </c>
      <c r="I4913">
        <v>6.0594645183147999E-2</v>
      </c>
      <c r="J4913">
        <v>6.9870811093643806E-2</v>
      </c>
      <c r="K4913">
        <v>8.35362028928541E-2</v>
      </c>
      <c r="L4913">
        <v>774.69447293494204</v>
      </c>
      <c r="M4913">
        <v>16.955702173473298</v>
      </c>
      <c r="N4913">
        <v>45.987333148720403</v>
      </c>
      <c r="O4913">
        <v>45.067988346973003</v>
      </c>
      <c r="P4913">
        <v>-8.9168170763594401E-2</v>
      </c>
      <c r="Q4913">
        <v>5.2028811010029499E-2</v>
      </c>
      <c r="R4913">
        <v>0.99289043979659697</v>
      </c>
      <c r="S4913" t="s">
        <v>11315</v>
      </c>
      <c r="T4913" t="s">
        <v>12802</v>
      </c>
      <c r="U4913" t="s">
        <v>12802</v>
      </c>
      <c r="V4913" t="s">
        <v>12802</v>
      </c>
      <c r="W4913" t="s">
        <v>17651</v>
      </c>
      <c r="X4913">
        <v>13</v>
      </c>
      <c r="Y4913" t="s">
        <v>23868</v>
      </c>
      <c r="Z4913" t="s">
        <v>30231</v>
      </c>
      <c r="AA4913">
        <v>0.34393753517872638</v>
      </c>
      <c r="AB4913" t="str">
        <f>HYPERLINK("Melting_Curves/meltCurve_Q96FV9_THOC1.pdf", "Melting_Curves/meltCurve_Q96FV9_THOC1.pdf")</f>
        <v>Melting_Curves/meltCurve_Q96FV9_THOC1.pdf</v>
      </c>
    </row>
    <row r="4914" spans="1:28" x14ac:dyDescent="0.25">
      <c r="A4914" t="s">
        <v>4918</v>
      </c>
      <c r="B4914">
        <v>0.99542014353169495</v>
      </c>
      <c r="C4914">
        <v>1.07691561540572</v>
      </c>
      <c r="D4914">
        <v>0.86696338657152605</v>
      </c>
      <c r="E4914">
        <v>1.17703552984457</v>
      </c>
      <c r="F4914">
        <v>0.63145803633159303</v>
      </c>
      <c r="G4914">
        <v>0.63199020151886998</v>
      </c>
      <c r="H4914">
        <v>0.373144386687431</v>
      </c>
      <c r="I4914">
        <v>0.64549225605405203</v>
      </c>
      <c r="J4914">
        <v>0.72230964108912199</v>
      </c>
      <c r="K4914">
        <v>1.07972280693999</v>
      </c>
      <c r="L4914">
        <v>4284.6921713234997</v>
      </c>
      <c r="M4914">
        <v>88.101253952081905</v>
      </c>
      <c r="O4914">
        <v>48.608684303845102</v>
      </c>
      <c r="P4914">
        <v>-0.14555172190207799</v>
      </c>
      <c r="Q4914">
        <v>0.67877519730498304</v>
      </c>
      <c r="R4914">
        <v>0.46861956194991999</v>
      </c>
      <c r="S4914" t="s">
        <v>11316</v>
      </c>
      <c r="T4914" t="s">
        <v>12802</v>
      </c>
      <c r="U4914" t="s">
        <v>12802</v>
      </c>
      <c r="V4914" t="s">
        <v>12802</v>
      </c>
      <c r="W4914" t="s">
        <v>17652</v>
      </c>
      <c r="X4914">
        <v>1</v>
      </c>
      <c r="Y4914" t="s">
        <v>23869</v>
      </c>
      <c r="Z4914" t="s">
        <v>30232</v>
      </c>
      <c r="AA4914">
        <v>0.80356434646950448</v>
      </c>
      <c r="AB4914" t="str">
        <f>HYPERLINK("Melting_Curves/meltCurve_Q96FX2_DPH3.pdf", "Melting_Curves/meltCurve_Q96FX2_DPH3.pdf")</f>
        <v>Melting_Curves/meltCurve_Q96FX2_DPH3.pdf</v>
      </c>
    </row>
    <row r="4915" spans="1:28" x14ac:dyDescent="0.25">
      <c r="A4915" t="s">
        <v>4919</v>
      </c>
      <c r="B4915">
        <v>0.99542014353169495</v>
      </c>
      <c r="C4915">
        <v>0.92742310096962399</v>
      </c>
      <c r="D4915">
        <v>0.96981137577291598</v>
      </c>
      <c r="E4915">
        <v>0.85316408310215097</v>
      </c>
      <c r="F4915">
        <v>0.61630904455369195</v>
      </c>
      <c r="G4915">
        <v>0.47410173251051502</v>
      </c>
      <c r="H4915">
        <v>0.22527297369947999</v>
      </c>
      <c r="I4915">
        <v>8.4024813679069998E-2</v>
      </c>
      <c r="J4915">
        <v>2.86638168337894E-2</v>
      </c>
      <c r="K4915">
        <v>3.1090682287165401E-2</v>
      </c>
      <c r="L4915">
        <v>755.48712123321604</v>
      </c>
      <c r="M4915">
        <v>14.408238137246</v>
      </c>
      <c r="N4915">
        <v>52.434385892523501</v>
      </c>
      <c r="O4915">
        <v>51.455382231452603</v>
      </c>
      <c r="P4915">
        <v>-7.00118528860839E-2</v>
      </c>
      <c r="Q4915">
        <v>0</v>
      </c>
      <c r="R4915">
        <v>0.99161921294197797</v>
      </c>
      <c r="S4915" t="s">
        <v>11317</v>
      </c>
      <c r="T4915" t="s">
        <v>12802</v>
      </c>
      <c r="U4915" t="s">
        <v>12802</v>
      </c>
      <c r="V4915" t="s">
        <v>12802</v>
      </c>
      <c r="W4915" t="s">
        <v>17653</v>
      </c>
      <c r="X4915">
        <v>3</v>
      </c>
      <c r="Y4915" t="s">
        <v>23870</v>
      </c>
      <c r="Z4915" t="s">
        <v>30233</v>
      </c>
      <c r="AA4915">
        <v>0.53389079326710998</v>
      </c>
      <c r="AB4915" t="str">
        <f>HYPERLINK("Melting_Curves/meltCurve_Q96FX7_TRMT61A.pdf", "Melting_Curves/meltCurve_Q96FX7_TRMT61A.pdf")</f>
        <v>Melting_Curves/meltCurve_Q96FX7_TRMT61A.pdf</v>
      </c>
    </row>
    <row r="4916" spans="1:28" x14ac:dyDescent="0.25">
      <c r="A4916" t="s">
        <v>4920</v>
      </c>
      <c r="B4916">
        <v>0.99542014353169495</v>
      </c>
      <c r="C4916">
        <v>0.90244239342158195</v>
      </c>
      <c r="D4916">
        <v>0.694146675613173</v>
      </c>
      <c r="E4916">
        <v>0.50245557552030096</v>
      </c>
      <c r="F4916">
        <v>0.27727570867357398</v>
      </c>
      <c r="G4916">
        <v>0.16411980227820999</v>
      </c>
      <c r="H4916">
        <v>0.120905590675604</v>
      </c>
      <c r="I4916">
        <v>7.1287216008694906E-2</v>
      </c>
      <c r="J4916">
        <v>8.1427871207883806E-2</v>
      </c>
      <c r="K4916">
        <v>6.4035612544554393E-2</v>
      </c>
      <c r="L4916">
        <v>617.20680653393799</v>
      </c>
      <c r="M4916">
        <v>13.4398883080868</v>
      </c>
      <c r="N4916">
        <v>46.302688696901697</v>
      </c>
      <c r="O4916">
        <v>44.9425633762582</v>
      </c>
      <c r="P4916">
        <v>-7.0876614871739907E-2</v>
      </c>
      <c r="Q4916">
        <v>5.2110612152962997E-2</v>
      </c>
      <c r="R4916">
        <v>0.997274950054857</v>
      </c>
      <c r="S4916" t="s">
        <v>11318</v>
      </c>
      <c r="T4916" t="s">
        <v>12802</v>
      </c>
      <c r="U4916" t="s">
        <v>12802</v>
      </c>
      <c r="V4916" t="s">
        <v>12802</v>
      </c>
      <c r="W4916" t="s">
        <v>17654</v>
      </c>
      <c r="X4916">
        <v>6</v>
      </c>
      <c r="Y4916" t="s">
        <v>23871</v>
      </c>
      <c r="Z4916" t="s">
        <v>30234</v>
      </c>
      <c r="AA4916">
        <v>0.36093443957430532</v>
      </c>
      <c r="AB4916" t="str">
        <f>HYPERLINK("Melting_Curves/meltCurve_Q96FZ2_C3orf37.pdf", "Melting_Curves/meltCurve_Q96FZ2_C3orf37.pdf")</f>
        <v>Melting_Curves/meltCurve_Q96FZ2_C3orf37.pdf</v>
      </c>
    </row>
    <row r="4917" spans="1:28" x14ac:dyDescent="0.25">
      <c r="A4917" t="s">
        <v>4921</v>
      </c>
      <c r="B4917">
        <v>0.99542014353169495</v>
      </c>
      <c r="C4917">
        <v>0.92725187425903</v>
      </c>
      <c r="D4917">
        <v>0.89633996774581504</v>
      </c>
      <c r="E4917">
        <v>0.75124618036511304</v>
      </c>
      <c r="F4917">
        <v>0.60662218469653295</v>
      </c>
      <c r="G4917">
        <v>0.38726980725314702</v>
      </c>
      <c r="H4917">
        <v>0.21539949828236099</v>
      </c>
      <c r="I4917">
        <v>9.9193293031896695E-2</v>
      </c>
      <c r="J4917">
        <v>7.4374735520041604E-2</v>
      </c>
      <c r="K4917">
        <v>7.1526233809516407E-2</v>
      </c>
      <c r="L4917">
        <v>608.16816929693096</v>
      </c>
      <c r="M4917">
        <v>11.8291933041556</v>
      </c>
      <c r="N4917">
        <v>51.412480318731802</v>
      </c>
      <c r="O4917">
        <v>50.009205464225403</v>
      </c>
      <c r="P4917">
        <v>-5.91501499160067E-2</v>
      </c>
      <c r="Q4917">
        <v>0</v>
      </c>
      <c r="R4917">
        <v>0.995676445981729</v>
      </c>
      <c r="S4917" t="s">
        <v>11319</v>
      </c>
      <c r="T4917" t="s">
        <v>12802</v>
      </c>
      <c r="U4917" t="s">
        <v>12802</v>
      </c>
      <c r="V4917" t="s">
        <v>12802</v>
      </c>
      <c r="W4917" t="s">
        <v>17655</v>
      </c>
      <c r="X4917">
        <v>6</v>
      </c>
      <c r="Y4917" t="s">
        <v>23872</v>
      </c>
      <c r="Z4917" t="s">
        <v>30235</v>
      </c>
      <c r="AA4917">
        <v>0.50587979127132798</v>
      </c>
      <c r="AB4917" t="str">
        <f>HYPERLINK("Melting_Curves/meltCurve_Q96FZ7_CHMP6.pdf", "Melting_Curves/meltCurve_Q96FZ7_CHMP6.pdf")</f>
        <v>Melting_Curves/meltCurve_Q96FZ7_CHMP6.pdf</v>
      </c>
    </row>
    <row r="4918" spans="1:28" x14ac:dyDescent="0.25">
      <c r="A4918" t="s">
        <v>4922</v>
      </c>
      <c r="B4918">
        <v>0.99542014353169495</v>
      </c>
      <c r="C4918">
        <v>1.02251296661848</v>
      </c>
      <c r="D4918">
        <v>1.00482937747653</v>
      </c>
      <c r="E4918">
        <v>1.0135468153814999</v>
      </c>
      <c r="F4918">
        <v>0.86878847382064295</v>
      </c>
      <c r="G4918">
        <v>0.76827304361122295</v>
      </c>
      <c r="H4918">
        <v>0.58040768822261801</v>
      </c>
      <c r="I4918">
        <v>0.51388268268521298</v>
      </c>
      <c r="J4918">
        <v>0.55801601424944303</v>
      </c>
      <c r="K4918">
        <v>0.48340824375489</v>
      </c>
      <c r="L4918">
        <v>1132.2500847987101</v>
      </c>
      <c r="M4918">
        <v>21.116033944165199</v>
      </c>
      <c r="O4918">
        <v>53.146443050857599</v>
      </c>
      <c r="P4918">
        <v>-4.9920424656978601E-2</v>
      </c>
      <c r="Q4918">
        <v>0.49743908338266002</v>
      </c>
      <c r="R4918">
        <v>0.98513181478174605</v>
      </c>
      <c r="S4918" t="s">
        <v>11320</v>
      </c>
      <c r="T4918" t="s">
        <v>12802</v>
      </c>
      <c r="U4918" t="s">
        <v>12802</v>
      </c>
      <c r="V4918" t="s">
        <v>12802</v>
      </c>
      <c r="W4918" t="s">
        <v>17656</v>
      </c>
      <c r="X4918">
        <v>33</v>
      </c>
      <c r="Y4918" t="s">
        <v>23873</v>
      </c>
      <c r="Z4918" t="s">
        <v>30236</v>
      </c>
      <c r="AA4918">
        <v>0.78160004472689915</v>
      </c>
      <c r="AB4918" t="str">
        <f>HYPERLINK("Melting_Curves/meltCurve_Q96G03_PGM2.pdf", "Melting_Curves/meltCurve_Q96G03_PGM2.pdf")</f>
        <v>Melting_Curves/meltCurve_Q96G03_PGM2.pdf</v>
      </c>
    </row>
    <row r="4919" spans="1:28" x14ac:dyDescent="0.25">
      <c r="A4919" t="s">
        <v>4923</v>
      </c>
      <c r="B4919">
        <v>0.99542014353169495</v>
      </c>
      <c r="C4919">
        <v>0.93249989845793102</v>
      </c>
      <c r="D4919">
        <v>0.937929543191098</v>
      </c>
      <c r="E4919">
        <v>0.690750751087016</v>
      </c>
      <c r="F4919">
        <v>0.53665237955311196</v>
      </c>
      <c r="G4919">
        <v>0.485155782956881</v>
      </c>
      <c r="H4919">
        <v>0.50776966521952505</v>
      </c>
      <c r="I4919">
        <v>0.42713795990842102</v>
      </c>
      <c r="J4919">
        <v>0.53805800166568296</v>
      </c>
      <c r="K4919">
        <v>0.72173891217403996</v>
      </c>
      <c r="L4919">
        <v>1469.7603853841099</v>
      </c>
      <c r="M4919">
        <v>32.297227286672097</v>
      </c>
      <c r="O4919">
        <v>45.333929739292401</v>
      </c>
      <c r="P4919">
        <v>-8.3197828039939997E-2</v>
      </c>
      <c r="Q4919">
        <v>0.532880548652367</v>
      </c>
      <c r="R4919">
        <v>0.865083799992175</v>
      </c>
      <c r="S4919" t="s">
        <v>11321</v>
      </c>
      <c r="T4919" t="s">
        <v>12802</v>
      </c>
      <c r="U4919" t="s">
        <v>12802</v>
      </c>
      <c r="V4919" t="s">
        <v>12802</v>
      </c>
      <c r="W4919" t="s">
        <v>17657</v>
      </c>
      <c r="X4919">
        <v>6</v>
      </c>
      <c r="Y4919" t="s">
        <v>23874</v>
      </c>
      <c r="Z4919" t="s">
        <v>30237</v>
      </c>
      <c r="AA4919">
        <v>0.66761699062881807</v>
      </c>
      <c r="AB4919" t="str">
        <f>HYPERLINK("Melting_Curves/meltCurve_Q96G25_MED8.pdf", "Melting_Curves/meltCurve_Q96G25_MED8.pdf")</f>
        <v>Melting_Curves/meltCurve_Q96G25_MED8.pdf</v>
      </c>
    </row>
    <row r="4920" spans="1:28" x14ac:dyDescent="0.25">
      <c r="A4920" t="s">
        <v>4924</v>
      </c>
      <c r="B4920">
        <v>0.99542014353169495</v>
      </c>
      <c r="C4920">
        <v>1.01308785425845</v>
      </c>
      <c r="D4920">
        <v>0.79520296334906304</v>
      </c>
      <c r="E4920">
        <v>0.46412768009719402</v>
      </c>
      <c r="F4920">
        <v>0.191390064956413</v>
      </c>
      <c r="G4920">
        <v>0.11423809515047401</v>
      </c>
      <c r="H4920">
        <v>8.9088367751132505E-2</v>
      </c>
      <c r="I4920">
        <v>4.3928238821017603E-2</v>
      </c>
      <c r="J4920">
        <v>4.7471662581992403E-2</v>
      </c>
      <c r="K4920">
        <v>5.3549484912991899E-2</v>
      </c>
      <c r="L4920">
        <v>949.86487022039296</v>
      </c>
      <c r="M4920">
        <v>20.668347971073</v>
      </c>
      <c r="N4920">
        <v>46.217979201593302</v>
      </c>
      <c r="O4920">
        <v>45.533740481633302</v>
      </c>
      <c r="P4920">
        <v>-0.107241697233667</v>
      </c>
      <c r="Q4920">
        <v>5.49849793173455E-2</v>
      </c>
      <c r="R4920">
        <v>0.99716330851777402</v>
      </c>
      <c r="S4920" t="s">
        <v>11322</v>
      </c>
      <c r="T4920" t="s">
        <v>12802</v>
      </c>
      <c r="U4920" t="s">
        <v>12802</v>
      </c>
      <c r="V4920" t="s">
        <v>12802</v>
      </c>
      <c r="W4920" t="s">
        <v>17658</v>
      </c>
      <c r="X4920">
        <v>8</v>
      </c>
      <c r="Y4920" t="s">
        <v>23875</v>
      </c>
      <c r="Z4920" t="s">
        <v>30238</v>
      </c>
      <c r="AA4920">
        <v>0.34870541340125039</v>
      </c>
      <c r="AB4920" t="str">
        <f>HYPERLINK("Melting_Curves/meltCurve_Q96G28_CCDC104.pdf", "Melting_Curves/meltCurve_Q96G28_CCDC104.pdf")</f>
        <v>Melting_Curves/meltCurve_Q96G28_CCDC104.pdf</v>
      </c>
    </row>
    <row r="4921" spans="1:28" x14ac:dyDescent="0.25">
      <c r="A4921" t="s">
        <v>4925</v>
      </c>
      <c r="B4921">
        <v>0.99542014353169495</v>
      </c>
      <c r="C4921">
        <v>0.97699423679019104</v>
      </c>
      <c r="D4921">
        <v>0.94952648228978898</v>
      </c>
      <c r="E4921">
        <v>0.80278607399917001</v>
      </c>
      <c r="F4921">
        <v>0.420705234904379</v>
      </c>
      <c r="G4921">
        <v>0.203869581687182</v>
      </c>
      <c r="H4921">
        <v>0.12516660183314399</v>
      </c>
      <c r="I4921">
        <v>8.5956756904884996E-2</v>
      </c>
      <c r="J4921">
        <v>7.0134228263990905E-2</v>
      </c>
      <c r="K4921">
        <v>5.6551042060172099E-2</v>
      </c>
      <c r="L4921">
        <v>1057.59278878944</v>
      </c>
      <c r="M4921">
        <v>21.4871479159874</v>
      </c>
      <c r="N4921">
        <v>49.555601296252199</v>
      </c>
      <c r="O4921">
        <v>48.799416595805702</v>
      </c>
      <c r="P4921">
        <v>-0.102623365154153</v>
      </c>
      <c r="Q4921">
        <v>6.7752009883960101E-2</v>
      </c>
      <c r="R4921">
        <v>0.99901243758397995</v>
      </c>
      <c r="S4921" t="s">
        <v>11323</v>
      </c>
      <c r="T4921" t="s">
        <v>12802</v>
      </c>
      <c r="U4921" t="s">
        <v>12802</v>
      </c>
      <c r="V4921" t="s">
        <v>12802</v>
      </c>
      <c r="W4921" t="s">
        <v>17659</v>
      </c>
      <c r="X4921">
        <v>24</v>
      </c>
      <c r="Y4921" t="s">
        <v>23876</v>
      </c>
      <c r="Z4921" t="s">
        <v>30239</v>
      </c>
      <c r="AA4921">
        <v>0.45825232163681562</v>
      </c>
      <c r="AB4921" t="str">
        <f>HYPERLINK("Melting_Curves/meltCurve_Q96G46_DUS3L.pdf", "Melting_Curves/meltCurve_Q96G46_DUS3L.pdf")</f>
        <v>Melting_Curves/meltCurve_Q96G46_DUS3L.pdf</v>
      </c>
    </row>
    <row r="4922" spans="1:28" x14ac:dyDescent="0.25">
      <c r="A4922" t="s">
        <v>4926</v>
      </c>
      <c r="B4922">
        <v>0.99542014353169495</v>
      </c>
      <c r="C4922">
        <v>0.97683778252719899</v>
      </c>
      <c r="D4922">
        <v>0.88244405844680396</v>
      </c>
      <c r="E4922">
        <v>0.74958551098299298</v>
      </c>
      <c r="F4922">
        <v>0.46266054620890801</v>
      </c>
      <c r="G4922">
        <v>0.27334529719767098</v>
      </c>
      <c r="H4922">
        <v>0.15211660455196099</v>
      </c>
      <c r="I4922">
        <v>9.5627967608521602E-2</v>
      </c>
      <c r="J4922">
        <v>0.115725529617105</v>
      </c>
      <c r="K4922">
        <v>0.16184398379912801</v>
      </c>
      <c r="L4922">
        <v>817.17649209355795</v>
      </c>
      <c r="M4922">
        <v>16.685285955865101</v>
      </c>
      <c r="N4922">
        <v>49.651611623839301</v>
      </c>
      <c r="O4922">
        <v>48.288595381893003</v>
      </c>
      <c r="P4922">
        <v>-7.7614381910032101E-2</v>
      </c>
      <c r="Q4922">
        <v>0.101570036595426</v>
      </c>
      <c r="R4922">
        <v>0.995133092146396</v>
      </c>
      <c r="S4922" t="s">
        <v>11324</v>
      </c>
      <c r="T4922" t="s">
        <v>12802</v>
      </c>
      <c r="U4922" t="s">
        <v>12802</v>
      </c>
      <c r="V4922" t="s">
        <v>12802</v>
      </c>
      <c r="W4922" t="s">
        <v>17660</v>
      </c>
      <c r="X4922">
        <v>13</v>
      </c>
      <c r="Y4922" t="s">
        <v>23877</v>
      </c>
      <c r="Z4922" t="s">
        <v>30240</v>
      </c>
      <c r="AA4922">
        <v>0.47648578619085102</v>
      </c>
      <c r="AB4922" t="str">
        <f>HYPERLINK("Melting_Curves/meltCurve_Q96G74_3_OTUD5.pdf", "Melting_Curves/meltCurve_Q96G74_3_OTUD5.pdf")</f>
        <v>Melting_Curves/meltCurve_Q96G74_3_OTUD5.pdf</v>
      </c>
    </row>
    <row r="4923" spans="1:28" x14ac:dyDescent="0.25">
      <c r="A4923" t="s">
        <v>4927</v>
      </c>
      <c r="B4923">
        <v>0.99542014353169495</v>
      </c>
      <c r="C4923">
        <v>1.09145781648491</v>
      </c>
      <c r="D4923">
        <v>1.1911201992543301</v>
      </c>
      <c r="E4923">
        <v>0.98744739783523205</v>
      </c>
      <c r="F4923">
        <v>0.32605098074781302</v>
      </c>
      <c r="G4923">
        <v>0.16154906299359301</v>
      </c>
      <c r="H4923">
        <v>6.5157801301166399E-2</v>
      </c>
      <c r="I4923">
        <v>5.3036386465590002E-2</v>
      </c>
      <c r="J4923">
        <v>6.1685332950710499E-2</v>
      </c>
      <c r="K4923">
        <v>0.100208524428354</v>
      </c>
      <c r="L4923">
        <v>2967.8139591906602</v>
      </c>
      <c r="M4923">
        <v>60.129547242065598</v>
      </c>
      <c r="N4923">
        <v>49.513164900843201</v>
      </c>
      <c r="O4923">
        <v>49.302493821113103</v>
      </c>
      <c r="P4923">
        <v>-0.278565962228075</v>
      </c>
      <c r="Q4923">
        <v>8.6373230131924397E-2</v>
      </c>
      <c r="R4923">
        <v>0.97620522977979995</v>
      </c>
      <c r="S4923" t="s">
        <v>11325</v>
      </c>
      <c r="T4923" t="s">
        <v>12802</v>
      </c>
      <c r="U4923" t="s">
        <v>12802</v>
      </c>
      <c r="V4923" t="s">
        <v>12802</v>
      </c>
      <c r="W4923" t="s">
        <v>17661</v>
      </c>
      <c r="X4923">
        <v>6</v>
      </c>
      <c r="Y4923" t="s">
        <v>23878</v>
      </c>
      <c r="Z4923" t="s">
        <v>30241</v>
      </c>
      <c r="AA4923">
        <v>0.46406903583380221</v>
      </c>
      <c r="AB4923" t="str">
        <f>HYPERLINK("Melting_Curves/meltCurve_Q96GA3_LTV1.pdf", "Melting_Curves/meltCurve_Q96GA3_LTV1.pdf")</f>
        <v>Melting_Curves/meltCurve_Q96GA3_LTV1.pdf</v>
      </c>
    </row>
    <row r="4924" spans="1:28" x14ac:dyDescent="0.25">
      <c r="A4924" t="s">
        <v>4928</v>
      </c>
      <c r="B4924">
        <v>0.99542014353169495</v>
      </c>
      <c r="C4924">
        <v>1.0622865022969501</v>
      </c>
      <c r="D4924">
        <v>1.0243726072719499</v>
      </c>
      <c r="E4924">
        <v>0.99376048478406698</v>
      </c>
      <c r="F4924">
        <v>0.80622785092149496</v>
      </c>
      <c r="G4924">
        <v>0.67548018153191203</v>
      </c>
      <c r="H4924">
        <v>0.48584481612251501</v>
      </c>
      <c r="I4924">
        <v>0.45490582623429598</v>
      </c>
      <c r="J4924">
        <v>0.51987594256471104</v>
      </c>
      <c r="K4924">
        <v>0.40371847745357298</v>
      </c>
      <c r="L4924">
        <v>1135.1924023554</v>
      </c>
      <c r="M4924">
        <v>21.692773787061402</v>
      </c>
      <c r="N4924">
        <v>58.141001540066199</v>
      </c>
      <c r="O4924">
        <v>51.891829613817897</v>
      </c>
      <c r="P4924">
        <v>-5.8234707495715701E-2</v>
      </c>
      <c r="Q4924">
        <v>0.44279441140040299</v>
      </c>
      <c r="R4924">
        <v>0.97540369462555299</v>
      </c>
      <c r="S4924" t="s">
        <v>11326</v>
      </c>
      <c r="T4924" t="s">
        <v>12802</v>
      </c>
      <c r="U4924" t="s">
        <v>12802</v>
      </c>
      <c r="V4924" t="s">
        <v>12802</v>
      </c>
      <c r="W4924" t="s">
        <v>17662</v>
      </c>
      <c r="X4924">
        <v>6</v>
      </c>
      <c r="Y4924" t="s">
        <v>23879</v>
      </c>
      <c r="Z4924" t="s">
        <v>30242</v>
      </c>
      <c r="AA4924">
        <v>0.73382141338542617</v>
      </c>
      <c r="AB4924" t="str">
        <f>HYPERLINK("Melting_Curves/meltCurve_Q96GA7_SDSL.pdf", "Melting_Curves/meltCurve_Q96GA7_SDSL.pdf")</f>
        <v>Melting_Curves/meltCurve_Q96GA7_SDSL.pdf</v>
      </c>
    </row>
    <row r="4925" spans="1:28" x14ac:dyDescent="0.25">
      <c r="A4925" t="s">
        <v>4929</v>
      </c>
      <c r="B4925">
        <v>0.99542014353169495</v>
      </c>
      <c r="C4925">
        <v>1.10261073487368</v>
      </c>
      <c r="D4925">
        <v>0.97530823364250896</v>
      </c>
      <c r="E4925">
        <v>0.97319462403745904</v>
      </c>
      <c r="F4925">
        <v>0.76438656183286102</v>
      </c>
      <c r="G4925">
        <v>0.68869750780528005</v>
      </c>
      <c r="H4925">
        <v>0.45669814118040603</v>
      </c>
      <c r="I4925">
        <v>0.435871232929045</v>
      </c>
      <c r="J4925">
        <v>0.67145867077955401</v>
      </c>
      <c r="K4925">
        <v>0.77829880925808304</v>
      </c>
      <c r="L4925">
        <v>1683.2037193062999</v>
      </c>
      <c r="M4925">
        <v>33.752486519728102</v>
      </c>
      <c r="O4925">
        <v>49.694949218434303</v>
      </c>
      <c r="P4925">
        <v>-6.8432676118806005E-2</v>
      </c>
      <c r="Q4925">
        <v>0.59697849150580595</v>
      </c>
      <c r="R4925">
        <v>0.78567009603998705</v>
      </c>
      <c r="S4925" t="s">
        <v>11327</v>
      </c>
      <c r="T4925" t="s">
        <v>12802</v>
      </c>
      <c r="U4925" t="s">
        <v>12802</v>
      </c>
      <c r="V4925" t="s">
        <v>12802</v>
      </c>
      <c r="W4925" t="s">
        <v>17663</v>
      </c>
      <c r="X4925">
        <v>15</v>
      </c>
      <c r="Y4925" t="s">
        <v>23880</v>
      </c>
      <c r="Z4925" t="s">
        <v>30243</v>
      </c>
      <c r="AA4925">
        <v>0.77181357451053267</v>
      </c>
      <c r="AB4925" t="str">
        <f>HYPERLINK("Melting_Curves/meltCurve_Q96GD0_PDXP.pdf", "Melting_Curves/meltCurve_Q96GD0_PDXP.pdf")</f>
        <v>Melting_Curves/meltCurve_Q96GD0_PDXP.pdf</v>
      </c>
    </row>
    <row r="4926" spans="1:28" x14ac:dyDescent="0.25">
      <c r="A4926" t="s">
        <v>4930</v>
      </c>
      <c r="B4926">
        <v>0.99542014353169495</v>
      </c>
      <c r="C4926">
        <v>0.71566703066541604</v>
      </c>
      <c r="D4926">
        <v>0.90376626966542195</v>
      </c>
      <c r="E4926">
        <v>0.55563741042693504</v>
      </c>
      <c r="F4926">
        <v>0.36586833885945702</v>
      </c>
      <c r="G4926">
        <v>0.19912771221863401</v>
      </c>
      <c r="H4926">
        <v>0.13968440886543901</v>
      </c>
      <c r="I4926">
        <v>0.12813283805867101</v>
      </c>
      <c r="J4926">
        <v>0.14832362592132101</v>
      </c>
      <c r="K4926">
        <v>0.17967621751249399</v>
      </c>
      <c r="L4926">
        <v>619.79649074011797</v>
      </c>
      <c r="M4926">
        <v>13.2875429886479</v>
      </c>
      <c r="N4926">
        <v>47.522881667188798</v>
      </c>
      <c r="O4926">
        <v>45.626413552353704</v>
      </c>
      <c r="P4926">
        <v>-6.4892873529850598E-2</v>
      </c>
      <c r="Q4926">
        <v>0.10883482775542</v>
      </c>
      <c r="R4926">
        <v>0.93929470908773705</v>
      </c>
      <c r="S4926" t="s">
        <v>11328</v>
      </c>
      <c r="T4926" t="s">
        <v>12802</v>
      </c>
      <c r="U4926" t="s">
        <v>12802</v>
      </c>
      <c r="V4926" t="s">
        <v>12802</v>
      </c>
      <c r="W4926" t="s">
        <v>17664</v>
      </c>
      <c r="X4926">
        <v>1</v>
      </c>
      <c r="Y4926" t="s">
        <v>23881</v>
      </c>
      <c r="Z4926" t="s">
        <v>30244</v>
      </c>
      <c r="AA4926">
        <v>0.42043866075753739</v>
      </c>
      <c r="AB4926" t="str">
        <f>HYPERLINK("Melting_Curves/meltCurve_Q96GF1_RNF185.pdf", "Melting_Curves/meltCurve_Q96GF1_RNF185.pdf")</f>
        <v>Melting_Curves/meltCurve_Q96GF1_RNF185.pdf</v>
      </c>
    </row>
    <row r="4927" spans="1:28" x14ac:dyDescent="0.25">
      <c r="A4927" t="s">
        <v>4931</v>
      </c>
      <c r="B4927">
        <v>0.99542014353169495</v>
      </c>
      <c r="C4927">
        <v>1.0357322656008801</v>
      </c>
      <c r="D4927">
        <v>0.96957850258765899</v>
      </c>
      <c r="E4927">
        <v>0.87917348278676399</v>
      </c>
      <c r="F4927">
        <v>0.60162216001209301</v>
      </c>
      <c r="G4927">
        <v>0.18236531601078901</v>
      </c>
      <c r="H4927">
        <v>9.2061130360097596E-2</v>
      </c>
      <c r="I4927">
        <v>6.2212309534969E-2</v>
      </c>
      <c r="J4927">
        <v>6.5248444155861202E-2</v>
      </c>
      <c r="K4927">
        <v>6.8802136525465296E-2</v>
      </c>
      <c r="L4927">
        <v>1373.72876128502</v>
      </c>
      <c r="M4927">
        <v>27.170578688865401</v>
      </c>
      <c r="N4927">
        <v>50.782946700507999</v>
      </c>
      <c r="O4927">
        <v>50.287903022498497</v>
      </c>
      <c r="P4927">
        <v>-0.127463539523826</v>
      </c>
      <c r="Q4927">
        <v>5.6359442299519502E-2</v>
      </c>
      <c r="R4927">
        <v>0.99723057841693596</v>
      </c>
      <c r="S4927" t="s">
        <v>11329</v>
      </c>
      <c r="T4927" t="s">
        <v>12802</v>
      </c>
      <c r="U4927" t="s">
        <v>12802</v>
      </c>
      <c r="V4927" t="s">
        <v>12802</v>
      </c>
      <c r="W4927" t="s">
        <v>17665</v>
      </c>
      <c r="X4927">
        <v>10</v>
      </c>
      <c r="Y4927" t="s">
        <v>23882</v>
      </c>
      <c r="Z4927" t="s">
        <v>30245</v>
      </c>
      <c r="AA4927">
        <v>0.48994828914588168</v>
      </c>
      <c r="AB4927" t="str">
        <f>HYPERLINK("Melting_Curves/meltCurve_Q96GG9_DCUN1D1.pdf", "Melting_Curves/meltCurve_Q96GG9_DCUN1D1.pdf")</f>
        <v>Melting_Curves/meltCurve_Q96GG9_DCUN1D1.pdf</v>
      </c>
    </row>
    <row r="4928" spans="1:28" x14ac:dyDescent="0.25">
      <c r="A4928" t="s">
        <v>4932</v>
      </c>
      <c r="B4928">
        <v>0.99542014353169495</v>
      </c>
      <c r="C4928">
        <v>1.06442907289457</v>
      </c>
      <c r="D4928">
        <v>0.96530475274605099</v>
      </c>
      <c r="E4928">
        <v>0.98692970638664101</v>
      </c>
      <c r="F4928">
        <v>0.80829549944600998</v>
      </c>
      <c r="G4928">
        <v>0.73935122181708501</v>
      </c>
      <c r="H4928">
        <v>0.34438581831613901</v>
      </c>
      <c r="I4928">
        <v>0.236898044271177</v>
      </c>
      <c r="J4928">
        <v>0.16599187437162899</v>
      </c>
      <c r="K4928">
        <v>0.11322239798205699</v>
      </c>
      <c r="L4928">
        <v>999.77792997086101</v>
      </c>
      <c r="M4928">
        <v>18.040762856823299</v>
      </c>
      <c r="N4928">
        <v>55.949028639512498</v>
      </c>
      <c r="O4928">
        <v>54.750269930991301</v>
      </c>
      <c r="P4928">
        <v>-7.5896191353001297E-2</v>
      </c>
      <c r="Q4928">
        <v>7.8723304257357296E-2</v>
      </c>
      <c r="R4928">
        <v>0.98507862200879304</v>
      </c>
      <c r="S4928" t="s">
        <v>11330</v>
      </c>
      <c r="T4928" t="s">
        <v>12802</v>
      </c>
      <c r="U4928" t="s">
        <v>12802</v>
      </c>
      <c r="V4928" t="s">
        <v>12802</v>
      </c>
      <c r="W4928" t="s">
        <v>17666</v>
      </c>
      <c r="X4928">
        <v>12</v>
      </c>
      <c r="Y4928" t="s">
        <v>23883</v>
      </c>
      <c r="Z4928" t="s">
        <v>30246</v>
      </c>
      <c r="AA4928">
        <v>0.6553342404207273</v>
      </c>
      <c r="AB4928" t="str">
        <f>HYPERLINK("Melting_Curves/meltCurve_Q96GK7_FAHD2A.pdf", "Melting_Curves/meltCurve_Q96GK7_FAHD2A.pdf")</f>
        <v>Melting_Curves/meltCurve_Q96GK7_FAHD2A.pdf</v>
      </c>
    </row>
    <row r="4929" spans="1:28" x14ac:dyDescent="0.25">
      <c r="A4929" t="s">
        <v>4933</v>
      </c>
      <c r="B4929">
        <v>0.99542014353169495</v>
      </c>
      <c r="C4929">
        <v>0.73649466839692401</v>
      </c>
      <c r="D4929">
        <v>0.75839571068297995</v>
      </c>
      <c r="E4929">
        <v>0.29912865542100397</v>
      </c>
      <c r="F4929">
        <v>0.126962079769671</v>
      </c>
      <c r="G4929">
        <v>7.9611469926901102E-2</v>
      </c>
      <c r="H4929">
        <v>4.0546368501676498E-2</v>
      </c>
      <c r="I4929">
        <v>2.76874402977129E-2</v>
      </c>
      <c r="J4929">
        <v>2.7191768242616599E-2</v>
      </c>
      <c r="K4929">
        <v>3.06424029955219E-2</v>
      </c>
      <c r="L4929">
        <v>718.09068924440805</v>
      </c>
      <c r="M4929">
        <v>16.1179402263576</v>
      </c>
      <c r="N4929">
        <v>44.632441868467602</v>
      </c>
      <c r="O4929">
        <v>43.883406040117798</v>
      </c>
      <c r="P4929">
        <v>-9.0519311349719606E-2</v>
      </c>
      <c r="Q4929">
        <v>1.4268379435380001E-2</v>
      </c>
      <c r="R4929">
        <v>0.97308920251539099</v>
      </c>
      <c r="S4929" t="s">
        <v>11331</v>
      </c>
      <c r="T4929" t="s">
        <v>12802</v>
      </c>
      <c r="U4929" t="s">
        <v>12802</v>
      </c>
      <c r="V4929" t="s">
        <v>12802</v>
      </c>
      <c r="W4929" t="s">
        <v>17667</v>
      </c>
      <c r="X4929">
        <v>6</v>
      </c>
      <c r="Y4929" t="s">
        <v>23884</v>
      </c>
      <c r="Z4929" t="s">
        <v>30247</v>
      </c>
      <c r="AA4929">
        <v>0.28300203040457728</v>
      </c>
      <c r="AB4929" t="str">
        <f>HYPERLINK("Melting_Curves/meltCurve_Q96GM5_SMARCD1.pdf", "Melting_Curves/meltCurve_Q96GM5_SMARCD1.pdf")</f>
        <v>Melting_Curves/meltCurve_Q96GM5_SMARCD1.pdf</v>
      </c>
    </row>
    <row r="4930" spans="1:28" x14ac:dyDescent="0.25">
      <c r="A4930" t="s">
        <v>4934</v>
      </c>
      <c r="B4930">
        <v>0.99542014353169495</v>
      </c>
      <c r="C4930">
        <v>0.90191547640948699</v>
      </c>
      <c r="D4930">
        <v>0.96156894522563896</v>
      </c>
      <c r="E4930">
        <v>0.76022630951022296</v>
      </c>
      <c r="F4930">
        <v>0.46674363013262299</v>
      </c>
      <c r="G4930">
        <v>0.30087718470826802</v>
      </c>
      <c r="H4930">
        <v>0.17550261646320001</v>
      </c>
      <c r="I4930">
        <v>6.6207176304215506E-2</v>
      </c>
      <c r="J4930">
        <v>5.3228393209573101E-2</v>
      </c>
      <c r="K4930">
        <v>3.8261097884354701E-2</v>
      </c>
      <c r="L4930">
        <v>710.33006600473595</v>
      </c>
      <c r="M4930">
        <v>14.165153040372999</v>
      </c>
      <c r="N4930">
        <v>50.226923002497102</v>
      </c>
      <c r="O4930">
        <v>49.178626366362401</v>
      </c>
      <c r="P4930">
        <v>-7.1208418003820106E-2</v>
      </c>
      <c r="Q4930">
        <v>1.12384614761569E-2</v>
      </c>
      <c r="R4930">
        <v>0.99297219448938501</v>
      </c>
      <c r="S4930" t="s">
        <v>11332</v>
      </c>
      <c r="T4930" t="s">
        <v>12802</v>
      </c>
      <c r="U4930" t="s">
        <v>12802</v>
      </c>
      <c r="V4930" t="s">
        <v>12802</v>
      </c>
      <c r="W4930" t="s">
        <v>17668</v>
      </c>
      <c r="X4930">
        <v>10</v>
      </c>
      <c r="Y4930" t="s">
        <v>23885</v>
      </c>
      <c r="Z4930" t="s">
        <v>30248</v>
      </c>
      <c r="AA4930">
        <v>0.46679819127590172</v>
      </c>
      <c r="AB4930" t="str">
        <f>HYPERLINK("Melting_Curves/meltCurve_Q96GM8_TOE1.pdf", "Melting_Curves/meltCurve_Q96GM8_TOE1.pdf")</f>
        <v>Melting_Curves/meltCurve_Q96GM8_TOE1.pdf</v>
      </c>
    </row>
    <row r="4931" spans="1:28" x14ac:dyDescent="0.25">
      <c r="A4931" t="s">
        <v>4935</v>
      </c>
      <c r="B4931">
        <v>0.99542014353169495</v>
      </c>
      <c r="C4931">
        <v>1.00733634497069</v>
      </c>
      <c r="D4931">
        <v>0.79795084405937799</v>
      </c>
      <c r="E4931">
        <v>0.78442908556866697</v>
      </c>
      <c r="F4931">
        <v>0.56353074187937202</v>
      </c>
      <c r="G4931">
        <v>0.20206937759941601</v>
      </c>
      <c r="H4931">
        <v>0.107196053457631</v>
      </c>
      <c r="I4931">
        <v>6.3550650883018894E-2</v>
      </c>
      <c r="J4931">
        <v>8.0942337182717206E-2</v>
      </c>
      <c r="K4931">
        <v>5.5269576564779703E-2</v>
      </c>
      <c r="L4931">
        <v>767.73113213284898</v>
      </c>
      <c r="M4931">
        <v>15.356698890618199</v>
      </c>
      <c r="N4931">
        <v>50.105474440485999</v>
      </c>
      <c r="O4931">
        <v>49.168489630750003</v>
      </c>
      <c r="P4931">
        <v>-7.6769135056761403E-2</v>
      </c>
      <c r="Q4931">
        <v>1.6904555708121199E-2</v>
      </c>
      <c r="R4931">
        <v>0.98036507491758595</v>
      </c>
      <c r="S4931" t="s">
        <v>11333</v>
      </c>
      <c r="T4931" t="s">
        <v>12802</v>
      </c>
      <c r="U4931" t="s">
        <v>12802</v>
      </c>
      <c r="V4931" t="s">
        <v>12802</v>
      </c>
      <c r="W4931" t="s">
        <v>17669</v>
      </c>
      <c r="X4931">
        <v>4</v>
      </c>
      <c r="Y4931" t="s">
        <v>23886</v>
      </c>
      <c r="Z4931" t="s">
        <v>30249</v>
      </c>
      <c r="AA4931">
        <v>0.46255133382880559</v>
      </c>
      <c r="AB4931" t="str">
        <f>HYPERLINK("Melting_Curves/meltCurve_Q96GQ7_DDX27.pdf", "Melting_Curves/meltCurve_Q96GQ7_DDX27.pdf")</f>
        <v>Melting_Curves/meltCurve_Q96GQ7_DDX27.pdf</v>
      </c>
    </row>
    <row r="4932" spans="1:28" x14ac:dyDescent="0.25">
      <c r="A4932" t="s">
        <v>4936</v>
      </c>
      <c r="B4932">
        <v>0.99542014353169495</v>
      </c>
      <c r="C4932">
        <v>1.0172610351269999</v>
      </c>
      <c r="D4932">
        <v>0.98772341924904505</v>
      </c>
      <c r="E4932">
        <v>0.88457638114098003</v>
      </c>
      <c r="F4932">
        <v>0.74721222391929298</v>
      </c>
      <c r="G4932">
        <v>0.48234781742083099</v>
      </c>
      <c r="H4932">
        <v>0.26136580887330402</v>
      </c>
      <c r="I4932">
        <v>0.12844186900451501</v>
      </c>
      <c r="J4932">
        <v>0.11067107418691401</v>
      </c>
      <c r="K4932">
        <v>6.2892518787982105E-2</v>
      </c>
      <c r="L4932">
        <v>849.18734027575795</v>
      </c>
      <c r="M4932">
        <v>15.936041464647399</v>
      </c>
      <c r="N4932">
        <v>53.498744045394297</v>
      </c>
      <c r="O4932">
        <v>52.469287075203802</v>
      </c>
      <c r="P4932">
        <v>-7.3617864771769501E-2</v>
      </c>
      <c r="Q4932">
        <v>3.0532165836869799E-2</v>
      </c>
      <c r="R4932">
        <v>0.99860710593730995</v>
      </c>
      <c r="S4932" t="s">
        <v>11334</v>
      </c>
      <c r="T4932" t="s">
        <v>12802</v>
      </c>
      <c r="U4932" t="s">
        <v>12802</v>
      </c>
      <c r="V4932" t="s">
        <v>12802</v>
      </c>
      <c r="W4932" t="s">
        <v>17670</v>
      </c>
      <c r="X4932">
        <v>11</v>
      </c>
      <c r="Y4932" t="s">
        <v>23887</v>
      </c>
      <c r="Z4932" t="s">
        <v>30250</v>
      </c>
      <c r="AA4932">
        <v>0.57279672626081324</v>
      </c>
      <c r="AB4932" t="str">
        <f>HYPERLINK("Melting_Curves/meltCurve_Q96GS4_C17orf59.pdf", "Melting_Curves/meltCurve_Q96GS4_C17orf59.pdf")</f>
        <v>Melting_Curves/meltCurve_Q96GS4_C17orf59.pdf</v>
      </c>
    </row>
    <row r="4933" spans="1:28" x14ac:dyDescent="0.25">
      <c r="A4933" t="s">
        <v>4937</v>
      </c>
      <c r="B4933">
        <v>0.99542014353169495</v>
      </c>
      <c r="C4933">
        <v>1.0201381601666499</v>
      </c>
      <c r="D4933">
        <v>0.88227336198671602</v>
      </c>
      <c r="E4933">
        <v>0.94259838900479298</v>
      </c>
      <c r="F4933">
        <v>0.81597510793564798</v>
      </c>
      <c r="G4933">
        <v>0.81605886271805905</v>
      </c>
      <c r="H4933">
        <v>0.71775163242042495</v>
      </c>
      <c r="I4933">
        <v>0.719802309543906</v>
      </c>
      <c r="J4933">
        <v>1.14556188765525</v>
      </c>
      <c r="K4933">
        <v>1.4235635275156999</v>
      </c>
      <c r="L4933">
        <v>15000</v>
      </c>
      <c r="M4933">
        <v>233.36217006755399</v>
      </c>
      <c r="O4933">
        <v>64.2730498297948</v>
      </c>
      <c r="P4933">
        <v>0.384497715489314</v>
      </c>
      <c r="Q4933">
        <v>1.4235963480215399</v>
      </c>
      <c r="R4933">
        <v>0.41606080714372401</v>
      </c>
      <c r="S4933" t="s">
        <v>11335</v>
      </c>
      <c r="T4933" t="s">
        <v>12802</v>
      </c>
      <c r="U4933" t="s">
        <v>12802</v>
      </c>
      <c r="V4933" t="s">
        <v>12802</v>
      </c>
      <c r="W4933" t="s">
        <v>17671</v>
      </c>
      <c r="X4933">
        <v>10</v>
      </c>
      <c r="Y4933" t="s">
        <v>23888</v>
      </c>
      <c r="Z4933" t="s">
        <v>30251</v>
      </c>
      <c r="AA4933">
        <v>1.0383830321075189</v>
      </c>
      <c r="AB4933" t="str">
        <f>HYPERLINK("Melting_Curves/meltCurve_Q96GU1_2_PAGE5.pdf", "Melting_Curves/meltCurve_Q96GU1_2_PAGE5.pdf")</f>
        <v>Melting_Curves/meltCurve_Q96GU1_2_PAGE5.pdf</v>
      </c>
    </row>
    <row r="4934" spans="1:28" x14ac:dyDescent="0.25">
      <c r="A4934" t="s">
        <v>4938</v>
      </c>
      <c r="B4934">
        <v>0.99542014353169495</v>
      </c>
      <c r="C4934">
        <v>0.948496014142587</v>
      </c>
      <c r="D4934">
        <v>0.93473262410165903</v>
      </c>
      <c r="E4934">
        <v>0.629445934329111</v>
      </c>
      <c r="F4934">
        <v>0.435000262359439</v>
      </c>
      <c r="G4934">
        <v>0.220057209066015</v>
      </c>
      <c r="H4934">
        <v>0.143399148562319</v>
      </c>
      <c r="I4934">
        <v>0.122401319182315</v>
      </c>
      <c r="J4934">
        <v>0.114860316708897</v>
      </c>
      <c r="K4934">
        <v>0.130460765965316</v>
      </c>
      <c r="L4934">
        <v>816.03419969616198</v>
      </c>
      <c r="M4934">
        <v>16.973206878504399</v>
      </c>
      <c r="N4934">
        <v>48.752954545637699</v>
      </c>
      <c r="O4934">
        <v>47.425294198511203</v>
      </c>
      <c r="P4934">
        <v>-8.0107158771956094E-2</v>
      </c>
      <c r="Q4934">
        <v>0.10473740857823401</v>
      </c>
      <c r="R4934">
        <v>0.99529899004128897</v>
      </c>
      <c r="S4934" t="s">
        <v>11336</v>
      </c>
      <c r="T4934" t="s">
        <v>12802</v>
      </c>
      <c r="U4934" t="s">
        <v>12802</v>
      </c>
      <c r="V4934" t="s">
        <v>12802</v>
      </c>
      <c r="W4934" t="s">
        <v>17672</v>
      </c>
      <c r="X4934">
        <v>2</v>
      </c>
      <c r="Y4934" t="s">
        <v>23889</v>
      </c>
      <c r="Z4934" t="s">
        <v>30252</v>
      </c>
      <c r="AA4934">
        <v>0.45122147718714273</v>
      </c>
      <c r="AB4934" t="str">
        <f>HYPERLINK("Melting_Curves/meltCurve_Q96GV9_C5orf30.pdf", "Melting_Curves/meltCurve_Q96GV9_C5orf30.pdf")</f>
        <v>Melting_Curves/meltCurve_Q96GV9_C5orf30.pdf</v>
      </c>
    </row>
    <row r="4935" spans="1:28" x14ac:dyDescent="0.25">
      <c r="A4935" t="s">
        <v>4939</v>
      </c>
      <c r="B4935">
        <v>0.99542014353169495</v>
      </c>
      <c r="C4935">
        <v>0.99018768398851098</v>
      </c>
      <c r="D4935">
        <v>0.91616363680213497</v>
      </c>
      <c r="E4935">
        <v>0.76933213319982396</v>
      </c>
      <c r="F4935">
        <v>0.63069725089379403</v>
      </c>
      <c r="G4935">
        <v>0.51272892258546698</v>
      </c>
      <c r="H4935">
        <v>0.38059764587080203</v>
      </c>
      <c r="I4935">
        <v>0.27860063258755802</v>
      </c>
      <c r="J4935">
        <v>0.132912582216477</v>
      </c>
      <c r="K4935">
        <v>0.119904373628082</v>
      </c>
      <c r="L4935">
        <v>494.83278040673798</v>
      </c>
      <c r="M4935">
        <v>9.2265134996381004</v>
      </c>
      <c r="N4935">
        <v>53.631624337984697</v>
      </c>
      <c r="O4935">
        <v>51.292689026322797</v>
      </c>
      <c r="P4935">
        <v>-4.49996469346041E-2</v>
      </c>
      <c r="Q4935">
        <v>0</v>
      </c>
      <c r="R4935">
        <v>0.99287894372345897</v>
      </c>
      <c r="S4935" t="s">
        <v>11337</v>
      </c>
      <c r="T4935" t="s">
        <v>12802</v>
      </c>
      <c r="U4935" t="s">
        <v>12802</v>
      </c>
      <c r="V4935" t="s">
        <v>12802</v>
      </c>
      <c r="W4935" t="s">
        <v>17673</v>
      </c>
      <c r="X4935">
        <v>11</v>
      </c>
      <c r="Y4935" t="s">
        <v>23890</v>
      </c>
      <c r="Z4935" t="s">
        <v>30253</v>
      </c>
      <c r="AA4935">
        <v>0.57337808669418266</v>
      </c>
      <c r="AB4935" t="str">
        <f>HYPERLINK("Melting_Curves/meltCurve_Q96GW9_MARS2.pdf", "Melting_Curves/meltCurve_Q96GW9_MARS2.pdf")</f>
        <v>Melting_Curves/meltCurve_Q96GW9_MARS2.pdf</v>
      </c>
    </row>
    <row r="4936" spans="1:28" x14ac:dyDescent="0.25">
      <c r="A4936" t="s">
        <v>4940</v>
      </c>
      <c r="B4936">
        <v>0.99542014353169495</v>
      </c>
      <c r="C4936">
        <v>1.0564293205496</v>
      </c>
      <c r="D4936">
        <v>0.98447957057337898</v>
      </c>
      <c r="E4936">
        <v>0.93656768740533702</v>
      </c>
      <c r="F4936">
        <v>0.72050499916571797</v>
      </c>
      <c r="G4936">
        <v>0.42865778472180099</v>
      </c>
      <c r="H4936">
        <v>0.16973235049796301</v>
      </c>
      <c r="I4936">
        <v>8.6405948953162101E-2</v>
      </c>
      <c r="J4936">
        <v>0.103391020497062</v>
      </c>
      <c r="K4936">
        <v>9.7220519350617096E-2</v>
      </c>
      <c r="L4936">
        <v>1129.89473441773</v>
      </c>
      <c r="M4936">
        <v>21.594978723961599</v>
      </c>
      <c r="N4936">
        <v>52.700433242288497</v>
      </c>
      <c r="O4936">
        <v>51.879631830563099</v>
      </c>
      <c r="P4936">
        <v>-9.6593083945551203E-2</v>
      </c>
      <c r="Q4936">
        <v>7.1804030889362602E-2</v>
      </c>
      <c r="R4936">
        <v>0.99627869421751902</v>
      </c>
      <c r="S4936" t="s">
        <v>11338</v>
      </c>
      <c r="T4936" t="s">
        <v>12802</v>
      </c>
      <c r="U4936" t="s">
        <v>12802</v>
      </c>
      <c r="V4936" t="s">
        <v>12802</v>
      </c>
      <c r="W4936" t="s">
        <v>17674</v>
      </c>
      <c r="X4936">
        <v>6</v>
      </c>
      <c r="Y4936" t="s">
        <v>23891</v>
      </c>
      <c r="Z4936" t="s">
        <v>30254</v>
      </c>
      <c r="AA4936">
        <v>0.55641884175632628</v>
      </c>
      <c r="AB4936" t="str">
        <f>HYPERLINK("Melting_Curves/meltCurve_Q96GX2_ATXN7L3B.pdf", "Melting_Curves/meltCurve_Q96GX2_ATXN7L3B.pdf")</f>
        <v>Melting_Curves/meltCurve_Q96GX2_ATXN7L3B.pdf</v>
      </c>
    </row>
    <row r="4937" spans="1:28" x14ac:dyDescent="0.25">
      <c r="A4937" t="s">
        <v>4941</v>
      </c>
      <c r="B4937">
        <v>0.99542014353169495</v>
      </c>
      <c r="C4937">
        <v>0.92894995715599904</v>
      </c>
      <c r="D4937">
        <v>0.86226407475193001</v>
      </c>
      <c r="E4937">
        <v>0.52610878967174601</v>
      </c>
      <c r="F4937">
        <v>0.25479817683199302</v>
      </c>
      <c r="G4937">
        <v>0.14441336299162499</v>
      </c>
      <c r="H4937">
        <v>0.104228716956069</v>
      </c>
      <c r="I4937">
        <v>7.3854610061317799E-2</v>
      </c>
      <c r="J4937">
        <v>0.106116725856381</v>
      </c>
      <c r="K4937">
        <v>7.56161041493464E-2</v>
      </c>
      <c r="L4937">
        <v>908.11230616568105</v>
      </c>
      <c r="M4937">
        <v>19.530553253308501</v>
      </c>
      <c r="N4937">
        <v>46.9204809848666</v>
      </c>
      <c r="O4937">
        <v>46.017753068370197</v>
      </c>
      <c r="P4937">
        <v>-9.7533268479942897E-2</v>
      </c>
      <c r="Q4937">
        <v>8.0803676478942502E-2</v>
      </c>
      <c r="R4937">
        <v>0.99819395494835605</v>
      </c>
      <c r="S4937" t="s">
        <v>11339</v>
      </c>
      <c r="T4937" t="s">
        <v>12802</v>
      </c>
      <c r="U4937" t="s">
        <v>12802</v>
      </c>
      <c r="V4937" t="s">
        <v>12802</v>
      </c>
      <c r="W4937" t="s">
        <v>17675</v>
      </c>
      <c r="X4937">
        <v>5</v>
      </c>
      <c r="Y4937" t="s">
        <v>23892</v>
      </c>
      <c r="Z4937" t="s">
        <v>30255</v>
      </c>
      <c r="AA4937">
        <v>0.38439165928131719</v>
      </c>
      <c r="AB4937" t="str">
        <f>HYPERLINK("Melting_Curves/meltCurve_Q96GX5_2_MASTL.pdf", "Melting_Curves/meltCurve_Q96GX5_2_MASTL.pdf")</f>
        <v>Melting_Curves/meltCurve_Q96GX5_2_MASTL.pdf</v>
      </c>
    </row>
    <row r="4938" spans="1:28" x14ac:dyDescent="0.25">
      <c r="A4938" t="s">
        <v>4942</v>
      </c>
      <c r="B4938">
        <v>0.99542014353169495</v>
      </c>
      <c r="C4938">
        <v>0.990592018663076</v>
      </c>
      <c r="D4938">
        <v>0.89392628110087302</v>
      </c>
      <c r="E4938">
        <v>0.77149961629805397</v>
      </c>
      <c r="F4938">
        <v>0.59824405802744196</v>
      </c>
      <c r="G4938">
        <v>0.356991667160246</v>
      </c>
      <c r="H4938">
        <v>9.5900993955887998E-2</v>
      </c>
      <c r="I4938">
        <v>5.1435304738706701E-2</v>
      </c>
      <c r="J4938">
        <v>4.4969901951583402E-2</v>
      </c>
      <c r="K4938">
        <v>5.1931438278178102E-2</v>
      </c>
      <c r="L4938">
        <v>755.21114844030706</v>
      </c>
      <c r="M4938">
        <v>14.803131841879701</v>
      </c>
      <c r="N4938">
        <v>51.016985074448101</v>
      </c>
      <c r="O4938">
        <v>50.113106146524601</v>
      </c>
      <c r="P4938">
        <v>-7.3856461634308201E-2</v>
      </c>
      <c r="Q4938">
        <v>0</v>
      </c>
      <c r="R4938">
        <v>0.99208493134462505</v>
      </c>
      <c r="S4938" t="s">
        <v>11340</v>
      </c>
      <c r="T4938" t="s">
        <v>12802</v>
      </c>
      <c r="U4938" t="s">
        <v>12802</v>
      </c>
      <c r="V4938" t="s">
        <v>12802</v>
      </c>
      <c r="W4938" t="s">
        <v>17676</v>
      </c>
      <c r="X4938">
        <v>8</v>
      </c>
      <c r="Y4938" t="s">
        <v>23893</v>
      </c>
      <c r="Z4938" t="s">
        <v>30256</v>
      </c>
      <c r="AA4938">
        <v>0.48769757768944572</v>
      </c>
      <c r="AB4938" t="str">
        <f>HYPERLINK("Melting_Curves/meltCurve_Q96H20_SNF8.pdf", "Melting_Curves/meltCurve_Q96H20_SNF8.pdf")</f>
        <v>Melting_Curves/meltCurve_Q96H20_SNF8.pdf</v>
      </c>
    </row>
    <row r="4939" spans="1:28" x14ac:dyDescent="0.25">
      <c r="A4939" t="s">
        <v>4943</v>
      </c>
      <c r="B4939">
        <v>0.99542014353169495</v>
      </c>
      <c r="C4939">
        <v>0.86170496139461605</v>
      </c>
      <c r="D4939">
        <v>0.78557459215723902</v>
      </c>
      <c r="E4939">
        <v>0.47233046934059802</v>
      </c>
      <c r="F4939">
        <v>0.27281458978140799</v>
      </c>
      <c r="G4939">
        <v>0.16553247221732301</v>
      </c>
      <c r="H4939">
        <v>0.12109124533914301</v>
      </c>
      <c r="I4939">
        <v>9.2362785884090401E-2</v>
      </c>
      <c r="J4939">
        <v>6.9140437380061204E-2</v>
      </c>
      <c r="K4939">
        <v>6.0697613006980997E-2</v>
      </c>
      <c r="L4939">
        <v>663.25240659327903</v>
      </c>
      <c r="M4939">
        <v>14.4112931836163</v>
      </c>
      <c r="N4939">
        <v>46.426583326777198</v>
      </c>
      <c r="O4939">
        <v>45.164141977144503</v>
      </c>
      <c r="P4939">
        <v>-7.5085300123613197E-2</v>
      </c>
      <c r="Q4939">
        <v>5.8859625622546499E-2</v>
      </c>
      <c r="R4939">
        <v>0.99628737194448802</v>
      </c>
      <c r="S4939" t="s">
        <v>11341</v>
      </c>
      <c r="T4939" t="s">
        <v>12802</v>
      </c>
      <c r="U4939" t="s">
        <v>12802</v>
      </c>
      <c r="V4939" t="s">
        <v>12802</v>
      </c>
      <c r="W4939" t="s">
        <v>17677</v>
      </c>
      <c r="X4939">
        <v>3</v>
      </c>
      <c r="Y4939" t="s">
        <v>23894</v>
      </c>
      <c r="Z4939" t="s">
        <v>30257</v>
      </c>
      <c r="AA4939">
        <v>0.36531176863200648</v>
      </c>
      <c r="AB4939" t="str">
        <f>HYPERLINK("Melting_Curves/meltCurve_Q96H55_2_MYO19.pdf", "Melting_Curves/meltCurve_Q96H55_2_MYO19.pdf")</f>
        <v>Melting_Curves/meltCurve_Q96H55_2_MYO19.pdf</v>
      </c>
    </row>
    <row r="4940" spans="1:28" x14ac:dyDescent="0.25">
      <c r="A4940" t="s">
        <v>4944</v>
      </c>
      <c r="B4940">
        <v>0.99542014353169495</v>
      </c>
      <c r="C4940">
        <v>1.30463964449879</v>
      </c>
      <c r="D4940">
        <v>0.97074704453424998</v>
      </c>
      <c r="E4940">
        <v>0.82623817910461606</v>
      </c>
      <c r="F4940">
        <v>0.582568237584418</v>
      </c>
      <c r="G4940">
        <v>0.26452833584692897</v>
      </c>
      <c r="H4940">
        <v>0.227679849398953</v>
      </c>
      <c r="I4940">
        <v>0.213410557135116</v>
      </c>
      <c r="J4940">
        <v>0.32673128454772798</v>
      </c>
      <c r="K4940">
        <v>0.117493307290337</v>
      </c>
      <c r="L4940">
        <v>1227.8038414586899</v>
      </c>
      <c r="M4940">
        <v>24.761309190263798</v>
      </c>
      <c r="N4940">
        <v>50.677089709276203</v>
      </c>
      <c r="O4940">
        <v>49.2655584502618</v>
      </c>
      <c r="P4940">
        <v>-9.9684604207352395E-2</v>
      </c>
      <c r="Q4940">
        <v>0.20667377938500101</v>
      </c>
      <c r="R4940">
        <v>0.92186966722208097</v>
      </c>
      <c r="S4940" t="s">
        <v>11342</v>
      </c>
      <c r="T4940" t="s">
        <v>12802</v>
      </c>
      <c r="U4940" t="s">
        <v>12802</v>
      </c>
      <c r="V4940" t="s">
        <v>12802</v>
      </c>
      <c r="W4940" t="s">
        <v>17678</v>
      </c>
      <c r="X4940">
        <v>1</v>
      </c>
      <c r="Y4940" t="s">
        <v>23895</v>
      </c>
      <c r="Z4940" t="s">
        <v>30258</v>
      </c>
      <c r="AA4940">
        <v>0.54652353824071698</v>
      </c>
      <c r="AB4940" t="str">
        <f>HYPERLINK("Melting_Curves/meltCurve_Q96HA4_4_C1orf159.pdf", "Melting_Curves/meltCurve_Q96HA4_4_C1orf159.pdf")</f>
        <v>Melting_Curves/meltCurve_Q96HA4_4_C1orf159.pdf</v>
      </c>
    </row>
    <row r="4941" spans="1:28" x14ac:dyDescent="0.25">
      <c r="A4941" t="s">
        <v>4945</v>
      </c>
      <c r="B4941">
        <v>0.99542014353169495</v>
      </c>
      <c r="C4941">
        <v>0.67965867665187296</v>
      </c>
      <c r="D4941">
        <v>0.17746026958182601</v>
      </c>
      <c r="E4941">
        <v>0.14872555634967</v>
      </c>
      <c r="F4941">
        <v>0.10868388787111501</v>
      </c>
      <c r="G4941">
        <v>5.71600326819236E-2</v>
      </c>
      <c r="H4941">
        <v>3.1862229181707898E-2</v>
      </c>
      <c r="I4941">
        <v>2.0894803178347101E-2</v>
      </c>
      <c r="J4941">
        <v>1.9438907551600899E-2</v>
      </c>
      <c r="K4941">
        <v>1.51124305063326E-2</v>
      </c>
      <c r="L4941">
        <v>1359.6572714591</v>
      </c>
      <c r="M4941">
        <v>33.394896023473002</v>
      </c>
      <c r="N4941">
        <v>40.852655080488802</v>
      </c>
      <c r="O4941">
        <v>40.569361335079897</v>
      </c>
      <c r="P4941">
        <v>-0.19480396436675401</v>
      </c>
      <c r="Q4941">
        <v>5.3383709391151397E-2</v>
      </c>
      <c r="R4941">
        <v>0.98560930456681095</v>
      </c>
      <c r="S4941" t="s">
        <v>11343</v>
      </c>
      <c r="T4941" t="s">
        <v>12802</v>
      </c>
      <c r="U4941" t="s">
        <v>12802</v>
      </c>
      <c r="V4941" t="s">
        <v>12802</v>
      </c>
      <c r="W4941" t="s">
        <v>17679</v>
      </c>
      <c r="X4941">
        <v>7</v>
      </c>
      <c r="Y4941" t="s">
        <v>23896</v>
      </c>
      <c r="Z4941" t="s">
        <v>30259</v>
      </c>
      <c r="AA4941">
        <v>0.1754664690578879</v>
      </c>
      <c r="AB4941" t="str">
        <f>HYPERLINK("Melting_Curves/meltCurve_Q96HA7_2_TONSL.pdf", "Melting_Curves/meltCurve_Q96HA7_2_TONSL.pdf")</f>
        <v>Melting_Curves/meltCurve_Q96HA7_2_TONSL.pdf</v>
      </c>
    </row>
    <row r="4942" spans="1:28" x14ac:dyDescent="0.25">
      <c r="A4942" t="s">
        <v>4946</v>
      </c>
      <c r="B4942">
        <v>0.99542014353169495</v>
      </c>
      <c r="C4942">
        <v>1.03603500332292</v>
      </c>
      <c r="D4942">
        <v>0.97571352151936097</v>
      </c>
      <c r="E4942">
        <v>0.94678485535359702</v>
      </c>
      <c r="F4942">
        <v>0.69756430840706796</v>
      </c>
      <c r="G4942">
        <v>0.44724476228643401</v>
      </c>
      <c r="H4942">
        <v>0.15610376418049399</v>
      </c>
      <c r="I4942">
        <v>8.5544396775375495E-2</v>
      </c>
      <c r="J4942">
        <v>8.4194705054480207E-2</v>
      </c>
      <c r="K4942">
        <v>9.0778771794122207E-2</v>
      </c>
      <c r="L4942">
        <v>1080.25005604635</v>
      </c>
      <c r="M4942">
        <v>20.619538587098202</v>
      </c>
      <c r="N4942">
        <v>52.698451026355201</v>
      </c>
      <c r="O4942">
        <v>51.904334346305603</v>
      </c>
      <c r="P4942">
        <v>-9.3666278812121306E-2</v>
      </c>
      <c r="Q4942">
        <v>5.6905013311502897E-2</v>
      </c>
      <c r="R4942">
        <v>0.99578356816658797</v>
      </c>
      <c r="S4942" t="s">
        <v>11344</v>
      </c>
      <c r="T4942" t="s">
        <v>12802</v>
      </c>
      <c r="U4942" t="s">
        <v>12802</v>
      </c>
      <c r="V4942" t="s">
        <v>12802</v>
      </c>
      <c r="W4942" t="s">
        <v>17680</v>
      </c>
      <c r="X4942">
        <v>30</v>
      </c>
      <c r="Y4942" t="s">
        <v>23897</v>
      </c>
      <c r="Z4942" t="s">
        <v>30260</v>
      </c>
      <c r="AA4942">
        <v>0.55222708583655189</v>
      </c>
      <c r="AB4942" t="str">
        <f>HYPERLINK("Melting_Curves/meltCurve_Q96HC4_PDLIM5.pdf", "Melting_Curves/meltCurve_Q96HC4_PDLIM5.pdf")</f>
        <v>Melting_Curves/meltCurve_Q96HC4_PDLIM5.pdf</v>
      </c>
    </row>
    <row r="4943" spans="1:28" x14ac:dyDescent="0.25">
      <c r="A4943" t="s">
        <v>4947</v>
      </c>
      <c r="B4943">
        <v>0.99542014353169495</v>
      </c>
      <c r="C4943">
        <v>0.98233171256913498</v>
      </c>
      <c r="D4943">
        <v>0.93875856298465898</v>
      </c>
      <c r="E4943">
        <v>0.78172909073895203</v>
      </c>
      <c r="F4943">
        <v>0.68757347812199598</v>
      </c>
      <c r="G4943">
        <v>0.35839878833829902</v>
      </c>
      <c r="H4943">
        <v>0.22904493272057999</v>
      </c>
      <c r="I4943">
        <v>0.13846285863839999</v>
      </c>
      <c r="J4943">
        <v>0.12903022835762401</v>
      </c>
      <c r="K4943">
        <v>0.154187321281853</v>
      </c>
      <c r="L4943">
        <v>777.610804171572</v>
      </c>
      <c r="M4943">
        <v>15.1826883379305</v>
      </c>
      <c r="N4943">
        <v>51.911027084638903</v>
      </c>
      <c r="O4943">
        <v>50.353070660644804</v>
      </c>
      <c r="P4943">
        <v>-6.8462906452825795E-2</v>
      </c>
      <c r="Q4943">
        <v>9.1864259779745203E-2</v>
      </c>
      <c r="R4943">
        <v>0.99089733087267995</v>
      </c>
      <c r="S4943" t="s">
        <v>11345</v>
      </c>
      <c r="T4943" t="s">
        <v>12802</v>
      </c>
      <c r="U4943" t="s">
        <v>12802</v>
      </c>
      <c r="V4943" t="s">
        <v>12802</v>
      </c>
      <c r="W4943" t="s">
        <v>17681</v>
      </c>
      <c r="X4943">
        <v>5</v>
      </c>
      <c r="Y4943" t="s">
        <v>23898</v>
      </c>
      <c r="Z4943" t="s">
        <v>30261</v>
      </c>
      <c r="AA4943">
        <v>0.54005367475330879</v>
      </c>
      <c r="AB4943" t="str">
        <f>HYPERLINK("Melting_Curves/meltCurve_Q96HD1_CRELD1.pdf", "Melting_Curves/meltCurve_Q96HD1_CRELD1.pdf")</f>
        <v>Melting_Curves/meltCurve_Q96HD1_CRELD1.pdf</v>
      </c>
    </row>
    <row r="4944" spans="1:28" x14ac:dyDescent="0.25">
      <c r="A4944" t="s">
        <v>4948</v>
      </c>
      <c r="B4944">
        <v>0.99542014353169495</v>
      </c>
      <c r="C4944">
        <v>0.98222835821813104</v>
      </c>
      <c r="D4944">
        <v>0.99886955191798898</v>
      </c>
      <c r="E4944">
        <v>0.97755194075097596</v>
      </c>
      <c r="F4944">
        <v>0.640469354242305</v>
      </c>
      <c r="G4944">
        <v>0.15147821474093501</v>
      </c>
      <c r="H4944">
        <v>7.3498732195725197E-2</v>
      </c>
      <c r="I4944">
        <v>4.0666728811599502E-2</v>
      </c>
      <c r="J4944">
        <v>3.6958682516360801E-2</v>
      </c>
      <c r="K4944">
        <v>4.2803804483237902E-2</v>
      </c>
      <c r="L4944">
        <v>1922.5785826736401</v>
      </c>
      <c r="M4944">
        <v>37.788071850058699</v>
      </c>
      <c r="N4944">
        <v>51.002984674145097</v>
      </c>
      <c r="O4944">
        <v>50.736062818928097</v>
      </c>
      <c r="P4944">
        <v>-0.17796091072490999</v>
      </c>
      <c r="Q4944">
        <v>4.4247347135883602E-2</v>
      </c>
      <c r="R4944">
        <v>0.999613474448378</v>
      </c>
      <c r="S4944" t="s">
        <v>11346</v>
      </c>
      <c r="T4944" t="s">
        <v>12802</v>
      </c>
      <c r="U4944" t="s">
        <v>12802</v>
      </c>
      <c r="V4944" t="s">
        <v>12802</v>
      </c>
      <c r="W4944" t="s">
        <v>17682</v>
      </c>
      <c r="X4944">
        <v>17</v>
      </c>
      <c r="Y4944" t="s">
        <v>23899</v>
      </c>
      <c r="Z4944" t="s">
        <v>30262</v>
      </c>
      <c r="AA4944">
        <v>0.49013841911719741</v>
      </c>
      <c r="AB4944" t="str">
        <f>HYPERLINK("Melting_Curves/meltCurve_Q96HE7_ERO1L.pdf", "Melting_Curves/meltCurve_Q96HE7_ERO1L.pdf")</f>
        <v>Melting_Curves/meltCurve_Q96HE7_ERO1L.pdf</v>
      </c>
    </row>
    <row r="4945" spans="1:28" x14ac:dyDescent="0.25">
      <c r="A4945" t="s">
        <v>4949</v>
      </c>
      <c r="B4945">
        <v>0.99542014353169495</v>
      </c>
      <c r="C4945">
        <v>1.0021849428557299</v>
      </c>
      <c r="D4945">
        <v>0.91736100411004295</v>
      </c>
      <c r="E4945">
        <v>0.77615422983581195</v>
      </c>
      <c r="F4945">
        <v>0.60954258800934602</v>
      </c>
      <c r="G4945">
        <v>0.48365813860368401</v>
      </c>
      <c r="H4945">
        <v>0.31500288284058098</v>
      </c>
      <c r="I4945">
        <v>0.20924416034276799</v>
      </c>
      <c r="J4945">
        <v>0.13067983090721799</v>
      </c>
      <c r="K4945">
        <v>9.8869540090592206E-2</v>
      </c>
      <c r="L4945">
        <v>536.35772153694495</v>
      </c>
      <c r="M4945">
        <v>10.1464947769324</v>
      </c>
      <c r="N4945">
        <v>52.861380538151302</v>
      </c>
      <c r="O4945">
        <v>50.931348149845597</v>
      </c>
      <c r="P4945">
        <v>-4.9827675675043898E-2</v>
      </c>
      <c r="Q4945">
        <v>0</v>
      </c>
      <c r="R4945">
        <v>0.99697637141987105</v>
      </c>
      <c r="S4945" t="s">
        <v>11347</v>
      </c>
      <c r="T4945" t="s">
        <v>12802</v>
      </c>
      <c r="U4945" t="s">
        <v>12802</v>
      </c>
      <c r="V4945" t="s">
        <v>12802</v>
      </c>
      <c r="W4945" t="s">
        <v>17683</v>
      </c>
      <c r="X4945">
        <v>2</v>
      </c>
      <c r="Y4945" t="s">
        <v>23900</v>
      </c>
      <c r="Z4945" t="s">
        <v>30263</v>
      </c>
      <c r="AA4945">
        <v>0.55165776212354534</v>
      </c>
      <c r="AB4945" t="str">
        <f>HYPERLINK("Melting_Curves/meltCurve_Q96HJ9_C7orf55.pdf", "Melting_Curves/meltCurve_Q96HJ9_C7orf55.pdf")</f>
        <v>Melting_Curves/meltCurve_Q96HJ9_C7orf55.pdf</v>
      </c>
    </row>
    <row r="4946" spans="1:28" x14ac:dyDescent="0.25">
      <c r="A4946" t="s">
        <v>4950</v>
      </c>
      <c r="B4946">
        <v>0.99542014353169495</v>
      </c>
      <c r="C4946">
        <v>1.0758924627547699</v>
      </c>
      <c r="D4946">
        <v>0.77570686555903601</v>
      </c>
      <c r="E4946">
        <v>0.68467278661692399</v>
      </c>
      <c r="F4946">
        <v>0.513397428994393</v>
      </c>
      <c r="G4946">
        <v>0.47691796574279099</v>
      </c>
      <c r="H4946">
        <v>0.39719708186481101</v>
      </c>
      <c r="I4946">
        <v>0.366256039595729</v>
      </c>
      <c r="J4946">
        <v>0.80104032347480003</v>
      </c>
      <c r="K4946">
        <v>1.06197910001792</v>
      </c>
      <c r="L4946">
        <v>10735.8000850314</v>
      </c>
      <c r="M4946">
        <v>250</v>
      </c>
      <c r="O4946">
        <v>42.9404533113768</v>
      </c>
      <c r="P4946">
        <v>-0.56110495910999703</v>
      </c>
      <c r="Q4946">
        <v>0.61449438909486198</v>
      </c>
      <c r="R4946">
        <v>0.419662493615859</v>
      </c>
      <c r="S4946" t="s">
        <v>11348</v>
      </c>
      <c r="T4946" t="s">
        <v>12802</v>
      </c>
      <c r="U4946" t="s">
        <v>12802</v>
      </c>
      <c r="V4946" t="s">
        <v>12802</v>
      </c>
      <c r="W4946" t="s">
        <v>17684</v>
      </c>
      <c r="X4946">
        <v>6</v>
      </c>
      <c r="Y4946" t="s">
        <v>23901</v>
      </c>
      <c r="Z4946" t="s">
        <v>30264</v>
      </c>
      <c r="AA4946">
        <v>0.69089467851801878</v>
      </c>
      <c r="AB4946" t="str">
        <f>HYPERLINK("Melting_Curves/meltCurve_Q96HR9_REEP6.pdf", "Melting_Curves/meltCurve_Q96HR9_REEP6.pdf")</f>
        <v>Melting_Curves/meltCurve_Q96HR9_REEP6.pdf</v>
      </c>
    </row>
    <row r="4947" spans="1:28" x14ac:dyDescent="0.25">
      <c r="A4947" t="s">
        <v>4951</v>
      </c>
      <c r="B4947">
        <v>0.99542014353169495</v>
      </c>
      <c r="C4947">
        <v>0.91715994744300899</v>
      </c>
      <c r="D4947">
        <v>0.98384123354610098</v>
      </c>
      <c r="E4947">
        <v>0.78623900565215699</v>
      </c>
      <c r="F4947">
        <v>0.68880175355002005</v>
      </c>
      <c r="G4947">
        <v>0.32857618372823</v>
      </c>
      <c r="H4947">
        <v>0.27548536341966601</v>
      </c>
      <c r="I4947">
        <v>0.20766301618685301</v>
      </c>
      <c r="J4947">
        <v>0.133953743320743</v>
      </c>
      <c r="K4947">
        <v>8.7301878918346704E-2</v>
      </c>
      <c r="L4947">
        <v>714.05810921506895</v>
      </c>
      <c r="M4947">
        <v>13.8646477091562</v>
      </c>
      <c r="N4947">
        <v>52.119035481202502</v>
      </c>
      <c r="O4947">
        <v>50.466131900678</v>
      </c>
      <c r="P4947">
        <v>-6.3493681789263803E-2</v>
      </c>
      <c r="Q4947">
        <v>7.5680759381049303E-2</v>
      </c>
      <c r="R4947">
        <v>0.98328418676907403</v>
      </c>
      <c r="S4947" t="s">
        <v>11349</v>
      </c>
      <c r="T4947" t="s">
        <v>12802</v>
      </c>
      <c r="U4947" t="s">
        <v>12802</v>
      </c>
      <c r="V4947" t="s">
        <v>12802</v>
      </c>
      <c r="W4947" t="s">
        <v>17685</v>
      </c>
      <c r="X4947">
        <v>16</v>
      </c>
      <c r="Y4947" t="s">
        <v>23902</v>
      </c>
      <c r="Z4947" t="s">
        <v>30265</v>
      </c>
      <c r="AA4947">
        <v>0.54243470233048607</v>
      </c>
      <c r="AB4947" t="str">
        <f>HYPERLINK("Melting_Curves/meltCurve_Q96HS1_PGAM5.pdf", "Melting_Curves/meltCurve_Q96HS1_PGAM5.pdf")</f>
        <v>Melting_Curves/meltCurve_Q96HS1_PGAM5.pdf</v>
      </c>
    </row>
    <row r="4948" spans="1:28" x14ac:dyDescent="0.25">
      <c r="A4948" t="s">
        <v>4952</v>
      </c>
      <c r="B4948">
        <v>0.99542014353169495</v>
      </c>
      <c r="C4948">
        <v>0.93358473976179701</v>
      </c>
      <c r="D4948">
        <v>0.90278875982516504</v>
      </c>
      <c r="E4948">
        <v>0.75339900071371202</v>
      </c>
      <c r="F4948">
        <v>0.827306695312781</v>
      </c>
      <c r="G4948">
        <v>0.56262763817309802</v>
      </c>
      <c r="H4948">
        <v>0.14811343342033001</v>
      </c>
      <c r="I4948">
        <v>8.7441351819814994E-2</v>
      </c>
      <c r="J4948">
        <v>0.16061398970284699</v>
      </c>
      <c r="K4948">
        <v>9.74674465856461E-2</v>
      </c>
      <c r="L4948">
        <v>849.17765103688896</v>
      </c>
      <c r="M4948">
        <v>15.929147266731301</v>
      </c>
      <c r="N4948">
        <v>53.5323481832596</v>
      </c>
      <c r="O4948">
        <v>52.490712218925502</v>
      </c>
      <c r="P4948">
        <v>-7.3440393538540205E-2</v>
      </c>
      <c r="Q4948">
        <v>3.2055841124944598E-2</v>
      </c>
      <c r="R4948">
        <v>0.94512380168655297</v>
      </c>
      <c r="S4948" t="s">
        <v>11350</v>
      </c>
      <c r="T4948" t="s">
        <v>12802</v>
      </c>
      <c r="U4948" t="s">
        <v>12802</v>
      </c>
      <c r="V4948" t="s">
        <v>12802</v>
      </c>
      <c r="W4948" t="s">
        <v>17686</v>
      </c>
      <c r="X4948">
        <v>9</v>
      </c>
      <c r="Y4948" t="s">
        <v>23903</v>
      </c>
      <c r="Z4948" t="s">
        <v>30266</v>
      </c>
      <c r="AA4948">
        <v>0.57417211636253862</v>
      </c>
      <c r="AB4948" t="str">
        <f>HYPERLINK("Melting_Curves/meltCurve_Q96HW7_INTS4.pdf", "Melting_Curves/meltCurve_Q96HW7_INTS4.pdf")</f>
        <v>Melting_Curves/meltCurve_Q96HW7_INTS4.pdf</v>
      </c>
    </row>
    <row r="4949" spans="1:28" x14ac:dyDescent="0.25">
      <c r="A4949" t="s">
        <v>4953</v>
      </c>
      <c r="B4949">
        <v>0.99542014353169495</v>
      </c>
      <c r="C4949">
        <v>0.97448328673470996</v>
      </c>
      <c r="D4949">
        <v>0.89240893835395696</v>
      </c>
      <c r="E4949">
        <v>0.73083380354694605</v>
      </c>
      <c r="F4949">
        <v>0.56586046516254696</v>
      </c>
      <c r="G4949">
        <v>0.47076237763434298</v>
      </c>
      <c r="H4949">
        <v>0.25074972784639499</v>
      </c>
      <c r="I4949">
        <v>0.20279821889792299</v>
      </c>
      <c r="J4949">
        <v>0.285512809158249</v>
      </c>
      <c r="K4949">
        <v>0.33239633611684799</v>
      </c>
      <c r="L4949">
        <v>687.90585511742904</v>
      </c>
      <c r="M4949">
        <v>14.0657660001604</v>
      </c>
      <c r="N4949">
        <v>51.302236477549698</v>
      </c>
      <c r="O4949">
        <v>47.949688737741397</v>
      </c>
      <c r="P4949">
        <v>-5.5686415143775397E-2</v>
      </c>
      <c r="Q4949">
        <v>0.240766717759163</v>
      </c>
      <c r="R4949">
        <v>0.97318407500808202</v>
      </c>
      <c r="S4949" t="s">
        <v>11351</v>
      </c>
      <c r="T4949" t="s">
        <v>12802</v>
      </c>
      <c r="U4949" t="s">
        <v>12802</v>
      </c>
      <c r="V4949" t="s">
        <v>12802</v>
      </c>
      <c r="W4949" t="s">
        <v>17687</v>
      </c>
      <c r="X4949">
        <v>11</v>
      </c>
      <c r="Y4949" t="s">
        <v>23904</v>
      </c>
      <c r="Z4949" t="s">
        <v>30267</v>
      </c>
      <c r="AA4949">
        <v>0.56017460703205513</v>
      </c>
      <c r="AB4949" t="str">
        <f>HYPERLINK("Melting_Curves/meltCurve_Q96HY6_DDRGK1.pdf", "Melting_Curves/meltCurve_Q96HY6_DDRGK1.pdf")</f>
        <v>Melting_Curves/meltCurve_Q96HY6_DDRGK1.pdf</v>
      </c>
    </row>
    <row r="4950" spans="1:28" x14ac:dyDescent="0.25">
      <c r="A4950" t="s">
        <v>4954</v>
      </c>
      <c r="B4950">
        <v>0.99542014353169495</v>
      </c>
      <c r="C4950">
        <v>1.1222786460921701</v>
      </c>
      <c r="D4950">
        <v>1.0702399146414701</v>
      </c>
      <c r="E4950">
        <v>1.2372226136637401</v>
      </c>
      <c r="F4950">
        <v>1.0050428366264701</v>
      </c>
      <c r="G4950">
        <v>0.787924197455111</v>
      </c>
      <c r="H4950">
        <v>0.40220936611098701</v>
      </c>
      <c r="I4950">
        <v>0.22054618802874601</v>
      </c>
      <c r="J4950">
        <v>0.14320472272430099</v>
      </c>
      <c r="K4950">
        <v>9.4737860175973701E-2</v>
      </c>
      <c r="L4950">
        <v>1663.2668625404001</v>
      </c>
      <c r="M4950">
        <v>29.680032616374501</v>
      </c>
      <c r="N4950">
        <v>56.546044365493302</v>
      </c>
      <c r="O4950">
        <v>55.787380398262101</v>
      </c>
      <c r="P4950">
        <v>-0.117491441443797</v>
      </c>
      <c r="Q4950">
        <v>0.11664597847335199</v>
      </c>
      <c r="R4950">
        <v>0.95503570279232397</v>
      </c>
      <c r="S4950" t="s">
        <v>11352</v>
      </c>
      <c r="T4950" t="s">
        <v>12802</v>
      </c>
      <c r="U4950" t="s">
        <v>12802</v>
      </c>
      <c r="V4950" t="s">
        <v>12802</v>
      </c>
      <c r="W4950" t="s">
        <v>17688</v>
      </c>
      <c r="X4950">
        <v>6</v>
      </c>
      <c r="Y4950" t="s">
        <v>23905</v>
      </c>
      <c r="Z4950" t="s">
        <v>30268</v>
      </c>
      <c r="AA4950">
        <v>0.68286853727450891</v>
      </c>
      <c r="AB4950" t="str">
        <f>HYPERLINK("Melting_Curves/meltCurve_Q96I15_SCLY.pdf", "Melting_Curves/meltCurve_Q96I15_SCLY.pdf")</f>
        <v>Melting_Curves/meltCurve_Q96I15_SCLY.pdf</v>
      </c>
    </row>
    <row r="4951" spans="1:28" x14ac:dyDescent="0.25">
      <c r="A4951" t="s">
        <v>4955</v>
      </c>
      <c r="B4951">
        <v>0.99542014353169495</v>
      </c>
      <c r="C4951">
        <v>0.98115257770069497</v>
      </c>
      <c r="D4951">
        <v>0.91465066802606698</v>
      </c>
      <c r="E4951">
        <v>0.65559964963320805</v>
      </c>
      <c r="F4951">
        <v>0.29233093649997899</v>
      </c>
      <c r="G4951">
        <v>0.12597038305144401</v>
      </c>
      <c r="H4951">
        <v>7.59212771463533E-2</v>
      </c>
      <c r="I4951">
        <v>5.3037945950537797E-2</v>
      </c>
      <c r="J4951">
        <v>5.7837283895889602E-2</v>
      </c>
      <c r="K4951">
        <v>5.6143295288141298E-2</v>
      </c>
      <c r="L4951">
        <v>1036.6316497079299</v>
      </c>
      <c r="M4951">
        <v>21.7068987829423</v>
      </c>
      <c r="N4951">
        <v>47.992387344525497</v>
      </c>
      <c r="O4951">
        <v>47.356098908910603</v>
      </c>
      <c r="P4951">
        <v>-0.10878340179636301</v>
      </c>
      <c r="Q4951">
        <v>5.0728291337329499E-2</v>
      </c>
      <c r="R4951">
        <v>0.99988019388803595</v>
      </c>
      <c r="S4951" t="s">
        <v>11353</v>
      </c>
      <c r="T4951" t="s">
        <v>12802</v>
      </c>
      <c r="U4951" t="s">
        <v>12802</v>
      </c>
      <c r="V4951" t="s">
        <v>12802</v>
      </c>
      <c r="W4951" t="s">
        <v>17689</v>
      </c>
      <c r="X4951">
        <v>17</v>
      </c>
      <c r="Y4951" t="s">
        <v>23906</v>
      </c>
      <c r="Z4951" t="s">
        <v>30269</v>
      </c>
      <c r="AA4951">
        <v>0.40171164299030832</v>
      </c>
      <c r="AB4951" t="str">
        <f>HYPERLINK("Melting_Curves/meltCurve_Q96I24_FUBP3.pdf", "Melting_Curves/meltCurve_Q96I24_FUBP3.pdf")</f>
        <v>Melting_Curves/meltCurve_Q96I24_FUBP3.pdf</v>
      </c>
    </row>
    <row r="4952" spans="1:28" x14ac:dyDescent="0.25">
      <c r="A4952" t="s">
        <v>4956</v>
      </c>
      <c r="B4952">
        <v>0.99542014353169495</v>
      </c>
      <c r="C4952">
        <v>0.86470565721209203</v>
      </c>
      <c r="D4952">
        <v>0.88722571198093103</v>
      </c>
      <c r="E4952">
        <v>0.48266974390021</v>
      </c>
      <c r="F4952">
        <v>0.20241591631685099</v>
      </c>
      <c r="G4952">
        <v>0.117036425980633</v>
      </c>
      <c r="H4952">
        <v>6.2052141310219203E-2</v>
      </c>
      <c r="I4952">
        <v>4.3671847894530998E-2</v>
      </c>
      <c r="J4952">
        <v>5.07504759618558E-2</v>
      </c>
      <c r="K4952">
        <v>6.5132996052378295E-2</v>
      </c>
      <c r="L4952">
        <v>953.45844565085304</v>
      </c>
      <c r="M4952">
        <v>20.588432016327399</v>
      </c>
      <c r="N4952">
        <v>46.548429408328197</v>
      </c>
      <c r="O4952">
        <v>45.880124571536797</v>
      </c>
      <c r="P4952">
        <v>-0.10658372901674899</v>
      </c>
      <c r="Q4952">
        <v>4.9964733145776402E-2</v>
      </c>
      <c r="R4952">
        <v>0.99032817251304595</v>
      </c>
      <c r="S4952" t="s">
        <v>11354</v>
      </c>
      <c r="T4952" t="s">
        <v>12802</v>
      </c>
      <c r="U4952" t="s">
        <v>12802</v>
      </c>
      <c r="V4952" t="s">
        <v>12802</v>
      </c>
      <c r="W4952" t="s">
        <v>17690</v>
      </c>
      <c r="X4952">
        <v>13</v>
      </c>
      <c r="Y4952" t="s">
        <v>23907</v>
      </c>
      <c r="Z4952" t="s">
        <v>30270</v>
      </c>
      <c r="AA4952">
        <v>0.35652178985042599</v>
      </c>
      <c r="AB4952" t="str">
        <f>HYPERLINK("Melting_Curves/meltCurve_Q96I25_RBM17.pdf", "Melting_Curves/meltCurve_Q96I25_RBM17.pdf")</f>
        <v>Melting_Curves/meltCurve_Q96I25_RBM17.pdf</v>
      </c>
    </row>
    <row r="4953" spans="1:28" x14ac:dyDescent="0.25">
      <c r="A4953" t="s">
        <v>4957</v>
      </c>
      <c r="B4953">
        <v>0.99542014353169495</v>
      </c>
      <c r="C4953">
        <v>0.953759789843457</v>
      </c>
      <c r="D4953">
        <v>0.82272455814735201</v>
      </c>
      <c r="E4953">
        <v>0.48861252068245398</v>
      </c>
      <c r="F4953">
        <v>0.27208566625081099</v>
      </c>
      <c r="G4953">
        <v>0.166059373473634</v>
      </c>
      <c r="H4953">
        <v>0.110379903070806</v>
      </c>
      <c r="I4953">
        <v>9.8186015619982997E-2</v>
      </c>
      <c r="J4953">
        <v>8.7108785713538903E-2</v>
      </c>
      <c r="K4953">
        <v>9.6332965954746497E-2</v>
      </c>
      <c r="L4953">
        <v>843.48700213474899</v>
      </c>
      <c r="M4953">
        <v>18.273156915209899</v>
      </c>
      <c r="N4953">
        <v>46.670323013321301</v>
      </c>
      <c r="O4953">
        <v>45.617726109383497</v>
      </c>
      <c r="P4953">
        <v>-9.1076790412477099E-2</v>
      </c>
      <c r="Q4953">
        <v>9.0573657558105994E-2</v>
      </c>
      <c r="R4953">
        <v>0.99932361168113903</v>
      </c>
      <c r="S4953" t="s">
        <v>11355</v>
      </c>
      <c r="T4953" t="s">
        <v>12802</v>
      </c>
      <c r="U4953" t="s">
        <v>12802</v>
      </c>
      <c r="V4953" t="s">
        <v>12802</v>
      </c>
      <c r="W4953" t="s">
        <v>17691</v>
      </c>
      <c r="X4953">
        <v>1</v>
      </c>
      <c r="Y4953" t="s">
        <v>23908</v>
      </c>
      <c r="Z4953" t="s">
        <v>30271</v>
      </c>
      <c r="AA4953">
        <v>0.38249413480676347</v>
      </c>
      <c r="AB4953" t="str">
        <f>HYPERLINK("Melting_Curves/meltCurve_Q96I34_PPP1R16A.pdf", "Melting_Curves/meltCurve_Q96I34_PPP1R16A.pdf")</f>
        <v>Melting_Curves/meltCurve_Q96I34_PPP1R16A.pdf</v>
      </c>
    </row>
    <row r="4954" spans="1:28" x14ac:dyDescent="0.25">
      <c r="A4954" t="s">
        <v>4958</v>
      </c>
      <c r="B4954">
        <v>0.99542014353169495</v>
      </c>
      <c r="C4954">
        <v>0.98024627467880399</v>
      </c>
      <c r="D4954">
        <v>1.26848655141241</v>
      </c>
      <c r="E4954">
        <v>0.98773767826453496</v>
      </c>
      <c r="F4954">
        <v>1.1277947146288001</v>
      </c>
      <c r="G4954">
        <v>0.73181757166272199</v>
      </c>
      <c r="H4954">
        <v>0.69222325630007298</v>
      </c>
      <c r="I4954">
        <v>0.53763537125637295</v>
      </c>
      <c r="J4954">
        <v>0.62415698284073495</v>
      </c>
      <c r="K4954">
        <v>0.68941562460196804</v>
      </c>
      <c r="L4954">
        <v>13394.707716142801</v>
      </c>
      <c r="M4954">
        <v>250</v>
      </c>
      <c r="O4954">
        <v>53.575402155156802</v>
      </c>
      <c r="P4954">
        <v>-0.42480106421692998</v>
      </c>
      <c r="Q4954">
        <v>0.635857794671703</v>
      </c>
      <c r="R4954">
        <v>0.79875072586213003</v>
      </c>
      <c r="S4954" t="s">
        <v>11356</v>
      </c>
      <c r="T4954" t="s">
        <v>12802</v>
      </c>
      <c r="U4954" t="s">
        <v>12802</v>
      </c>
      <c r="V4954" t="s">
        <v>12802</v>
      </c>
      <c r="W4954" t="s">
        <v>17692</v>
      </c>
      <c r="X4954">
        <v>2</v>
      </c>
      <c r="Y4954" t="s">
        <v>23909</v>
      </c>
      <c r="Z4954" t="s">
        <v>30272</v>
      </c>
      <c r="AA4954">
        <v>0.83712710272813406</v>
      </c>
      <c r="AB4954" t="str">
        <f>HYPERLINK("Melting_Curves/meltCurve_Q96I36_COX14.pdf", "Melting_Curves/meltCurve_Q96I36_COX14.pdf")</f>
        <v>Melting_Curves/meltCurve_Q96I36_COX14.pdf</v>
      </c>
    </row>
    <row r="4955" spans="1:28" x14ac:dyDescent="0.25">
      <c r="A4955" t="s">
        <v>4959</v>
      </c>
      <c r="B4955">
        <v>0.99542014353169495</v>
      </c>
      <c r="C4955">
        <v>0.97220061173060401</v>
      </c>
      <c r="D4955">
        <v>1.0024918266831999</v>
      </c>
      <c r="E4955">
        <v>0.90531390566303205</v>
      </c>
      <c r="F4955">
        <v>0.76816604054786197</v>
      </c>
      <c r="G4955">
        <v>0.50396235417197399</v>
      </c>
      <c r="H4955">
        <v>0.36813180063127499</v>
      </c>
      <c r="I4955">
        <v>0.30645524724957102</v>
      </c>
      <c r="J4955">
        <v>0.45174542527169698</v>
      </c>
      <c r="K4955">
        <v>0.38082284425489898</v>
      </c>
      <c r="L4955">
        <v>1311.5477746198901</v>
      </c>
      <c r="M4955">
        <v>25.710819207591999</v>
      </c>
      <c r="N4955">
        <v>53.787224273922902</v>
      </c>
      <c r="O4955">
        <v>50.705935097595102</v>
      </c>
      <c r="P4955">
        <v>-8.0199753472103605E-2</v>
      </c>
      <c r="Q4955">
        <v>0.36733976531345303</v>
      </c>
      <c r="R4955">
        <v>0.97892691481555505</v>
      </c>
      <c r="S4955" t="s">
        <v>11357</v>
      </c>
      <c r="T4955" t="s">
        <v>12802</v>
      </c>
      <c r="U4955" t="s">
        <v>12802</v>
      </c>
      <c r="V4955" t="s">
        <v>12802</v>
      </c>
      <c r="W4955" t="s">
        <v>17693</v>
      </c>
      <c r="X4955">
        <v>9</v>
      </c>
      <c r="Y4955" t="s">
        <v>23910</v>
      </c>
      <c r="Z4955" t="s">
        <v>30273</v>
      </c>
      <c r="AA4955">
        <v>0.66812160317564595</v>
      </c>
      <c r="AB4955" t="str">
        <f>HYPERLINK("Melting_Curves/meltCurve_Q96I51_WBSCR16.pdf", "Melting_Curves/meltCurve_Q96I51_WBSCR16.pdf")</f>
        <v>Melting_Curves/meltCurve_Q96I51_WBSCR16.pdf</v>
      </c>
    </row>
    <row r="4956" spans="1:28" x14ac:dyDescent="0.25">
      <c r="A4956" t="s">
        <v>4960</v>
      </c>
      <c r="B4956">
        <v>0.99542014353169495</v>
      </c>
      <c r="C4956">
        <v>0.92553239510056196</v>
      </c>
      <c r="D4956">
        <v>0.97516580516245999</v>
      </c>
      <c r="E4956">
        <v>0.75052736983106205</v>
      </c>
      <c r="F4956">
        <v>0.42178377263125899</v>
      </c>
      <c r="G4956">
        <v>0.16077249176937899</v>
      </c>
      <c r="H4956">
        <v>9.0031642283917093E-2</v>
      </c>
      <c r="I4956">
        <v>4.5747896748266403E-2</v>
      </c>
      <c r="J4956">
        <v>6.2276019663604201E-2</v>
      </c>
      <c r="K4956">
        <v>8.3947469240224504E-2</v>
      </c>
      <c r="L4956">
        <v>1051.10288569613</v>
      </c>
      <c r="M4956">
        <v>21.461992560491499</v>
      </c>
      <c r="N4956">
        <v>49.237807988447898</v>
      </c>
      <c r="O4956">
        <v>48.555838880389103</v>
      </c>
      <c r="P4956">
        <v>-0.104525867659971</v>
      </c>
      <c r="Q4956">
        <v>5.4101580067321901E-2</v>
      </c>
      <c r="R4956">
        <v>0.99562556783179201</v>
      </c>
      <c r="S4956" t="s">
        <v>11358</v>
      </c>
      <c r="T4956" t="s">
        <v>12802</v>
      </c>
      <c r="U4956" t="s">
        <v>12802</v>
      </c>
      <c r="V4956" t="s">
        <v>12802</v>
      </c>
      <c r="W4956" t="s">
        <v>17694</v>
      </c>
      <c r="X4956">
        <v>10</v>
      </c>
      <c r="Y4956" t="s">
        <v>23911</v>
      </c>
      <c r="Z4956" t="s">
        <v>30274</v>
      </c>
      <c r="AA4956">
        <v>0.44261277885519612</v>
      </c>
      <c r="AB4956" t="str">
        <f>HYPERLINK("Melting_Curves/meltCurve_Q96I59_NARS2.pdf", "Melting_Curves/meltCurve_Q96I59_NARS2.pdf")</f>
        <v>Melting_Curves/meltCurve_Q96I59_NARS2.pdf</v>
      </c>
    </row>
    <row r="4957" spans="1:28" x14ac:dyDescent="0.25">
      <c r="A4957" t="s">
        <v>4961</v>
      </c>
      <c r="B4957">
        <v>0.99542014353169495</v>
      </c>
      <c r="C4957">
        <v>0.98303966875966897</v>
      </c>
      <c r="D4957">
        <v>0.93382961144033905</v>
      </c>
      <c r="E4957">
        <v>0.88670591541244403</v>
      </c>
      <c r="F4957">
        <v>0.54091383613061494</v>
      </c>
      <c r="G4957">
        <v>0.13904915523984099</v>
      </c>
      <c r="H4957">
        <v>6.8672176194696302E-2</v>
      </c>
      <c r="I4957">
        <v>4.1661793756221602E-2</v>
      </c>
      <c r="J4957">
        <v>4.4203064302616099E-2</v>
      </c>
      <c r="K4957">
        <v>4.2102772027244502E-2</v>
      </c>
      <c r="L4957">
        <v>1400.94365628572</v>
      </c>
      <c r="M4957">
        <v>27.892490308678799</v>
      </c>
      <c r="N4957">
        <v>50.359428617376103</v>
      </c>
      <c r="O4957">
        <v>49.9705050083275</v>
      </c>
      <c r="P4957">
        <v>-0.13459539047670499</v>
      </c>
      <c r="Q4957">
        <v>3.5476379738827897E-2</v>
      </c>
      <c r="R4957">
        <v>0.99714211318849599</v>
      </c>
      <c r="S4957" t="s">
        <v>11359</v>
      </c>
      <c r="T4957" t="s">
        <v>12802</v>
      </c>
      <c r="U4957" t="s">
        <v>12802</v>
      </c>
      <c r="V4957" t="s">
        <v>12802</v>
      </c>
      <c r="W4957" t="s">
        <v>17695</v>
      </c>
      <c r="X4957">
        <v>22</v>
      </c>
      <c r="Y4957" t="s">
        <v>23912</v>
      </c>
      <c r="Z4957" t="s">
        <v>30275</v>
      </c>
      <c r="AA4957">
        <v>0.46757068320843131</v>
      </c>
      <c r="AB4957" t="str">
        <f>HYPERLINK("Melting_Curves/meltCurve_Q96I99_SUCLG2.pdf", "Melting_Curves/meltCurve_Q96I99_SUCLG2.pdf")</f>
        <v>Melting_Curves/meltCurve_Q96I99_SUCLG2.pdf</v>
      </c>
    </row>
    <row r="4958" spans="1:28" x14ac:dyDescent="0.25">
      <c r="A4958" t="s">
        <v>4962</v>
      </c>
      <c r="B4958">
        <v>0.99542014353169495</v>
      </c>
      <c r="C4958">
        <v>0.92109265362437598</v>
      </c>
      <c r="D4958">
        <v>0.96197087407411597</v>
      </c>
      <c r="E4958">
        <v>0.75672284660878997</v>
      </c>
      <c r="F4958">
        <v>0.55883967401661705</v>
      </c>
      <c r="G4958">
        <v>0.30279070646235001</v>
      </c>
      <c r="H4958">
        <v>0.15687709730414501</v>
      </c>
      <c r="I4958">
        <v>9.7366996113451607E-2</v>
      </c>
      <c r="J4958">
        <v>7.1835827222567594E-2</v>
      </c>
      <c r="K4958">
        <v>8.2943431723262004E-2</v>
      </c>
      <c r="L4958">
        <v>755.10376614138499</v>
      </c>
      <c r="M4958">
        <v>14.9841949753117</v>
      </c>
      <c r="N4958">
        <v>50.668848090348497</v>
      </c>
      <c r="O4958">
        <v>49.521353514736802</v>
      </c>
      <c r="P4958">
        <v>-7.2693399811343207E-2</v>
      </c>
      <c r="Q4958">
        <v>3.9118113437151998E-2</v>
      </c>
      <c r="R4958">
        <v>0.99524062310626904</v>
      </c>
      <c r="S4958" t="s">
        <v>11360</v>
      </c>
      <c r="T4958" t="s">
        <v>12802</v>
      </c>
      <c r="U4958" t="s">
        <v>12802</v>
      </c>
      <c r="V4958" t="s">
        <v>12802</v>
      </c>
      <c r="W4958" t="s">
        <v>17696</v>
      </c>
      <c r="X4958">
        <v>9</v>
      </c>
      <c r="Y4958" t="s">
        <v>23913</v>
      </c>
      <c r="Z4958" t="s">
        <v>30276</v>
      </c>
      <c r="AA4958">
        <v>0.48794378444158182</v>
      </c>
      <c r="AB4958" t="str">
        <f>HYPERLINK("Melting_Curves/meltCurve_Q96IJ6_GMPPA.pdf", "Melting_Curves/meltCurve_Q96IJ6_GMPPA.pdf")</f>
        <v>Melting_Curves/meltCurve_Q96IJ6_GMPPA.pdf</v>
      </c>
    </row>
    <row r="4959" spans="1:28" x14ac:dyDescent="0.25">
      <c r="A4959" t="s">
        <v>4963</v>
      </c>
      <c r="B4959">
        <v>0.99542014353169495</v>
      </c>
      <c r="C4959">
        <v>1.11447967302551</v>
      </c>
      <c r="D4959">
        <v>0.89158643815202598</v>
      </c>
      <c r="E4959">
        <v>0.74167750084665895</v>
      </c>
      <c r="F4959">
        <v>0.43111330275316601</v>
      </c>
      <c r="G4959">
        <v>0.24369662171739101</v>
      </c>
      <c r="H4959">
        <v>8.4000027224356399E-2</v>
      </c>
      <c r="I4959">
        <v>8.4164278691000502E-2</v>
      </c>
      <c r="J4959">
        <v>6.9518699546485999E-2</v>
      </c>
      <c r="K4959">
        <v>8.6165820518296798E-2</v>
      </c>
      <c r="L4959">
        <v>902.50215704280004</v>
      </c>
      <c r="M4959">
        <v>18.3950961419878</v>
      </c>
      <c r="N4959">
        <v>49.4083178057287</v>
      </c>
      <c r="O4959">
        <v>48.4933137776192</v>
      </c>
      <c r="P4959">
        <v>-8.9102844880179596E-2</v>
      </c>
      <c r="Q4959">
        <v>6.0467748680398899E-2</v>
      </c>
      <c r="R4959">
        <v>0.98701028457508799</v>
      </c>
      <c r="S4959" t="s">
        <v>11361</v>
      </c>
      <c r="T4959" t="s">
        <v>12802</v>
      </c>
      <c r="U4959" t="s">
        <v>12802</v>
      </c>
      <c r="V4959" t="s">
        <v>12802</v>
      </c>
      <c r="W4959" t="s">
        <v>17697</v>
      </c>
      <c r="X4959">
        <v>2</v>
      </c>
      <c r="Y4959" t="s">
        <v>23914</v>
      </c>
      <c r="Z4959" t="s">
        <v>30277</v>
      </c>
      <c r="AA4959">
        <v>0.45260170867127331</v>
      </c>
      <c r="AB4959" t="str">
        <f>HYPERLINK("Melting_Curves/meltCurve_Q96IQ9_ZNF414.pdf", "Melting_Curves/meltCurve_Q96IQ9_ZNF414.pdf")</f>
        <v>Melting_Curves/meltCurve_Q96IQ9_ZNF414.pdf</v>
      </c>
    </row>
    <row r="4960" spans="1:28" x14ac:dyDescent="0.25">
      <c r="A4960" t="s">
        <v>4964</v>
      </c>
      <c r="B4960">
        <v>0.99542014353169495</v>
      </c>
      <c r="C4960">
        <v>1.0455788592405399</v>
      </c>
      <c r="D4960">
        <v>0.88506407257050101</v>
      </c>
      <c r="E4960">
        <v>0.75980411205809895</v>
      </c>
      <c r="F4960">
        <v>0.48274430835383397</v>
      </c>
      <c r="G4960">
        <v>0.26911964229490598</v>
      </c>
      <c r="H4960">
        <v>9.1859353416140405E-2</v>
      </c>
      <c r="I4960">
        <v>6.8023875356324495E-2</v>
      </c>
      <c r="J4960">
        <v>7.0476029575055901E-2</v>
      </c>
      <c r="K4960">
        <v>5.2151039937138599E-2</v>
      </c>
      <c r="L4960">
        <v>804.386826722146</v>
      </c>
      <c r="M4960">
        <v>16.170464530129301</v>
      </c>
      <c r="N4960">
        <v>49.925834763870903</v>
      </c>
      <c r="O4960">
        <v>49.002090302326501</v>
      </c>
      <c r="P4960">
        <v>-8.0148203556542702E-2</v>
      </c>
      <c r="Q4960">
        <v>2.85660551444165E-2</v>
      </c>
      <c r="R4960">
        <v>0.99474589856783702</v>
      </c>
      <c r="S4960" t="s">
        <v>11362</v>
      </c>
      <c r="T4960" t="s">
        <v>12802</v>
      </c>
      <c r="U4960" t="s">
        <v>12802</v>
      </c>
      <c r="V4960" t="s">
        <v>12802</v>
      </c>
      <c r="W4960" t="s">
        <v>17698</v>
      </c>
      <c r="X4960">
        <v>8</v>
      </c>
      <c r="Y4960" t="s">
        <v>23915</v>
      </c>
      <c r="Z4960" t="s">
        <v>30278</v>
      </c>
      <c r="AA4960">
        <v>0.45949628049699098</v>
      </c>
      <c r="AB4960" t="str">
        <f>HYPERLINK("Melting_Curves/meltCurve_Q96IU4_ABHD14B.pdf", "Melting_Curves/meltCurve_Q96IU4_ABHD14B.pdf")</f>
        <v>Melting_Curves/meltCurve_Q96IU4_ABHD14B.pdf</v>
      </c>
    </row>
    <row r="4961" spans="1:28" x14ac:dyDescent="0.25">
      <c r="A4961" t="s">
        <v>4965</v>
      </c>
      <c r="B4961">
        <v>0.99542014353169495</v>
      </c>
      <c r="C4961">
        <v>0.99107973743962396</v>
      </c>
      <c r="D4961">
        <v>0.92604651573780095</v>
      </c>
      <c r="E4961">
        <v>0.60161008606136301</v>
      </c>
      <c r="F4961">
        <v>0.22911590796430301</v>
      </c>
      <c r="G4961">
        <v>0.109217679309355</v>
      </c>
      <c r="H4961">
        <v>5.9564528921621902E-2</v>
      </c>
      <c r="I4961">
        <v>3.8783405440157598E-2</v>
      </c>
      <c r="J4961">
        <v>4.4946390267932498E-2</v>
      </c>
      <c r="K4961">
        <v>4.0410095402925603E-2</v>
      </c>
      <c r="L4961">
        <v>1131.8697152966399</v>
      </c>
      <c r="M4961">
        <v>23.9410102467033</v>
      </c>
      <c r="N4961">
        <v>47.4578407025611</v>
      </c>
      <c r="O4961">
        <v>46.951296150675198</v>
      </c>
      <c r="P4961">
        <v>-0.12193536748656</v>
      </c>
      <c r="Q4961">
        <v>4.3493703196372802E-2</v>
      </c>
      <c r="R4961">
        <v>0.99972524934651597</v>
      </c>
      <c r="S4961" t="s">
        <v>11363</v>
      </c>
      <c r="T4961" t="s">
        <v>12802</v>
      </c>
      <c r="U4961" t="s">
        <v>12802</v>
      </c>
      <c r="V4961" t="s">
        <v>12802</v>
      </c>
      <c r="W4961" t="s">
        <v>17699</v>
      </c>
      <c r="X4961">
        <v>15</v>
      </c>
      <c r="Y4961" t="s">
        <v>23916</v>
      </c>
      <c r="Z4961" t="s">
        <v>30279</v>
      </c>
      <c r="AA4961">
        <v>0.37996903160847911</v>
      </c>
      <c r="AB4961" t="str">
        <f>HYPERLINK("Melting_Curves/meltCurve_Q96IV0_NGLY1.pdf", "Melting_Curves/meltCurve_Q96IV0_NGLY1.pdf")</f>
        <v>Melting_Curves/meltCurve_Q96IV0_NGLY1.pdf</v>
      </c>
    </row>
    <row r="4962" spans="1:28" x14ac:dyDescent="0.25">
      <c r="A4962" t="s">
        <v>4966</v>
      </c>
      <c r="B4962">
        <v>0.99542014353169495</v>
      </c>
      <c r="C4962">
        <v>0.91034157728000198</v>
      </c>
      <c r="D4962">
        <v>0.96799437932952503</v>
      </c>
      <c r="E4962">
        <v>0.73442587804254</v>
      </c>
      <c r="F4962">
        <v>0.65968157433394803</v>
      </c>
      <c r="G4962">
        <v>0.38515566874680401</v>
      </c>
      <c r="H4962">
        <v>0.36316192476322501</v>
      </c>
      <c r="I4962">
        <v>0.34853164558994298</v>
      </c>
      <c r="J4962">
        <v>0.51413700166166498</v>
      </c>
      <c r="K4962">
        <v>0.65225661288099102</v>
      </c>
      <c r="L4962">
        <v>1072.92829722428</v>
      </c>
      <c r="M4962">
        <v>22.739192249601501</v>
      </c>
      <c r="N4962">
        <v>52.901306737769303</v>
      </c>
      <c r="O4962">
        <v>46.823724186579703</v>
      </c>
      <c r="P4962">
        <v>-6.5904805327185498E-2</v>
      </c>
      <c r="Q4962">
        <v>0.45717542606956602</v>
      </c>
      <c r="R4962">
        <v>0.83600339426107895</v>
      </c>
      <c r="S4962" t="s">
        <v>11364</v>
      </c>
      <c r="T4962" t="s">
        <v>12802</v>
      </c>
      <c r="U4962" t="s">
        <v>12802</v>
      </c>
      <c r="V4962" t="s">
        <v>12802</v>
      </c>
      <c r="W4962" t="s">
        <v>17700</v>
      </c>
      <c r="X4962">
        <v>3</v>
      </c>
      <c r="Y4962" t="s">
        <v>23917</v>
      </c>
      <c r="Z4962" t="s">
        <v>30280</v>
      </c>
      <c r="AA4962">
        <v>0.646971495356509</v>
      </c>
      <c r="AB4962" t="str">
        <f>HYPERLINK("Melting_Curves/meltCurve_Q96IX5_USMG5.pdf", "Melting_Curves/meltCurve_Q96IX5_USMG5.pdf")</f>
        <v>Melting_Curves/meltCurve_Q96IX5_USMG5.pdf</v>
      </c>
    </row>
    <row r="4963" spans="1:28" x14ac:dyDescent="0.25">
      <c r="A4963" t="s">
        <v>4967</v>
      </c>
      <c r="B4963">
        <v>0.99542014353169495</v>
      </c>
      <c r="C4963">
        <v>0.94898138736622495</v>
      </c>
      <c r="D4963">
        <v>0.84547520019496403</v>
      </c>
      <c r="E4963">
        <v>0.89374769134971099</v>
      </c>
      <c r="F4963">
        <v>0.25767742795432103</v>
      </c>
      <c r="G4963">
        <v>0.15224361907675901</v>
      </c>
      <c r="H4963">
        <v>0.152150909867134</v>
      </c>
      <c r="I4963">
        <v>4.45923707147554E-2</v>
      </c>
      <c r="J4963">
        <v>0.11267903365973</v>
      </c>
      <c r="K4963">
        <v>6.1195798136126599E-2</v>
      </c>
      <c r="L4963">
        <v>2177.9739360375602</v>
      </c>
      <c r="M4963">
        <v>44.860328394133099</v>
      </c>
      <c r="N4963">
        <v>48.794407508100399</v>
      </c>
      <c r="O4963">
        <v>48.453933658092097</v>
      </c>
      <c r="P4963">
        <v>-0.20817758031897199</v>
      </c>
      <c r="Q4963">
        <v>0.100585387124769</v>
      </c>
      <c r="R4963">
        <v>0.97732845210986996</v>
      </c>
      <c r="S4963" t="s">
        <v>11365</v>
      </c>
      <c r="T4963" t="s">
        <v>12802</v>
      </c>
      <c r="U4963" t="s">
        <v>12802</v>
      </c>
      <c r="V4963" t="s">
        <v>12802</v>
      </c>
      <c r="W4963" t="s">
        <v>17701</v>
      </c>
      <c r="X4963">
        <v>3</v>
      </c>
      <c r="Y4963" t="s">
        <v>23918</v>
      </c>
      <c r="Z4963" t="s">
        <v>30281</v>
      </c>
      <c r="AA4963">
        <v>0.44925916077120948</v>
      </c>
      <c r="AB4963" t="str">
        <f>HYPERLINK("Melting_Curves/meltCurve_Q96IY1_NSL1.pdf", "Melting_Curves/meltCurve_Q96IY1_NSL1.pdf")</f>
        <v>Melting_Curves/meltCurve_Q96IY1_NSL1.pdf</v>
      </c>
    </row>
    <row r="4964" spans="1:28" x14ac:dyDescent="0.25">
      <c r="A4964" t="s">
        <v>4968</v>
      </c>
      <c r="B4964">
        <v>0.99542014353169495</v>
      </c>
      <c r="C4964">
        <v>0.988823396028639</v>
      </c>
      <c r="D4964">
        <v>0.97788437217983004</v>
      </c>
      <c r="E4964">
        <v>0.94513741520441896</v>
      </c>
      <c r="F4964">
        <v>0.95967017400076304</v>
      </c>
      <c r="G4964">
        <v>0.76958188472774802</v>
      </c>
      <c r="H4964">
        <v>0.50918183769557002</v>
      </c>
      <c r="I4964">
        <v>0.44568511621292001</v>
      </c>
      <c r="J4964">
        <v>0.65667629387238802</v>
      </c>
      <c r="K4964">
        <v>1.1155107037626799</v>
      </c>
      <c r="L4964">
        <v>3223.03371719611</v>
      </c>
      <c r="M4964">
        <v>61.126059576958497</v>
      </c>
      <c r="O4964">
        <v>52.671307244661499</v>
      </c>
      <c r="P4964">
        <v>-9.1726385322954199E-2</v>
      </c>
      <c r="Q4964">
        <v>0.68384373016341804</v>
      </c>
      <c r="R4964">
        <v>0.40501607622590302</v>
      </c>
      <c r="S4964" t="s">
        <v>11366</v>
      </c>
      <c r="T4964" t="s">
        <v>12802</v>
      </c>
      <c r="U4964" t="s">
        <v>12802</v>
      </c>
      <c r="V4964" t="s">
        <v>12802</v>
      </c>
      <c r="W4964" t="s">
        <v>17702</v>
      </c>
      <c r="X4964">
        <v>11</v>
      </c>
      <c r="Y4964" t="s">
        <v>23919</v>
      </c>
      <c r="Z4964" t="s">
        <v>30282</v>
      </c>
      <c r="AA4964">
        <v>0.85008133348333081</v>
      </c>
      <c r="AB4964" t="str">
        <f>HYPERLINK("Melting_Curves/meltCurve_Q96IZ7_2_RSRC1.pdf", "Melting_Curves/meltCurve_Q96IZ7_2_RSRC1.pdf")</f>
        <v>Melting_Curves/meltCurve_Q96IZ7_2_RSRC1.pdf</v>
      </c>
    </row>
    <row r="4965" spans="1:28" x14ac:dyDescent="0.25">
      <c r="A4965" t="s">
        <v>4969</v>
      </c>
      <c r="B4965">
        <v>0.99542014353169495</v>
      </c>
      <c r="C4965">
        <v>0.978588821687428</v>
      </c>
      <c r="D4965">
        <v>0.85140163852772499</v>
      </c>
      <c r="E4965">
        <v>0.70304449363507304</v>
      </c>
      <c r="F4965">
        <v>0.41882219901017997</v>
      </c>
      <c r="G4965">
        <v>0.27897961625641099</v>
      </c>
      <c r="H4965">
        <v>0.100378712312267</v>
      </c>
      <c r="I4965">
        <v>4.4494796497694097E-2</v>
      </c>
      <c r="J4965">
        <v>3.5921643367980503E-2</v>
      </c>
      <c r="K4965">
        <v>3.8566810191738202E-2</v>
      </c>
      <c r="L4965">
        <v>675.74899502144206</v>
      </c>
      <c r="M4965">
        <v>13.7161555249606</v>
      </c>
      <c r="N4965">
        <v>49.266628352458497</v>
      </c>
      <c r="O4965">
        <v>48.254828759628502</v>
      </c>
      <c r="P4965">
        <v>-7.10712394509974E-2</v>
      </c>
      <c r="Q4965">
        <v>0</v>
      </c>
      <c r="R4965">
        <v>0.99683413640527996</v>
      </c>
      <c r="S4965" t="s">
        <v>11367</v>
      </c>
      <c r="T4965" t="s">
        <v>12802</v>
      </c>
      <c r="U4965" t="s">
        <v>12802</v>
      </c>
      <c r="V4965" t="s">
        <v>12802</v>
      </c>
      <c r="W4965" t="s">
        <v>17703</v>
      </c>
      <c r="X4965">
        <v>9</v>
      </c>
      <c r="Y4965" t="s">
        <v>23920</v>
      </c>
      <c r="Z4965" t="s">
        <v>30283</v>
      </c>
      <c r="AA4965">
        <v>0.43329292998213492</v>
      </c>
      <c r="AB4965" t="str">
        <f>HYPERLINK("Melting_Curves/meltCurve_Q96J01_THOC3.pdf", "Melting_Curves/meltCurve_Q96J01_THOC3.pdf")</f>
        <v>Melting_Curves/meltCurve_Q96J01_THOC3.pdf</v>
      </c>
    </row>
    <row r="4966" spans="1:28" x14ac:dyDescent="0.25">
      <c r="A4966" t="s">
        <v>4970</v>
      </c>
      <c r="B4966">
        <v>0.99542014353169495</v>
      </c>
      <c r="C4966">
        <v>0.93378733130234404</v>
      </c>
      <c r="D4966">
        <v>0.91267037155775599</v>
      </c>
      <c r="E4966">
        <v>0.62225380383554696</v>
      </c>
      <c r="F4966">
        <v>0.332760577855368</v>
      </c>
      <c r="G4966">
        <v>0.13990877489918799</v>
      </c>
      <c r="H4966">
        <v>7.9051074147312994E-2</v>
      </c>
      <c r="I4966">
        <v>4.7470438960486701E-2</v>
      </c>
      <c r="J4966">
        <v>5.9637823974247398E-2</v>
      </c>
      <c r="K4966">
        <v>4.3709108688148098E-2</v>
      </c>
      <c r="L4966">
        <v>875.83847289177197</v>
      </c>
      <c r="M4966">
        <v>18.3154602991841</v>
      </c>
      <c r="N4966">
        <v>48.0263465365027</v>
      </c>
      <c r="O4966">
        <v>47.260519559588403</v>
      </c>
      <c r="P4966">
        <v>-9.3217613391881005E-2</v>
      </c>
      <c r="Q4966">
        <v>3.7903919666125302E-2</v>
      </c>
      <c r="R4966">
        <v>0.99816466086130395</v>
      </c>
      <c r="S4966" t="s">
        <v>11368</v>
      </c>
      <c r="T4966" t="s">
        <v>12802</v>
      </c>
      <c r="U4966" t="s">
        <v>12802</v>
      </c>
      <c r="V4966" t="s">
        <v>12802</v>
      </c>
      <c r="W4966" t="s">
        <v>17704</v>
      </c>
      <c r="X4966">
        <v>8</v>
      </c>
      <c r="Y4966" t="s">
        <v>23921</v>
      </c>
      <c r="Z4966" t="s">
        <v>30284</v>
      </c>
      <c r="AA4966">
        <v>0.39979147706675039</v>
      </c>
      <c r="AB4966" t="str">
        <f>HYPERLINK("Melting_Curves/meltCurve_Q96J02_2_ITCH.pdf", "Melting_Curves/meltCurve_Q96J02_2_ITCH.pdf")</f>
        <v>Melting_Curves/meltCurve_Q96J02_2_ITCH.pdf</v>
      </c>
    </row>
    <row r="4967" spans="1:28" x14ac:dyDescent="0.25">
      <c r="A4967" t="s">
        <v>4971</v>
      </c>
      <c r="B4967">
        <v>0.99542014353169495</v>
      </c>
      <c r="C4967">
        <v>0.95057876760369997</v>
      </c>
      <c r="D4967">
        <v>1.04147971074221</v>
      </c>
      <c r="E4967">
        <v>0.74575763345065305</v>
      </c>
      <c r="F4967">
        <v>0.68685801226376697</v>
      </c>
      <c r="G4967">
        <v>0.28927349203344899</v>
      </c>
      <c r="H4967">
        <v>0.14105701497138401</v>
      </c>
      <c r="I4967">
        <v>9.3933309374215401E-2</v>
      </c>
      <c r="J4967">
        <v>8.0974792102659093E-2</v>
      </c>
      <c r="K4967">
        <v>8.0191907923926595E-2</v>
      </c>
      <c r="L4967">
        <v>904.29267044485096</v>
      </c>
      <c r="M4967">
        <v>17.6965266648278</v>
      </c>
      <c r="N4967">
        <v>51.384515825869599</v>
      </c>
      <c r="O4967">
        <v>50.460870527006499</v>
      </c>
      <c r="P4967">
        <v>-8.3587398431776302E-2</v>
      </c>
      <c r="Q4967">
        <v>4.66668190645722E-2</v>
      </c>
      <c r="R4967">
        <v>0.980839092639887</v>
      </c>
      <c r="S4967" t="s">
        <v>11369</v>
      </c>
      <c r="T4967" t="s">
        <v>12802</v>
      </c>
      <c r="U4967" t="s">
        <v>12802</v>
      </c>
      <c r="V4967" t="s">
        <v>12802</v>
      </c>
      <c r="W4967" t="s">
        <v>17705</v>
      </c>
      <c r="X4967">
        <v>2</v>
      </c>
      <c r="Y4967" t="s">
        <v>23922</v>
      </c>
      <c r="Z4967" t="s">
        <v>30285</v>
      </c>
      <c r="AA4967">
        <v>0.50987650464585466</v>
      </c>
      <c r="AB4967" t="str">
        <f>HYPERLINK("Melting_Curves/meltCurve_Q96JA1_LRIG1.pdf", "Melting_Curves/meltCurve_Q96JA1_LRIG1.pdf")</f>
        <v>Melting_Curves/meltCurve_Q96JA1_LRIG1.pdf</v>
      </c>
    </row>
    <row r="4968" spans="1:28" x14ac:dyDescent="0.25">
      <c r="A4968" t="s">
        <v>4972</v>
      </c>
      <c r="B4968">
        <v>0.99542014353169495</v>
      </c>
      <c r="C4968">
        <v>0.795559881124137</v>
      </c>
      <c r="D4968">
        <v>0.80471503539936895</v>
      </c>
      <c r="E4968">
        <v>0.30258899003925199</v>
      </c>
      <c r="F4968">
        <v>0.183024278393463</v>
      </c>
      <c r="G4968">
        <v>0.105602957358084</v>
      </c>
      <c r="H4968">
        <v>6.5792326261737005E-2</v>
      </c>
      <c r="I4968">
        <v>4.9738489439049897E-2</v>
      </c>
      <c r="J4968">
        <v>2.5818112330983599E-2</v>
      </c>
      <c r="K4968">
        <v>4.53859838432513E-2</v>
      </c>
      <c r="L4968">
        <v>809.77677058859695</v>
      </c>
      <c r="M4968">
        <v>18.027915888608</v>
      </c>
      <c r="N4968">
        <v>45.129986880359603</v>
      </c>
      <c r="O4968">
        <v>44.376205517018697</v>
      </c>
      <c r="P4968">
        <v>-9.7443226539282099E-2</v>
      </c>
      <c r="Q4968">
        <v>4.0610812316471498E-2</v>
      </c>
      <c r="R4968">
        <v>0.97723854013035705</v>
      </c>
      <c r="S4968" t="s">
        <v>11370</v>
      </c>
      <c r="T4968" t="s">
        <v>12802</v>
      </c>
      <c r="U4968" t="s">
        <v>12802</v>
      </c>
      <c r="V4968" t="s">
        <v>12802</v>
      </c>
      <c r="W4968" t="s">
        <v>17706</v>
      </c>
      <c r="X4968">
        <v>4</v>
      </c>
      <c r="Y4968" t="s">
        <v>23923</v>
      </c>
      <c r="Z4968" t="s">
        <v>30286</v>
      </c>
      <c r="AA4968">
        <v>0.3095213327726421</v>
      </c>
      <c r="AB4968" t="str">
        <f>HYPERLINK("Melting_Curves/meltCurve_Q96JB2_COG3.pdf", "Melting_Curves/meltCurve_Q96JB2_COG3.pdf")</f>
        <v>Melting_Curves/meltCurve_Q96JB2_COG3.pdf</v>
      </c>
    </row>
    <row r="4969" spans="1:28" x14ac:dyDescent="0.25">
      <c r="A4969" t="s">
        <v>4973</v>
      </c>
      <c r="B4969">
        <v>0.99542014353169495</v>
      </c>
      <c r="C4969">
        <v>0.88136854056851899</v>
      </c>
      <c r="D4969">
        <v>0.82142678988065299</v>
      </c>
      <c r="E4969">
        <v>0.48481234727405298</v>
      </c>
      <c r="F4969">
        <v>0.29879023374892699</v>
      </c>
      <c r="G4969">
        <v>0.164667162005151</v>
      </c>
      <c r="H4969">
        <v>0.113319570580401</v>
      </c>
      <c r="I4969">
        <v>0.109410957465143</v>
      </c>
      <c r="J4969">
        <v>0.16928274604791499</v>
      </c>
      <c r="K4969">
        <v>0.20338430335771401</v>
      </c>
      <c r="L4969">
        <v>836.96628094330299</v>
      </c>
      <c r="M4969">
        <v>18.317502605702899</v>
      </c>
      <c r="N4969">
        <v>46.5144561453343</v>
      </c>
      <c r="O4969">
        <v>45.1580262033388</v>
      </c>
      <c r="P4969">
        <v>-8.7386068314056806E-2</v>
      </c>
      <c r="Q4969">
        <v>0.13831031818678699</v>
      </c>
      <c r="R4969">
        <v>0.98718812815530899</v>
      </c>
      <c r="S4969" t="s">
        <v>11371</v>
      </c>
      <c r="T4969" t="s">
        <v>12802</v>
      </c>
      <c r="U4969" t="s">
        <v>12802</v>
      </c>
      <c r="V4969" t="s">
        <v>12802</v>
      </c>
      <c r="W4969" t="s">
        <v>17707</v>
      </c>
      <c r="X4969">
        <v>10</v>
      </c>
      <c r="Y4969" t="s">
        <v>23924</v>
      </c>
      <c r="Z4969" t="s">
        <v>30287</v>
      </c>
      <c r="AA4969">
        <v>0.40146159590018632</v>
      </c>
      <c r="AB4969" t="str">
        <f>HYPERLINK("Melting_Curves/meltCurve_Q96JB3_2_HIC2.pdf", "Melting_Curves/meltCurve_Q96JB3_2_HIC2.pdf")</f>
        <v>Melting_Curves/meltCurve_Q96JB3_2_HIC2.pdf</v>
      </c>
    </row>
    <row r="4970" spans="1:28" x14ac:dyDescent="0.25">
      <c r="A4970" t="s">
        <v>4974</v>
      </c>
      <c r="B4970">
        <v>0.99542014353169495</v>
      </c>
      <c r="C4970">
        <v>0.91023960102516099</v>
      </c>
      <c r="D4970">
        <v>0.86364528212050795</v>
      </c>
      <c r="E4970">
        <v>0.66189299273868496</v>
      </c>
      <c r="F4970">
        <v>0.24714835190547699</v>
      </c>
      <c r="G4970">
        <v>0.12994390240391099</v>
      </c>
      <c r="H4970">
        <v>9.7661639932449001E-2</v>
      </c>
      <c r="I4970">
        <v>6.0295091145191798E-2</v>
      </c>
      <c r="J4970">
        <v>5.99095230740554E-2</v>
      </c>
      <c r="K4970">
        <v>6.4659144170814406E-2</v>
      </c>
      <c r="L4970">
        <v>958.73206865313102</v>
      </c>
      <c r="M4970">
        <v>20.2117325859146</v>
      </c>
      <c r="N4970">
        <v>47.706630047052002</v>
      </c>
      <c r="O4970">
        <v>46.977414742758697</v>
      </c>
      <c r="P4970">
        <v>-0.101706311642049</v>
      </c>
      <c r="Q4970">
        <v>5.4460006429970197E-2</v>
      </c>
      <c r="R4970">
        <v>0.99275017566437596</v>
      </c>
      <c r="S4970" t="s">
        <v>11372</v>
      </c>
      <c r="T4970" t="s">
        <v>12802</v>
      </c>
      <c r="U4970" t="s">
        <v>12802</v>
      </c>
      <c r="V4970" t="s">
        <v>12802</v>
      </c>
      <c r="W4970" t="s">
        <v>17708</v>
      </c>
      <c r="X4970">
        <v>11</v>
      </c>
      <c r="Y4970" t="s">
        <v>23925</v>
      </c>
      <c r="Z4970" t="s">
        <v>30288</v>
      </c>
      <c r="AA4970">
        <v>0.39547998436965259</v>
      </c>
      <c r="AB4970" t="str">
        <f>HYPERLINK("Melting_Curves/meltCurve_Q96JB5_2_CDK5RAP3.pdf", "Melting_Curves/meltCurve_Q96JB5_2_CDK5RAP3.pdf")</f>
        <v>Melting_Curves/meltCurve_Q96JB5_2_CDK5RAP3.pdf</v>
      </c>
    </row>
    <row r="4971" spans="1:28" x14ac:dyDescent="0.25">
      <c r="A4971" t="s">
        <v>4975</v>
      </c>
      <c r="B4971">
        <v>0.99542014353169495</v>
      </c>
      <c r="C4971">
        <v>1.0037431501683101</v>
      </c>
      <c r="D4971">
        <v>1.00933119756763</v>
      </c>
      <c r="E4971">
        <v>0.64126242573407599</v>
      </c>
      <c r="F4971">
        <v>0.25867512143860499</v>
      </c>
      <c r="G4971">
        <v>0.11725656165088499</v>
      </c>
      <c r="H4971">
        <v>7.3683926148339199E-2</v>
      </c>
      <c r="I4971">
        <v>3.5610818930006602E-2</v>
      </c>
      <c r="J4971">
        <v>5.2835951755490503E-2</v>
      </c>
      <c r="K4971">
        <v>3.2814411813484101E-2</v>
      </c>
      <c r="L4971">
        <v>1264.25410309638</v>
      </c>
      <c r="M4971">
        <v>26.517511415110899</v>
      </c>
      <c r="N4971">
        <v>47.869694863175802</v>
      </c>
      <c r="O4971">
        <v>47.407548213501997</v>
      </c>
      <c r="P4971">
        <v>-0.13273275309854299</v>
      </c>
      <c r="Q4971">
        <v>5.0821051299979901E-2</v>
      </c>
      <c r="R4971">
        <v>0.99672454627731399</v>
      </c>
      <c r="S4971" t="s">
        <v>11373</v>
      </c>
      <c r="T4971" t="s">
        <v>12802</v>
      </c>
      <c r="U4971" t="s">
        <v>12802</v>
      </c>
      <c r="V4971" t="s">
        <v>12802</v>
      </c>
      <c r="W4971" t="s">
        <v>17709</v>
      </c>
      <c r="X4971">
        <v>9</v>
      </c>
      <c r="Y4971" t="s">
        <v>23926</v>
      </c>
      <c r="Z4971" t="s">
        <v>30289</v>
      </c>
      <c r="AA4971">
        <v>0.39576617490685562</v>
      </c>
      <c r="AB4971" t="str">
        <f>HYPERLINK("Melting_Curves/meltCurve_Q96JC1_2_VPS39.pdf", "Melting_Curves/meltCurve_Q96JC1_2_VPS39.pdf")</f>
        <v>Melting_Curves/meltCurve_Q96JC1_2_VPS39.pdf</v>
      </c>
    </row>
    <row r="4972" spans="1:28" x14ac:dyDescent="0.25">
      <c r="A4972" t="s">
        <v>4976</v>
      </c>
      <c r="B4972">
        <v>0.99542014353169495</v>
      </c>
      <c r="C4972">
        <v>0.97076543206396504</v>
      </c>
      <c r="D4972">
        <v>1.0245518533621201</v>
      </c>
      <c r="E4972">
        <v>0.67117558833979196</v>
      </c>
      <c r="F4972">
        <v>0.49503732879205697</v>
      </c>
      <c r="G4972">
        <v>0.29118647636463502</v>
      </c>
      <c r="H4972">
        <v>0.295519656614735</v>
      </c>
      <c r="I4972">
        <v>0.29974017380150603</v>
      </c>
      <c r="J4972">
        <v>0.396888995846709</v>
      </c>
      <c r="K4972">
        <v>0.58793969910716004</v>
      </c>
      <c r="L4972">
        <v>1666.02005420003</v>
      </c>
      <c r="M4972">
        <v>35.733366508303099</v>
      </c>
      <c r="N4972">
        <v>48.607686534382303</v>
      </c>
      <c r="O4972">
        <v>46.4783616135378</v>
      </c>
      <c r="P4972">
        <v>-0.118453225712327</v>
      </c>
      <c r="Q4972">
        <v>0.38371402508609198</v>
      </c>
      <c r="R4972">
        <v>0.90732873985806695</v>
      </c>
      <c r="S4972" t="s">
        <v>11374</v>
      </c>
      <c r="T4972" t="s">
        <v>12802</v>
      </c>
      <c r="U4972" t="s">
        <v>12802</v>
      </c>
      <c r="V4972" t="s">
        <v>12802</v>
      </c>
      <c r="W4972" t="s">
        <v>17710</v>
      </c>
      <c r="X4972">
        <v>3</v>
      </c>
      <c r="Y4972" t="s">
        <v>23927</v>
      </c>
      <c r="Z4972" t="s">
        <v>30290</v>
      </c>
      <c r="AA4972">
        <v>0.58390687695461307</v>
      </c>
      <c r="AB4972" t="str">
        <f>HYPERLINK("Melting_Curves/meltCurve_Q96JC9_EAF1.pdf", "Melting_Curves/meltCurve_Q96JC9_EAF1.pdf")</f>
        <v>Melting_Curves/meltCurve_Q96JC9_EAF1.pdf</v>
      </c>
    </row>
    <row r="4973" spans="1:28" x14ac:dyDescent="0.25">
      <c r="A4973" t="s">
        <v>4977</v>
      </c>
      <c r="B4973">
        <v>0.99542014353169495</v>
      </c>
      <c r="C4973">
        <v>0.92465028369112701</v>
      </c>
      <c r="D4973">
        <v>0.89365316465594902</v>
      </c>
      <c r="E4973">
        <v>0.71626747760312104</v>
      </c>
      <c r="F4973">
        <v>0.33201138296980898</v>
      </c>
      <c r="G4973">
        <v>0.122763845413736</v>
      </c>
      <c r="H4973">
        <v>8.0253403572443496E-2</v>
      </c>
      <c r="I4973">
        <v>5.4565845937050703E-2</v>
      </c>
      <c r="J4973">
        <v>8.4367137388477995E-2</v>
      </c>
      <c r="K4973">
        <v>7.7328697132980906E-2</v>
      </c>
      <c r="L4973">
        <v>1032.12943178712</v>
      </c>
      <c r="M4973">
        <v>21.442212388091399</v>
      </c>
      <c r="N4973">
        <v>48.415064551356899</v>
      </c>
      <c r="O4973">
        <v>47.722586317803398</v>
      </c>
      <c r="P4973">
        <v>-0.105787535932811</v>
      </c>
      <c r="Q4973">
        <v>5.8244457060016699E-2</v>
      </c>
      <c r="R4973">
        <v>0.99457413399166394</v>
      </c>
      <c r="S4973" t="s">
        <v>11375</v>
      </c>
      <c r="T4973" t="s">
        <v>12802</v>
      </c>
      <c r="U4973" t="s">
        <v>12802</v>
      </c>
      <c r="V4973" t="s">
        <v>12802</v>
      </c>
      <c r="W4973" t="s">
        <v>17711</v>
      </c>
      <c r="X4973">
        <v>9</v>
      </c>
      <c r="Y4973" t="s">
        <v>23928</v>
      </c>
      <c r="Z4973" t="s">
        <v>30291</v>
      </c>
      <c r="AA4973">
        <v>0.41864982170511839</v>
      </c>
      <c r="AB4973" t="str">
        <f>HYPERLINK("Melting_Curves/meltCurve_Q96JG6_CCDC132.pdf", "Melting_Curves/meltCurve_Q96JG6_CCDC132.pdf")</f>
        <v>Melting_Curves/meltCurve_Q96JG6_CCDC132.pdf</v>
      </c>
    </row>
    <row r="4974" spans="1:28" x14ac:dyDescent="0.25">
      <c r="A4974" t="s">
        <v>4978</v>
      </c>
      <c r="B4974">
        <v>0.99542014353169495</v>
      </c>
      <c r="C4974">
        <v>0.84198402088546698</v>
      </c>
      <c r="D4974">
        <v>0.51122655142222795</v>
      </c>
      <c r="E4974">
        <v>0.17368315477801999</v>
      </c>
      <c r="F4974">
        <v>0.10089842113311299</v>
      </c>
      <c r="G4974">
        <v>6.04693606709443E-2</v>
      </c>
      <c r="H4974">
        <v>3.4623975390142003E-2</v>
      </c>
      <c r="I4974">
        <v>2.8107001937121501E-2</v>
      </c>
      <c r="J4974">
        <v>2.5113475135842601E-2</v>
      </c>
      <c r="K4974">
        <v>3.2571068024071101E-2</v>
      </c>
      <c r="L4974">
        <v>935.79853121725603</v>
      </c>
      <c r="M4974">
        <v>21.791218758735699</v>
      </c>
      <c r="N4974">
        <v>43.090532684118202</v>
      </c>
      <c r="O4974">
        <v>42.587081513667201</v>
      </c>
      <c r="P4974">
        <v>-0.12335134755030901</v>
      </c>
      <c r="Q4974">
        <v>3.5748555454463503E-2</v>
      </c>
      <c r="R4974">
        <v>0.998571751236496</v>
      </c>
      <c r="S4974" t="s">
        <v>11376</v>
      </c>
      <c r="T4974" t="s">
        <v>12802</v>
      </c>
      <c r="U4974" t="s">
        <v>12802</v>
      </c>
      <c r="V4974" t="s">
        <v>12802</v>
      </c>
      <c r="W4974" t="s">
        <v>17712</v>
      </c>
      <c r="X4974">
        <v>13</v>
      </c>
      <c r="Y4974" t="s">
        <v>23929</v>
      </c>
      <c r="Z4974" t="s">
        <v>30292</v>
      </c>
      <c r="AA4974">
        <v>0.23788062763015499</v>
      </c>
      <c r="AB4974" t="str">
        <f>HYPERLINK("Melting_Curves/meltCurve_Q96JH7_VCPIP1.pdf", "Melting_Curves/meltCurve_Q96JH7_VCPIP1.pdf")</f>
        <v>Melting_Curves/meltCurve_Q96JH7_VCPIP1.pdf</v>
      </c>
    </row>
    <row r="4975" spans="1:28" x14ac:dyDescent="0.25">
      <c r="A4975" t="s">
        <v>4979</v>
      </c>
      <c r="B4975">
        <v>0.99542014353169495</v>
      </c>
      <c r="C4975">
        <v>1.0003522985521001</v>
      </c>
      <c r="D4975">
        <v>1.0100081905475</v>
      </c>
      <c r="E4975">
        <v>0.92392836180598403</v>
      </c>
      <c r="F4975">
        <v>0.80466214812161996</v>
      </c>
      <c r="G4975">
        <v>0.50662791016007802</v>
      </c>
      <c r="H4975">
        <v>0.16318822285500001</v>
      </c>
      <c r="I4975">
        <v>7.4174446043406506E-2</v>
      </c>
      <c r="J4975">
        <v>5.23301693408703E-2</v>
      </c>
      <c r="K4975">
        <v>6.0708634829081003E-2</v>
      </c>
      <c r="L4975">
        <v>1204.7506723750901</v>
      </c>
      <c r="M4975">
        <v>22.556628427034099</v>
      </c>
      <c r="N4975">
        <v>53.551348309417698</v>
      </c>
      <c r="O4975">
        <v>52.9955815003946</v>
      </c>
      <c r="P4975">
        <v>-0.103336009248571</v>
      </c>
      <c r="Q4975">
        <v>2.8890117320624499E-2</v>
      </c>
      <c r="R4975">
        <v>0.99718943336584198</v>
      </c>
      <c r="S4975" t="s">
        <v>11377</v>
      </c>
      <c r="T4975" t="s">
        <v>12802</v>
      </c>
      <c r="U4975" t="s">
        <v>12802</v>
      </c>
      <c r="V4975" t="s">
        <v>12802</v>
      </c>
      <c r="W4975" t="s">
        <v>17713</v>
      </c>
      <c r="X4975">
        <v>8</v>
      </c>
      <c r="Y4975" t="s">
        <v>23930</v>
      </c>
      <c r="Z4975" t="s">
        <v>30293</v>
      </c>
      <c r="AA4975">
        <v>0.57018948813955117</v>
      </c>
      <c r="AB4975" t="str">
        <f>HYPERLINK("Melting_Curves/meltCurve_Q96JJ7_TMX3.pdf", "Melting_Curves/meltCurve_Q96JJ7_TMX3.pdf")</f>
        <v>Melting_Curves/meltCurve_Q96JJ7_TMX3.pdf</v>
      </c>
    </row>
    <row r="4976" spans="1:28" x14ac:dyDescent="0.25">
      <c r="A4976" t="s">
        <v>4980</v>
      </c>
      <c r="B4976">
        <v>0.99542014353169495</v>
      </c>
      <c r="C4976">
        <v>0.936660316385171</v>
      </c>
      <c r="D4976">
        <v>0.89415862673596003</v>
      </c>
      <c r="E4976">
        <v>0.50042133326674298</v>
      </c>
      <c r="F4976">
        <v>0.248008551459798</v>
      </c>
      <c r="G4976">
        <v>0.114812252655243</v>
      </c>
      <c r="H4976">
        <v>7.9660637084255095E-2</v>
      </c>
      <c r="I4976">
        <v>5.6181667107692797E-2</v>
      </c>
      <c r="J4976">
        <v>7.1241608449875996E-2</v>
      </c>
      <c r="K4976">
        <v>0.13484678334799099</v>
      </c>
      <c r="L4976">
        <v>1039.3865916863699</v>
      </c>
      <c r="M4976">
        <v>22.397214825655102</v>
      </c>
      <c r="N4976">
        <v>46.781028174958998</v>
      </c>
      <c r="O4976">
        <v>46.041768062366003</v>
      </c>
      <c r="P4976">
        <v>-0.111645416356281</v>
      </c>
      <c r="Q4976">
        <v>8.1985127289277704E-2</v>
      </c>
      <c r="R4976">
        <v>0.99478121940967101</v>
      </c>
      <c r="S4976" t="s">
        <v>11378</v>
      </c>
      <c r="T4976" t="s">
        <v>12802</v>
      </c>
      <c r="U4976" t="s">
        <v>12802</v>
      </c>
      <c r="V4976" t="s">
        <v>12802</v>
      </c>
      <c r="W4976" t="s">
        <v>17714</v>
      </c>
      <c r="X4976">
        <v>13</v>
      </c>
      <c r="Y4976" t="s">
        <v>23931</v>
      </c>
      <c r="Z4976" t="s">
        <v>30294</v>
      </c>
      <c r="AA4976">
        <v>0.37939991311035581</v>
      </c>
      <c r="AB4976" t="str">
        <f>HYPERLINK("Melting_Curves/meltCurve_Q96JM3_CHAMP1.pdf", "Melting_Curves/meltCurve_Q96JM3_CHAMP1.pdf")</f>
        <v>Melting_Curves/meltCurve_Q96JM3_CHAMP1.pdf</v>
      </c>
    </row>
    <row r="4977" spans="1:28" x14ac:dyDescent="0.25">
      <c r="A4977" t="s">
        <v>4981</v>
      </c>
      <c r="B4977">
        <v>0.99542014353169495</v>
      </c>
      <c r="C4977">
        <v>1.0417376850131199</v>
      </c>
      <c r="D4977">
        <v>0.93737630940822703</v>
      </c>
      <c r="E4977">
        <v>0.64464159655500597</v>
      </c>
      <c r="F4977">
        <v>0.38105808794600199</v>
      </c>
      <c r="G4977">
        <v>0.22849040012470201</v>
      </c>
      <c r="H4977">
        <v>0.153496511333507</v>
      </c>
      <c r="I4977">
        <v>0.11363673165578</v>
      </c>
      <c r="J4977">
        <v>0.17091397816482801</v>
      </c>
      <c r="K4977">
        <v>0.14728152931538699</v>
      </c>
      <c r="L4977">
        <v>996.58513010441197</v>
      </c>
      <c r="M4977">
        <v>20.9065208096441</v>
      </c>
      <c r="N4977">
        <v>48.438849212998903</v>
      </c>
      <c r="O4977">
        <v>47.238907279138303</v>
      </c>
      <c r="P4977">
        <v>-9.4998677200725898E-2</v>
      </c>
      <c r="Q4977">
        <v>0.14141381051986099</v>
      </c>
      <c r="R4977">
        <v>0.99485644184883903</v>
      </c>
      <c r="S4977" t="s">
        <v>11379</v>
      </c>
      <c r="T4977" t="s">
        <v>12802</v>
      </c>
      <c r="U4977" t="s">
        <v>12802</v>
      </c>
      <c r="V4977" t="s">
        <v>12802</v>
      </c>
      <c r="W4977" t="s">
        <v>17715</v>
      </c>
      <c r="X4977">
        <v>2</v>
      </c>
      <c r="Y4977" t="s">
        <v>23932</v>
      </c>
      <c r="Z4977" t="s">
        <v>30295</v>
      </c>
      <c r="AA4977">
        <v>0.45709089195870301</v>
      </c>
      <c r="AB4977" t="str">
        <f>HYPERLINK("Melting_Curves/meltCurve_Q96JP5_2_ZFP91.pdf", "Melting_Curves/meltCurve_Q96JP5_2_ZFP91.pdf")</f>
        <v>Melting_Curves/meltCurve_Q96JP5_2_ZFP91.pdf</v>
      </c>
    </row>
    <row r="4978" spans="1:28" x14ac:dyDescent="0.25">
      <c r="A4978" t="s">
        <v>4982</v>
      </c>
      <c r="B4978">
        <v>0.99542014353169495</v>
      </c>
      <c r="C4978">
        <v>1.1669437332347301</v>
      </c>
      <c r="D4978">
        <v>1.1090479663230901</v>
      </c>
      <c r="E4978">
        <v>1.0204030144522001</v>
      </c>
      <c r="F4978">
        <v>0.81412259636751205</v>
      </c>
      <c r="G4978">
        <v>0.65699631127081703</v>
      </c>
      <c r="H4978">
        <v>0.61420595804028599</v>
      </c>
      <c r="I4978">
        <v>0.81231979972480794</v>
      </c>
      <c r="J4978">
        <v>1.3108706832466801</v>
      </c>
      <c r="K4978">
        <v>1.70198420298988</v>
      </c>
      <c r="L4978">
        <v>15000</v>
      </c>
      <c r="M4978">
        <v>234.506407401948</v>
      </c>
      <c r="O4978">
        <v>63.959485248494602</v>
      </c>
      <c r="P4978">
        <v>0.458310458463287</v>
      </c>
      <c r="Q4978">
        <v>1.5</v>
      </c>
      <c r="R4978">
        <v>0.56615691349459396</v>
      </c>
      <c r="S4978" t="s">
        <v>11380</v>
      </c>
      <c r="T4978" t="s">
        <v>12802</v>
      </c>
      <c r="U4978" t="s">
        <v>12802</v>
      </c>
      <c r="V4978" t="s">
        <v>12802</v>
      </c>
      <c r="W4978" t="s">
        <v>17716</v>
      </c>
      <c r="X4978">
        <v>5</v>
      </c>
      <c r="Y4978" t="s">
        <v>23933</v>
      </c>
      <c r="Z4978" t="s">
        <v>30296</v>
      </c>
      <c r="AA4978">
        <v>1.0505340451649909</v>
      </c>
      <c r="AB4978" t="str">
        <f>HYPERLINK("Melting_Curves/meltCurve_Q96K17_BTF3L4.pdf", "Melting_Curves/meltCurve_Q96K17_BTF3L4.pdf")</f>
        <v>Melting_Curves/meltCurve_Q96K17_BTF3L4.pdf</v>
      </c>
    </row>
    <row r="4979" spans="1:28" x14ac:dyDescent="0.25">
      <c r="A4979" t="s">
        <v>4983</v>
      </c>
      <c r="B4979">
        <v>0.99542014353169495</v>
      </c>
      <c r="C4979">
        <v>1.0766177361801299</v>
      </c>
      <c r="D4979">
        <v>1.0916729950753099</v>
      </c>
      <c r="E4979">
        <v>0.68339528144416395</v>
      </c>
      <c r="F4979">
        <v>0.569731891246821</v>
      </c>
      <c r="G4979">
        <v>0.35669375151265498</v>
      </c>
      <c r="H4979">
        <v>0.25279447972484598</v>
      </c>
      <c r="I4979">
        <v>0.26486988702525399</v>
      </c>
      <c r="J4979">
        <v>0.25050070245662098</v>
      </c>
      <c r="K4979">
        <v>0.29618375151922299</v>
      </c>
      <c r="L4979">
        <v>1022.23821321895</v>
      </c>
      <c r="M4979">
        <v>21.035672204212801</v>
      </c>
      <c r="N4979">
        <v>50.371065398528302</v>
      </c>
      <c r="O4979">
        <v>48.162687112392703</v>
      </c>
      <c r="P4979">
        <v>-8.0606168428067504E-2</v>
      </c>
      <c r="Q4979">
        <v>0.26180517412165399</v>
      </c>
      <c r="R4979">
        <v>0.96250567073008397</v>
      </c>
      <c r="S4979" t="s">
        <v>11381</v>
      </c>
      <c r="T4979" t="s">
        <v>12802</v>
      </c>
      <c r="U4979" t="s">
        <v>12802</v>
      </c>
      <c r="V4979" t="s">
        <v>12802</v>
      </c>
      <c r="W4979" t="s">
        <v>17717</v>
      </c>
      <c r="X4979">
        <v>3</v>
      </c>
      <c r="Y4979" t="s">
        <v>23934</v>
      </c>
      <c r="Z4979" t="s">
        <v>30297</v>
      </c>
      <c r="AA4979">
        <v>0.55597191771210774</v>
      </c>
      <c r="AB4979" t="str">
        <f>HYPERLINK("Melting_Curves/meltCurve_Q96K19_2_RNF170.pdf", "Melting_Curves/meltCurve_Q96K19_2_RNF170.pdf")</f>
        <v>Melting_Curves/meltCurve_Q96K19_2_RNF170.pdf</v>
      </c>
    </row>
    <row r="4980" spans="1:28" x14ac:dyDescent="0.25">
      <c r="A4980" t="s">
        <v>4984</v>
      </c>
      <c r="B4980">
        <v>0.99542014353169495</v>
      </c>
      <c r="C4980">
        <v>0.93045104238036003</v>
      </c>
      <c r="D4980">
        <v>0.991775436400546</v>
      </c>
      <c r="E4980">
        <v>0.88837494930458705</v>
      </c>
      <c r="F4980">
        <v>0.65106202946648495</v>
      </c>
      <c r="G4980">
        <v>0.25672138228906199</v>
      </c>
      <c r="H4980">
        <v>0.15085966664466699</v>
      </c>
      <c r="I4980">
        <v>0.106502396641318</v>
      </c>
      <c r="J4980">
        <v>0.131638379556173</v>
      </c>
      <c r="K4980">
        <v>0.14155110466434601</v>
      </c>
      <c r="L4980">
        <v>1366.1024656363199</v>
      </c>
      <c r="M4980">
        <v>26.908382309746301</v>
      </c>
      <c r="N4980">
        <v>51.279696747826598</v>
      </c>
      <c r="O4980">
        <v>50.490767179796698</v>
      </c>
      <c r="P4980">
        <v>-0.11756603152879699</v>
      </c>
      <c r="Q4980">
        <v>0.117607720980077</v>
      </c>
      <c r="R4980">
        <v>0.99417084214542895</v>
      </c>
      <c r="S4980" t="s">
        <v>11382</v>
      </c>
      <c r="T4980" t="s">
        <v>12802</v>
      </c>
      <c r="U4980" t="s">
        <v>12802</v>
      </c>
      <c r="V4980" t="s">
        <v>12802</v>
      </c>
      <c r="W4980" t="s">
        <v>17718</v>
      </c>
      <c r="X4980">
        <v>10</v>
      </c>
      <c r="Y4980" t="s">
        <v>23935</v>
      </c>
      <c r="Z4980" t="s">
        <v>30298</v>
      </c>
      <c r="AA4980">
        <v>0.52934887948409248</v>
      </c>
      <c r="AB4980" t="str">
        <f>HYPERLINK("Melting_Curves/meltCurve_Q96KA5_2_CLPTM1L.pdf", "Melting_Curves/meltCurve_Q96KA5_2_CLPTM1L.pdf")</f>
        <v>Melting_Curves/meltCurve_Q96KA5_2_CLPTM1L.pdf</v>
      </c>
    </row>
    <row r="4981" spans="1:28" x14ac:dyDescent="0.25">
      <c r="A4981" t="s">
        <v>4985</v>
      </c>
      <c r="B4981">
        <v>0.99542014353169495</v>
      </c>
      <c r="C4981">
        <v>1.01726017053601</v>
      </c>
      <c r="D4981">
        <v>0.81025675398381602</v>
      </c>
      <c r="E4981">
        <v>0.47969323576385497</v>
      </c>
      <c r="F4981">
        <v>0.15375254180692099</v>
      </c>
      <c r="G4981">
        <v>8.8502329129447097E-2</v>
      </c>
      <c r="H4981">
        <v>5.20409404726229E-2</v>
      </c>
      <c r="I4981">
        <v>4.5027741804285003E-2</v>
      </c>
      <c r="J4981">
        <v>4.87297651152084E-2</v>
      </c>
      <c r="K4981">
        <v>5.66283934688789E-2</v>
      </c>
      <c r="L4981">
        <v>1043.0860071657</v>
      </c>
      <c r="M4981">
        <v>22.6512880996451</v>
      </c>
      <c r="N4981">
        <v>46.246513473255597</v>
      </c>
      <c r="O4981">
        <v>45.695333494163698</v>
      </c>
      <c r="P4981">
        <v>-0.118234940409346</v>
      </c>
      <c r="Q4981">
        <v>4.5939004239508099E-2</v>
      </c>
      <c r="R4981">
        <v>0.99744298054404101</v>
      </c>
      <c r="S4981" t="s">
        <v>11383</v>
      </c>
      <c r="T4981" t="s">
        <v>12802</v>
      </c>
      <c r="U4981" t="s">
        <v>12802</v>
      </c>
      <c r="V4981" t="s">
        <v>12802</v>
      </c>
      <c r="W4981" t="s">
        <v>17719</v>
      </c>
      <c r="X4981">
        <v>16</v>
      </c>
      <c r="Y4981" t="s">
        <v>23936</v>
      </c>
      <c r="Z4981" t="s">
        <v>30299</v>
      </c>
      <c r="AA4981">
        <v>0.34341926283810748</v>
      </c>
      <c r="AB4981" t="str">
        <f>HYPERLINK("Melting_Curves/meltCurve_Q96KB5_PBK.pdf", "Melting_Curves/meltCurve_Q96KB5_PBK.pdf")</f>
        <v>Melting_Curves/meltCurve_Q96KB5_PBK.pdf</v>
      </c>
    </row>
    <row r="4982" spans="1:28" x14ac:dyDescent="0.25">
      <c r="A4982" t="s">
        <v>4986</v>
      </c>
      <c r="B4982">
        <v>0.99542014353169495</v>
      </c>
      <c r="C4982">
        <v>1.0362607760093501</v>
      </c>
      <c r="D4982">
        <v>1.0756549126136099</v>
      </c>
      <c r="E4982">
        <v>0.98657348070630502</v>
      </c>
      <c r="F4982">
        <v>0.82585779864822095</v>
      </c>
      <c r="G4982">
        <v>0.39722958176621098</v>
      </c>
      <c r="H4982">
        <v>0.211472301877353</v>
      </c>
      <c r="I4982">
        <v>0.14021178910520901</v>
      </c>
      <c r="J4982">
        <v>0.17883840529048001</v>
      </c>
      <c r="K4982">
        <v>0.20591127042955601</v>
      </c>
      <c r="L4982">
        <v>1770.1697841846301</v>
      </c>
      <c r="M4982">
        <v>33.916287047985001</v>
      </c>
      <c r="N4982">
        <v>52.8566281769208</v>
      </c>
      <c r="O4982">
        <v>52.011885035879097</v>
      </c>
      <c r="P4982">
        <v>-0.13473324491056099</v>
      </c>
      <c r="Q4982">
        <v>0.17352968380393599</v>
      </c>
      <c r="R4982">
        <v>0.99352845865574002</v>
      </c>
      <c r="S4982" t="s">
        <v>11384</v>
      </c>
      <c r="T4982" t="s">
        <v>12802</v>
      </c>
      <c r="U4982" t="s">
        <v>12802</v>
      </c>
      <c r="V4982" t="s">
        <v>12802</v>
      </c>
      <c r="W4982" t="s">
        <v>17720</v>
      </c>
      <c r="X4982">
        <v>12</v>
      </c>
      <c r="Y4982" t="s">
        <v>23937</v>
      </c>
      <c r="Z4982" t="s">
        <v>30300</v>
      </c>
      <c r="AA4982">
        <v>0.5961840361838483</v>
      </c>
      <c r="AB4982" t="str">
        <f>HYPERLINK("Melting_Curves/meltCurve_Q96KC8_DNAJC1.pdf", "Melting_Curves/meltCurve_Q96KC8_DNAJC1.pdf")</f>
        <v>Melting_Curves/meltCurve_Q96KC8_DNAJC1.pdf</v>
      </c>
    </row>
    <row r="4983" spans="1:28" x14ac:dyDescent="0.25">
      <c r="A4983" t="s">
        <v>4987</v>
      </c>
      <c r="B4983">
        <v>0.99542014353169495</v>
      </c>
      <c r="C4983">
        <v>1.06561318328838</v>
      </c>
      <c r="D4983">
        <v>1.0713891449886399</v>
      </c>
      <c r="E4983">
        <v>0.81072535782623401</v>
      </c>
      <c r="F4983">
        <v>0.71559596678711201</v>
      </c>
      <c r="G4983">
        <v>0.47135758336262801</v>
      </c>
      <c r="H4983">
        <v>0.390476682245393</v>
      </c>
      <c r="I4983">
        <v>0.320165655392325</v>
      </c>
      <c r="J4983">
        <v>0.52863333319158501</v>
      </c>
      <c r="K4983">
        <v>0.62426365082391799</v>
      </c>
      <c r="L4983">
        <v>1258.50415627952</v>
      </c>
      <c r="M4983">
        <v>25.7088980749134</v>
      </c>
      <c r="N4983">
        <v>54.365565022729399</v>
      </c>
      <c r="O4983">
        <v>48.658770736134798</v>
      </c>
      <c r="P4983">
        <v>-7.1150313098844106E-2</v>
      </c>
      <c r="Q4983">
        <v>0.46134663795490899</v>
      </c>
      <c r="R4983">
        <v>0.88264409993855297</v>
      </c>
      <c r="S4983" t="s">
        <v>11385</v>
      </c>
      <c r="T4983" t="s">
        <v>12802</v>
      </c>
      <c r="U4983" t="s">
        <v>12802</v>
      </c>
      <c r="V4983" t="s">
        <v>12802</v>
      </c>
      <c r="W4983" t="s">
        <v>17721</v>
      </c>
      <c r="X4983">
        <v>1</v>
      </c>
      <c r="Y4983" t="s">
        <v>23938</v>
      </c>
      <c r="Z4983" t="s">
        <v>30301</v>
      </c>
      <c r="AA4983">
        <v>0.68035237646423663</v>
      </c>
      <c r="AB4983" t="str">
        <f>HYPERLINK("Melting_Curves/meltCurve_Q96KF7_SMIM8.pdf", "Melting_Curves/meltCurve_Q96KF7_SMIM8.pdf")</f>
        <v>Melting_Curves/meltCurve_Q96KF7_SMIM8.pdf</v>
      </c>
    </row>
    <row r="4984" spans="1:28" x14ac:dyDescent="0.25">
      <c r="A4984" t="s">
        <v>4988</v>
      </c>
      <c r="B4984">
        <v>0.99542014353169495</v>
      </c>
      <c r="C4984">
        <v>1.0353997981959699</v>
      </c>
      <c r="D4984">
        <v>0.94684203713880499</v>
      </c>
      <c r="E4984">
        <v>0.76771425499574197</v>
      </c>
      <c r="F4984">
        <v>0.50654535578156901</v>
      </c>
      <c r="G4984">
        <v>0.29245038160251302</v>
      </c>
      <c r="H4984">
        <v>0.15398041926838699</v>
      </c>
      <c r="I4984">
        <v>7.4252493063718297E-2</v>
      </c>
      <c r="J4984">
        <v>8.6094190179666602E-2</v>
      </c>
      <c r="K4984">
        <v>0.110370159111678</v>
      </c>
      <c r="L4984">
        <v>855.46387264430996</v>
      </c>
      <c r="M4984">
        <v>17.167910817061198</v>
      </c>
      <c r="N4984">
        <v>50.272315670663097</v>
      </c>
      <c r="O4984">
        <v>49.167890823795801</v>
      </c>
      <c r="P4984">
        <v>-8.1168333749992494E-2</v>
      </c>
      <c r="Q4984">
        <v>7.02098692943013E-2</v>
      </c>
      <c r="R4984">
        <v>0.99663607364691398</v>
      </c>
      <c r="S4984" t="s">
        <v>11386</v>
      </c>
      <c r="T4984" t="s">
        <v>12802</v>
      </c>
      <c r="U4984" t="s">
        <v>12802</v>
      </c>
      <c r="V4984" t="s">
        <v>12802</v>
      </c>
      <c r="W4984" t="s">
        <v>17722</v>
      </c>
      <c r="X4984">
        <v>4</v>
      </c>
      <c r="Y4984" t="s">
        <v>23939</v>
      </c>
      <c r="Z4984" t="s">
        <v>30302</v>
      </c>
      <c r="AA4984">
        <v>0.48368998186606238</v>
      </c>
      <c r="AB4984" t="str">
        <f>HYPERLINK("Melting_Curves/meltCurve_Q96KM6_ZNF512B.pdf", "Melting_Curves/meltCurve_Q96KM6_ZNF512B.pdf")</f>
        <v>Melting_Curves/meltCurve_Q96KM6_ZNF512B.pdf</v>
      </c>
    </row>
    <row r="4985" spans="1:28" x14ac:dyDescent="0.25">
      <c r="A4985" t="s">
        <v>4989</v>
      </c>
      <c r="B4985">
        <v>0.99542014353169495</v>
      </c>
      <c r="C4985">
        <v>0.79118443662193405</v>
      </c>
      <c r="D4985">
        <v>0.87002112883499705</v>
      </c>
      <c r="E4985">
        <v>0.38131578253217002</v>
      </c>
      <c r="F4985">
        <v>0.10441341123782</v>
      </c>
      <c r="G4985">
        <v>5.6982038446393497E-2</v>
      </c>
      <c r="H4985">
        <v>4.3582195549856297E-2</v>
      </c>
      <c r="I4985">
        <v>3.1737913535066803E-2</v>
      </c>
      <c r="J4985">
        <v>2.72129172460518E-2</v>
      </c>
      <c r="K4985">
        <v>2.3248056912618598E-2</v>
      </c>
      <c r="L4985">
        <v>1046.8084017685801</v>
      </c>
      <c r="M4985">
        <v>22.966205296035799</v>
      </c>
      <c r="N4985">
        <v>45.677596119180897</v>
      </c>
      <c r="O4985">
        <v>45.238998942578696</v>
      </c>
      <c r="P4985">
        <v>-0.123891104616129</v>
      </c>
      <c r="Q4985">
        <v>2.3851516859194101E-2</v>
      </c>
      <c r="R4985">
        <v>0.97536674430562698</v>
      </c>
      <c r="S4985" t="s">
        <v>11387</v>
      </c>
      <c r="T4985" t="s">
        <v>12802</v>
      </c>
      <c r="U4985" t="s">
        <v>12802</v>
      </c>
      <c r="V4985" t="s">
        <v>12802</v>
      </c>
      <c r="W4985" t="s">
        <v>17723</v>
      </c>
      <c r="X4985">
        <v>13</v>
      </c>
      <c r="Y4985" t="s">
        <v>23940</v>
      </c>
      <c r="Z4985" t="s">
        <v>30303</v>
      </c>
      <c r="AA4985">
        <v>0.31263985851676279</v>
      </c>
      <c r="AB4985" t="str">
        <f>HYPERLINK("Melting_Curves/meltCurve_Q96KP1_EXOC2.pdf", "Melting_Curves/meltCurve_Q96KP1_EXOC2.pdf")</f>
        <v>Melting_Curves/meltCurve_Q96KP1_EXOC2.pdf</v>
      </c>
    </row>
    <row r="4986" spans="1:28" x14ac:dyDescent="0.25">
      <c r="A4986" t="s">
        <v>4990</v>
      </c>
      <c r="B4986">
        <v>0.99542014353169495</v>
      </c>
      <c r="C4986">
        <v>0.97007946007091295</v>
      </c>
      <c r="D4986">
        <v>0.980324368142236</v>
      </c>
      <c r="E4986">
        <v>0.91855284775250501</v>
      </c>
      <c r="F4986">
        <v>0.81067201382837295</v>
      </c>
      <c r="G4986">
        <v>0.67826967471559696</v>
      </c>
      <c r="H4986">
        <v>0.51066083679263696</v>
      </c>
      <c r="I4986">
        <v>0.42344659543222901</v>
      </c>
      <c r="J4986">
        <v>0.40379374813060498</v>
      </c>
      <c r="K4986">
        <v>0.38808769439365998</v>
      </c>
      <c r="L4986">
        <v>756.85362593671005</v>
      </c>
      <c r="M4986">
        <v>14.1514036359366</v>
      </c>
      <c r="N4986">
        <v>58.216441305289102</v>
      </c>
      <c r="O4986">
        <v>52.448586933418298</v>
      </c>
      <c r="P4986">
        <v>-4.4403973196320799E-2</v>
      </c>
      <c r="Q4986">
        <v>0.34179531334926999</v>
      </c>
      <c r="R4986">
        <v>0.99713944183494896</v>
      </c>
      <c r="S4986" t="s">
        <v>11388</v>
      </c>
      <c r="T4986" t="s">
        <v>12802</v>
      </c>
      <c r="U4986" t="s">
        <v>12802</v>
      </c>
      <c r="V4986" t="s">
        <v>12802</v>
      </c>
      <c r="W4986" t="s">
        <v>17724</v>
      </c>
      <c r="X4986">
        <v>28</v>
      </c>
      <c r="Y4986" t="s">
        <v>23941</v>
      </c>
      <c r="Z4986" t="s">
        <v>30304</v>
      </c>
      <c r="AA4986">
        <v>0.71521383565368124</v>
      </c>
      <c r="AB4986" t="str">
        <f>HYPERLINK("Melting_Curves/meltCurve_Q96KP4_CNDP2.pdf", "Melting_Curves/meltCurve_Q96KP4_CNDP2.pdf")</f>
        <v>Melting_Curves/meltCurve_Q96KP4_CNDP2.pdf</v>
      </c>
    </row>
    <row r="4987" spans="1:28" x14ac:dyDescent="0.25">
      <c r="A4987" t="s">
        <v>4991</v>
      </c>
      <c r="B4987">
        <v>0.99542014353169495</v>
      </c>
      <c r="C4987">
        <v>0.92275034614740303</v>
      </c>
      <c r="D4987">
        <v>0.85009546179318096</v>
      </c>
      <c r="E4987">
        <v>0.67109596985828601</v>
      </c>
      <c r="F4987">
        <v>0.54478607883750096</v>
      </c>
      <c r="G4987">
        <v>0.39209127959733497</v>
      </c>
      <c r="H4987">
        <v>0.17117153688159001</v>
      </c>
      <c r="I4987">
        <v>9.7261953363401196E-2</v>
      </c>
      <c r="J4987">
        <v>0.13156554306397999</v>
      </c>
      <c r="K4987">
        <v>0.22762778714569601</v>
      </c>
      <c r="L4987">
        <v>572.97818604320696</v>
      </c>
      <c r="M4987">
        <v>11.6047275927031</v>
      </c>
      <c r="N4987">
        <v>50.212633078134999</v>
      </c>
      <c r="O4987">
        <v>47.976707277968799</v>
      </c>
      <c r="P4987">
        <v>-5.5161704464421403E-2</v>
      </c>
      <c r="Q4987">
        <v>8.8043782783031696E-2</v>
      </c>
      <c r="R4987">
        <v>0.97482762612791196</v>
      </c>
      <c r="S4987" t="s">
        <v>11389</v>
      </c>
      <c r="T4987" t="s">
        <v>12802</v>
      </c>
      <c r="U4987" t="s">
        <v>12802</v>
      </c>
      <c r="V4987" t="s">
        <v>12802</v>
      </c>
      <c r="W4987" t="s">
        <v>17725</v>
      </c>
      <c r="X4987">
        <v>3</v>
      </c>
      <c r="Y4987" t="s">
        <v>23942</v>
      </c>
      <c r="Z4987" t="s">
        <v>30305</v>
      </c>
      <c r="AA4987">
        <v>0.49187749488915611</v>
      </c>
      <c r="AB4987" t="str">
        <f>HYPERLINK("Melting_Curves/meltCurve_Q96KR1_ZFR.pdf", "Melting_Curves/meltCurve_Q96KR1_ZFR.pdf")</f>
        <v>Melting_Curves/meltCurve_Q96KR1_ZFR.pdf</v>
      </c>
    </row>
    <row r="4988" spans="1:28" x14ac:dyDescent="0.25">
      <c r="A4988" t="s">
        <v>4992</v>
      </c>
      <c r="B4988">
        <v>0.99542014353169495</v>
      </c>
      <c r="C4988">
        <v>0.96616245257369104</v>
      </c>
      <c r="D4988">
        <v>0.98733695870667704</v>
      </c>
      <c r="E4988">
        <v>0.69059599932182403</v>
      </c>
      <c r="F4988">
        <v>0.31720509939382602</v>
      </c>
      <c r="G4988">
        <v>0.117458937186097</v>
      </c>
      <c r="H4988">
        <v>7.9303939747754307E-2</v>
      </c>
      <c r="I4988">
        <v>4.0924474131719402E-2</v>
      </c>
      <c r="J4988">
        <v>3.6947790376227703E-2</v>
      </c>
      <c r="K4988">
        <v>5.2911815680260502E-2</v>
      </c>
      <c r="L4988">
        <v>1149.97185633513</v>
      </c>
      <c r="M4988">
        <v>23.866452072101701</v>
      </c>
      <c r="N4988">
        <v>48.3761005771496</v>
      </c>
      <c r="O4988">
        <v>47.849155712511902</v>
      </c>
      <c r="P4988">
        <v>-0.119050182848046</v>
      </c>
      <c r="Q4988">
        <v>4.52944380036093E-2</v>
      </c>
      <c r="R4988">
        <v>0.99821457087168197</v>
      </c>
      <c r="S4988" t="s">
        <v>11390</v>
      </c>
      <c r="T4988" t="s">
        <v>12802</v>
      </c>
      <c r="U4988" t="s">
        <v>12802</v>
      </c>
      <c r="V4988" t="s">
        <v>12802</v>
      </c>
      <c r="W4988" t="s">
        <v>17726</v>
      </c>
      <c r="X4988">
        <v>6</v>
      </c>
      <c r="Y4988" t="s">
        <v>23943</v>
      </c>
      <c r="Z4988" t="s">
        <v>30306</v>
      </c>
      <c r="AA4988">
        <v>0.41013249803894403</v>
      </c>
      <c r="AB4988" t="str">
        <f>HYPERLINK("Melting_Curves/meltCurve_Q96L91_3_EP400.pdf", "Melting_Curves/meltCurve_Q96L91_3_EP400.pdf")</f>
        <v>Melting_Curves/meltCurve_Q96L91_3_EP400.pdf</v>
      </c>
    </row>
    <row r="4989" spans="1:28" x14ac:dyDescent="0.25">
      <c r="A4989" t="s">
        <v>4993</v>
      </c>
      <c r="B4989">
        <v>0.99542014353169495</v>
      </c>
      <c r="C4989">
        <v>0.911262262903206</v>
      </c>
      <c r="D4989">
        <v>0.91084631544445205</v>
      </c>
      <c r="E4989">
        <v>0.49864925965267098</v>
      </c>
      <c r="F4989">
        <v>0.136836769776159</v>
      </c>
      <c r="G4989">
        <v>7.3458685410836597E-2</v>
      </c>
      <c r="H4989">
        <v>4.0160552613077397E-2</v>
      </c>
      <c r="I4989">
        <v>2.58592156496005E-2</v>
      </c>
      <c r="J4989">
        <v>2.9162608516513599E-2</v>
      </c>
      <c r="K4989">
        <v>2.9310761474732001E-2</v>
      </c>
      <c r="L4989">
        <v>1221.5521534132599</v>
      </c>
      <c r="M4989">
        <v>26.291137932767001</v>
      </c>
      <c r="N4989">
        <v>46.573609949303702</v>
      </c>
      <c r="O4989">
        <v>46.196199660889803</v>
      </c>
      <c r="P4989">
        <v>-0.13795650987071501</v>
      </c>
      <c r="Q4989">
        <v>3.0396274040362301E-2</v>
      </c>
      <c r="R4989">
        <v>0.99588933649381395</v>
      </c>
      <c r="S4989" t="s">
        <v>11391</v>
      </c>
      <c r="T4989" t="s">
        <v>12802</v>
      </c>
      <c r="U4989" t="s">
        <v>12802</v>
      </c>
      <c r="V4989" t="s">
        <v>12802</v>
      </c>
      <c r="W4989" t="s">
        <v>17727</v>
      </c>
      <c r="X4989">
        <v>8</v>
      </c>
      <c r="Y4989" t="s">
        <v>23944</v>
      </c>
      <c r="Z4989" t="s">
        <v>30307</v>
      </c>
      <c r="AA4989">
        <v>0.34352129774692097</v>
      </c>
      <c r="AB4989" t="str">
        <f>HYPERLINK("Melting_Curves/meltCurve_Q96L92_3_SNX27.pdf", "Melting_Curves/meltCurve_Q96L92_3_SNX27.pdf")</f>
        <v>Melting_Curves/meltCurve_Q96L92_3_SNX27.pdf</v>
      </c>
    </row>
    <row r="4990" spans="1:28" x14ac:dyDescent="0.25">
      <c r="A4990" t="s">
        <v>4994</v>
      </c>
      <c r="B4990">
        <v>0.99542014353169495</v>
      </c>
      <c r="C4990">
        <v>0.94002532111607795</v>
      </c>
      <c r="D4990">
        <v>0.764042212095707</v>
      </c>
      <c r="E4990">
        <v>0.65368568961655704</v>
      </c>
      <c r="F4990">
        <v>0.48133432778065</v>
      </c>
      <c r="G4990">
        <v>0.21917058983704599</v>
      </c>
      <c r="H4990">
        <v>8.3906868575983007E-2</v>
      </c>
      <c r="I4990">
        <v>4.4346640468664197E-2</v>
      </c>
      <c r="J4990">
        <v>3.2018055326961503E-2</v>
      </c>
      <c r="K4990">
        <v>2.5303566217541099E-2</v>
      </c>
      <c r="L4990">
        <v>611.33819825837202</v>
      </c>
      <c r="M4990">
        <v>12.5481079970242</v>
      </c>
      <c r="N4990">
        <v>48.7195518828186</v>
      </c>
      <c r="O4990">
        <v>47.531849789410501</v>
      </c>
      <c r="P4990">
        <v>-6.6011798917475495E-2</v>
      </c>
      <c r="Q4990">
        <v>0</v>
      </c>
      <c r="R4990">
        <v>0.98895283864015204</v>
      </c>
      <c r="S4990" t="s">
        <v>11392</v>
      </c>
      <c r="T4990" t="s">
        <v>12802</v>
      </c>
      <c r="U4990" t="s">
        <v>12802</v>
      </c>
      <c r="V4990" t="s">
        <v>12802</v>
      </c>
      <c r="W4990" t="s">
        <v>17728</v>
      </c>
      <c r="X4990">
        <v>3</v>
      </c>
      <c r="Y4990" t="s">
        <v>23945</v>
      </c>
      <c r="Z4990" t="s">
        <v>30308</v>
      </c>
      <c r="AA4990">
        <v>0.4190112679794723</v>
      </c>
      <c r="AB4990" t="str">
        <f>HYPERLINK("Melting_Curves/meltCurve_Q96LA8_2_PRMT6.pdf", "Melting_Curves/meltCurve_Q96LA8_2_PRMT6.pdf")</f>
        <v>Melting_Curves/meltCurve_Q96LA8_2_PRMT6.pdf</v>
      </c>
    </row>
    <row r="4991" spans="1:28" x14ac:dyDescent="0.25">
      <c r="A4991" t="s">
        <v>4995</v>
      </c>
      <c r="B4991">
        <v>0.99542014353169495</v>
      </c>
      <c r="C4991">
        <v>1.01117963110654</v>
      </c>
      <c r="D4991">
        <v>0.843493330936532</v>
      </c>
      <c r="E4991">
        <v>0.447557302633245</v>
      </c>
      <c r="F4991">
        <v>0.23545114106177301</v>
      </c>
      <c r="G4991">
        <v>0.114720395390357</v>
      </c>
      <c r="H4991">
        <v>9.0847777944779301E-2</v>
      </c>
      <c r="I4991">
        <v>5.6650377850901198E-2</v>
      </c>
      <c r="J4991">
        <v>7.7832342049029002E-2</v>
      </c>
      <c r="K4991">
        <v>6.1589320716211003E-2</v>
      </c>
      <c r="L4991">
        <v>1008.68717530672</v>
      </c>
      <c r="M4991">
        <v>21.913757965471</v>
      </c>
      <c r="N4991">
        <v>46.360137273181302</v>
      </c>
      <c r="O4991">
        <v>45.6517095975384</v>
      </c>
      <c r="P4991">
        <v>-0.11133487100332699</v>
      </c>
      <c r="Q4991">
        <v>7.2270623586028399E-2</v>
      </c>
      <c r="R4991">
        <v>0.99707169870186096</v>
      </c>
      <c r="S4991" t="s">
        <v>11393</v>
      </c>
      <c r="T4991" t="s">
        <v>12802</v>
      </c>
      <c r="U4991" t="s">
        <v>12802</v>
      </c>
      <c r="V4991" t="s">
        <v>12802</v>
      </c>
      <c r="W4991" t="s">
        <v>17729</v>
      </c>
      <c r="X4991">
        <v>2</v>
      </c>
      <c r="Y4991" t="s">
        <v>23946</v>
      </c>
      <c r="Z4991" t="s">
        <v>30309</v>
      </c>
      <c r="AA4991">
        <v>0.36158301328244258</v>
      </c>
      <c r="AB4991" t="str">
        <f>HYPERLINK("Melting_Curves/meltCurve_Q96LB3_IFT74.pdf", "Melting_Curves/meltCurve_Q96LB3_IFT74.pdf")</f>
        <v>Melting_Curves/meltCurve_Q96LB3_IFT74.pdf</v>
      </c>
    </row>
    <row r="4992" spans="1:28" x14ac:dyDescent="0.25">
      <c r="A4992" t="s">
        <v>4996</v>
      </c>
      <c r="B4992">
        <v>0.99542014353169495</v>
      </c>
      <c r="C4992">
        <v>1.0880910849830501</v>
      </c>
      <c r="D4992">
        <v>0.90375800654751604</v>
      </c>
      <c r="E4992">
        <v>0.62902169659804297</v>
      </c>
      <c r="F4992">
        <v>0.42291872051137402</v>
      </c>
      <c r="G4992">
        <v>0.26355939386887201</v>
      </c>
      <c r="H4992">
        <v>0.23305526964607301</v>
      </c>
      <c r="I4992">
        <v>0.17272251532026101</v>
      </c>
      <c r="J4992">
        <v>0.20010598643361799</v>
      </c>
      <c r="K4992">
        <v>0.22696895756258201</v>
      </c>
      <c r="L4992">
        <v>959.70470372044304</v>
      </c>
      <c r="M4992">
        <v>20.2948692557176</v>
      </c>
      <c r="N4992">
        <v>48.527872811708001</v>
      </c>
      <c r="O4992">
        <v>46.836103296541701</v>
      </c>
      <c r="P4992">
        <v>-8.6417274161474794E-2</v>
      </c>
      <c r="Q4992">
        <v>0.20229609976385601</v>
      </c>
      <c r="R4992">
        <v>0.98685335158527299</v>
      </c>
      <c r="S4992" t="s">
        <v>11394</v>
      </c>
      <c r="T4992" t="s">
        <v>12802</v>
      </c>
      <c r="U4992" t="s">
        <v>12802</v>
      </c>
      <c r="V4992" t="s">
        <v>12802</v>
      </c>
      <c r="W4992" t="s">
        <v>17730</v>
      </c>
      <c r="X4992">
        <v>4</v>
      </c>
      <c r="Y4992" t="s">
        <v>23947</v>
      </c>
      <c r="Z4992" t="s">
        <v>30310</v>
      </c>
      <c r="AA4992">
        <v>0.48601700265091502</v>
      </c>
      <c r="AB4992" t="str">
        <f>HYPERLINK("Melting_Curves/meltCurve_Q96LD4_TRIM47.pdf", "Melting_Curves/meltCurve_Q96LD4_TRIM47.pdf")</f>
        <v>Melting_Curves/meltCurve_Q96LD4_TRIM47.pdf</v>
      </c>
    </row>
    <row r="4993" spans="1:28" x14ac:dyDescent="0.25">
      <c r="A4993" t="s">
        <v>4997</v>
      </c>
      <c r="B4993">
        <v>0.99542014353169495</v>
      </c>
      <c r="C4993">
        <v>1.01545671967662</v>
      </c>
      <c r="D4993">
        <v>0.96563733439463795</v>
      </c>
      <c r="E4993">
        <v>0.73948646203555501</v>
      </c>
      <c r="F4993">
        <v>0.30331389900290101</v>
      </c>
      <c r="G4993">
        <v>0.124219200460171</v>
      </c>
      <c r="H4993">
        <v>7.1371675284317898E-2</v>
      </c>
      <c r="I4993">
        <v>4.6865222197292403E-2</v>
      </c>
      <c r="J4993">
        <v>5.06705828879856E-2</v>
      </c>
      <c r="K4993">
        <v>4.7483502215632203E-2</v>
      </c>
      <c r="L4993">
        <v>1264.2105847338</v>
      </c>
      <c r="M4993">
        <v>26.164741015084001</v>
      </c>
      <c r="N4993">
        <v>48.515234896343699</v>
      </c>
      <c r="O4993">
        <v>48.037752112744201</v>
      </c>
      <c r="P4993">
        <v>-0.12927763764710301</v>
      </c>
      <c r="Q4993">
        <v>5.0609956817575998E-2</v>
      </c>
      <c r="R4993">
        <v>0.99960141853472895</v>
      </c>
      <c r="S4993" t="s">
        <v>11395</v>
      </c>
      <c r="T4993" t="s">
        <v>12802</v>
      </c>
      <c r="U4993" t="s">
        <v>12802</v>
      </c>
      <c r="V4993" t="s">
        <v>12802</v>
      </c>
      <c r="W4993" t="s">
        <v>17731</v>
      </c>
      <c r="X4993">
        <v>7</v>
      </c>
      <c r="Y4993" t="s">
        <v>23948</v>
      </c>
      <c r="Z4993" t="s">
        <v>30311</v>
      </c>
      <c r="AA4993">
        <v>0.41619083690501602</v>
      </c>
      <c r="AB4993" t="str">
        <f>HYPERLINK("Melting_Curves/meltCurve_Q96LJ7_DHRS1.pdf", "Melting_Curves/meltCurve_Q96LJ7_DHRS1.pdf")</f>
        <v>Melting_Curves/meltCurve_Q96LJ7_DHRS1.pdf</v>
      </c>
    </row>
    <row r="4994" spans="1:28" x14ac:dyDescent="0.25">
      <c r="A4994" t="s">
        <v>4998</v>
      </c>
      <c r="B4994">
        <v>0.99542014353169495</v>
      </c>
      <c r="C4994">
        <v>1.23015267100348</v>
      </c>
      <c r="D4994">
        <v>1.1161570390217701</v>
      </c>
      <c r="E4994">
        <v>0.99647540970982496</v>
      </c>
      <c r="F4994">
        <v>0.60318658121717506</v>
      </c>
      <c r="G4994">
        <v>0.31201982124435101</v>
      </c>
      <c r="H4994">
        <v>0.18598875453074101</v>
      </c>
      <c r="I4994">
        <v>5.9996913156144097E-2</v>
      </c>
      <c r="J4994">
        <v>5.6187722455137902E-2</v>
      </c>
      <c r="K4994">
        <v>0</v>
      </c>
      <c r="L4994">
        <v>1205.3830157678501</v>
      </c>
      <c r="M4994">
        <v>23.408981349132599</v>
      </c>
      <c r="N4994">
        <v>51.695239182257602</v>
      </c>
      <c r="O4994">
        <v>51.120970649140297</v>
      </c>
      <c r="P4994">
        <v>-0.10945539911583101</v>
      </c>
      <c r="Q4994">
        <v>4.3893707583693799E-2</v>
      </c>
      <c r="R4994">
        <v>0.96093055655701698</v>
      </c>
      <c r="S4994" t="s">
        <v>11396</v>
      </c>
      <c r="T4994" t="s">
        <v>12802</v>
      </c>
      <c r="U4994" t="s">
        <v>12802</v>
      </c>
      <c r="V4994" t="s">
        <v>12802</v>
      </c>
      <c r="W4994" t="s">
        <v>17732</v>
      </c>
      <c r="X4994">
        <v>4</v>
      </c>
      <c r="Y4994" t="s">
        <v>23949</v>
      </c>
      <c r="Z4994" t="s">
        <v>30312</v>
      </c>
      <c r="AA4994">
        <v>0.51529107307307287</v>
      </c>
      <c r="AB4994" t="str">
        <f>HYPERLINK("Melting_Curves/meltCurve_Q96LJ8_UBXN10.pdf", "Melting_Curves/meltCurve_Q96LJ8_UBXN10.pdf")</f>
        <v>Melting_Curves/meltCurve_Q96LJ8_UBXN10.pdf</v>
      </c>
    </row>
    <row r="4995" spans="1:28" x14ac:dyDescent="0.25">
      <c r="A4995" t="s">
        <v>4999</v>
      </c>
      <c r="B4995">
        <v>0.99542014353169495</v>
      </c>
      <c r="C4995">
        <v>0.90307403749000403</v>
      </c>
      <c r="D4995">
        <v>0.92932301285098395</v>
      </c>
      <c r="E4995">
        <v>0.69909716072230599</v>
      </c>
      <c r="F4995">
        <v>0.63197541129045398</v>
      </c>
      <c r="G4995">
        <v>0.50263851824459904</v>
      </c>
      <c r="H4995">
        <v>0.24540268152564501</v>
      </c>
      <c r="I4995">
        <v>6.3173297432313494E-2</v>
      </c>
      <c r="J4995">
        <v>4.8004780578105602E-2</v>
      </c>
      <c r="K4995">
        <v>3.1147951494195601E-2</v>
      </c>
      <c r="L4995">
        <v>613.14190697949903</v>
      </c>
      <c r="M4995">
        <v>11.8122041948129</v>
      </c>
      <c r="N4995">
        <v>51.907493019600899</v>
      </c>
      <c r="O4995">
        <v>50.486811810954698</v>
      </c>
      <c r="P4995">
        <v>-5.8506523120982E-2</v>
      </c>
      <c r="Q4995">
        <v>0</v>
      </c>
      <c r="R4995">
        <v>0.97268838215847298</v>
      </c>
      <c r="S4995" t="s">
        <v>11397</v>
      </c>
      <c r="T4995" t="s">
        <v>12802</v>
      </c>
      <c r="U4995" t="s">
        <v>12802</v>
      </c>
      <c r="V4995" t="s">
        <v>12802</v>
      </c>
      <c r="W4995" t="s">
        <v>17733</v>
      </c>
      <c r="X4995">
        <v>1</v>
      </c>
      <c r="Y4995" t="s">
        <v>23950</v>
      </c>
      <c r="Z4995" t="s">
        <v>30313</v>
      </c>
      <c r="AA4995">
        <v>0.52120031466574268</v>
      </c>
      <c r="AB4995" t="str">
        <f>HYPERLINK("Melting_Curves/meltCurve_Q96LT7_C9orf72.pdf", "Melting_Curves/meltCurve_Q96LT7_C9orf72.pdf")</f>
        <v>Melting_Curves/meltCurve_Q96LT7_C9orf72.pdf</v>
      </c>
    </row>
    <row r="4996" spans="1:28" x14ac:dyDescent="0.25">
      <c r="A4996" t="s">
        <v>5000</v>
      </c>
      <c r="B4996">
        <v>0.99542014353169495</v>
      </c>
      <c r="C4996">
        <v>0.81931241659730003</v>
      </c>
      <c r="D4996">
        <v>0.80054981466236697</v>
      </c>
      <c r="E4996">
        <v>0.77280808850756599</v>
      </c>
      <c r="F4996">
        <v>0.65656719815043496</v>
      </c>
      <c r="G4996">
        <v>0.36286339126231298</v>
      </c>
      <c r="H4996">
        <v>0.310870523360669</v>
      </c>
      <c r="I4996">
        <v>0.28733161970302301</v>
      </c>
      <c r="J4996">
        <v>0.31936064865861902</v>
      </c>
      <c r="K4996">
        <v>0.39309482437506699</v>
      </c>
      <c r="L4996">
        <v>494.88318102806301</v>
      </c>
      <c r="M4996">
        <v>10.229172169068301</v>
      </c>
      <c r="N4996">
        <v>52.028708798333597</v>
      </c>
      <c r="O4996">
        <v>46.639963911683601</v>
      </c>
      <c r="P4996">
        <v>-4.0812104306042402E-2</v>
      </c>
      <c r="Q4996">
        <v>0.25599985361689298</v>
      </c>
      <c r="R4996">
        <v>0.91713999808622204</v>
      </c>
      <c r="S4996" t="s">
        <v>11398</v>
      </c>
      <c r="T4996" t="s">
        <v>12802</v>
      </c>
      <c r="U4996" t="s">
        <v>12802</v>
      </c>
      <c r="V4996" t="s">
        <v>12802</v>
      </c>
      <c r="W4996" t="s">
        <v>17734</v>
      </c>
      <c r="X4996">
        <v>1</v>
      </c>
      <c r="Y4996" t="s">
        <v>23951</v>
      </c>
      <c r="Z4996" t="s">
        <v>30314</v>
      </c>
      <c r="AA4996">
        <v>0.56645098454545273</v>
      </c>
      <c r="AB4996" t="str">
        <f>HYPERLINK("Melting_Curves/meltCurve_Q96M20_2_CNBD2.pdf", "Melting_Curves/meltCurve_Q96M20_2_CNBD2.pdf")</f>
        <v>Melting_Curves/meltCurve_Q96M20_2_CNBD2.pdf</v>
      </c>
    </row>
    <row r="4997" spans="1:28" x14ac:dyDescent="0.25">
      <c r="A4997" t="s">
        <v>5001</v>
      </c>
      <c r="B4997">
        <v>0.99542014353169495</v>
      </c>
      <c r="C4997">
        <v>1.02604896306065</v>
      </c>
      <c r="D4997">
        <v>1.0428518353551399</v>
      </c>
      <c r="E4997">
        <v>0.84725658315708896</v>
      </c>
      <c r="F4997">
        <v>0.70255587732274005</v>
      </c>
      <c r="G4997">
        <v>0.50657779168125805</v>
      </c>
      <c r="H4997">
        <v>0.45172985188442699</v>
      </c>
      <c r="I4997">
        <v>0.35941835449937598</v>
      </c>
      <c r="J4997">
        <v>0.63472819679656101</v>
      </c>
      <c r="K4997">
        <v>0.66917170749558896</v>
      </c>
      <c r="L4997">
        <v>1384.44429995053</v>
      </c>
      <c r="M4997">
        <v>28.536137371128302</v>
      </c>
      <c r="O4997">
        <v>48.279101398308299</v>
      </c>
      <c r="P4997">
        <v>-7.0444620547598605E-2</v>
      </c>
      <c r="Q4997">
        <v>0.52327458301474095</v>
      </c>
      <c r="R4997">
        <v>0.86059098926254296</v>
      </c>
      <c r="S4997" t="s">
        <v>11399</v>
      </c>
      <c r="T4997" t="s">
        <v>12802</v>
      </c>
      <c r="U4997" t="s">
        <v>12802</v>
      </c>
      <c r="V4997" t="s">
        <v>12802</v>
      </c>
      <c r="W4997" t="s">
        <v>17735</v>
      </c>
      <c r="X4997">
        <v>6</v>
      </c>
      <c r="Y4997" t="s">
        <v>23952</v>
      </c>
      <c r="Z4997" t="s">
        <v>30315</v>
      </c>
      <c r="AA4997">
        <v>0.70941519290566313</v>
      </c>
      <c r="AB4997" t="str">
        <f>HYPERLINK("Melting_Curves/meltCurve_Q96M27_PRRC1.pdf", "Melting_Curves/meltCurve_Q96M27_PRRC1.pdf")</f>
        <v>Melting_Curves/meltCurve_Q96M27_PRRC1.pdf</v>
      </c>
    </row>
    <row r="4998" spans="1:28" x14ac:dyDescent="0.25">
      <c r="A4998" t="s">
        <v>5002</v>
      </c>
      <c r="B4998">
        <v>0.99542014353169495</v>
      </c>
      <c r="C4998">
        <v>1.0663945950410001</v>
      </c>
      <c r="D4998">
        <v>0.83230420653326598</v>
      </c>
      <c r="E4998">
        <v>0.72809828207854199</v>
      </c>
      <c r="F4998">
        <v>0.50312660900506401</v>
      </c>
      <c r="G4998">
        <v>0.207527517385203</v>
      </c>
      <c r="H4998">
        <v>0.19125506554733199</v>
      </c>
      <c r="I4998">
        <v>0.11815539339044701</v>
      </c>
      <c r="J4998">
        <v>0.119188793585844</v>
      </c>
      <c r="K4998">
        <v>0.103968103901876</v>
      </c>
      <c r="L4998">
        <v>772.51857993871897</v>
      </c>
      <c r="M4998">
        <v>15.7624458959425</v>
      </c>
      <c r="N4998">
        <v>49.613304973653598</v>
      </c>
      <c r="O4998">
        <v>48.241570265918902</v>
      </c>
      <c r="P4998">
        <v>-7.4568060753780294E-2</v>
      </c>
      <c r="Q4998">
        <v>8.7202283921596901E-2</v>
      </c>
      <c r="R4998">
        <v>0.98499847263054396</v>
      </c>
      <c r="S4998" t="s">
        <v>11400</v>
      </c>
      <c r="T4998" t="s">
        <v>12802</v>
      </c>
      <c r="U4998" t="s">
        <v>12802</v>
      </c>
      <c r="V4998" t="s">
        <v>12802</v>
      </c>
      <c r="W4998" t="s">
        <v>17736</v>
      </c>
      <c r="X4998">
        <v>1</v>
      </c>
      <c r="Y4998" t="s">
        <v>23953</v>
      </c>
      <c r="Z4998" t="s">
        <v>30316</v>
      </c>
      <c r="AA4998">
        <v>0.47076807824719208</v>
      </c>
      <c r="AB4998" t="str">
        <f>HYPERLINK("Melting_Curves/meltCurve_Q96MB7_HARBI1.pdf", "Melting_Curves/meltCurve_Q96MB7_HARBI1.pdf")</f>
        <v>Melting_Curves/meltCurve_Q96MB7_HARBI1.pdf</v>
      </c>
    </row>
    <row r="4999" spans="1:28" x14ac:dyDescent="0.25">
      <c r="A4999" t="s">
        <v>5003</v>
      </c>
      <c r="B4999">
        <v>0.99542014353169495</v>
      </c>
      <c r="C4999">
        <v>0.83835332575814403</v>
      </c>
      <c r="D4999">
        <v>0.91831823061760598</v>
      </c>
      <c r="E4999">
        <v>1.12869500926405</v>
      </c>
      <c r="F4999">
        <v>0.87710775111101602</v>
      </c>
      <c r="G4999">
        <v>0.50754883546460805</v>
      </c>
      <c r="H4999">
        <v>0.35900745237137899</v>
      </c>
      <c r="I4999">
        <v>0.50627227548852505</v>
      </c>
      <c r="J4999">
        <v>0.33724753256189499</v>
      </c>
      <c r="K4999">
        <v>0.54803908193696804</v>
      </c>
      <c r="L4999">
        <v>2712.3413942974998</v>
      </c>
      <c r="M4999">
        <v>52.6700979406789</v>
      </c>
      <c r="N4999">
        <v>53.656973136036399</v>
      </c>
      <c r="O4999">
        <v>51.422708331608199</v>
      </c>
      <c r="P4999">
        <v>-0.14339333693433801</v>
      </c>
      <c r="Q4999">
        <v>0.44001085367102599</v>
      </c>
      <c r="R4999">
        <v>0.88274272486666405</v>
      </c>
      <c r="S4999" t="s">
        <v>11401</v>
      </c>
      <c r="T4999" t="s">
        <v>12802</v>
      </c>
      <c r="U4999" t="s">
        <v>12802</v>
      </c>
      <c r="V4999" t="s">
        <v>12802</v>
      </c>
      <c r="W4999" t="s">
        <v>17737</v>
      </c>
      <c r="X4999">
        <v>1</v>
      </c>
      <c r="Y4999" t="s">
        <v>23954</v>
      </c>
      <c r="Z4999" t="s">
        <v>30317</v>
      </c>
      <c r="AA4999">
        <v>0.71175804017975797</v>
      </c>
      <c r="AB4999" t="str">
        <f>HYPERLINK("Melting_Curves/meltCurve_Q96MC6_HIAT1.pdf", "Melting_Curves/meltCurve_Q96MC6_HIAT1.pdf")</f>
        <v>Melting_Curves/meltCurve_Q96MC6_HIAT1.pdf</v>
      </c>
    </row>
    <row r="5000" spans="1:28" x14ac:dyDescent="0.25">
      <c r="A5000" t="s">
        <v>5004</v>
      </c>
      <c r="B5000">
        <v>0.99542014353169495</v>
      </c>
      <c r="C5000">
        <v>0.98514338126230105</v>
      </c>
      <c r="D5000">
        <v>0.87607869416504403</v>
      </c>
      <c r="E5000">
        <v>0.81782741235152101</v>
      </c>
      <c r="F5000">
        <v>0.64125701173024496</v>
      </c>
      <c r="G5000">
        <v>0.36790326188859201</v>
      </c>
      <c r="H5000">
        <v>0.102071528029921</v>
      </c>
      <c r="I5000">
        <v>6.0344955566698097E-2</v>
      </c>
      <c r="J5000">
        <v>4.73488190014629E-2</v>
      </c>
      <c r="K5000">
        <v>5.6202031504379697E-2</v>
      </c>
      <c r="L5000">
        <v>804.06885934383195</v>
      </c>
      <c r="M5000">
        <v>15.6091443447578</v>
      </c>
      <c r="N5000">
        <v>51.512680148805799</v>
      </c>
      <c r="O5000">
        <v>50.6894143455619</v>
      </c>
      <c r="P5000">
        <v>-7.69908930741212E-2</v>
      </c>
      <c r="Q5000">
        <v>0</v>
      </c>
      <c r="R5000">
        <v>0.99009642803520703</v>
      </c>
      <c r="S5000" t="s">
        <v>11402</v>
      </c>
      <c r="T5000" t="s">
        <v>12802</v>
      </c>
      <c r="U5000" t="s">
        <v>12802</v>
      </c>
      <c r="V5000" t="s">
        <v>12802</v>
      </c>
      <c r="W5000" t="s">
        <v>17738</v>
      </c>
      <c r="X5000">
        <v>9</v>
      </c>
      <c r="Y5000" t="s">
        <v>23955</v>
      </c>
      <c r="Z5000" t="s">
        <v>30318</v>
      </c>
      <c r="AA5000">
        <v>0.50244694288511638</v>
      </c>
      <c r="AB5000" t="str">
        <f>HYPERLINK("Melting_Curves/meltCurve_Q96ME1_4_FBXL18.pdf", "Melting_Curves/meltCurve_Q96ME1_4_FBXL18.pdf")</f>
        <v>Melting_Curves/meltCurve_Q96ME1_4_FBXL18.pdf</v>
      </c>
    </row>
    <row r="5001" spans="1:28" x14ac:dyDescent="0.25">
      <c r="A5001" t="s">
        <v>5005</v>
      </c>
      <c r="B5001">
        <v>0.99542014353169495</v>
      </c>
      <c r="C5001">
        <v>0.94888543241864898</v>
      </c>
      <c r="D5001">
        <v>1.0307625150647599</v>
      </c>
      <c r="E5001">
        <v>0.69914064633198303</v>
      </c>
      <c r="F5001">
        <v>0.52173647792532496</v>
      </c>
      <c r="G5001">
        <v>0.207906770460458</v>
      </c>
      <c r="H5001">
        <v>0.17668841724370599</v>
      </c>
      <c r="I5001">
        <v>0.13544282385606099</v>
      </c>
      <c r="J5001">
        <v>0.120167274701316</v>
      </c>
      <c r="K5001">
        <v>0.13007606647428599</v>
      </c>
      <c r="L5001">
        <v>947.61463948035998</v>
      </c>
      <c r="M5001">
        <v>19.309567106676599</v>
      </c>
      <c r="N5001">
        <v>49.750614559518702</v>
      </c>
      <c r="O5001">
        <v>48.557629437403698</v>
      </c>
      <c r="P5001">
        <v>-8.7951234688539201E-2</v>
      </c>
      <c r="Q5001">
        <v>0.11535172043189799</v>
      </c>
      <c r="R5001">
        <v>0.98611673832514202</v>
      </c>
      <c r="S5001" t="s">
        <v>11403</v>
      </c>
      <c r="T5001" t="s">
        <v>12802</v>
      </c>
      <c r="U5001" t="s">
        <v>12802</v>
      </c>
      <c r="V5001" t="s">
        <v>12802</v>
      </c>
      <c r="W5001" t="s">
        <v>17739</v>
      </c>
      <c r="X5001">
        <v>6</v>
      </c>
      <c r="Y5001" t="s">
        <v>23956</v>
      </c>
      <c r="Z5001" t="s">
        <v>30319</v>
      </c>
      <c r="AA5001">
        <v>0.48383853643392599</v>
      </c>
      <c r="AB5001" t="str">
        <f>HYPERLINK("Melting_Curves/meltCurve_Q96MG7_NDNL2.pdf", "Melting_Curves/meltCurve_Q96MG7_NDNL2.pdf")</f>
        <v>Melting_Curves/meltCurve_Q96MG7_NDNL2.pdf</v>
      </c>
    </row>
    <row r="5002" spans="1:28" x14ac:dyDescent="0.25">
      <c r="A5002" t="s">
        <v>5006</v>
      </c>
      <c r="B5002">
        <v>0.99542014353169495</v>
      </c>
      <c r="C5002">
        <v>0.94925622258952003</v>
      </c>
      <c r="D5002">
        <v>0.89937335900178805</v>
      </c>
      <c r="E5002">
        <v>0.82354251448542903</v>
      </c>
      <c r="F5002">
        <v>0.77717194482097596</v>
      </c>
      <c r="G5002">
        <v>0.55007998955976101</v>
      </c>
      <c r="H5002">
        <v>0.48354062629384698</v>
      </c>
      <c r="I5002">
        <v>0.40249791781729</v>
      </c>
      <c r="J5002">
        <v>0.62229118438126896</v>
      </c>
      <c r="K5002">
        <v>0.69677683488747799</v>
      </c>
      <c r="L5002">
        <v>819.85770309028896</v>
      </c>
      <c r="M5002">
        <v>17.093057210582199</v>
      </c>
      <c r="O5002">
        <v>47.322316614378003</v>
      </c>
      <c r="P5002">
        <v>-4.1314071381033199E-2</v>
      </c>
      <c r="Q5002">
        <v>0.54251388203776596</v>
      </c>
      <c r="R5002">
        <v>0.80394308555110805</v>
      </c>
      <c r="S5002" t="s">
        <v>11404</v>
      </c>
      <c r="T5002" t="s">
        <v>12802</v>
      </c>
      <c r="U5002" t="s">
        <v>12802</v>
      </c>
      <c r="V5002" t="s">
        <v>12802</v>
      </c>
      <c r="W5002" t="s">
        <v>17740</v>
      </c>
      <c r="X5002">
        <v>2</v>
      </c>
      <c r="Y5002" t="s">
        <v>23957</v>
      </c>
      <c r="Z5002" t="s">
        <v>30320</v>
      </c>
      <c r="AA5002">
        <v>0.71774729621137212</v>
      </c>
      <c r="AB5002" t="str">
        <f>HYPERLINK("Melting_Curves/meltCurve_Q96MH2_HEXIM2.pdf", "Melting_Curves/meltCurve_Q96MH2_HEXIM2.pdf")</f>
        <v>Melting_Curves/meltCurve_Q96MH2_HEXIM2.pdf</v>
      </c>
    </row>
    <row r="5003" spans="1:28" x14ac:dyDescent="0.25">
      <c r="A5003" t="s">
        <v>5007</v>
      </c>
      <c r="B5003">
        <v>0.99542014353169495</v>
      </c>
      <c r="C5003">
        <v>0.97212565730353695</v>
      </c>
      <c r="D5003">
        <v>0.96620096388812704</v>
      </c>
      <c r="E5003">
        <v>0.79553271651861801</v>
      </c>
      <c r="F5003">
        <v>0.66109066617145895</v>
      </c>
      <c r="G5003">
        <v>0.44723685881372999</v>
      </c>
      <c r="H5003">
        <v>0.283605492105588</v>
      </c>
      <c r="I5003">
        <v>0.134056820140007</v>
      </c>
      <c r="J5003">
        <v>7.1463121696461102E-2</v>
      </c>
      <c r="K5003">
        <v>7.5318834311995805E-2</v>
      </c>
      <c r="L5003">
        <v>654.21169773030101</v>
      </c>
      <c r="M5003">
        <v>12.416617142232701</v>
      </c>
      <c r="N5003">
        <v>52.688407442104598</v>
      </c>
      <c r="O5003">
        <v>51.377716509564998</v>
      </c>
      <c r="P5003">
        <v>-6.04310596833844E-2</v>
      </c>
      <c r="Q5003">
        <v>0</v>
      </c>
      <c r="R5003">
        <v>0.99690449539271397</v>
      </c>
      <c r="S5003" t="s">
        <v>11405</v>
      </c>
      <c r="T5003" t="s">
        <v>12802</v>
      </c>
      <c r="U5003" t="s">
        <v>12802</v>
      </c>
      <c r="V5003" t="s">
        <v>12802</v>
      </c>
      <c r="W5003" t="s">
        <v>17741</v>
      </c>
      <c r="X5003">
        <v>3</v>
      </c>
      <c r="Y5003" t="s">
        <v>23958</v>
      </c>
      <c r="Z5003" t="s">
        <v>30321</v>
      </c>
      <c r="AA5003">
        <v>0.5444296789688825</v>
      </c>
      <c r="AB5003" t="str">
        <f>HYPERLINK("Melting_Curves/meltCurve_Q96MH6_2_TMEM68.pdf", "Melting_Curves/meltCurve_Q96MH6_2_TMEM68.pdf")</f>
        <v>Melting_Curves/meltCurve_Q96MH6_2_TMEM68.pdf</v>
      </c>
    </row>
    <row r="5004" spans="1:28" x14ac:dyDescent="0.25">
      <c r="A5004" t="s">
        <v>5008</v>
      </c>
      <c r="B5004">
        <v>0.99542014353169495</v>
      </c>
      <c r="C5004">
        <v>0.97981619538757303</v>
      </c>
      <c r="D5004">
        <v>0.90645647897908099</v>
      </c>
      <c r="E5004">
        <v>0.71542969286064295</v>
      </c>
      <c r="F5004">
        <v>0.43654223695945299</v>
      </c>
      <c r="G5004">
        <v>0.20358214673963801</v>
      </c>
      <c r="H5004">
        <v>0.10679780527380101</v>
      </c>
      <c r="I5004">
        <v>5.2589535620004201E-2</v>
      </c>
      <c r="J5004">
        <v>4.9109331112674702E-2</v>
      </c>
      <c r="K5004">
        <v>3.9251786459610603E-2</v>
      </c>
      <c r="L5004">
        <v>805.80982430908603</v>
      </c>
      <c r="M5004">
        <v>16.398599100635</v>
      </c>
      <c r="N5004">
        <v>49.276048904790002</v>
      </c>
      <c r="O5004">
        <v>48.425658745092399</v>
      </c>
      <c r="P5004">
        <v>-8.2776562252556002E-2</v>
      </c>
      <c r="Q5004">
        <v>2.23012778041147E-2</v>
      </c>
      <c r="R5004">
        <v>0.99976564005868196</v>
      </c>
      <c r="S5004" t="s">
        <v>11406</v>
      </c>
      <c r="T5004" t="s">
        <v>12802</v>
      </c>
      <c r="U5004" t="s">
        <v>12802</v>
      </c>
      <c r="V5004" t="s">
        <v>12802</v>
      </c>
      <c r="W5004" t="s">
        <v>17742</v>
      </c>
      <c r="X5004">
        <v>3</v>
      </c>
      <c r="Y5004" t="s">
        <v>23959</v>
      </c>
      <c r="Z5004" t="s">
        <v>30322</v>
      </c>
      <c r="AA5004">
        <v>0.43608234535339779</v>
      </c>
      <c r="AB5004" t="str">
        <f>HYPERLINK("Melting_Curves/meltCurve_Q96MX6_WDR92.pdf", "Melting_Curves/meltCurve_Q96MX6_WDR92.pdf")</f>
        <v>Melting_Curves/meltCurve_Q96MX6_WDR92.pdf</v>
      </c>
    </row>
    <row r="5005" spans="1:28" x14ac:dyDescent="0.25">
      <c r="A5005" t="s">
        <v>5009</v>
      </c>
      <c r="B5005">
        <v>0.99542014353169495</v>
      </c>
      <c r="C5005">
        <v>0.786082766608864</v>
      </c>
      <c r="D5005">
        <v>0.94094184178459594</v>
      </c>
      <c r="E5005">
        <v>0.82722384405758498</v>
      </c>
      <c r="F5005">
        <v>0.51918219619310502</v>
      </c>
      <c r="G5005">
        <v>0.18779634579311599</v>
      </c>
      <c r="H5005">
        <v>8.8973275077614197E-2</v>
      </c>
      <c r="I5005">
        <v>5.1273425242007301E-2</v>
      </c>
      <c r="J5005">
        <v>9.2418727818214003E-2</v>
      </c>
      <c r="K5005">
        <v>0.13152415193719399</v>
      </c>
      <c r="L5005">
        <v>1121.2426277818499</v>
      </c>
      <c r="M5005">
        <v>22.544022503307499</v>
      </c>
      <c r="N5005">
        <v>50.084040208324197</v>
      </c>
      <c r="O5005">
        <v>49.349314185337597</v>
      </c>
      <c r="P5005">
        <v>-0.10592104004467</v>
      </c>
      <c r="Q5005">
        <v>7.2565749502905993E-2</v>
      </c>
      <c r="R5005">
        <v>0.96211607093953</v>
      </c>
      <c r="S5005" t="s">
        <v>11407</v>
      </c>
      <c r="T5005" t="s">
        <v>12802</v>
      </c>
      <c r="U5005" t="s">
        <v>12802</v>
      </c>
      <c r="V5005" t="s">
        <v>12802</v>
      </c>
      <c r="W5005" t="s">
        <v>17743</v>
      </c>
      <c r="X5005">
        <v>1</v>
      </c>
      <c r="Y5005" t="s">
        <v>23960</v>
      </c>
      <c r="Z5005" t="s">
        <v>30323</v>
      </c>
      <c r="AA5005">
        <v>0.476114608641865</v>
      </c>
      <c r="AB5005" t="str">
        <f>HYPERLINK("Melting_Curves/meltCurve_Q96N11_2_C7orf26.pdf", "Melting_Curves/meltCurve_Q96N11_2_C7orf26.pdf")</f>
        <v>Melting_Curves/meltCurve_Q96N11_2_C7orf26.pdf</v>
      </c>
    </row>
    <row r="5006" spans="1:28" x14ac:dyDescent="0.25">
      <c r="A5006" t="s">
        <v>5010</v>
      </c>
      <c r="B5006">
        <v>0.99542014353169495</v>
      </c>
      <c r="C5006">
        <v>1.02827633688591</v>
      </c>
      <c r="D5006">
        <v>0.71029693385806902</v>
      </c>
      <c r="E5006">
        <v>0.33359768269500401</v>
      </c>
      <c r="F5006">
        <v>9.0901885642827501E-2</v>
      </c>
      <c r="G5006">
        <v>3.9899564763636902E-2</v>
      </c>
      <c r="H5006">
        <v>9.7830555738811303E-2</v>
      </c>
      <c r="I5006">
        <v>3.0273178693178401E-2</v>
      </c>
      <c r="J5006">
        <v>0</v>
      </c>
      <c r="K5006">
        <v>0</v>
      </c>
      <c r="L5006">
        <v>1068.53462996503</v>
      </c>
      <c r="M5006">
        <v>23.804477384363398</v>
      </c>
      <c r="N5006">
        <v>44.996929005355497</v>
      </c>
      <c r="O5006">
        <v>44.5747824177392</v>
      </c>
      <c r="P5006">
        <v>-0.12977246858907801</v>
      </c>
      <c r="Q5006">
        <v>2.8000485303472201E-2</v>
      </c>
      <c r="R5006">
        <v>0.99153713427471901</v>
      </c>
      <c r="S5006" t="s">
        <v>11408</v>
      </c>
      <c r="T5006" t="s">
        <v>12802</v>
      </c>
      <c r="U5006" t="s">
        <v>12802</v>
      </c>
      <c r="V5006" t="s">
        <v>12802</v>
      </c>
      <c r="W5006" t="s">
        <v>17744</v>
      </c>
      <c r="X5006">
        <v>1</v>
      </c>
      <c r="Y5006" t="s">
        <v>23961</v>
      </c>
      <c r="Z5006" t="s">
        <v>30324</v>
      </c>
      <c r="AA5006">
        <v>0.29241428558629351</v>
      </c>
      <c r="AB5006" t="str">
        <f>HYPERLINK("Melting_Curves/meltCurve_Q96N21_2_ENTHD2.pdf", "Melting_Curves/meltCurve_Q96N21_2_ENTHD2.pdf")</f>
        <v>Melting_Curves/meltCurve_Q96N21_2_ENTHD2.pdf</v>
      </c>
    </row>
    <row r="5007" spans="1:28" x14ac:dyDescent="0.25">
      <c r="A5007" t="s">
        <v>5011</v>
      </c>
      <c r="B5007">
        <v>0.99542014353169495</v>
      </c>
      <c r="C5007">
        <v>0.96827963597306499</v>
      </c>
      <c r="D5007">
        <v>0.86360811289254202</v>
      </c>
      <c r="E5007">
        <v>0.77890139969560801</v>
      </c>
      <c r="F5007">
        <v>0.48466920122224399</v>
      </c>
      <c r="G5007">
        <v>9.2074800450535094E-2</v>
      </c>
      <c r="H5007">
        <v>6.5965985013894904E-2</v>
      </c>
      <c r="I5007">
        <v>4.0630635655074902E-2</v>
      </c>
      <c r="J5007">
        <v>4.9263931814319102E-2</v>
      </c>
      <c r="K5007">
        <v>1.8819854177483001E-2</v>
      </c>
      <c r="L5007">
        <v>990.98062086229402</v>
      </c>
      <c r="M5007">
        <v>20.055055251204401</v>
      </c>
      <c r="N5007">
        <v>49.466832172376897</v>
      </c>
      <c r="O5007">
        <v>48.929581269270003</v>
      </c>
      <c r="P5007">
        <v>-0.10136593966490499</v>
      </c>
      <c r="Q5007">
        <v>1.07963919675403E-2</v>
      </c>
      <c r="R5007">
        <v>0.98835928859039601</v>
      </c>
      <c r="S5007" t="s">
        <v>11409</v>
      </c>
      <c r="T5007" t="s">
        <v>12802</v>
      </c>
      <c r="U5007" t="s">
        <v>12802</v>
      </c>
      <c r="V5007" t="s">
        <v>12802</v>
      </c>
      <c r="W5007" t="s">
        <v>17745</v>
      </c>
      <c r="X5007">
        <v>3</v>
      </c>
      <c r="Y5007" t="s">
        <v>23962</v>
      </c>
      <c r="Z5007" t="s">
        <v>30325</v>
      </c>
      <c r="AA5007">
        <v>0.43306871450727003</v>
      </c>
      <c r="AB5007" t="str">
        <f>HYPERLINK("Melting_Curves/meltCurve_Q96N46_TTC14.pdf", "Melting_Curves/meltCurve_Q96N46_TTC14.pdf")</f>
        <v>Melting_Curves/meltCurve_Q96N46_TTC14.pdf</v>
      </c>
    </row>
    <row r="5008" spans="1:28" x14ac:dyDescent="0.25">
      <c r="A5008" t="s">
        <v>5012</v>
      </c>
      <c r="B5008">
        <v>0.99542014353169495</v>
      </c>
      <c r="C5008">
        <v>0.85258029530799195</v>
      </c>
      <c r="D5008">
        <v>1.0453024133801601</v>
      </c>
      <c r="E5008">
        <v>0.72654019394879199</v>
      </c>
      <c r="F5008">
        <v>0.711161770883462</v>
      </c>
      <c r="G5008">
        <v>0.36972302046018302</v>
      </c>
      <c r="H5008">
        <v>0.34760568381516799</v>
      </c>
      <c r="I5008">
        <v>0.22209692180943399</v>
      </c>
      <c r="J5008">
        <v>0.15526533794567901</v>
      </c>
      <c r="K5008">
        <v>9.1704041583654403E-2</v>
      </c>
      <c r="L5008">
        <v>560.94768003351396</v>
      </c>
      <c r="M5008">
        <v>10.653213925794599</v>
      </c>
      <c r="N5008">
        <v>52.872720482471102</v>
      </c>
      <c r="O5008">
        <v>50.9015474274157</v>
      </c>
      <c r="P5008">
        <v>-5.1220622828674699E-2</v>
      </c>
      <c r="Q5008">
        <v>2.1435435194659899E-2</v>
      </c>
      <c r="R5008">
        <v>0.95518365097945701</v>
      </c>
      <c r="S5008" t="s">
        <v>11410</v>
      </c>
      <c r="T5008" t="s">
        <v>12802</v>
      </c>
      <c r="U5008" t="s">
        <v>12802</v>
      </c>
      <c r="V5008" t="s">
        <v>12802</v>
      </c>
      <c r="W5008" t="s">
        <v>17746</v>
      </c>
      <c r="X5008">
        <v>6</v>
      </c>
      <c r="Y5008" t="s">
        <v>23963</v>
      </c>
      <c r="Z5008" t="s">
        <v>30326</v>
      </c>
      <c r="AA5008">
        <v>0.55501315114092309</v>
      </c>
      <c r="AB5008" t="str">
        <f>HYPERLINK("Melting_Curves/meltCurve_Q96N66_2_MBOAT7.pdf", "Melting_Curves/meltCurve_Q96N66_2_MBOAT7.pdf")</f>
        <v>Melting_Curves/meltCurve_Q96N66_2_MBOAT7.pdf</v>
      </c>
    </row>
    <row r="5009" spans="1:28" x14ac:dyDescent="0.25">
      <c r="A5009" t="s">
        <v>5013</v>
      </c>
      <c r="B5009">
        <v>0.99542014353169495</v>
      </c>
      <c r="C5009">
        <v>0.82492859484515102</v>
      </c>
      <c r="D5009">
        <v>0.85498885924200596</v>
      </c>
      <c r="E5009">
        <v>0.42802576045641499</v>
      </c>
      <c r="F5009">
        <v>0.262234306915756</v>
      </c>
      <c r="G5009">
        <v>0.11049235517096</v>
      </c>
      <c r="H5009">
        <v>0.105600719538006</v>
      </c>
      <c r="I5009">
        <v>7.4261742269445694E-2</v>
      </c>
      <c r="J5009">
        <v>0.13229658414603401</v>
      </c>
      <c r="K5009">
        <v>8.6266798839380404E-2</v>
      </c>
      <c r="L5009">
        <v>826.68662276153498</v>
      </c>
      <c r="M5009">
        <v>18.0856109573838</v>
      </c>
      <c r="N5009">
        <v>46.186068913244597</v>
      </c>
      <c r="O5009">
        <v>45.161775266943003</v>
      </c>
      <c r="P5009">
        <v>-9.1600567421553494E-2</v>
      </c>
      <c r="Q5009">
        <v>8.5097174271253906E-2</v>
      </c>
      <c r="R5009">
        <v>0.98007615192285702</v>
      </c>
      <c r="S5009" t="s">
        <v>11411</v>
      </c>
      <c r="T5009" t="s">
        <v>12802</v>
      </c>
      <c r="U5009" t="s">
        <v>12802</v>
      </c>
      <c r="V5009" t="s">
        <v>12802</v>
      </c>
      <c r="W5009" t="s">
        <v>17747</v>
      </c>
      <c r="X5009">
        <v>7</v>
      </c>
      <c r="Y5009" t="s">
        <v>23964</v>
      </c>
      <c r="Z5009" t="s">
        <v>30327</v>
      </c>
      <c r="AA5009">
        <v>0.36540351094245338</v>
      </c>
      <c r="AB5009" t="str">
        <f>HYPERLINK("Melting_Curves/meltCurve_Q96N67_4_DOCK7.pdf", "Melting_Curves/meltCurve_Q96N67_4_DOCK7.pdf")</f>
        <v>Melting_Curves/meltCurve_Q96N67_4_DOCK7.pdf</v>
      </c>
    </row>
    <row r="5010" spans="1:28" x14ac:dyDescent="0.25">
      <c r="A5010" t="s">
        <v>5014</v>
      </c>
      <c r="B5010">
        <v>0.99542014353169495</v>
      </c>
      <c r="C5010">
        <v>1.1117714914879999</v>
      </c>
      <c r="D5010">
        <v>0.97873348076561995</v>
      </c>
      <c r="E5010">
        <v>0.86728100109414497</v>
      </c>
      <c r="F5010">
        <v>0.64940250320325299</v>
      </c>
      <c r="G5010">
        <v>0.26909905756956398</v>
      </c>
      <c r="H5010">
        <v>0.104020943853862</v>
      </c>
      <c r="I5010">
        <v>6.45919516969687E-2</v>
      </c>
      <c r="J5010">
        <v>4.8123017438645298E-2</v>
      </c>
      <c r="K5010">
        <v>4.5740807735544599E-2</v>
      </c>
      <c r="L5010">
        <v>1141.0321386514299</v>
      </c>
      <c r="M5010">
        <v>22.2810387313475</v>
      </c>
      <c r="N5010">
        <v>51.376556059025198</v>
      </c>
      <c r="O5010">
        <v>50.803739247422001</v>
      </c>
      <c r="P5010">
        <v>-0.10584472422384</v>
      </c>
      <c r="Q5010">
        <v>3.4660148434053503E-2</v>
      </c>
      <c r="R5010">
        <v>0.99157714925770801</v>
      </c>
      <c r="S5010" t="s">
        <v>11412</v>
      </c>
      <c r="T5010" t="s">
        <v>12802</v>
      </c>
      <c r="U5010" t="s">
        <v>12802</v>
      </c>
      <c r="V5010" t="s">
        <v>12802</v>
      </c>
      <c r="W5010" t="s">
        <v>17748</v>
      </c>
      <c r="X5010">
        <v>7</v>
      </c>
      <c r="Y5010" t="s">
        <v>23965</v>
      </c>
      <c r="Z5010" t="s">
        <v>30328</v>
      </c>
      <c r="AA5010">
        <v>0.5024330211772019</v>
      </c>
      <c r="AB5010" t="str">
        <f>HYPERLINK("Melting_Curves/meltCurve_Q96NA2_RILP.pdf", "Melting_Curves/meltCurve_Q96NA2_RILP.pdf")</f>
        <v>Melting_Curves/meltCurve_Q96NA2_RILP.pdf</v>
      </c>
    </row>
    <row r="5011" spans="1:28" x14ac:dyDescent="0.25">
      <c r="A5011" t="s">
        <v>5015</v>
      </c>
      <c r="B5011">
        <v>0.99542014353169495</v>
      </c>
      <c r="C5011">
        <v>1.21077840376811</v>
      </c>
      <c r="D5011">
        <v>0.99769018170886303</v>
      </c>
      <c r="E5011">
        <v>0.91472834875082898</v>
      </c>
      <c r="F5011">
        <v>0.46502132734992102</v>
      </c>
      <c r="G5011">
        <v>5.9185944240092103E-2</v>
      </c>
      <c r="H5011">
        <v>2.2627518984850201E-2</v>
      </c>
      <c r="I5011">
        <v>0</v>
      </c>
      <c r="J5011">
        <v>9.5755897132542706E-3</v>
      </c>
      <c r="K5011">
        <v>1.2707216585049599E-2</v>
      </c>
      <c r="L5011">
        <v>1788.69952867145</v>
      </c>
      <c r="M5011">
        <v>35.815401073453103</v>
      </c>
      <c r="N5011">
        <v>49.9569944202904</v>
      </c>
      <c r="O5011">
        <v>49.787253297313399</v>
      </c>
      <c r="P5011">
        <v>-0.17889351580891999</v>
      </c>
      <c r="Q5011">
        <v>5.2783222795124898E-3</v>
      </c>
      <c r="R5011">
        <v>0.98043313431390799</v>
      </c>
      <c r="S5011" t="s">
        <v>11413</v>
      </c>
      <c r="T5011" t="s">
        <v>12802</v>
      </c>
      <c r="U5011" t="s">
        <v>12802</v>
      </c>
      <c r="V5011" t="s">
        <v>12802</v>
      </c>
      <c r="W5011" t="s">
        <v>17749</v>
      </c>
      <c r="X5011">
        <v>2</v>
      </c>
      <c r="Y5011" t="s">
        <v>23966</v>
      </c>
      <c r="Z5011" t="s">
        <v>30329</v>
      </c>
      <c r="AA5011">
        <v>0.43869167032941692</v>
      </c>
      <c r="AB5011" t="str">
        <f>HYPERLINK("Melting_Curves/meltCurve_Q96NB1_FOPNL.pdf", "Melting_Curves/meltCurve_Q96NB1_FOPNL.pdf")</f>
        <v>Melting_Curves/meltCurve_Q96NB1_FOPNL.pdf</v>
      </c>
    </row>
    <row r="5012" spans="1:28" x14ac:dyDescent="0.25">
      <c r="A5012" t="s">
        <v>5016</v>
      </c>
      <c r="B5012">
        <v>0.99542014353169495</v>
      </c>
      <c r="C5012">
        <v>0.93307843320541795</v>
      </c>
      <c r="D5012">
        <v>0.89546230049226805</v>
      </c>
      <c r="E5012">
        <v>0.79551507496410501</v>
      </c>
      <c r="F5012">
        <v>0.71816880692316398</v>
      </c>
      <c r="G5012">
        <v>0.34386771148911899</v>
      </c>
      <c r="H5012">
        <v>9.3877990054570204E-2</v>
      </c>
      <c r="I5012">
        <v>4.4527859891378002E-2</v>
      </c>
      <c r="J5012">
        <v>3.67763924459397E-2</v>
      </c>
      <c r="K5012">
        <v>1.51952596201331E-2</v>
      </c>
      <c r="L5012">
        <v>911.97191694492994</v>
      </c>
      <c r="M5012">
        <v>17.609987829156001</v>
      </c>
      <c r="N5012">
        <v>51.787176287907201</v>
      </c>
      <c r="O5012">
        <v>51.133231497518999</v>
      </c>
      <c r="P5012">
        <v>-8.6103181614336999E-2</v>
      </c>
      <c r="Q5012">
        <v>0</v>
      </c>
      <c r="R5012">
        <v>0.98275617989711495</v>
      </c>
      <c r="S5012" t="s">
        <v>11414</v>
      </c>
      <c r="T5012" t="s">
        <v>12802</v>
      </c>
      <c r="U5012" t="s">
        <v>12802</v>
      </c>
      <c r="V5012" t="s">
        <v>12802</v>
      </c>
      <c r="W5012" t="s">
        <v>17750</v>
      </c>
      <c r="X5012">
        <v>1</v>
      </c>
      <c r="Y5012" t="s">
        <v>23967</v>
      </c>
      <c r="Z5012" t="s">
        <v>30330</v>
      </c>
      <c r="AA5012">
        <v>0.50861125663572915</v>
      </c>
      <c r="AB5012" t="str">
        <f>HYPERLINK("Melting_Curves/meltCurve_Q96NB2_SFXN2.pdf", "Melting_Curves/meltCurve_Q96NB2_SFXN2.pdf")</f>
        <v>Melting_Curves/meltCurve_Q96NB2_SFXN2.pdf</v>
      </c>
    </row>
    <row r="5013" spans="1:28" x14ac:dyDescent="0.25">
      <c r="A5013" t="s">
        <v>5017</v>
      </c>
      <c r="B5013">
        <v>0.99542014353169495</v>
      </c>
      <c r="C5013">
        <v>0.93825941621596998</v>
      </c>
      <c r="D5013">
        <v>0.93023071839916005</v>
      </c>
      <c r="E5013">
        <v>0.97112351808772401</v>
      </c>
      <c r="F5013">
        <v>0.84522216439162401</v>
      </c>
      <c r="G5013">
        <v>0.70907177507387698</v>
      </c>
      <c r="H5013">
        <v>0.596976927948625</v>
      </c>
      <c r="I5013">
        <v>0.56118526698917703</v>
      </c>
      <c r="J5013">
        <v>0.91064791033529002</v>
      </c>
      <c r="K5013">
        <v>1.0758187905711001</v>
      </c>
      <c r="L5013">
        <v>2663.7417076558199</v>
      </c>
      <c r="M5013">
        <v>53.963326103557399</v>
      </c>
      <c r="O5013">
        <v>49.294441556378999</v>
      </c>
      <c r="P5013">
        <v>-6.2587376269530301E-2</v>
      </c>
      <c r="Q5013">
        <v>0.77131085055218995</v>
      </c>
      <c r="R5013">
        <v>0.26417341735164401</v>
      </c>
      <c r="S5013" t="s">
        <v>11415</v>
      </c>
      <c r="T5013" t="s">
        <v>12802</v>
      </c>
      <c r="U5013" t="s">
        <v>12802</v>
      </c>
      <c r="V5013" t="s">
        <v>12802</v>
      </c>
      <c r="W5013" t="s">
        <v>17751</v>
      </c>
      <c r="X5013">
        <v>10</v>
      </c>
      <c r="Y5013" t="s">
        <v>23968</v>
      </c>
      <c r="Z5013" t="s">
        <v>30331</v>
      </c>
      <c r="AA5013">
        <v>0.86597372932080297</v>
      </c>
      <c r="AB5013" t="str">
        <f>HYPERLINK("Melting_Curves/meltCurve_Q96NB3_ZNF830.pdf", "Melting_Curves/meltCurve_Q96NB3_ZNF830.pdf")</f>
        <v>Melting_Curves/meltCurve_Q96NB3_ZNF830.pdf</v>
      </c>
    </row>
    <row r="5014" spans="1:28" x14ac:dyDescent="0.25">
      <c r="A5014" t="s">
        <v>5018</v>
      </c>
      <c r="B5014">
        <v>0.99542014353169495</v>
      </c>
      <c r="C5014">
        <v>1.0116313346685799</v>
      </c>
      <c r="D5014">
        <v>0.96383356488868699</v>
      </c>
      <c r="E5014">
        <v>0.93915458540139296</v>
      </c>
      <c r="F5014">
        <v>0.75304346252986298</v>
      </c>
      <c r="G5014">
        <v>0.65081668283101601</v>
      </c>
      <c r="H5014">
        <v>0.47124536914813098</v>
      </c>
      <c r="I5014">
        <v>0.40276405666172499</v>
      </c>
      <c r="J5014">
        <v>0.59023620601626403</v>
      </c>
      <c r="K5014">
        <v>0.711358961694601</v>
      </c>
      <c r="L5014">
        <v>1366.3865070837101</v>
      </c>
      <c r="M5014">
        <v>27.381593447385601</v>
      </c>
      <c r="O5014">
        <v>49.637757646493199</v>
      </c>
      <c r="P5014">
        <v>-6.2058477027545599E-2</v>
      </c>
      <c r="Q5014">
        <v>0.55000212737956</v>
      </c>
      <c r="R5014">
        <v>0.86165962731753998</v>
      </c>
      <c r="S5014" t="s">
        <v>11416</v>
      </c>
      <c r="T5014" t="s">
        <v>12802</v>
      </c>
      <c r="U5014" t="s">
        <v>12802</v>
      </c>
      <c r="V5014" t="s">
        <v>12802</v>
      </c>
      <c r="W5014" t="s">
        <v>17752</v>
      </c>
      <c r="X5014">
        <v>11</v>
      </c>
      <c r="Y5014" t="s">
        <v>23969</v>
      </c>
      <c r="Z5014" t="s">
        <v>30332</v>
      </c>
      <c r="AA5014">
        <v>0.74682385727539513</v>
      </c>
      <c r="AB5014" t="str">
        <f>HYPERLINK("Melting_Curves/meltCurve_Q96NC0_ZMAT2.pdf", "Melting_Curves/meltCurve_Q96NC0_ZMAT2.pdf")</f>
        <v>Melting_Curves/meltCurve_Q96NC0_ZMAT2.pdf</v>
      </c>
    </row>
    <row r="5015" spans="1:28" x14ac:dyDescent="0.25">
      <c r="A5015" t="s">
        <v>5019</v>
      </c>
      <c r="B5015">
        <v>0.99542014353169495</v>
      </c>
      <c r="C5015">
        <v>0.94736320479979097</v>
      </c>
      <c r="D5015">
        <v>0.83904494799104601</v>
      </c>
      <c r="E5015">
        <v>0.39356252336020098</v>
      </c>
      <c r="F5015">
        <v>0.233148888807825</v>
      </c>
      <c r="G5015">
        <v>0.16483169609984999</v>
      </c>
      <c r="H5015">
        <v>0.10170915710073999</v>
      </c>
      <c r="I5015">
        <v>6.7838288373523695E-2</v>
      </c>
      <c r="J5015">
        <v>8.7316200787438403E-2</v>
      </c>
      <c r="K5015">
        <v>8.2096677976664006E-2</v>
      </c>
      <c r="L5015">
        <v>996.95092598748704</v>
      </c>
      <c r="M5015">
        <v>21.892533882569001</v>
      </c>
      <c r="N5015">
        <v>45.973257103815399</v>
      </c>
      <c r="O5015">
        <v>45.163551582797503</v>
      </c>
      <c r="P5015">
        <v>-0.10985371659434801</v>
      </c>
      <c r="Q5015">
        <v>9.3522823855680795E-2</v>
      </c>
      <c r="R5015">
        <v>0.99464783498861098</v>
      </c>
      <c r="S5015" t="s">
        <v>11417</v>
      </c>
      <c r="T5015" t="s">
        <v>12802</v>
      </c>
      <c r="U5015" t="s">
        <v>12802</v>
      </c>
      <c r="V5015" t="s">
        <v>12802</v>
      </c>
      <c r="W5015" t="s">
        <v>17753</v>
      </c>
      <c r="X5015">
        <v>5</v>
      </c>
      <c r="Y5015" t="s">
        <v>23970</v>
      </c>
      <c r="Z5015" t="s">
        <v>30333</v>
      </c>
      <c r="AA5015">
        <v>0.36135902576978018</v>
      </c>
      <c r="AB5015" t="str">
        <f>HYPERLINK("Melting_Curves/meltCurve_Q96NL6_SCLT1.pdf", "Melting_Curves/meltCurve_Q96NL6_SCLT1.pdf")</f>
        <v>Melting_Curves/meltCurve_Q96NL6_SCLT1.pdf</v>
      </c>
    </row>
    <row r="5016" spans="1:28" x14ac:dyDescent="0.25">
      <c r="A5016" t="s">
        <v>5020</v>
      </c>
      <c r="B5016">
        <v>0.99542014353169495</v>
      </c>
      <c r="C5016">
        <v>0.93593018429814401</v>
      </c>
      <c r="D5016">
        <v>0.86998255002271097</v>
      </c>
      <c r="E5016">
        <v>0.63605452397208695</v>
      </c>
      <c r="F5016">
        <v>0.51992783172559598</v>
      </c>
      <c r="G5016">
        <v>0.34215152005254901</v>
      </c>
      <c r="H5016">
        <v>0.198589333478462</v>
      </c>
      <c r="I5016">
        <v>0.151051818812348</v>
      </c>
      <c r="J5016">
        <v>0.168361487709625</v>
      </c>
      <c r="K5016">
        <v>0.153285600518628</v>
      </c>
      <c r="L5016">
        <v>583.66987736705096</v>
      </c>
      <c r="M5016">
        <v>11.9413382913379</v>
      </c>
      <c r="N5016">
        <v>49.827702810433699</v>
      </c>
      <c r="O5016">
        <v>47.567835593553298</v>
      </c>
      <c r="P5016">
        <v>-5.6386410137241702E-2</v>
      </c>
      <c r="Q5016">
        <v>0.10176879528372999</v>
      </c>
      <c r="R5016">
        <v>0.993831582497824</v>
      </c>
      <c r="S5016" t="s">
        <v>11418</v>
      </c>
      <c r="T5016" t="s">
        <v>12802</v>
      </c>
      <c r="U5016" t="s">
        <v>12802</v>
      </c>
      <c r="V5016" t="s">
        <v>12802</v>
      </c>
      <c r="W5016" t="s">
        <v>17754</v>
      </c>
      <c r="X5016">
        <v>3</v>
      </c>
      <c r="Y5016" t="s">
        <v>23971</v>
      </c>
      <c r="Z5016" t="s">
        <v>30334</v>
      </c>
      <c r="AA5016">
        <v>0.48446216472096748</v>
      </c>
      <c r="AB5016" t="str">
        <f>HYPERLINK("Melting_Curves/meltCurve_Q96NT0_CCDC115.pdf", "Melting_Curves/meltCurve_Q96NT0_CCDC115.pdf")</f>
        <v>Melting_Curves/meltCurve_Q96NT0_CCDC115.pdf</v>
      </c>
    </row>
    <row r="5017" spans="1:28" x14ac:dyDescent="0.25">
      <c r="A5017" t="s">
        <v>5021</v>
      </c>
      <c r="B5017">
        <v>0.99542014353169495</v>
      </c>
      <c r="C5017">
        <v>1.03204302085359</v>
      </c>
      <c r="D5017">
        <v>0.82217015724532005</v>
      </c>
      <c r="E5017">
        <v>0.72817552094858795</v>
      </c>
      <c r="F5017">
        <v>0.44149549672806598</v>
      </c>
      <c r="G5017">
        <v>0.43350901812123799</v>
      </c>
      <c r="H5017">
        <v>0.2729768392186</v>
      </c>
      <c r="I5017">
        <v>0.256614255919979</v>
      </c>
      <c r="J5017">
        <v>0.44197345109154701</v>
      </c>
      <c r="K5017">
        <v>0.74126776337620204</v>
      </c>
      <c r="L5017">
        <v>1071.5538733250501</v>
      </c>
      <c r="M5017">
        <v>23.3541695704799</v>
      </c>
      <c r="N5017">
        <v>49.835080744971002</v>
      </c>
      <c r="O5017">
        <v>45.5503319674119</v>
      </c>
      <c r="P5017">
        <v>-7.4145639611557193E-2</v>
      </c>
      <c r="Q5017">
        <v>0.42155109933192803</v>
      </c>
      <c r="R5017">
        <v>0.76749376469141195</v>
      </c>
      <c r="S5017" t="s">
        <v>11419</v>
      </c>
      <c r="T5017" t="s">
        <v>12802</v>
      </c>
      <c r="U5017" t="s">
        <v>12802</v>
      </c>
      <c r="V5017" t="s">
        <v>12802</v>
      </c>
      <c r="W5017" t="s">
        <v>17755</v>
      </c>
      <c r="X5017">
        <v>1</v>
      </c>
      <c r="Y5017" t="s">
        <v>23972</v>
      </c>
      <c r="Z5017" t="s">
        <v>30335</v>
      </c>
      <c r="AA5017">
        <v>0.59833075788218371</v>
      </c>
      <c r="AB5017" t="str">
        <f>HYPERLINK("Melting_Curves/meltCurve_Q96NT1_NAP1L5.pdf", "Melting_Curves/meltCurve_Q96NT1_NAP1L5.pdf")</f>
        <v>Melting_Curves/meltCurve_Q96NT1_NAP1L5.pdf</v>
      </c>
    </row>
    <row r="5018" spans="1:28" x14ac:dyDescent="0.25">
      <c r="A5018" t="s">
        <v>5022</v>
      </c>
      <c r="B5018">
        <v>0.99542014353169495</v>
      </c>
      <c r="C5018">
        <v>0.98838099812925695</v>
      </c>
      <c r="D5018">
        <v>0.87073728694929597</v>
      </c>
      <c r="E5018">
        <v>0.35750700801165802</v>
      </c>
      <c r="F5018">
        <v>0.22728178929557399</v>
      </c>
      <c r="G5018">
        <v>0.106529029495183</v>
      </c>
      <c r="H5018">
        <v>5.4964086026291797E-2</v>
      </c>
      <c r="I5018">
        <v>5.1064968305378197E-2</v>
      </c>
      <c r="J5018">
        <v>5.28922726626549E-2</v>
      </c>
      <c r="K5018">
        <v>5.8054217717375699E-2</v>
      </c>
      <c r="L5018">
        <v>1170.3345234757201</v>
      </c>
      <c r="M5018">
        <v>25.671723516697099</v>
      </c>
      <c r="N5018">
        <v>45.852694637422999</v>
      </c>
      <c r="O5018">
        <v>45.314517961430099</v>
      </c>
      <c r="P5018">
        <v>-0.131894386319103</v>
      </c>
      <c r="Q5018">
        <v>6.8755838283892604E-2</v>
      </c>
      <c r="R5018">
        <v>0.99243617231230097</v>
      </c>
      <c r="S5018" t="s">
        <v>11420</v>
      </c>
      <c r="T5018" t="s">
        <v>12802</v>
      </c>
      <c r="U5018" t="s">
        <v>12802</v>
      </c>
      <c r="V5018" t="s">
        <v>12802</v>
      </c>
      <c r="W5018" t="s">
        <v>17756</v>
      </c>
      <c r="X5018">
        <v>2</v>
      </c>
      <c r="Y5018" t="s">
        <v>23973</v>
      </c>
      <c r="Z5018" t="s">
        <v>30336</v>
      </c>
      <c r="AA5018">
        <v>0.3426256633056457</v>
      </c>
      <c r="AB5018" t="str">
        <f>HYPERLINK("Melting_Curves/meltCurve_Q96NW4_ANKRD27.pdf", "Melting_Curves/meltCurve_Q96NW4_ANKRD27.pdf")</f>
        <v>Melting_Curves/meltCurve_Q96NW4_ANKRD27.pdf</v>
      </c>
    </row>
    <row r="5019" spans="1:28" x14ac:dyDescent="0.25">
      <c r="A5019" t="s">
        <v>5023</v>
      </c>
      <c r="B5019">
        <v>0.99542014353169495</v>
      </c>
      <c r="C5019">
        <v>0.97476473729425805</v>
      </c>
      <c r="D5019">
        <v>0.75658558684410904</v>
      </c>
      <c r="E5019">
        <v>0.43258057945008099</v>
      </c>
      <c r="F5019">
        <v>0.29054382408278401</v>
      </c>
      <c r="G5019">
        <v>0.19212433569992199</v>
      </c>
      <c r="H5019">
        <v>9.9811071200782905E-2</v>
      </c>
      <c r="I5019">
        <v>5.9948783915656001E-2</v>
      </c>
      <c r="J5019">
        <v>6.6039284421989197E-2</v>
      </c>
      <c r="K5019">
        <v>6.7546541430941395E-2</v>
      </c>
      <c r="L5019">
        <v>728.99859012155605</v>
      </c>
      <c r="M5019">
        <v>15.878192974413899</v>
      </c>
      <c r="N5019">
        <v>46.326865902109901</v>
      </c>
      <c r="O5019">
        <v>45.202205275269598</v>
      </c>
      <c r="P5019">
        <v>-8.2003464678135393E-2</v>
      </c>
      <c r="Q5019">
        <v>6.6282152403792996E-2</v>
      </c>
      <c r="R5019">
        <v>0.99315295610560905</v>
      </c>
      <c r="S5019" t="s">
        <v>11421</v>
      </c>
      <c r="T5019" t="s">
        <v>12802</v>
      </c>
      <c r="U5019" t="s">
        <v>12802</v>
      </c>
      <c r="V5019" t="s">
        <v>12802</v>
      </c>
      <c r="W5019" t="s">
        <v>17757</v>
      </c>
      <c r="X5019">
        <v>14</v>
      </c>
      <c r="Y5019" t="s">
        <v>23974</v>
      </c>
      <c r="Z5019" t="s">
        <v>30337</v>
      </c>
      <c r="AA5019">
        <v>0.36300435021364691</v>
      </c>
      <c r="AB5019" t="str">
        <f>HYPERLINK("Melting_Curves/meltCurve_Q96P11_2_NSUN5.pdf", "Melting_Curves/meltCurve_Q96P11_2_NSUN5.pdf")</f>
        <v>Melting_Curves/meltCurve_Q96P11_2_NSUN5.pdf</v>
      </c>
    </row>
    <row r="5020" spans="1:28" x14ac:dyDescent="0.25">
      <c r="A5020" t="s">
        <v>5024</v>
      </c>
      <c r="B5020">
        <v>0.99542014353169495</v>
      </c>
      <c r="C5020">
        <v>0.94168364398488802</v>
      </c>
      <c r="D5020">
        <v>0.96416528925014999</v>
      </c>
      <c r="E5020">
        <v>0.67995417665992697</v>
      </c>
      <c r="F5020">
        <v>0.27171646010564399</v>
      </c>
      <c r="G5020">
        <v>0.14408690228534399</v>
      </c>
      <c r="H5020">
        <v>0.10532764826793101</v>
      </c>
      <c r="I5020">
        <v>7.89954987226196E-2</v>
      </c>
      <c r="J5020">
        <v>9.4325830258600196E-2</v>
      </c>
      <c r="K5020">
        <v>7.8117969341975402E-2</v>
      </c>
      <c r="L5020">
        <v>1259.1404168955501</v>
      </c>
      <c r="M5020">
        <v>26.408391011021902</v>
      </c>
      <c r="N5020">
        <v>48.029313727497502</v>
      </c>
      <c r="O5020">
        <v>47.408686502324201</v>
      </c>
      <c r="P5020">
        <v>-0.12707907136603799</v>
      </c>
      <c r="Q5020">
        <v>8.7474098646794604E-2</v>
      </c>
      <c r="R5020">
        <v>0.99763505766932203</v>
      </c>
      <c r="S5020" t="s">
        <v>11422</v>
      </c>
      <c r="T5020" t="s">
        <v>12802</v>
      </c>
      <c r="U5020" t="s">
        <v>12802</v>
      </c>
      <c r="V5020" t="s">
        <v>12802</v>
      </c>
      <c r="W5020" t="s">
        <v>17758</v>
      </c>
      <c r="X5020">
        <v>2</v>
      </c>
      <c r="Y5020" t="s">
        <v>23975</v>
      </c>
      <c r="Z5020" t="s">
        <v>30338</v>
      </c>
      <c r="AA5020">
        <v>0.41925856311355802</v>
      </c>
      <c r="AB5020" t="str">
        <f>HYPERLINK("Melting_Curves/meltCurve_Q96P16_3_RPRD1A.pdf", "Melting_Curves/meltCurve_Q96P16_3_RPRD1A.pdf")</f>
        <v>Melting_Curves/meltCurve_Q96P16_3_RPRD1A.pdf</v>
      </c>
    </row>
    <row r="5021" spans="1:28" x14ac:dyDescent="0.25">
      <c r="A5021" t="s">
        <v>5025</v>
      </c>
      <c r="B5021">
        <v>0.99542014353169495</v>
      </c>
      <c r="C5021">
        <v>0.95592169814457295</v>
      </c>
      <c r="D5021">
        <v>0.89033919420638097</v>
      </c>
      <c r="E5021">
        <v>0.43776320760508802</v>
      </c>
      <c r="F5021">
        <v>0.23320044686045599</v>
      </c>
      <c r="G5021">
        <v>0.124324480505072</v>
      </c>
      <c r="H5021">
        <v>6.8707337749203498E-2</v>
      </c>
      <c r="I5021">
        <v>4.3179411718190799E-2</v>
      </c>
      <c r="J5021">
        <v>4.4967132640269102E-2</v>
      </c>
      <c r="K5021">
        <v>3.3585565344092398E-2</v>
      </c>
      <c r="L5021">
        <v>994.23231990621002</v>
      </c>
      <c r="M5021">
        <v>21.504675552538298</v>
      </c>
      <c r="N5021">
        <v>46.468322128396899</v>
      </c>
      <c r="O5021">
        <v>45.839064070790002</v>
      </c>
      <c r="P5021">
        <v>-0.11124299156865999</v>
      </c>
      <c r="Q5021">
        <v>5.1526806076322998E-2</v>
      </c>
      <c r="R5021">
        <v>0.99505050886527602</v>
      </c>
      <c r="S5021" t="s">
        <v>11423</v>
      </c>
      <c r="T5021" t="s">
        <v>12802</v>
      </c>
      <c r="U5021" t="s">
        <v>12802</v>
      </c>
      <c r="V5021" t="s">
        <v>12802</v>
      </c>
      <c r="W5021" t="s">
        <v>17759</v>
      </c>
      <c r="X5021">
        <v>10</v>
      </c>
      <c r="Y5021" t="s">
        <v>23976</v>
      </c>
      <c r="Z5021" t="s">
        <v>30339</v>
      </c>
      <c r="AA5021">
        <v>0.35415432284502052</v>
      </c>
      <c r="AB5021" t="str">
        <f>HYPERLINK("Melting_Curves/meltCurve_Q96P47_AGAP3.pdf", "Melting_Curves/meltCurve_Q96P47_AGAP3.pdf")</f>
        <v>Melting_Curves/meltCurve_Q96P47_AGAP3.pdf</v>
      </c>
    </row>
    <row r="5022" spans="1:28" x14ac:dyDescent="0.25">
      <c r="A5022" t="s">
        <v>5026</v>
      </c>
      <c r="B5022">
        <v>0.99542014353169495</v>
      </c>
      <c r="C5022">
        <v>0.93206259135796898</v>
      </c>
      <c r="D5022">
        <v>0.77682802105711102</v>
      </c>
      <c r="E5022">
        <v>0.32279676044358901</v>
      </c>
      <c r="F5022">
        <v>0.19936406137472701</v>
      </c>
      <c r="G5022">
        <v>0.123885623239074</v>
      </c>
      <c r="H5022">
        <v>8.9714468394946303E-2</v>
      </c>
      <c r="I5022">
        <v>7.0269497740049994E-2</v>
      </c>
      <c r="J5022">
        <v>6.1436331150155003E-2</v>
      </c>
      <c r="K5022">
        <v>4.8920124971658499E-2</v>
      </c>
      <c r="L5022">
        <v>994.22658233131199</v>
      </c>
      <c r="M5022">
        <v>22.129448425421501</v>
      </c>
      <c r="N5022">
        <v>45.2602560566731</v>
      </c>
      <c r="O5022">
        <v>44.565708307136099</v>
      </c>
      <c r="P5022">
        <v>-0.114829260506633</v>
      </c>
      <c r="Q5022">
        <v>7.5017949594633801E-2</v>
      </c>
      <c r="R5022">
        <v>0.995488412417604</v>
      </c>
      <c r="S5022" t="s">
        <v>11424</v>
      </c>
      <c r="T5022" t="s">
        <v>12802</v>
      </c>
      <c r="U5022" t="s">
        <v>12802</v>
      </c>
      <c r="V5022" t="s">
        <v>12802</v>
      </c>
      <c r="W5022" t="s">
        <v>17760</v>
      </c>
      <c r="X5022">
        <v>17</v>
      </c>
      <c r="Y5022" t="s">
        <v>23977</v>
      </c>
      <c r="Z5022" t="s">
        <v>30340</v>
      </c>
      <c r="AA5022">
        <v>0.32927285891090091</v>
      </c>
      <c r="AB5022" t="str">
        <f>HYPERLINK("Melting_Curves/meltCurve_Q96P48_3_ARAP1.pdf", "Melting_Curves/meltCurve_Q96P48_3_ARAP1.pdf")</f>
        <v>Melting_Curves/meltCurve_Q96P48_3_ARAP1.pdf</v>
      </c>
    </row>
    <row r="5023" spans="1:28" x14ac:dyDescent="0.25">
      <c r="A5023" t="s">
        <v>5027</v>
      </c>
      <c r="B5023">
        <v>0.99542014353169495</v>
      </c>
      <c r="C5023">
        <v>0.97913058344058501</v>
      </c>
      <c r="D5023">
        <v>0.94994718951210799</v>
      </c>
      <c r="E5023">
        <v>0.84315496264610101</v>
      </c>
      <c r="F5023">
        <v>0.60147539620091095</v>
      </c>
      <c r="G5023">
        <v>0.22873603781433499</v>
      </c>
      <c r="H5023">
        <v>7.6054157183340798E-2</v>
      </c>
      <c r="I5023">
        <v>5.4410724294943598E-2</v>
      </c>
      <c r="J5023">
        <v>7.5571562714033397E-2</v>
      </c>
      <c r="K5023">
        <v>6.7800584002145795E-2</v>
      </c>
      <c r="L5023">
        <v>1128.0575951884</v>
      </c>
      <c r="M5023">
        <v>22.292462658965398</v>
      </c>
      <c r="N5023">
        <v>50.814368867498899</v>
      </c>
      <c r="O5023">
        <v>50.200728993102103</v>
      </c>
      <c r="P5023">
        <v>-0.10609527043775099</v>
      </c>
      <c r="Q5023">
        <v>4.4350250701295897E-2</v>
      </c>
      <c r="R5023">
        <v>0.99619606370744795</v>
      </c>
      <c r="S5023" t="s">
        <v>11425</v>
      </c>
      <c r="T5023" t="s">
        <v>12802</v>
      </c>
      <c r="U5023" t="s">
        <v>12802</v>
      </c>
      <c r="V5023" t="s">
        <v>12802</v>
      </c>
      <c r="W5023" t="s">
        <v>17761</v>
      </c>
      <c r="X5023">
        <v>19</v>
      </c>
      <c r="Y5023" t="s">
        <v>23978</v>
      </c>
      <c r="Z5023" t="s">
        <v>30341</v>
      </c>
      <c r="AA5023">
        <v>0.48804156438981849</v>
      </c>
      <c r="AB5023" t="str">
        <f>HYPERLINK("Melting_Curves/meltCurve_Q96P70_IPO9.pdf", "Melting_Curves/meltCurve_Q96P70_IPO9.pdf")</f>
        <v>Melting_Curves/meltCurve_Q96P70_IPO9.pdf</v>
      </c>
    </row>
    <row r="5024" spans="1:28" x14ac:dyDescent="0.25">
      <c r="A5024" t="s">
        <v>5028</v>
      </c>
      <c r="B5024">
        <v>0.99542014353169495</v>
      </c>
      <c r="C5024">
        <v>0.97970734578548901</v>
      </c>
      <c r="D5024">
        <v>1.12584397466826</v>
      </c>
      <c r="E5024">
        <v>0.79000414686520404</v>
      </c>
      <c r="F5024">
        <v>1.1034848876349099</v>
      </c>
      <c r="G5024">
        <v>0.79381796531928495</v>
      </c>
      <c r="H5024">
        <v>0.40614567513023198</v>
      </c>
      <c r="I5024">
        <v>0.29538430339880301</v>
      </c>
      <c r="J5024">
        <v>0.15073767696759599</v>
      </c>
      <c r="K5024">
        <v>0.23993296458882099</v>
      </c>
      <c r="L5024">
        <v>1982.8932089458599</v>
      </c>
      <c r="M5024">
        <v>35.678847126778201</v>
      </c>
      <c r="N5024">
        <v>56.460770780045898</v>
      </c>
      <c r="O5024">
        <v>55.402435273231298</v>
      </c>
      <c r="P5024">
        <v>-0.12652724667578499</v>
      </c>
      <c r="Q5024">
        <v>0.214112007247659</v>
      </c>
      <c r="R5024">
        <v>0.93564345757854905</v>
      </c>
      <c r="S5024" t="s">
        <v>11426</v>
      </c>
      <c r="T5024" t="s">
        <v>12802</v>
      </c>
      <c r="U5024" t="s">
        <v>12802</v>
      </c>
      <c r="V5024" t="s">
        <v>12802</v>
      </c>
      <c r="W5024" t="s">
        <v>17762</v>
      </c>
      <c r="X5024">
        <v>2</v>
      </c>
      <c r="Y5024" t="s">
        <v>23979</v>
      </c>
      <c r="Z5024" t="s">
        <v>30342</v>
      </c>
      <c r="AA5024">
        <v>0.70439713323408981</v>
      </c>
      <c r="AB5024" t="str">
        <f>HYPERLINK("Melting_Curves/meltCurve_Q96PD2_DCBLD2.pdf", "Melting_Curves/meltCurve_Q96PD2_DCBLD2.pdf")</f>
        <v>Melting_Curves/meltCurve_Q96PD2_DCBLD2.pdf</v>
      </c>
    </row>
    <row r="5025" spans="1:28" x14ac:dyDescent="0.25">
      <c r="A5025" t="s">
        <v>5029</v>
      </c>
      <c r="B5025">
        <v>0.99542014353169495</v>
      </c>
      <c r="C5025">
        <v>1.08187790506003</v>
      </c>
      <c r="D5025">
        <v>0.82535878154644504</v>
      </c>
      <c r="E5025">
        <v>0.738607587499019</v>
      </c>
      <c r="F5025">
        <v>0.61365318401158997</v>
      </c>
      <c r="G5025">
        <v>0.61829123353943904</v>
      </c>
      <c r="H5025">
        <v>0.44861002104183501</v>
      </c>
      <c r="I5025">
        <v>0.36610242554321998</v>
      </c>
      <c r="J5025">
        <v>0.59931192334222605</v>
      </c>
      <c r="K5025">
        <v>0.37010568522291099</v>
      </c>
      <c r="L5025">
        <v>628.68224281257403</v>
      </c>
      <c r="M5025">
        <v>13.210515878024101</v>
      </c>
      <c r="N5025">
        <v>56.071979581889302</v>
      </c>
      <c r="O5025">
        <v>46.538662826572804</v>
      </c>
      <c r="P5025">
        <v>-4.0298769348204297E-2</v>
      </c>
      <c r="Q5025">
        <v>0.43222797585530498</v>
      </c>
      <c r="R5025">
        <v>0.88114313985080195</v>
      </c>
      <c r="S5025" t="s">
        <v>11427</v>
      </c>
      <c r="T5025" t="s">
        <v>12802</v>
      </c>
      <c r="U5025" t="s">
        <v>12802</v>
      </c>
      <c r="V5025" t="s">
        <v>12802</v>
      </c>
      <c r="W5025" t="s">
        <v>17763</v>
      </c>
      <c r="X5025">
        <v>3</v>
      </c>
      <c r="Y5025" t="s">
        <v>23980</v>
      </c>
      <c r="Z5025" t="s">
        <v>30343</v>
      </c>
      <c r="AA5025">
        <v>0.64824558938025334</v>
      </c>
      <c r="AB5025" t="str">
        <f>HYPERLINK("Melting_Curves/meltCurve_Q96PE7_MCEE.pdf", "Melting_Curves/meltCurve_Q96PE7_MCEE.pdf")</f>
        <v>Melting_Curves/meltCurve_Q96PE7_MCEE.pdf</v>
      </c>
    </row>
    <row r="5026" spans="1:28" x14ac:dyDescent="0.25">
      <c r="A5026" t="s">
        <v>5030</v>
      </c>
      <c r="B5026">
        <v>0.99542014353169495</v>
      </c>
      <c r="C5026">
        <v>1.07607122683042</v>
      </c>
      <c r="D5026">
        <v>0.90231593651764497</v>
      </c>
      <c r="E5026">
        <v>0.72187911397458704</v>
      </c>
      <c r="F5026">
        <v>0.60817043096385603</v>
      </c>
      <c r="G5026">
        <v>0.476088338542558</v>
      </c>
      <c r="H5026">
        <v>0.316110061711251</v>
      </c>
      <c r="I5026">
        <v>0.27549066794749899</v>
      </c>
      <c r="J5026">
        <v>0.43202632856713202</v>
      </c>
      <c r="K5026">
        <v>0.58413883409127199</v>
      </c>
      <c r="L5026">
        <v>933.11131187519197</v>
      </c>
      <c r="M5026">
        <v>19.7070478290225</v>
      </c>
      <c r="N5026">
        <v>51.760738631200901</v>
      </c>
      <c r="O5026">
        <v>46.869652757067797</v>
      </c>
      <c r="P5026">
        <v>-6.2359129234510501E-2</v>
      </c>
      <c r="Q5026">
        <v>0.40678077567029802</v>
      </c>
      <c r="R5026">
        <v>0.89285959861387498</v>
      </c>
      <c r="S5026" t="s">
        <v>11428</v>
      </c>
      <c r="T5026" t="s">
        <v>12802</v>
      </c>
      <c r="U5026" t="s">
        <v>12802</v>
      </c>
      <c r="V5026" t="s">
        <v>12802</v>
      </c>
      <c r="W5026" t="s">
        <v>17764</v>
      </c>
      <c r="X5026">
        <v>1</v>
      </c>
      <c r="Y5026" t="s">
        <v>23981</v>
      </c>
      <c r="Z5026" t="s">
        <v>30344</v>
      </c>
      <c r="AA5026">
        <v>0.61942409613508798</v>
      </c>
      <c r="AB5026" t="str">
        <f>HYPERLINK("Melting_Curves/meltCurve_Q96PG8_1_BBC3.pdf", "Melting_Curves/meltCurve_Q96PG8_1_BBC3.pdf")</f>
        <v>Melting_Curves/meltCurve_Q96PG8_1_BBC3.pdf</v>
      </c>
    </row>
    <row r="5027" spans="1:28" x14ac:dyDescent="0.25">
      <c r="A5027" t="s">
        <v>5031</v>
      </c>
      <c r="B5027">
        <v>0.99542014353169495</v>
      </c>
      <c r="C5027">
        <v>0.89028387655295604</v>
      </c>
      <c r="D5027">
        <v>0.80568600928780698</v>
      </c>
      <c r="E5027">
        <v>0.377705206574731</v>
      </c>
      <c r="F5027">
        <v>0.19022727320577801</v>
      </c>
      <c r="G5027">
        <v>0.13738546648168201</v>
      </c>
      <c r="H5027">
        <v>0.10399492920751401</v>
      </c>
      <c r="I5027">
        <v>7.0682381732766197E-2</v>
      </c>
      <c r="J5027">
        <v>9.94004348459884E-2</v>
      </c>
      <c r="K5027">
        <v>0.15952100911147701</v>
      </c>
      <c r="L5027">
        <v>1013.9044052573601</v>
      </c>
      <c r="M5027">
        <v>22.506220367340301</v>
      </c>
      <c r="N5027">
        <v>45.536369591318</v>
      </c>
      <c r="O5027">
        <v>44.698821017692097</v>
      </c>
      <c r="P5027">
        <v>-0.112430452454313</v>
      </c>
      <c r="Q5027">
        <v>0.106841360459089</v>
      </c>
      <c r="R5027">
        <v>0.99190222685632601</v>
      </c>
      <c r="S5027" t="s">
        <v>11429</v>
      </c>
      <c r="T5027" t="s">
        <v>12802</v>
      </c>
      <c r="U5027" t="s">
        <v>12802</v>
      </c>
      <c r="V5027" t="s">
        <v>12802</v>
      </c>
      <c r="W5027" t="s">
        <v>17765</v>
      </c>
      <c r="X5027">
        <v>6</v>
      </c>
      <c r="Y5027" t="s">
        <v>23982</v>
      </c>
      <c r="Z5027" t="s">
        <v>30345</v>
      </c>
      <c r="AA5027">
        <v>0.35565270009550243</v>
      </c>
      <c r="AB5027" t="str">
        <f>HYPERLINK("Melting_Curves/meltCurve_Q96PK6_RBM14.pdf", "Melting_Curves/meltCurve_Q96PK6_RBM14.pdf")</f>
        <v>Melting_Curves/meltCurve_Q96PK6_RBM14.pdf</v>
      </c>
    </row>
    <row r="5028" spans="1:28" x14ac:dyDescent="0.25">
      <c r="A5028" t="s">
        <v>5032</v>
      </c>
      <c r="B5028">
        <v>0.99542014353169495</v>
      </c>
      <c r="C5028">
        <v>0.89727849676467097</v>
      </c>
      <c r="D5028">
        <v>0.94932401345434203</v>
      </c>
      <c r="E5028">
        <v>0.77745840236290298</v>
      </c>
      <c r="F5028">
        <v>0.67420075965750503</v>
      </c>
      <c r="G5028">
        <v>0.410393951780406</v>
      </c>
      <c r="H5028">
        <v>0.17932765975366699</v>
      </c>
      <c r="I5028">
        <v>7.7277802770708906E-2</v>
      </c>
      <c r="J5028">
        <v>9.0061654081479703E-2</v>
      </c>
      <c r="K5028">
        <v>8.9680395939433E-2</v>
      </c>
      <c r="L5028">
        <v>696.39817125884599</v>
      </c>
      <c r="M5028">
        <v>13.392386379337699</v>
      </c>
      <c r="N5028">
        <v>52.017189735086902</v>
      </c>
      <c r="O5028">
        <v>50.881203892059801</v>
      </c>
      <c r="P5028">
        <v>-6.5663714266557496E-2</v>
      </c>
      <c r="Q5028">
        <v>2.2619946571014599E-3</v>
      </c>
      <c r="R5028">
        <v>0.98576911144307899</v>
      </c>
      <c r="S5028" t="s">
        <v>11430</v>
      </c>
      <c r="T5028" t="s">
        <v>12802</v>
      </c>
      <c r="U5028" t="s">
        <v>12802</v>
      </c>
      <c r="V5028" t="s">
        <v>12802</v>
      </c>
      <c r="W5028" t="s">
        <v>17766</v>
      </c>
      <c r="X5028">
        <v>4</v>
      </c>
      <c r="Y5028" t="s">
        <v>23983</v>
      </c>
      <c r="Z5028" t="s">
        <v>30346</v>
      </c>
      <c r="AA5028">
        <v>0.522646614938437</v>
      </c>
      <c r="AB5028" t="str">
        <f>HYPERLINK("Melting_Curves/meltCurve_Q96PL5_ERMAP.pdf", "Melting_Curves/meltCurve_Q96PL5_ERMAP.pdf")</f>
        <v>Melting_Curves/meltCurve_Q96PL5_ERMAP.pdf</v>
      </c>
    </row>
    <row r="5029" spans="1:28" x14ac:dyDescent="0.25">
      <c r="A5029" t="s">
        <v>5033</v>
      </c>
      <c r="B5029">
        <v>0.99542014353169495</v>
      </c>
      <c r="C5029">
        <v>1.00616955001004</v>
      </c>
      <c r="D5029">
        <v>1.0707295445457501</v>
      </c>
      <c r="E5029">
        <v>0.95101246282746699</v>
      </c>
      <c r="F5029">
        <v>0.69593990215281099</v>
      </c>
      <c r="G5029">
        <v>0.43103873270638798</v>
      </c>
      <c r="H5029">
        <v>0.21416111240254199</v>
      </c>
      <c r="I5029">
        <v>9.2160774659415495E-2</v>
      </c>
      <c r="J5029">
        <v>9.8236811117782999E-2</v>
      </c>
      <c r="K5029">
        <v>0.110136125018696</v>
      </c>
      <c r="L5029">
        <v>1092.8018886648899</v>
      </c>
      <c r="M5029">
        <v>20.900960564728699</v>
      </c>
      <c r="N5029">
        <v>52.732975578021502</v>
      </c>
      <c r="O5029">
        <v>51.8132037484894</v>
      </c>
      <c r="P5029">
        <v>-9.2643027989511503E-2</v>
      </c>
      <c r="Q5029">
        <v>8.1381746129715105E-2</v>
      </c>
      <c r="R5029">
        <v>0.99370928960636795</v>
      </c>
      <c r="S5029" t="s">
        <v>11431</v>
      </c>
      <c r="T5029" t="s">
        <v>12802</v>
      </c>
      <c r="U5029" t="s">
        <v>12802</v>
      </c>
      <c r="V5029" t="s">
        <v>12802</v>
      </c>
      <c r="W5029" t="s">
        <v>17767</v>
      </c>
      <c r="X5029">
        <v>12</v>
      </c>
      <c r="Y5029" t="s">
        <v>23984</v>
      </c>
      <c r="Z5029" t="s">
        <v>30347</v>
      </c>
      <c r="AA5029">
        <v>0.56042155666294813</v>
      </c>
      <c r="AB5029" t="str">
        <f>HYPERLINK("Melting_Curves/meltCurve_Q96PM5_RCHY1.pdf", "Melting_Curves/meltCurve_Q96PM5_RCHY1.pdf")</f>
        <v>Melting_Curves/meltCurve_Q96PM5_RCHY1.pdf</v>
      </c>
    </row>
    <row r="5030" spans="1:28" x14ac:dyDescent="0.25">
      <c r="A5030" t="s">
        <v>5034</v>
      </c>
      <c r="B5030">
        <v>0.99542014353169495</v>
      </c>
      <c r="C5030">
        <v>0.98096336225793801</v>
      </c>
      <c r="D5030">
        <v>0.89746275971552802</v>
      </c>
      <c r="E5030">
        <v>0.441075095362707</v>
      </c>
      <c r="F5030">
        <v>0.14317221315120299</v>
      </c>
      <c r="G5030">
        <v>8.5405144151906795E-2</v>
      </c>
      <c r="H5030">
        <v>6.7291049361678207E-2</v>
      </c>
      <c r="I5030">
        <v>4.4763815528070003E-2</v>
      </c>
      <c r="J5030">
        <v>3.8426896669921301E-2</v>
      </c>
      <c r="K5030">
        <v>4.5372281617702202E-2</v>
      </c>
      <c r="L5030">
        <v>1295.5860336215001</v>
      </c>
      <c r="M5030">
        <v>28.132511620959001</v>
      </c>
      <c r="N5030">
        <v>46.235021745016503</v>
      </c>
      <c r="O5030">
        <v>45.822167257163002</v>
      </c>
      <c r="P5030">
        <v>-0.14544213558333999</v>
      </c>
      <c r="Q5030">
        <v>5.2424769458814399E-2</v>
      </c>
      <c r="R5030">
        <v>0.99936582296763699</v>
      </c>
      <c r="S5030" t="s">
        <v>11432</v>
      </c>
      <c r="T5030" t="s">
        <v>12802</v>
      </c>
      <c r="U5030" t="s">
        <v>12802</v>
      </c>
      <c r="V5030" t="s">
        <v>12802</v>
      </c>
      <c r="W5030" t="s">
        <v>17768</v>
      </c>
      <c r="X5030">
        <v>7</v>
      </c>
      <c r="Y5030" t="s">
        <v>23985</v>
      </c>
      <c r="Z5030" t="s">
        <v>30348</v>
      </c>
      <c r="AA5030">
        <v>0.34454122888459071</v>
      </c>
      <c r="AB5030" t="str">
        <f>HYPERLINK("Melting_Curves/meltCurve_Q96PU5_2_NEDD4L.pdf", "Melting_Curves/meltCurve_Q96PU5_2_NEDD4L.pdf")</f>
        <v>Melting_Curves/meltCurve_Q96PU5_2_NEDD4L.pdf</v>
      </c>
    </row>
    <row r="5031" spans="1:28" x14ac:dyDescent="0.25">
      <c r="A5031" t="s">
        <v>5035</v>
      </c>
      <c r="B5031">
        <v>0.99542014353169495</v>
      </c>
      <c r="C5031">
        <v>1.1014696747635699</v>
      </c>
      <c r="D5031">
        <v>0.93971798083347902</v>
      </c>
      <c r="E5031">
        <v>0.68987173290256398</v>
      </c>
      <c r="F5031">
        <v>0.42981246517247601</v>
      </c>
      <c r="G5031">
        <v>0.19784349868743101</v>
      </c>
      <c r="H5031">
        <v>0.15157459254208899</v>
      </c>
      <c r="I5031">
        <v>0.146445758690424</v>
      </c>
      <c r="J5031">
        <v>0.16244834103908501</v>
      </c>
      <c r="K5031">
        <v>0.21399686187177999</v>
      </c>
      <c r="L5031">
        <v>1084.2181481013799</v>
      </c>
      <c r="M5031">
        <v>22.584894327331298</v>
      </c>
      <c r="N5031">
        <v>48.838110253575003</v>
      </c>
      <c r="O5031">
        <v>47.634745717908203</v>
      </c>
      <c r="P5031">
        <v>-9.9609571359465895E-2</v>
      </c>
      <c r="Q5031">
        <v>0.159654399622918</v>
      </c>
      <c r="R5031">
        <v>0.98578634274142396</v>
      </c>
      <c r="S5031" t="s">
        <v>11433</v>
      </c>
      <c r="T5031" t="s">
        <v>12802</v>
      </c>
      <c r="U5031" t="s">
        <v>12802</v>
      </c>
      <c r="V5031" t="s">
        <v>12802</v>
      </c>
      <c r="W5031" t="s">
        <v>17769</v>
      </c>
      <c r="X5031">
        <v>12</v>
      </c>
      <c r="Y5031" t="s">
        <v>23986</v>
      </c>
      <c r="Z5031" t="s">
        <v>30349</v>
      </c>
      <c r="AA5031">
        <v>0.47670143961877509</v>
      </c>
      <c r="AB5031" t="str">
        <f>HYPERLINK("Melting_Curves/meltCurve_Q96PU8_5_QKI.pdf", "Melting_Curves/meltCurve_Q96PU8_5_QKI.pdf")</f>
        <v>Melting_Curves/meltCurve_Q96PU8_5_QKI.pdf</v>
      </c>
    </row>
    <row r="5032" spans="1:28" x14ac:dyDescent="0.25">
      <c r="A5032" t="s">
        <v>5036</v>
      </c>
      <c r="B5032">
        <v>0.99542014353169495</v>
      </c>
      <c r="C5032">
        <v>0.947997158330533</v>
      </c>
      <c r="D5032">
        <v>0.85873995654726398</v>
      </c>
      <c r="E5032">
        <v>0.58058957356592</v>
      </c>
      <c r="F5032">
        <v>0.27871803552570801</v>
      </c>
      <c r="G5032">
        <v>0.14676747968356699</v>
      </c>
      <c r="H5032">
        <v>8.6329955551347898E-2</v>
      </c>
      <c r="I5032">
        <v>5.5746290286150697E-2</v>
      </c>
      <c r="J5032">
        <v>5.6520706985551297E-2</v>
      </c>
      <c r="K5032">
        <v>6.4981176416666703E-2</v>
      </c>
      <c r="L5032">
        <v>849.50457250906402</v>
      </c>
      <c r="M5032">
        <v>18.023333902308899</v>
      </c>
      <c r="N5032">
        <v>47.410745233521801</v>
      </c>
      <c r="O5032">
        <v>46.564828307463898</v>
      </c>
      <c r="P5032">
        <v>-9.19310791430792E-2</v>
      </c>
      <c r="Q5032">
        <v>4.99990184418578E-2</v>
      </c>
      <c r="R5032">
        <v>0.99954560039767304</v>
      </c>
      <c r="S5032" t="s">
        <v>11434</v>
      </c>
      <c r="T5032" t="s">
        <v>12802</v>
      </c>
      <c r="U5032" t="s">
        <v>12802</v>
      </c>
      <c r="V5032" t="s">
        <v>12802</v>
      </c>
      <c r="W5032" t="s">
        <v>17770</v>
      </c>
      <c r="X5032">
        <v>12</v>
      </c>
      <c r="Y5032" t="s">
        <v>23986</v>
      </c>
      <c r="Z5032" t="s">
        <v>30350</v>
      </c>
      <c r="AA5032">
        <v>0.38610001194328919</v>
      </c>
      <c r="AB5032" t="str">
        <f>HYPERLINK("Melting_Curves/meltCurve_Q96PU8_9_QKI.pdf", "Melting_Curves/meltCurve_Q96PU8_9_QKI.pdf")</f>
        <v>Melting_Curves/meltCurve_Q96PU8_9_QKI.pdf</v>
      </c>
    </row>
    <row r="5033" spans="1:28" x14ac:dyDescent="0.25">
      <c r="A5033" t="s">
        <v>5037</v>
      </c>
      <c r="B5033">
        <v>0.99542014353169495</v>
      </c>
      <c r="C5033">
        <v>0.92214399065352504</v>
      </c>
      <c r="D5033">
        <v>0.73682923158834102</v>
      </c>
      <c r="E5033">
        <v>0.53427539599753504</v>
      </c>
      <c r="F5033">
        <v>0.296798963544468</v>
      </c>
      <c r="G5033">
        <v>0.188148596539642</v>
      </c>
      <c r="H5033">
        <v>9.9785364872081603E-2</v>
      </c>
      <c r="I5033">
        <v>7.92716589935335E-2</v>
      </c>
      <c r="J5033">
        <v>9.4103305324575295E-2</v>
      </c>
      <c r="K5033">
        <v>9.9956526654951403E-2</v>
      </c>
      <c r="L5033">
        <v>658.04858617833304</v>
      </c>
      <c r="M5033">
        <v>14.211355429206099</v>
      </c>
      <c r="N5033">
        <v>46.781237525627098</v>
      </c>
      <c r="O5033">
        <v>45.416496805121</v>
      </c>
      <c r="P5033">
        <v>-7.2962642674385E-2</v>
      </c>
      <c r="Q5033">
        <v>6.7423442427988506E-2</v>
      </c>
      <c r="R5033">
        <v>0.99724610038281303</v>
      </c>
      <c r="S5033" t="s">
        <v>11435</v>
      </c>
      <c r="T5033" t="s">
        <v>12802</v>
      </c>
      <c r="U5033" t="s">
        <v>12802</v>
      </c>
      <c r="V5033" t="s">
        <v>12802</v>
      </c>
      <c r="W5033" t="s">
        <v>17771</v>
      </c>
      <c r="X5033">
        <v>2</v>
      </c>
      <c r="Y5033" t="s">
        <v>23987</v>
      </c>
      <c r="Z5033" t="s">
        <v>30351</v>
      </c>
      <c r="AA5033">
        <v>0.38023313538855669</v>
      </c>
      <c r="AB5033" t="str">
        <f>HYPERLINK("Melting_Curves/meltCurve_Q96PY6_4_NEK1.pdf", "Melting_Curves/meltCurve_Q96PY6_4_NEK1.pdf")</f>
        <v>Melting_Curves/meltCurve_Q96PY6_4_NEK1.pdf</v>
      </c>
    </row>
    <row r="5034" spans="1:28" x14ac:dyDescent="0.25">
      <c r="A5034" t="s">
        <v>5038</v>
      </c>
      <c r="B5034">
        <v>0.99542014353169495</v>
      </c>
      <c r="C5034">
        <v>0.98386352817669798</v>
      </c>
      <c r="D5034">
        <v>0.95657229540219801</v>
      </c>
      <c r="E5034">
        <v>0.81126151782601097</v>
      </c>
      <c r="F5034">
        <v>0.54892937357811</v>
      </c>
      <c r="G5034">
        <v>0.309231856418762</v>
      </c>
      <c r="H5034">
        <v>0.20316799373210501</v>
      </c>
      <c r="I5034">
        <v>0.121917036295407</v>
      </c>
      <c r="J5034">
        <v>0.11349122147867199</v>
      </c>
      <c r="K5034">
        <v>0.11251860137500699</v>
      </c>
      <c r="L5034">
        <v>862.778762313122</v>
      </c>
      <c r="M5034">
        <v>17.177878496955</v>
      </c>
      <c r="N5034">
        <v>50.844389121740797</v>
      </c>
      <c r="O5034">
        <v>49.560295707715703</v>
      </c>
      <c r="P5034">
        <v>-7.8489127631283101E-2</v>
      </c>
      <c r="Q5034">
        <v>9.4250490029573294E-2</v>
      </c>
      <c r="R5034">
        <v>0.99961986599346697</v>
      </c>
      <c r="S5034" t="s">
        <v>11436</v>
      </c>
      <c r="T5034" t="s">
        <v>12802</v>
      </c>
      <c r="U5034" t="s">
        <v>12802</v>
      </c>
      <c r="V5034" t="s">
        <v>12802</v>
      </c>
      <c r="W5034" t="s">
        <v>17772</v>
      </c>
      <c r="X5034">
        <v>33</v>
      </c>
      <c r="Y5034" t="s">
        <v>23988</v>
      </c>
      <c r="Z5034" t="s">
        <v>30352</v>
      </c>
      <c r="AA5034">
        <v>0.50890567045725066</v>
      </c>
      <c r="AB5034" t="str">
        <f>HYPERLINK("Melting_Curves/meltCurve_Q96PZ0_PUS7.pdf", "Melting_Curves/meltCurve_Q96PZ0_PUS7.pdf")</f>
        <v>Melting_Curves/meltCurve_Q96PZ0_PUS7.pdf</v>
      </c>
    </row>
    <row r="5035" spans="1:28" x14ac:dyDescent="0.25">
      <c r="A5035" t="s">
        <v>5039</v>
      </c>
      <c r="B5035">
        <v>0.99542014353169495</v>
      </c>
      <c r="C5035">
        <v>0.99424088462437399</v>
      </c>
      <c r="D5035">
        <v>0.96309103403070595</v>
      </c>
      <c r="E5035">
        <v>0.89682420093701398</v>
      </c>
      <c r="F5035">
        <v>0.50379517179497602</v>
      </c>
      <c r="G5035">
        <v>0.122057652964466</v>
      </c>
      <c r="H5035">
        <v>6.9096792242416299E-2</v>
      </c>
      <c r="I5035">
        <v>4.6585639389422603E-2</v>
      </c>
      <c r="J5035">
        <v>5.9261981741149203E-2</v>
      </c>
      <c r="K5035">
        <v>5.7029117668077001E-2</v>
      </c>
      <c r="L5035">
        <v>1555.32138029314</v>
      </c>
      <c r="M5035">
        <v>31.1228625094755</v>
      </c>
      <c r="N5035">
        <v>50.140617367936301</v>
      </c>
      <c r="O5035">
        <v>49.768638405232601</v>
      </c>
      <c r="P5035">
        <v>-0.14864051893612701</v>
      </c>
      <c r="Q5035">
        <v>4.9239820626205799E-2</v>
      </c>
      <c r="R5035">
        <v>0.998908982116124</v>
      </c>
      <c r="S5035" t="s">
        <v>11437</v>
      </c>
      <c r="T5035" t="s">
        <v>12802</v>
      </c>
      <c r="U5035" t="s">
        <v>12802</v>
      </c>
      <c r="V5035" t="s">
        <v>12802</v>
      </c>
      <c r="W5035" t="s">
        <v>17773</v>
      </c>
      <c r="X5035">
        <v>18</v>
      </c>
      <c r="Y5035" t="s">
        <v>23989</v>
      </c>
      <c r="Z5035" t="s">
        <v>30353</v>
      </c>
      <c r="AA5035">
        <v>0.46582112823380939</v>
      </c>
      <c r="AB5035" t="str">
        <f>HYPERLINK("Melting_Curves/meltCurve_Q96Q11_2_TRNT1.pdf", "Melting_Curves/meltCurve_Q96Q11_2_TRNT1.pdf")</f>
        <v>Melting_Curves/meltCurve_Q96Q11_2_TRNT1.pdf</v>
      </c>
    </row>
    <row r="5036" spans="1:28" x14ac:dyDescent="0.25">
      <c r="A5036" t="s">
        <v>5040</v>
      </c>
      <c r="B5036">
        <v>0.99542014353169495</v>
      </c>
      <c r="C5036">
        <v>0.97932894589288499</v>
      </c>
      <c r="D5036">
        <v>1.0501600118977501</v>
      </c>
      <c r="E5036">
        <v>0.95095246918380705</v>
      </c>
      <c r="F5036">
        <v>0.85009507236545401</v>
      </c>
      <c r="G5036">
        <v>0.57612196282845896</v>
      </c>
      <c r="H5036">
        <v>0.475687959398848</v>
      </c>
      <c r="I5036">
        <v>0.336614904797224</v>
      </c>
      <c r="J5036">
        <v>0.45848445776722002</v>
      </c>
      <c r="K5036">
        <v>0.52807207644361798</v>
      </c>
      <c r="L5036">
        <v>1617.1116713845499</v>
      </c>
      <c r="M5036">
        <v>31.2477310965259</v>
      </c>
      <c r="N5036">
        <v>55.6068280603711</v>
      </c>
      <c r="O5036">
        <v>51.540769855426802</v>
      </c>
      <c r="P5036">
        <v>-8.4467148419815799E-2</v>
      </c>
      <c r="Q5036">
        <v>0.442714463227174</v>
      </c>
      <c r="R5036">
        <v>0.96350802551903603</v>
      </c>
      <c r="S5036" t="s">
        <v>11438</v>
      </c>
      <c r="T5036" t="s">
        <v>12802</v>
      </c>
      <c r="U5036" t="s">
        <v>12802</v>
      </c>
      <c r="V5036" t="s">
        <v>12802</v>
      </c>
      <c r="W5036" t="s">
        <v>17774</v>
      </c>
      <c r="X5036">
        <v>7</v>
      </c>
      <c r="Y5036" t="s">
        <v>23990</v>
      </c>
      <c r="Z5036" t="s">
        <v>30354</v>
      </c>
      <c r="AA5036">
        <v>0.71997838408538728</v>
      </c>
      <c r="AB5036" t="str">
        <f>HYPERLINK("Melting_Curves/meltCurve_Q96Q45_2_TMEM237.pdf", "Melting_Curves/meltCurve_Q96Q45_2_TMEM237.pdf")</f>
        <v>Melting_Curves/meltCurve_Q96Q45_2_TMEM237.pdf</v>
      </c>
    </row>
    <row r="5037" spans="1:28" x14ac:dyDescent="0.25">
      <c r="A5037" t="s">
        <v>5041</v>
      </c>
      <c r="B5037">
        <v>0.99542014353169495</v>
      </c>
      <c r="C5037">
        <v>1.1152770830283101</v>
      </c>
      <c r="D5037">
        <v>1.0395129889857599</v>
      </c>
      <c r="E5037">
        <v>0.813634423396706</v>
      </c>
      <c r="F5037">
        <v>0.54199186379293296</v>
      </c>
      <c r="G5037">
        <v>0.36491941484254797</v>
      </c>
      <c r="H5037">
        <v>0.25799688271310101</v>
      </c>
      <c r="I5037">
        <v>0.212658461999466</v>
      </c>
      <c r="J5037">
        <v>0.30418264567679598</v>
      </c>
      <c r="K5037">
        <v>0.28024858430683203</v>
      </c>
      <c r="L5037">
        <v>1198.28938366185</v>
      </c>
      <c r="M5037">
        <v>24.398246756145799</v>
      </c>
      <c r="N5037">
        <v>50.652327329252699</v>
      </c>
      <c r="O5037">
        <v>48.787374458889801</v>
      </c>
      <c r="P5037">
        <v>-9.2305082766812901E-2</v>
      </c>
      <c r="Q5037">
        <v>0.26170827290370302</v>
      </c>
      <c r="R5037">
        <v>0.97882997037358199</v>
      </c>
      <c r="S5037" t="s">
        <v>11439</v>
      </c>
      <c r="T5037" t="s">
        <v>12802</v>
      </c>
      <c r="U5037" t="s">
        <v>12802</v>
      </c>
      <c r="V5037" t="s">
        <v>12802</v>
      </c>
      <c r="W5037" t="s">
        <v>17775</v>
      </c>
      <c r="X5037">
        <v>6</v>
      </c>
      <c r="Y5037" t="s">
        <v>23991</v>
      </c>
      <c r="Z5037" t="s">
        <v>30355</v>
      </c>
      <c r="AA5037">
        <v>0.5665219962875675</v>
      </c>
      <c r="AB5037" t="str">
        <f>HYPERLINK("Melting_Curves/meltCurve_Q96Q83_ALKBH3.pdf", "Melting_Curves/meltCurve_Q96Q83_ALKBH3.pdf")</f>
        <v>Melting_Curves/meltCurve_Q96Q83_ALKBH3.pdf</v>
      </c>
    </row>
    <row r="5038" spans="1:28" x14ac:dyDescent="0.25">
      <c r="A5038" t="s">
        <v>5042</v>
      </c>
      <c r="B5038">
        <v>0.99542014353169495</v>
      </c>
      <c r="C5038">
        <v>0.92962065038296204</v>
      </c>
      <c r="D5038">
        <v>0.91147474477046897</v>
      </c>
      <c r="E5038">
        <v>0.55075235947705703</v>
      </c>
      <c r="F5038">
        <v>0.33142274203046201</v>
      </c>
      <c r="G5038">
        <v>0.17897398043641699</v>
      </c>
      <c r="H5038">
        <v>0.18314242663945601</v>
      </c>
      <c r="I5038">
        <v>0.100475309727213</v>
      </c>
      <c r="J5038">
        <v>8.5960804607263602E-2</v>
      </c>
      <c r="K5038">
        <v>9.6412659479277907E-2</v>
      </c>
      <c r="L5038">
        <v>851.38312220611999</v>
      </c>
      <c r="M5038">
        <v>18.108236234871601</v>
      </c>
      <c r="N5038">
        <v>47.608067379673997</v>
      </c>
      <c r="O5038">
        <v>46.4542263513327</v>
      </c>
      <c r="P5038">
        <v>-8.7636225567952003E-2</v>
      </c>
      <c r="Q5038">
        <v>0.100768190377095</v>
      </c>
      <c r="R5038">
        <v>0.99325203118818095</v>
      </c>
      <c r="S5038" t="s">
        <v>11440</v>
      </c>
      <c r="T5038" t="s">
        <v>12802</v>
      </c>
      <c r="U5038" t="s">
        <v>12802</v>
      </c>
      <c r="V5038" t="s">
        <v>12802</v>
      </c>
      <c r="W5038" t="s">
        <v>17776</v>
      </c>
      <c r="X5038">
        <v>9</v>
      </c>
      <c r="Y5038" t="s">
        <v>23992</v>
      </c>
      <c r="Z5038" t="s">
        <v>30356</v>
      </c>
      <c r="AA5038">
        <v>0.41527211500169398</v>
      </c>
      <c r="AB5038" t="str">
        <f>HYPERLINK("Melting_Curves/meltCurve_Q96QC0_PPP1R10.pdf", "Melting_Curves/meltCurve_Q96QC0_PPP1R10.pdf")</f>
        <v>Melting_Curves/meltCurve_Q96QC0_PPP1R10.pdf</v>
      </c>
    </row>
    <row r="5039" spans="1:28" x14ac:dyDescent="0.25">
      <c r="A5039" t="s">
        <v>5043</v>
      </c>
      <c r="B5039">
        <v>0.99542014353169495</v>
      </c>
      <c r="C5039">
        <v>0.941472645520255</v>
      </c>
      <c r="D5039">
        <v>0.89317106704490001</v>
      </c>
      <c r="E5039">
        <v>0.80501066471732097</v>
      </c>
      <c r="F5039">
        <v>0.64034527689406695</v>
      </c>
      <c r="G5039">
        <v>0.31710564808770603</v>
      </c>
      <c r="H5039">
        <v>0.21879796940298901</v>
      </c>
      <c r="I5039">
        <v>0.16433693799775101</v>
      </c>
      <c r="J5039">
        <v>0.29423716271156702</v>
      </c>
      <c r="K5039">
        <v>0.28992431594889201</v>
      </c>
      <c r="L5039">
        <v>958.84784020527695</v>
      </c>
      <c r="M5039">
        <v>19.3231796174876</v>
      </c>
      <c r="N5039">
        <v>51.153629802612798</v>
      </c>
      <c r="O5039">
        <v>49.0993567340591</v>
      </c>
      <c r="P5039">
        <v>-7.6776279108381598E-2</v>
      </c>
      <c r="Q5039">
        <v>0.21968845804961601</v>
      </c>
      <c r="R5039">
        <v>0.96715030965639603</v>
      </c>
      <c r="S5039" t="s">
        <v>11441</v>
      </c>
      <c r="T5039" t="s">
        <v>12802</v>
      </c>
      <c r="U5039" t="s">
        <v>12802</v>
      </c>
      <c r="V5039" t="s">
        <v>12802</v>
      </c>
      <c r="W5039" t="s">
        <v>17777</v>
      </c>
      <c r="X5039">
        <v>2</v>
      </c>
      <c r="Y5039" t="s">
        <v>23993</v>
      </c>
      <c r="Z5039" t="s">
        <v>30357</v>
      </c>
      <c r="AA5039">
        <v>0.5589091060003597</v>
      </c>
      <c r="AB5039" t="str">
        <f>HYPERLINK("Melting_Curves/meltCurve_Q96QC4_MICA.pdf", "Melting_Curves/meltCurve_Q96QC4_MICA.pdf")</f>
        <v>Melting_Curves/meltCurve_Q96QC4_MICA.pdf</v>
      </c>
    </row>
    <row r="5040" spans="1:28" x14ac:dyDescent="0.25">
      <c r="A5040" t="s">
        <v>5044</v>
      </c>
      <c r="B5040">
        <v>0.99542014353169495</v>
      </c>
      <c r="C5040">
        <v>0.93757543255030396</v>
      </c>
      <c r="D5040">
        <v>0.75322071966822002</v>
      </c>
      <c r="E5040">
        <v>0.479088282849925</v>
      </c>
      <c r="F5040">
        <v>0.31790642997074497</v>
      </c>
      <c r="G5040">
        <v>0.209892822737414</v>
      </c>
      <c r="H5040">
        <v>0.166800771332966</v>
      </c>
      <c r="I5040">
        <v>0.10038768439378</v>
      </c>
      <c r="J5040">
        <v>0.136479609137204</v>
      </c>
      <c r="K5040">
        <v>9.8054569386379103E-2</v>
      </c>
      <c r="L5040">
        <v>686.49708670406096</v>
      </c>
      <c r="M5040">
        <v>14.967171413080401</v>
      </c>
      <c r="N5040">
        <v>46.625411721109003</v>
      </c>
      <c r="O5040">
        <v>45.071439008896199</v>
      </c>
      <c r="P5040">
        <v>-7.4055539515747906E-2</v>
      </c>
      <c r="Q5040">
        <v>0.108061521188189</v>
      </c>
      <c r="R5040">
        <v>0.99671868570287503</v>
      </c>
      <c r="S5040" t="s">
        <v>11442</v>
      </c>
      <c r="T5040" t="s">
        <v>12802</v>
      </c>
      <c r="U5040" t="s">
        <v>12802</v>
      </c>
      <c r="V5040" t="s">
        <v>12802</v>
      </c>
      <c r="W5040" t="s">
        <v>17778</v>
      </c>
      <c r="X5040">
        <v>2</v>
      </c>
      <c r="Y5040" t="s">
        <v>23994</v>
      </c>
      <c r="Z5040" t="s">
        <v>30358</v>
      </c>
      <c r="AA5040">
        <v>0.392415325928541</v>
      </c>
      <c r="AB5040" t="str">
        <f>HYPERLINK("Melting_Curves/meltCurve_Q96QD5_2_DEPDC7.pdf", "Melting_Curves/meltCurve_Q96QD5_2_DEPDC7.pdf")</f>
        <v>Melting_Curves/meltCurve_Q96QD5_2_DEPDC7.pdf</v>
      </c>
    </row>
    <row r="5041" spans="1:28" x14ac:dyDescent="0.25">
      <c r="A5041" t="s">
        <v>5045</v>
      </c>
      <c r="B5041">
        <v>0.99542014353169495</v>
      </c>
      <c r="C5041">
        <v>1.0655767141817101</v>
      </c>
      <c r="D5041">
        <v>1.0073343222915101</v>
      </c>
      <c r="E5041">
        <v>0.81348739591366304</v>
      </c>
      <c r="F5041">
        <v>0.61966536161478902</v>
      </c>
      <c r="G5041">
        <v>0.17949421360194701</v>
      </c>
      <c r="H5041">
        <v>0.11514727037403499</v>
      </c>
      <c r="I5041">
        <v>8.1003751825730899E-2</v>
      </c>
      <c r="J5041">
        <v>7.69657071931871E-2</v>
      </c>
      <c r="K5041">
        <v>8.9774317481958604E-2</v>
      </c>
      <c r="L5041">
        <v>1219.2114437522</v>
      </c>
      <c r="M5041">
        <v>24.1833553986461</v>
      </c>
      <c r="N5041">
        <v>50.719625087496297</v>
      </c>
      <c r="O5041">
        <v>50.074377942525899</v>
      </c>
      <c r="P5041">
        <v>-0.112585414452265</v>
      </c>
      <c r="Q5041">
        <v>6.7530908989983707E-2</v>
      </c>
      <c r="R5041">
        <v>0.98967048336804497</v>
      </c>
      <c r="S5041" t="s">
        <v>11443</v>
      </c>
      <c r="T5041" t="s">
        <v>12802</v>
      </c>
      <c r="U5041" t="s">
        <v>12802</v>
      </c>
      <c r="V5041" t="s">
        <v>12802</v>
      </c>
      <c r="W5041" t="s">
        <v>17779</v>
      </c>
      <c r="X5041">
        <v>9</v>
      </c>
      <c r="Y5041" t="s">
        <v>23995</v>
      </c>
      <c r="Z5041" t="s">
        <v>30359</v>
      </c>
      <c r="AA5041">
        <v>0.49322482548440832</v>
      </c>
      <c r="AB5041" t="str">
        <f>HYPERLINK("Melting_Curves/meltCurve_Q96QG7_MTMR9.pdf", "Melting_Curves/meltCurve_Q96QG7_MTMR9.pdf")</f>
        <v>Melting_Curves/meltCurve_Q96QG7_MTMR9.pdf</v>
      </c>
    </row>
    <row r="5042" spans="1:28" x14ac:dyDescent="0.25">
      <c r="A5042" t="s">
        <v>5046</v>
      </c>
      <c r="B5042">
        <v>0.99542014353169495</v>
      </c>
      <c r="C5042">
        <v>0.989959085882121</v>
      </c>
      <c r="D5042">
        <v>0.88985724945164801</v>
      </c>
      <c r="E5042">
        <v>0.83972333437566504</v>
      </c>
      <c r="F5042">
        <v>0.62655822902387404</v>
      </c>
      <c r="G5042">
        <v>0.337085635421498</v>
      </c>
      <c r="H5042">
        <v>0.11711648357607</v>
      </c>
      <c r="I5042">
        <v>8.4314735618114506E-2</v>
      </c>
      <c r="J5042">
        <v>9.4394646678011701E-2</v>
      </c>
      <c r="K5042">
        <v>0.119896408299681</v>
      </c>
      <c r="L5042">
        <v>910.45546822377798</v>
      </c>
      <c r="M5042">
        <v>17.8643160395801</v>
      </c>
      <c r="N5042">
        <v>51.341777223882303</v>
      </c>
      <c r="O5042">
        <v>50.339272749739202</v>
      </c>
      <c r="P5042">
        <v>-8.3274014242283603E-2</v>
      </c>
      <c r="Q5042">
        <v>6.1427210735518198E-2</v>
      </c>
      <c r="R5042">
        <v>0.99073235976465501</v>
      </c>
      <c r="S5042" t="s">
        <v>11444</v>
      </c>
      <c r="T5042" t="s">
        <v>12802</v>
      </c>
      <c r="U5042" t="s">
        <v>12802</v>
      </c>
      <c r="V5042" t="s">
        <v>12802</v>
      </c>
      <c r="W5042" t="s">
        <v>17780</v>
      </c>
      <c r="X5042">
        <v>27</v>
      </c>
      <c r="Y5042" t="s">
        <v>23996</v>
      </c>
      <c r="Z5042" t="s">
        <v>30360</v>
      </c>
      <c r="AA5042">
        <v>0.5130718379511392</v>
      </c>
      <c r="AB5042" t="str">
        <f>HYPERLINK("Melting_Curves/meltCurve_Q96QK1_VPS35.pdf", "Melting_Curves/meltCurve_Q96QK1_VPS35.pdf")</f>
        <v>Melting_Curves/meltCurve_Q96QK1_VPS35.pdf</v>
      </c>
    </row>
    <row r="5043" spans="1:28" x14ac:dyDescent="0.25">
      <c r="A5043" t="s">
        <v>5047</v>
      </c>
      <c r="B5043">
        <v>0.99542014353169495</v>
      </c>
      <c r="C5043">
        <v>0.86779188854018396</v>
      </c>
      <c r="D5043">
        <v>1.03417888158384</v>
      </c>
      <c r="E5043">
        <v>0.97199113536585502</v>
      </c>
      <c r="F5043">
        <v>0.74445924132151797</v>
      </c>
      <c r="G5043">
        <v>0.40189362678811402</v>
      </c>
      <c r="H5043">
        <v>0.25700413074378903</v>
      </c>
      <c r="I5043">
        <v>0.14737353155538799</v>
      </c>
      <c r="J5043">
        <v>0.132039762515337</v>
      </c>
      <c r="K5043">
        <v>9.0348718030361597E-2</v>
      </c>
      <c r="L5043">
        <v>1155.1795618617</v>
      </c>
      <c r="M5043">
        <v>22.080453168654</v>
      </c>
      <c r="N5043">
        <v>52.911959078545102</v>
      </c>
      <c r="O5043">
        <v>51.8933724009595</v>
      </c>
      <c r="P5043">
        <v>-9.4679935652128594E-2</v>
      </c>
      <c r="Q5043">
        <v>0.10995393885975201</v>
      </c>
      <c r="R5043">
        <v>0.98408807316179403</v>
      </c>
      <c r="S5043" t="s">
        <v>11445</v>
      </c>
      <c r="T5043" t="s">
        <v>12802</v>
      </c>
      <c r="U5043" t="s">
        <v>12802</v>
      </c>
      <c r="V5043" t="s">
        <v>12802</v>
      </c>
      <c r="W5043" t="s">
        <v>17781</v>
      </c>
      <c r="X5043">
        <v>1</v>
      </c>
      <c r="Y5043" t="s">
        <v>23997</v>
      </c>
      <c r="Z5043" t="s">
        <v>30361</v>
      </c>
      <c r="AA5043">
        <v>0.57413354218549373</v>
      </c>
      <c r="AB5043" t="str">
        <f>HYPERLINK("Melting_Curves/meltCurve_Q96QR8_PURB.pdf", "Melting_Curves/meltCurve_Q96QR8_PURB.pdf")</f>
        <v>Melting_Curves/meltCurve_Q96QR8_PURB.pdf</v>
      </c>
    </row>
    <row r="5044" spans="1:28" x14ac:dyDescent="0.25">
      <c r="A5044" t="s">
        <v>5048</v>
      </c>
      <c r="B5044">
        <v>0.99542014353169495</v>
      </c>
      <c r="C5044">
        <v>1.01808538773311</v>
      </c>
      <c r="D5044">
        <v>0.99304993040273204</v>
      </c>
      <c r="E5044">
        <v>0.78265019869098895</v>
      </c>
      <c r="F5044">
        <v>0.25918961812754998</v>
      </c>
      <c r="G5044">
        <v>0.135303576913126</v>
      </c>
      <c r="H5044">
        <v>0.10375850101303</v>
      </c>
      <c r="I5044">
        <v>6.7488541149313103E-2</v>
      </c>
      <c r="J5044">
        <v>8.2541203310059305E-2</v>
      </c>
      <c r="K5044">
        <v>9.22505698516244E-2</v>
      </c>
      <c r="L5044">
        <v>1680.1090584537601</v>
      </c>
      <c r="M5044">
        <v>34.9024144651193</v>
      </c>
      <c r="N5044">
        <v>48.412501603299297</v>
      </c>
      <c r="O5044">
        <v>47.980127523068496</v>
      </c>
      <c r="P5044">
        <v>-0.165497843276809</v>
      </c>
      <c r="Q5044">
        <v>8.9967922948069406E-2</v>
      </c>
      <c r="R5044">
        <v>0.99900466932207499</v>
      </c>
      <c r="S5044" t="s">
        <v>11446</v>
      </c>
      <c r="T5044" t="s">
        <v>12802</v>
      </c>
      <c r="U5044" t="s">
        <v>12802</v>
      </c>
      <c r="V5044" t="s">
        <v>12802</v>
      </c>
      <c r="W5044" t="s">
        <v>17782</v>
      </c>
      <c r="X5044">
        <v>16</v>
      </c>
      <c r="Y5044" t="s">
        <v>23998</v>
      </c>
      <c r="Z5044" t="s">
        <v>30362</v>
      </c>
      <c r="AA5044">
        <v>0.43179752228667378</v>
      </c>
      <c r="AB5044" t="str">
        <f>HYPERLINK("Melting_Curves/meltCurve_Q96QU8_XPO6.pdf", "Melting_Curves/meltCurve_Q96QU8_XPO6.pdf")</f>
        <v>Melting_Curves/meltCurve_Q96QU8_XPO6.pdf</v>
      </c>
    </row>
    <row r="5045" spans="1:28" x14ac:dyDescent="0.25">
      <c r="A5045" t="s">
        <v>5049</v>
      </c>
      <c r="B5045">
        <v>0.99542014353169495</v>
      </c>
      <c r="C5045">
        <v>0.97673360501750905</v>
      </c>
      <c r="D5045">
        <v>0.99199438527192396</v>
      </c>
      <c r="E5045">
        <v>0.85748701131863603</v>
      </c>
      <c r="F5045">
        <v>0.60145316279654304</v>
      </c>
      <c r="G5045">
        <v>0.218115928729574</v>
      </c>
      <c r="H5045">
        <v>9.6252756269505801E-2</v>
      </c>
      <c r="I5045">
        <v>6.4936712631341598E-2</v>
      </c>
      <c r="J5045">
        <v>6.6976400325450103E-2</v>
      </c>
      <c r="K5045">
        <v>6.8884983812101203E-2</v>
      </c>
      <c r="L5045">
        <v>1208.60264079991</v>
      </c>
      <c r="M5045">
        <v>23.8805051217279</v>
      </c>
      <c r="N5045">
        <v>50.849836280293303</v>
      </c>
      <c r="O5045">
        <v>50.259554697933801</v>
      </c>
      <c r="P5045">
        <v>-0.112471801727827</v>
      </c>
      <c r="Q5045">
        <v>5.3170850138433402E-2</v>
      </c>
      <c r="R5045">
        <v>0.99799658030960003</v>
      </c>
      <c r="S5045" t="s">
        <v>11447</v>
      </c>
      <c r="T5045" t="s">
        <v>12802</v>
      </c>
      <c r="U5045" t="s">
        <v>12802</v>
      </c>
      <c r="V5045" t="s">
        <v>12802</v>
      </c>
      <c r="W5045" t="s">
        <v>17783</v>
      </c>
      <c r="X5045">
        <v>24</v>
      </c>
      <c r="Y5045" t="s">
        <v>23999</v>
      </c>
      <c r="Z5045" t="s">
        <v>30363</v>
      </c>
      <c r="AA5045">
        <v>0.49180017682062183</v>
      </c>
      <c r="AB5045" t="str">
        <f>HYPERLINK("Melting_Curves/meltCurve_Q96QZ7_6_MAGI1.pdf", "Melting_Curves/meltCurve_Q96QZ7_6_MAGI1.pdf")</f>
        <v>Melting_Curves/meltCurve_Q96QZ7_6_MAGI1.pdf</v>
      </c>
    </row>
    <row r="5046" spans="1:28" x14ac:dyDescent="0.25">
      <c r="A5046" t="s">
        <v>5050</v>
      </c>
      <c r="B5046">
        <v>0.99542014353169495</v>
      </c>
      <c r="C5046">
        <v>0.86743336147654004</v>
      </c>
      <c r="D5046">
        <v>0.75057218958679395</v>
      </c>
      <c r="E5046">
        <v>0.363824103317124</v>
      </c>
      <c r="F5046">
        <v>0.19362637678245401</v>
      </c>
      <c r="G5046">
        <v>0.10935090262021301</v>
      </c>
      <c r="H5046">
        <v>6.9176842524200394E-2</v>
      </c>
      <c r="I5046">
        <v>5.10457580361822E-2</v>
      </c>
      <c r="J5046">
        <v>6.1600800361104997E-2</v>
      </c>
      <c r="K5046">
        <v>6.9820423755694805E-2</v>
      </c>
      <c r="L5046">
        <v>805.00525113072001</v>
      </c>
      <c r="M5046">
        <v>17.8868492116701</v>
      </c>
      <c r="N5046">
        <v>45.303696827170597</v>
      </c>
      <c r="O5046">
        <v>44.454200869074597</v>
      </c>
      <c r="P5046">
        <v>-9.5008462005662098E-2</v>
      </c>
      <c r="Q5046">
        <v>5.5549343099170402E-2</v>
      </c>
      <c r="R5046">
        <v>0.996286745588295</v>
      </c>
      <c r="S5046" t="s">
        <v>11448</v>
      </c>
      <c r="T5046" t="s">
        <v>12802</v>
      </c>
      <c r="U5046" t="s">
        <v>12802</v>
      </c>
      <c r="V5046" t="s">
        <v>12802</v>
      </c>
      <c r="W5046" t="s">
        <v>17784</v>
      </c>
      <c r="X5046">
        <v>26</v>
      </c>
      <c r="Y5046" t="s">
        <v>24000</v>
      </c>
      <c r="Z5046" t="s">
        <v>30364</v>
      </c>
      <c r="AA5046">
        <v>0.3232546376577829</v>
      </c>
      <c r="AB5046" t="str">
        <f>HYPERLINK("Melting_Curves/meltCurve_Q96R06_SPAG5.pdf", "Melting_Curves/meltCurve_Q96R06_SPAG5.pdf")</f>
        <v>Melting_Curves/meltCurve_Q96R06_SPAG5.pdf</v>
      </c>
    </row>
    <row r="5047" spans="1:28" x14ac:dyDescent="0.25">
      <c r="A5047" t="s">
        <v>5051</v>
      </c>
      <c r="B5047">
        <v>0.99542014353169495</v>
      </c>
      <c r="C5047">
        <v>0.87199258559428205</v>
      </c>
      <c r="D5047">
        <v>0.860013053849773</v>
      </c>
      <c r="E5047">
        <v>0.478994192110891</v>
      </c>
      <c r="F5047">
        <v>0.13507841153179501</v>
      </c>
      <c r="G5047">
        <v>8.5221666243182198E-2</v>
      </c>
      <c r="H5047">
        <v>5.8172768864465901E-2</v>
      </c>
      <c r="I5047">
        <v>3.9563160749811997E-2</v>
      </c>
      <c r="J5047">
        <v>4.3189011375785999E-2</v>
      </c>
      <c r="K5047">
        <v>3.9435244240470603E-2</v>
      </c>
      <c r="L5047">
        <v>1025.5295637105801</v>
      </c>
      <c r="M5047">
        <v>22.240656179241299</v>
      </c>
      <c r="N5047">
        <v>46.270737719501902</v>
      </c>
      <c r="O5047">
        <v>45.742647750009603</v>
      </c>
      <c r="P5047">
        <v>-0.11705253698745</v>
      </c>
      <c r="Q5047">
        <v>3.7046574605083801E-2</v>
      </c>
      <c r="R5047">
        <v>0.99172568836194297</v>
      </c>
      <c r="S5047" t="s">
        <v>11449</v>
      </c>
      <c r="T5047" t="s">
        <v>12802</v>
      </c>
      <c r="U5047" t="s">
        <v>12802</v>
      </c>
      <c r="V5047" t="s">
        <v>12802</v>
      </c>
      <c r="W5047" t="s">
        <v>17785</v>
      </c>
      <c r="X5047">
        <v>10</v>
      </c>
      <c r="Y5047" t="s">
        <v>24001</v>
      </c>
      <c r="Z5047" t="s">
        <v>30365</v>
      </c>
      <c r="AA5047">
        <v>0.33962845559578247</v>
      </c>
      <c r="AB5047" t="str">
        <f>HYPERLINK("Melting_Curves/meltCurve_Q96RE7_NACC1.pdf", "Melting_Curves/meltCurve_Q96RE7_NACC1.pdf")</f>
        <v>Melting_Curves/meltCurve_Q96RE7_NACC1.pdf</v>
      </c>
    </row>
    <row r="5048" spans="1:28" x14ac:dyDescent="0.25">
      <c r="A5048" t="s">
        <v>5052</v>
      </c>
      <c r="B5048">
        <v>0.99542014353169495</v>
      </c>
      <c r="C5048">
        <v>1.01159718966476</v>
      </c>
      <c r="D5048">
        <v>1.0826439769640499</v>
      </c>
      <c r="E5048">
        <v>0.67218121084176896</v>
      </c>
      <c r="F5048">
        <v>0.16297761952349599</v>
      </c>
      <c r="G5048">
        <v>4.4039001913210897E-2</v>
      </c>
      <c r="H5048">
        <v>2.8341180203207399E-2</v>
      </c>
      <c r="I5048">
        <v>0</v>
      </c>
      <c r="J5048">
        <v>0</v>
      </c>
      <c r="K5048">
        <v>0</v>
      </c>
      <c r="L5048">
        <v>1717.0602765659701</v>
      </c>
      <c r="M5048">
        <v>36.056523491851898</v>
      </c>
      <c r="N5048">
        <v>47.655675980591298</v>
      </c>
      <c r="O5048">
        <v>47.475574760528303</v>
      </c>
      <c r="P5048">
        <v>-0.187436400155123</v>
      </c>
      <c r="Q5048">
        <v>1.28140560655793E-2</v>
      </c>
      <c r="R5048">
        <v>0.99405011020835898</v>
      </c>
      <c r="S5048" t="s">
        <v>11450</v>
      </c>
      <c r="T5048" t="s">
        <v>12802</v>
      </c>
      <c r="U5048" t="s">
        <v>12802</v>
      </c>
      <c r="V5048" t="s">
        <v>12802</v>
      </c>
      <c r="W5048" t="s">
        <v>17786</v>
      </c>
      <c r="X5048">
        <v>2</v>
      </c>
      <c r="Y5048" t="s">
        <v>24002</v>
      </c>
      <c r="Z5048" t="s">
        <v>30366</v>
      </c>
      <c r="AA5048">
        <v>0.36632892826312757</v>
      </c>
      <c r="AB5048" t="str">
        <f>HYPERLINK("Melting_Curves/meltCurve_Q96RF0_3_SNX18.pdf", "Melting_Curves/meltCurve_Q96RF0_3_SNX18.pdf")</f>
        <v>Melting_Curves/meltCurve_Q96RF0_3_SNX18.pdf</v>
      </c>
    </row>
    <row r="5049" spans="1:28" x14ac:dyDescent="0.25">
      <c r="A5049" t="s">
        <v>5053</v>
      </c>
      <c r="B5049">
        <v>0.99542014353169495</v>
      </c>
      <c r="C5049">
        <v>0.97085953995864505</v>
      </c>
      <c r="D5049">
        <v>0.95985128445545298</v>
      </c>
      <c r="E5049">
        <v>0.75854899742447701</v>
      </c>
      <c r="F5049">
        <v>0.61409300728566896</v>
      </c>
      <c r="G5049">
        <v>0.40232648699697499</v>
      </c>
      <c r="H5049">
        <v>0.266471410622586</v>
      </c>
      <c r="I5049">
        <v>0.17803398753848501</v>
      </c>
      <c r="J5049">
        <v>0.230000852643928</v>
      </c>
      <c r="K5049">
        <v>0.32196065360888498</v>
      </c>
      <c r="L5049">
        <v>819.81857652010297</v>
      </c>
      <c r="M5049">
        <v>16.522791621127201</v>
      </c>
      <c r="N5049">
        <v>51.438579314238602</v>
      </c>
      <c r="O5049">
        <v>48.907701884437699</v>
      </c>
      <c r="P5049">
        <v>-6.5760920311307897E-2</v>
      </c>
      <c r="Q5049">
        <v>0.221440480959291</v>
      </c>
      <c r="R5049">
        <v>0.98043968852215402</v>
      </c>
      <c r="S5049" t="s">
        <v>11451</v>
      </c>
      <c r="T5049" t="s">
        <v>12802</v>
      </c>
      <c r="U5049" t="s">
        <v>12802</v>
      </c>
      <c r="V5049" t="s">
        <v>12802</v>
      </c>
      <c r="W5049" t="s">
        <v>17787</v>
      </c>
      <c r="X5049">
        <v>11</v>
      </c>
      <c r="Y5049" t="s">
        <v>24003</v>
      </c>
      <c r="Z5049" t="s">
        <v>30367</v>
      </c>
      <c r="AA5049">
        <v>0.5630664456830019</v>
      </c>
      <c r="AB5049" t="str">
        <f>HYPERLINK("Melting_Curves/meltCurve_Q96RL1_UIMC1.pdf", "Melting_Curves/meltCurve_Q96RL1_UIMC1.pdf")</f>
        <v>Melting_Curves/meltCurve_Q96RL1_UIMC1.pdf</v>
      </c>
    </row>
    <row r="5050" spans="1:28" x14ac:dyDescent="0.25">
      <c r="A5050" t="s">
        <v>5054</v>
      </c>
      <c r="B5050">
        <v>0.99542014353169495</v>
      </c>
      <c r="C5050">
        <v>0.92077955912676801</v>
      </c>
      <c r="D5050">
        <v>0.95922058042082403</v>
      </c>
      <c r="E5050">
        <v>0.77506624811546498</v>
      </c>
      <c r="F5050">
        <v>0.64916510646093795</v>
      </c>
      <c r="G5050">
        <v>0.346751282709786</v>
      </c>
      <c r="H5050">
        <v>0.18632560918233401</v>
      </c>
      <c r="I5050">
        <v>0.12849351409089799</v>
      </c>
      <c r="J5050">
        <v>0.118587647234385</v>
      </c>
      <c r="K5050">
        <v>0.15285287674614001</v>
      </c>
      <c r="L5050">
        <v>791.79432250758896</v>
      </c>
      <c r="M5050">
        <v>15.5754040396634</v>
      </c>
      <c r="N5050">
        <v>51.471924524804002</v>
      </c>
      <c r="O5050">
        <v>50.0203142566465</v>
      </c>
      <c r="P5050">
        <v>-7.1040145881873601E-2</v>
      </c>
      <c r="Q5050">
        <v>8.7499572665326195E-2</v>
      </c>
      <c r="R5050">
        <v>0.98872919488181299</v>
      </c>
      <c r="S5050" t="s">
        <v>11452</v>
      </c>
      <c r="T5050" t="s">
        <v>12802</v>
      </c>
      <c r="U5050" t="s">
        <v>12802</v>
      </c>
      <c r="V5050" t="s">
        <v>12802</v>
      </c>
      <c r="W5050" t="s">
        <v>17788</v>
      </c>
      <c r="X5050">
        <v>9</v>
      </c>
      <c r="Y5050" t="s">
        <v>24004</v>
      </c>
      <c r="Z5050" t="s">
        <v>30368</v>
      </c>
      <c r="AA5050">
        <v>0.5259267337013116</v>
      </c>
      <c r="AB5050" t="str">
        <f>HYPERLINK("Melting_Curves/meltCurve_Q96RL7_4_VPS13A.pdf", "Melting_Curves/meltCurve_Q96RL7_4_VPS13A.pdf")</f>
        <v>Melting_Curves/meltCurve_Q96RL7_4_VPS13A.pdf</v>
      </c>
    </row>
    <row r="5051" spans="1:28" x14ac:dyDescent="0.25">
      <c r="A5051" t="s">
        <v>5055</v>
      </c>
      <c r="B5051">
        <v>0.99542014353169495</v>
      </c>
      <c r="C5051">
        <v>1.00867262112103</v>
      </c>
      <c r="D5051">
        <v>0.94626001326230802</v>
      </c>
      <c r="E5051">
        <v>0.737798223750599</v>
      </c>
      <c r="F5051">
        <v>0.46844628623491402</v>
      </c>
      <c r="G5051">
        <v>0.267534138390569</v>
      </c>
      <c r="H5051">
        <v>0.14133852059278701</v>
      </c>
      <c r="I5051">
        <v>0.103827413204904</v>
      </c>
      <c r="J5051">
        <v>7.8737927863254897E-2</v>
      </c>
      <c r="K5051">
        <v>0.16955947014287401</v>
      </c>
      <c r="L5051">
        <v>903.05661844652002</v>
      </c>
      <c r="M5051">
        <v>18.401653632560201</v>
      </c>
      <c r="N5051">
        <v>49.694117837009102</v>
      </c>
      <c r="O5051">
        <v>48.506212394293698</v>
      </c>
      <c r="P5051">
        <v>-8.51268725870825E-2</v>
      </c>
      <c r="Q5051">
        <v>0.102472962906236</v>
      </c>
      <c r="R5051">
        <v>0.99496509164046798</v>
      </c>
      <c r="S5051" t="s">
        <v>11453</v>
      </c>
      <c r="T5051" t="s">
        <v>12802</v>
      </c>
      <c r="U5051" t="s">
        <v>12802</v>
      </c>
      <c r="V5051" t="s">
        <v>12802</v>
      </c>
      <c r="W5051" t="s">
        <v>17789</v>
      </c>
      <c r="X5051">
        <v>11</v>
      </c>
      <c r="Y5051" t="s">
        <v>24005</v>
      </c>
      <c r="Z5051" t="s">
        <v>30369</v>
      </c>
      <c r="AA5051">
        <v>0.47744405126637468</v>
      </c>
      <c r="AB5051" t="str">
        <f>HYPERLINK("Melting_Curves/meltCurve_Q96RN5_3_MED15.pdf", "Melting_Curves/meltCurve_Q96RN5_3_MED15.pdf")</f>
        <v>Melting_Curves/meltCurve_Q96RN5_3_MED15.pdf</v>
      </c>
    </row>
    <row r="5052" spans="1:28" x14ac:dyDescent="0.25">
      <c r="A5052" t="s">
        <v>5056</v>
      </c>
      <c r="B5052">
        <v>0.99542014353169495</v>
      </c>
      <c r="C5052">
        <v>0.96363524972723402</v>
      </c>
      <c r="D5052">
        <v>1.0005075868945199</v>
      </c>
      <c r="E5052">
        <v>0.88981429413042801</v>
      </c>
      <c r="F5052">
        <v>0.39528775463421301</v>
      </c>
      <c r="G5052">
        <v>9.4743844555387494E-2</v>
      </c>
      <c r="H5052">
        <v>5.5885812798960301E-2</v>
      </c>
      <c r="I5052">
        <v>3.69142879928522E-2</v>
      </c>
      <c r="J5052">
        <v>4.0008523287109798E-2</v>
      </c>
      <c r="K5052">
        <v>3.9331291351516501E-2</v>
      </c>
      <c r="L5052">
        <v>1677.56558943593</v>
      </c>
      <c r="M5052">
        <v>33.950843151021097</v>
      </c>
      <c r="N5052">
        <v>49.533235088820902</v>
      </c>
      <c r="O5052">
        <v>49.2411188186651</v>
      </c>
      <c r="P5052">
        <v>-0.16547724259819799</v>
      </c>
      <c r="Q5052">
        <v>3.9994142652790297E-2</v>
      </c>
      <c r="R5052">
        <v>0.99921810120990295</v>
      </c>
      <c r="S5052" t="s">
        <v>11454</v>
      </c>
      <c r="T5052" t="s">
        <v>12802</v>
      </c>
      <c r="U5052" t="s">
        <v>12802</v>
      </c>
      <c r="V5052" t="s">
        <v>12802</v>
      </c>
      <c r="W5052" t="s">
        <v>17790</v>
      </c>
      <c r="X5052">
        <v>27</v>
      </c>
      <c r="Y5052" t="s">
        <v>24006</v>
      </c>
      <c r="Z5052" t="s">
        <v>30370</v>
      </c>
      <c r="AA5052">
        <v>0.44172414045541392</v>
      </c>
      <c r="AB5052" t="str">
        <f>HYPERLINK("Melting_Curves/meltCurve_Q96RP9_GFM1.pdf", "Melting_Curves/meltCurve_Q96RP9_GFM1.pdf")</f>
        <v>Melting_Curves/meltCurve_Q96RP9_GFM1.pdf</v>
      </c>
    </row>
    <row r="5053" spans="1:28" x14ac:dyDescent="0.25">
      <c r="A5053" t="s">
        <v>5057</v>
      </c>
      <c r="B5053">
        <v>0.99542014353169495</v>
      </c>
      <c r="C5053">
        <v>0.96235226007312002</v>
      </c>
      <c r="D5053">
        <v>0.74504336810648797</v>
      </c>
      <c r="E5053">
        <v>0.72049504169858003</v>
      </c>
      <c r="F5053">
        <v>0.47806847366397798</v>
      </c>
      <c r="G5053">
        <v>0.23605589421804701</v>
      </c>
      <c r="H5053">
        <v>9.5616341025995505E-2</v>
      </c>
      <c r="I5053">
        <v>7.5643905484148496E-2</v>
      </c>
      <c r="J5053">
        <v>7.3837937232279993E-2</v>
      </c>
      <c r="K5053">
        <v>5.70002853349462E-2</v>
      </c>
      <c r="L5053">
        <v>598.58068648250298</v>
      </c>
      <c r="M5053">
        <v>12.1719446846254</v>
      </c>
      <c r="N5053">
        <v>49.1770696464976</v>
      </c>
      <c r="O5053">
        <v>47.9061794101871</v>
      </c>
      <c r="P5053">
        <v>-6.3534191659000303E-2</v>
      </c>
      <c r="Q5053">
        <v>0</v>
      </c>
      <c r="R5053">
        <v>0.98411323810878404</v>
      </c>
      <c r="S5053" t="s">
        <v>11455</v>
      </c>
      <c r="T5053" t="s">
        <v>12802</v>
      </c>
      <c r="U5053" t="s">
        <v>12802</v>
      </c>
      <c r="V5053" t="s">
        <v>12802</v>
      </c>
      <c r="W5053" t="s">
        <v>17791</v>
      </c>
      <c r="X5053">
        <v>3</v>
      </c>
      <c r="Y5053" t="s">
        <v>24007</v>
      </c>
      <c r="Z5053" t="s">
        <v>30371</v>
      </c>
      <c r="AA5053">
        <v>0.43478757417790681</v>
      </c>
      <c r="AB5053" t="str">
        <f>HYPERLINK("Melting_Curves/meltCurve_Q96RR1_PEO1.pdf", "Melting_Curves/meltCurve_Q96RR1_PEO1.pdf")</f>
        <v>Melting_Curves/meltCurve_Q96RR1_PEO1.pdf</v>
      </c>
    </row>
    <row r="5054" spans="1:28" x14ac:dyDescent="0.25">
      <c r="A5054" t="s">
        <v>5058</v>
      </c>
      <c r="B5054">
        <v>0.99542014353169495</v>
      </c>
      <c r="C5054">
        <v>0.99954767125316102</v>
      </c>
      <c r="D5054">
        <v>0.89041942306908906</v>
      </c>
      <c r="E5054">
        <v>0.63916484190370904</v>
      </c>
      <c r="F5054">
        <v>0.35965443700392402</v>
      </c>
      <c r="G5054">
        <v>0.129041774473656</v>
      </c>
      <c r="H5054">
        <v>7.3849035273823693E-2</v>
      </c>
      <c r="I5054">
        <v>6.1304556080311601E-2</v>
      </c>
      <c r="J5054">
        <v>4.86129441474474E-2</v>
      </c>
      <c r="K5054">
        <v>2.48892409750275E-2</v>
      </c>
      <c r="L5054">
        <v>867.80346509871902</v>
      </c>
      <c r="M5054">
        <v>18.0510084619678</v>
      </c>
      <c r="N5054">
        <v>48.230969686179002</v>
      </c>
      <c r="O5054">
        <v>47.4967070426829</v>
      </c>
      <c r="P5054">
        <v>-9.2323888793244199E-2</v>
      </c>
      <c r="Q5054">
        <v>2.8338894433656399E-2</v>
      </c>
      <c r="R5054">
        <v>0.99867434497468599</v>
      </c>
      <c r="S5054" t="s">
        <v>11456</v>
      </c>
      <c r="T5054" t="s">
        <v>12802</v>
      </c>
      <c r="U5054" t="s">
        <v>12802</v>
      </c>
      <c r="V5054" t="s">
        <v>12802</v>
      </c>
      <c r="W5054" t="s">
        <v>17792</v>
      </c>
      <c r="X5054">
        <v>3</v>
      </c>
      <c r="Y5054" t="s">
        <v>24008</v>
      </c>
      <c r="Z5054" t="s">
        <v>30372</v>
      </c>
      <c r="AA5054">
        <v>0.40249199013420278</v>
      </c>
      <c r="AB5054" t="str">
        <f>HYPERLINK("Melting_Curves/meltCurve_Q96RR4_6_CAMKK2.pdf", "Melting_Curves/meltCurve_Q96RR4_6_CAMKK2.pdf")</f>
        <v>Melting_Curves/meltCurve_Q96RR4_6_CAMKK2.pdf</v>
      </c>
    </row>
    <row r="5055" spans="1:28" x14ac:dyDescent="0.25">
      <c r="A5055" t="s">
        <v>5059</v>
      </c>
      <c r="B5055">
        <v>0.99542014353169495</v>
      </c>
      <c r="C5055">
        <v>0.86957761803104405</v>
      </c>
      <c r="D5055">
        <v>0.70096755390534005</v>
      </c>
      <c r="E5055">
        <v>0.46828799034761898</v>
      </c>
      <c r="F5055">
        <v>0.31161025758187799</v>
      </c>
      <c r="G5055">
        <v>0.13354038412712399</v>
      </c>
      <c r="H5055">
        <v>0.103128088213265</v>
      </c>
      <c r="I5055">
        <v>0.10275496004104601</v>
      </c>
      <c r="J5055">
        <v>7.7301904077844402E-2</v>
      </c>
      <c r="K5055">
        <v>5.7699670064473199E-2</v>
      </c>
      <c r="L5055">
        <v>597.67727643917601</v>
      </c>
      <c r="M5055">
        <v>13.0571563539891</v>
      </c>
      <c r="N5055">
        <v>46.140062450673</v>
      </c>
      <c r="O5055">
        <v>44.740160464027397</v>
      </c>
      <c r="P5055">
        <v>-6.9382438852078204E-2</v>
      </c>
      <c r="Q5055">
        <v>4.9213149647934898E-2</v>
      </c>
      <c r="R5055">
        <v>0.99614173263055095</v>
      </c>
      <c r="S5055" t="s">
        <v>11457</v>
      </c>
      <c r="T5055" t="s">
        <v>12802</v>
      </c>
      <c r="U5055" t="s">
        <v>12802</v>
      </c>
      <c r="V5055" t="s">
        <v>12802</v>
      </c>
      <c r="W5055" t="s">
        <v>17793</v>
      </c>
      <c r="X5055">
        <v>5</v>
      </c>
      <c r="Y5055" t="s">
        <v>24009</v>
      </c>
      <c r="Z5055" t="s">
        <v>30373</v>
      </c>
      <c r="AA5055">
        <v>0.35586165303721828</v>
      </c>
      <c r="AB5055" t="str">
        <f>HYPERLINK("Melting_Curves/meltCurve_Q96RS0_TGS1.pdf", "Melting_Curves/meltCurve_Q96RS0_TGS1.pdf")</f>
        <v>Melting_Curves/meltCurve_Q96RS0_TGS1.pdf</v>
      </c>
    </row>
    <row r="5056" spans="1:28" x14ac:dyDescent="0.25">
      <c r="A5056" t="s">
        <v>5060</v>
      </c>
      <c r="B5056">
        <v>0.99542014353169495</v>
      </c>
      <c r="C5056">
        <v>1.0310964701597201</v>
      </c>
      <c r="D5056">
        <v>0.99360706506934304</v>
      </c>
      <c r="E5056">
        <v>0.84373634709455403</v>
      </c>
      <c r="F5056">
        <v>0.58649202072198203</v>
      </c>
      <c r="G5056">
        <v>0.2672472100321</v>
      </c>
      <c r="H5056">
        <v>0.130111320615834</v>
      </c>
      <c r="I5056">
        <v>9.1459031298329205E-2</v>
      </c>
      <c r="J5056">
        <v>8.6904683273144906E-2</v>
      </c>
      <c r="K5056">
        <v>5.7697660782239701E-2</v>
      </c>
      <c r="L5056">
        <v>1048.94278107026</v>
      </c>
      <c r="M5056">
        <v>20.720591675839898</v>
      </c>
      <c r="N5056">
        <v>50.945127568643599</v>
      </c>
      <c r="O5056">
        <v>50.158766690644299</v>
      </c>
      <c r="P5056">
        <v>-9.6940629201126005E-2</v>
      </c>
      <c r="Q5056">
        <v>6.1361785657267402E-2</v>
      </c>
      <c r="R5056">
        <v>0.99840547317458095</v>
      </c>
      <c r="S5056" t="s">
        <v>11458</v>
      </c>
      <c r="T5056" t="s">
        <v>12802</v>
      </c>
      <c r="U5056" t="s">
        <v>12802</v>
      </c>
      <c r="V5056" t="s">
        <v>12802</v>
      </c>
      <c r="W5056" t="s">
        <v>17794</v>
      </c>
      <c r="X5056">
        <v>12</v>
      </c>
      <c r="Y5056" t="s">
        <v>24010</v>
      </c>
      <c r="Z5056" t="s">
        <v>30374</v>
      </c>
      <c r="AA5056">
        <v>0.49920325403091281</v>
      </c>
      <c r="AB5056" t="str">
        <f>HYPERLINK("Melting_Curves/meltCurve_Q96RS6_NUDCD1.pdf", "Melting_Curves/meltCurve_Q96RS6_NUDCD1.pdf")</f>
        <v>Melting_Curves/meltCurve_Q96RS6_NUDCD1.pdf</v>
      </c>
    </row>
    <row r="5057" spans="1:28" x14ac:dyDescent="0.25">
      <c r="A5057" t="s">
        <v>5061</v>
      </c>
      <c r="B5057">
        <v>0.99542014353169495</v>
      </c>
      <c r="C5057">
        <v>1.0020011628324299</v>
      </c>
      <c r="D5057">
        <v>0.96591624656378805</v>
      </c>
      <c r="E5057">
        <v>0.86060305373980595</v>
      </c>
      <c r="F5057">
        <v>0.535514942448725</v>
      </c>
      <c r="G5057">
        <v>0.19764583678818001</v>
      </c>
      <c r="H5057">
        <v>0.103721707893769</v>
      </c>
      <c r="I5057">
        <v>6.4715391842192396E-2</v>
      </c>
      <c r="J5057">
        <v>7.75418818987786E-2</v>
      </c>
      <c r="K5057">
        <v>8.0404720995097906E-2</v>
      </c>
      <c r="L5057">
        <v>1224.9510193553299</v>
      </c>
      <c r="M5057">
        <v>24.4518029105101</v>
      </c>
      <c r="N5057">
        <v>50.386140754595999</v>
      </c>
      <c r="O5057">
        <v>49.765086740874601</v>
      </c>
      <c r="P5057">
        <v>-0.114785549092056</v>
      </c>
      <c r="Q5057">
        <v>6.5552926988913907E-2</v>
      </c>
      <c r="R5057">
        <v>0.999226789917675</v>
      </c>
      <c r="S5057" t="s">
        <v>11459</v>
      </c>
      <c r="T5057" t="s">
        <v>12802</v>
      </c>
      <c r="U5057" t="s">
        <v>12802</v>
      </c>
      <c r="V5057" t="s">
        <v>12802</v>
      </c>
      <c r="W5057" t="s">
        <v>17795</v>
      </c>
      <c r="X5057">
        <v>17</v>
      </c>
      <c r="Y5057" t="s">
        <v>24011</v>
      </c>
      <c r="Z5057" t="s">
        <v>30375</v>
      </c>
      <c r="AA5057">
        <v>0.48201879342706522</v>
      </c>
      <c r="AB5057" t="str">
        <f>HYPERLINK("Melting_Curves/meltCurve_Q96RT1_9_ERBB2IP.pdf", "Melting_Curves/meltCurve_Q96RT1_9_ERBB2IP.pdf")</f>
        <v>Melting_Curves/meltCurve_Q96RT1_9_ERBB2IP.pdf</v>
      </c>
    </row>
    <row r="5058" spans="1:28" x14ac:dyDescent="0.25">
      <c r="A5058" t="s">
        <v>5062</v>
      </c>
      <c r="B5058">
        <v>0.99542014353169495</v>
      </c>
      <c r="C5058">
        <v>1.04036046129187</v>
      </c>
      <c r="D5058">
        <v>1.02575973335465</v>
      </c>
      <c r="E5058">
        <v>0.64471195547642202</v>
      </c>
      <c r="F5058">
        <v>0.277770358935164</v>
      </c>
      <c r="G5058">
        <v>0.164591508235085</v>
      </c>
      <c r="H5058">
        <v>8.1767709457790896E-2</v>
      </c>
      <c r="I5058">
        <v>7.0658468494793902E-2</v>
      </c>
      <c r="J5058">
        <v>5.3305291006974703E-2</v>
      </c>
      <c r="K5058">
        <v>8.3900432305350603E-2</v>
      </c>
      <c r="L5058">
        <v>1281.7251426268199</v>
      </c>
      <c r="M5058">
        <v>26.8938762006653</v>
      </c>
      <c r="N5058">
        <v>47.968980388831902</v>
      </c>
      <c r="O5058">
        <v>47.397467101926402</v>
      </c>
      <c r="P5058">
        <v>-0.130526989469334</v>
      </c>
      <c r="Q5058">
        <v>7.9852180583773094E-2</v>
      </c>
      <c r="R5058">
        <v>0.99327893040581705</v>
      </c>
      <c r="S5058" t="s">
        <v>11460</v>
      </c>
      <c r="T5058" t="s">
        <v>12802</v>
      </c>
      <c r="U5058" t="s">
        <v>12802</v>
      </c>
      <c r="V5058" t="s">
        <v>12802</v>
      </c>
      <c r="W5058" t="s">
        <v>17796</v>
      </c>
      <c r="X5058">
        <v>5</v>
      </c>
      <c r="Y5058" t="s">
        <v>24012</v>
      </c>
      <c r="Z5058" t="s">
        <v>30376</v>
      </c>
      <c r="AA5058">
        <v>0.41351309280752019</v>
      </c>
      <c r="AB5058" t="str">
        <f>HYPERLINK("Melting_Curves/meltCurve_Q96RU3_4_FNBP1.pdf", "Melting_Curves/meltCurve_Q96RU3_4_FNBP1.pdf")</f>
        <v>Melting_Curves/meltCurve_Q96RU3_4_FNBP1.pdf</v>
      </c>
    </row>
    <row r="5059" spans="1:28" x14ac:dyDescent="0.25">
      <c r="A5059" t="s">
        <v>5063</v>
      </c>
      <c r="B5059">
        <v>0.99542014353169495</v>
      </c>
      <c r="C5059">
        <v>1.09120812449534</v>
      </c>
      <c r="D5059">
        <v>0.98370027928875103</v>
      </c>
      <c r="E5059">
        <v>0.878269855351693</v>
      </c>
      <c r="F5059">
        <v>0.533725317973469</v>
      </c>
      <c r="G5059">
        <v>0.190552014919524</v>
      </c>
      <c r="H5059">
        <v>0.109780688694192</v>
      </c>
      <c r="I5059">
        <v>8.9028502271756293E-2</v>
      </c>
      <c r="J5059">
        <v>0.104167910564802</v>
      </c>
      <c r="K5059">
        <v>0.117339517010835</v>
      </c>
      <c r="L5059">
        <v>1404.07531701686</v>
      </c>
      <c r="M5059">
        <v>28.093540280029199</v>
      </c>
      <c r="N5059">
        <v>50.359329408368602</v>
      </c>
      <c r="O5059">
        <v>49.727403771942001</v>
      </c>
      <c r="P5059">
        <v>-0.12772539318553999</v>
      </c>
      <c r="Q5059">
        <v>9.5678449669341595E-2</v>
      </c>
      <c r="R5059">
        <v>0.99414123682588995</v>
      </c>
      <c r="S5059" t="s">
        <v>11461</v>
      </c>
      <c r="T5059" t="s">
        <v>12802</v>
      </c>
      <c r="U5059" t="s">
        <v>12802</v>
      </c>
      <c r="V5059" t="s">
        <v>12802</v>
      </c>
      <c r="W5059" t="s">
        <v>17797</v>
      </c>
      <c r="X5059">
        <v>5</v>
      </c>
      <c r="Y5059" t="s">
        <v>24013</v>
      </c>
      <c r="Z5059" t="s">
        <v>30377</v>
      </c>
      <c r="AA5059">
        <v>0.49321628774218768</v>
      </c>
      <c r="AB5059" t="str">
        <f>HYPERLINK("Melting_Curves/meltCurve_Q96S19_3_C16orf13.pdf", "Melting_Curves/meltCurve_Q96S19_3_C16orf13.pdf")</f>
        <v>Melting_Curves/meltCurve_Q96S19_3_C16orf13.pdf</v>
      </c>
    </row>
    <row r="5060" spans="1:28" x14ac:dyDescent="0.25">
      <c r="A5060" t="s">
        <v>5064</v>
      </c>
      <c r="B5060">
        <v>0.99542014353169495</v>
      </c>
      <c r="C5060">
        <v>0.98550987713983296</v>
      </c>
      <c r="D5060">
        <v>0.86954356383156095</v>
      </c>
      <c r="E5060">
        <v>0.57137701588355505</v>
      </c>
      <c r="F5060">
        <v>0.338382093047574</v>
      </c>
      <c r="G5060">
        <v>0.26071667083685601</v>
      </c>
      <c r="H5060">
        <v>0.12706957702174301</v>
      </c>
      <c r="I5060">
        <v>6.5832108339600404E-2</v>
      </c>
      <c r="J5060">
        <v>5.5028922410786198E-2</v>
      </c>
      <c r="K5060">
        <v>5.0547548672693801E-2</v>
      </c>
      <c r="L5060">
        <v>701.57237760000896</v>
      </c>
      <c r="M5060">
        <v>14.6913642397258</v>
      </c>
      <c r="N5060">
        <v>48.063268833235199</v>
      </c>
      <c r="O5060">
        <v>46.895458950580696</v>
      </c>
      <c r="P5060">
        <v>-7.4796352526615498E-2</v>
      </c>
      <c r="Q5060">
        <v>4.5092114641715898E-2</v>
      </c>
      <c r="R5060">
        <v>0.99406116502636399</v>
      </c>
      <c r="S5060" t="s">
        <v>11462</v>
      </c>
      <c r="T5060" t="s">
        <v>12802</v>
      </c>
      <c r="U5060" t="s">
        <v>12802</v>
      </c>
      <c r="V5060" t="s">
        <v>12802</v>
      </c>
      <c r="W5060" t="s">
        <v>17798</v>
      </c>
      <c r="X5060">
        <v>5</v>
      </c>
      <c r="Y5060" t="s">
        <v>24014</v>
      </c>
      <c r="Z5060" t="s">
        <v>30378</v>
      </c>
      <c r="AA5060">
        <v>0.40930336180436439</v>
      </c>
      <c r="AB5060" t="str">
        <f>HYPERLINK("Melting_Curves/meltCurve_Q96S38_RPS6KC1.pdf", "Melting_Curves/meltCurve_Q96S38_RPS6KC1.pdf")</f>
        <v>Melting_Curves/meltCurve_Q96S38_RPS6KC1.pdf</v>
      </c>
    </row>
    <row r="5061" spans="1:28" x14ac:dyDescent="0.25">
      <c r="A5061" t="s">
        <v>5065</v>
      </c>
      <c r="B5061">
        <v>0.99542014353169495</v>
      </c>
      <c r="C5061">
        <v>1.04730887090925</v>
      </c>
      <c r="D5061">
        <v>0.97379132381992894</v>
      </c>
      <c r="E5061">
        <v>0.98989421977663705</v>
      </c>
      <c r="F5061">
        <v>0.85116055971730498</v>
      </c>
      <c r="G5061">
        <v>0.68058755928112302</v>
      </c>
      <c r="H5061">
        <v>0.364666903338626</v>
      </c>
      <c r="I5061">
        <v>0.16253843976670401</v>
      </c>
      <c r="J5061">
        <v>0.162706148086148</v>
      </c>
      <c r="K5061">
        <v>0.18780444714226599</v>
      </c>
      <c r="L5061">
        <v>1221.9311775027099</v>
      </c>
      <c r="M5061">
        <v>22.3290986990351</v>
      </c>
      <c r="N5061">
        <v>55.500797692518297</v>
      </c>
      <c r="O5061">
        <v>54.290464554384499</v>
      </c>
      <c r="P5061">
        <v>-8.9021106869609595E-2</v>
      </c>
      <c r="Q5061">
        <v>0.13424261039515001</v>
      </c>
      <c r="R5061">
        <v>0.99216419116709897</v>
      </c>
      <c r="S5061" t="s">
        <v>11463</v>
      </c>
      <c r="T5061" t="s">
        <v>12802</v>
      </c>
      <c r="U5061" t="s">
        <v>12802</v>
      </c>
      <c r="V5061" t="s">
        <v>12802</v>
      </c>
      <c r="W5061" t="s">
        <v>17799</v>
      </c>
      <c r="X5061">
        <v>6</v>
      </c>
      <c r="Y5061" t="s">
        <v>24015</v>
      </c>
      <c r="Z5061" t="s">
        <v>30379</v>
      </c>
      <c r="AA5061">
        <v>0.65446122643660287</v>
      </c>
      <c r="AB5061" t="str">
        <f>HYPERLINK("Melting_Curves/meltCurve_Q96S44_TP53RK.pdf", "Melting_Curves/meltCurve_Q96S44_TP53RK.pdf")</f>
        <v>Melting_Curves/meltCurve_Q96S44_TP53RK.pdf</v>
      </c>
    </row>
    <row r="5062" spans="1:28" x14ac:dyDescent="0.25">
      <c r="A5062" t="s">
        <v>5066</v>
      </c>
      <c r="B5062">
        <v>0.99542014353169495</v>
      </c>
      <c r="C5062">
        <v>0.87170500486748803</v>
      </c>
      <c r="D5062">
        <v>0.94027716319621002</v>
      </c>
      <c r="E5062">
        <v>0.71322823267803703</v>
      </c>
      <c r="F5062">
        <v>0.65781526792292899</v>
      </c>
      <c r="G5062">
        <v>0.37813013310743998</v>
      </c>
      <c r="H5062">
        <v>0.16847688807067501</v>
      </c>
      <c r="I5062">
        <v>0.101509195929947</v>
      </c>
      <c r="J5062">
        <v>7.4793068226772605E-2</v>
      </c>
      <c r="K5062">
        <v>8.5846975134455494E-2</v>
      </c>
      <c r="L5062">
        <v>624.33586026537398</v>
      </c>
      <c r="M5062">
        <v>12.143093132878599</v>
      </c>
      <c r="N5062">
        <v>51.414895045213299</v>
      </c>
      <c r="O5062">
        <v>50.0801129266952</v>
      </c>
      <c r="P5062">
        <v>-6.06322984618866E-2</v>
      </c>
      <c r="Q5062">
        <v>0</v>
      </c>
      <c r="R5062">
        <v>0.97947208320479495</v>
      </c>
      <c r="S5062" t="s">
        <v>11464</v>
      </c>
      <c r="T5062" t="s">
        <v>12802</v>
      </c>
      <c r="U5062" t="s">
        <v>12802</v>
      </c>
      <c r="V5062" t="s">
        <v>12802</v>
      </c>
      <c r="W5062" t="s">
        <v>17800</v>
      </c>
      <c r="X5062">
        <v>8</v>
      </c>
      <c r="Y5062" t="s">
        <v>24016</v>
      </c>
      <c r="Z5062" t="s">
        <v>30380</v>
      </c>
      <c r="AA5062">
        <v>0.50535553560488344</v>
      </c>
      <c r="AB5062" t="str">
        <f>HYPERLINK("Melting_Curves/meltCurve_Q96S52_PIGS.pdf", "Melting_Curves/meltCurve_Q96S52_PIGS.pdf")</f>
        <v>Melting_Curves/meltCurve_Q96S52_PIGS.pdf</v>
      </c>
    </row>
    <row r="5063" spans="1:28" x14ac:dyDescent="0.25">
      <c r="A5063" t="s">
        <v>5067</v>
      </c>
      <c r="B5063">
        <v>0.99542014353169495</v>
      </c>
      <c r="C5063">
        <v>0.95043839772845795</v>
      </c>
      <c r="D5063">
        <v>0.84995570580449098</v>
      </c>
      <c r="E5063">
        <v>0.47405943907963999</v>
      </c>
      <c r="F5063">
        <v>0.152405224968063</v>
      </c>
      <c r="G5063">
        <v>8.7324674813859304E-2</v>
      </c>
      <c r="H5063">
        <v>5.5826948378383201E-2</v>
      </c>
      <c r="I5063">
        <v>4.4496884995867403E-2</v>
      </c>
      <c r="J5063">
        <v>5.8446359571040302E-2</v>
      </c>
      <c r="K5063">
        <v>7.1108811702704597E-2</v>
      </c>
      <c r="L5063">
        <v>1092.0808197372201</v>
      </c>
      <c r="M5063">
        <v>23.706775884682202</v>
      </c>
      <c r="N5063">
        <v>46.283411811297597</v>
      </c>
      <c r="O5063">
        <v>45.742167300316702</v>
      </c>
      <c r="P5063">
        <v>-0.122747969979713</v>
      </c>
      <c r="Q5063">
        <v>5.2648238750884001E-2</v>
      </c>
      <c r="R5063">
        <v>0.99889012454498305</v>
      </c>
      <c r="S5063" t="s">
        <v>11465</v>
      </c>
      <c r="T5063" t="s">
        <v>12802</v>
      </c>
      <c r="U5063" t="s">
        <v>12802</v>
      </c>
      <c r="V5063" t="s">
        <v>12802</v>
      </c>
      <c r="W5063" t="s">
        <v>17801</v>
      </c>
      <c r="X5063">
        <v>9</v>
      </c>
      <c r="Y5063" t="s">
        <v>24017</v>
      </c>
      <c r="Z5063" t="s">
        <v>30381</v>
      </c>
      <c r="AA5063">
        <v>0.34770215681743888</v>
      </c>
      <c r="AB5063" t="str">
        <f>HYPERLINK("Melting_Curves/meltCurve_Q96S55_2_WRNIP1.pdf", "Melting_Curves/meltCurve_Q96S55_2_WRNIP1.pdf")</f>
        <v>Melting_Curves/meltCurve_Q96S55_2_WRNIP1.pdf</v>
      </c>
    </row>
    <row r="5064" spans="1:28" x14ac:dyDescent="0.25">
      <c r="A5064" t="s">
        <v>5068</v>
      </c>
      <c r="B5064">
        <v>0.99542014353169495</v>
      </c>
      <c r="C5064">
        <v>0.89912254036126804</v>
      </c>
      <c r="D5064">
        <v>0.79419075518189497</v>
      </c>
      <c r="E5064">
        <v>0.65493323480149102</v>
      </c>
      <c r="F5064">
        <v>0.41913098973528901</v>
      </c>
      <c r="G5064">
        <v>0.18479438281357799</v>
      </c>
      <c r="H5064">
        <v>0.11744594275787</v>
      </c>
      <c r="I5064">
        <v>7.7688613372985701E-2</v>
      </c>
      <c r="J5064">
        <v>8.7858341406983606E-2</v>
      </c>
      <c r="K5064">
        <v>9.2223631087188895E-2</v>
      </c>
      <c r="L5064">
        <v>623.02153848511898</v>
      </c>
      <c r="M5064">
        <v>12.9564862121447</v>
      </c>
      <c r="N5064">
        <v>48.362719502499999</v>
      </c>
      <c r="O5064">
        <v>46.983424290763402</v>
      </c>
      <c r="P5064">
        <v>-6.64879768103874E-2</v>
      </c>
      <c r="Q5064">
        <v>3.5765176393151799E-2</v>
      </c>
      <c r="R5064">
        <v>0.99241338621637898</v>
      </c>
      <c r="S5064" t="s">
        <v>11466</v>
      </c>
      <c r="T5064" t="s">
        <v>12802</v>
      </c>
      <c r="U5064" t="s">
        <v>12802</v>
      </c>
      <c r="V5064" t="s">
        <v>12802</v>
      </c>
      <c r="W5064" t="s">
        <v>17802</v>
      </c>
      <c r="X5064">
        <v>12</v>
      </c>
      <c r="Y5064" t="s">
        <v>24018</v>
      </c>
      <c r="Z5064" t="s">
        <v>30382</v>
      </c>
      <c r="AA5064">
        <v>0.41888129184083872</v>
      </c>
      <c r="AB5064" t="str">
        <f>HYPERLINK("Melting_Curves/meltCurve_Q96S59_RANBP9.pdf", "Melting_Curves/meltCurve_Q96S59_RANBP9.pdf")</f>
        <v>Melting_Curves/meltCurve_Q96S59_RANBP9.pdf</v>
      </c>
    </row>
    <row r="5065" spans="1:28" x14ac:dyDescent="0.25">
      <c r="A5065" t="s">
        <v>5069</v>
      </c>
      <c r="B5065">
        <v>0.99542014353169495</v>
      </c>
      <c r="C5065">
        <v>1.0172182350680401</v>
      </c>
      <c r="D5065">
        <v>1.0369063328000001</v>
      </c>
      <c r="E5065">
        <v>0.88352108200954704</v>
      </c>
      <c r="F5065">
        <v>0.73233908051323404</v>
      </c>
      <c r="G5065">
        <v>0.51957349704155098</v>
      </c>
      <c r="H5065">
        <v>0.29825871854161901</v>
      </c>
      <c r="I5065">
        <v>0.21064737899455199</v>
      </c>
      <c r="J5065">
        <v>0.22914984450445799</v>
      </c>
      <c r="K5065">
        <v>0.221518844541989</v>
      </c>
      <c r="L5065">
        <v>952.08961121429104</v>
      </c>
      <c r="M5065">
        <v>18.230431794461801</v>
      </c>
      <c r="N5065">
        <v>53.613710460279997</v>
      </c>
      <c r="O5065">
        <v>51.609048636409099</v>
      </c>
      <c r="P5065">
        <v>-7.16974113873904E-2</v>
      </c>
      <c r="Q5065">
        <v>0.18815701908951499</v>
      </c>
      <c r="R5065">
        <v>0.99341298742631901</v>
      </c>
      <c r="S5065" t="s">
        <v>11467</v>
      </c>
      <c r="T5065" t="s">
        <v>12802</v>
      </c>
      <c r="U5065" t="s">
        <v>12802</v>
      </c>
      <c r="V5065" t="s">
        <v>12802</v>
      </c>
      <c r="W5065" t="s">
        <v>17803</v>
      </c>
      <c r="X5065">
        <v>22</v>
      </c>
      <c r="Y5065" t="s">
        <v>24019</v>
      </c>
      <c r="Z5065" t="s">
        <v>30383</v>
      </c>
      <c r="AA5065">
        <v>0.61214399792216734</v>
      </c>
      <c r="AB5065" t="str">
        <f>HYPERLINK("Melting_Curves/meltCurve_Q96S66_CLCC1.pdf", "Melting_Curves/meltCurve_Q96S66_CLCC1.pdf")</f>
        <v>Melting_Curves/meltCurve_Q96S66_CLCC1.pdf</v>
      </c>
    </row>
    <row r="5066" spans="1:28" x14ac:dyDescent="0.25">
      <c r="A5066" t="s">
        <v>5070</v>
      </c>
      <c r="B5066">
        <v>0.99542014353169495</v>
      </c>
      <c r="C5066">
        <v>1.0093968081826601</v>
      </c>
      <c r="D5066">
        <v>0.93386547172497802</v>
      </c>
      <c r="E5066">
        <v>0.71420766459281804</v>
      </c>
      <c r="F5066">
        <v>0.36692788653043601</v>
      </c>
      <c r="G5066">
        <v>0.16587960863590301</v>
      </c>
      <c r="H5066">
        <v>7.7194143046389094E-2</v>
      </c>
      <c r="I5066">
        <v>6.1753818034064802E-2</v>
      </c>
      <c r="J5066">
        <v>6.6156555587331994E-2</v>
      </c>
      <c r="K5066">
        <v>6.2770237125132106E-2</v>
      </c>
      <c r="L5066">
        <v>1013.05335996778</v>
      </c>
      <c r="M5066">
        <v>20.893512454380499</v>
      </c>
      <c r="N5066">
        <v>48.7537623618908</v>
      </c>
      <c r="O5066">
        <v>48.048900707787702</v>
      </c>
      <c r="P5066">
        <v>-0.102830368758835</v>
      </c>
      <c r="Q5066">
        <v>5.4108346546052698E-2</v>
      </c>
      <c r="R5066">
        <v>0.99955304544808798</v>
      </c>
      <c r="S5066" t="s">
        <v>11468</v>
      </c>
      <c r="T5066" t="s">
        <v>12802</v>
      </c>
      <c r="U5066" t="s">
        <v>12802</v>
      </c>
      <c r="V5066" t="s">
        <v>12802</v>
      </c>
      <c r="W5066" t="s">
        <v>17804</v>
      </c>
      <c r="X5066">
        <v>5</v>
      </c>
      <c r="Y5066" t="s">
        <v>24020</v>
      </c>
      <c r="Z5066" t="s">
        <v>30384</v>
      </c>
      <c r="AA5066">
        <v>0.42774416638373741</v>
      </c>
      <c r="AB5066" t="str">
        <f>HYPERLINK("Melting_Curves/meltCurve_Q96S82_UBL7.pdf", "Melting_Curves/meltCurve_Q96S82_UBL7.pdf")</f>
        <v>Melting_Curves/meltCurve_Q96S82_UBL7.pdf</v>
      </c>
    </row>
    <row r="5067" spans="1:28" x14ac:dyDescent="0.25">
      <c r="A5067" t="s">
        <v>5071</v>
      </c>
      <c r="B5067">
        <v>0.99542014353169495</v>
      </c>
      <c r="C5067">
        <v>0.90574149338282295</v>
      </c>
      <c r="D5067">
        <v>0.93250477068258997</v>
      </c>
      <c r="E5067">
        <v>0.68012338325037103</v>
      </c>
      <c r="F5067">
        <v>0.22631487403154399</v>
      </c>
      <c r="G5067">
        <v>0.10161709829346</v>
      </c>
      <c r="H5067">
        <v>9.0607827614335903E-2</v>
      </c>
      <c r="I5067">
        <v>3.8071521965934503E-2</v>
      </c>
      <c r="J5067">
        <v>5.5969277615035902E-2</v>
      </c>
      <c r="K5067">
        <v>1.9124805847975501E-2</v>
      </c>
      <c r="L5067">
        <v>1235.7117067111701</v>
      </c>
      <c r="M5067">
        <v>25.920660014904701</v>
      </c>
      <c r="N5067">
        <v>47.849295736357803</v>
      </c>
      <c r="O5067">
        <v>47.391820089534797</v>
      </c>
      <c r="P5067">
        <v>-0.13050527891952701</v>
      </c>
      <c r="Q5067">
        <v>4.5578299812867797E-2</v>
      </c>
      <c r="R5067">
        <v>0.99305640789675598</v>
      </c>
      <c r="S5067" t="s">
        <v>11469</v>
      </c>
      <c r="T5067" t="s">
        <v>12802</v>
      </c>
      <c r="U5067" t="s">
        <v>12802</v>
      </c>
      <c r="V5067" t="s">
        <v>12802</v>
      </c>
      <c r="W5067" t="s">
        <v>17805</v>
      </c>
      <c r="X5067">
        <v>3</v>
      </c>
      <c r="Y5067" t="s">
        <v>24021</v>
      </c>
      <c r="Z5067" t="s">
        <v>30385</v>
      </c>
      <c r="AA5067">
        <v>0.39265667810277322</v>
      </c>
      <c r="AB5067" t="str">
        <f>HYPERLINK("Melting_Curves/meltCurve_Q96S94_CCNL2.pdf", "Melting_Curves/meltCurve_Q96S94_CCNL2.pdf")</f>
        <v>Melting_Curves/meltCurve_Q96S94_CCNL2.pdf</v>
      </c>
    </row>
    <row r="5068" spans="1:28" x14ac:dyDescent="0.25">
      <c r="A5068" t="s">
        <v>5072</v>
      </c>
      <c r="B5068">
        <v>0.99542014353169495</v>
      </c>
      <c r="C5068">
        <v>0.98756677230069501</v>
      </c>
      <c r="D5068">
        <v>0.82766354349486804</v>
      </c>
      <c r="E5068">
        <v>0.42618194493761202</v>
      </c>
      <c r="F5068">
        <v>0.15049409323518201</v>
      </c>
      <c r="G5068">
        <v>0.10572935224708301</v>
      </c>
      <c r="H5068">
        <v>6.5028157966073294E-2</v>
      </c>
      <c r="I5068">
        <v>5.40930759784745E-2</v>
      </c>
      <c r="J5068">
        <v>8.4360825290370201E-2</v>
      </c>
      <c r="K5068">
        <v>9.8174660382177398E-2</v>
      </c>
      <c r="L5068">
        <v>1144.4807791800799</v>
      </c>
      <c r="M5068">
        <v>25.0812982816859</v>
      </c>
      <c r="N5068">
        <v>45.927052945158202</v>
      </c>
      <c r="O5068">
        <v>45.343713102983401</v>
      </c>
      <c r="P5068">
        <v>-0.12795906063020901</v>
      </c>
      <c r="Q5068">
        <v>7.4678759652561905E-2</v>
      </c>
      <c r="R5068">
        <v>0.99874402352728797</v>
      </c>
      <c r="S5068" t="s">
        <v>11470</v>
      </c>
      <c r="T5068" t="s">
        <v>12802</v>
      </c>
      <c r="U5068" t="s">
        <v>12802</v>
      </c>
      <c r="V5068" t="s">
        <v>12802</v>
      </c>
      <c r="W5068" t="s">
        <v>17806</v>
      </c>
      <c r="X5068">
        <v>3</v>
      </c>
      <c r="Y5068" t="s">
        <v>24022</v>
      </c>
      <c r="Z5068" t="s">
        <v>30386</v>
      </c>
      <c r="AA5068">
        <v>0.34847319103232077</v>
      </c>
      <c r="AB5068" t="str">
        <f>HYPERLINK("Melting_Curves/meltCurve_Q96S99_PLEKHF1.pdf", "Melting_Curves/meltCurve_Q96S99_PLEKHF1.pdf")</f>
        <v>Melting_Curves/meltCurve_Q96S99_PLEKHF1.pdf</v>
      </c>
    </row>
    <row r="5069" spans="1:28" x14ac:dyDescent="0.25">
      <c r="A5069" t="s">
        <v>5073</v>
      </c>
      <c r="B5069">
        <v>0.99542014353169495</v>
      </c>
      <c r="C5069">
        <v>0.94058507851000595</v>
      </c>
      <c r="D5069">
        <v>0.91394259684573997</v>
      </c>
      <c r="E5069">
        <v>0.73742889720376703</v>
      </c>
      <c r="F5069">
        <v>0.51025095053786695</v>
      </c>
      <c r="G5069">
        <v>0.227692932520281</v>
      </c>
      <c r="H5069">
        <v>0.178874555991337</v>
      </c>
      <c r="I5069">
        <v>0.16521695274825399</v>
      </c>
      <c r="J5069">
        <v>0.23699783966523499</v>
      </c>
      <c r="K5069">
        <v>0.31409596308965498</v>
      </c>
      <c r="L5069">
        <v>1013.10139341966</v>
      </c>
      <c r="M5069">
        <v>20.9888324120876</v>
      </c>
      <c r="N5069">
        <v>49.5387252286136</v>
      </c>
      <c r="O5069">
        <v>47.836844054518998</v>
      </c>
      <c r="P5069">
        <v>-8.6867463181320104E-2</v>
      </c>
      <c r="Q5069">
        <v>0.20808310733981</v>
      </c>
      <c r="R5069">
        <v>0.973445718120999</v>
      </c>
      <c r="S5069" t="s">
        <v>11471</v>
      </c>
      <c r="T5069" t="s">
        <v>12802</v>
      </c>
      <c r="U5069" t="s">
        <v>12802</v>
      </c>
      <c r="V5069" t="s">
        <v>12802</v>
      </c>
      <c r="W5069" t="s">
        <v>17807</v>
      </c>
      <c r="X5069">
        <v>12</v>
      </c>
      <c r="Y5069" t="s">
        <v>24023</v>
      </c>
      <c r="Z5069" t="s">
        <v>30387</v>
      </c>
      <c r="AA5069">
        <v>0.51505049022075844</v>
      </c>
      <c r="AB5069" t="str">
        <f>HYPERLINK("Melting_Curves/meltCurve_Q96SB8_SMC6.pdf", "Melting_Curves/meltCurve_Q96SB8_SMC6.pdf")</f>
        <v>Melting_Curves/meltCurve_Q96SB8_SMC6.pdf</v>
      </c>
    </row>
    <row r="5070" spans="1:28" x14ac:dyDescent="0.25">
      <c r="A5070" t="s">
        <v>5074</v>
      </c>
      <c r="B5070">
        <v>0.99542014353169495</v>
      </c>
      <c r="C5070">
        <v>1.0190902002832301</v>
      </c>
      <c r="D5070">
        <v>0.93886103021077105</v>
      </c>
      <c r="E5070">
        <v>0.75997656568685001</v>
      </c>
      <c r="F5070">
        <v>0.62740995550544498</v>
      </c>
      <c r="G5070">
        <v>0.37715551151988602</v>
      </c>
      <c r="H5070">
        <v>0.28149235833363601</v>
      </c>
      <c r="I5070">
        <v>0.229488836260165</v>
      </c>
      <c r="J5070">
        <v>0.238794329339685</v>
      </c>
      <c r="K5070">
        <v>0.111382555532567</v>
      </c>
      <c r="L5070">
        <v>683.07926023815901</v>
      </c>
      <c r="M5070">
        <v>13.4906964772247</v>
      </c>
      <c r="N5070">
        <v>51.856811786896898</v>
      </c>
      <c r="O5070">
        <v>49.5596222738804</v>
      </c>
      <c r="P5070">
        <v>-5.8786065397795698E-2</v>
      </c>
      <c r="Q5070">
        <v>0.13630220694029899</v>
      </c>
      <c r="R5070">
        <v>0.98984409198855405</v>
      </c>
      <c r="S5070" t="s">
        <v>11472</v>
      </c>
      <c r="T5070" t="s">
        <v>12802</v>
      </c>
      <c r="U5070" t="s">
        <v>12802</v>
      </c>
      <c r="V5070" t="s">
        <v>12802</v>
      </c>
      <c r="W5070" t="s">
        <v>17808</v>
      </c>
      <c r="X5070">
        <v>4</v>
      </c>
      <c r="Y5070" t="s">
        <v>24024</v>
      </c>
      <c r="Z5070" t="s">
        <v>30388</v>
      </c>
      <c r="AA5070">
        <v>0.54904741905437981</v>
      </c>
      <c r="AB5070" t="str">
        <f>HYPERLINK("Melting_Curves/meltCurve_Q96SI1_KCTD15.pdf", "Melting_Curves/meltCurve_Q96SI1_KCTD15.pdf")</f>
        <v>Melting_Curves/meltCurve_Q96SI1_KCTD15.pdf</v>
      </c>
    </row>
    <row r="5071" spans="1:28" x14ac:dyDescent="0.25">
      <c r="A5071" t="s">
        <v>5075</v>
      </c>
      <c r="B5071">
        <v>0.99542014353169495</v>
      </c>
      <c r="C5071">
        <v>0.93194394301039796</v>
      </c>
      <c r="D5071">
        <v>0.91678261587541698</v>
      </c>
      <c r="E5071">
        <v>0.72606504279681305</v>
      </c>
      <c r="F5071">
        <v>0.66329341920455498</v>
      </c>
      <c r="G5071">
        <v>0.13287903569172199</v>
      </c>
      <c r="H5071">
        <v>5.5772576894208399E-2</v>
      </c>
      <c r="I5071">
        <v>3.19597687960083E-2</v>
      </c>
      <c r="J5071">
        <v>1.8793803540908999E-2</v>
      </c>
      <c r="K5071">
        <v>3.05102287717747E-2</v>
      </c>
      <c r="L5071">
        <v>955.98672687024896</v>
      </c>
      <c r="M5071">
        <v>18.972391415804299</v>
      </c>
      <c r="N5071">
        <v>50.388309368969303</v>
      </c>
      <c r="O5071">
        <v>49.838515925389601</v>
      </c>
      <c r="P5071">
        <v>-9.5173134556648803E-2</v>
      </c>
      <c r="Q5071">
        <v>0</v>
      </c>
      <c r="R5071">
        <v>0.97119521582031798</v>
      </c>
      <c r="S5071" t="s">
        <v>11473</v>
      </c>
      <c r="T5071" t="s">
        <v>12802</v>
      </c>
      <c r="U5071" t="s">
        <v>12802</v>
      </c>
      <c r="V5071" t="s">
        <v>12802</v>
      </c>
      <c r="W5071" t="s">
        <v>17809</v>
      </c>
      <c r="X5071">
        <v>5</v>
      </c>
      <c r="Y5071" t="s">
        <v>24025</v>
      </c>
      <c r="Z5071" t="s">
        <v>30389</v>
      </c>
      <c r="AA5071">
        <v>0.4606549695931445</v>
      </c>
      <c r="AB5071" t="str">
        <f>HYPERLINK("Melting_Curves/meltCurve_Q96SK2_2_TMEM209.pdf", "Melting_Curves/meltCurve_Q96SK2_2_TMEM209.pdf")</f>
        <v>Melting_Curves/meltCurve_Q96SK2_2_TMEM209.pdf</v>
      </c>
    </row>
    <row r="5072" spans="1:28" x14ac:dyDescent="0.25">
      <c r="A5072" t="s">
        <v>5076</v>
      </c>
      <c r="B5072">
        <v>0.99542014353169495</v>
      </c>
      <c r="C5072">
        <v>0.80158348219345599</v>
      </c>
      <c r="D5072">
        <v>0.81373459519900004</v>
      </c>
      <c r="E5072">
        <v>0.67668122062935798</v>
      </c>
      <c r="F5072">
        <v>0.44391223431658799</v>
      </c>
      <c r="G5072">
        <v>0.33491724498605702</v>
      </c>
      <c r="H5072">
        <v>0.25886727991625502</v>
      </c>
      <c r="I5072">
        <v>0.22546595128968999</v>
      </c>
      <c r="J5072">
        <v>0.243230454240245</v>
      </c>
      <c r="K5072">
        <v>0.22396030411222601</v>
      </c>
      <c r="L5072">
        <v>503.63017242753199</v>
      </c>
      <c r="M5072">
        <v>10.633326050141999</v>
      </c>
      <c r="N5072">
        <v>49.298239829846203</v>
      </c>
      <c r="O5072">
        <v>45.780333714464703</v>
      </c>
      <c r="P5072">
        <v>-4.81793162631452E-2</v>
      </c>
      <c r="Q5072">
        <v>0.17060095636058201</v>
      </c>
      <c r="R5072">
        <v>0.977917421305041</v>
      </c>
      <c r="S5072" t="s">
        <v>11474</v>
      </c>
      <c r="T5072" t="s">
        <v>12802</v>
      </c>
      <c r="U5072" t="s">
        <v>12802</v>
      </c>
      <c r="V5072" t="s">
        <v>12802</v>
      </c>
      <c r="W5072" t="s">
        <v>17810</v>
      </c>
      <c r="X5072">
        <v>1</v>
      </c>
      <c r="Y5072" t="s">
        <v>24026</v>
      </c>
      <c r="Z5072" t="s">
        <v>30390</v>
      </c>
      <c r="AA5072">
        <v>0.4891552443847092</v>
      </c>
      <c r="AB5072" t="str">
        <f>HYPERLINK("Melting_Curves/meltCurve_Q96SQ9_CYP2S1.pdf", "Melting_Curves/meltCurve_Q96SQ9_CYP2S1.pdf")</f>
        <v>Melting_Curves/meltCurve_Q96SQ9_CYP2S1.pdf</v>
      </c>
    </row>
    <row r="5073" spans="1:28" x14ac:dyDescent="0.25">
      <c r="A5073" t="s">
        <v>5077</v>
      </c>
      <c r="B5073">
        <v>0.99542014353169495</v>
      </c>
      <c r="C5073">
        <v>1.0801896727501401</v>
      </c>
      <c r="D5073">
        <v>0.99501962897263496</v>
      </c>
      <c r="E5073">
        <v>0.64213047970098802</v>
      </c>
      <c r="F5073">
        <v>0.29418805746608501</v>
      </c>
      <c r="G5073">
        <v>0.17437445758293799</v>
      </c>
      <c r="H5073">
        <v>0.11630635517508001</v>
      </c>
      <c r="I5073">
        <v>0.105682693050138</v>
      </c>
      <c r="J5073">
        <v>0.148779698792087</v>
      </c>
      <c r="K5073">
        <v>0.196956205811987</v>
      </c>
      <c r="L5073">
        <v>1422.5159723393899</v>
      </c>
      <c r="M5073">
        <v>30.100112575032298</v>
      </c>
      <c r="N5073">
        <v>47.807073557320898</v>
      </c>
      <c r="O5073">
        <v>47.052352417914499</v>
      </c>
      <c r="P5073">
        <v>-0.136610900086475</v>
      </c>
      <c r="Q5073">
        <v>0.14580723024769501</v>
      </c>
      <c r="R5073">
        <v>0.99021581650737001</v>
      </c>
      <c r="S5073" t="s">
        <v>11475</v>
      </c>
      <c r="T5073" t="s">
        <v>12802</v>
      </c>
      <c r="U5073" t="s">
        <v>12802</v>
      </c>
      <c r="V5073" t="s">
        <v>12802</v>
      </c>
      <c r="W5073" t="s">
        <v>17811</v>
      </c>
      <c r="X5073">
        <v>9</v>
      </c>
      <c r="Y5073" t="s">
        <v>24027</v>
      </c>
      <c r="Z5073" t="s">
        <v>30391</v>
      </c>
      <c r="AA5073">
        <v>0.44288218301529603</v>
      </c>
      <c r="AB5073" t="str">
        <f>HYPERLINK("Melting_Curves/meltCurve_Q96ST2_3_IWS1.pdf", "Melting_Curves/meltCurve_Q96ST2_3_IWS1.pdf")</f>
        <v>Melting_Curves/meltCurve_Q96ST2_3_IWS1.pdf</v>
      </c>
    </row>
    <row r="5074" spans="1:28" x14ac:dyDescent="0.25">
      <c r="A5074" t="s">
        <v>5078</v>
      </c>
      <c r="B5074">
        <v>0.99542014353169495</v>
      </c>
      <c r="C5074">
        <v>0.75020212199149106</v>
      </c>
      <c r="D5074">
        <v>0.68091521174422998</v>
      </c>
      <c r="E5074">
        <v>0.27714402024759599</v>
      </c>
      <c r="F5074">
        <v>0.13687942306183501</v>
      </c>
      <c r="G5074">
        <v>7.5262767864862204E-2</v>
      </c>
      <c r="H5074">
        <v>5.3127673001635303E-2</v>
      </c>
      <c r="I5074">
        <v>4.0355620004257797E-2</v>
      </c>
      <c r="J5074">
        <v>4.0144394204226101E-2</v>
      </c>
      <c r="K5074">
        <v>4.27050539232861E-2</v>
      </c>
      <c r="L5074">
        <v>703.59812815303599</v>
      </c>
      <c r="M5074">
        <v>15.992571878601501</v>
      </c>
      <c r="N5074">
        <v>44.1586207834088</v>
      </c>
      <c r="O5074">
        <v>43.324635288719001</v>
      </c>
      <c r="P5074">
        <v>-8.9640421954359895E-2</v>
      </c>
      <c r="Q5074">
        <v>2.87152477647723E-2</v>
      </c>
      <c r="R5074">
        <v>0.98501468641160395</v>
      </c>
      <c r="S5074" t="s">
        <v>11476</v>
      </c>
      <c r="T5074" t="s">
        <v>12802</v>
      </c>
      <c r="U5074" t="s">
        <v>12802</v>
      </c>
      <c r="V5074" t="s">
        <v>12802</v>
      </c>
      <c r="W5074" t="s">
        <v>17812</v>
      </c>
      <c r="X5074">
        <v>16</v>
      </c>
      <c r="Y5074" t="s">
        <v>24028</v>
      </c>
      <c r="Z5074" t="s">
        <v>30392</v>
      </c>
      <c r="AA5074">
        <v>0.27629141801079488</v>
      </c>
      <c r="AB5074" t="str">
        <f>HYPERLINK("Melting_Curves/meltCurve_Q96ST3_SIN3A.pdf", "Melting_Curves/meltCurve_Q96ST3_SIN3A.pdf")</f>
        <v>Melting_Curves/meltCurve_Q96ST3_SIN3A.pdf</v>
      </c>
    </row>
    <row r="5075" spans="1:28" x14ac:dyDescent="0.25">
      <c r="A5075" t="s">
        <v>5079</v>
      </c>
      <c r="B5075">
        <v>0.99542014353169495</v>
      </c>
      <c r="C5075">
        <v>1.08777290510972</v>
      </c>
      <c r="D5075">
        <v>0.96948247149452604</v>
      </c>
      <c r="E5075">
        <v>0.89532882556507898</v>
      </c>
      <c r="F5075">
        <v>0.64145239494406803</v>
      </c>
      <c r="G5075">
        <v>0.46956530972224803</v>
      </c>
      <c r="H5075">
        <v>0.29161589080436701</v>
      </c>
      <c r="I5075">
        <v>0.20245414399529901</v>
      </c>
      <c r="J5075">
        <v>0.15233588314615901</v>
      </c>
      <c r="K5075">
        <v>8.3915194636584298E-2</v>
      </c>
      <c r="L5075">
        <v>755.34901525764303</v>
      </c>
      <c r="M5075">
        <v>14.3902946196224</v>
      </c>
      <c r="N5075">
        <v>53.096343111847297</v>
      </c>
      <c r="O5075">
        <v>51.507739512478999</v>
      </c>
      <c r="P5075">
        <v>-6.4562159469740199E-2</v>
      </c>
      <c r="Q5075">
        <v>7.5750489481752198E-2</v>
      </c>
      <c r="R5075">
        <v>0.98993345969088997</v>
      </c>
      <c r="S5075" t="s">
        <v>11477</v>
      </c>
      <c r="T5075" t="s">
        <v>12802</v>
      </c>
      <c r="U5075" t="s">
        <v>12802</v>
      </c>
      <c r="V5075" t="s">
        <v>12802</v>
      </c>
      <c r="W5075" t="s">
        <v>17813</v>
      </c>
      <c r="X5075">
        <v>13</v>
      </c>
      <c r="Y5075" t="s">
        <v>24029</v>
      </c>
      <c r="Z5075" t="s">
        <v>30393</v>
      </c>
      <c r="AA5075">
        <v>0.57086335729510362</v>
      </c>
      <c r="AB5075" t="str">
        <f>HYPERLINK("Melting_Curves/meltCurve_Q96SZ5_ADO.pdf", "Melting_Curves/meltCurve_Q96SZ5_ADO.pdf")</f>
        <v>Melting_Curves/meltCurve_Q96SZ5_ADO.pdf</v>
      </c>
    </row>
    <row r="5076" spans="1:28" x14ac:dyDescent="0.25">
      <c r="A5076" t="s">
        <v>5080</v>
      </c>
      <c r="B5076">
        <v>0.99542014353169495</v>
      </c>
      <c r="C5076">
        <v>0.96030490556145698</v>
      </c>
      <c r="D5076">
        <v>0.81092632642457296</v>
      </c>
      <c r="E5076">
        <v>0.604518080474999</v>
      </c>
      <c r="F5076">
        <v>0.39464334285961999</v>
      </c>
      <c r="G5076">
        <v>0.22209219020104401</v>
      </c>
      <c r="H5076">
        <v>0.108933386471041</v>
      </c>
      <c r="I5076">
        <v>6.5993361157216004E-2</v>
      </c>
      <c r="J5076">
        <v>7.4209248813305803E-2</v>
      </c>
      <c r="K5076">
        <v>7.3256799338336606E-2</v>
      </c>
      <c r="L5076">
        <v>644.90340899394596</v>
      </c>
      <c r="M5076">
        <v>13.4485903302637</v>
      </c>
      <c r="N5076">
        <v>48.210042136492397</v>
      </c>
      <c r="O5076">
        <v>46.930204613061001</v>
      </c>
      <c r="P5076">
        <v>-6.9175766536501704E-2</v>
      </c>
      <c r="Q5076">
        <v>3.4566349690643601E-2</v>
      </c>
      <c r="R5076">
        <v>0.99800662251557604</v>
      </c>
      <c r="S5076" t="s">
        <v>11478</v>
      </c>
      <c r="T5076" t="s">
        <v>12802</v>
      </c>
      <c r="U5076" t="s">
        <v>12802</v>
      </c>
      <c r="V5076" t="s">
        <v>12802</v>
      </c>
      <c r="W5076" t="s">
        <v>17814</v>
      </c>
      <c r="X5076">
        <v>16</v>
      </c>
      <c r="Y5076" t="s">
        <v>24030</v>
      </c>
      <c r="Z5076" t="s">
        <v>30394</v>
      </c>
      <c r="AA5076">
        <v>0.41250638388864541</v>
      </c>
      <c r="AB5076" t="str">
        <f>HYPERLINK("Melting_Curves/meltCurve_Q96SZ6_2_CDK5RAP1.pdf", "Melting_Curves/meltCurve_Q96SZ6_2_CDK5RAP1.pdf")</f>
        <v>Melting_Curves/meltCurve_Q96SZ6_2_CDK5RAP1.pdf</v>
      </c>
    </row>
    <row r="5077" spans="1:28" x14ac:dyDescent="0.25">
      <c r="A5077" t="s">
        <v>5081</v>
      </c>
      <c r="B5077">
        <v>0.99542014353169495</v>
      </c>
      <c r="C5077">
        <v>0.870454250863682</v>
      </c>
      <c r="D5077">
        <v>0.78834592543762305</v>
      </c>
      <c r="E5077">
        <v>0.34632944361447598</v>
      </c>
      <c r="F5077">
        <v>0.15747089443836401</v>
      </c>
      <c r="G5077">
        <v>8.7299788819648297E-2</v>
      </c>
      <c r="H5077">
        <v>5.39071415430405E-2</v>
      </c>
      <c r="I5077">
        <v>4.1554407137739703E-2</v>
      </c>
      <c r="J5077">
        <v>5.1118315608136101E-2</v>
      </c>
      <c r="K5077">
        <v>5.8119381117673903E-2</v>
      </c>
      <c r="L5077">
        <v>928.95114543155205</v>
      </c>
      <c r="M5077">
        <v>20.6022962765377</v>
      </c>
      <c r="N5077">
        <v>45.308815728036102</v>
      </c>
      <c r="O5077">
        <v>44.671325931382498</v>
      </c>
      <c r="P5077">
        <v>-0.109835829508726</v>
      </c>
      <c r="Q5077">
        <v>4.7412950749170901E-2</v>
      </c>
      <c r="R5077">
        <v>0.99436820625552902</v>
      </c>
      <c r="S5077" t="s">
        <v>11479</v>
      </c>
      <c r="T5077" t="s">
        <v>12802</v>
      </c>
      <c r="U5077" t="s">
        <v>12802</v>
      </c>
      <c r="V5077" t="s">
        <v>12802</v>
      </c>
      <c r="W5077" t="s">
        <v>17815</v>
      </c>
      <c r="X5077">
        <v>15</v>
      </c>
      <c r="Y5077" t="s">
        <v>24031</v>
      </c>
      <c r="Z5077" t="s">
        <v>30395</v>
      </c>
      <c r="AA5077">
        <v>0.3160349215600341</v>
      </c>
      <c r="AB5077" t="str">
        <f>HYPERLINK("Melting_Curves/meltCurve_Q96T37_2_RBM15.pdf", "Melting_Curves/meltCurve_Q96T37_2_RBM15.pdf")</f>
        <v>Melting_Curves/meltCurve_Q96T37_2_RBM15.pdf</v>
      </c>
    </row>
    <row r="5078" spans="1:28" x14ac:dyDescent="0.25">
      <c r="A5078" t="s">
        <v>5082</v>
      </c>
      <c r="B5078">
        <v>0.99542014353169495</v>
      </c>
      <c r="C5078">
        <v>0.99935350039258697</v>
      </c>
      <c r="D5078">
        <v>0.86226069387689896</v>
      </c>
      <c r="E5078">
        <v>0.43716759147794498</v>
      </c>
      <c r="F5078">
        <v>0.19533590812825599</v>
      </c>
      <c r="G5078">
        <v>0.12650888747904401</v>
      </c>
      <c r="H5078">
        <v>7.0571361595088297E-2</v>
      </c>
      <c r="I5078">
        <v>5.0601243259139603E-2</v>
      </c>
      <c r="J5078">
        <v>5.2675768250272301E-2</v>
      </c>
      <c r="K5078">
        <v>6.8009309860042499E-2</v>
      </c>
      <c r="L5078">
        <v>1099.9216433296201</v>
      </c>
      <c r="M5078">
        <v>23.930234941523501</v>
      </c>
      <c r="N5078">
        <v>46.2417947295178</v>
      </c>
      <c r="O5078">
        <v>45.646318423961198</v>
      </c>
      <c r="P5078">
        <v>-0.12228099231581099</v>
      </c>
      <c r="Q5078">
        <v>6.7023455187711398E-2</v>
      </c>
      <c r="R5078">
        <v>0.997924222702954</v>
      </c>
      <c r="S5078" t="s">
        <v>11480</v>
      </c>
      <c r="T5078" t="s">
        <v>12802</v>
      </c>
      <c r="U5078" t="s">
        <v>12802</v>
      </c>
      <c r="V5078" t="s">
        <v>12802</v>
      </c>
      <c r="W5078" t="s">
        <v>17816</v>
      </c>
      <c r="X5078">
        <v>25</v>
      </c>
      <c r="Y5078" t="s">
        <v>24032</v>
      </c>
      <c r="Z5078" t="s">
        <v>30396</v>
      </c>
      <c r="AA5078">
        <v>0.35423945026055298</v>
      </c>
      <c r="AB5078" t="str">
        <f>HYPERLINK("Melting_Curves/meltCurve_Q96T51_RUFY1.pdf", "Melting_Curves/meltCurve_Q96T51_RUFY1.pdf")</f>
        <v>Melting_Curves/meltCurve_Q96T51_RUFY1.pdf</v>
      </c>
    </row>
    <row r="5079" spans="1:28" x14ac:dyDescent="0.25">
      <c r="A5079" t="s">
        <v>5083</v>
      </c>
      <c r="B5079">
        <v>0.99542014353169495</v>
      </c>
      <c r="C5079">
        <v>0.97371134971429196</v>
      </c>
      <c r="D5079">
        <v>0.84587312893518396</v>
      </c>
      <c r="E5079">
        <v>0.80565610112518005</v>
      </c>
      <c r="F5079">
        <v>0.63765192405881199</v>
      </c>
      <c r="G5079">
        <v>0.51522205957894796</v>
      </c>
      <c r="H5079">
        <v>0.31214668879957502</v>
      </c>
      <c r="I5079">
        <v>0.266058154156187</v>
      </c>
      <c r="J5079">
        <v>0.363836447496867</v>
      </c>
      <c r="K5079">
        <v>0.411561633946322</v>
      </c>
      <c r="L5079">
        <v>671.36025729002699</v>
      </c>
      <c r="M5079">
        <v>13.6227709722522</v>
      </c>
      <c r="N5079">
        <v>52.991422340162401</v>
      </c>
      <c r="O5079">
        <v>48.256625295167197</v>
      </c>
      <c r="P5079">
        <v>-4.88932494751824E-2</v>
      </c>
      <c r="Q5079">
        <v>0.307313939818041</v>
      </c>
      <c r="R5079">
        <v>0.95543057499026696</v>
      </c>
      <c r="S5079" t="s">
        <v>11481</v>
      </c>
      <c r="T5079" t="s">
        <v>12802</v>
      </c>
      <c r="U5079" t="s">
        <v>12802</v>
      </c>
      <c r="V5079" t="s">
        <v>12802</v>
      </c>
      <c r="W5079" t="s">
        <v>17817</v>
      </c>
      <c r="X5079">
        <v>3</v>
      </c>
      <c r="Y5079" t="s">
        <v>24033</v>
      </c>
      <c r="Z5079" t="s">
        <v>30397</v>
      </c>
      <c r="AA5079">
        <v>0.60796525697526849</v>
      </c>
      <c r="AB5079" t="str">
        <f>HYPERLINK("Melting_Curves/meltCurve_Q96T58_SPEN.pdf", "Melting_Curves/meltCurve_Q96T58_SPEN.pdf")</f>
        <v>Melting_Curves/meltCurve_Q96T58_SPEN.pdf</v>
      </c>
    </row>
    <row r="5080" spans="1:28" x14ac:dyDescent="0.25">
      <c r="A5080" t="s">
        <v>5084</v>
      </c>
      <c r="B5080">
        <v>0.99542014353169495</v>
      </c>
      <c r="C5080">
        <v>0.97242351032823804</v>
      </c>
      <c r="D5080">
        <v>0.87674216514289305</v>
      </c>
      <c r="E5080">
        <v>0.68889593512510106</v>
      </c>
      <c r="F5080">
        <v>0.21516581607669599</v>
      </c>
      <c r="G5080">
        <v>7.6170055785557703E-2</v>
      </c>
      <c r="H5080">
        <v>5.5280574891628603E-2</v>
      </c>
      <c r="I5080">
        <v>3.8421319494167397E-2</v>
      </c>
      <c r="J5080">
        <v>3.79859185239423E-2</v>
      </c>
      <c r="K5080">
        <v>2.2177594446650101E-2</v>
      </c>
      <c r="L5080">
        <v>1200.97701497241</v>
      </c>
      <c r="M5080">
        <v>25.1917211862113</v>
      </c>
      <c r="N5080">
        <v>47.787975740948099</v>
      </c>
      <c r="O5080">
        <v>47.376115552090099</v>
      </c>
      <c r="P5080">
        <v>-0.12904334790099001</v>
      </c>
      <c r="Q5080">
        <v>2.9285424951838598E-2</v>
      </c>
      <c r="R5080">
        <v>0.99575745633009305</v>
      </c>
      <c r="S5080" t="s">
        <v>11482</v>
      </c>
      <c r="T5080" t="s">
        <v>12802</v>
      </c>
      <c r="U5080" t="s">
        <v>12802</v>
      </c>
      <c r="V5080" t="s">
        <v>12802</v>
      </c>
      <c r="W5080" t="s">
        <v>17818</v>
      </c>
      <c r="X5080">
        <v>10</v>
      </c>
      <c r="Y5080" t="s">
        <v>24034</v>
      </c>
      <c r="Z5080" t="s">
        <v>30398</v>
      </c>
      <c r="AA5080">
        <v>0.38275744475678958</v>
      </c>
      <c r="AB5080" t="str">
        <f>HYPERLINK("Melting_Curves/meltCurve_Q96T60_PNKP.pdf", "Melting_Curves/meltCurve_Q96T60_PNKP.pdf")</f>
        <v>Melting_Curves/meltCurve_Q96T60_PNKP.pdf</v>
      </c>
    </row>
    <row r="5081" spans="1:28" x14ac:dyDescent="0.25">
      <c r="A5081" t="s">
        <v>5085</v>
      </c>
      <c r="B5081">
        <v>0.99542014353169495</v>
      </c>
      <c r="C5081">
        <v>0.87711856764084595</v>
      </c>
      <c r="D5081">
        <v>0.82848067294710204</v>
      </c>
      <c r="E5081">
        <v>0.44109768837206198</v>
      </c>
      <c r="F5081">
        <v>0.16386372135813701</v>
      </c>
      <c r="G5081">
        <v>9.5392116668066698E-2</v>
      </c>
      <c r="H5081">
        <v>6.4994985063880906E-2</v>
      </c>
      <c r="I5081">
        <v>4.7977899619296202E-2</v>
      </c>
      <c r="J5081">
        <v>6.6397151279893998E-2</v>
      </c>
      <c r="K5081">
        <v>5.5148310334474503E-2</v>
      </c>
      <c r="L5081">
        <v>933.922383179897</v>
      </c>
      <c r="M5081">
        <v>20.410356492391699</v>
      </c>
      <c r="N5081">
        <v>45.994010536621502</v>
      </c>
      <c r="O5081">
        <v>45.3248271536633</v>
      </c>
      <c r="P5081">
        <v>-0.10696817400520001</v>
      </c>
      <c r="Q5081">
        <v>4.9861158103822301E-2</v>
      </c>
      <c r="R5081">
        <v>0.99440974605294097</v>
      </c>
      <c r="S5081" t="s">
        <v>11483</v>
      </c>
      <c r="T5081" t="s">
        <v>12802</v>
      </c>
      <c r="U5081" t="s">
        <v>12802</v>
      </c>
      <c r="V5081" t="s">
        <v>12802</v>
      </c>
      <c r="W5081" t="s">
        <v>17819</v>
      </c>
      <c r="X5081">
        <v>9</v>
      </c>
      <c r="Y5081" t="s">
        <v>24035</v>
      </c>
      <c r="Z5081" t="s">
        <v>30399</v>
      </c>
      <c r="AA5081">
        <v>0.33913618625694358</v>
      </c>
      <c r="AB5081" t="str">
        <f>HYPERLINK("Melting_Curves/meltCurve_Q96T76_MMS19.pdf", "Melting_Curves/meltCurve_Q96T76_MMS19.pdf")</f>
        <v>Melting_Curves/meltCurve_Q96T76_MMS19.pdf</v>
      </c>
    </row>
    <row r="5082" spans="1:28" x14ac:dyDescent="0.25">
      <c r="A5082" t="s">
        <v>5086</v>
      </c>
      <c r="B5082">
        <v>0.99542014353169495</v>
      </c>
      <c r="C5082">
        <v>0.92541175043184698</v>
      </c>
      <c r="D5082">
        <v>0.65211822732743396</v>
      </c>
      <c r="E5082">
        <v>0.31430520702419901</v>
      </c>
      <c r="F5082">
        <v>0.22226317195359599</v>
      </c>
      <c r="G5082">
        <v>0.133079494801772</v>
      </c>
      <c r="H5082">
        <v>9.7345562456364207E-2</v>
      </c>
      <c r="I5082">
        <v>7.3276219811505894E-2</v>
      </c>
      <c r="J5082">
        <v>7.5092242482504803E-2</v>
      </c>
      <c r="K5082">
        <v>8.1666989344227295E-2</v>
      </c>
      <c r="L5082">
        <v>841.99762947461898</v>
      </c>
      <c r="M5082">
        <v>19.0374192152976</v>
      </c>
      <c r="N5082">
        <v>44.678449706229003</v>
      </c>
      <c r="O5082">
        <v>43.7492101791455</v>
      </c>
      <c r="P5082">
        <v>-9.9302535790933094E-2</v>
      </c>
      <c r="Q5082">
        <v>8.7221722941675198E-2</v>
      </c>
      <c r="R5082">
        <v>0.99571253581718999</v>
      </c>
      <c r="S5082" t="s">
        <v>11484</v>
      </c>
      <c r="T5082" t="s">
        <v>12802</v>
      </c>
      <c r="U5082" t="s">
        <v>12802</v>
      </c>
      <c r="V5082" t="s">
        <v>12802</v>
      </c>
      <c r="W5082" t="s">
        <v>17820</v>
      </c>
      <c r="X5082">
        <v>9</v>
      </c>
      <c r="Y5082" t="s">
        <v>24036</v>
      </c>
      <c r="Z5082" t="s">
        <v>30400</v>
      </c>
      <c r="AA5082">
        <v>0.32067385601094478</v>
      </c>
      <c r="AB5082" t="str">
        <f>HYPERLINK("Melting_Curves/meltCurve_Q96T88_UHRF1.pdf", "Melting_Curves/meltCurve_Q96T88_UHRF1.pdf")</f>
        <v>Melting_Curves/meltCurve_Q96T88_UHRF1.pdf</v>
      </c>
    </row>
    <row r="5083" spans="1:28" x14ac:dyDescent="0.25">
      <c r="A5083" t="s">
        <v>5087</v>
      </c>
      <c r="B5083">
        <v>0.99542014353169495</v>
      </c>
      <c r="C5083">
        <v>1.04398865160787</v>
      </c>
      <c r="D5083">
        <v>0.91896810901743198</v>
      </c>
      <c r="E5083">
        <v>0.88754313617130098</v>
      </c>
      <c r="F5083">
        <v>0.69649847259523101</v>
      </c>
      <c r="G5083">
        <v>0.35565101473236699</v>
      </c>
      <c r="H5083">
        <v>7.9217752587577503E-2</v>
      </c>
      <c r="I5083">
        <v>5.3107134123387703E-2</v>
      </c>
      <c r="J5083">
        <v>4.8463142858345201E-2</v>
      </c>
      <c r="K5083">
        <v>4.7578917393234103E-2</v>
      </c>
      <c r="L5083">
        <v>1102.14361660075</v>
      </c>
      <c r="M5083">
        <v>21.2297806061903</v>
      </c>
      <c r="N5083">
        <v>52.004293599913503</v>
      </c>
      <c r="O5083">
        <v>51.460934153802697</v>
      </c>
      <c r="P5083">
        <v>-0.101292185240904</v>
      </c>
      <c r="Q5083">
        <v>1.78972498476829E-2</v>
      </c>
      <c r="R5083">
        <v>0.992909232987087</v>
      </c>
      <c r="S5083" t="s">
        <v>11485</v>
      </c>
      <c r="T5083" t="s">
        <v>12802</v>
      </c>
      <c r="U5083" t="s">
        <v>12802</v>
      </c>
      <c r="V5083" t="s">
        <v>12802</v>
      </c>
      <c r="W5083" t="s">
        <v>17821</v>
      </c>
      <c r="X5083">
        <v>19</v>
      </c>
      <c r="Y5083" t="s">
        <v>24037</v>
      </c>
      <c r="Z5083" t="s">
        <v>30401</v>
      </c>
      <c r="AA5083">
        <v>0.51770441364172826</v>
      </c>
      <c r="AB5083" t="str">
        <f>HYPERLINK("Melting_Curves/meltCurve_Q96TA1_2_FAM129B.pdf", "Melting_Curves/meltCurve_Q96TA1_2_FAM129B.pdf")</f>
        <v>Melting_Curves/meltCurve_Q96TA1_2_FAM129B.pdf</v>
      </c>
    </row>
    <row r="5084" spans="1:28" x14ac:dyDescent="0.25">
      <c r="A5084" t="s">
        <v>5088</v>
      </c>
      <c r="B5084">
        <v>0.99542014353169495</v>
      </c>
      <c r="C5084">
        <v>0.865706459420722</v>
      </c>
      <c r="D5084">
        <v>0.89102813894280597</v>
      </c>
      <c r="E5084">
        <v>0.57355534482168602</v>
      </c>
      <c r="F5084">
        <v>0.36374801465600198</v>
      </c>
      <c r="G5084">
        <v>0.17889008895056799</v>
      </c>
      <c r="H5084">
        <v>9.0874555293954801E-2</v>
      </c>
      <c r="I5084">
        <v>5.0093931669623601E-2</v>
      </c>
      <c r="J5084">
        <v>4.7939608121727498E-2</v>
      </c>
      <c r="K5084">
        <v>5.53036511107943E-2</v>
      </c>
      <c r="L5084">
        <v>686.72951361046796</v>
      </c>
      <c r="M5084">
        <v>14.376640720520999</v>
      </c>
      <c r="N5084">
        <v>47.912771714956499</v>
      </c>
      <c r="O5084">
        <v>46.871358803855202</v>
      </c>
      <c r="P5084">
        <v>-7.5049589773771297E-2</v>
      </c>
      <c r="Q5084">
        <v>2.13967941105065E-2</v>
      </c>
      <c r="R5084">
        <v>0.99172070486947095</v>
      </c>
      <c r="S5084" t="s">
        <v>11486</v>
      </c>
      <c r="T5084" t="s">
        <v>12802</v>
      </c>
      <c r="U5084" t="s">
        <v>12802</v>
      </c>
      <c r="V5084" t="s">
        <v>12802</v>
      </c>
      <c r="W5084" t="s">
        <v>17822</v>
      </c>
      <c r="X5084">
        <v>20</v>
      </c>
      <c r="Y5084" t="s">
        <v>24038</v>
      </c>
      <c r="Z5084" t="s">
        <v>30402</v>
      </c>
      <c r="AA5084">
        <v>0.39589359891769049</v>
      </c>
      <c r="AB5084" t="str">
        <f>HYPERLINK("Melting_Curves/meltCurve_Q96TA2_3_YME1L1.pdf", "Melting_Curves/meltCurve_Q96TA2_3_YME1L1.pdf")</f>
        <v>Melting_Curves/meltCurve_Q96TA2_3_YME1L1.pdf</v>
      </c>
    </row>
    <row r="5085" spans="1:28" x14ac:dyDescent="0.25">
      <c r="A5085" t="s">
        <v>5089</v>
      </c>
      <c r="B5085">
        <v>0.99542014353169495</v>
      </c>
      <c r="C5085">
        <v>0.71350982880628799</v>
      </c>
      <c r="D5085">
        <v>0.98049407645990905</v>
      </c>
      <c r="E5085">
        <v>0.54258308549128498</v>
      </c>
      <c r="F5085">
        <v>0.241357161544792</v>
      </c>
      <c r="G5085">
        <v>7.0635098074905395E-2</v>
      </c>
      <c r="H5085">
        <v>4.4758647214212299E-2</v>
      </c>
      <c r="I5085">
        <v>2.76789357885182E-2</v>
      </c>
      <c r="J5085">
        <v>2.38731593649298E-2</v>
      </c>
      <c r="K5085">
        <v>2.3785751250365899E-2</v>
      </c>
      <c r="L5085">
        <v>941.05348772997195</v>
      </c>
      <c r="M5085">
        <v>19.9726412092676</v>
      </c>
      <c r="N5085">
        <v>47.186594093696897</v>
      </c>
      <c r="O5085">
        <v>46.652411617304899</v>
      </c>
      <c r="P5085">
        <v>-0.105481860977558</v>
      </c>
      <c r="Q5085">
        <v>1.4487444870362E-2</v>
      </c>
      <c r="R5085">
        <v>0.94575970611650695</v>
      </c>
      <c r="S5085" t="s">
        <v>11487</v>
      </c>
      <c r="T5085" t="s">
        <v>12802</v>
      </c>
      <c r="U5085" t="s">
        <v>12802</v>
      </c>
      <c r="V5085" t="s">
        <v>12802</v>
      </c>
      <c r="W5085" t="s">
        <v>17823</v>
      </c>
      <c r="X5085">
        <v>8</v>
      </c>
      <c r="Y5085" t="s">
        <v>24039</v>
      </c>
      <c r="Z5085" t="s">
        <v>30403</v>
      </c>
      <c r="AA5085">
        <v>0.35978069361539039</v>
      </c>
      <c r="AB5085" t="str">
        <f>HYPERLINK("Melting_Curves/meltCurve_Q96TC7_RMDN3.pdf", "Melting_Curves/meltCurve_Q96TC7_RMDN3.pdf")</f>
        <v>Melting_Curves/meltCurve_Q96TC7_RMDN3.pdf</v>
      </c>
    </row>
    <row r="5086" spans="1:28" x14ac:dyDescent="0.25">
      <c r="A5086" t="s">
        <v>5090</v>
      </c>
      <c r="B5086">
        <v>0.99542014353169495</v>
      </c>
      <c r="C5086">
        <v>0.98563710303031604</v>
      </c>
      <c r="D5086">
        <v>0.92145253723353804</v>
      </c>
      <c r="E5086">
        <v>0.55498030014468802</v>
      </c>
      <c r="F5086">
        <v>0.27204070737722502</v>
      </c>
      <c r="G5086">
        <v>0.15537215567825599</v>
      </c>
      <c r="H5086">
        <v>9.7366251577383905E-2</v>
      </c>
      <c r="I5086">
        <v>8.4011946742034105E-2</v>
      </c>
      <c r="J5086">
        <v>0.10604173875635001</v>
      </c>
      <c r="K5086">
        <v>0.21459933424935301</v>
      </c>
      <c r="L5086">
        <v>1176.16768278882</v>
      </c>
      <c r="M5086">
        <v>25.214415370826998</v>
      </c>
      <c r="N5086">
        <v>47.189313840045799</v>
      </c>
      <c r="O5086">
        <v>46.356195388347601</v>
      </c>
      <c r="P5086">
        <v>-0.118869334476407</v>
      </c>
      <c r="Q5086">
        <v>0.12585584746303999</v>
      </c>
      <c r="R5086">
        <v>0.99100408907006599</v>
      </c>
      <c r="S5086" t="s">
        <v>11488</v>
      </c>
      <c r="T5086" t="s">
        <v>12802</v>
      </c>
      <c r="U5086" t="s">
        <v>12802</v>
      </c>
      <c r="V5086" t="s">
        <v>12802</v>
      </c>
      <c r="W5086" t="s">
        <v>17824</v>
      </c>
      <c r="X5086">
        <v>9</v>
      </c>
      <c r="Y5086" t="s">
        <v>24040</v>
      </c>
      <c r="Z5086" t="s">
        <v>30404</v>
      </c>
      <c r="AA5086">
        <v>0.4141202561721935</v>
      </c>
      <c r="AB5086" t="str">
        <f>HYPERLINK("Melting_Curves/meltCurve_Q99081_TCF12.pdf", "Melting_Curves/meltCurve_Q99081_TCF12.pdf")</f>
        <v>Melting_Curves/meltCurve_Q99081_TCF12.pdf</v>
      </c>
    </row>
    <row r="5087" spans="1:28" x14ac:dyDescent="0.25">
      <c r="A5087" t="s">
        <v>5091</v>
      </c>
      <c r="B5087">
        <v>0.99542014353169495</v>
      </c>
      <c r="C5087">
        <v>1.0174002186476201</v>
      </c>
      <c r="D5087">
        <v>0.99731072819392597</v>
      </c>
      <c r="E5087">
        <v>0.97246922276816805</v>
      </c>
      <c r="F5087">
        <v>0.82526121784214701</v>
      </c>
      <c r="G5087">
        <v>0.67349750893276095</v>
      </c>
      <c r="H5087">
        <v>0.54041194161862405</v>
      </c>
      <c r="I5087">
        <v>0.48222853652800202</v>
      </c>
      <c r="J5087">
        <v>0.68052504922842705</v>
      </c>
      <c r="K5087">
        <v>0.78220388115788797</v>
      </c>
      <c r="L5087">
        <v>1921.80843025268</v>
      </c>
      <c r="M5087">
        <v>38.148023883804498</v>
      </c>
      <c r="O5087">
        <v>50.2398367773987</v>
      </c>
      <c r="P5087">
        <v>-7.1246696162234002E-2</v>
      </c>
      <c r="Q5087">
        <v>0.62468170501157805</v>
      </c>
      <c r="R5087">
        <v>0.83926644745222201</v>
      </c>
      <c r="S5087" t="s">
        <v>11489</v>
      </c>
      <c r="T5087" t="s">
        <v>12802</v>
      </c>
      <c r="U5087" t="s">
        <v>12802</v>
      </c>
      <c r="V5087" t="s">
        <v>12802</v>
      </c>
      <c r="W5087" t="s">
        <v>17825</v>
      </c>
      <c r="X5087">
        <v>9</v>
      </c>
      <c r="Y5087" t="s">
        <v>24041</v>
      </c>
      <c r="Z5087" t="s">
        <v>30405</v>
      </c>
      <c r="AA5087">
        <v>0.79348065802280876</v>
      </c>
      <c r="AB5087" t="str">
        <f>HYPERLINK("Melting_Curves/meltCurve_Q99417_MYCBP.pdf", "Melting_Curves/meltCurve_Q99417_MYCBP.pdf")</f>
        <v>Melting_Curves/meltCurve_Q99417_MYCBP.pdf</v>
      </c>
    </row>
    <row r="5088" spans="1:28" x14ac:dyDescent="0.25">
      <c r="A5088" t="s">
        <v>5092</v>
      </c>
      <c r="B5088">
        <v>0.99542014353169495</v>
      </c>
      <c r="C5088">
        <v>0.979794218745345</v>
      </c>
      <c r="D5088">
        <v>0.95766936115899504</v>
      </c>
      <c r="E5088">
        <v>0.74146523717893098</v>
      </c>
      <c r="F5088">
        <v>0.27620036372772899</v>
      </c>
      <c r="G5088">
        <v>0.114669655345695</v>
      </c>
      <c r="H5088">
        <v>8.9408015685859696E-2</v>
      </c>
      <c r="I5088">
        <v>6.6303663331616802E-2</v>
      </c>
      <c r="J5088">
        <v>7.6093050868968101E-2</v>
      </c>
      <c r="K5088">
        <v>8.6086419958781996E-2</v>
      </c>
      <c r="L5088">
        <v>1416.3754788857</v>
      </c>
      <c r="M5088">
        <v>29.4781599954627</v>
      </c>
      <c r="N5088">
        <v>48.320589621613003</v>
      </c>
      <c r="O5088">
        <v>47.828807700461503</v>
      </c>
      <c r="P5088">
        <v>-0.14229166672260099</v>
      </c>
      <c r="Q5088">
        <v>7.6524036422067801E-2</v>
      </c>
      <c r="R5088">
        <v>0.99947353013596896</v>
      </c>
      <c r="S5088" t="s">
        <v>11490</v>
      </c>
      <c r="T5088" t="s">
        <v>12802</v>
      </c>
      <c r="U5088" t="s">
        <v>12802</v>
      </c>
      <c r="V5088" t="s">
        <v>12802</v>
      </c>
      <c r="W5088" t="s">
        <v>17826</v>
      </c>
      <c r="X5088">
        <v>17</v>
      </c>
      <c r="Y5088" t="s">
        <v>24042</v>
      </c>
      <c r="Z5088" t="s">
        <v>30406</v>
      </c>
      <c r="AA5088">
        <v>0.4222891273883414</v>
      </c>
      <c r="AB5088" t="str">
        <f>HYPERLINK("Melting_Curves/meltCurve_Q99426_TBCB.pdf", "Melting_Curves/meltCurve_Q99426_TBCB.pdf")</f>
        <v>Melting_Curves/meltCurve_Q99426_TBCB.pdf</v>
      </c>
    </row>
    <row r="5089" spans="1:28" x14ac:dyDescent="0.25">
      <c r="A5089" t="s">
        <v>5093</v>
      </c>
      <c r="B5089">
        <v>0.99542014353169495</v>
      </c>
      <c r="C5089">
        <v>0.93526301100781095</v>
      </c>
      <c r="D5089">
        <v>1.05000617980056</v>
      </c>
      <c r="E5089">
        <v>0.79345980577237896</v>
      </c>
      <c r="F5089">
        <v>0.63326215287170995</v>
      </c>
      <c r="G5089">
        <v>0.28870433353029901</v>
      </c>
      <c r="H5089">
        <v>0.32436133293667901</v>
      </c>
      <c r="I5089">
        <v>0.33322819908400098</v>
      </c>
      <c r="J5089">
        <v>0.299310357323539</v>
      </c>
      <c r="K5089">
        <v>0.398564444062523</v>
      </c>
      <c r="L5089">
        <v>1254.22190356955</v>
      </c>
      <c r="M5089">
        <v>25.6019393844376</v>
      </c>
      <c r="N5089">
        <v>51.037313424351098</v>
      </c>
      <c r="O5089">
        <v>48.693376137545897</v>
      </c>
      <c r="P5089">
        <v>-8.9249419805812899E-2</v>
      </c>
      <c r="Q5089">
        <v>0.32101982143935298</v>
      </c>
      <c r="R5089">
        <v>0.96183051033955103</v>
      </c>
      <c r="S5089" t="s">
        <v>11491</v>
      </c>
      <c r="T5089" t="s">
        <v>12802</v>
      </c>
      <c r="U5089" t="s">
        <v>12802</v>
      </c>
      <c r="V5089" t="s">
        <v>12802</v>
      </c>
      <c r="W5089" t="s">
        <v>17827</v>
      </c>
      <c r="X5089">
        <v>5</v>
      </c>
      <c r="Y5089" t="s">
        <v>24043</v>
      </c>
      <c r="Z5089" t="s">
        <v>30407</v>
      </c>
      <c r="AA5089">
        <v>0.59797101949661713</v>
      </c>
      <c r="AB5089" t="str">
        <f>HYPERLINK("Melting_Curves/meltCurve_Q99436_PSMB7.pdf", "Melting_Curves/meltCurve_Q99436_PSMB7.pdf")</f>
        <v>Melting_Curves/meltCurve_Q99436_PSMB7.pdf</v>
      </c>
    </row>
    <row r="5090" spans="1:28" x14ac:dyDescent="0.25">
      <c r="A5090" t="s">
        <v>5094</v>
      </c>
      <c r="B5090">
        <v>0.99542014353169495</v>
      </c>
      <c r="C5090">
        <v>1.00433093599509</v>
      </c>
      <c r="D5090">
        <v>1.0152252582471899</v>
      </c>
      <c r="E5090">
        <v>0.95340729631473498</v>
      </c>
      <c r="F5090">
        <v>0.77502871219345504</v>
      </c>
      <c r="G5090">
        <v>0.54312475180341202</v>
      </c>
      <c r="H5090">
        <v>0.18500413677715299</v>
      </c>
      <c r="I5090">
        <v>8.3160387354604196E-2</v>
      </c>
      <c r="J5090">
        <v>7.8734401850453897E-2</v>
      </c>
      <c r="K5090">
        <v>9.1126964859246998E-2</v>
      </c>
      <c r="L5090">
        <v>1158.7460678447801</v>
      </c>
      <c r="M5090">
        <v>21.677832817701699</v>
      </c>
      <c r="N5090">
        <v>53.705249095178502</v>
      </c>
      <c r="O5090">
        <v>53.004402406705402</v>
      </c>
      <c r="P5090">
        <v>-9.7299448267904196E-2</v>
      </c>
      <c r="Q5090">
        <v>4.8396193482812801E-2</v>
      </c>
      <c r="R5090">
        <v>0.99517315328029898</v>
      </c>
      <c r="S5090" t="s">
        <v>11492</v>
      </c>
      <c r="T5090" t="s">
        <v>12802</v>
      </c>
      <c r="U5090" t="s">
        <v>12802</v>
      </c>
      <c r="V5090" t="s">
        <v>12802</v>
      </c>
      <c r="W5090" t="s">
        <v>17828</v>
      </c>
      <c r="X5090">
        <v>25</v>
      </c>
      <c r="Y5090" t="s">
        <v>24044</v>
      </c>
      <c r="Z5090" t="s">
        <v>30408</v>
      </c>
      <c r="AA5090">
        <v>0.58079391044640372</v>
      </c>
      <c r="AB5090" t="str">
        <f>HYPERLINK("Melting_Curves/meltCurve_Q99447_PCYT2.pdf", "Melting_Curves/meltCurve_Q99447_PCYT2.pdf")</f>
        <v>Melting_Curves/meltCurve_Q99447_PCYT2.pdf</v>
      </c>
    </row>
    <row r="5091" spans="1:28" x14ac:dyDescent="0.25">
      <c r="A5091" t="s">
        <v>5095</v>
      </c>
      <c r="B5091">
        <v>0.99542014353169495</v>
      </c>
      <c r="C5091">
        <v>0.84377807485198997</v>
      </c>
      <c r="D5091">
        <v>0.89972139367118298</v>
      </c>
      <c r="E5091">
        <v>0.28523611790157</v>
      </c>
      <c r="F5091">
        <v>0.141276772855882</v>
      </c>
      <c r="G5091">
        <v>8.2084997552320293E-2</v>
      </c>
      <c r="H5091">
        <v>4.9840187499743997E-2</v>
      </c>
      <c r="I5091">
        <v>3.5375513578267001E-2</v>
      </c>
      <c r="J5091">
        <v>3.7727986820015297E-2</v>
      </c>
      <c r="K5091">
        <v>4.4670050148633601E-2</v>
      </c>
      <c r="L5091">
        <v>1540.36405533843</v>
      </c>
      <c r="M5091">
        <v>34.054204703810399</v>
      </c>
      <c r="N5091">
        <v>45.3921789547476</v>
      </c>
      <c r="O5091">
        <v>45.077586920842201</v>
      </c>
      <c r="P5091">
        <v>-0.178217304080623</v>
      </c>
      <c r="Q5091">
        <v>5.6377973192835003E-2</v>
      </c>
      <c r="R5091">
        <v>0.98099323843903496</v>
      </c>
      <c r="S5091" t="s">
        <v>11493</v>
      </c>
      <c r="T5091" t="s">
        <v>12802</v>
      </c>
      <c r="U5091" t="s">
        <v>12802</v>
      </c>
      <c r="V5091" t="s">
        <v>12802</v>
      </c>
      <c r="W5091" t="s">
        <v>17829</v>
      </c>
      <c r="X5091">
        <v>24</v>
      </c>
      <c r="Y5091" t="s">
        <v>24045</v>
      </c>
      <c r="Z5091" t="s">
        <v>30409</v>
      </c>
      <c r="AA5091">
        <v>0.31942795252673079</v>
      </c>
      <c r="AB5091" t="str">
        <f>HYPERLINK("Melting_Curves/meltCurve_Q99459_CDC5L.pdf", "Melting_Curves/meltCurve_Q99459_CDC5L.pdf")</f>
        <v>Melting_Curves/meltCurve_Q99459_CDC5L.pdf</v>
      </c>
    </row>
    <row r="5092" spans="1:28" x14ac:dyDescent="0.25">
      <c r="A5092" t="s">
        <v>5096</v>
      </c>
      <c r="B5092">
        <v>0.99542014353169495</v>
      </c>
      <c r="C5092">
        <v>0.89909119135413296</v>
      </c>
      <c r="D5092">
        <v>0.95323567918215601</v>
      </c>
      <c r="E5092">
        <v>0.72881065856653904</v>
      </c>
      <c r="F5092">
        <v>0.498560317349037</v>
      </c>
      <c r="G5092">
        <v>0.242245870254299</v>
      </c>
      <c r="H5092">
        <v>0.118327977296992</v>
      </c>
      <c r="I5092">
        <v>5.9870572685473203E-2</v>
      </c>
      <c r="J5092">
        <v>9.58044262124777E-2</v>
      </c>
      <c r="K5092">
        <v>6.9068121201277796E-2</v>
      </c>
      <c r="L5092">
        <v>801.26559335644504</v>
      </c>
      <c r="M5092">
        <v>16.171693358940999</v>
      </c>
      <c r="N5092">
        <v>49.8258635154396</v>
      </c>
      <c r="O5092">
        <v>48.8083541132969</v>
      </c>
      <c r="P5092">
        <v>-7.9259738892918305E-2</v>
      </c>
      <c r="Q5092">
        <v>4.3205554065876103E-2</v>
      </c>
      <c r="R5092">
        <v>0.992330697242924</v>
      </c>
      <c r="S5092" t="s">
        <v>11494</v>
      </c>
      <c r="T5092" t="s">
        <v>12802</v>
      </c>
      <c r="U5092" t="s">
        <v>12802</v>
      </c>
      <c r="V5092" t="s">
        <v>12802</v>
      </c>
      <c r="W5092" t="s">
        <v>17830</v>
      </c>
      <c r="X5092">
        <v>29</v>
      </c>
      <c r="Y5092" t="s">
        <v>24046</v>
      </c>
      <c r="Z5092" t="s">
        <v>30410</v>
      </c>
      <c r="AA5092">
        <v>0.46143706300061121</v>
      </c>
      <c r="AB5092" t="str">
        <f>HYPERLINK("Melting_Curves/meltCurve_Q99460_PSMD1.pdf", "Melting_Curves/meltCurve_Q99460_PSMD1.pdf")</f>
        <v>Melting_Curves/meltCurve_Q99460_PSMD1.pdf</v>
      </c>
    </row>
    <row r="5093" spans="1:28" x14ac:dyDescent="0.25">
      <c r="A5093" t="s">
        <v>5097</v>
      </c>
      <c r="B5093">
        <v>0.99542014353169495</v>
      </c>
      <c r="C5093">
        <v>0.84685692613005104</v>
      </c>
      <c r="D5093">
        <v>0.93421270265265399</v>
      </c>
      <c r="E5093">
        <v>0.68182133913200205</v>
      </c>
      <c r="F5093">
        <v>0.55743910127630703</v>
      </c>
      <c r="G5093">
        <v>0.33964505519132299</v>
      </c>
      <c r="H5093">
        <v>0.15707888936069</v>
      </c>
      <c r="I5093">
        <v>0.14636146015017201</v>
      </c>
      <c r="J5093">
        <v>9.7829657941964202E-2</v>
      </c>
      <c r="K5093">
        <v>8.2960507775053594E-2</v>
      </c>
      <c r="L5093">
        <v>561.14076908169102</v>
      </c>
      <c r="M5093">
        <v>11.1358008565361</v>
      </c>
      <c r="N5093">
        <v>50.479270081259202</v>
      </c>
      <c r="O5093">
        <v>48.847578026051998</v>
      </c>
      <c r="P5093">
        <v>-5.6459349611822598E-2</v>
      </c>
      <c r="Q5093">
        <v>9.6750835943654901E-3</v>
      </c>
      <c r="R5093">
        <v>0.98256955159636705</v>
      </c>
      <c r="S5093" t="s">
        <v>11495</v>
      </c>
      <c r="T5093" t="s">
        <v>12802</v>
      </c>
      <c r="U5093" t="s">
        <v>12802</v>
      </c>
      <c r="V5093" t="s">
        <v>12802</v>
      </c>
      <c r="W5093" t="s">
        <v>17831</v>
      </c>
      <c r="X5093">
        <v>1</v>
      </c>
      <c r="Y5093" t="s">
        <v>24047</v>
      </c>
      <c r="Z5093" t="s">
        <v>30411</v>
      </c>
      <c r="AA5093">
        <v>0.48092195958203249</v>
      </c>
      <c r="AB5093" t="str">
        <f>HYPERLINK("Melting_Curves/meltCurve_Q99470_SDF2.pdf", "Melting_Curves/meltCurve_Q99470_SDF2.pdf")</f>
        <v>Melting_Curves/meltCurve_Q99470_SDF2.pdf</v>
      </c>
    </row>
    <row r="5094" spans="1:28" x14ac:dyDescent="0.25">
      <c r="A5094" t="s">
        <v>5098</v>
      </c>
      <c r="B5094">
        <v>0.99542014353169495</v>
      </c>
      <c r="C5094">
        <v>1.0123036397983101</v>
      </c>
      <c r="D5094">
        <v>1.04438204336247</v>
      </c>
      <c r="E5094">
        <v>0.97499135698710304</v>
      </c>
      <c r="F5094">
        <v>0.82319823184325502</v>
      </c>
      <c r="G5094">
        <v>0.67747188849078399</v>
      </c>
      <c r="H5094">
        <v>0.50501451676584397</v>
      </c>
      <c r="I5094">
        <v>0.39935741659045698</v>
      </c>
      <c r="J5094">
        <v>0.35522855513765</v>
      </c>
      <c r="K5094">
        <v>0.137830487566206</v>
      </c>
      <c r="L5094">
        <v>626.82939372963699</v>
      </c>
      <c r="M5094">
        <v>10.8321680840114</v>
      </c>
      <c r="N5094">
        <v>58.1096563802028</v>
      </c>
      <c r="O5094">
        <v>55.9999154090033</v>
      </c>
      <c r="P5094">
        <v>-4.7307284354903903E-2</v>
      </c>
      <c r="Q5094">
        <v>2.2077230130665499E-2</v>
      </c>
      <c r="R5094">
        <v>0.97959631682426795</v>
      </c>
      <c r="S5094" t="s">
        <v>11496</v>
      </c>
      <c r="T5094" t="s">
        <v>12802</v>
      </c>
      <c r="U5094" t="s">
        <v>12802</v>
      </c>
      <c r="V5094" t="s">
        <v>12802</v>
      </c>
      <c r="W5094" t="s">
        <v>17832</v>
      </c>
      <c r="X5094">
        <v>15</v>
      </c>
      <c r="Y5094" t="s">
        <v>24048</v>
      </c>
      <c r="Z5094" t="s">
        <v>30412</v>
      </c>
      <c r="AA5094">
        <v>0.69827821210620233</v>
      </c>
      <c r="AB5094" t="str">
        <f>HYPERLINK("Melting_Curves/meltCurve_Q99471_PFDN5.pdf", "Melting_Curves/meltCurve_Q99471_PFDN5.pdf")</f>
        <v>Melting_Curves/meltCurve_Q99471_PFDN5.pdf</v>
      </c>
    </row>
    <row r="5095" spans="1:28" x14ac:dyDescent="0.25">
      <c r="A5095" t="s">
        <v>5099</v>
      </c>
      <c r="B5095">
        <v>0.99542014353169495</v>
      </c>
      <c r="C5095">
        <v>1.05494809077969</v>
      </c>
      <c r="D5095">
        <v>1.1174288468334499</v>
      </c>
      <c r="E5095">
        <v>1.03101285512684</v>
      </c>
      <c r="F5095">
        <v>0.84338768053103796</v>
      </c>
      <c r="G5095">
        <v>0.42229279026115601</v>
      </c>
      <c r="H5095">
        <v>0.16680062205650001</v>
      </c>
      <c r="I5095">
        <v>5.5315145969943101E-2</v>
      </c>
      <c r="J5095">
        <v>2.1986272799865401E-2</v>
      </c>
      <c r="K5095">
        <v>0</v>
      </c>
      <c r="L5095">
        <v>1451.50780327141</v>
      </c>
      <c r="M5095">
        <v>27.256035696759401</v>
      </c>
      <c r="N5095">
        <v>53.321514977097998</v>
      </c>
      <c r="O5095">
        <v>52.970350811935297</v>
      </c>
      <c r="P5095">
        <v>-0.12647483610886601</v>
      </c>
      <c r="Q5095">
        <v>1.6826571160070601E-2</v>
      </c>
      <c r="R5095">
        <v>0.989657755681425</v>
      </c>
      <c r="S5095" t="s">
        <v>11497</v>
      </c>
      <c r="T5095" t="s">
        <v>12802</v>
      </c>
      <c r="U5095" t="s">
        <v>12802</v>
      </c>
      <c r="V5095" t="s">
        <v>12802</v>
      </c>
      <c r="W5095" t="s">
        <v>17833</v>
      </c>
      <c r="X5095">
        <v>3</v>
      </c>
      <c r="Y5095" t="s">
        <v>24049</v>
      </c>
      <c r="Z5095" t="s">
        <v>30413</v>
      </c>
      <c r="AA5095">
        <v>0.55698918702525391</v>
      </c>
      <c r="AB5095" t="str">
        <f>HYPERLINK("Melting_Curves/meltCurve_Q99487_PAFAH2.pdf", "Melting_Curves/meltCurve_Q99487_PAFAH2.pdf")</f>
        <v>Melting_Curves/meltCurve_Q99487_PAFAH2.pdf</v>
      </c>
    </row>
    <row r="5096" spans="1:28" x14ac:dyDescent="0.25">
      <c r="A5096" t="s">
        <v>5100</v>
      </c>
      <c r="B5096">
        <v>0.99542014353169495</v>
      </c>
      <c r="C5096">
        <v>0.91843467904239895</v>
      </c>
      <c r="D5096">
        <v>0.82362679758193102</v>
      </c>
      <c r="E5096">
        <v>0.61606671024243898</v>
      </c>
      <c r="F5096">
        <v>0.41514081160079702</v>
      </c>
      <c r="G5096">
        <v>0.221898339253984</v>
      </c>
      <c r="H5096">
        <v>9.7454763093472702E-2</v>
      </c>
      <c r="I5096">
        <v>6.4615762440699498E-2</v>
      </c>
      <c r="J5096">
        <v>6.6643767309997201E-2</v>
      </c>
      <c r="K5096">
        <v>6.5823370620534505E-2</v>
      </c>
      <c r="L5096">
        <v>616.15362803431105</v>
      </c>
      <c r="M5096">
        <v>12.7642626209932</v>
      </c>
      <c r="N5096">
        <v>48.393494490138302</v>
      </c>
      <c r="O5096">
        <v>47.1329811317637</v>
      </c>
      <c r="P5096">
        <v>-6.6646576546275496E-2</v>
      </c>
      <c r="Q5096">
        <v>1.5797252191537801E-2</v>
      </c>
      <c r="R5096">
        <v>0.997533684622261</v>
      </c>
      <c r="S5096" t="s">
        <v>11498</v>
      </c>
      <c r="T5096" t="s">
        <v>12802</v>
      </c>
      <c r="U5096" t="s">
        <v>12802</v>
      </c>
      <c r="V5096" t="s">
        <v>12802</v>
      </c>
      <c r="W5096" t="s">
        <v>17834</v>
      </c>
      <c r="X5096">
        <v>8</v>
      </c>
      <c r="Y5096" t="s">
        <v>24050</v>
      </c>
      <c r="Z5096" t="s">
        <v>30414</v>
      </c>
      <c r="AA5096">
        <v>0.41336429927276508</v>
      </c>
      <c r="AB5096" t="str">
        <f>HYPERLINK("Melting_Curves/meltCurve_Q99496_RNF2.pdf", "Melting_Curves/meltCurve_Q99496_RNF2.pdf")</f>
        <v>Melting_Curves/meltCurve_Q99496_RNF2.pdf</v>
      </c>
    </row>
    <row r="5097" spans="1:28" x14ac:dyDescent="0.25">
      <c r="A5097" t="s">
        <v>5101</v>
      </c>
      <c r="B5097">
        <v>0.99542014353169495</v>
      </c>
      <c r="C5097">
        <v>1.04960746021314</v>
      </c>
      <c r="D5097">
        <v>0.94883521468427801</v>
      </c>
      <c r="E5097">
        <v>0.92226718233920002</v>
      </c>
      <c r="F5097">
        <v>0.74268207794452201</v>
      </c>
      <c r="G5097">
        <v>0.57346871326093096</v>
      </c>
      <c r="H5097">
        <v>0.29722780426529199</v>
      </c>
      <c r="I5097">
        <v>0.14188731719074099</v>
      </c>
      <c r="J5097">
        <v>0.12077128521694799</v>
      </c>
      <c r="K5097">
        <v>9.85691486498112E-2</v>
      </c>
      <c r="L5097">
        <v>828.01209117025201</v>
      </c>
      <c r="M5097">
        <v>15.3356259521273</v>
      </c>
      <c r="N5097">
        <v>54.240841280038303</v>
      </c>
      <c r="O5097">
        <v>53.099616109098001</v>
      </c>
      <c r="P5097">
        <v>-6.9762813556435002E-2</v>
      </c>
      <c r="Q5097">
        <v>3.3874442890781502E-2</v>
      </c>
      <c r="R5097">
        <v>0.99405565505643401</v>
      </c>
      <c r="S5097" t="s">
        <v>11499</v>
      </c>
      <c r="T5097" t="s">
        <v>12802</v>
      </c>
      <c r="U5097" t="s">
        <v>12802</v>
      </c>
      <c r="V5097" t="s">
        <v>12802</v>
      </c>
      <c r="W5097" t="s">
        <v>17835</v>
      </c>
      <c r="X5097">
        <v>18</v>
      </c>
      <c r="Y5097" t="s">
        <v>24051</v>
      </c>
      <c r="Z5097" t="s">
        <v>30415</v>
      </c>
      <c r="AA5097">
        <v>0.59651641836139979</v>
      </c>
      <c r="AB5097" t="str">
        <f>HYPERLINK("Melting_Curves/meltCurve_Q99497_PARK7.pdf", "Melting_Curves/meltCurve_Q99497_PARK7.pdf")</f>
        <v>Melting_Curves/meltCurve_Q99497_PARK7.pdf</v>
      </c>
    </row>
    <row r="5098" spans="1:28" x14ac:dyDescent="0.25">
      <c r="A5098" t="s">
        <v>5102</v>
      </c>
      <c r="B5098">
        <v>0.99542014353169495</v>
      </c>
      <c r="C5098">
        <v>0.90484109246147704</v>
      </c>
      <c r="D5098">
        <v>0.75864515001448396</v>
      </c>
      <c r="E5098">
        <v>0.29809034787477801</v>
      </c>
      <c r="F5098">
        <v>0.235088560015872</v>
      </c>
      <c r="G5098">
        <v>0.19389225372477201</v>
      </c>
      <c r="H5098">
        <v>0.113171435633143</v>
      </c>
      <c r="I5098">
        <v>4.9680464545353097E-2</v>
      </c>
      <c r="J5098">
        <v>0</v>
      </c>
      <c r="K5098">
        <v>8.7122298238341001E-2</v>
      </c>
      <c r="L5098">
        <v>841.93699154293199</v>
      </c>
      <c r="M5098">
        <v>18.789784741626999</v>
      </c>
      <c r="N5098">
        <v>45.205920887618703</v>
      </c>
      <c r="O5098">
        <v>44.309949890970998</v>
      </c>
      <c r="P5098">
        <v>-9.7941288399921E-2</v>
      </c>
      <c r="Q5098">
        <v>7.6180392331662294E-2</v>
      </c>
      <c r="R5098">
        <v>0.97970417724382397</v>
      </c>
      <c r="S5098" t="s">
        <v>11500</v>
      </c>
      <c r="T5098" t="s">
        <v>12802</v>
      </c>
      <c r="U5098" t="s">
        <v>12802</v>
      </c>
      <c r="V5098" t="s">
        <v>12802</v>
      </c>
      <c r="W5098" t="s">
        <v>17836</v>
      </c>
      <c r="X5098">
        <v>1</v>
      </c>
      <c r="Y5098" t="s">
        <v>24052</v>
      </c>
      <c r="Z5098" t="s">
        <v>30416</v>
      </c>
      <c r="AA5098">
        <v>0.3305127498199204</v>
      </c>
      <c r="AB5098" t="str">
        <f>HYPERLINK("Melting_Curves/meltCurve_Q99501_GAS2L1.pdf", "Melting_Curves/meltCurve_Q99501_GAS2L1.pdf")</f>
        <v>Melting_Curves/meltCurve_Q99501_GAS2L1.pdf</v>
      </c>
    </row>
    <row r="5099" spans="1:28" x14ac:dyDescent="0.25">
      <c r="A5099" t="s">
        <v>5103</v>
      </c>
      <c r="B5099">
        <v>0.99542014353169495</v>
      </c>
      <c r="C5099">
        <v>1.0017053938273399</v>
      </c>
      <c r="D5099">
        <v>0.80015736206778698</v>
      </c>
      <c r="E5099">
        <v>0.38350005363206702</v>
      </c>
      <c r="F5099">
        <v>0.226838069499399</v>
      </c>
      <c r="G5099">
        <v>0.14340260506233499</v>
      </c>
      <c r="H5099">
        <v>0.104740027122653</v>
      </c>
      <c r="I5099">
        <v>7.4952682591181499E-2</v>
      </c>
      <c r="J5099">
        <v>8.0935162326012902E-2</v>
      </c>
      <c r="K5099">
        <v>9.5046677270694102E-2</v>
      </c>
      <c r="L5099">
        <v>1038.47107897666</v>
      </c>
      <c r="M5099">
        <v>22.912048275307701</v>
      </c>
      <c r="N5099">
        <v>45.755224491708901</v>
      </c>
      <c r="O5099">
        <v>44.983201644073901</v>
      </c>
      <c r="P5099">
        <v>-0.114979654061362</v>
      </c>
      <c r="Q5099">
        <v>9.7059312956028002E-2</v>
      </c>
      <c r="R5099">
        <v>0.99591433680948505</v>
      </c>
      <c r="S5099" t="s">
        <v>11501</v>
      </c>
      <c r="T5099" t="s">
        <v>12802</v>
      </c>
      <c r="U5099" t="s">
        <v>12802</v>
      </c>
      <c r="V5099" t="s">
        <v>12802</v>
      </c>
      <c r="W5099" t="s">
        <v>17837</v>
      </c>
      <c r="X5099">
        <v>6</v>
      </c>
      <c r="Y5099" t="s">
        <v>24053</v>
      </c>
      <c r="Z5099" t="s">
        <v>30417</v>
      </c>
      <c r="AA5099">
        <v>0.3565138088705545</v>
      </c>
      <c r="AB5099" t="str">
        <f>HYPERLINK("Melting_Curves/meltCurve_Q99504_2_EYA3.pdf", "Melting_Curves/meltCurve_Q99504_2_EYA3.pdf")</f>
        <v>Melting_Curves/meltCurve_Q99504_2_EYA3.pdf</v>
      </c>
    </row>
    <row r="5100" spans="1:28" x14ac:dyDescent="0.25">
      <c r="A5100" t="s">
        <v>5104</v>
      </c>
      <c r="B5100">
        <v>0.99542014353169495</v>
      </c>
      <c r="C5100">
        <v>1.0337089080954101</v>
      </c>
      <c r="D5100">
        <v>0.89461011263707502</v>
      </c>
      <c r="E5100">
        <v>0.74854335543971595</v>
      </c>
      <c r="F5100">
        <v>0.450928063600749</v>
      </c>
      <c r="G5100">
        <v>0.25612174188464598</v>
      </c>
      <c r="H5100">
        <v>0.13776856126638801</v>
      </c>
      <c r="I5100">
        <v>0.10875832282336501</v>
      </c>
      <c r="J5100">
        <v>9.8630363569154902E-2</v>
      </c>
      <c r="K5100">
        <v>0.122505093604818</v>
      </c>
      <c r="L5100">
        <v>867.76039586666502</v>
      </c>
      <c r="M5100">
        <v>17.706613838916802</v>
      </c>
      <c r="N5100">
        <v>49.571512774681999</v>
      </c>
      <c r="O5100">
        <v>48.3954470033161</v>
      </c>
      <c r="P5100">
        <v>-8.3130640740720602E-2</v>
      </c>
      <c r="Q5100">
        <v>9.1202616739799194E-2</v>
      </c>
      <c r="R5100">
        <v>0.99657068179283903</v>
      </c>
      <c r="S5100" t="s">
        <v>11502</v>
      </c>
      <c r="T5100" t="s">
        <v>12802</v>
      </c>
      <c r="U5100" t="s">
        <v>12802</v>
      </c>
      <c r="V5100" t="s">
        <v>12802</v>
      </c>
      <c r="W5100" t="s">
        <v>17838</v>
      </c>
      <c r="X5100">
        <v>5</v>
      </c>
      <c r="Y5100" t="s">
        <v>24054</v>
      </c>
      <c r="Z5100" t="s">
        <v>30418</v>
      </c>
      <c r="AA5100">
        <v>0.46982087330320749</v>
      </c>
      <c r="AB5100" t="str">
        <f>HYPERLINK("Melting_Curves/meltCurve_Q99519_NEU1.pdf", "Melting_Curves/meltCurve_Q99519_NEU1.pdf")</f>
        <v>Melting_Curves/meltCurve_Q99519_NEU1.pdf</v>
      </c>
    </row>
    <row r="5101" spans="1:28" x14ac:dyDescent="0.25">
      <c r="A5101" t="s">
        <v>5105</v>
      </c>
      <c r="B5101">
        <v>0.99542014353169495</v>
      </c>
      <c r="C5101">
        <v>0.93980282020911399</v>
      </c>
      <c r="D5101">
        <v>0.922073257127761</v>
      </c>
      <c r="E5101">
        <v>0.77576253393472105</v>
      </c>
      <c r="F5101">
        <v>0.72399168515081702</v>
      </c>
      <c r="G5101">
        <v>0.49315981798020397</v>
      </c>
      <c r="H5101">
        <v>0.336631637538021</v>
      </c>
      <c r="I5101">
        <v>0.19148784690527801</v>
      </c>
      <c r="J5101">
        <v>8.8117581448210205E-2</v>
      </c>
      <c r="K5101">
        <v>7.15595163538916E-2</v>
      </c>
      <c r="L5101">
        <v>601.07287090436103</v>
      </c>
      <c r="M5101">
        <v>11.247230501761999</v>
      </c>
      <c r="N5101">
        <v>53.441855866008297</v>
      </c>
      <c r="O5101">
        <v>51.835976349888803</v>
      </c>
      <c r="P5101">
        <v>-5.4261124964127501E-2</v>
      </c>
      <c r="Q5101">
        <v>0</v>
      </c>
      <c r="R5101">
        <v>0.99035856605348804</v>
      </c>
      <c r="S5101" t="s">
        <v>11503</v>
      </c>
      <c r="T5101" t="s">
        <v>12802</v>
      </c>
      <c r="U5101" t="s">
        <v>12802</v>
      </c>
      <c r="V5101" t="s">
        <v>12802</v>
      </c>
      <c r="W5101" t="s">
        <v>17839</v>
      </c>
      <c r="X5101">
        <v>12</v>
      </c>
      <c r="Y5101" t="s">
        <v>24055</v>
      </c>
      <c r="Z5101" t="s">
        <v>30419</v>
      </c>
      <c r="AA5101">
        <v>0.5682023568207174</v>
      </c>
      <c r="AB5101" t="str">
        <f>HYPERLINK("Melting_Curves/meltCurve_Q99523_SORT1.pdf", "Melting_Curves/meltCurve_Q99523_SORT1.pdf")</f>
        <v>Melting_Curves/meltCurve_Q99523_SORT1.pdf</v>
      </c>
    </row>
    <row r="5102" spans="1:28" x14ac:dyDescent="0.25">
      <c r="A5102" t="s">
        <v>5106</v>
      </c>
      <c r="B5102">
        <v>0.99542014353169495</v>
      </c>
      <c r="C5102">
        <v>1.0526845715978299</v>
      </c>
      <c r="D5102">
        <v>0.97916149727978397</v>
      </c>
      <c r="E5102">
        <v>0.98493610506993001</v>
      </c>
      <c r="F5102">
        <v>0.851969495516542</v>
      </c>
      <c r="G5102">
        <v>0.71134317821097603</v>
      </c>
      <c r="H5102">
        <v>0.493867535772399</v>
      </c>
      <c r="I5102">
        <v>0.37986402846301198</v>
      </c>
      <c r="J5102">
        <v>0.25895163712742603</v>
      </c>
      <c r="K5102">
        <v>0.23293609764353601</v>
      </c>
      <c r="L5102">
        <v>821.95723926401399</v>
      </c>
      <c r="M5102">
        <v>14.674937125971899</v>
      </c>
      <c r="N5102">
        <v>57.540616537656298</v>
      </c>
      <c r="O5102">
        <v>55.001695937379502</v>
      </c>
      <c r="P5102">
        <v>-5.5935157468927701E-2</v>
      </c>
      <c r="Q5102">
        <v>0.161511846293243</v>
      </c>
      <c r="R5102">
        <v>0.99445851644613503</v>
      </c>
      <c r="S5102" t="s">
        <v>11504</v>
      </c>
      <c r="T5102" t="s">
        <v>12802</v>
      </c>
      <c r="U5102" t="s">
        <v>12802</v>
      </c>
      <c r="V5102" t="s">
        <v>12802</v>
      </c>
      <c r="W5102" t="s">
        <v>17840</v>
      </c>
      <c r="X5102">
        <v>13</v>
      </c>
      <c r="Y5102" t="s">
        <v>24056</v>
      </c>
      <c r="Z5102" t="s">
        <v>30420</v>
      </c>
      <c r="AA5102">
        <v>0.70241200563150707</v>
      </c>
      <c r="AB5102" t="str">
        <f>HYPERLINK("Melting_Curves/meltCurve_Q99536_VAT1.pdf", "Melting_Curves/meltCurve_Q99536_VAT1.pdf")</f>
        <v>Melting_Curves/meltCurve_Q99536_VAT1.pdf</v>
      </c>
    </row>
    <row r="5103" spans="1:28" x14ac:dyDescent="0.25">
      <c r="A5103" t="s">
        <v>5107</v>
      </c>
      <c r="B5103">
        <v>0.99542014353169495</v>
      </c>
      <c r="C5103">
        <v>0.99322017998854495</v>
      </c>
      <c r="D5103">
        <v>0.78953138722306104</v>
      </c>
      <c r="E5103">
        <v>0.61249928919725205</v>
      </c>
      <c r="F5103">
        <v>0.38696961629587301</v>
      </c>
      <c r="G5103">
        <v>0.18476784258427101</v>
      </c>
      <c r="H5103">
        <v>0.109531426806059</v>
      </c>
      <c r="I5103">
        <v>7.3680051542865901E-2</v>
      </c>
      <c r="J5103">
        <v>9.3528331023662301E-2</v>
      </c>
      <c r="K5103">
        <v>0.10014309571488</v>
      </c>
      <c r="L5103">
        <v>702.93453935485195</v>
      </c>
      <c r="M5103">
        <v>14.7732532177496</v>
      </c>
      <c r="N5103">
        <v>48.000854162577198</v>
      </c>
      <c r="O5103">
        <v>46.735241782848</v>
      </c>
      <c r="P5103">
        <v>-7.4250608534938298E-2</v>
      </c>
      <c r="Q5103">
        <v>6.0532440862096401E-2</v>
      </c>
      <c r="R5103">
        <v>0.99417940674962701</v>
      </c>
      <c r="S5103" t="s">
        <v>11505</v>
      </c>
      <c r="T5103" t="s">
        <v>12802</v>
      </c>
      <c r="U5103" t="s">
        <v>12802</v>
      </c>
      <c r="V5103" t="s">
        <v>12802</v>
      </c>
      <c r="W5103" t="s">
        <v>17841</v>
      </c>
      <c r="X5103">
        <v>4</v>
      </c>
      <c r="Y5103" t="s">
        <v>24057</v>
      </c>
      <c r="Z5103" t="s">
        <v>30421</v>
      </c>
      <c r="AA5103">
        <v>0.41333715406660798</v>
      </c>
      <c r="AB5103" t="str">
        <f>HYPERLINK("Melting_Curves/meltCurve_Q99541_PLIN2.pdf", "Melting_Curves/meltCurve_Q99541_PLIN2.pdf")</f>
        <v>Melting_Curves/meltCurve_Q99541_PLIN2.pdf</v>
      </c>
    </row>
    <row r="5104" spans="1:28" x14ac:dyDescent="0.25">
      <c r="A5104" t="s">
        <v>5108</v>
      </c>
      <c r="B5104">
        <v>0.99542014353169495</v>
      </c>
      <c r="C5104">
        <v>0.96494529878938295</v>
      </c>
      <c r="D5104">
        <v>0.83833760108010502</v>
      </c>
      <c r="E5104">
        <v>0.37090353931400699</v>
      </c>
      <c r="F5104">
        <v>0.19383252390655001</v>
      </c>
      <c r="G5104">
        <v>0.110095446798745</v>
      </c>
      <c r="H5104">
        <v>6.1061582446756503E-2</v>
      </c>
      <c r="I5104">
        <v>4.3704697630532301E-2</v>
      </c>
      <c r="J5104">
        <v>5.1600902086829499E-2</v>
      </c>
      <c r="K5104">
        <v>5.9139268317427503E-2</v>
      </c>
      <c r="L5104">
        <v>1084.87886699356</v>
      </c>
      <c r="M5104">
        <v>23.834264855813299</v>
      </c>
      <c r="N5104">
        <v>45.772744712468999</v>
      </c>
      <c r="O5104">
        <v>45.200810487818799</v>
      </c>
      <c r="P5104">
        <v>-0.12362667718822801</v>
      </c>
      <c r="Q5104">
        <v>6.2201193451313502E-2</v>
      </c>
      <c r="R5104">
        <v>0.99686588763946204</v>
      </c>
      <c r="S5104" t="s">
        <v>11506</v>
      </c>
      <c r="T5104" t="s">
        <v>12802</v>
      </c>
      <c r="U5104" t="s">
        <v>12802</v>
      </c>
      <c r="V5104" t="s">
        <v>12802</v>
      </c>
      <c r="W5104" t="s">
        <v>17842</v>
      </c>
      <c r="X5104">
        <v>24</v>
      </c>
      <c r="Y5104" t="s">
        <v>24058</v>
      </c>
      <c r="Z5104" t="s">
        <v>30422</v>
      </c>
      <c r="AA5104">
        <v>0.33699576443269302</v>
      </c>
      <c r="AB5104" t="str">
        <f>HYPERLINK("Melting_Curves/meltCurve_Q99543_DNAJC2.pdf", "Melting_Curves/meltCurve_Q99543_DNAJC2.pdf")</f>
        <v>Melting_Curves/meltCurve_Q99543_DNAJC2.pdf</v>
      </c>
    </row>
    <row r="5105" spans="1:28" x14ac:dyDescent="0.25">
      <c r="A5105" t="s">
        <v>5109</v>
      </c>
      <c r="B5105">
        <v>0.99542014353169495</v>
      </c>
      <c r="C5105">
        <v>0.96436165223963499</v>
      </c>
      <c r="D5105">
        <v>0.87428943339868204</v>
      </c>
      <c r="E5105">
        <v>0.67822033890792599</v>
      </c>
      <c r="F5105">
        <v>0.56130046042118198</v>
      </c>
      <c r="G5105">
        <v>0.45058409126133397</v>
      </c>
      <c r="H5105">
        <v>0.39834977905470198</v>
      </c>
      <c r="I5105">
        <v>0.37645116162109998</v>
      </c>
      <c r="J5105">
        <v>0.14188289843758001</v>
      </c>
      <c r="K5105">
        <v>8.3739012107020394E-2</v>
      </c>
      <c r="L5105">
        <v>409.587526138496</v>
      </c>
      <c r="M5105">
        <v>7.7723133983681496</v>
      </c>
      <c r="N5105">
        <v>52.6982772146889</v>
      </c>
      <c r="O5105">
        <v>49.550781223932198</v>
      </c>
      <c r="P5105">
        <v>-3.9263252108899499E-2</v>
      </c>
      <c r="Q5105">
        <v>0</v>
      </c>
      <c r="R5105">
        <v>0.96419886915665498</v>
      </c>
      <c r="S5105" t="s">
        <v>11507</v>
      </c>
      <c r="T5105" t="s">
        <v>12802</v>
      </c>
      <c r="U5105" t="s">
        <v>12802</v>
      </c>
      <c r="V5105" t="s">
        <v>12802</v>
      </c>
      <c r="W5105" t="s">
        <v>17843</v>
      </c>
      <c r="X5105">
        <v>21</v>
      </c>
      <c r="Y5105" t="s">
        <v>24058</v>
      </c>
      <c r="Z5105" t="s">
        <v>30423</v>
      </c>
      <c r="AA5105">
        <v>0.54704313068033517</v>
      </c>
      <c r="AB5105" t="str">
        <f>HYPERLINK("Melting_Curves/meltCurve_Q99543_2_DNAJC2.pdf", "Melting_Curves/meltCurve_Q99543_2_DNAJC2.pdf")</f>
        <v>Melting_Curves/meltCurve_Q99543_2_DNAJC2.pdf</v>
      </c>
    </row>
    <row r="5106" spans="1:28" x14ac:dyDescent="0.25">
      <c r="A5106" t="s">
        <v>5110</v>
      </c>
      <c r="B5106">
        <v>0.99542014353169495</v>
      </c>
      <c r="C5106">
        <v>0.88079421197848096</v>
      </c>
      <c r="D5106">
        <v>0.73973279393629798</v>
      </c>
      <c r="E5106">
        <v>0.56028771095039398</v>
      </c>
      <c r="F5106">
        <v>0.27920767222505599</v>
      </c>
      <c r="G5106">
        <v>0.168261146457515</v>
      </c>
      <c r="H5106">
        <v>9.8949361249789702E-2</v>
      </c>
      <c r="I5106">
        <v>8.4045515850657795E-2</v>
      </c>
      <c r="J5106">
        <v>6.3539149865441E-2</v>
      </c>
      <c r="K5106">
        <v>1.9962592292227299E-2</v>
      </c>
      <c r="L5106">
        <v>597.50143571842796</v>
      </c>
      <c r="M5106">
        <v>12.7802480263473</v>
      </c>
      <c r="N5106">
        <v>46.892131836149296</v>
      </c>
      <c r="O5106">
        <v>45.651646209770902</v>
      </c>
      <c r="P5106">
        <v>-6.8689027793849902E-2</v>
      </c>
      <c r="Q5106">
        <v>1.87434849251133E-2</v>
      </c>
      <c r="R5106">
        <v>0.99603889220785902</v>
      </c>
      <c r="S5106" t="s">
        <v>11508</v>
      </c>
      <c r="T5106" t="s">
        <v>12802</v>
      </c>
      <c r="U5106" t="s">
        <v>12802</v>
      </c>
      <c r="V5106" t="s">
        <v>12802</v>
      </c>
      <c r="W5106" t="s">
        <v>17844</v>
      </c>
      <c r="X5106">
        <v>4</v>
      </c>
      <c r="Y5106" t="s">
        <v>24059</v>
      </c>
      <c r="Z5106" t="s">
        <v>30424</v>
      </c>
      <c r="AA5106">
        <v>0.36712304073956048</v>
      </c>
      <c r="AB5106" t="str">
        <f>HYPERLINK("Melting_Curves/meltCurve_Q99549_MPHOSPH8.pdf", "Melting_Curves/meltCurve_Q99549_MPHOSPH8.pdf")</f>
        <v>Melting_Curves/meltCurve_Q99549_MPHOSPH8.pdf</v>
      </c>
    </row>
    <row r="5107" spans="1:28" x14ac:dyDescent="0.25">
      <c r="A5107" t="s">
        <v>5111</v>
      </c>
      <c r="B5107">
        <v>0.99542014353169495</v>
      </c>
      <c r="C5107">
        <v>0.80028499122802599</v>
      </c>
      <c r="D5107">
        <v>0.73735723334486902</v>
      </c>
      <c r="E5107">
        <v>0.45713391761779198</v>
      </c>
      <c r="F5107">
        <v>0.23036998961763999</v>
      </c>
      <c r="G5107">
        <v>0.117666557207394</v>
      </c>
      <c r="H5107">
        <v>9.1937134584101493E-2</v>
      </c>
      <c r="I5107">
        <v>8.5586155116736201E-2</v>
      </c>
      <c r="J5107">
        <v>0.12853538671346201</v>
      </c>
      <c r="K5107">
        <v>0.15417968169848401</v>
      </c>
      <c r="L5107">
        <v>686.90723112542503</v>
      </c>
      <c r="M5107">
        <v>15.262625759340301</v>
      </c>
      <c r="N5107">
        <v>45.605742658687298</v>
      </c>
      <c r="O5107">
        <v>44.254442220633898</v>
      </c>
      <c r="P5107">
        <v>-7.8386420293225401E-2</v>
      </c>
      <c r="Q5107">
        <v>9.0950664153888403E-2</v>
      </c>
      <c r="R5107">
        <v>0.98309166889980104</v>
      </c>
      <c r="S5107" t="s">
        <v>11509</v>
      </c>
      <c r="T5107" t="s">
        <v>12802</v>
      </c>
      <c r="U5107" t="s">
        <v>12802</v>
      </c>
      <c r="V5107" t="s">
        <v>12802</v>
      </c>
      <c r="W5107" t="s">
        <v>17845</v>
      </c>
      <c r="X5107">
        <v>10</v>
      </c>
      <c r="Y5107" t="s">
        <v>24060</v>
      </c>
      <c r="Z5107" t="s">
        <v>30425</v>
      </c>
      <c r="AA5107">
        <v>0.35442259937803849</v>
      </c>
      <c r="AB5107" t="str">
        <f>HYPERLINK("Melting_Curves/meltCurve_Q99567_NUP88.pdf", "Melting_Curves/meltCurve_Q99567_NUP88.pdf")</f>
        <v>Melting_Curves/meltCurve_Q99567_NUP88.pdf</v>
      </c>
    </row>
    <row r="5108" spans="1:28" x14ac:dyDescent="0.25">
      <c r="A5108" t="s">
        <v>5112</v>
      </c>
      <c r="B5108">
        <v>0.99542014353169495</v>
      </c>
      <c r="C5108">
        <v>1.1841327597779701</v>
      </c>
      <c r="D5108">
        <v>0.78059819166033895</v>
      </c>
      <c r="E5108">
        <v>0.55419740538346995</v>
      </c>
      <c r="F5108">
        <v>0.35634927456702498</v>
      </c>
      <c r="G5108">
        <v>0.27027545967795602</v>
      </c>
      <c r="H5108">
        <v>0.224597241739731</v>
      </c>
      <c r="I5108">
        <v>0.15191222050440001</v>
      </c>
      <c r="J5108">
        <v>0.17648701562375799</v>
      </c>
      <c r="K5108">
        <v>0.21740284430030399</v>
      </c>
      <c r="L5108">
        <v>940.93433077314603</v>
      </c>
      <c r="M5108">
        <v>20.3700457698538</v>
      </c>
      <c r="N5108">
        <v>47.356629887105697</v>
      </c>
      <c r="O5108">
        <v>45.753793667716501</v>
      </c>
      <c r="P5108">
        <v>-8.9376955251001006E-2</v>
      </c>
      <c r="Q5108">
        <v>0.197014900505706</v>
      </c>
      <c r="R5108">
        <v>0.95417518832848802</v>
      </c>
      <c r="S5108" t="s">
        <v>11510</v>
      </c>
      <c r="T5108" t="s">
        <v>12802</v>
      </c>
      <c r="U5108" t="s">
        <v>12802</v>
      </c>
      <c r="V5108" t="s">
        <v>12802</v>
      </c>
      <c r="W5108" t="s">
        <v>17846</v>
      </c>
      <c r="X5108">
        <v>2</v>
      </c>
      <c r="Y5108" t="s">
        <v>24061</v>
      </c>
      <c r="Z5108" t="s">
        <v>30426</v>
      </c>
      <c r="AA5108">
        <v>0.45316707295560221</v>
      </c>
      <c r="AB5108" t="str">
        <f>HYPERLINK("Melting_Curves/meltCurve_Q99569_2_PKP4.pdf", "Melting_Curves/meltCurve_Q99569_2_PKP4.pdf")</f>
        <v>Melting_Curves/meltCurve_Q99569_2_PKP4.pdf</v>
      </c>
    </row>
    <row r="5109" spans="1:28" x14ac:dyDescent="0.25">
      <c r="A5109" t="s">
        <v>5113</v>
      </c>
      <c r="B5109">
        <v>0.99542014353169495</v>
      </c>
      <c r="C5109">
        <v>1.0249202225365499</v>
      </c>
      <c r="D5109">
        <v>0.98221978248576802</v>
      </c>
      <c r="E5109">
        <v>0.58298574183507701</v>
      </c>
      <c r="F5109">
        <v>0.39073020326025698</v>
      </c>
      <c r="G5109">
        <v>0.1432651610764</v>
      </c>
      <c r="H5109">
        <v>7.4747642069685705E-2</v>
      </c>
      <c r="I5109">
        <v>4.9624474594065097E-2</v>
      </c>
      <c r="J5109">
        <v>3.5125117654168002E-2</v>
      </c>
      <c r="K5109">
        <v>3.11984256867626E-2</v>
      </c>
      <c r="L5109">
        <v>903.03809950918799</v>
      </c>
      <c r="M5109">
        <v>18.7555193761455</v>
      </c>
      <c r="N5109">
        <v>48.313244716746901</v>
      </c>
      <c r="O5109">
        <v>47.6105192698884</v>
      </c>
      <c r="P5109">
        <v>-9.5425970458713399E-2</v>
      </c>
      <c r="Q5109">
        <v>3.1092788639686599E-2</v>
      </c>
      <c r="R5109">
        <v>0.99004341915577199</v>
      </c>
      <c r="S5109" t="s">
        <v>11511</v>
      </c>
      <c r="T5109" t="s">
        <v>12802</v>
      </c>
      <c r="U5109" t="s">
        <v>12802</v>
      </c>
      <c r="V5109" t="s">
        <v>12802</v>
      </c>
      <c r="W5109" t="s">
        <v>17847</v>
      </c>
      <c r="X5109">
        <v>9</v>
      </c>
      <c r="Y5109" t="s">
        <v>24062</v>
      </c>
      <c r="Z5109" t="s">
        <v>30427</v>
      </c>
      <c r="AA5109">
        <v>0.40548978490217652</v>
      </c>
      <c r="AB5109" t="str">
        <f>HYPERLINK("Melting_Curves/meltCurve_Q99570_PIK3R4.pdf", "Melting_Curves/meltCurve_Q99570_PIK3R4.pdf")</f>
        <v>Melting_Curves/meltCurve_Q99570_PIK3R4.pdf</v>
      </c>
    </row>
    <row r="5110" spans="1:28" x14ac:dyDescent="0.25">
      <c r="A5110" t="s">
        <v>5114</v>
      </c>
      <c r="B5110">
        <v>0.99542014353169495</v>
      </c>
      <c r="C5110">
        <v>0.87067399661940004</v>
      </c>
      <c r="D5110">
        <v>0.928347189919557</v>
      </c>
      <c r="E5110">
        <v>0.77163237193341705</v>
      </c>
      <c r="F5110">
        <v>0.71925834009044398</v>
      </c>
      <c r="G5110">
        <v>0.36080219594331198</v>
      </c>
      <c r="H5110">
        <v>0.13490143715988301</v>
      </c>
      <c r="I5110">
        <v>6.7672956525650294E-2</v>
      </c>
      <c r="J5110">
        <v>4.3774072093389599E-2</v>
      </c>
      <c r="K5110">
        <v>6.3296266556558095E-2</v>
      </c>
      <c r="L5110">
        <v>789.03513184384997</v>
      </c>
      <c r="M5110">
        <v>15.2173871009474</v>
      </c>
      <c r="N5110">
        <v>51.850916571838603</v>
      </c>
      <c r="O5110">
        <v>50.980196316524598</v>
      </c>
      <c r="P5110">
        <v>-7.4631120555625194E-2</v>
      </c>
      <c r="Q5110">
        <v>0</v>
      </c>
      <c r="R5110">
        <v>0.97575627821000199</v>
      </c>
      <c r="S5110" t="s">
        <v>11512</v>
      </c>
      <c r="T5110" t="s">
        <v>12802</v>
      </c>
      <c r="U5110" t="s">
        <v>12802</v>
      </c>
      <c r="V5110" t="s">
        <v>12802</v>
      </c>
      <c r="W5110" t="s">
        <v>17848</v>
      </c>
      <c r="X5110">
        <v>8</v>
      </c>
      <c r="Y5110" t="s">
        <v>24063</v>
      </c>
      <c r="Z5110" t="s">
        <v>30428</v>
      </c>
      <c r="AA5110">
        <v>0.51400355988051882</v>
      </c>
      <c r="AB5110" t="str">
        <f>HYPERLINK("Melting_Curves/meltCurve_Q99575_POP1.pdf", "Melting_Curves/meltCurve_Q99575_POP1.pdf")</f>
        <v>Melting_Curves/meltCurve_Q99575_POP1.pdf</v>
      </c>
    </row>
    <row r="5111" spans="1:28" x14ac:dyDescent="0.25">
      <c r="A5111" t="s">
        <v>5115</v>
      </c>
      <c r="B5111">
        <v>0.99542014353169495</v>
      </c>
      <c r="C5111">
        <v>0.96403165501705601</v>
      </c>
      <c r="D5111">
        <v>1.00235773714706</v>
      </c>
      <c r="E5111">
        <v>0.617674527536203</v>
      </c>
      <c r="F5111">
        <v>0.43559458522525502</v>
      </c>
      <c r="G5111">
        <v>0.19916590116904301</v>
      </c>
      <c r="H5111">
        <v>0.15786807774476799</v>
      </c>
      <c r="I5111">
        <v>0.11977442212152301</v>
      </c>
      <c r="J5111">
        <v>0.15266467280403601</v>
      </c>
      <c r="K5111">
        <v>0.21284620147258901</v>
      </c>
      <c r="L5111">
        <v>1014.20337658613</v>
      </c>
      <c r="M5111">
        <v>21.251962602591799</v>
      </c>
      <c r="N5111">
        <v>48.559468703838398</v>
      </c>
      <c r="O5111">
        <v>47.306295873319399</v>
      </c>
      <c r="P5111">
        <v>-9.5095157242239603E-2</v>
      </c>
      <c r="Q5111">
        <v>0.15330479322009899</v>
      </c>
      <c r="R5111">
        <v>0.983908405531699</v>
      </c>
      <c r="S5111" t="s">
        <v>11513</v>
      </c>
      <c r="T5111" t="s">
        <v>12802</v>
      </c>
      <c r="U5111" t="s">
        <v>12802</v>
      </c>
      <c r="V5111" t="s">
        <v>12802</v>
      </c>
      <c r="W5111" t="s">
        <v>17849</v>
      </c>
      <c r="X5111">
        <v>2</v>
      </c>
      <c r="Y5111" t="s">
        <v>24064</v>
      </c>
      <c r="Z5111" t="s">
        <v>30429</v>
      </c>
      <c r="AA5111">
        <v>0.46582437967628842</v>
      </c>
      <c r="AB5111" t="str">
        <f>HYPERLINK("Melting_Curves/meltCurve_Q99583_MNT.pdf", "Melting_Curves/meltCurve_Q99583_MNT.pdf")</f>
        <v>Melting_Curves/meltCurve_Q99583_MNT.pdf</v>
      </c>
    </row>
    <row r="5112" spans="1:28" x14ac:dyDescent="0.25">
      <c r="A5112" t="s">
        <v>5116</v>
      </c>
      <c r="B5112">
        <v>0.99542014353169495</v>
      </c>
      <c r="C5112">
        <v>1.0677513214271499</v>
      </c>
      <c r="D5112">
        <v>1.03228745083355</v>
      </c>
      <c r="E5112">
        <v>0.918807561009227</v>
      </c>
      <c r="F5112">
        <v>0.73059300817646899</v>
      </c>
      <c r="G5112">
        <v>0.51402969593402703</v>
      </c>
      <c r="H5112">
        <v>0.26150981886881502</v>
      </c>
      <c r="I5112">
        <v>0.15268159035208301</v>
      </c>
      <c r="J5112">
        <v>0.17205132731745301</v>
      </c>
      <c r="K5112">
        <v>0.202440988138646</v>
      </c>
      <c r="L5112">
        <v>1041.9147349913901</v>
      </c>
      <c r="M5112">
        <v>19.856320271555798</v>
      </c>
      <c r="N5112">
        <v>53.4274321497521</v>
      </c>
      <c r="O5112">
        <v>51.949181038819503</v>
      </c>
      <c r="P5112">
        <v>-8.1287548505028007E-2</v>
      </c>
      <c r="Q5112">
        <v>0.14935293093177099</v>
      </c>
      <c r="R5112">
        <v>0.98996626208081495</v>
      </c>
      <c r="S5112" t="s">
        <v>11514</v>
      </c>
      <c r="T5112" t="s">
        <v>12802</v>
      </c>
      <c r="U5112" t="s">
        <v>12802</v>
      </c>
      <c r="V5112" t="s">
        <v>12802</v>
      </c>
      <c r="W5112" t="s">
        <v>17850</v>
      </c>
      <c r="X5112">
        <v>7</v>
      </c>
      <c r="Y5112" t="s">
        <v>24065</v>
      </c>
      <c r="Z5112" t="s">
        <v>30430</v>
      </c>
      <c r="AA5112">
        <v>0.59907317866312948</v>
      </c>
      <c r="AB5112" t="str">
        <f>HYPERLINK("Melting_Curves/meltCurve_Q99584_S100A13.pdf", "Melting_Curves/meltCurve_Q99584_S100A13.pdf")</f>
        <v>Melting_Curves/meltCurve_Q99584_S100A13.pdf</v>
      </c>
    </row>
    <row r="5113" spans="1:28" x14ac:dyDescent="0.25">
      <c r="A5113" t="s">
        <v>5117</v>
      </c>
      <c r="B5113">
        <v>0.99542014353169495</v>
      </c>
      <c r="C5113">
        <v>0.93094421932162796</v>
      </c>
      <c r="D5113">
        <v>0.93245281945707903</v>
      </c>
      <c r="E5113">
        <v>0.80762410798546103</v>
      </c>
      <c r="F5113">
        <v>0.71785742153430299</v>
      </c>
      <c r="G5113">
        <v>0.491277874150505</v>
      </c>
      <c r="H5113">
        <v>0.37232445986438301</v>
      </c>
      <c r="I5113">
        <v>0.27616033205289098</v>
      </c>
      <c r="J5113">
        <v>0.19845221988780001</v>
      </c>
      <c r="K5113">
        <v>9.2059798809927096E-2</v>
      </c>
      <c r="L5113">
        <v>522.42263295873397</v>
      </c>
      <c r="M5113">
        <v>9.6418371502010398</v>
      </c>
      <c r="N5113">
        <v>54.1828984361156</v>
      </c>
      <c r="O5113">
        <v>52.006059252953399</v>
      </c>
      <c r="P5113">
        <v>-4.6375497150590403E-2</v>
      </c>
      <c r="Q5113">
        <v>0</v>
      </c>
      <c r="R5113">
        <v>0.99351094798598305</v>
      </c>
      <c r="S5113" t="s">
        <v>11515</v>
      </c>
      <c r="T5113" t="s">
        <v>12802</v>
      </c>
      <c r="U5113" t="s">
        <v>12802</v>
      </c>
      <c r="V5113" t="s">
        <v>12802</v>
      </c>
      <c r="W5113" t="s">
        <v>17851</v>
      </c>
      <c r="X5113">
        <v>22</v>
      </c>
      <c r="Y5113" t="s">
        <v>24066</v>
      </c>
      <c r="Z5113" t="s">
        <v>30431</v>
      </c>
      <c r="AA5113">
        <v>0.58905363454032067</v>
      </c>
      <c r="AB5113" t="str">
        <f>HYPERLINK("Melting_Curves/meltCurve_Q99598_TSNAX.pdf", "Melting_Curves/meltCurve_Q99598_TSNAX.pdf")</f>
        <v>Melting_Curves/meltCurve_Q99598_TSNAX.pdf</v>
      </c>
    </row>
    <row r="5114" spans="1:28" x14ac:dyDescent="0.25">
      <c r="A5114" t="s">
        <v>5118</v>
      </c>
      <c r="B5114">
        <v>0.99542014353169495</v>
      </c>
      <c r="C5114">
        <v>0.97053323937278801</v>
      </c>
      <c r="D5114">
        <v>0.95468531212885799</v>
      </c>
      <c r="E5114">
        <v>0.90691732158115301</v>
      </c>
      <c r="F5114">
        <v>0.68936019957925998</v>
      </c>
      <c r="G5114">
        <v>0.57984773397086298</v>
      </c>
      <c r="H5114">
        <v>0.44019473332665499</v>
      </c>
      <c r="I5114">
        <v>0.33654242662394201</v>
      </c>
      <c r="J5114">
        <v>0.51511323213150595</v>
      </c>
      <c r="K5114">
        <v>0.81222471735074397</v>
      </c>
      <c r="L5114">
        <v>1426.52168447897</v>
      </c>
      <c r="M5114">
        <v>29.164280331108799</v>
      </c>
      <c r="O5114">
        <v>48.685073595998198</v>
      </c>
      <c r="P5114">
        <v>-7.0405594753015693E-2</v>
      </c>
      <c r="Q5114">
        <v>0.52988017670729703</v>
      </c>
      <c r="R5114">
        <v>0.75306959186358302</v>
      </c>
      <c r="S5114" t="s">
        <v>11516</v>
      </c>
      <c r="T5114" t="s">
        <v>12802</v>
      </c>
      <c r="U5114" t="s">
        <v>12802</v>
      </c>
      <c r="V5114" t="s">
        <v>12802</v>
      </c>
      <c r="W5114" t="s">
        <v>17852</v>
      </c>
      <c r="X5114">
        <v>15</v>
      </c>
      <c r="Y5114" t="s">
        <v>24067</v>
      </c>
      <c r="Z5114" t="s">
        <v>30432</v>
      </c>
      <c r="AA5114">
        <v>0.71956489257790468</v>
      </c>
      <c r="AB5114" t="str">
        <f>HYPERLINK("Melting_Curves/meltCurve_Q99614_TTC1.pdf", "Melting_Curves/meltCurve_Q99614_TTC1.pdf")</f>
        <v>Melting_Curves/meltCurve_Q99614_TTC1.pdf</v>
      </c>
    </row>
    <row r="5115" spans="1:28" x14ac:dyDescent="0.25">
      <c r="A5115" t="s">
        <v>5119</v>
      </c>
      <c r="B5115">
        <v>0.99542014353169495</v>
      </c>
      <c r="C5115">
        <v>0.937129624201957</v>
      </c>
      <c r="D5115">
        <v>0.96265857205735705</v>
      </c>
      <c r="E5115">
        <v>0.76215494137096895</v>
      </c>
      <c r="F5115">
        <v>0.14656270397180601</v>
      </c>
      <c r="G5115">
        <v>8.1681330199912805E-2</v>
      </c>
      <c r="H5115">
        <v>4.7818005247339E-2</v>
      </c>
      <c r="I5115">
        <v>3.1909765092248903E-2</v>
      </c>
      <c r="J5115">
        <v>3.7210254161640102E-2</v>
      </c>
      <c r="K5115">
        <v>3.6191529707391097E-2</v>
      </c>
      <c r="L5115">
        <v>2024.06978332629</v>
      </c>
      <c r="M5115">
        <v>42.353779811757398</v>
      </c>
      <c r="N5115">
        <v>47.893318887433402</v>
      </c>
      <c r="O5115">
        <v>47.683414857857798</v>
      </c>
      <c r="P5115">
        <v>-0.21232611154469599</v>
      </c>
      <c r="Q5115">
        <v>4.3823836356626997E-2</v>
      </c>
      <c r="R5115">
        <v>0.99663518803556395</v>
      </c>
      <c r="S5115" t="s">
        <v>11517</v>
      </c>
      <c r="T5115" t="s">
        <v>12802</v>
      </c>
      <c r="U5115" t="s">
        <v>12802</v>
      </c>
      <c r="V5115" t="s">
        <v>12802</v>
      </c>
      <c r="W5115" t="s">
        <v>17853</v>
      </c>
      <c r="X5115">
        <v>42</v>
      </c>
      <c r="Y5115" t="s">
        <v>24068</v>
      </c>
      <c r="Z5115" t="s">
        <v>30433</v>
      </c>
      <c r="AA5115">
        <v>0.39053053150316253</v>
      </c>
      <c r="AB5115" t="str">
        <f>HYPERLINK("Melting_Curves/meltCurve_Q99615_DNAJC7.pdf", "Melting_Curves/meltCurve_Q99615_DNAJC7.pdf")</f>
        <v>Melting_Curves/meltCurve_Q99615_DNAJC7.pdf</v>
      </c>
    </row>
    <row r="5116" spans="1:28" x14ac:dyDescent="0.25">
      <c r="A5116" t="s">
        <v>5120</v>
      </c>
      <c r="B5116">
        <v>0.99542014353169495</v>
      </c>
      <c r="C5116">
        <v>1.0310963202110199</v>
      </c>
      <c r="D5116">
        <v>1.0352130548027401</v>
      </c>
      <c r="E5116">
        <v>0.93836614183399303</v>
      </c>
      <c r="F5116">
        <v>0.85106300049884998</v>
      </c>
      <c r="G5116">
        <v>0.61205910276397102</v>
      </c>
      <c r="H5116">
        <v>0.45016851365668398</v>
      </c>
      <c r="I5116">
        <v>0.42782233828363297</v>
      </c>
      <c r="J5116">
        <v>0.62463192601814599</v>
      </c>
      <c r="K5116">
        <v>0.87122555651979205</v>
      </c>
      <c r="L5116">
        <v>2654.5829871504998</v>
      </c>
      <c r="M5116">
        <v>52.373309682406997</v>
      </c>
      <c r="O5116">
        <v>50.612063669364801</v>
      </c>
      <c r="P5116">
        <v>-0.105162687559522</v>
      </c>
      <c r="Q5116">
        <v>0.59349547714892503</v>
      </c>
      <c r="R5116">
        <v>0.73512512158520005</v>
      </c>
      <c r="S5116" t="s">
        <v>11518</v>
      </c>
      <c r="T5116" t="s">
        <v>12802</v>
      </c>
      <c r="U5116" t="s">
        <v>12802</v>
      </c>
      <c r="V5116" t="s">
        <v>12802</v>
      </c>
      <c r="W5116" t="s">
        <v>17854</v>
      </c>
      <c r="X5116">
        <v>11</v>
      </c>
      <c r="Y5116" t="s">
        <v>24069</v>
      </c>
      <c r="Z5116" t="s">
        <v>30434</v>
      </c>
      <c r="AA5116">
        <v>0.77976796664169024</v>
      </c>
      <c r="AB5116" t="str">
        <f>HYPERLINK("Melting_Curves/meltCurve_Q99618_CDCA3.pdf", "Melting_Curves/meltCurve_Q99618_CDCA3.pdf")</f>
        <v>Melting_Curves/meltCurve_Q99618_CDCA3.pdf</v>
      </c>
    </row>
    <row r="5117" spans="1:28" x14ac:dyDescent="0.25">
      <c r="A5117" t="s">
        <v>5121</v>
      </c>
      <c r="B5117">
        <v>0.99542014353169495</v>
      </c>
      <c r="C5117">
        <v>0.89152186470269701</v>
      </c>
      <c r="D5117">
        <v>0.736091964161107</v>
      </c>
      <c r="E5117">
        <v>0.42002387660584101</v>
      </c>
      <c r="F5117">
        <v>0.13697781670047399</v>
      </c>
      <c r="G5117">
        <v>7.2839318908153802E-2</v>
      </c>
      <c r="H5117">
        <v>4.1658134809103999E-2</v>
      </c>
      <c r="I5117">
        <v>3.3963486983883899E-2</v>
      </c>
      <c r="J5117">
        <v>4.6261636480785899E-2</v>
      </c>
      <c r="K5117">
        <v>5.80774155577123E-2</v>
      </c>
      <c r="L5117">
        <v>833.24690913271297</v>
      </c>
      <c r="M5117">
        <v>18.400436331269201</v>
      </c>
      <c r="N5117">
        <v>45.443898072348802</v>
      </c>
      <c r="O5117">
        <v>44.7594027731609</v>
      </c>
      <c r="P5117">
        <v>-9.9558750410563904E-2</v>
      </c>
      <c r="Q5117">
        <v>3.1330055165610403E-2</v>
      </c>
      <c r="R5117">
        <v>0.99712763727806497</v>
      </c>
      <c r="S5117" t="s">
        <v>11519</v>
      </c>
      <c r="T5117" t="s">
        <v>12802</v>
      </c>
      <c r="U5117" t="s">
        <v>12802</v>
      </c>
      <c r="V5117" t="s">
        <v>12802</v>
      </c>
      <c r="W5117" t="s">
        <v>17855</v>
      </c>
      <c r="X5117">
        <v>2</v>
      </c>
      <c r="Y5117" t="s">
        <v>24070</v>
      </c>
      <c r="Z5117" t="s">
        <v>30435</v>
      </c>
      <c r="AA5117">
        <v>0.31391020575618978</v>
      </c>
      <c r="AB5117" t="str">
        <f>HYPERLINK("Melting_Curves/meltCurve_Q99622_C12orf57.pdf", "Melting_Curves/meltCurve_Q99622_C12orf57.pdf")</f>
        <v>Melting_Curves/meltCurve_Q99622_C12orf57.pdf</v>
      </c>
    </row>
    <row r="5118" spans="1:28" x14ac:dyDescent="0.25">
      <c r="A5118" t="s">
        <v>5122</v>
      </c>
      <c r="B5118">
        <v>0.99542014353169495</v>
      </c>
      <c r="C5118">
        <v>0.91222688172217703</v>
      </c>
      <c r="D5118">
        <v>0.82731505567342101</v>
      </c>
      <c r="E5118">
        <v>0.61537789608757398</v>
      </c>
      <c r="F5118">
        <v>0.28249678829392999</v>
      </c>
      <c r="G5118">
        <v>0.145752810571326</v>
      </c>
      <c r="H5118">
        <v>6.4682854232836803E-2</v>
      </c>
      <c r="I5118">
        <v>4.3388208628389699E-2</v>
      </c>
      <c r="J5118">
        <v>2.88075881483295E-2</v>
      </c>
      <c r="K5118">
        <v>4.69586204792466E-2</v>
      </c>
      <c r="L5118">
        <v>754.66122061181397</v>
      </c>
      <c r="M5118">
        <v>15.9085324052164</v>
      </c>
      <c r="N5118">
        <v>47.540224555877998</v>
      </c>
      <c r="O5118">
        <v>46.706935924057397</v>
      </c>
      <c r="P5118">
        <v>-8.3719099337000294E-2</v>
      </c>
      <c r="Q5118">
        <v>1.68928544528523E-2</v>
      </c>
      <c r="R5118">
        <v>0.99690163737080795</v>
      </c>
      <c r="S5118" t="s">
        <v>11520</v>
      </c>
      <c r="T5118" t="s">
        <v>12802</v>
      </c>
      <c r="U5118" t="s">
        <v>12802</v>
      </c>
      <c r="V5118" t="s">
        <v>12802</v>
      </c>
      <c r="W5118" t="s">
        <v>17856</v>
      </c>
      <c r="X5118">
        <v>8</v>
      </c>
      <c r="Y5118" t="s">
        <v>24071</v>
      </c>
      <c r="Z5118" t="s">
        <v>30436</v>
      </c>
      <c r="AA5118">
        <v>0.37868838122164511</v>
      </c>
      <c r="AB5118" t="str">
        <f>HYPERLINK("Melting_Curves/meltCurve_Q99633_PRPF18.pdf", "Melting_Curves/meltCurve_Q99633_PRPF18.pdf")</f>
        <v>Melting_Curves/meltCurve_Q99633_PRPF18.pdf</v>
      </c>
    </row>
    <row r="5119" spans="1:28" x14ac:dyDescent="0.25">
      <c r="A5119" t="s">
        <v>5123</v>
      </c>
      <c r="B5119">
        <v>0.99542014353169495</v>
      </c>
      <c r="C5119">
        <v>0.86731642296422296</v>
      </c>
      <c r="D5119">
        <v>0.61710285356012695</v>
      </c>
      <c r="E5119">
        <v>0.28421525968115602</v>
      </c>
      <c r="F5119">
        <v>0.14361770695180101</v>
      </c>
      <c r="G5119">
        <v>9.6719863433085904E-2</v>
      </c>
      <c r="H5119">
        <v>6.0562368664941503E-2</v>
      </c>
      <c r="I5119">
        <v>4.70345824370694E-2</v>
      </c>
      <c r="J5119">
        <v>3.5538159143497797E-2</v>
      </c>
      <c r="K5119">
        <v>1.3694194074076099E-2</v>
      </c>
      <c r="L5119">
        <v>790.44603348976295</v>
      </c>
      <c r="M5119">
        <v>17.967263334125899</v>
      </c>
      <c r="N5119">
        <v>44.191341852363998</v>
      </c>
      <c r="O5119">
        <v>43.459563182010697</v>
      </c>
      <c r="P5119">
        <v>-9.9370060872128102E-2</v>
      </c>
      <c r="Q5119">
        <v>3.8614895593156E-2</v>
      </c>
      <c r="R5119">
        <v>0.998120209909094</v>
      </c>
      <c r="S5119" t="s">
        <v>11521</v>
      </c>
      <c r="T5119" t="s">
        <v>12802</v>
      </c>
      <c r="U5119" t="s">
        <v>12802</v>
      </c>
      <c r="V5119" t="s">
        <v>12802</v>
      </c>
      <c r="W5119" t="s">
        <v>17857</v>
      </c>
      <c r="X5119">
        <v>6</v>
      </c>
      <c r="Y5119" t="s">
        <v>24072</v>
      </c>
      <c r="Z5119" t="s">
        <v>30437</v>
      </c>
      <c r="AA5119">
        <v>0.27899775090709311</v>
      </c>
      <c r="AB5119" t="str">
        <f>HYPERLINK("Melting_Curves/meltCurve_Q99640_4_PKMYT1.pdf", "Melting_Curves/meltCurve_Q99640_4_PKMYT1.pdf")</f>
        <v>Melting_Curves/meltCurve_Q99640_4_PKMYT1.pdf</v>
      </c>
    </row>
    <row r="5120" spans="1:28" x14ac:dyDescent="0.25">
      <c r="A5120" t="s">
        <v>5124</v>
      </c>
      <c r="B5120">
        <v>0.99542014353169495</v>
      </c>
      <c r="C5120">
        <v>0.95141170240147399</v>
      </c>
      <c r="D5120">
        <v>1.01938119135436</v>
      </c>
      <c r="E5120">
        <v>0.83789967462892401</v>
      </c>
      <c r="F5120">
        <v>0.61634655244064096</v>
      </c>
      <c r="G5120">
        <v>0.28103598825453502</v>
      </c>
      <c r="H5120">
        <v>0.11793273340953001</v>
      </c>
      <c r="I5120">
        <v>7.4275041729544397E-2</v>
      </c>
      <c r="J5120">
        <v>9.4052104316381599E-2</v>
      </c>
      <c r="K5120">
        <v>7.7152722369059595E-2</v>
      </c>
      <c r="L5120">
        <v>1067.1805334718999</v>
      </c>
      <c r="M5120">
        <v>21.000385756788098</v>
      </c>
      <c r="N5120">
        <v>51.137229282354099</v>
      </c>
      <c r="O5120">
        <v>50.363125383339401</v>
      </c>
      <c r="P5120">
        <v>-9.7828189764232701E-2</v>
      </c>
      <c r="Q5120">
        <v>6.1578918055052799E-2</v>
      </c>
      <c r="R5120">
        <v>0.99546440063567698</v>
      </c>
      <c r="S5120" t="s">
        <v>11522</v>
      </c>
      <c r="T5120" t="s">
        <v>12802</v>
      </c>
      <c r="U5120" t="s">
        <v>12802</v>
      </c>
      <c r="V5120" t="s">
        <v>12802</v>
      </c>
      <c r="W5120" t="s">
        <v>17858</v>
      </c>
      <c r="X5120">
        <v>12</v>
      </c>
      <c r="Y5120" t="s">
        <v>24073</v>
      </c>
      <c r="Z5120" t="s">
        <v>30438</v>
      </c>
      <c r="AA5120">
        <v>0.5051126265556839</v>
      </c>
      <c r="AB5120" t="str">
        <f>HYPERLINK("Melting_Curves/meltCurve_Q99653_CHP1.pdf", "Melting_Curves/meltCurve_Q99653_CHP1.pdf")</f>
        <v>Melting_Curves/meltCurve_Q99653_CHP1.pdf</v>
      </c>
    </row>
    <row r="5121" spans="1:28" x14ac:dyDescent="0.25">
      <c r="A5121" t="s">
        <v>5125</v>
      </c>
      <c r="B5121">
        <v>0.99542014353169495</v>
      </c>
      <c r="C5121">
        <v>0.95423175152954398</v>
      </c>
      <c r="D5121">
        <v>0.86861077112373697</v>
      </c>
      <c r="E5121">
        <v>0.59100702667105098</v>
      </c>
      <c r="F5121">
        <v>0.25218243610431201</v>
      </c>
      <c r="G5121">
        <v>9.7736004713290803E-2</v>
      </c>
      <c r="H5121">
        <v>5.7673696850464702E-2</v>
      </c>
      <c r="I5121">
        <v>3.6633404764575599E-2</v>
      </c>
      <c r="J5121">
        <v>3.9112406999360201E-2</v>
      </c>
      <c r="K5121">
        <v>4.3871110700203102E-2</v>
      </c>
      <c r="L5121">
        <v>936.45266486864705</v>
      </c>
      <c r="M5121">
        <v>19.837534472504199</v>
      </c>
      <c r="N5121">
        <v>47.354891438487698</v>
      </c>
      <c r="O5121">
        <v>46.734249364052801</v>
      </c>
      <c r="P5121">
        <v>-0.10291605479987399</v>
      </c>
      <c r="Q5121">
        <v>3.0213570928386401E-2</v>
      </c>
      <c r="R5121">
        <v>0.99934241635995502</v>
      </c>
      <c r="S5121" t="s">
        <v>11523</v>
      </c>
      <c r="T5121" t="s">
        <v>12802</v>
      </c>
      <c r="U5121" t="s">
        <v>12802</v>
      </c>
      <c r="V5121" t="s">
        <v>12802</v>
      </c>
      <c r="W5121" t="s">
        <v>17859</v>
      </c>
      <c r="X5121">
        <v>29</v>
      </c>
      <c r="Y5121" t="s">
        <v>24074</v>
      </c>
      <c r="Z5121" t="s">
        <v>30439</v>
      </c>
      <c r="AA5121">
        <v>0.37304578366528268</v>
      </c>
      <c r="AB5121" t="str">
        <f>HYPERLINK("Melting_Curves/meltCurve_Q99661_KIF2C.pdf", "Melting_Curves/meltCurve_Q99661_KIF2C.pdf")</f>
        <v>Melting_Curves/meltCurve_Q99661_KIF2C.pdf</v>
      </c>
    </row>
    <row r="5122" spans="1:28" x14ac:dyDescent="0.25">
      <c r="A5122" t="s">
        <v>5126</v>
      </c>
      <c r="B5122">
        <v>0.99542014353169495</v>
      </c>
      <c r="C5122">
        <v>0.95508702203938201</v>
      </c>
      <c r="D5122">
        <v>0.99244272760991303</v>
      </c>
      <c r="E5122">
        <v>0.84560652373727097</v>
      </c>
      <c r="F5122">
        <v>0.64638816814414102</v>
      </c>
      <c r="G5122">
        <v>0.32536594383030998</v>
      </c>
      <c r="H5122">
        <v>8.1829450186785904E-2</v>
      </c>
      <c r="I5122">
        <v>5.5895218082910599E-2</v>
      </c>
      <c r="J5122">
        <v>5.9531891696731599E-2</v>
      </c>
      <c r="K5122">
        <v>6.6684571011944402E-2</v>
      </c>
      <c r="L5122">
        <v>1031.21580145334</v>
      </c>
      <c r="M5122">
        <v>20.0850131089055</v>
      </c>
      <c r="N5122">
        <v>51.4981684403648</v>
      </c>
      <c r="O5122">
        <v>50.841718280052902</v>
      </c>
      <c r="P5122">
        <v>-9.5857575596332095E-2</v>
      </c>
      <c r="Q5122">
        <v>2.94439267833864E-2</v>
      </c>
      <c r="R5122">
        <v>0.99480124463095199</v>
      </c>
      <c r="S5122" t="s">
        <v>11524</v>
      </c>
      <c r="T5122" t="s">
        <v>12802</v>
      </c>
      <c r="U5122" t="s">
        <v>12802</v>
      </c>
      <c r="V5122" t="s">
        <v>12802</v>
      </c>
      <c r="W5122" t="s">
        <v>17860</v>
      </c>
      <c r="X5122">
        <v>15</v>
      </c>
      <c r="Y5122" t="s">
        <v>24075</v>
      </c>
      <c r="Z5122" t="s">
        <v>30440</v>
      </c>
      <c r="AA5122">
        <v>0.50602538196311631</v>
      </c>
      <c r="AB5122" t="str">
        <f>HYPERLINK("Melting_Curves/meltCurve_Q99700_4_ATXN2.pdf", "Melting_Curves/meltCurve_Q99700_4_ATXN2.pdf")</f>
        <v>Melting_Curves/meltCurve_Q99700_4_ATXN2.pdf</v>
      </c>
    </row>
    <row r="5123" spans="1:28" x14ac:dyDescent="0.25">
      <c r="A5123" t="s">
        <v>5127</v>
      </c>
      <c r="B5123">
        <v>0.99542014353169495</v>
      </c>
      <c r="C5123">
        <v>0.98954759283608795</v>
      </c>
      <c r="D5123">
        <v>0.87517977754699205</v>
      </c>
      <c r="E5123">
        <v>0.47166400027627797</v>
      </c>
      <c r="F5123">
        <v>0.15309156516922601</v>
      </c>
      <c r="G5123">
        <v>0.11570508468332601</v>
      </c>
      <c r="H5123">
        <v>4.7530853570058498E-2</v>
      </c>
      <c r="I5123">
        <v>4.3483979643365603E-2</v>
      </c>
      <c r="J5123">
        <v>2.2171403154716701E-2</v>
      </c>
      <c r="K5123">
        <v>2.0654089016512899E-2</v>
      </c>
      <c r="L5123">
        <v>1121.3288715291401</v>
      </c>
      <c r="M5123">
        <v>24.2400492500763</v>
      </c>
      <c r="N5123">
        <v>46.413429358217201</v>
      </c>
      <c r="O5123">
        <v>45.947960593722001</v>
      </c>
      <c r="P5123">
        <v>-0.126791835785628</v>
      </c>
      <c r="Q5123">
        <v>3.86590963895342E-2</v>
      </c>
      <c r="R5123">
        <v>0.99810322474295898</v>
      </c>
      <c r="S5123" t="s">
        <v>11525</v>
      </c>
      <c r="T5123" t="s">
        <v>12802</v>
      </c>
      <c r="U5123" t="s">
        <v>12802</v>
      </c>
      <c r="V5123" t="s">
        <v>12802</v>
      </c>
      <c r="W5123" t="s">
        <v>17861</v>
      </c>
      <c r="X5123">
        <v>2</v>
      </c>
      <c r="Y5123" t="s">
        <v>24076</v>
      </c>
      <c r="Z5123" t="s">
        <v>30441</v>
      </c>
      <c r="AA5123">
        <v>0.34388267269640499</v>
      </c>
      <c r="AB5123" t="str">
        <f>HYPERLINK("Melting_Curves/meltCurve_Q99704_DOK1.pdf", "Melting_Curves/meltCurve_Q99704_DOK1.pdf")</f>
        <v>Melting_Curves/meltCurve_Q99704_DOK1.pdf</v>
      </c>
    </row>
    <row r="5124" spans="1:28" x14ac:dyDescent="0.25">
      <c r="A5124" t="s">
        <v>5128</v>
      </c>
      <c r="B5124">
        <v>0.99542014353169495</v>
      </c>
      <c r="C5124">
        <v>0.92126959495001504</v>
      </c>
      <c r="D5124">
        <v>0.77936782567593199</v>
      </c>
      <c r="E5124">
        <v>0.37936995880033098</v>
      </c>
      <c r="F5124">
        <v>0.16666859726157801</v>
      </c>
      <c r="G5124">
        <v>9.4251589913253095E-2</v>
      </c>
      <c r="H5124">
        <v>6.65429697786796E-2</v>
      </c>
      <c r="I5124">
        <v>4.3164305571942202E-2</v>
      </c>
      <c r="J5124">
        <v>4.8611745321585999E-2</v>
      </c>
      <c r="K5124">
        <v>4.4331424309315401E-2</v>
      </c>
      <c r="L5124">
        <v>924.63735191522301</v>
      </c>
      <c r="M5124">
        <v>20.407165444177799</v>
      </c>
      <c r="N5124">
        <v>45.531873188559302</v>
      </c>
      <c r="O5124">
        <v>44.8810932556461</v>
      </c>
      <c r="P5124">
        <v>-0.108283930236291</v>
      </c>
      <c r="Q5124">
        <v>4.7441458154253803E-2</v>
      </c>
      <c r="R5124">
        <v>0.99906464937358597</v>
      </c>
      <c r="S5124" t="s">
        <v>11526</v>
      </c>
      <c r="T5124" t="s">
        <v>12802</v>
      </c>
      <c r="U5124" t="s">
        <v>12802</v>
      </c>
      <c r="V5124" t="s">
        <v>12802</v>
      </c>
      <c r="W5124" t="s">
        <v>17862</v>
      </c>
      <c r="X5124">
        <v>22</v>
      </c>
      <c r="Y5124" t="s">
        <v>24077</v>
      </c>
      <c r="Z5124" t="s">
        <v>30442</v>
      </c>
      <c r="AA5124">
        <v>0.32325376984639143</v>
      </c>
      <c r="AB5124" t="str">
        <f>HYPERLINK("Melting_Curves/meltCurve_Q99707_MTR.pdf", "Melting_Curves/meltCurve_Q99707_MTR.pdf")</f>
        <v>Melting_Curves/meltCurve_Q99707_MTR.pdf</v>
      </c>
    </row>
    <row r="5125" spans="1:28" x14ac:dyDescent="0.25">
      <c r="A5125" t="s">
        <v>5129</v>
      </c>
      <c r="B5125">
        <v>0.99542014353169495</v>
      </c>
      <c r="C5125">
        <v>0.97823375533590695</v>
      </c>
      <c r="D5125">
        <v>0.97861853567608104</v>
      </c>
      <c r="E5125">
        <v>0.91291784776380802</v>
      </c>
      <c r="F5125">
        <v>0.91236778104628502</v>
      </c>
      <c r="G5125">
        <v>0.83667055208782504</v>
      </c>
      <c r="H5125">
        <v>0.34821403106066501</v>
      </c>
      <c r="I5125">
        <v>8.5990600670978204E-2</v>
      </c>
      <c r="J5125">
        <v>3.2831356348366897E-2</v>
      </c>
      <c r="K5125">
        <v>3.5570372820975998E-2</v>
      </c>
      <c r="L5125">
        <v>1837.0971283971201</v>
      </c>
      <c r="M5125">
        <v>32.669536027264598</v>
      </c>
      <c r="N5125">
        <v>56.303479588255001</v>
      </c>
      <c r="O5125">
        <v>56.0232956131536</v>
      </c>
      <c r="P5125">
        <v>-0.14285499364241599</v>
      </c>
      <c r="Q5125">
        <v>2.01061734663102E-2</v>
      </c>
      <c r="R5125">
        <v>0.99182197712485098</v>
      </c>
      <c r="S5125" t="s">
        <v>11527</v>
      </c>
      <c r="T5125" t="s">
        <v>12802</v>
      </c>
      <c r="U5125" t="s">
        <v>12802</v>
      </c>
      <c r="V5125" t="s">
        <v>12802</v>
      </c>
      <c r="W5125" t="s">
        <v>17863</v>
      </c>
      <c r="X5125">
        <v>15</v>
      </c>
      <c r="Y5125" t="s">
        <v>24078</v>
      </c>
      <c r="Z5125" t="s">
        <v>30443</v>
      </c>
      <c r="AA5125">
        <v>0.65359228619800347</v>
      </c>
      <c r="AB5125" t="str">
        <f>HYPERLINK("Melting_Curves/meltCurve_Q99714_HSD17B10.pdf", "Melting_Curves/meltCurve_Q99714_HSD17B10.pdf")</f>
        <v>Melting_Curves/meltCurve_Q99714_HSD17B10.pdf</v>
      </c>
    </row>
    <row r="5126" spans="1:28" x14ac:dyDescent="0.25">
      <c r="A5126" t="s">
        <v>5130</v>
      </c>
      <c r="B5126">
        <v>0.99542014353169495</v>
      </c>
      <c r="C5126">
        <v>1.00201665071844</v>
      </c>
      <c r="D5126">
        <v>0.96351522430689496</v>
      </c>
      <c r="E5126">
        <v>0.74182353465652995</v>
      </c>
      <c r="F5126">
        <v>0.71742829623051196</v>
      </c>
      <c r="G5126">
        <v>0.55951626513452601</v>
      </c>
      <c r="H5126">
        <v>0.48500379028381202</v>
      </c>
      <c r="I5126">
        <v>0.58705727342826297</v>
      </c>
      <c r="J5126">
        <v>0.92436638251436198</v>
      </c>
      <c r="K5126">
        <v>1.21580195694173</v>
      </c>
      <c r="L5126">
        <v>10826.516218796</v>
      </c>
      <c r="M5126">
        <v>250</v>
      </c>
      <c r="O5126">
        <v>43.303316528215298</v>
      </c>
      <c r="P5126">
        <v>-0.36474512391508601</v>
      </c>
      <c r="Q5126">
        <v>0.74728535629651005</v>
      </c>
      <c r="R5126">
        <v>0.24150332942470101</v>
      </c>
      <c r="S5126" t="s">
        <v>11528</v>
      </c>
      <c r="T5126" t="s">
        <v>12802</v>
      </c>
      <c r="U5126" t="s">
        <v>12802</v>
      </c>
      <c r="V5126" t="s">
        <v>12802</v>
      </c>
      <c r="W5126" t="s">
        <v>17864</v>
      </c>
      <c r="X5126">
        <v>2</v>
      </c>
      <c r="Y5126" t="s">
        <v>24079</v>
      </c>
      <c r="Z5126" t="s">
        <v>30444</v>
      </c>
      <c r="AA5126">
        <v>0.80042572758432828</v>
      </c>
      <c r="AB5126" t="str">
        <f>HYPERLINK("Melting_Curves/meltCurve_Q99720_4_SIGMAR1.pdf", "Melting_Curves/meltCurve_Q99720_4_SIGMAR1.pdf")</f>
        <v>Melting_Curves/meltCurve_Q99720_4_SIGMAR1.pdf</v>
      </c>
    </row>
    <row r="5127" spans="1:28" x14ac:dyDescent="0.25">
      <c r="A5127" t="s">
        <v>5131</v>
      </c>
      <c r="B5127">
        <v>0.99542014353169495</v>
      </c>
      <c r="C5127">
        <v>0.99454484736020499</v>
      </c>
      <c r="D5127">
        <v>0.98426012129474005</v>
      </c>
      <c r="E5127">
        <v>0.91441558828309699</v>
      </c>
      <c r="F5127">
        <v>0.77890953648203198</v>
      </c>
      <c r="G5127">
        <v>0.50510238956412301</v>
      </c>
      <c r="H5127">
        <v>0.15162712750280999</v>
      </c>
      <c r="I5127">
        <v>8.5923857911855001E-2</v>
      </c>
      <c r="J5127">
        <v>8.5463311169880596E-2</v>
      </c>
      <c r="K5127">
        <v>8.5996140212047698E-2</v>
      </c>
      <c r="L5127">
        <v>1165.1989753365101</v>
      </c>
      <c r="M5127">
        <v>21.943691522022402</v>
      </c>
      <c r="N5127">
        <v>53.359339959529301</v>
      </c>
      <c r="O5127">
        <v>52.664427902894303</v>
      </c>
      <c r="P5127">
        <v>-9.8891215899399698E-2</v>
      </c>
      <c r="Q5127">
        <v>5.06737705613068E-2</v>
      </c>
      <c r="R5127">
        <v>0.99474707680052299</v>
      </c>
      <c r="S5127" t="s">
        <v>11529</v>
      </c>
      <c r="T5127" t="s">
        <v>12802</v>
      </c>
      <c r="U5127" t="s">
        <v>12802</v>
      </c>
      <c r="V5127" t="s">
        <v>12802</v>
      </c>
      <c r="W5127" t="s">
        <v>17865</v>
      </c>
      <c r="X5127">
        <v>17</v>
      </c>
      <c r="Y5127" t="s">
        <v>24080</v>
      </c>
      <c r="Z5127" t="s">
        <v>30445</v>
      </c>
      <c r="AA5127">
        <v>0.5705065646936478</v>
      </c>
      <c r="AB5127" t="str">
        <f>HYPERLINK("Melting_Curves/meltCurve_Q99733_NAP1L4.pdf", "Melting_Curves/meltCurve_Q99733_NAP1L4.pdf")</f>
        <v>Melting_Curves/meltCurve_Q99733_NAP1L4.pdf</v>
      </c>
    </row>
    <row r="5128" spans="1:28" x14ac:dyDescent="0.25">
      <c r="A5128" t="s">
        <v>5132</v>
      </c>
      <c r="B5128">
        <v>0.99542014353169495</v>
      </c>
      <c r="C5128">
        <v>0.88386794320477802</v>
      </c>
      <c r="D5128">
        <v>1.05072066818823</v>
      </c>
      <c r="E5128">
        <v>0.79023522364855803</v>
      </c>
      <c r="F5128">
        <v>0.81229262829773197</v>
      </c>
      <c r="G5128">
        <v>0.40274455736211201</v>
      </c>
      <c r="H5128">
        <v>0.42648404600683498</v>
      </c>
      <c r="I5128">
        <v>0.31818145371204898</v>
      </c>
      <c r="J5128">
        <v>0.42379615881666399</v>
      </c>
      <c r="K5128">
        <v>0.47249178650969598</v>
      </c>
      <c r="L5128">
        <v>1164.13426733043</v>
      </c>
      <c r="M5128">
        <v>23.165537782081199</v>
      </c>
      <c r="N5128">
        <v>53.739068786201798</v>
      </c>
      <c r="O5128">
        <v>49.8828864325246</v>
      </c>
      <c r="P5128">
        <v>-7.0967258197786501E-2</v>
      </c>
      <c r="Q5128">
        <v>0.38874966507574099</v>
      </c>
      <c r="R5128">
        <v>0.89937750160025098</v>
      </c>
      <c r="S5128" t="s">
        <v>11530</v>
      </c>
      <c r="T5128" t="s">
        <v>12802</v>
      </c>
      <c r="U5128" t="s">
        <v>12802</v>
      </c>
      <c r="V5128" t="s">
        <v>12802</v>
      </c>
      <c r="W5128" t="s">
        <v>17866</v>
      </c>
      <c r="X5128">
        <v>2</v>
      </c>
      <c r="Y5128" t="s">
        <v>24081</v>
      </c>
      <c r="Z5128" t="s">
        <v>30446</v>
      </c>
      <c r="AA5128">
        <v>0.66495767162534747</v>
      </c>
      <c r="AB5128" t="str">
        <f>HYPERLINK("Melting_Curves/meltCurve_Q99735_2_MGST2.pdf", "Melting_Curves/meltCurve_Q99735_2_MGST2.pdf")</f>
        <v>Melting_Curves/meltCurve_Q99735_2_MGST2.pdf</v>
      </c>
    </row>
    <row r="5129" spans="1:28" x14ac:dyDescent="0.25">
      <c r="A5129" t="s">
        <v>5133</v>
      </c>
      <c r="B5129">
        <v>0.99542014353169495</v>
      </c>
      <c r="C5129">
        <v>0.87421593330493397</v>
      </c>
      <c r="D5129">
        <v>0.96108857765159905</v>
      </c>
      <c r="E5129">
        <v>0.68912645431144104</v>
      </c>
      <c r="F5129">
        <v>0.17855298977751699</v>
      </c>
      <c r="G5129">
        <v>8.9819567730996794E-2</v>
      </c>
      <c r="H5129">
        <v>5.0444936239861897E-2</v>
      </c>
      <c r="I5129">
        <v>3.9178982148926303E-2</v>
      </c>
      <c r="J5129">
        <v>4.8758553931127303E-2</v>
      </c>
      <c r="K5129">
        <v>5.4669209134966402E-2</v>
      </c>
      <c r="L5129">
        <v>1579.02157591114</v>
      </c>
      <c r="M5129">
        <v>33.200770582505903</v>
      </c>
      <c r="N5129">
        <v>47.711212036765801</v>
      </c>
      <c r="O5129">
        <v>47.3882402651506</v>
      </c>
      <c r="P5129">
        <v>-0.166396195982768</v>
      </c>
      <c r="Q5129">
        <v>4.99993653568531E-2</v>
      </c>
      <c r="R5129">
        <v>0.98989262172628201</v>
      </c>
      <c r="S5129" t="s">
        <v>11531</v>
      </c>
      <c r="T5129" t="s">
        <v>12802</v>
      </c>
      <c r="U5129" t="s">
        <v>12802</v>
      </c>
      <c r="V5129" t="s">
        <v>12802</v>
      </c>
      <c r="W5129" t="s">
        <v>17867</v>
      </c>
      <c r="X5129">
        <v>21</v>
      </c>
      <c r="Y5129" t="s">
        <v>24082</v>
      </c>
      <c r="Z5129" t="s">
        <v>30447</v>
      </c>
      <c r="AA5129">
        <v>0.38894135947344582</v>
      </c>
      <c r="AB5129" t="str">
        <f>HYPERLINK("Melting_Curves/meltCurve_Q99747_NAPG.pdf", "Melting_Curves/meltCurve_Q99747_NAPG.pdf")</f>
        <v>Melting_Curves/meltCurve_Q99747_NAPG.pdf</v>
      </c>
    </row>
    <row r="5130" spans="1:28" x14ac:dyDescent="0.25">
      <c r="A5130" t="s">
        <v>5134</v>
      </c>
      <c r="B5130">
        <v>0.99542014353169495</v>
      </c>
      <c r="C5130">
        <v>1.0146232874590799</v>
      </c>
      <c r="D5130">
        <v>0.96611813633628296</v>
      </c>
      <c r="E5130">
        <v>0.99170747374276402</v>
      </c>
      <c r="F5130">
        <v>0.777172372652433</v>
      </c>
      <c r="G5130">
        <v>0.67300251831191304</v>
      </c>
      <c r="H5130">
        <v>0.36868268475850702</v>
      </c>
      <c r="I5130">
        <v>0.325544501741454</v>
      </c>
      <c r="J5130">
        <v>0.56265460023488501</v>
      </c>
      <c r="K5130">
        <v>0.58142905039617299</v>
      </c>
      <c r="L5130">
        <v>1425.53820786406</v>
      </c>
      <c r="M5130">
        <v>27.7510251131587</v>
      </c>
      <c r="N5130">
        <v>56.898385778177101</v>
      </c>
      <c r="O5130">
        <v>51.104327036206399</v>
      </c>
      <c r="P5130">
        <v>-7.2454921114005005E-2</v>
      </c>
      <c r="Q5130">
        <v>0.46629330103295202</v>
      </c>
      <c r="R5130">
        <v>0.88756481469583703</v>
      </c>
      <c r="S5130" t="s">
        <v>11532</v>
      </c>
      <c r="T5130" t="s">
        <v>12802</v>
      </c>
      <c r="U5130" t="s">
        <v>12802</v>
      </c>
      <c r="V5130" t="s">
        <v>12802</v>
      </c>
      <c r="W5130" t="s">
        <v>17868</v>
      </c>
      <c r="X5130">
        <v>5</v>
      </c>
      <c r="Y5130" t="s">
        <v>24083</v>
      </c>
      <c r="Z5130" t="s">
        <v>30448</v>
      </c>
      <c r="AA5130">
        <v>0.72579981464453569</v>
      </c>
      <c r="AB5130" t="str">
        <f>HYPERLINK("Melting_Curves/meltCurve_Q99757_TXN2.pdf", "Melting_Curves/meltCurve_Q99757_TXN2.pdf")</f>
        <v>Melting_Curves/meltCurve_Q99757_TXN2.pdf</v>
      </c>
    </row>
    <row r="5131" spans="1:28" x14ac:dyDescent="0.25">
      <c r="A5131" t="s">
        <v>5135</v>
      </c>
      <c r="B5131">
        <v>0.99542014353169495</v>
      </c>
      <c r="C5131">
        <v>1.04484787702778</v>
      </c>
      <c r="D5131">
        <v>0.94269095670477498</v>
      </c>
      <c r="E5131">
        <v>0.87771868091776295</v>
      </c>
      <c r="F5131">
        <v>0.71140851415745399</v>
      </c>
      <c r="G5131">
        <v>0.408553164937344</v>
      </c>
      <c r="H5131">
        <v>9.8239018700523803E-2</v>
      </c>
      <c r="I5131">
        <v>6.5855667625485004E-2</v>
      </c>
      <c r="J5131">
        <v>5.9576086698358399E-2</v>
      </c>
      <c r="K5131">
        <v>3.6617577073496603E-2</v>
      </c>
      <c r="L5131">
        <v>1024.6849587418101</v>
      </c>
      <c r="M5131">
        <v>19.590762206169799</v>
      </c>
      <c r="N5131">
        <v>52.3673507925444</v>
      </c>
      <c r="O5131">
        <v>51.768665059079098</v>
      </c>
      <c r="P5131">
        <v>-9.3511329109729105E-2</v>
      </c>
      <c r="Q5131">
        <v>1.16189072021541E-2</v>
      </c>
      <c r="R5131">
        <v>0.99324705087623899</v>
      </c>
      <c r="S5131" t="s">
        <v>11533</v>
      </c>
      <c r="T5131" t="s">
        <v>12802</v>
      </c>
      <c r="U5131" t="s">
        <v>12802</v>
      </c>
      <c r="V5131" t="s">
        <v>12802</v>
      </c>
      <c r="W5131" t="s">
        <v>17869</v>
      </c>
      <c r="X5131">
        <v>4</v>
      </c>
      <c r="Y5131" t="s">
        <v>24084</v>
      </c>
      <c r="Z5131" t="s">
        <v>30449</v>
      </c>
      <c r="AA5131">
        <v>0.5289305995489072</v>
      </c>
      <c r="AB5131" t="str">
        <f>HYPERLINK("Melting_Curves/meltCurve_Q99766_ATP5S.pdf", "Melting_Curves/meltCurve_Q99766_ATP5S.pdf")</f>
        <v>Melting_Curves/meltCurve_Q99766_ATP5S.pdf</v>
      </c>
    </row>
    <row r="5132" spans="1:28" x14ac:dyDescent="0.25">
      <c r="A5132" t="s">
        <v>5136</v>
      </c>
      <c r="B5132">
        <v>0.99542014353169495</v>
      </c>
      <c r="C5132">
        <v>1.1137757135677899</v>
      </c>
      <c r="D5132">
        <v>0.30569344209156402</v>
      </c>
      <c r="E5132">
        <v>0.26275723895561098</v>
      </c>
      <c r="F5132">
        <v>0.131809266544714</v>
      </c>
      <c r="G5132">
        <v>0.32920537175042403</v>
      </c>
      <c r="H5132">
        <v>0.129472509051896</v>
      </c>
      <c r="I5132">
        <v>6.7161680763253101E-2</v>
      </c>
      <c r="J5132">
        <v>5.4340065077178798E-2</v>
      </c>
      <c r="K5132">
        <v>0.100437250754117</v>
      </c>
      <c r="L5132">
        <v>10684.7086815618</v>
      </c>
      <c r="M5132">
        <v>250</v>
      </c>
      <c r="N5132">
        <v>42.801668384662698</v>
      </c>
      <c r="O5132">
        <v>42.736099743453003</v>
      </c>
      <c r="P5132">
        <v>-1.23783286021609</v>
      </c>
      <c r="Q5132">
        <v>0.153597624092636</v>
      </c>
      <c r="R5132">
        <v>0.94241437467869404</v>
      </c>
      <c r="S5132" t="s">
        <v>11534</v>
      </c>
      <c r="T5132" t="s">
        <v>12802</v>
      </c>
      <c r="U5132" t="s">
        <v>12802</v>
      </c>
      <c r="V5132" t="s">
        <v>12802</v>
      </c>
      <c r="W5132" t="s">
        <v>17870</v>
      </c>
      <c r="X5132">
        <v>5</v>
      </c>
      <c r="Y5132" t="s">
        <v>24085</v>
      </c>
      <c r="Z5132" t="s">
        <v>30450</v>
      </c>
      <c r="AA5132">
        <v>0.31557322091510459</v>
      </c>
      <c r="AB5132" t="str">
        <f>HYPERLINK("Melting_Curves/meltCurve_Q99767_2_APBA2.pdf", "Melting_Curves/meltCurve_Q99767_2_APBA2.pdf")</f>
        <v>Melting_Curves/meltCurve_Q99767_2_APBA2.pdf</v>
      </c>
    </row>
    <row r="5133" spans="1:28" x14ac:dyDescent="0.25">
      <c r="A5133" t="s">
        <v>5137</v>
      </c>
      <c r="B5133">
        <v>0.99542014353169495</v>
      </c>
      <c r="C5133">
        <v>1.04203375098249</v>
      </c>
      <c r="D5133">
        <v>1.0159867518489101</v>
      </c>
      <c r="E5133">
        <v>0.78765999540571396</v>
      </c>
      <c r="F5133">
        <v>0.57408347253941605</v>
      </c>
      <c r="G5133">
        <v>0.187657396393201</v>
      </c>
      <c r="H5133">
        <v>0.10798896624102799</v>
      </c>
      <c r="I5133">
        <v>7.2282931870641304E-2</v>
      </c>
      <c r="J5133">
        <v>6.3834865418491593E-2</v>
      </c>
      <c r="K5133">
        <v>7.8620805620066306E-2</v>
      </c>
      <c r="L5133">
        <v>1096.33989560957</v>
      </c>
      <c r="M5133">
        <v>21.869055767023799</v>
      </c>
      <c r="N5133">
        <v>50.402324261936997</v>
      </c>
      <c r="O5133">
        <v>49.718480139067601</v>
      </c>
      <c r="P5133">
        <v>-0.103882098670598</v>
      </c>
      <c r="Q5133">
        <v>5.5333340077404002E-2</v>
      </c>
      <c r="R5133">
        <v>0.99268137724549399</v>
      </c>
      <c r="S5133" t="s">
        <v>11535</v>
      </c>
      <c r="T5133" t="s">
        <v>12802</v>
      </c>
      <c r="U5133" t="s">
        <v>12802</v>
      </c>
      <c r="V5133" t="s">
        <v>12802</v>
      </c>
      <c r="W5133" t="s">
        <v>17871</v>
      </c>
      <c r="X5133">
        <v>15</v>
      </c>
      <c r="Y5133" t="s">
        <v>24086</v>
      </c>
      <c r="Z5133" t="s">
        <v>30451</v>
      </c>
      <c r="AA5133">
        <v>0.47945514162851838</v>
      </c>
      <c r="AB5133" t="str">
        <f>HYPERLINK("Melting_Curves/meltCurve_Q99797_MIPEP.pdf", "Melting_Curves/meltCurve_Q99797_MIPEP.pdf")</f>
        <v>Melting_Curves/meltCurve_Q99797_MIPEP.pdf</v>
      </c>
    </row>
    <row r="5134" spans="1:28" x14ac:dyDescent="0.25">
      <c r="A5134" t="s">
        <v>5138</v>
      </c>
      <c r="B5134">
        <v>0.99542014353169495</v>
      </c>
      <c r="C5134">
        <v>0.92702321710619096</v>
      </c>
      <c r="D5134">
        <v>0.93748212498080996</v>
      </c>
      <c r="E5134">
        <v>0.77845371130671304</v>
      </c>
      <c r="F5134">
        <v>0.65066076581321197</v>
      </c>
      <c r="G5134">
        <v>0.37792104135680699</v>
      </c>
      <c r="H5134">
        <v>0.14110039876107</v>
      </c>
      <c r="I5134">
        <v>8.3727559006505706E-2</v>
      </c>
      <c r="J5134">
        <v>9.1253857841981895E-2</v>
      </c>
      <c r="K5134">
        <v>9.1265549386371395E-2</v>
      </c>
      <c r="L5134">
        <v>744.83386701157201</v>
      </c>
      <c r="M5134">
        <v>14.482220479301899</v>
      </c>
      <c r="N5134">
        <v>51.592477264645602</v>
      </c>
      <c r="O5134">
        <v>50.480120050533202</v>
      </c>
      <c r="P5134">
        <v>-7.0140519036847301E-2</v>
      </c>
      <c r="Q5134">
        <v>2.2168892884391399E-2</v>
      </c>
      <c r="R5134">
        <v>0.98944480953421798</v>
      </c>
      <c r="S5134" t="s">
        <v>11536</v>
      </c>
      <c r="T5134" t="s">
        <v>12802</v>
      </c>
      <c r="U5134" t="s">
        <v>12802</v>
      </c>
      <c r="V5134" t="s">
        <v>12802</v>
      </c>
      <c r="W5134" t="s">
        <v>17872</v>
      </c>
      <c r="X5134">
        <v>9</v>
      </c>
      <c r="Y5134" t="s">
        <v>24087</v>
      </c>
      <c r="Z5134" t="s">
        <v>30452</v>
      </c>
      <c r="AA5134">
        <v>0.51267579929404306</v>
      </c>
      <c r="AB5134" t="str">
        <f>HYPERLINK("Melting_Curves/meltCurve_Q99805_TM9SF2.pdf", "Melting_Curves/meltCurve_Q99805_TM9SF2.pdf")</f>
        <v>Melting_Curves/meltCurve_Q99805_TM9SF2.pdf</v>
      </c>
    </row>
    <row r="5135" spans="1:28" x14ac:dyDescent="0.25">
      <c r="A5135" t="s">
        <v>5139</v>
      </c>
      <c r="B5135">
        <v>0.99542014353169495</v>
      </c>
      <c r="C5135">
        <v>1.0350709188768501</v>
      </c>
      <c r="D5135">
        <v>1.11332856136734</v>
      </c>
      <c r="E5135">
        <v>0.81828532904602402</v>
      </c>
      <c r="F5135">
        <v>0.74474528663937201</v>
      </c>
      <c r="G5135">
        <v>0.44974150154999398</v>
      </c>
      <c r="H5135">
        <v>0.38334321223477202</v>
      </c>
      <c r="I5135">
        <v>0.306763127038371</v>
      </c>
      <c r="J5135">
        <v>0.40711085764640098</v>
      </c>
      <c r="K5135">
        <v>0.41011240127842402</v>
      </c>
      <c r="L5135">
        <v>1173.97283357368</v>
      </c>
      <c r="M5135">
        <v>23.3461866751393</v>
      </c>
      <c r="N5135">
        <v>53.245170929605599</v>
      </c>
      <c r="O5135">
        <v>49.920818623004202</v>
      </c>
      <c r="P5135">
        <v>-7.4426791114485594E-2</v>
      </c>
      <c r="Q5135">
        <v>0.36342802588796003</v>
      </c>
      <c r="R5135">
        <v>0.95560965665573705</v>
      </c>
      <c r="S5135" t="s">
        <v>11537</v>
      </c>
      <c r="T5135" t="s">
        <v>12802</v>
      </c>
      <c r="U5135" t="s">
        <v>12802</v>
      </c>
      <c r="V5135" t="s">
        <v>12802</v>
      </c>
      <c r="W5135" t="s">
        <v>17873</v>
      </c>
      <c r="X5135">
        <v>5</v>
      </c>
      <c r="Y5135" t="s">
        <v>24088</v>
      </c>
      <c r="Z5135" t="s">
        <v>30453</v>
      </c>
      <c r="AA5135">
        <v>0.65167882311465419</v>
      </c>
      <c r="AB5135" t="str">
        <f>HYPERLINK("Melting_Curves/meltCurve_Q99808_SLC29A1.pdf", "Melting_Curves/meltCurve_Q99808_SLC29A1.pdf")</f>
        <v>Melting_Curves/meltCurve_Q99808_SLC29A1.pdf</v>
      </c>
    </row>
    <row r="5136" spans="1:28" x14ac:dyDescent="0.25">
      <c r="A5136" t="s">
        <v>5140</v>
      </c>
      <c r="B5136">
        <v>0.99542014353169495</v>
      </c>
      <c r="C5136">
        <v>0.89934579362386402</v>
      </c>
      <c r="D5136">
        <v>0.83416344972351997</v>
      </c>
      <c r="E5136">
        <v>0.53128447675891399</v>
      </c>
      <c r="F5136">
        <v>0.331688527511176</v>
      </c>
      <c r="G5136">
        <v>0.18699961990504199</v>
      </c>
      <c r="H5136">
        <v>0.115152959186585</v>
      </c>
      <c r="I5136">
        <v>8.02010561130449E-2</v>
      </c>
      <c r="J5136">
        <v>9.9840559072239196E-2</v>
      </c>
      <c r="K5136">
        <v>0.115009064422795</v>
      </c>
      <c r="L5136">
        <v>717.98295073569295</v>
      </c>
      <c r="M5136">
        <v>15.3715674601667</v>
      </c>
      <c r="N5136">
        <v>47.246697264896703</v>
      </c>
      <c r="O5136">
        <v>45.939390166055198</v>
      </c>
      <c r="P5136">
        <v>-7.6940108620675102E-2</v>
      </c>
      <c r="Q5136">
        <v>8.0312906824641095E-2</v>
      </c>
      <c r="R5136">
        <v>0.99633724246340005</v>
      </c>
      <c r="S5136" t="s">
        <v>11538</v>
      </c>
      <c r="T5136" t="s">
        <v>12802</v>
      </c>
      <c r="U5136" t="s">
        <v>12802</v>
      </c>
      <c r="V5136" t="s">
        <v>12802</v>
      </c>
      <c r="W5136" t="s">
        <v>17874</v>
      </c>
      <c r="X5136">
        <v>4</v>
      </c>
      <c r="Y5136" t="s">
        <v>24089</v>
      </c>
      <c r="Z5136" t="s">
        <v>30454</v>
      </c>
      <c r="AA5136">
        <v>0.39786756305175602</v>
      </c>
      <c r="AB5136" t="str">
        <f>HYPERLINK("Melting_Curves/meltCurve_Q99828_CIB1.pdf", "Melting_Curves/meltCurve_Q99828_CIB1.pdf")</f>
        <v>Melting_Curves/meltCurve_Q99828_CIB1.pdf</v>
      </c>
    </row>
    <row r="5137" spans="1:28" x14ac:dyDescent="0.25">
      <c r="A5137" t="s">
        <v>5141</v>
      </c>
      <c r="B5137">
        <v>0.99542014353169495</v>
      </c>
      <c r="C5137">
        <v>0.900713521992621</v>
      </c>
      <c r="D5137">
        <v>0.924490160547222</v>
      </c>
      <c r="E5137">
        <v>0.78596434493586298</v>
      </c>
      <c r="F5137">
        <v>0.53667695943278304</v>
      </c>
      <c r="G5137">
        <v>0.30866791992486398</v>
      </c>
      <c r="H5137">
        <v>0.382360168344339</v>
      </c>
      <c r="I5137">
        <v>0.58755014220622603</v>
      </c>
      <c r="J5137">
        <v>0.72337038459063896</v>
      </c>
      <c r="K5137">
        <v>0.181804093363617</v>
      </c>
      <c r="L5137">
        <v>1436.52790279539</v>
      </c>
      <c r="M5137">
        <v>30.4471129091283</v>
      </c>
      <c r="N5137">
        <v>50.663983277962501</v>
      </c>
      <c r="O5137">
        <v>46.978967056051701</v>
      </c>
      <c r="P5137">
        <v>-9.1002632116394505E-2</v>
      </c>
      <c r="Q5137">
        <v>0.43834639283635302</v>
      </c>
      <c r="R5137">
        <v>0.70787458740672204</v>
      </c>
      <c r="S5137" t="s">
        <v>11539</v>
      </c>
      <c r="T5137" t="s">
        <v>12802</v>
      </c>
      <c r="U5137" t="s">
        <v>12802</v>
      </c>
      <c r="V5137" t="s">
        <v>12802</v>
      </c>
      <c r="W5137" t="s">
        <v>17875</v>
      </c>
      <c r="X5137">
        <v>36</v>
      </c>
      <c r="Y5137" t="s">
        <v>24090</v>
      </c>
      <c r="Z5137" t="s">
        <v>30455</v>
      </c>
      <c r="AA5137">
        <v>0.63213363540020784</v>
      </c>
      <c r="AB5137" t="str">
        <f>HYPERLINK("Melting_Curves/meltCurve_Q99832_CCT7.pdf", "Melting_Curves/meltCurve_Q99832_CCT7.pdf")</f>
        <v>Melting_Curves/meltCurve_Q99832_CCT7.pdf</v>
      </c>
    </row>
    <row r="5138" spans="1:28" x14ac:dyDescent="0.25">
      <c r="A5138" t="s">
        <v>5142</v>
      </c>
      <c r="B5138">
        <v>0.99542014353169495</v>
      </c>
      <c r="C5138">
        <v>0.91712256952127202</v>
      </c>
      <c r="D5138">
        <v>0.54765123125661497</v>
      </c>
      <c r="E5138">
        <v>0.223218105276207</v>
      </c>
      <c r="F5138">
        <v>0.135471345715066</v>
      </c>
      <c r="G5138">
        <v>6.6525663637224994E-2</v>
      </c>
      <c r="H5138">
        <v>4.3981781466378399E-2</v>
      </c>
      <c r="I5138">
        <v>3.1781394233167101E-2</v>
      </c>
      <c r="J5138">
        <v>3.2555015989807902E-2</v>
      </c>
      <c r="K5138">
        <v>4.25428373792755E-2</v>
      </c>
      <c r="L5138">
        <v>967.53160157712898</v>
      </c>
      <c r="M5138">
        <v>22.284411719720602</v>
      </c>
      <c r="N5138">
        <v>43.611497197253797</v>
      </c>
      <c r="O5138">
        <v>43.072306722786102</v>
      </c>
      <c r="P5138">
        <v>-0.123239954428424</v>
      </c>
      <c r="Q5138">
        <v>4.7205162590782203E-2</v>
      </c>
      <c r="R5138">
        <v>0.99633942988720003</v>
      </c>
      <c r="S5138" t="s">
        <v>11540</v>
      </c>
      <c r="T5138" t="s">
        <v>12802</v>
      </c>
      <c r="U5138" t="s">
        <v>12802</v>
      </c>
      <c r="V5138" t="s">
        <v>12802</v>
      </c>
      <c r="W5138" t="s">
        <v>17876</v>
      </c>
      <c r="X5138">
        <v>7</v>
      </c>
      <c r="Y5138" t="s">
        <v>24091</v>
      </c>
      <c r="Z5138" t="s">
        <v>30456</v>
      </c>
      <c r="AA5138">
        <v>0.26122840312642409</v>
      </c>
      <c r="AB5138" t="str">
        <f>HYPERLINK("Melting_Curves/meltCurve_Q99856_ARID3A.pdf", "Melting_Curves/meltCurve_Q99856_ARID3A.pdf")</f>
        <v>Melting_Curves/meltCurve_Q99856_ARID3A.pdf</v>
      </c>
    </row>
    <row r="5139" spans="1:28" x14ac:dyDescent="0.25">
      <c r="A5139" t="s">
        <v>5143</v>
      </c>
      <c r="B5139">
        <v>0.99542014353169495</v>
      </c>
      <c r="C5139">
        <v>1.0300836095671799</v>
      </c>
      <c r="D5139">
        <v>0.94514356052572401</v>
      </c>
      <c r="E5139">
        <v>0.74381256175632005</v>
      </c>
      <c r="F5139">
        <v>0.49524094353838999</v>
      </c>
      <c r="G5139">
        <v>0.32026471218603603</v>
      </c>
      <c r="H5139">
        <v>0.181509466077304</v>
      </c>
      <c r="I5139">
        <v>0.184024349587076</v>
      </c>
      <c r="J5139">
        <v>0.17459493572932799</v>
      </c>
      <c r="K5139">
        <v>0.31608809544472299</v>
      </c>
      <c r="L5139">
        <v>992.73688704135998</v>
      </c>
      <c r="M5139">
        <v>20.450440172397201</v>
      </c>
      <c r="N5139">
        <v>49.850956601687599</v>
      </c>
      <c r="O5139">
        <v>48.086532379576497</v>
      </c>
      <c r="P5139">
        <v>-8.4255666660889697E-2</v>
      </c>
      <c r="Q5139">
        <v>0.207559032314967</v>
      </c>
      <c r="R5139">
        <v>0.98248194941625699</v>
      </c>
      <c r="S5139" t="s">
        <v>11541</v>
      </c>
      <c r="T5139" t="s">
        <v>12802</v>
      </c>
      <c r="U5139" t="s">
        <v>12802</v>
      </c>
      <c r="V5139" t="s">
        <v>12802</v>
      </c>
      <c r="W5139" t="s">
        <v>17877</v>
      </c>
      <c r="X5139">
        <v>1</v>
      </c>
      <c r="Y5139" t="s">
        <v>24092</v>
      </c>
      <c r="Z5139" t="s">
        <v>30457</v>
      </c>
      <c r="AA5139">
        <v>0.52248442732464773</v>
      </c>
      <c r="AB5139" t="str">
        <f>HYPERLINK("Melting_Curves/meltCurve_Q99871_3_HAUS7.pdf", "Melting_Curves/meltCurve_Q99871_3_HAUS7.pdf")</f>
        <v>Melting_Curves/meltCurve_Q99871_3_HAUS7.pdf</v>
      </c>
    </row>
    <row r="5140" spans="1:28" x14ac:dyDescent="0.25">
      <c r="A5140" t="s">
        <v>5144</v>
      </c>
      <c r="B5140">
        <v>0.99542014353169495</v>
      </c>
      <c r="C5140">
        <v>0.99739037574287703</v>
      </c>
      <c r="D5140">
        <v>0.90200130168496295</v>
      </c>
      <c r="E5140">
        <v>0.67912994576525698</v>
      </c>
      <c r="F5140">
        <v>0.30062545147175601</v>
      </c>
      <c r="G5140">
        <v>0.172107128914119</v>
      </c>
      <c r="H5140">
        <v>9.4666213082883796E-2</v>
      </c>
      <c r="I5140">
        <v>0.103391542548937</v>
      </c>
      <c r="J5140">
        <v>0.270893681339199</v>
      </c>
      <c r="K5140">
        <v>0.49879566137798398</v>
      </c>
      <c r="L5140">
        <v>1558.62413769306</v>
      </c>
      <c r="M5140">
        <v>33.197826985653101</v>
      </c>
      <c r="N5140">
        <v>47.813462281113502</v>
      </c>
      <c r="O5140">
        <v>46.780199324015399</v>
      </c>
      <c r="P5140">
        <v>-0.13740037849012199</v>
      </c>
      <c r="Q5140">
        <v>0.225540878133489</v>
      </c>
      <c r="R5140">
        <v>0.90243777800901004</v>
      </c>
      <c r="S5140" t="s">
        <v>11542</v>
      </c>
      <c r="T5140" t="s">
        <v>12802</v>
      </c>
      <c r="U5140" t="s">
        <v>12802</v>
      </c>
      <c r="V5140" t="s">
        <v>12802</v>
      </c>
      <c r="W5140" t="s">
        <v>17878</v>
      </c>
      <c r="X5140">
        <v>6</v>
      </c>
      <c r="Y5140" t="s">
        <v>24093</v>
      </c>
      <c r="Z5140" t="s">
        <v>30458</v>
      </c>
      <c r="AA5140">
        <v>0.48605602045441898</v>
      </c>
      <c r="AB5140" t="str">
        <f>HYPERLINK("Melting_Curves/meltCurve_Q99878_HIST1H2AJ.pdf", "Melting_Curves/meltCurve_Q99878_HIST1H2AJ.pdf")</f>
        <v>Melting_Curves/meltCurve_Q99878_HIST1H2AJ.pdf</v>
      </c>
    </row>
    <row r="5141" spans="1:28" x14ac:dyDescent="0.25">
      <c r="A5141" t="s">
        <v>5145</v>
      </c>
      <c r="B5141">
        <v>0.99542014353169495</v>
      </c>
      <c r="C5141">
        <v>1.0360269043357999</v>
      </c>
      <c r="D5141">
        <v>1.15966223864633</v>
      </c>
      <c r="E5141">
        <v>0.81383066882988797</v>
      </c>
      <c r="F5141">
        <v>0.702574082857365</v>
      </c>
      <c r="G5141">
        <v>0.60746500184885699</v>
      </c>
      <c r="H5141">
        <v>0.54980639631723904</v>
      </c>
      <c r="I5141">
        <v>0.51225098452594298</v>
      </c>
      <c r="J5141">
        <v>0.76703435448175405</v>
      </c>
      <c r="K5141">
        <v>1.1029148329671401</v>
      </c>
      <c r="L5141">
        <v>11624.114501344</v>
      </c>
      <c r="M5141">
        <v>250</v>
      </c>
      <c r="O5141">
        <v>46.493482583099201</v>
      </c>
      <c r="P5141">
        <v>-0.39386218248138</v>
      </c>
      <c r="Q5141">
        <v>0.70700760827064602</v>
      </c>
      <c r="R5141">
        <v>0.482766912065558</v>
      </c>
      <c r="S5141" t="s">
        <v>11543</v>
      </c>
      <c r="T5141" t="s">
        <v>12802</v>
      </c>
      <c r="U5141" t="s">
        <v>12802</v>
      </c>
      <c r="V5141" t="s">
        <v>12802</v>
      </c>
      <c r="W5141" t="s">
        <v>17879</v>
      </c>
      <c r="X5141">
        <v>4</v>
      </c>
      <c r="Y5141" t="s">
        <v>24094</v>
      </c>
      <c r="Z5141" t="s">
        <v>30459</v>
      </c>
      <c r="AA5141">
        <v>0.79977784807901631</v>
      </c>
      <c r="AB5141" t="str">
        <f>HYPERLINK("Melting_Curves/meltCurve_Q99952_PTPN18.pdf", "Melting_Curves/meltCurve_Q99952_PTPN18.pdf")</f>
        <v>Melting_Curves/meltCurve_Q99952_PTPN18.pdf</v>
      </c>
    </row>
    <row r="5142" spans="1:28" x14ac:dyDescent="0.25">
      <c r="A5142" t="s">
        <v>5146</v>
      </c>
      <c r="B5142">
        <v>0.99542014353169495</v>
      </c>
      <c r="C5142">
        <v>0.97593210533872798</v>
      </c>
      <c r="D5142">
        <v>0.75963417807387801</v>
      </c>
      <c r="E5142">
        <v>0.43917125385565697</v>
      </c>
      <c r="F5142">
        <v>0.27390710295436199</v>
      </c>
      <c r="G5142">
        <v>0.12622467526505299</v>
      </c>
      <c r="H5142">
        <v>7.6708628829507797E-2</v>
      </c>
      <c r="I5142">
        <v>3.6515278970044203E-2</v>
      </c>
      <c r="J5142">
        <v>4.9019741770730901E-2</v>
      </c>
      <c r="K5142">
        <v>5.7897406305436397E-2</v>
      </c>
      <c r="L5142">
        <v>765.349563118231</v>
      </c>
      <c r="M5142">
        <v>16.644350608701298</v>
      </c>
      <c r="N5142">
        <v>46.240398787856002</v>
      </c>
      <c r="O5142">
        <v>45.334163801334498</v>
      </c>
      <c r="P5142">
        <v>-8.7724964196823005E-2</v>
      </c>
      <c r="Q5142">
        <v>4.4319373261308102E-2</v>
      </c>
      <c r="R5142">
        <v>0.99595211400365602</v>
      </c>
      <c r="S5142" t="s">
        <v>11544</v>
      </c>
      <c r="T5142" t="s">
        <v>12802</v>
      </c>
      <c r="U5142" t="s">
        <v>12802</v>
      </c>
      <c r="V5142" t="s">
        <v>12802</v>
      </c>
      <c r="W5142" t="s">
        <v>17880</v>
      </c>
      <c r="X5142">
        <v>6</v>
      </c>
      <c r="Y5142" t="s">
        <v>24095</v>
      </c>
      <c r="Z5142" t="s">
        <v>30460</v>
      </c>
      <c r="AA5142">
        <v>0.34850635092435839</v>
      </c>
      <c r="AB5142" t="str">
        <f>HYPERLINK("Melting_Curves/meltCurve_Q99956_DUSP9.pdf", "Melting_Curves/meltCurve_Q99956_DUSP9.pdf")</f>
        <v>Melting_Curves/meltCurve_Q99956_DUSP9.pdf</v>
      </c>
    </row>
    <row r="5143" spans="1:28" x14ac:dyDescent="0.25">
      <c r="A5143" t="s">
        <v>5147</v>
      </c>
      <c r="B5143">
        <v>0.99542014353169495</v>
      </c>
      <c r="C5143">
        <v>1.0035607146064101</v>
      </c>
      <c r="D5143">
        <v>0.98234110411852804</v>
      </c>
      <c r="E5143">
        <v>0.752652851890101</v>
      </c>
      <c r="F5143">
        <v>0.125397803528463</v>
      </c>
      <c r="G5143">
        <v>7.0502889420516898E-2</v>
      </c>
      <c r="H5143">
        <v>4.3454576640821002E-2</v>
      </c>
      <c r="I5143">
        <v>3.1733399567283299E-2</v>
      </c>
      <c r="J5143">
        <v>3.7476768364182997E-2</v>
      </c>
      <c r="K5143">
        <v>4.33084782831962E-2</v>
      </c>
      <c r="L5143">
        <v>2187.6709170334402</v>
      </c>
      <c r="M5143">
        <v>45.899892737259599</v>
      </c>
      <c r="N5143">
        <v>47.756622749901503</v>
      </c>
      <c r="O5143">
        <v>47.5715919047963</v>
      </c>
      <c r="P5143">
        <v>-0.23070876496882201</v>
      </c>
      <c r="Q5143">
        <v>4.3556144177264798E-2</v>
      </c>
      <c r="R5143">
        <v>0.99955989037538395</v>
      </c>
      <c r="S5143" t="s">
        <v>11545</v>
      </c>
      <c r="T5143" t="s">
        <v>12802</v>
      </c>
      <c r="U5143" t="s">
        <v>12802</v>
      </c>
      <c r="V5143" t="s">
        <v>12802</v>
      </c>
      <c r="W5143" t="s">
        <v>17881</v>
      </c>
      <c r="X5143">
        <v>19</v>
      </c>
      <c r="Y5143" t="s">
        <v>24096</v>
      </c>
      <c r="Z5143" t="s">
        <v>30461</v>
      </c>
      <c r="AA5143">
        <v>0.38585802881389852</v>
      </c>
      <c r="AB5143" t="str">
        <f>HYPERLINK("Melting_Curves/meltCurve_Q99961_SH3GL1.pdf", "Melting_Curves/meltCurve_Q99961_SH3GL1.pdf")</f>
        <v>Melting_Curves/meltCurve_Q99961_SH3GL1.pdf</v>
      </c>
    </row>
    <row r="5144" spans="1:28" x14ac:dyDescent="0.25">
      <c r="A5144" t="s">
        <v>5148</v>
      </c>
      <c r="B5144">
        <v>0.99542014353169495</v>
      </c>
      <c r="C5144">
        <v>0.99635819333736597</v>
      </c>
      <c r="D5144">
        <v>0.98331789547757598</v>
      </c>
      <c r="E5144">
        <v>0.40087850112679602</v>
      </c>
      <c r="F5144">
        <v>0.17845982602178401</v>
      </c>
      <c r="G5144">
        <v>0.10189899297162699</v>
      </c>
      <c r="H5144">
        <v>7.0391355514757406E-2</v>
      </c>
      <c r="I5144">
        <v>4.60144671529737E-2</v>
      </c>
      <c r="J5144">
        <v>3.76287552813813E-2</v>
      </c>
      <c r="K5144">
        <v>3.9248277510442298E-2</v>
      </c>
      <c r="L5144">
        <v>1776.82792034769</v>
      </c>
      <c r="M5144">
        <v>38.620112655661003</v>
      </c>
      <c r="N5144">
        <v>46.188240705835398</v>
      </c>
      <c r="O5144">
        <v>45.8850019877151</v>
      </c>
      <c r="P5144">
        <v>-0.195687820264551</v>
      </c>
      <c r="Q5144">
        <v>7.0006378249717005E-2</v>
      </c>
      <c r="R5144">
        <v>0.99348048593021998</v>
      </c>
      <c r="S5144" t="s">
        <v>11546</v>
      </c>
      <c r="T5144" t="s">
        <v>12802</v>
      </c>
      <c r="U5144" t="s">
        <v>12802</v>
      </c>
      <c r="V5144" t="s">
        <v>12802</v>
      </c>
      <c r="W5144" t="s">
        <v>17882</v>
      </c>
      <c r="X5144">
        <v>6</v>
      </c>
      <c r="Y5144" t="s">
        <v>24097</v>
      </c>
      <c r="Z5144" t="s">
        <v>30462</v>
      </c>
      <c r="AA5144">
        <v>0.35242454653834188</v>
      </c>
      <c r="AB5144" t="str">
        <f>HYPERLINK("Melting_Curves/meltCurve_Q99963_4_SH3GL3.pdf", "Melting_Curves/meltCurve_Q99963_4_SH3GL3.pdf")</f>
        <v>Melting_Curves/meltCurve_Q99963_4_SH3GL3.pdf</v>
      </c>
    </row>
    <row r="5145" spans="1:28" x14ac:dyDescent="0.25">
      <c r="A5145" t="s">
        <v>5149</v>
      </c>
      <c r="B5145">
        <v>0.99542014353169495</v>
      </c>
      <c r="C5145">
        <v>0.96756943442713705</v>
      </c>
      <c r="D5145">
        <v>0.94647120523363804</v>
      </c>
      <c r="E5145">
        <v>0.84495954065123402</v>
      </c>
      <c r="F5145">
        <v>0.30856486915904102</v>
      </c>
      <c r="G5145">
        <v>0.16667252281355199</v>
      </c>
      <c r="H5145">
        <v>0.102935177737373</v>
      </c>
      <c r="I5145">
        <v>6.69151462651804E-2</v>
      </c>
      <c r="J5145">
        <v>6.77113888110219E-2</v>
      </c>
      <c r="K5145">
        <v>6.5343291201203593E-2</v>
      </c>
      <c r="L5145">
        <v>1583.32858596605</v>
      </c>
      <c r="M5145">
        <v>32.527026602501302</v>
      </c>
      <c r="N5145">
        <v>48.944316988421399</v>
      </c>
      <c r="O5145">
        <v>48.494443021712001</v>
      </c>
      <c r="P5145">
        <v>-0.15405347744999301</v>
      </c>
      <c r="Q5145">
        <v>8.1292979746528396E-2</v>
      </c>
      <c r="R5145">
        <v>0.99594371061949805</v>
      </c>
      <c r="S5145" t="s">
        <v>11547</v>
      </c>
      <c r="T5145" t="s">
        <v>12802</v>
      </c>
      <c r="U5145" t="s">
        <v>12802</v>
      </c>
      <c r="V5145" t="s">
        <v>12802</v>
      </c>
      <c r="W5145" t="s">
        <v>17883</v>
      </c>
      <c r="X5145">
        <v>21</v>
      </c>
      <c r="Y5145" t="s">
        <v>24098</v>
      </c>
      <c r="Z5145" t="s">
        <v>30463</v>
      </c>
      <c r="AA5145">
        <v>0.44357976098297403</v>
      </c>
      <c r="AB5145" t="str">
        <f>HYPERLINK("Melting_Curves/meltCurve_Q99986_VRK1.pdf", "Melting_Curves/meltCurve_Q99986_VRK1.pdf")</f>
        <v>Melting_Curves/meltCurve_Q99986_VRK1.pdf</v>
      </c>
    </row>
    <row r="5146" spans="1:28" x14ac:dyDescent="0.25">
      <c r="A5146" t="s">
        <v>5150</v>
      </c>
      <c r="B5146">
        <v>0.99542014353169495</v>
      </c>
      <c r="C5146">
        <v>1.1058632766585801</v>
      </c>
      <c r="D5146">
        <v>0.92179206895463195</v>
      </c>
      <c r="E5146">
        <v>0.80516470458152101</v>
      </c>
      <c r="F5146">
        <v>0.49472630844153898</v>
      </c>
      <c r="G5146">
        <v>0.33031600610530298</v>
      </c>
      <c r="H5146">
        <v>0.26134799015569299</v>
      </c>
      <c r="I5146">
        <v>0.229807549449562</v>
      </c>
      <c r="J5146">
        <v>0.28108915449924399</v>
      </c>
      <c r="K5146">
        <v>0.36458392836701697</v>
      </c>
      <c r="L5146">
        <v>1215.0895625373601</v>
      </c>
      <c r="M5146">
        <v>25.112968098093798</v>
      </c>
      <c r="N5146">
        <v>50.020792593551199</v>
      </c>
      <c r="O5146">
        <v>48.081243435508597</v>
      </c>
      <c r="P5146">
        <v>-9.4007168925887702E-2</v>
      </c>
      <c r="Q5146">
        <v>0.28006535542176803</v>
      </c>
      <c r="R5146">
        <v>0.97569890484977995</v>
      </c>
      <c r="S5146" t="s">
        <v>11548</v>
      </c>
      <c r="T5146" t="s">
        <v>12802</v>
      </c>
      <c r="U5146" t="s">
        <v>12802</v>
      </c>
      <c r="V5146" t="s">
        <v>12802</v>
      </c>
      <c r="W5146" t="s">
        <v>17884</v>
      </c>
      <c r="X5146">
        <v>3</v>
      </c>
      <c r="Y5146" t="s">
        <v>24099</v>
      </c>
      <c r="Z5146" t="s">
        <v>30464</v>
      </c>
      <c r="AA5146">
        <v>0.55939376825394649</v>
      </c>
      <c r="AB5146" t="str">
        <f>HYPERLINK("Melting_Curves/meltCurve_Q99988_GDF15.pdf", "Melting_Curves/meltCurve_Q99988_GDF15.pdf")</f>
        <v>Melting_Curves/meltCurve_Q99988_GDF15.pdf</v>
      </c>
    </row>
    <row r="5147" spans="1:28" x14ac:dyDescent="0.25">
      <c r="A5147" t="s">
        <v>5151</v>
      </c>
      <c r="B5147">
        <v>0.99542014353169495</v>
      </c>
      <c r="C5147">
        <v>0.84311326142223897</v>
      </c>
      <c r="D5147">
        <v>0.72277838509353298</v>
      </c>
      <c r="E5147">
        <v>0.30481491914855902</v>
      </c>
      <c r="F5147">
        <v>0.22878462015265899</v>
      </c>
      <c r="G5147">
        <v>9.9161270789688102E-2</v>
      </c>
      <c r="H5147">
        <v>6.2788978720649702E-2</v>
      </c>
      <c r="I5147">
        <v>2.4730513532459999E-2</v>
      </c>
      <c r="J5147">
        <v>7.2642302616392498E-2</v>
      </c>
      <c r="K5147">
        <v>3.4292596407807699E-2</v>
      </c>
      <c r="L5147">
        <v>738.55672646865798</v>
      </c>
      <c r="M5147">
        <v>16.519765965255299</v>
      </c>
      <c r="N5147">
        <v>44.9454560866332</v>
      </c>
      <c r="O5147">
        <v>44.06774075669</v>
      </c>
      <c r="P5147">
        <v>-8.9799302973918901E-2</v>
      </c>
      <c r="Q5147">
        <v>4.1880233186835897E-2</v>
      </c>
      <c r="R5147">
        <v>0.98963210147060499</v>
      </c>
      <c r="S5147" t="s">
        <v>11549</v>
      </c>
      <c r="T5147" t="s">
        <v>12802</v>
      </c>
      <c r="U5147" t="s">
        <v>12802</v>
      </c>
      <c r="V5147" t="s">
        <v>12802</v>
      </c>
      <c r="W5147" t="s">
        <v>17885</v>
      </c>
      <c r="X5147">
        <v>2</v>
      </c>
      <c r="Y5147" t="s">
        <v>24100</v>
      </c>
      <c r="Z5147" t="s">
        <v>30465</v>
      </c>
      <c r="AA5147">
        <v>0.30694666806363469</v>
      </c>
      <c r="AB5147" t="str">
        <f>HYPERLINK("Melting_Curves/meltCurve_Q99996_4_AKAP9.pdf", "Melting_Curves/meltCurve_Q99996_4_AKAP9.pdf")</f>
        <v>Melting_Curves/meltCurve_Q99996_4_AKAP9.pdf</v>
      </c>
    </row>
    <row r="5148" spans="1:28" x14ac:dyDescent="0.25">
      <c r="A5148" t="s">
        <v>5152</v>
      </c>
      <c r="B5148">
        <v>0.99542014353169495</v>
      </c>
      <c r="C5148">
        <v>0.94064948816132599</v>
      </c>
      <c r="D5148">
        <v>0.92073332591397306</v>
      </c>
      <c r="E5148">
        <v>0.79848268902359498</v>
      </c>
      <c r="F5148">
        <v>0.68129421579850702</v>
      </c>
      <c r="G5148">
        <v>0.47921319437892801</v>
      </c>
      <c r="H5148">
        <v>0.220330614764077</v>
      </c>
      <c r="I5148">
        <v>0.13117739966723599</v>
      </c>
      <c r="J5148">
        <v>0.154090365519301</v>
      </c>
      <c r="K5148">
        <v>0.16155774608634599</v>
      </c>
      <c r="L5148">
        <v>682.92426494467895</v>
      </c>
      <c r="M5148">
        <v>13.128852516480499</v>
      </c>
      <c r="N5148">
        <v>52.597065115603698</v>
      </c>
      <c r="O5148">
        <v>50.854643153427901</v>
      </c>
      <c r="P5148">
        <v>-6.0201741133168798E-2</v>
      </c>
      <c r="Q5148">
        <v>6.7392339565547202E-2</v>
      </c>
      <c r="R5148">
        <v>0.98640336647489502</v>
      </c>
      <c r="S5148" t="s">
        <v>11550</v>
      </c>
      <c r="T5148" t="s">
        <v>12802</v>
      </c>
      <c r="U5148" t="s">
        <v>12802</v>
      </c>
      <c r="V5148" t="s">
        <v>12802</v>
      </c>
      <c r="W5148" t="s">
        <v>17886</v>
      </c>
      <c r="X5148">
        <v>7</v>
      </c>
      <c r="Y5148" t="s">
        <v>24101</v>
      </c>
      <c r="Z5148" t="s">
        <v>30466</v>
      </c>
      <c r="AA5148">
        <v>0.55470488981092736</v>
      </c>
      <c r="AB5148" t="str">
        <f>HYPERLINK("Melting_Curves/meltCurve_Q9BPW8_NIPSNAP1.pdf", "Melting_Curves/meltCurve_Q9BPW8_NIPSNAP1.pdf")</f>
        <v>Melting_Curves/meltCurve_Q9BPW8_NIPSNAP1.pdf</v>
      </c>
    </row>
    <row r="5149" spans="1:28" x14ac:dyDescent="0.25">
      <c r="A5149" t="s">
        <v>5153</v>
      </c>
      <c r="B5149">
        <v>0.99542014353169495</v>
      </c>
      <c r="C5149">
        <v>0.897468632114645</v>
      </c>
      <c r="D5149">
        <v>0.96987779413060105</v>
      </c>
      <c r="E5149">
        <v>0.600178309618977</v>
      </c>
      <c r="F5149">
        <v>0.38191204441208798</v>
      </c>
      <c r="G5149">
        <v>0.24766728462005799</v>
      </c>
      <c r="H5149">
        <v>0.32497738422871503</v>
      </c>
      <c r="I5149">
        <v>0.16291802041605299</v>
      </c>
      <c r="J5149">
        <v>9.4671187997789896E-2</v>
      </c>
      <c r="K5149">
        <v>7.94063129449777E-2</v>
      </c>
      <c r="L5149">
        <v>728.55946731510198</v>
      </c>
      <c r="M5149">
        <v>15.2401234507221</v>
      </c>
      <c r="N5149">
        <v>48.715614132800098</v>
      </c>
      <c r="O5149">
        <v>47.004926131039603</v>
      </c>
      <c r="P5149">
        <v>-7.1019562978578504E-2</v>
      </c>
      <c r="Q5149">
        <v>0.123904096498448</v>
      </c>
      <c r="R5149">
        <v>0.964583153654894</v>
      </c>
      <c r="S5149" t="s">
        <v>11551</v>
      </c>
      <c r="T5149" t="s">
        <v>12802</v>
      </c>
      <c r="U5149" t="s">
        <v>12802</v>
      </c>
      <c r="V5149" t="s">
        <v>12802</v>
      </c>
      <c r="W5149" t="s">
        <v>17887</v>
      </c>
      <c r="X5149">
        <v>19</v>
      </c>
      <c r="Y5149" t="s">
        <v>24102</v>
      </c>
      <c r="Z5149" t="s">
        <v>30467</v>
      </c>
      <c r="AA5149">
        <v>0.45831382956237821</v>
      </c>
      <c r="AB5149" t="str">
        <f>HYPERLINK("Melting_Curves/meltCurve_Q9BPX3_NCAPG.pdf", "Melting_Curves/meltCurve_Q9BPX3_NCAPG.pdf")</f>
        <v>Melting_Curves/meltCurve_Q9BPX3_NCAPG.pdf</v>
      </c>
    </row>
    <row r="5150" spans="1:28" x14ac:dyDescent="0.25">
      <c r="A5150" t="s">
        <v>5154</v>
      </c>
      <c r="B5150">
        <v>0.99542014353169495</v>
      </c>
      <c r="C5150">
        <v>0.95946827389020894</v>
      </c>
      <c r="D5150">
        <v>1.0990769154925399</v>
      </c>
      <c r="E5150">
        <v>0.990870682670136</v>
      </c>
      <c r="F5150">
        <v>0.75281168991332903</v>
      </c>
      <c r="G5150">
        <v>0.464360962218553</v>
      </c>
      <c r="H5150">
        <v>0.24170890153204599</v>
      </c>
      <c r="I5150">
        <v>0.175369352556981</v>
      </c>
      <c r="J5150">
        <v>0.22849685928054</v>
      </c>
      <c r="K5150">
        <v>0.18121294620245401</v>
      </c>
      <c r="L5150">
        <v>1340.3509138937</v>
      </c>
      <c r="M5150">
        <v>25.7035247360153</v>
      </c>
      <c r="N5150">
        <v>53.101855527799799</v>
      </c>
      <c r="O5150">
        <v>51.834010621692599</v>
      </c>
      <c r="P5150">
        <v>-0.101023091300925</v>
      </c>
      <c r="Q5150">
        <v>0.185112706776865</v>
      </c>
      <c r="R5150">
        <v>0.98763965790849895</v>
      </c>
      <c r="S5150" t="s">
        <v>11552</v>
      </c>
      <c r="T5150" t="s">
        <v>12802</v>
      </c>
      <c r="U5150" t="s">
        <v>12802</v>
      </c>
      <c r="V5150" t="s">
        <v>12802</v>
      </c>
      <c r="W5150" t="s">
        <v>17888</v>
      </c>
      <c r="X5150">
        <v>5</v>
      </c>
      <c r="Y5150" t="s">
        <v>24103</v>
      </c>
      <c r="Z5150" t="s">
        <v>30468</v>
      </c>
      <c r="AA5150">
        <v>0.60340646126715958</v>
      </c>
      <c r="AB5150" t="str">
        <f>HYPERLINK("Melting_Curves/meltCurve_Q9BPX5_ARPC5L.pdf", "Melting_Curves/meltCurve_Q9BPX5_ARPC5L.pdf")</f>
        <v>Melting_Curves/meltCurve_Q9BPX5_ARPC5L.pdf</v>
      </c>
    </row>
    <row r="5151" spans="1:28" x14ac:dyDescent="0.25">
      <c r="A5151" t="s">
        <v>5155</v>
      </c>
      <c r="B5151">
        <v>0.99542014353169495</v>
      </c>
      <c r="C5151">
        <v>1.0814079849578599</v>
      </c>
      <c r="D5151">
        <v>1.0311323888766</v>
      </c>
      <c r="E5151">
        <v>0.80085643009085905</v>
      </c>
      <c r="F5151">
        <v>0.32089328557921398</v>
      </c>
      <c r="G5151">
        <v>0.19154729201923901</v>
      </c>
      <c r="H5151">
        <v>7.9528992950028896E-2</v>
      </c>
      <c r="I5151">
        <v>4.4705871558495501E-2</v>
      </c>
      <c r="J5151">
        <v>4.9820325590909598E-2</v>
      </c>
      <c r="K5151">
        <v>7.4738292941246995E-2</v>
      </c>
      <c r="L5151">
        <v>1406.10680582134</v>
      </c>
      <c r="M5151">
        <v>28.8791757068885</v>
      </c>
      <c r="N5151">
        <v>48.944496750589202</v>
      </c>
      <c r="O5151">
        <v>48.457630256305798</v>
      </c>
      <c r="P5151">
        <v>-0.138579041701101</v>
      </c>
      <c r="Q5151">
        <v>6.9895783241875703E-2</v>
      </c>
      <c r="R5151">
        <v>0.991517362590006</v>
      </c>
      <c r="S5151" t="s">
        <v>11553</v>
      </c>
      <c r="T5151" t="s">
        <v>12802</v>
      </c>
      <c r="U5151" t="s">
        <v>12802</v>
      </c>
      <c r="V5151" t="s">
        <v>12802</v>
      </c>
      <c r="W5151" t="s">
        <v>17889</v>
      </c>
      <c r="X5151">
        <v>4</v>
      </c>
      <c r="Y5151" t="s">
        <v>24104</v>
      </c>
      <c r="Z5151" t="s">
        <v>30469</v>
      </c>
      <c r="AA5151">
        <v>0.43832388567602237</v>
      </c>
      <c r="AB5151" t="str">
        <f>HYPERLINK("Melting_Curves/meltCurve_Q9BPZ3_PAIP2.pdf", "Melting_Curves/meltCurve_Q9BPZ3_PAIP2.pdf")</f>
        <v>Melting_Curves/meltCurve_Q9BPZ3_PAIP2.pdf</v>
      </c>
    </row>
    <row r="5152" spans="1:28" x14ac:dyDescent="0.25">
      <c r="A5152" t="s">
        <v>5156</v>
      </c>
      <c r="B5152">
        <v>0.99542014353169495</v>
      </c>
      <c r="C5152">
        <v>0.97031995316002795</v>
      </c>
      <c r="D5152">
        <v>0.87987505051174397</v>
      </c>
      <c r="E5152">
        <v>0.79735566943925096</v>
      </c>
      <c r="F5152">
        <v>0.64158289473118801</v>
      </c>
      <c r="G5152">
        <v>0.50415495899658302</v>
      </c>
      <c r="H5152">
        <v>0.34177038180038899</v>
      </c>
      <c r="I5152">
        <v>0.29345850861397499</v>
      </c>
      <c r="J5152">
        <v>0.32007464199878299</v>
      </c>
      <c r="K5152">
        <v>0.21978003138351801</v>
      </c>
      <c r="L5152">
        <v>550.03114280276804</v>
      </c>
      <c r="M5152">
        <v>10.746301638827999</v>
      </c>
      <c r="N5152">
        <v>53.457573743230803</v>
      </c>
      <c r="O5152">
        <v>49.506442046941601</v>
      </c>
      <c r="P5152">
        <v>-4.4327213731583298E-2</v>
      </c>
      <c r="Q5152">
        <v>0.183468671805818</v>
      </c>
      <c r="R5152">
        <v>0.99252684609006803</v>
      </c>
      <c r="S5152" t="s">
        <v>11554</v>
      </c>
      <c r="T5152" t="s">
        <v>12802</v>
      </c>
      <c r="U5152" t="s">
        <v>12802</v>
      </c>
      <c r="V5152" t="s">
        <v>12802</v>
      </c>
      <c r="W5152" t="s">
        <v>17890</v>
      </c>
      <c r="X5152">
        <v>33</v>
      </c>
      <c r="Y5152" t="s">
        <v>24105</v>
      </c>
      <c r="Z5152" t="s">
        <v>30470</v>
      </c>
      <c r="AA5152">
        <v>0.59257109231668037</v>
      </c>
      <c r="AB5152" t="str">
        <f>HYPERLINK("Melting_Curves/meltCurve_Q9BQ52_ELAC2.pdf", "Melting_Curves/meltCurve_Q9BQ52_ELAC2.pdf")</f>
        <v>Melting_Curves/meltCurve_Q9BQ52_ELAC2.pdf</v>
      </c>
    </row>
    <row r="5153" spans="1:28" x14ac:dyDescent="0.25">
      <c r="A5153" t="s">
        <v>5157</v>
      </c>
      <c r="B5153">
        <v>0.99542014353169495</v>
      </c>
      <c r="C5153">
        <v>0.96704416310139296</v>
      </c>
      <c r="D5153">
        <v>0.965826406796782</v>
      </c>
      <c r="E5153">
        <v>0.91408620744645297</v>
      </c>
      <c r="F5153">
        <v>0.75716756152880904</v>
      </c>
      <c r="G5153">
        <v>0.62856375852462398</v>
      </c>
      <c r="H5153">
        <v>0.54299282805207105</v>
      </c>
      <c r="I5153">
        <v>0.53134478632722504</v>
      </c>
      <c r="J5153">
        <v>0.870613294897015</v>
      </c>
      <c r="K5153">
        <v>1.10165234061401</v>
      </c>
      <c r="L5153">
        <v>2313.2487387010901</v>
      </c>
      <c r="M5153">
        <v>48.930868334428801</v>
      </c>
      <c r="O5153">
        <v>47.197105630392898</v>
      </c>
      <c r="P5153">
        <v>-6.8371566769405395E-2</v>
      </c>
      <c r="Q5153">
        <v>0.73620445846893301</v>
      </c>
      <c r="R5153">
        <v>0.32823083128097902</v>
      </c>
      <c r="S5153" t="s">
        <v>11555</v>
      </c>
      <c r="T5153" t="s">
        <v>12802</v>
      </c>
      <c r="U5153" t="s">
        <v>12802</v>
      </c>
      <c r="V5153" t="s">
        <v>12802</v>
      </c>
      <c r="W5153" t="s">
        <v>17891</v>
      </c>
      <c r="X5153">
        <v>8</v>
      </c>
      <c r="Y5153" t="s">
        <v>24106</v>
      </c>
      <c r="Z5153" t="s">
        <v>30471</v>
      </c>
      <c r="AA5153">
        <v>0.82713651807700372</v>
      </c>
      <c r="AB5153" t="str">
        <f>HYPERLINK("Melting_Curves/meltCurve_Q9BQ61_C19orf43.pdf", "Melting_Curves/meltCurve_Q9BQ61_C19orf43.pdf")</f>
        <v>Melting_Curves/meltCurve_Q9BQ61_C19orf43.pdf</v>
      </c>
    </row>
    <row r="5154" spans="1:28" x14ac:dyDescent="0.25">
      <c r="A5154" t="s">
        <v>5158</v>
      </c>
      <c r="B5154">
        <v>0.99542014353169495</v>
      </c>
      <c r="C5154">
        <v>0.996180845846663</v>
      </c>
      <c r="D5154">
        <v>0.82030522779872606</v>
      </c>
      <c r="E5154">
        <v>0.56962197409203497</v>
      </c>
      <c r="F5154">
        <v>0.42398894325403802</v>
      </c>
      <c r="G5154">
        <v>0.28495843601855297</v>
      </c>
      <c r="H5154">
        <v>0.14270751188556699</v>
      </c>
      <c r="I5154">
        <v>8.5219693343503197E-2</v>
      </c>
      <c r="J5154">
        <v>8.2537779461213504E-2</v>
      </c>
      <c r="K5154">
        <v>7.7598593664934407E-2</v>
      </c>
      <c r="L5154">
        <v>604.54667879577903</v>
      </c>
      <c r="M5154">
        <v>12.5517034416995</v>
      </c>
      <c r="N5154">
        <v>48.517630034631303</v>
      </c>
      <c r="O5154">
        <v>46.990997896537699</v>
      </c>
      <c r="P5154">
        <v>-6.3875148776307802E-2</v>
      </c>
      <c r="Q5154">
        <v>4.3652152507777202E-2</v>
      </c>
      <c r="R5154">
        <v>0.99254463777197</v>
      </c>
      <c r="S5154" t="s">
        <v>11556</v>
      </c>
      <c r="T5154" t="s">
        <v>12802</v>
      </c>
      <c r="U5154" t="s">
        <v>12802</v>
      </c>
      <c r="V5154" t="s">
        <v>12802</v>
      </c>
      <c r="W5154" t="s">
        <v>17892</v>
      </c>
      <c r="X5154">
        <v>6</v>
      </c>
      <c r="Y5154" t="s">
        <v>24107</v>
      </c>
      <c r="Z5154" t="s">
        <v>30472</v>
      </c>
      <c r="AA5154">
        <v>0.42736085564667459</v>
      </c>
      <c r="AB5154" t="str">
        <f>HYPERLINK("Melting_Curves/meltCurve_Q9BQ67_GRWD1.pdf", "Melting_Curves/meltCurve_Q9BQ67_GRWD1.pdf")</f>
        <v>Melting_Curves/meltCurve_Q9BQ67_GRWD1.pdf</v>
      </c>
    </row>
    <row r="5155" spans="1:28" x14ac:dyDescent="0.25">
      <c r="A5155" t="s">
        <v>5159</v>
      </c>
      <c r="B5155">
        <v>0.99542014353169495</v>
      </c>
      <c r="C5155">
        <v>1.0287685285899799</v>
      </c>
      <c r="D5155">
        <v>0.98906953370334205</v>
      </c>
      <c r="E5155">
        <v>0.79965621140466203</v>
      </c>
      <c r="F5155">
        <v>0.22670322646807101</v>
      </c>
      <c r="G5155">
        <v>0.115992026505452</v>
      </c>
      <c r="H5155">
        <v>6.8694072984147897E-2</v>
      </c>
      <c r="I5155">
        <v>5.0806053790795801E-2</v>
      </c>
      <c r="J5155">
        <v>4.6884444083887797E-2</v>
      </c>
      <c r="K5155">
        <v>3.9519084237711603E-2</v>
      </c>
      <c r="L5155">
        <v>1779.9712645806601</v>
      </c>
      <c r="M5155">
        <v>36.912995812024498</v>
      </c>
      <c r="N5155">
        <v>48.382896902190097</v>
      </c>
      <c r="O5155">
        <v>48.0798519732488</v>
      </c>
      <c r="P5155">
        <v>-0.18076750963211499</v>
      </c>
      <c r="Q5155">
        <v>5.8190753897718203E-2</v>
      </c>
      <c r="R5155">
        <v>0.99836416819670504</v>
      </c>
      <c r="S5155" t="s">
        <v>11557</v>
      </c>
      <c r="T5155" t="s">
        <v>12802</v>
      </c>
      <c r="U5155" t="s">
        <v>12802</v>
      </c>
      <c r="V5155" t="s">
        <v>12802</v>
      </c>
      <c r="W5155" t="s">
        <v>17893</v>
      </c>
      <c r="X5155">
        <v>11</v>
      </c>
      <c r="Y5155" t="s">
        <v>24108</v>
      </c>
      <c r="Z5155" t="s">
        <v>30473</v>
      </c>
      <c r="AA5155">
        <v>0.414140618508407</v>
      </c>
      <c r="AB5155" t="str">
        <f>HYPERLINK("Melting_Curves/meltCurve_Q9BQ69_MACROD1.pdf", "Melting_Curves/meltCurve_Q9BQ69_MACROD1.pdf")</f>
        <v>Melting_Curves/meltCurve_Q9BQ69_MACROD1.pdf</v>
      </c>
    </row>
    <row r="5156" spans="1:28" x14ac:dyDescent="0.25">
      <c r="A5156" t="s">
        <v>5160</v>
      </c>
      <c r="B5156">
        <v>0.99542014353169495</v>
      </c>
      <c r="C5156">
        <v>1.09488932632182</v>
      </c>
      <c r="D5156">
        <v>0.98774539071769096</v>
      </c>
      <c r="E5156">
        <v>0.79513449664733105</v>
      </c>
      <c r="F5156">
        <v>0.43235068052898701</v>
      </c>
      <c r="G5156">
        <v>0.28782502731053899</v>
      </c>
      <c r="H5156">
        <v>0.18150048160219101</v>
      </c>
      <c r="I5156">
        <v>0.113533525183241</v>
      </c>
      <c r="J5156">
        <v>8.09039552728084E-2</v>
      </c>
      <c r="K5156">
        <v>0.11224077717252</v>
      </c>
      <c r="L5156">
        <v>1018.05983115346</v>
      </c>
      <c r="M5156">
        <v>20.656921596992401</v>
      </c>
      <c r="N5156">
        <v>49.872827018986399</v>
      </c>
      <c r="O5156">
        <v>48.8292951392934</v>
      </c>
      <c r="P5156">
        <v>-9.4322731025096695E-2</v>
      </c>
      <c r="Q5156">
        <v>0.108176787951169</v>
      </c>
      <c r="R5156">
        <v>0.98907712591729902</v>
      </c>
      <c r="S5156" t="s">
        <v>11558</v>
      </c>
      <c r="T5156" t="s">
        <v>12802</v>
      </c>
      <c r="U5156" t="s">
        <v>12802</v>
      </c>
      <c r="V5156" t="s">
        <v>12802</v>
      </c>
      <c r="W5156" t="s">
        <v>17894</v>
      </c>
      <c r="X5156">
        <v>6</v>
      </c>
      <c r="Y5156" t="s">
        <v>24109</v>
      </c>
      <c r="Z5156" t="s">
        <v>30474</v>
      </c>
      <c r="AA5156">
        <v>0.48443776151830398</v>
      </c>
      <c r="AB5156" t="str">
        <f>HYPERLINK("Melting_Curves/meltCurve_Q9BQ70_TCF25.pdf", "Melting_Curves/meltCurve_Q9BQ70_TCF25.pdf")</f>
        <v>Melting_Curves/meltCurve_Q9BQ70_TCF25.pdf</v>
      </c>
    </row>
    <row r="5157" spans="1:28" x14ac:dyDescent="0.25">
      <c r="A5157" t="s">
        <v>5161</v>
      </c>
      <c r="B5157">
        <v>0.99542014353169495</v>
      </c>
      <c r="C5157">
        <v>1.0669392772745201</v>
      </c>
      <c r="D5157">
        <v>1.04365543054867</v>
      </c>
      <c r="E5157">
        <v>0.864901348695022</v>
      </c>
      <c r="F5157">
        <v>0.71376398289097998</v>
      </c>
      <c r="G5157">
        <v>0.45047965175750598</v>
      </c>
      <c r="H5157">
        <v>0.182066217885786</v>
      </c>
      <c r="I5157">
        <v>8.5398142129648302E-2</v>
      </c>
      <c r="J5157">
        <v>8.4896792926830403E-2</v>
      </c>
      <c r="K5157">
        <v>0.13077224238660901</v>
      </c>
      <c r="L5157">
        <v>1008.33285469716</v>
      </c>
      <c r="M5157">
        <v>19.272130549167301</v>
      </c>
      <c r="N5157">
        <v>52.717106628276397</v>
      </c>
      <c r="O5157">
        <v>51.767212954215204</v>
      </c>
      <c r="P5157">
        <v>-8.6797618939372101E-2</v>
      </c>
      <c r="Q5157">
        <v>6.7440647025121897E-2</v>
      </c>
      <c r="R5157">
        <v>0.98899980503792795</v>
      </c>
      <c r="S5157" t="s">
        <v>11559</v>
      </c>
      <c r="T5157" t="s">
        <v>12802</v>
      </c>
      <c r="U5157" t="s">
        <v>12802</v>
      </c>
      <c r="V5157" t="s">
        <v>12802</v>
      </c>
      <c r="W5157" t="s">
        <v>17895</v>
      </c>
      <c r="X5157">
        <v>3</v>
      </c>
      <c r="Y5157" t="s">
        <v>24110</v>
      </c>
      <c r="Z5157" t="s">
        <v>30475</v>
      </c>
      <c r="AA5157">
        <v>0.55634212797107707</v>
      </c>
      <c r="AB5157" t="str">
        <f>HYPERLINK("Melting_Curves/meltCurve_Q9BQ90_KLHDC3.pdf", "Melting_Curves/meltCurve_Q9BQ90_KLHDC3.pdf")</f>
        <v>Melting_Curves/meltCurve_Q9BQ90_KLHDC3.pdf</v>
      </c>
    </row>
    <row r="5158" spans="1:28" x14ac:dyDescent="0.25">
      <c r="A5158" t="s">
        <v>5162</v>
      </c>
      <c r="B5158">
        <v>0.99542014353169495</v>
      </c>
      <c r="C5158">
        <v>0.90003230306513204</v>
      </c>
      <c r="D5158">
        <v>0.86023210826569996</v>
      </c>
      <c r="E5158">
        <v>0.70361566086844896</v>
      </c>
      <c r="F5158">
        <v>0.54718616049354796</v>
      </c>
      <c r="G5158">
        <v>0.31508746575448499</v>
      </c>
      <c r="H5158">
        <v>0.22430776480703701</v>
      </c>
      <c r="I5158">
        <v>0.15679196644526999</v>
      </c>
      <c r="J5158">
        <v>7.9000725983293801E-2</v>
      </c>
      <c r="K5158">
        <v>3.0112283113665098E-2</v>
      </c>
      <c r="L5158">
        <v>537.99143402404798</v>
      </c>
      <c r="M5158">
        <v>10.6634499971737</v>
      </c>
      <c r="N5158">
        <v>50.451909961639899</v>
      </c>
      <c r="O5158">
        <v>48.774638606282799</v>
      </c>
      <c r="P5158">
        <v>-5.4677517104548101E-2</v>
      </c>
      <c r="Q5158">
        <v>0</v>
      </c>
      <c r="R5158">
        <v>0.99500596942101405</v>
      </c>
      <c r="S5158" t="s">
        <v>11560</v>
      </c>
      <c r="T5158" t="s">
        <v>12802</v>
      </c>
      <c r="U5158" t="s">
        <v>12802</v>
      </c>
      <c r="V5158" t="s">
        <v>12802</v>
      </c>
      <c r="W5158" t="s">
        <v>17896</v>
      </c>
      <c r="X5158">
        <v>7</v>
      </c>
      <c r="Y5158" t="s">
        <v>24111</v>
      </c>
      <c r="Z5158" t="s">
        <v>30476</v>
      </c>
      <c r="AA5158">
        <v>0.47899383572295112</v>
      </c>
      <c r="AB5158" t="str">
        <f>HYPERLINK("Melting_Curves/meltCurve_Q9BQ95_ECSIT.pdf", "Melting_Curves/meltCurve_Q9BQ95_ECSIT.pdf")</f>
        <v>Melting_Curves/meltCurve_Q9BQ95_ECSIT.pdf</v>
      </c>
    </row>
    <row r="5159" spans="1:28" x14ac:dyDescent="0.25">
      <c r="A5159" t="s">
        <v>5163</v>
      </c>
      <c r="B5159">
        <v>0.99542014353169495</v>
      </c>
      <c r="C5159">
        <v>0.91573264100156604</v>
      </c>
      <c r="D5159">
        <v>0.89016048032955397</v>
      </c>
      <c r="E5159">
        <v>0.73260283898450995</v>
      </c>
      <c r="F5159">
        <v>0.63961477914232301</v>
      </c>
      <c r="G5159">
        <v>0.39050240873814801</v>
      </c>
      <c r="H5159">
        <v>0.19562501507715699</v>
      </c>
      <c r="I5159">
        <v>8.3867951171025495E-2</v>
      </c>
      <c r="J5159">
        <v>6.3930291526235902E-2</v>
      </c>
      <c r="K5159">
        <v>6.6431533296054598E-2</v>
      </c>
      <c r="L5159">
        <v>622.18372206647803</v>
      </c>
      <c r="M5159">
        <v>12.102624032367601</v>
      </c>
      <c r="N5159">
        <v>51.4089935418816</v>
      </c>
      <c r="O5159">
        <v>50.065809741066701</v>
      </c>
      <c r="P5159">
        <v>-6.0447677187960201E-2</v>
      </c>
      <c r="Q5159">
        <v>0</v>
      </c>
      <c r="R5159">
        <v>0.98940214695842899</v>
      </c>
      <c r="S5159" t="s">
        <v>11561</v>
      </c>
      <c r="T5159" t="s">
        <v>12802</v>
      </c>
      <c r="U5159" t="s">
        <v>12802</v>
      </c>
      <c r="V5159" t="s">
        <v>12802</v>
      </c>
      <c r="W5159" t="s">
        <v>17897</v>
      </c>
      <c r="X5159">
        <v>8</v>
      </c>
      <c r="Y5159" t="s">
        <v>24112</v>
      </c>
      <c r="Z5159" t="s">
        <v>30477</v>
      </c>
      <c r="AA5159">
        <v>0.50524870456516557</v>
      </c>
      <c r="AB5159" t="str">
        <f>HYPERLINK("Melting_Curves/meltCurve_Q9BQA1_WDR77.pdf", "Melting_Curves/meltCurve_Q9BQA1_WDR77.pdf")</f>
        <v>Melting_Curves/meltCurve_Q9BQA1_WDR77.pdf</v>
      </c>
    </row>
    <row r="5160" spans="1:28" x14ac:dyDescent="0.25">
      <c r="A5160" t="s">
        <v>5164</v>
      </c>
      <c r="B5160">
        <v>0.99542014353169495</v>
      </c>
      <c r="C5160">
        <v>0.95849317148098401</v>
      </c>
      <c r="D5160">
        <v>0.91509521197669996</v>
      </c>
      <c r="E5160">
        <v>0.72861829194196304</v>
      </c>
      <c r="F5160">
        <v>0.621076401082719</v>
      </c>
      <c r="G5160">
        <v>0.37080236021859603</v>
      </c>
      <c r="H5160">
        <v>0.25089965060528302</v>
      </c>
      <c r="I5160">
        <v>0.15570948830058901</v>
      </c>
      <c r="J5160">
        <v>0.14281325946787499</v>
      </c>
      <c r="K5160">
        <v>0.13007326158521201</v>
      </c>
      <c r="L5160">
        <v>608.09186648167304</v>
      </c>
      <c r="M5160">
        <v>11.942720757475</v>
      </c>
      <c r="N5160">
        <v>51.502097785522601</v>
      </c>
      <c r="O5160">
        <v>49.552730834842201</v>
      </c>
      <c r="P5160">
        <v>-5.6446436775923203E-2</v>
      </c>
      <c r="Q5160">
        <v>6.3399723112949599E-2</v>
      </c>
      <c r="R5160">
        <v>0.99549711574111899</v>
      </c>
      <c r="S5160" t="s">
        <v>11562</v>
      </c>
      <c r="T5160" t="s">
        <v>12802</v>
      </c>
      <c r="U5160" t="s">
        <v>12802</v>
      </c>
      <c r="V5160" t="s">
        <v>12802</v>
      </c>
      <c r="W5160" t="s">
        <v>17898</v>
      </c>
      <c r="X5160">
        <v>2</v>
      </c>
      <c r="Y5160" t="s">
        <v>24113</v>
      </c>
      <c r="Z5160" t="s">
        <v>30478</v>
      </c>
      <c r="AA5160">
        <v>0.52256264250898632</v>
      </c>
      <c r="AB5160" t="str">
        <f>HYPERLINK("Melting_Curves/meltCurve_Q9BQA9_2_C17orf62.pdf", "Melting_Curves/meltCurve_Q9BQA9_2_C17orf62.pdf")</f>
        <v>Melting_Curves/meltCurve_Q9BQA9_2_C17orf62.pdf</v>
      </c>
    </row>
    <row r="5161" spans="1:28" x14ac:dyDescent="0.25">
      <c r="A5161" t="s">
        <v>5165</v>
      </c>
      <c r="B5161">
        <v>0.99542014353169495</v>
      </c>
      <c r="C5161">
        <v>1.04741520434136</v>
      </c>
      <c r="D5161">
        <v>0.96515789243982097</v>
      </c>
      <c r="E5161">
        <v>0.88071836580188001</v>
      </c>
      <c r="F5161">
        <v>0.74713232226400506</v>
      </c>
      <c r="G5161">
        <v>0.49105889634940397</v>
      </c>
      <c r="H5161">
        <v>0.19302793215318401</v>
      </c>
      <c r="I5161">
        <v>0.118214007858205</v>
      </c>
      <c r="J5161">
        <v>9.0097096015643904E-2</v>
      </c>
      <c r="K5161">
        <v>7.2545522777667695E-2</v>
      </c>
      <c r="L5161">
        <v>931.76814061007894</v>
      </c>
      <c r="M5161">
        <v>17.573000791355</v>
      </c>
      <c r="N5161">
        <v>53.249753237947203</v>
      </c>
      <c r="O5161">
        <v>52.350384769444297</v>
      </c>
      <c r="P5161">
        <v>-8.0895759496613803E-2</v>
      </c>
      <c r="Q5161">
        <v>3.6090869348950998E-2</v>
      </c>
      <c r="R5161">
        <v>0.994784707065408</v>
      </c>
      <c r="S5161" t="s">
        <v>11563</v>
      </c>
      <c r="T5161" t="s">
        <v>12802</v>
      </c>
      <c r="U5161" t="s">
        <v>12802</v>
      </c>
      <c r="V5161" t="s">
        <v>12802</v>
      </c>
      <c r="W5161" t="s">
        <v>17899</v>
      </c>
      <c r="X5161">
        <v>10</v>
      </c>
      <c r="Y5161" t="s">
        <v>24114</v>
      </c>
      <c r="Z5161" t="s">
        <v>30479</v>
      </c>
      <c r="AA5161">
        <v>0.5653352341416461</v>
      </c>
      <c r="AB5161" t="str">
        <f>HYPERLINK("Melting_Curves/meltCurve_Q9BQC3_DPH2.pdf", "Melting_Curves/meltCurve_Q9BQC3_DPH2.pdf")</f>
        <v>Melting_Curves/meltCurve_Q9BQC3_DPH2.pdf</v>
      </c>
    </row>
    <row r="5162" spans="1:28" x14ac:dyDescent="0.25">
      <c r="A5162" t="s">
        <v>5166</v>
      </c>
      <c r="B5162">
        <v>0.99542014353169495</v>
      </c>
      <c r="C5162">
        <v>0.84660359302348998</v>
      </c>
      <c r="D5162">
        <v>0.93337265479356601</v>
      </c>
      <c r="E5162">
        <v>0.73466585312922605</v>
      </c>
      <c r="F5162">
        <v>0.57586677605092895</v>
      </c>
      <c r="G5162">
        <v>0.16151607459456799</v>
      </c>
      <c r="H5162">
        <v>7.2137486939646001E-2</v>
      </c>
      <c r="I5162">
        <v>4.6430243393447403E-2</v>
      </c>
      <c r="J5162">
        <v>4.6173921283524197E-2</v>
      </c>
      <c r="K5162">
        <v>3.7649427183003098E-2</v>
      </c>
      <c r="L5162">
        <v>834.09506052594304</v>
      </c>
      <c r="M5162">
        <v>16.689820446712599</v>
      </c>
      <c r="N5162">
        <v>49.976277146315802</v>
      </c>
      <c r="O5162">
        <v>49.275328415708898</v>
      </c>
      <c r="P5162">
        <v>-8.4681979343089506E-2</v>
      </c>
      <c r="Q5162">
        <v>0</v>
      </c>
      <c r="R5162">
        <v>0.97563379209227397</v>
      </c>
      <c r="S5162" t="s">
        <v>11564</v>
      </c>
      <c r="T5162" t="s">
        <v>12802</v>
      </c>
      <c r="U5162" t="s">
        <v>12802</v>
      </c>
      <c r="V5162" t="s">
        <v>12802</v>
      </c>
      <c r="W5162" t="s">
        <v>17900</v>
      </c>
      <c r="X5162">
        <v>5</v>
      </c>
      <c r="Y5162" t="s">
        <v>24115</v>
      </c>
      <c r="Z5162" t="s">
        <v>30480</v>
      </c>
      <c r="AA5162">
        <v>0.45034433552658037</v>
      </c>
      <c r="AB5162" t="str">
        <f>HYPERLINK("Melting_Curves/meltCurve_Q9BQG2_NUDT12.pdf", "Melting_Curves/meltCurve_Q9BQG2_NUDT12.pdf")</f>
        <v>Melting_Curves/meltCurve_Q9BQG2_NUDT12.pdf</v>
      </c>
    </row>
    <row r="5163" spans="1:28" x14ac:dyDescent="0.25">
      <c r="A5163" t="s">
        <v>5167</v>
      </c>
      <c r="B5163">
        <v>0.99542014353169495</v>
      </c>
      <c r="C5163">
        <v>1.06445395496424</v>
      </c>
      <c r="D5163">
        <v>0.95390886059368096</v>
      </c>
      <c r="E5163">
        <v>0.82957843345237303</v>
      </c>
      <c r="F5163">
        <v>0.63181819796118199</v>
      </c>
      <c r="G5163">
        <v>0.41331706963452602</v>
      </c>
      <c r="H5163">
        <v>0.225243116142778</v>
      </c>
      <c r="I5163">
        <v>0.123511895292425</v>
      </c>
      <c r="J5163">
        <v>0.12230577631386599</v>
      </c>
      <c r="K5163">
        <v>0.146710398373396</v>
      </c>
      <c r="L5163">
        <v>819.61842022088001</v>
      </c>
      <c r="M5163">
        <v>15.9527576228695</v>
      </c>
      <c r="N5163">
        <v>52.036290966388997</v>
      </c>
      <c r="O5163">
        <v>50.590847141912</v>
      </c>
      <c r="P5163">
        <v>-7.1632853933613003E-2</v>
      </c>
      <c r="Q5163">
        <v>9.1397405451860106E-2</v>
      </c>
      <c r="R5163">
        <v>0.99331720315429495</v>
      </c>
      <c r="S5163" t="s">
        <v>11565</v>
      </c>
      <c r="T5163" t="s">
        <v>12802</v>
      </c>
      <c r="U5163" t="s">
        <v>12802</v>
      </c>
      <c r="V5163" t="s">
        <v>12802</v>
      </c>
      <c r="W5163" t="s">
        <v>17901</v>
      </c>
      <c r="X5163">
        <v>4</v>
      </c>
      <c r="Y5163" t="s">
        <v>24116</v>
      </c>
      <c r="Z5163" t="s">
        <v>30481</v>
      </c>
      <c r="AA5163">
        <v>0.54345263333971905</v>
      </c>
      <c r="AB5163" t="str">
        <f>HYPERLINK("Melting_Curves/meltCurve_Q9BQI3_2_EIF2AK1.pdf", "Melting_Curves/meltCurve_Q9BQI3_2_EIF2AK1.pdf")</f>
        <v>Melting_Curves/meltCurve_Q9BQI3_2_EIF2AK1.pdf</v>
      </c>
    </row>
    <row r="5164" spans="1:28" x14ac:dyDescent="0.25">
      <c r="A5164" t="s">
        <v>5168</v>
      </c>
      <c r="B5164">
        <v>0.99542014353169495</v>
      </c>
      <c r="C5164">
        <v>0.98269246099214902</v>
      </c>
      <c r="D5164">
        <v>1.01853396762783</v>
      </c>
      <c r="E5164">
        <v>0.88875997597283196</v>
      </c>
      <c r="F5164">
        <v>0.62234762411651801</v>
      </c>
      <c r="G5164">
        <v>0.40444125945661702</v>
      </c>
      <c r="H5164">
        <v>0.30865239743778999</v>
      </c>
      <c r="I5164">
        <v>0.27391921033921102</v>
      </c>
      <c r="J5164">
        <v>0.211410521646751</v>
      </c>
      <c r="K5164">
        <v>0.18129063030339099</v>
      </c>
      <c r="L5164">
        <v>970.68645268496903</v>
      </c>
      <c r="M5164">
        <v>19.1404223821045</v>
      </c>
      <c r="N5164">
        <v>52.188784838856598</v>
      </c>
      <c r="O5164">
        <v>50.1701124396875</v>
      </c>
      <c r="P5164">
        <v>-7.5457292876380602E-2</v>
      </c>
      <c r="Q5164">
        <v>0.20888809963211699</v>
      </c>
      <c r="R5164">
        <v>0.99485666861034305</v>
      </c>
      <c r="S5164" t="s">
        <v>11566</v>
      </c>
      <c r="T5164" t="s">
        <v>12802</v>
      </c>
      <c r="U5164" t="s">
        <v>12802</v>
      </c>
      <c r="V5164" t="s">
        <v>12802</v>
      </c>
      <c r="W5164" t="s">
        <v>17902</v>
      </c>
      <c r="X5164">
        <v>1</v>
      </c>
      <c r="Y5164" t="s">
        <v>24117</v>
      </c>
      <c r="Z5164" t="s">
        <v>30482</v>
      </c>
      <c r="AA5164">
        <v>0.58170231314686538</v>
      </c>
      <c r="AB5164" t="str">
        <f>HYPERLINK("Melting_Curves/meltCurve_Q9BQK8_2_LPIN3.pdf", "Melting_Curves/meltCurve_Q9BQK8_2_LPIN3.pdf")</f>
        <v>Melting_Curves/meltCurve_Q9BQK8_2_LPIN3.pdf</v>
      </c>
    </row>
    <row r="5165" spans="1:28" x14ac:dyDescent="0.25">
      <c r="A5165" t="s">
        <v>5169</v>
      </c>
      <c r="B5165">
        <v>0.99542014353169495</v>
      </c>
      <c r="C5165">
        <v>1.0207271286745001</v>
      </c>
      <c r="D5165">
        <v>0.90205980521978002</v>
      </c>
      <c r="E5165">
        <v>0.83599800405665403</v>
      </c>
      <c r="F5165">
        <v>0.62311243012096795</v>
      </c>
      <c r="G5165">
        <v>0.37829832660111701</v>
      </c>
      <c r="H5165">
        <v>9.7947273944746893E-2</v>
      </c>
      <c r="I5165">
        <v>4.5937041863153297E-2</v>
      </c>
      <c r="J5165">
        <v>4.4488665780870497E-2</v>
      </c>
      <c r="K5165">
        <v>5.7579912100720901E-2</v>
      </c>
      <c r="L5165">
        <v>846.566900403972</v>
      </c>
      <c r="M5165">
        <v>16.4190744586591</v>
      </c>
      <c r="N5165">
        <v>51.559964781336497</v>
      </c>
      <c r="O5165">
        <v>50.813335844234103</v>
      </c>
      <c r="P5165">
        <v>-8.0787049164410804E-2</v>
      </c>
      <c r="Q5165">
        <v>0</v>
      </c>
      <c r="R5165">
        <v>0.992127583960982</v>
      </c>
      <c r="S5165" t="s">
        <v>11567</v>
      </c>
      <c r="T5165" t="s">
        <v>12802</v>
      </c>
      <c r="U5165" t="s">
        <v>12802</v>
      </c>
      <c r="V5165" t="s">
        <v>12802</v>
      </c>
      <c r="W5165" t="s">
        <v>17903</v>
      </c>
      <c r="X5165">
        <v>9</v>
      </c>
      <c r="Y5165" t="s">
        <v>24118</v>
      </c>
      <c r="Z5165" t="s">
        <v>30483</v>
      </c>
      <c r="AA5165">
        <v>0.50277886814087891</v>
      </c>
      <c r="AB5165" t="str">
        <f>HYPERLINK("Melting_Curves/meltCurve_Q9BQP7_MGME1.pdf", "Melting_Curves/meltCurve_Q9BQP7_MGME1.pdf")</f>
        <v>Melting_Curves/meltCurve_Q9BQP7_MGME1.pdf</v>
      </c>
    </row>
    <row r="5166" spans="1:28" x14ac:dyDescent="0.25">
      <c r="A5166" t="s">
        <v>5170</v>
      </c>
      <c r="B5166">
        <v>0.99542014353169495</v>
      </c>
      <c r="C5166">
        <v>0.96401426140701796</v>
      </c>
      <c r="D5166">
        <v>1.0179859560722599</v>
      </c>
      <c r="E5166">
        <v>0.81646505247571499</v>
      </c>
      <c r="F5166">
        <v>0.73739835186315705</v>
      </c>
      <c r="G5166">
        <v>0.419610098301339</v>
      </c>
      <c r="H5166">
        <v>0.21633413317192399</v>
      </c>
      <c r="I5166">
        <v>0.154694872804131</v>
      </c>
      <c r="J5166">
        <v>0.16406939963425299</v>
      </c>
      <c r="K5166">
        <v>0</v>
      </c>
      <c r="L5166">
        <v>781.54592425290002</v>
      </c>
      <c r="M5166">
        <v>14.827848961903999</v>
      </c>
      <c r="N5166">
        <v>52.879449992246698</v>
      </c>
      <c r="O5166">
        <v>51.777159075629797</v>
      </c>
      <c r="P5166">
        <v>-6.9921441000360796E-2</v>
      </c>
      <c r="Q5166">
        <v>2.34724003714663E-2</v>
      </c>
      <c r="R5166">
        <v>0.98521122765889202</v>
      </c>
      <c r="S5166" t="s">
        <v>11568</v>
      </c>
      <c r="T5166" t="s">
        <v>12802</v>
      </c>
      <c r="U5166" t="s">
        <v>12802</v>
      </c>
      <c r="V5166" t="s">
        <v>12802</v>
      </c>
      <c r="W5166" t="s">
        <v>17904</v>
      </c>
      <c r="X5166">
        <v>2</v>
      </c>
      <c r="Y5166" t="s">
        <v>24119</v>
      </c>
      <c r="Z5166" t="s">
        <v>30484</v>
      </c>
      <c r="AA5166">
        <v>0.55282042602520465</v>
      </c>
      <c r="AB5166" t="str">
        <f>HYPERLINK("Melting_Curves/meltCurve_Q9BQQ3_GORASP1.pdf", "Melting_Curves/meltCurve_Q9BQQ3_GORASP1.pdf")</f>
        <v>Melting_Curves/meltCurve_Q9BQQ3_GORASP1.pdf</v>
      </c>
    </row>
    <row r="5167" spans="1:28" x14ac:dyDescent="0.25">
      <c r="A5167" t="s">
        <v>5171</v>
      </c>
      <c r="B5167">
        <v>0.99542014353169495</v>
      </c>
      <c r="C5167">
        <v>0.95475945724690203</v>
      </c>
      <c r="D5167">
        <v>1.0186628474883901</v>
      </c>
      <c r="E5167">
        <v>0.779083731241069</v>
      </c>
      <c r="F5167">
        <v>0.573442096303447</v>
      </c>
      <c r="G5167">
        <v>0.27302802900915701</v>
      </c>
      <c r="H5167">
        <v>0.18642456268461099</v>
      </c>
      <c r="I5167">
        <v>0.114783441003442</v>
      </c>
      <c r="J5167">
        <v>0.12137494442826199</v>
      </c>
      <c r="K5167">
        <v>0.116849680064952</v>
      </c>
      <c r="L5167">
        <v>937.76940789988896</v>
      </c>
      <c r="M5167">
        <v>18.7214888402405</v>
      </c>
      <c r="N5167">
        <v>50.699861302742399</v>
      </c>
      <c r="O5167">
        <v>49.529525338087701</v>
      </c>
      <c r="P5167">
        <v>-8.4980439053224499E-2</v>
      </c>
      <c r="Q5167">
        <v>0.100741920496054</v>
      </c>
      <c r="R5167">
        <v>0.99378148376641395</v>
      </c>
      <c r="S5167" t="s">
        <v>11569</v>
      </c>
      <c r="T5167" t="s">
        <v>12802</v>
      </c>
      <c r="U5167" t="s">
        <v>12802</v>
      </c>
      <c r="V5167" t="s">
        <v>12802</v>
      </c>
      <c r="W5167" t="s">
        <v>17905</v>
      </c>
      <c r="X5167">
        <v>10</v>
      </c>
      <c r="Y5167" t="s">
        <v>24120</v>
      </c>
      <c r="Z5167" t="s">
        <v>30485</v>
      </c>
      <c r="AA5167">
        <v>0.50639149799446803</v>
      </c>
      <c r="AB5167" t="str">
        <f>HYPERLINK("Melting_Curves/meltCurve_Q9BQS7_2_HEPH.pdf", "Melting_Curves/meltCurve_Q9BQS7_2_HEPH.pdf")</f>
        <v>Melting_Curves/meltCurve_Q9BQS7_2_HEPH.pdf</v>
      </c>
    </row>
    <row r="5168" spans="1:28" x14ac:dyDescent="0.25">
      <c r="A5168" t="s">
        <v>5172</v>
      </c>
      <c r="B5168">
        <v>0.99542014353169495</v>
      </c>
      <c r="C5168">
        <v>1.0298644555610701</v>
      </c>
      <c r="D5168">
        <v>0.96733043274846797</v>
      </c>
      <c r="E5168">
        <v>0.638491885754777</v>
      </c>
      <c r="F5168">
        <v>0.21750037791568799</v>
      </c>
      <c r="G5168">
        <v>7.4907229363215699E-2</v>
      </c>
      <c r="H5168">
        <v>5.3635600681126501E-2</v>
      </c>
      <c r="I5168">
        <v>3.05513362083185E-2</v>
      </c>
      <c r="J5168">
        <v>3.6375311224420302E-2</v>
      </c>
      <c r="K5168">
        <v>2.7465897660566702E-2</v>
      </c>
      <c r="L5168">
        <v>1331.0962740826601</v>
      </c>
      <c r="M5168">
        <v>28.015773885892902</v>
      </c>
      <c r="N5168">
        <v>47.639091610219303</v>
      </c>
      <c r="O5168">
        <v>47.2722860532499</v>
      </c>
      <c r="P5168">
        <v>-0.14284375619856901</v>
      </c>
      <c r="Q5168">
        <v>3.5901252037802901E-2</v>
      </c>
      <c r="R5168">
        <v>0.99899680958970505</v>
      </c>
      <c r="S5168" t="s">
        <v>11570</v>
      </c>
      <c r="T5168" t="s">
        <v>12802</v>
      </c>
      <c r="U5168" t="s">
        <v>12802</v>
      </c>
      <c r="V5168" t="s">
        <v>12802</v>
      </c>
      <c r="W5168" t="s">
        <v>17906</v>
      </c>
      <c r="X5168">
        <v>16</v>
      </c>
      <c r="Y5168" t="s">
        <v>24121</v>
      </c>
      <c r="Z5168" t="s">
        <v>30486</v>
      </c>
      <c r="AA5168">
        <v>0.38022725027403281</v>
      </c>
      <c r="AB5168" t="str">
        <f>HYPERLINK("Melting_Curves/meltCurve_Q9BQS8_FYCO1.pdf", "Melting_Curves/meltCurve_Q9BQS8_FYCO1.pdf")</f>
        <v>Melting_Curves/meltCurve_Q9BQS8_FYCO1.pdf</v>
      </c>
    </row>
    <row r="5169" spans="1:28" x14ac:dyDescent="0.25">
      <c r="A5169" t="s">
        <v>5173</v>
      </c>
      <c r="B5169">
        <v>0.99542014353169495</v>
      </c>
      <c r="C5169">
        <v>0.87784075578336296</v>
      </c>
      <c r="D5169">
        <v>0.94076464731151199</v>
      </c>
      <c r="E5169">
        <v>0.84584596541235102</v>
      </c>
      <c r="F5169">
        <v>0.77571579660949497</v>
      </c>
      <c r="G5169">
        <v>0.52387728253438204</v>
      </c>
      <c r="H5169">
        <v>0.59005436506599196</v>
      </c>
      <c r="I5169">
        <v>0.46121206095905098</v>
      </c>
      <c r="J5169">
        <v>0.70575627058129997</v>
      </c>
      <c r="K5169">
        <v>0.87345618295933003</v>
      </c>
      <c r="L5169">
        <v>1038.3084195920901</v>
      </c>
      <c r="M5169">
        <v>22.083640965880001</v>
      </c>
      <c r="O5169">
        <v>46.6366415129581</v>
      </c>
      <c r="P5169">
        <v>-4.2953699058251499E-2</v>
      </c>
      <c r="Q5169">
        <v>0.63716631322962103</v>
      </c>
      <c r="R5169">
        <v>0.56215623215782695</v>
      </c>
      <c r="S5169" t="s">
        <v>11571</v>
      </c>
      <c r="T5169" t="s">
        <v>12802</v>
      </c>
      <c r="U5169" t="s">
        <v>12802</v>
      </c>
      <c r="V5169" t="s">
        <v>12802</v>
      </c>
      <c r="W5169" t="s">
        <v>17907</v>
      </c>
      <c r="X5169">
        <v>8</v>
      </c>
      <c r="Y5169" t="s">
        <v>24122</v>
      </c>
      <c r="Z5169" t="s">
        <v>30487</v>
      </c>
      <c r="AA5169">
        <v>0.76222401307208676</v>
      </c>
      <c r="AB5169" t="str">
        <f>HYPERLINK("Melting_Curves/meltCurve_Q9BQT8_2_SLC25A21.pdf", "Melting_Curves/meltCurve_Q9BQT8_2_SLC25A21.pdf")</f>
        <v>Melting_Curves/meltCurve_Q9BQT8_2_SLC25A21.pdf</v>
      </c>
    </row>
    <row r="5170" spans="1:28" x14ac:dyDescent="0.25">
      <c r="A5170" t="s">
        <v>5174</v>
      </c>
      <c r="B5170">
        <v>0.99542014353169495</v>
      </c>
      <c r="C5170">
        <v>0.82234974606768496</v>
      </c>
      <c r="D5170">
        <v>0.66114858732710402</v>
      </c>
      <c r="E5170">
        <v>0.48659428581672298</v>
      </c>
      <c r="F5170">
        <v>0.30940306219584102</v>
      </c>
      <c r="G5170">
        <v>0.18445749534263001</v>
      </c>
      <c r="H5170">
        <v>9.7002994280009996E-2</v>
      </c>
      <c r="I5170">
        <v>7.4729691043369698E-2</v>
      </c>
      <c r="J5170">
        <v>7.6052402412643605E-2</v>
      </c>
      <c r="K5170">
        <v>8.1021798302512105E-2</v>
      </c>
      <c r="L5170">
        <v>521.02666463994694</v>
      </c>
      <c r="M5170">
        <v>11.3880426309687</v>
      </c>
      <c r="N5170">
        <v>46.053572379214003</v>
      </c>
      <c r="O5170">
        <v>44.409434288774499</v>
      </c>
      <c r="P5170">
        <v>-6.1823741601062097E-2</v>
      </c>
      <c r="Q5170">
        <v>3.5919574659081001E-2</v>
      </c>
      <c r="R5170">
        <v>0.99406093545683605</v>
      </c>
      <c r="S5170" t="s">
        <v>11572</v>
      </c>
      <c r="T5170" t="s">
        <v>12802</v>
      </c>
      <c r="U5170" t="s">
        <v>12802</v>
      </c>
      <c r="V5170" t="s">
        <v>12802</v>
      </c>
      <c r="W5170" t="s">
        <v>17908</v>
      </c>
      <c r="X5170">
        <v>1</v>
      </c>
      <c r="Y5170" t="s">
        <v>24123</v>
      </c>
      <c r="Z5170" t="s">
        <v>30488</v>
      </c>
      <c r="AA5170">
        <v>0.35399248782078441</v>
      </c>
      <c r="AB5170" t="str">
        <f>HYPERLINK("Melting_Curves/meltCurve_Q9BQY4_RHOXF2.pdf", "Melting_Curves/meltCurve_Q9BQY4_RHOXF2.pdf")</f>
        <v>Melting_Curves/meltCurve_Q9BQY4_RHOXF2.pdf</v>
      </c>
    </row>
    <row r="5171" spans="1:28" x14ac:dyDescent="0.25">
      <c r="A5171" t="s">
        <v>5175</v>
      </c>
      <c r="B5171">
        <v>0.99542014353169495</v>
      </c>
      <c r="C5171">
        <v>0.95281269934505097</v>
      </c>
      <c r="D5171">
        <v>0.83269862845070497</v>
      </c>
      <c r="E5171">
        <v>0.41631574491161</v>
      </c>
      <c r="F5171">
        <v>0.16835416115636401</v>
      </c>
      <c r="G5171">
        <v>0.10568795789992</v>
      </c>
      <c r="H5171">
        <v>6.7552619034473696E-2</v>
      </c>
      <c r="I5171">
        <v>4.3639950397217998E-2</v>
      </c>
      <c r="J5171">
        <v>4.5350277792326997E-2</v>
      </c>
      <c r="K5171">
        <v>4.8146182466789998E-2</v>
      </c>
      <c r="L5171">
        <v>1031.17009992117</v>
      </c>
      <c r="M5171">
        <v>22.545730319219</v>
      </c>
      <c r="N5171">
        <v>45.961930181697198</v>
      </c>
      <c r="O5171">
        <v>45.381543033617803</v>
      </c>
      <c r="P5171">
        <v>-0.11771114530351599</v>
      </c>
      <c r="Q5171">
        <v>5.2271579788660198E-2</v>
      </c>
      <c r="R5171">
        <v>0.99909202415409404</v>
      </c>
      <c r="S5171" t="s">
        <v>11573</v>
      </c>
      <c r="T5171" t="s">
        <v>12802</v>
      </c>
      <c r="U5171" t="s">
        <v>12802</v>
      </c>
      <c r="V5171" t="s">
        <v>12802</v>
      </c>
      <c r="W5171" t="s">
        <v>17909</v>
      </c>
      <c r="X5171">
        <v>8</v>
      </c>
      <c r="Y5171" t="s">
        <v>24124</v>
      </c>
      <c r="Z5171" t="s">
        <v>30489</v>
      </c>
      <c r="AA5171">
        <v>0.33796510268952562</v>
      </c>
      <c r="AB5171" t="str">
        <f>HYPERLINK("Melting_Curves/meltCurve_Q9BR61_ACBD6.pdf", "Melting_Curves/meltCurve_Q9BR61_ACBD6.pdf")</f>
        <v>Melting_Curves/meltCurve_Q9BR61_ACBD6.pdf</v>
      </c>
    </row>
    <row r="5172" spans="1:28" x14ac:dyDescent="0.25">
      <c r="A5172" t="s">
        <v>5176</v>
      </c>
      <c r="B5172">
        <v>0.99542014353169495</v>
      </c>
      <c r="C5172">
        <v>1.0119815611609999</v>
      </c>
      <c r="D5172">
        <v>0.99358890441506897</v>
      </c>
      <c r="E5172">
        <v>0.87967978650233103</v>
      </c>
      <c r="F5172">
        <v>0.58140405519612604</v>
      </c>
      <c r="G5172">
        <v>0.143684650566547</v>
      </c>
      <c r="H5172">
        <v>7.38165396282386E-2</v>
      </c>
      <c r="I5172">
        <v>4.7347793192220301E-2</v>
      </c>
      <c r="J5172">
        <v>4.98259534142588E-2</v>
      </c>
      <c r="K5172">
        <v>4.6550075933127801E-2</v>
      </c>
      <c r="L5172">
        <v>1462.57381112249</v>
      </c>
      <c r="M5172">
        <v>28.993306133471702</v>
      </c>
      <c r="N5172">
        <v>50.592898233306599</v>
      </c>
      <c r="O5172">
        <v>50.207069495545397</v>
      </c>
      <c r="P5172">
        <v>-0.13851217248731801</v>
      </c>
      <c r="Q5172">
        <v>4.05732478122285E-2</v>
      </c>
      <c r="R5172">
        <v>0.99799478393692798</v>
      </c>
      <c r="S5172" t="s">
        <v>11574</v>
      </c>
      <c r="T5172" t="s">
        <v>12802</v>
      </c>
      <c r="U5172" t="s">
        <v>12802</v>
      </c>
      <c r="V5172" t="s">
        <v>12802</v>
      </c>
      <c r="W5172" t="s">
        <v>17910</v>
      </c>
      <c r="X5172">
        <v>23</v>
      </c>
      <c r="Y5172" t="s">
        <v>24125</v>
      </c>
      <c r="Z5172" t="s">
        <v>30490</v>
      </c>
      <c r="AA5172">
        <v>0.47690191758890388</v>
      </c>
      <c r="AB5172" t="str">
        <f>HYPERLINK("Melting_Curves/meltCurve_Q9BR76_CORO1B.pdf", "Melting_Curves/meltCurve_Q9BR76_CORO1B.pdf")</f>
        <v>Melting_Curves/meltCurve_Q9BR76_CORO1B.pdf</v>
      </c>
    </row>
    <row r="5173" spans="1:28" x14ac:dyDescent="0.25">
      <c r="A5173" t="s">
        <v>5177</v>
      </c>
      <c r="B5173">
        <v>0.99542014353169495</v>
      </c>
      <c r="C5173">
        <v>0.99990103224190896</v>
      </c>
      <c r="D5173">
        <v>0.90627452823099897</v>
      </c>
      <c r="E5173">
        <v>0.88805497685813894</v>
      </c>
      <c r="F5173">
        <v>0.49788265349642802</v>
      </c>
      <c r="G5173">
        <v>0.24803504965249401</v>
      </c>
      <c r="H5173">
        <v>9.7841451152780201E-2</v>
      </c>
      <c r="I5173">
        <v>7.1865143069342899E-2</v>
      </c>
      <c r="J5173">
        <v>7.9515975055276897E-2</v>
      </c>
      <c r="K5173">
        <v>8.8577928776734802E-2</v>
      </c>
      <c r="L5173">
        <v>1143.9278182717901</v>
      </c>
      <c r="M5173">
        <v>22.8637132481654</v>
      </c>
      <c r="N5173">
        <v>50.364512665011802</v>
      </c>
      <c r="O5173">
        <v>49.654431523202398</v>
      </c>
      <c r="P5173">
        <v>-0.107062271989533</v>
      </c>
      <c r="Q5173">
        <v>6.9964839572148496E-2</v>
      </c>
      <c r="R5173">
        <v>0.99487513436206798</v>
      </c>
      <c r="S5173" t="s">
        <v>11575</v>
      </c>
      <c r="T5173" t="s">
        <v>12802</v>
      </c>
      <c r="U5173" t="s">
        <v>12802</v>
      </c>
      <c r="V5173" t="s">
        <v>12802</v>
      </c>
      <c r="W5173" t="s">
        <v>17911</v>
      </c>
      <c r="X5173">
        <v>7</v>
      </c>
      <c r="Y5173" t="s">
        <v>24126</v>
      </c>
      <c r="Z5173" t="s">
        <v>30491</v>
      </c>
      <c r="AA5173">
        <v>0.48360919765202759</v>
      </c>
      <c r="AB5173" t="str">
        <f>HYPERLINK("Melting_Curves/meltCurve_Q9BRA2_TXNDC17.pdf", "Melting_Curves/meltCurve_Q9BRA2_TXNDC17.pdf")</f>
        <v>Melting_Curves/meltCurve_Q9BRA2_TXNDC17.pdf</v>
      </c>
    </row>
    <row r="5174" spans="1:28" x14ac:dyDescent="0.25">
      <c r="A5174" t="s">
        <v>5178</v>
      </c>
      <c r="B5174">
        <v>0.99542014353169495</v>
      </c>
      <c r="C5174">
        <v>0.87040148358126801</v>
      </c>
      <c r="D5174">
        <v>0.85952564297435896</v>
      </c>
      <c r="E5174">
        <v>0.72913728797239197</v>
      </c>
      <c r="F5174">
        <v>0.60736945046098001</v>
      </c>
      <c r="G5174">
        <v>0.55471405366779603</v>
      </c>
      <c r="H5174">
        <v>0.37447011870424501</v>
      </c>
      <c r="I5174">
        <v>0.32369832803459198</v>
      </c>
      <c r="J5174">
        <v>0.47750567800822602</v>
      </c>
      <c r="K5174">
        <v>0.55581426132956802</v>
      </c>
      <c r="L5174">
        <v>580.46264557357495</v>
      </c>
      <c r="M5174">
        <v>12.454425472463999</v>
      </c>
      <c r="N5174">
        <v>54.713464628729803</v>
      </c>
      <c r="O5174">
        <v>45.4542701380484</v>
      </c>
      <c r="P5174">
        <v>-3.9668923936708997E-2</v>
      </c>
      <c r="Q5174">
        <v>0.42101026015082399</v>
      </c>
      <c r="R5174">
        <v>0.89069126506915897</v>
      </c>
      <c r="S5174" t="s">
        <v>11576</v>
      </c>
      <c r="T5174" t="s">
        <v>12802</v>
      </c>
      <c r="U5174" t="s">
        <v>12802</v>
      </c>
      <c r="V5174" t="s">
        <v>12802</v>
      </c>
      <c r="W5174" t="s">
        <v>17912</v>
      </c>
      <c r="X5174">
        <v>5</v>
      </c>
      <c r="Y5174" t="s">
        <v>24127</v>
      </c>
      <c r="Z5174" t="s">
        <v>30492</v>
      </c>
      <c r="AA5174">
        <v>0.62465232394505499</v>
      </c>
      <c r="AB5174" t="str">
        <f>HYPERLINK("Melting_Curves/meltCurve_Q9BRD0_BUD13.pdf", "Melting_Curves/meltCurve_Q9BRD0_BUD13.pdf")</f>
        <v>Melting_Curves/meltCurve_Q9BRD0_BUD13.pdf</v>
      </c>
    </row>
    <row r="5175" spans="1:28" x14ac:dyDescent="0.25">
      <c r="A5175" t="s">
        <v>5179</v>
      </c>
      <c r="B5175">
        <v>0.99542014353169495</v>
      </c>
      <c r="C5175">
        <v>1.0501629370660099</v>
      </c>
      <c r="D5175">
        <v>0.78646487665891995</v>
      </c>
      <c r="E5175">
        <v>0.88480545064898997</v>
      </c>
      <c r="F5175">
        <v>0.65251431581451402</v>
      </c>
      <c r="G5175">
        <v>0.61989758665543504</v>
      </c>
      <c r="H5175">
        <v>0.42631042352112702</v>
      </c>
      <c r="I5175">
        <v>0.43876913959478098</v>
      </c>
      <c r="J5175">
        <v>0.54046699402413001</v>
      </c>
      <c r="K5175">
        <v>0.59422767252014796</v>
      </c>
      <c r="L5175">
        <v>719.34015341075497</v>
      </c>
      <c r="M5175">
        <v>14.993775882292599</v>
      </c>
      <c r="O5175">
        <v>47.146783030650603</v>
      </c>
      <c r="P5175">
        <v>-4.0284764283542003E-2</v>
      </c>
      <c r="Q5175">
        <v>0.49336181240249699</v>
      </c>
      <c r="R5175">
        <v>0.86306091099267401</v>
      </c>
      <c r="S5175" t="s">
        <v>11577</v>
      </c>
      <c r="T5175" t="s">
        <v>12802</v>
      </c>
      <c r="U5175" t="s">
        <v>12802</v>
      </c>
      <c r="V5175" t="s">
        <v>12802</v>
      </c>
      <c r="W5175" t="s">
        <v>17913</v>
      </c>
      <c r="X5175">
        <v>10</v>
      </c>
      <c r="Y5175" t="s">
        <v>24128</v>
      </c>
      <c r="Z5175" t="s">
        <v>30493</v>
      </c>
      <c r="AA5175">
        <v>0.68989475507076936</v>
      </c>
      <c r="AB5175" t="str">
        <f>HYPERLINK("Melting_Curves/meltCurve_Q9BRF8_CPPED1.pdf", "Melting_Curves/meltCurve_Q9BRF8_CPPED1.pdf")</f>
        <v>Melting_Curves/meltCurve_Q9BRF8_CPPED1.pdf</v>
      </c>
    </row>
    <row r="5176" spans="1:28" x14ac:dyDescent="0.25">
      <c r="A5176" t="s">
        <v>5180</v>
      </c>
      <c r="B5176">
        <v>0.99542014353169495</v>
      </c>
      <c r="C5176">
        <v>1.0005158401312799</v>
      </c>
      <c r="D5176">
        <v>0.84412136817692096</v>
      </c>
      <c r="E5176">
        <v>0.72069885544906598</v>
      </c>
      <c r="F5176">
        <v>0.55315228807904404</v>
      </c>
      <c r="G5176">
        <v>0.27937246233739998</v>
      </c>
      <c r="H5176">
        <v>0.128745060022251</v>
      </c>
      <c r="I5176">
        <v>7.8484144858459504E-2</v>
      </c>
      <c r="J5176">
        <v>8.0419310548648995E-2</v>
      </c>
      <c r="K5176">
        <v>9.2143735562696297E-2</v>
      </c>
      <c r="L5176">
        <v>673.77646416385801</v>
      </c>
      <c r="M5176">
        <v>13.490292899300901</v>
      </c>
      <c r="N5176">
        <v>50.132510522248701</v>
      </c>
      <c r="O5176">
        <v>48.886100090315402</v>
      </c>
      <c r="P5176">
        <v>-6.7303653458384696E-2</v>
      </c>
      <c r="Q5176">
        <v>2.45697345306665E-2</v>
      </c>
      <c r="R5176">
        <v>0.99157884575401301</v>
      </c>
      <c r="S5176" t="s">
        <v>11578</v>
      </c>
      <c r="T5176" t="s">
        <v>12802</v>
      </c>
      <c r="U5176" t="s">
        <v>12802</v>
      </c>
      <c r="V5176" t="s">
        <v>12802</v>
      </c>
      <c r="W5176" t="s">
        <v>17914</v>
      </c>
      <c r="X5176">
        <v>6</v>
      </c>
      <c r="Y5176" t="s">
        <v>24129</v>
      </c>
      <c r="Z5176" t="s">
        <v>30494</v>
      </c>
      <c r="AA5176">
        <v>0.46914532960436001</v>
      </c>
      <c r="AB5176" t="str">
        <f>HYPERLINK("Melting_Curves/meltCurve_Q9BRG1_VPS25.pdf", "Melting_Curves/meltCurve_Q9BRG1_VPS25.pdf")</f>
        <v>Melting_Curves/meltCurve_Q9BRG1_VPS25.pdf</v>
      </c>
    </row>
    <row r="5177" spans="1:28" x14ac:dyDescent="0.25">
      <c r="A5177" t="s">
        <v>5181</v>
      </c>
      <c r="B5177">
        <v>0.99542014353169495</v>
      </c>
      <c r="C5177">
        <v>0.95625993258558994</v>
      </c>
      <c r="D5177">
        <v>0.79772309374740202</v>
      </c>
      <c r="E5177">
        <v>0.45450965486288403</v>
      </c>
      <c r="F5177">
        <v>0.27054361964030499</v>
      </c>
      <c r="G5177">
        <v>0.153333668413034</v>
      </c>
      <c r="H5177">
        <v>8.2415121196989002E-2</v>
      </c>
      <c r="I5177">
        <v>7.4560696758645295E-2</v>
      </c>
      <c r="J5177">
        <v>4.6295328251894703E-2</v>
      </c>
      <c r="K5177">
        <v>1.7634096834255202E-2</v>
      </c>
      <c r="L5177">
        <v>753.64450747807496</v>
      </c>
      <c r="M5177">
        <v>16.292619460459299</v>
      </c>
      <c r="N5177">
        <v>46.5078992870584</v>
      </c>
      <c r="O5177">
        <v>45.576785651503698</v>
      </c>
      <c r="P5177">
        <v>-8.5612631913287093E-2</v>
      </c>
      <c r="Q5177">
        <v>4.2102829272811199E-2</v>
      </c>
      <c r="R5177">
        <v>0.99683870897072102</v>
      </c>
      <c r="S5177" t="s">
        <v>11579</v>
      </c>
      <c r="T5177" t="s">
        <v>12802</v>
      </c>
      <c r="U5177" t="s">
        <v>12802</v>
      </c>
      <c r="V5177" t="s">
        <v>12802</v>
      </c>
      <c r="W5177" t="s">
        <v>17915</v>
      </c>
      <c r="X5177">
        <v>1</v>
      </c>
      <c r="Y5177" t="s">
        <v>24130</v>
      </c>
      <c r="Z5177" t="s">
        <v>30495</v>
      </c>
      <c r="AA5177">
        <v>0.35643188622851157</v>
      </c>
      <c r="AB5177" t="str">
        <f>HYPERLINK("Melting_Curves/meltCurve_Q9BRJ2_MRPL45.pdf", "Melting_Curves/meltCurve_Q9BRJ2_MRPL45.pdf")</f>
        <v>Melting_Curves/meltCurve_Q9BRJ2_MRPL45.pdf</v>
      </c>
    </row>
    <row r="5178" spans="1:28" x14ac:dyDescent="0.25">
      <c r="A5178" t="s">
        <v>5182</v>
      </c>
      <c r="B5178">
        <v>0.99542014353169495</v>
      </c>
      <c r="C5178">
        <v>0.92779605793498898</v>
      </c>
      <c r="D5178">
        <v>0.89083263569928905</v>
      </c>
      <c r="E5178">
        <v>0.70305482300787803</v>
      </c>
      <c r="F5178">
        <v>0.492386073467042</v>
      </c>
      <c r="G5178">
        <v>0.267619377734158</v>
      </c>
      <c r="H5178">
        <v>0.18430958061654301</v>
      </c>
      <c r="I5178">
        <v>0.151599295433132</v>
      </c>
      <c r="J5178">
        <v>0.23097849137693999</v>
      </c>
      <c r="K5178">
        <v>0.28188519388204297</v>
      </c>
      <c r="L5178">
        <v>844.35003411993102</v>
      </c>
      <c r="M5178">
        <v>17.5885909289312</v>
      </c>
      <c r="N5178">
        <v>49.381753900883197</v>
      </c>
      <c r="O5178">
        <v>47.397895882740102</v>
      </c>
      <c r="P5178">
        <v>-7.48016653842596E-2</v>
      </c>
      <c r="Q5178">
        <v>0.19373874217460399</v>
      </c>
      <c r="R5178">
        <v>0.980604344372764</v>
      </c>
      <c r="S5178" t="s">
        <v>11580</v>
      </c>
      <c r="T5178" t="s">
        <v>12802</v>
      </c>
      <c r="U5178" t="s">
        <v>12802</v>
      </c>
      <c r="V5178" t="s">
        <v>12802</v>
      </c>
      <c r="W5178" t="s">
        <v>17916</v>
      </c>
      <c r="X5178">
        <v>16</v>
      </c>
      <c r="Y5178" t="s">
        <v>24131</v>
      </c>
      <c r="Z5178" t="s">
        <v>30496</v>
      </c>
      <c r="AA5178">
        <v>0.50295747202507457</v>
      </c>
      <c r="AB5178" t="str">
        <f>HYPERLINK("Melting_Curves/meltCurve_Q9BRK5_SDF4.pdf", "Melting_Curves/meltCurve_Q9BRK5_SDF4.pdf")</f>
        <v>Melting_Curves/meltCurve_Q9BRK5_SDF4.pdf</v>
      </c>
    </row>
    <row r="5179" spans="1:28" x14ac:dyDescent="0.25">
      <c r="A5179" t="s">
        <v>5183</v>
      </c>
      <c r="B5179">
        <v>0.99542014353169495</v>
      </c>
      <c r="C5179">
        <v>0.89037965867940705</v>
      </c>
      <c r="D5179">
        <v>0.67412621938066897</v>
      </c>
      <c r="E5179">
        <v>0.55285194283392103</v>
      </c>
      <c r="F5179">
        <v>0.43907255362279102</v>
      </c>
      <c r="G5179">
        <v>0.24824309551968099</v>
      </c>
      <c r="H5179">
        <v>9.8222260116316795E-2</v>
      </c>
      <c r="I5179">
        <v>7.0810596260401606E-2</v>
      </c>
      <c r="J5179">
        <v>0.10471644719631699</v>
      </c>
      <c r="K5179">
        <v>0.14524111718602001</v>
      </c>
      <c r="L5179">
        <v>498.92209237876699</v>
      </c>
      <c r="M5179">
        <v>10.602675046373999</v>
      </c>
      <c r="N5179">
        <v>47.463503715084499</v>
      </c>
      <c r="O5179">
        <v>45.4748701515311</v>
      </c>
      <c r="P5179">
        <v>-5.5775935862136701E-2</v>
      </c>
      <c r="Q5179">
        <v>4.3479936143929601E-2</v>
      </c>
      <c r="R5179">
        <v>0.97808791217024704</v>
      </c>
      <c r="S5179" t="s">
        <v>11581</v>
      </c>
      <c r="T5179" t="s">
        <v>12802</v>
      </c>
      <c r="U5179" t="s">
        <v>12802</v>
      </c>
      <c r="V5179" t="s">
        <v>12802</v>
      </c>
      <c r="W5179" t="s">
        <v>17917</v>
      </c>
      <c r="X5179">
        <v>3</v>
      </c>
      <c r="Y5179" t="s">
        <v>24132</v>
      </c>
      <c r="Z5179" t="s">
        <v>30497</v>
      </c>
      <c r="AA5179">
        <v>0.40194593318293981</v>
      </c>
      <c r="AB5179" t="str">
        <f>HYPERLINK("Melting_Curves/meltCurve_Q9BRL6_2_SRSF8.pdf", "Melting_Curves/meltCurve_Q9BRL6_2_SRSF8.pdf")</f>
        <v>Melting_Curves/meltCurve_Q9BRL6_2_SRSF8.pdf</v>
      </c>
    </row>
    <row r="5180" spans="1:28" x14ac:dyDescent="0.25">
      <c r="A5180" t="s">
        <v>5184</v>
      </c>
      <c r="B5180">
        <v>0.99542014353169495</v>
      </c>
      <c r="C5180">
        <v>1.0458515921340099</v>
      </c>
      <c r="D5180">
        <v>1.0658442047507299</v>
      </c>
      <c r="E5180">
        <v>0.90149953434163099</v>
      </c>
      <c r="F5180">
        <v>0.40945891300811899</v>
      </c>
      <c r="G5180">
        <v>0.12576808297224301</v>
      </c>
      <c r="H5180">
        <v>7.6709428506970101E-2</v>
      </c>
      <c r="I5180">
        <v>4.75019003170047E-2</v>
      </c>
      <c r="J5180">
        <v>4.4293822905684399E-2</v>
      </c>
      <c r="K5180">
        <v>4.9250489745552802E-2</v>
      </c>
      <c r="L5180">
        <v>1711.02664837214</v>
      </c>
      <c r="M5180">
        <v>34.568109900261597</v>
      </c>
      <c r="N5180">
        <v>49.663704160297897</v>
      </c>
      <c r="O5180">
        <v>49.332488458669403</v>
      </c>
      <c r="P5180">
        <v>-0.16559798871242001</v>
      </c>
      <c r="Q5180">
        <v>5.4697445683318399E-2</v>
      </c>
      <c r="R5180">
        <v>0.99600021952628903</v>
      </c>
      <c r="S5180" t="s">
        <v>11582</v>
      </c>
      <c r="T5180" t="s">
        <v>12802</v>
      </c>
      <c r="U5180" t="s">
        <v>12802</v>
      </c>
      <c r="V5180" t="s">
        <v>12802</v>
      </c>
      <c r="W5180" t="s">
        <v>17918</v>
      </c>
      <c r="X5180">
        <v>10</v>
      </c>
      <c r="Y5180" t="s">
        <v>24133</v>
      </c>
      <c r="Z5180" t="s">
        <v>30498</v>
      </c>
      <c r="AA5180">
        <v>0.4528215043760167</v>
      </c>
      <c r="AB5180" t="str">
        <f>HYPERLINK("Melting_Curves/meltCurve_Q9BRP1_PDCD2L.pdf", "Melting_Curves/meltCurve_Q9BRP1_PDCD2L.pdf")</f>
        <v>Melting_Curves/meltCurve_Q9BRP1_PDCD2L.pdf</v>
      </c>
    </row>
    <row r="5181" spans="1:28" x14ac:dyDescent="0.25">
      <c r="A5181" t="s">
        <v>5185</v>
      </c>
      <c r="B5181">
        <v>0.99542014353169495</v>
      </c>
      <c r="C5181">
        <v>0.88300915193513196</v>
      </c>
      <c r="D5181">
        <v>0.856789008676754</v>
      </c>
      <c r="E5181">
        <v>0.64455209185461804</v>
      </c>
      <c r="F5181">
        <v>0.40668404619983201</v>
      </c>
      <c r="G5181">
        <v>0.246053454073723</v>
      </c>
      <c r="H5181">
        <v>0.17989213636824999</v>
      </c>
      <c r="I5181">
        <v>0.201424728748656</v>
      </c>
      <c r="J5181">
        <v>7.9902271392212995E-2</v>
      </c>
      <c r="K5181">
        <v>4.5541440045096103E-2</v>
      </c>
      <c r="L5181">
        <v>581.16030351990401</v>
      </c>
      <c r="M5181">
        <v>12.0105897328609</v>
      </c>
      <c r="N5181">
        <v>48.821971715700698</v>
      </c>
      <c r="O5181">
        <v>47.104484841221698</v>
      </c>
      <c r="P5181">
        <v>-6.0526838289841997E-2</v>
      </c>
      <c r="Q5181">
        <v>5.07041528284395E-2</v>
      </c>
      <c r="R5181">
        <v>0.98944404634056105</v>
      </c>
      <c r="S5181" t="s">
        <v>11583</v>
      </c>
      <c r="T5181" t="s">
        <v>12802</v>
      </c>
      <c r="U5181" t="s">
        <v>12802</v>
      </c>
      <c r="V5181" t="s">
        <v>12802</v>
      </c>
      <c r="W5181" t="s">
        <v>17919</v>
      </c>
      <c r="X5181">
        <v>12</v>
      </c>
      <c r="Y5181" t="s">
        <v>24134</v>
      </c>
      <c r="Z5181" t="s">
        <v>30499</v>
      </c>
      <c r="AA5181">
        <v>0.44014514761120821</v>
      </c>
      <c r="AB5181" t="str">
        <f>HYPERLINK("Melting_Curves/meltCurve_Q9BRP4_PAAF1.pdf", "Melting_Curves/meltCurve_Q9BRP4_PAAF1.pdf")</f>
        <v>Melting_Curves/meltCurve_Q9BRP4_PAAF1.pdf</v>
      </c>
    </row>
    <row r="5182" spans="1:28" x14ac:dyDescent="0.25">
      <c r="A5182" t="s">
        <v>5186</v>
      </c>
      <c r="B5182">
        <v>0.99542014353169495</v>
      </c>
      <c r="C5182">
        <v>1.0367065690519901</v>
      </c>
      <c r="D5182">
        <v>1.0693727144407801</v>
      </c>
      <c r="E5182">
        <v>1.13636083587408</v>
      </c>
      <c r="F5182">
        <v>0.89928770674792702</v>
      </c>
      <c r="G5182">
        <v>0.73305975110186306</v>
      </c>
      <c r="H5182">
        <v>0.57703018284173002</v>
      </c>
      <c r="I5182">
        <v>0.49479162849546998</v>
      </c>
      <c r="J5182">
        <v>0.76437869374110101</v>
      </c>
      <c r="K5182">
        <v>1.0460159972104901</v>
      </c>
      <c r="L5182">
        <v>7933.3060394720596</v>
      </c>
      <c r="M5182">
        <v>157.47438023062401</v>
      </c>
      <c r="O5182">
        <v>50.370268041219099</v>
      </c>
      <c r="P5182">
        <v>-0.216457722179796</v>
      </c>
      <c r="Q5182">
        <v>0.72305251557027606</v>
      </c>
      <c r="R5182">
        <v>0.53806913933501999</v>
      </c>
      <c r="S5182" t="s">
        <v>11584</v>
      </c>
      <c r="T5182" t="s">
        <v>12802</v>
      </c>
      <c r="U5182" t="s">
        <v>12802</v>
      </c>
      <c r="V5182" t="s">
        <v>12802</v>
      </c>
      <c r="W5182" t="s">
        <v>17920</v>
      </c>
      <c r="X5182">
        <v>13</v>
      </c>
      <c r="Y5182" t="s">
        <v>24135</v>
      </c>
      <c r="Z5182" t="s">
        <v>30500</v>
      </c>
      <c r="AA5182">
        <v>0.84661798176745551</v>
      </c>
      <c r="AB5182" t="str">
        <f>HYPERLINK("Melting_Curves/meltCurve_Q9BRP8_2_WIBG.pdf", "Melting_Curves/meltCurve_Q9BRP8_2_WIBG.pdf")</f>
        <v>Melting_Curves/meltCurve_Q9BRP8_2_WIBG.pdf</v>
      </c>
    </row>
    <row r="5183" spans="1:28" x14ac:dyDescent="0.25">
      <c r="A5183" t="s">
        <v>5187</v>
      </c>
      <c r="B5183">
        <v>0.99542014353169495</v>
      </c>
      <c r="C5183">
        <v>0.95644644831178804</v>
      </c>
      <c r="D5183">
        <v>0.97172964093164904</v>
      </c>
      <c r="E5183">
        <v>0.66248441911228495</v>
      </c>
      <c r="F5183">
        <v>0.49956316664683897</v>
      </c>
      <c r="G5183">
        <v>0.30519431450432499</v>
      </c>
      <c r="H5183">
        <v>0.175362365588979</v>
      </c>
      <c r="I5183">
        <v>8.1460492643627896E-2</v>
      </c>
      <c r="J5183">
        <v>8.3032731800626994E-2</v>
      </c>
      <c r="K5183">
        <v>8.6340518469074798E-2</v>
      </c>
      <c r="L5183">
        <v>694.50802424361996</v>
      </c>
      <c r="M5183">
        <v>14.0032873745538</v>
      </c>
      <c r="N5183">
        <v>49.948662349784598</v>
      </c>
      <c r="O5183">
        <v>48.617482801759799</v>
      </c>
      <c r="P5183">
        <v>-6.8627802908736504E-2</v>
      </c>
      <c r="Q5183">
        <v>4.7060915970155701E-2</v>
      </c>
      <c r="R5183">
        <v>0.99198661870761795</v>
      </c>
      <c r="S5183" t="s">
        <v>11585</v>
      </c>
      <c r="T5183" t="s">
        <v>12802</v>
      </c>
      <c r="U5183" t="s">
        <v>12802</v>
      </c>
      <c r="V5183" t="s">
        <v>12802</v>
      </c>
      <c r="W5183" t="s">
        <v>17921</v>
      </c>
      <c r="X5183">
        <v>7</v>
      </c>
      <c r="Y5183" t="s">
        <v>24136</v>
      </c>
      <c r="Z5183" t="s">
        <v>30501</v>
      </c>
      <c r="AA5183">
        <v>0.46946589511797387</v>
      </c>
      <c r="AB5183" t="str">
        <f>HYPERLINK("Melting_Curves/meltCurve_Q9BRQ8_AIFM2.pdf", "Melting_Curves/meltCurve_Q9BRQ8_AIFM2.pdf")</f>
        <v>Melting_Curves/meltCurve_Q9BRQ8_AIFM2.pdf</v>
      </c>
    </row>
    <row r="5184" spans="1:28" x14ac:dyDescent="0.25">
      <c r="A5184" t="s">
        <v>5188</v>
      </c>
      <c r="B5184">
        <v>0.99542014353169495</v>
      </c>
      <c r="C5184">
        <v>0.90380513699796505</v>
      </c>
      <c r="D5184">
        <v>0.99375972164458304</v>
      </c>
      <c r="E5184">
        <v>0.65727790557542598</v>
      </c>
      <c r="F5184">
        <v>0.498849127707928</v>
      </c>
      <c r="G5184">
        <v>0.25784907325919199</v>
      </c>
      <c r="H5184">
        <v>0.13761863441792299</v>
      </c>
      <c r="I5184">
        <v>0.118313571724149</v>
      </c>
      <c r="J5184">
        <v>0.170314858435719</v>
      </c>
      <c r="K5184">
        <v>0.208913362624388</v>
      </c>
      <c r="L5184">
        <v>876.71078507346203</v>
      </c>
      <c r="M5184">
        <v>18.0954899249916</v>
      </c>
      <c r="N5184">
        <v>49.3672828278957</v>
      </c>
      <c r="O5184">
        <v>47.869063821363703</v>
      </c>
      <c r="P5184">
        <v>-8.1005811451200199E-2</v>
      </c>
      <c r="Q5184">
        <v>0.14288364921954599</v>
      </c>
      <c r="R5184">
        <v>0.97719180914113302</v>
      </c>
      <c r="S5184" t="s">
        <v>11586</v>
      </c>
      <c r="T5184" t="s">
        <v>12802</v>
      </c>
      <c r="U5184" t="s">
        <v>12802</v>
      </c>
      <c r="V5184" t="s">
        <v>12802</v>
      </c>
      <c r="W5184" t="s">
        <v>17922</v>
      </c>
      <c r="X5184">
        <v>4</v>
      </c>
      <c r="Y5184" t="s">
        <v>24137</v>
      </c>
      <c r="Z5184" t="s">
        <v>30502</v>
      </c>
      <c r="AA5184">
        <v>0.48353411035714883</v>
      </c>
      <c r="AB5184" t="str">
        <f>HYPERLINK("Melting_Curves/meltCurve_Q9BRR0_ZKSCAN3.pdf", "Melting_Curves/meltCurve_Q9BRR0_ZKSCAN3.pdf")</f>
        <v>Melting_Curves/meltCurve_Q9BRR0_ZKSCAN3.pdf</v>
      </c>
    </row>
    <row r="5185" spans="1:28" x14ac:dyDescent="0.25">
      <c r="A5185" t="s">
        <v>5189</v>
      </c>
      <c r="B5185">
        <v>0.99542014353169495</v>
      </c>
      <c r="C5185">
        <v>1.02540636750173</v>
      </c>
      <c r="D5185">
        <v>1.00463986964642</v>
      </c>
      <c r="E5185">
        <v>0.81213139106755905</v>
      </c>
      <c r="F5185">
        <v>0.73014700808982902</v>
      </c>
      <c r="G5185">
        <v>0.53712728613902605</v>
      </c>
      <c r="H5185">
        <v>0.30157667480148997</v>
      </c>
      <c r="I5185">
        <v>0.20227726606226501</v>
      </c>
      <c r="J5185">
        <v>7.6093761240470306E-2</v>
      </c>
      <c r="K5185">
        <v>8.2894315648682895E-2</v>
      </c>
      <c r="L5185">
        <v>688.60238163557403</v>
      </c>
      <c r="M5185">
        <v>12.7705452870497</v>
      </c>
      <c r="N5185">
        <v>53.921127241524097</v>
      </c>
      <c r="O5185">
        <v>52.650265657765601</v>
      </c>
      <c r="P5185">
        <v>-6.0650041769058097E-2</v>
      </c>
      <c r="Q5185">
        <v>0</v>
      </c>
      <c r="R5185">
        <v>0.99180707726435402</v>
      </c>
      <c r="S5185" t="s">
        <v>11587</v>
      </c>
      <c r="T5185" t="s">
        <v>12802</v>
      </c>
      <c r="U5185" t="s">
        <v>12802</v>
      </c>
      <c r="V5185" t="s">
        <v>12802</v>
      </c>
      <c r="W5185" t="s">
        <v>17923</v>
      </c>
      <c r="X5185">
        <v>8</v>
      </c>
      <c r="Y5185" t="s">
        <v>24138</v>
      </c>
      <c r="Z5185" t="s">
        <v>30503</v>
      </c>
      <c r="AA5185">
        <v>0.58190737286366023</v>
      </c>
      <c r="AB5185" t="str">
        <f>HYPERLINK("Melting_Curves/meltCurve_Q9BRR6_2_ADPGK.pdf", "Melting_Curves/meltCurve_Q9BRR6_2_ADPGK.pdf")</f>
        <v>Melting_Curves/meltCurve_Q9BRR6_2_ADPGK.pdf</v>
      </c>
    </row>
    <row r="5186" spans="1:28" x14ac:dyDescent="0.25">
      <c r="A5186" t="s">
        <v>5190</v>
      </c>
      <c r="B5186">
        <v>0.99542014353169495</v>
      </c>
      <c r="C5186">
        <v>0.84058729602872195</v>
      </c>
      <c r="D5186">
        <v>0.58057767366945101</v>
      </c>
      <c r="E5186">
        <v>0.48135908926144899</v>
      </c>
      <c r="F5186">
        <v>0.42171681304962699</v>
      </c>
      <c r="G5186">
        <v>0.40819493774286703</v>
      </c>
      <c r="H5186">
        <v>0.44866736278758601</v>
      </c>
      <c r="I5186">
        <v>0.19141453449506701</v>
      </c>
      <c r="J5186">
        <v>1.3118094968531799</v>
      </c>
      <c r="K5186">
        <v>0.399281751941158</v>
      </c>
      <c r="L5186">
        <v>1612.6621812814999</v>
      </c>
      <c r="M5186">
        <v>39.705467042046699</v>
      </c>
      <c r="O5186">
        <v>40.5129925141824</v>
      </c>
      <c r="P5186">
        <v>-0.116657075741396</v>
      </c>
      <c r="Q5186">
        <v>0.52388235235871805</v>
      </c>
      <c r="R5186">
        <v>0.246592275521513</v>
      </c>
      <c r="S5186" t="s">
        <v>11588</v>
      </c>
      <c r="T5186" t="s">
        <v>12802</v>
      </c>
      <c r="U5186" t="s">
        <v>12802</v>
      </c>
      <c r="V5186" t="s">
        <v>12802</v>
      </c>
      <c r="W5186" t="s">
        <v>17924</v>
      </c>
      <c r="X5186">
        <v>3</v>
      </c>
      <c r="Y5186" t="s">
        <v>24139</v>
      </c>
      <c r="Z5186" t="s">
        <v>30504</v>
      </c>
      <c r="AA5186">
        <v>0.58288502069732218</v>
      </c>
      <c r="AB5186" t="str">
        <f>HYPERLINK("Melting_Curves/meltCurve_Q9BRR8_GPATCH1.pdf", "Melting_Curves/meltCurve_Q9BRR8_GPATCH1.pdf")</f>
        <v>Melting_Curves/meltCurve_Q9BRR8_GPATCH1.pdf</v>
      </c>
    </row>
    <row r="5187" spans="1:28" x14ac:dyDescent="0.25">
      <c r="A5187" t="s">
        <v>5191</v>
      </c>
      <c r="B5187">
        <v>0.99542014353169495</v>
      </c>
      <c r="C5187">
        <v>0.95182431902364095</v>
      </c>
      <c r="D5187">
        <v>0.92437931714404997</v>
      </c>
      <c r="E5187">
        <v>0.74083285102951302</v>
      </c>
      <c r="F5187">
        <v>0.62454771575750601</v>
      </c>
      <c r="G5187">
        <v>0.38650902330754699</v>
      </c>
      <c r="H5187">
        <v>0.48198770790281398</v>
      </c>
      <c r="I5187">
        <v>0.76782487572959202</v>
      </c>
      <c r="J5187">
        <v>1.0090814547795299</v>
      </c>
      <c r="K5187">
        <v>0.53709031462184298</v>
      </c>
      <c r="L5187">
        <v>1475.3812825684699</v>
      </c>
      <c r="M5187">
        <v>32.839378539361299</v>
      </c>
      <c r="O5187">
        <v>44.761581577150103</v>
      </c>
      <c r="P5187">
        <v>-6.6977901282634006E-2</v>
      </c>
      <c r="Q5187">
        <v>0.63482583563829198</v>
      </c>
      <c r="R5187">
        <v>0.44755297543770101</v>
      </c>
      <c r="S5187" t="s">
        <v>11589</v>
      </c>
      <c r="T5187" t="s">
        <v>12802</v>
      </c>
      <c r="U5187" t="s">
        <v>12802</v>
      </c>
      <c r="V5187" t="s">
        <v>12802</v>
      </c>
      <c r="W5187" t="s">
        <v>17925</v>
      </c>
      <c r="X5187">
        <v>17</v>
      </c>
      <c r="Y5187" t="s">
        <v>24140</v>
      </c>
      <c r="Z5187" t="s">
        <v>30505</v>
      </c>
      <c r="AA5187">
        <v>0.73301842871085732</v>
      </c>
      <c r="AB5187" t="str">
        <f>HYPERLINK("Melting_Curves/meltCurve_Q9BRS2_RIOK1.pdf", "Melting_Curves/meltCurve_Q9BRS2_RIOK1.pdf")</f>
        <v>Melting_Curves/meltCurve_Q9BRS2_RIOK1.pdf</v>
      </c>
    </row>
    <row r="5188" spans="1:28" x14ac:dyDescent="0.25">
      <c r="A5188" t="s">
        <v>5192</v>
      </c>
      <c r="B5188">
        <v>0.99542014353169495</v>
      </c>
      <c r="C5188">
        <v>0.83472141147114198</v>
      </c>
      <c r="D5188">
        <v>0.69951300388720306</v>
      </c>
      <c r="E5188">
        <v>0.63028934791016999</v>
      </c>
      <c r="F5188">
        <v>0.47437475716816102</v>
      </c>
      <c r="G5188">
        <v>0.45255572651898901</v>
      </c>
      <c r="H5188">
        <v>0.227913430334894</v>
      </c>
      <c r="I5188">
        <v>0.13548778483523</v>
      </c>
      <c r="J5188">
        <v>0.112794714878133</v>
      </c>
      <c r="K5188">
        <v>0.10588792265942799</v>
      </c>
      <c r="L5188">
        <v>387.46372886837702</v>
      </c>
      <c r="M5188">
        <v>7.8361196835682696</v>
      </c>
      <c r="N5188">
        <v>49.445864143732102</v>
      </c>
      <c r="O5188">
        <v>46.535986242081101</v>
      </c>
      <c r="P5188">
        <v>-4.2148528929501897E-2</v>
      </c>
      <c r="Q5188">
        <v>0</v>
      </c>
      <c r="R5188">
        <v>0.97333160514408601</v>
      </c>
      <c r="S5188" t="s">
        <v>11590</v>
      </c>
      <c r="T5188" t="s">
        <v>12802</v>
      </c>
      <c r="U5188" t="s">
        <v>12802</v>
      </c>
      <c r="V5188" t="s">
        <v>12802</v>
      </c>
      <c r="W5188" t="s">
        <v>17926</v>
      </c>
      <c r="X5188">
        <v>4</v>
      </c>
      <c r="Y5188" t="s">
        <v>24141</v>
      </c>
      <c r="Z5188" t="s">
        <v>30506</v>
      </c>
      <c r="AA5188">
        <v>0.45949921114994963</v>
      </c>
      <c r="AB5188" t="str">
        <f>HYPERLINK("Melting_Curves/meltCurve_Q9BRT2_MNF1.pdf", "Melting_Curves/meltCurve_Q9BRT2_MNF1.pdf")</f>
        <v>Melting_Curves/meltCurve_Q9BRT2_MNF1.pdf</v>
      </c>
    </row>
    <row r="5189" spans="1:28" x14ac:dyDescent="0.25">
      <c r="A5189" t="s">
        <v>5193</v>
      </c>
      <c r="B5189">
        <v>0.99542014353169495</v>
      </c>
      <c r="C5189">
        <v>1.00703758080428</v>
      </c>
      <c r="D5189">
        <v>1.0065813214846799</v>
      </c>
      <c r="E5189">
        <v>0.91769078317736996</v>
      </c>
      <c r="F5189">
        <v>0.71203288062561398</v>
      </c>
      <c r="G5189">
        <v>0.33138035261959398</v>
      </c>
      <c r="H5189">
        <v>0.2454826797054</v>
      </c>
      <c r="I5189">
        <v>0.193243397447868</v>
      </c>
      <c r="J5189">
        <v>0.200461148512492</v>
      </c>
      <c r="K5189">
        <v>0.187233121503735</v>
      </c>
      <c r="L5189">
        <v>1419.20412176847</v>
      </c>
      <c r="M5189">
        <v>27.775676744587301</v>
      </c>
      <c r="N5189">
        <v>51.997819046568601</v>
      </c>
      <c r="O5189">
        <v>50.832554474132401</v>
      </c>
      <c r="P5189">
        <v>-0.1104763659816</v>
      </c>
      <c r="Q5189">
        <v>0.191271257196794</v>
      </c>
      <c r="R5189">
        <v>0.99822576337514302</v>
      </c>
      <c r="S5189" t="s">
        <v>11591</v>
      </c>
      <c r="T5189" t="s">
        <v>12802</v>
      </c>
      <c r="U5189" t="s">
        <v>12802</v>
      </c>
      <c r="V5189" t="s">
        <v>12802</v>
      </c>
      <c r="W5189" t="s">
        <v>17927</v>
      </c>
      <c r="X5189">
        <v>2</v>
      </c>
      <c r="Y5189" t="s">
        <v>24142</v>
      </c>
      <c r="Z5189" t="s">
        <v>30507</v>
      </c>
      <c r="AA5189">
        <v>0.57709920844244711</v>
      </c>
      <c r="AB5189" t="str">
        <f>HYPERLINK("Melting_Curves/meltCurve_Q9BRT3_MIEN1.pdf", "Melting_Curves/meltCurve_Q9BRT3_MIEN1.pdf")</f>
        <v>Melting_Curves/meltCurve_Q9BRT3_MIEN1.pdf</v>
      </c>
    </row>
    <row r="5190" spans="1:28" x14ac:dyDescent="0.25">
      <c r="A5190" t="s">
        <v>5194</v>
      </c>
      <c r="B5190">
        <v>0.99542014353169495</v>
      </c>
      <c r="C5190">
        <v>0.96620853278368501</v>
      </c>
      <c r="D5190">
        <v>0.96722164852698</v>
      </c>
      <c r="E5190">
        <v>0.86447379187705697</v>
      </c>
      <c r="F5190">
        <v>0.57995595462336202</v>
      </c>
      <c r="G5190">
        <v>0.22795277949822701</v>
      </c>
      <c r="H5190">
        <v>0.12177412116938301</v>
      </c>
      <c r="I5190">
        <v>9.1105817143036297E-2</v>
      </c>
      <c r="J5190">
        <v>0.10542209992809901</v>
      </c>
      <c r="K5190">
        <v>0.13335795431172801</v>
      </c>
      <c r="L5190">
        <v>1246.7732283888599</v>
      </c>
      <c r="M5190">
        <v>24.804056200081799</v>
      </c>
      <c r="N5190">
        <v>50.707840314302203</v>
      </c>
      <c r="O5190">
        <v>49.941593919489698</v>
      </c>
      <c r="P5190">
        <v>-0.112073217911795</v>
      </c>
      <c r="Q5190">
        <v>9.7399670491573498E-2</v>
      </c>
      <c r="R5190">
        <v>0.99693922522077905</v>
      </c>
      <c r="S5190" t="s">
        <v>11592</v>
      </c>
      <c r="T5190" t="s">
        <v>12802</v>
      </c>
      <c r="U5190" t="s">
        <v>12802</v>
      </c>
      <c r="V5190" t="s">
        <v>12802</v>
      </c>
      <c r="W5190" t="s">
        <v>17928</v>
      </c>
      <c r="X5190">
        <v>10</v>
      </c>
      <c r="Y5190" t="s">
        <v>24143</v>
      </c>
      <c r="Z5190" t="s">
        <v>30508</v>
      </c>
      <c r="AA5190">
        <v>0.5045297543642695</v>
      </c>
      <c r="AB5190" t="str">
        <f>HYPERLINK("Melting_Curves/meltCurve_Q9BRT9_GINS4.pdf", "Melting_Curves/meltCurve_Q9BRT9_GINS4.pdf")</f>
        <v>Melting_Curves/meltCurve_Q9BRT9_GINS4.pdf</v>
      </c>
    </row>
    <row r="5191" spans="1:28" x14ac:dyDescent="0.25">
      <c r="A5191" t="s">
        <v>5195</v>
      </c>
      <c r="B5191">
        <v>0.99542014353169495</v>
      </c>
      <c r="C5191">
        <v>0.93092140640666798</v>
      </c>
      <c r="D5191">
        <v>0.96118402600669695</v>
      </c>
      <c r="E5191">
        <v>0.634320220631163</v>
      </c>
      <c r="F5191">
        <v>0.33938904890337301</v>
      </c>
      <c r="G5191">
        <v>0.183566070914679</v>
      </c>
      <c r="H5191">
        <v>0.1082402311789</v>
      </c>
      <c r="I5191">
        <v>6.1679409564295302E-2</v>
      </c>
      <c r="J5191">
        <v>8.0471968408108899E-2</v>
      </c>
      <c r="K5191">
        <v>8.2283424571441402E-2</v>
      </c>
      <c r="L5191">
        <v>948.44974233452399</v>
      </c>
      <c r="M5191">
        <v>19.817199918592401</v>
      </c>
      <c r="N5191">
        <v>48.242351378146303</v>
      </c>
      <c r="O5191">
        <v>47.380574404435698</v>
      </c>
      <c r="P5191">
        <v>-9.6966668293531094E-2</v>
      </c>
      <c r="Q5191">
        <v>7.2688097361350096E-2</v>
      </c>
      <c r="R5191">
        <v>0.99537491705869097</v>
      </c>
      <c r="S5191" t="s">
        <v>11593</v>
      </c>
      <c r="T5191" t="s">
        <v>12802</v>
      </c>
      <c r="U5191" t="s">
        <v>12802</v>
      </c>
      <c r="V5191" t="s">
        <v>12802</v>
      </c>
      <c r="W5191" t="s">
        <v>17929</v>
      </c>
      <c r="X5191">
        <v>8</v>
      </c>
      <c r="Y5191" t="s">
        <v>24144</v>
      </c>
      <c r="Z5191" t="s">
        <v>30509</v>
      </c>
      <c r="AA5191">
        <v>0.42076417542469441</v>
      </c>
      <c r="AB5191" t="str">
        <f>HYPERLINK("Melting_Curves/meltCurve_Q9BRV8_SIKE1.pdf", "Melting_Curves/meltCurve_Q9BRV8_SIKE1.pdf")</f>
        <v>Melting_Curves/meltCurve_Q9BRV8_SIKE1.pdf</v>
      </c>
    </row>
    <row r="5192" spans="1:28" x14ac:dyDescent="0.25">
      <c r="A5192" t="s">
        <v>5196</v>
      </c>
      <c r="B5192">
        <v>0.99542014353169495</v>
      </c>
      <c r="C5192">
        <v>0.97524849704420302</v>
      </c>
      <c r="D5192">
        <v>0.87450346698387005</v>
      </c>
      <c r="E5192">
        <v>0.41329303062752998</v>
      </c>
      <c r="F5192">
        <v>0.18374292672373399</v>
      </c>
      <c r="G5192">
        <v>0.116087104510382</v>
      </c>
      <c r="H5192">
        <v>6.8289872955881098E-2</v>
      </c>
      <c r="I5192">
        <v>5.1016033118140403E-2</v>
      </c>
      <c r="J5192">
        <v>6.0461154263389799E-2</v>
      </c>
      <c r="K5192">
        <v>6.8572389495458005E-2</v>
      </c>
      <c r="L5192">
        <v>1176.3740929231701</v>
      </c>
      <c r="M5192">
        <v>25.678199721766202</v>
      </c>
      <c r="N5192">
        <v>46.081532144855402</v>
      </c>
      <c r="O5192">
        <v>45.537034355022797</v>
      </c>
      <c r="P5192">
        <v>-0.13115174310177599</v>
      </c>
      <c r="Q5192">
        <v>6.9687238161942805E-2</v>
      </c>
      <c r="R5192">
        <v>0.99811635126948595</v>
      </c>
      <c r="S5192" t="s">
        <v>11594</v>
      </c>
      <c r="T5192" t="s">
        <v>12802</v>
      </c>
      <c r="U5192" t="s">
        <v>12802</v>
      </c>
      <c r="V5192" t="s">
        <v>12802</v>
      </c>
      <c r="W5192" t="s">
        <v>17930</v>
      </c>
      <c r="X5192">
        <v>17</v>
      </c>
      <c r="Y5192" t="s">
        <v>24145</v>
      </c>
      <c r="Z5192" t="s">
        <v>30510</v>
      </c>
      <c r="AA5192">
        <v>0.35023583637476741</v>
      </c>
      <c r="AB5192" t="str">
        <f>HYPERLINK("Melting_Curves/meltCurve_Q9BRX2_PELO.pdf", "Melting_Curves/meltCurve_Q9BRX2_PELO.pdf")</f>
        <v>Melting_Curves/meltCurve_Q9BRX2_PELO.pdf</v>
      </c>
    </row>
    <row r="5193" spans="1:28" x14ac:dyDescent="0.25">
      <c r="A5193" t="s">
        <v>5197</v>
      </c>
      <c r="B5193">
        <v>0.99542014353169495</v>
      </c>
      <c r="C5193">
        <v>0.99886443448904405</v>
      </c>
      <c r="D5193">
        <v>0.93188251218492701</v>
      </c>
      <c r="E5193">
        <v>0.89851466613470099</v>
      </c>
      <c r="F5193">
        <v>0.62594539660736304</v>
      </c>
      <c r="G5193">
        <v>0.209361825463657</v>
      </c>
      <c r="H5193">
        <v>9.4742301051313496E-2</v>
      </c>
      <c r="I5193">
        <v>5.9715504188816403E-2</v>
      </c>
      <c r="J5193">
        <v>5.94881238181411E-2</v>
      </c>
      <c r="K5193">
        <v>8.6483621140369296E-2</v>
      </c>
      <c r="L5193">
        <v>1376.56735884259</v>
      </c>
      <c r="M5193">
        <v>27.1043624414962</v>
      </c>
      <c r="N5193">
        <v>51.025643959032102</v>
      </c>
      <c r="O5193">
        <v>50.513622679704099</v>
      </c>
      <c r="P5193">
        <v>-0.126180434642226</v>
      </c>
      <c r="Q5193">
        <v>5.9373747099174798E-2</v>
      </c>
      <c r="R5193">
        <v>0.99634241030051796</v>
      </c>
      <c r="S5193" t="s">
        <v>11595</v>
      </c>
      <c r="T5193" t="s">
        <v>12802</v>
      </c>
      <c r="U5193" t="s">
        <v>12802</v>
      </c>
      <c r="V5193" t="s">
        <v>12802</v>
      </c>
      <c r="W5193" t="s">
        <v>17931</v>
      </c>
      <c r="X5193">
        <v>11</v>
      </c>
      <c r="Y5193" t="s">
        <v>24146</v>
      </c>
      <c r="Z5193" t="s">
        <v>30511</v>
      </c>
      <c r="AA5193">
        <v>0.49878618514519701</v>
      </c>
      <c r="AB5193" t="str">
        <f>HYPERLINK("Melting_Curves/meltCurve_Q9BRX5_GINS3.pdf", "Melting_Curves/meltCurve_Q9BRX5_GINS3.pdf")</f>
        <v>Melting_Curves/meltCurve_Q9BRX5_GINS3.pdf</v>
      </c>
    </row>
    <row r="5194" spans="1:28" x14ac:dyDescent="0.25">
      <c r="A5194" t="s">
        <v>5198</v>
      </c>
      <c r="B5194">
        <v>0.99542014353169495</v>
      </c>
      <c r="C5194">
        <v>0.97524663914069698</v>
      </c>
      <c r="D5194">
        <v>0.84871422101292204</v>
      </c>
      <c r="E5194">
        <v>0.76101323356739603</v>
      </c>
      <c r="F5194">
        <v>0.47450213948858699</v>
      </c>
      <c r="G5194">
        <v>0.25494910859381098</v>
      </c>
      <c r="H5194">
        <v>0.17324874006046201</v>
      </c>
      <c r="I5194">
        <v>0.15688796830835999</v>
      </c>
      <c r="J5194">
        <v>0.13539433979613899</v>
      </c>
      <c r="K5194">
        <v>0.122106392125715</v>
      </c>
      <c r="L5194">
        <v>767.70925385890803</v>
      </c>
      <c r="M5194">
        <v>15.6784962252441</v>
      </c>
      <c r="N5194">
        <v>49.718228215403599</v>
      </c>
      <c r="O5194">
        <v>48.189912236706299</v>
      </c>
      <c r="P5194">
        <v>-7.2752460020613197E-2</v>
      </c>
      <c r="Q5194">
        <v>0.105619101551228</v>
      </c>
      <c r="R5194">
        <v>0.99484352122477104</v>
      </c>
      <c r="S5194" t="s">
        <v>11596</v>
      </c>
      <c r="T5194" t="s">
        <v>12802</v>
      </c>
      <c r="U5194" t="s">
        <v>12802</v>
      </c>
      <c r="V5194" t="s">
        <v>12802</v>
      </c>
      <c r="W5194" t="s">
        <v>17932</v>
      </c>
      <c r="X5194">
        <v>5</v>
      </c>
      <c r="Y5194" t="s">
        <v>24147</v>
      </c>
      <c r="Z5194" t="s">
        <v>30512</v>
      </c>
      <c r="AA5194">
        <v>0.48029480455853318</v>
      </c>
      <c r="AB5194" t="str">
        <f>HYPERLINK("Melting_Curves/meltCurve_Q9BRZ2_TRIM56.pdf", "Melting_Curves/meltCurve_Q9BRZ2_TRIM56.pdf")</f>
        <v>Melting_Curves/meltCurve_Q9BRZ2_TRIM56.pdf</v>
      </c>
    </row>
    <row r="5195" spans="1:28" x14ac:dyDescent="0.25">
      <c r="A5195" t="s">
        <v>5199</v>
      </c>
      <c r="B5195">
        <v>0.99542014353169495</v>
      </c>
      <c r="C5195">
        <v>1.07696366026769</v>
      </c>
      <c r="D5195">
        <v>0.93843683923092003</v>
      </c>
      <c r="E5195">
        <v>0.88229847481479895</v>
      </c>
      <c r="F5195">
        <v>0.53943651097188805</v>
      </c>
      <c r="G5195">
        <v>0.40702891921914602</v>
      </c>
      <c r="H5195">
        <v>0.24378102862332099</v>
      </c>
      <c r="I5195">
        <v>0.18557885288752099</v>
      </c>
      <c r="J5195">
        <v>0.26745999105866503</v>
      </c>
      <c r="K5195">
        <v>0.28804896393672103</v>
      </c>
      <c r="L5195">
        <v>1128.1222260004399</v>
      </c>
      <c r="M5195">
        <v>22.741441778765001</v>
      </c>
      <c r="N5195">
        <v>51.0963924802683</v>
      </c>
      <c r="O5195">
        <v>49.227639977766401</v>
      </c>
      <c r="P5195">
        <v>-8.7500015443644899E-2</v>
      </c>
      <c r="Q5195">
        <v>0.242381209165869</v>
      </c>
      <c r="R5195">
        <v>0.98184805881849502</v>
      </c>
      <c r="S5195" t="s">
        <v>11597</v>
      </c>
      <c r="T5195" t="s">
        <v>12802</v>
      </c>
      <c r="U5195" t="s">
        <v>12802</v>
      </c>
      <c r="V5195" t="s">
        <v>12802</v>
      </c>
      <c r="W5195" t="s">
        <v>17933</v>
      </c>
      <c r="X5195">
        <v>1</v>
      </c>
      <c r="Y5195" t="s">
        <v>24148</v>
      </c>
      <c r="Z5195" t="s">
        <v>30513</v>
      </c>
      <c r="AA5195">
        <v>0.56863880093616759</v>
      </c>
      <c r="AB5195" t="str">
        <f>HYPERLINK("Melting_Curves/meltCurve_Q9BS18_ANAPC13.pdf", "Melting_Curves/meltCurve_Q9BS18_ANAPC13.pdf")</f>
        <v>Melting_Curves/meltCurve_Q9BS18_ANAPC13.pdf</v>
      </c>
    </row>
    <row r="5196" spans="1:28" x14ac:dyDescent="0.25">
      <c r="A5196" t="s">
        <v>5200</v>
      </c>
      <c r="B5196">
        <v>0.99542014353169495</v>
      </c>
      <c r="C5196">
        <v>0.95436850856622701</v>
      </c>
      <c r="D5196">
        <v>0.91188504514519797</v>
      </c>
      <c r="E5196">
        <v>0.88973060381282798</v>
      </c>
      <c r="F5196">
        <v>0.64547075169147505</v>
      </c>
      <c r="G5196">
        <v>0.27652959236402402</v>
      </c>
      <c r="H5196">
        <v>9.8302634531617694E-2</v>
      </c>
      <c r="I5196">
        <v>7.0137286492798198E-2</v>
      </c>
      <c r="J5196">
        <v>7.9749423537264899E-2</v>
      </c>
      <c r="K5196">
        <v>7.5470926603579305E-2</v>
      </c>
      <c r="L5196">
        <v>1167.6049400382699</v>
      </c>
      <c r="M5196">
        <v>22.8521292985446</v>
      </c>
      <c r="N5196">
        <v>51.357001963457698</v>
      </c>
      <c r="O5196">
        <v>50.7074875756594</v>
      </c>
      <c r="P5196">
        <v>-0.106445595226383</v>
      </c>
      <c r="Q5196">
        <v>5.5232890043167601E-2</v>
      </c>
      <c r="R5196">
        <v>0.99364788679603999</v>
      </c>
      <c r="S5196" t="s">
        <v>11598</v>
      </c>
      <c r="T5196" t="s">
        <v>12802</v>
      </c>
      <c r="U5196" t="s">
        <v>12802</v>
      </c>
      <c r="V5196" t="s">
        <v>12802</v>
      </c>
      <c r="W5196" t="s">
        <v>17934</v>
      </c>
      <c r="X5196">
        <v>25</v>
      </c>
      <c r="Y5196" t="s">
        <v>24149</v>
      </c>
      <c r="Z5196" t="s">
        <v>30514</v>
      </c>
      <c r="AA5196">
        <v>0.50890368053871815</v>
      </c>
      <c r="AB5196" t="str">
        <f>HYPERLINK("Melting_Curves/meltCurve_Q9BS26_ERP44.pdf", "Melting_Curves/meltCurve_Q9BS26_ERP44.pdf")</f>
        <v>Melting_Curves/meltCurve_Q9BS26_ERP44.pdf</v>
      </c>
    </row>
    <row r="5197" spans="1:28" x14ac:dyDescent="0.25">
      <c r="A5197" t="s">
        <v>5201</v>
      </c>
      <c r="B5197">
        <v>0.99542014353169495</v>
      </c>
      <c r="C5197">
        <v>0.95678824751136005</v>
      </c>
      <c r="D5197">
        <v>0.80546404361366197</v>
      </c>
      <c r="E5197">
        <v>0.58497557000957701</v>
      </c>
      <c r="F5197">
        <v>0.38661627016731298</v>
      </c>
      <c r="G5197">
        <v>0.28852631286920999</v>
      </c>
      <c r="H5197">
        <v>0.259805325854432</v>
      </c>
      <c r="I5197">
        <v>0.196026830449928</v>
      </c>
      <c r="J5197">
        <v>0.26433425802343802</v>
      </c>
      <c r="K5197">
        <v>0.29469486449068499</v>
      </c>
      <c r="L5197">
        <v>802.17387535353998</v>
      </c>
      <c r="M5197">
        <v>17.4740439119089</v>
      </c>
      <c r="N5197">
        <v>47.729368291797201</v>
      </c>
      <c r="O5197">
        <v>45.318028858270701</v>
      </c>
      <c r="P5197">
        <v>-7.2931878907730494E-2</v>
      </c>
      <c r="Q5197">
        <v>0.24346179002569199</v>
      </c>
      <c r="R5197">
        <v>0.99241940505956805</v>
      </c>
      <c r="S5197" t="s">
        <v>11599</v>
      </c>
      <c r="T5197" t="s">
        <v>12802</v>
      </c>
      <c r="U5197" t="s">
        <v>12802</v>
      </c>
      <c r="V5197" t="s">
        <v>12802</v>
      </c>
      <c r="W5197" t="s">
        <v>17935</v>
      </c>
      <c r="X5197">
        <v>4</v>
      </c>
      <c r="Y5197" t="s">
        <v>24150</v>
      </c>
      <c r="Z5197" t="s">
        <v>30515</v>
      </c>
      <c r="AA5197">
        <v>0.48105332281602692</v>
      </c>
      <c r="AB5197" t="str">
        <f>HYPERLINK("Melting_Curves/meltCurve_Q9BSB4_ATG101.pdf", "Melting_Curves/meltCurve_Q9BSB4_ATG101.pdf")</f>
        <v>Melting_Curves/meltCurve_Q9BSB4_ATG101.pdf</v>
      </c>
    </row>
    <row r="5198" spans="1:28" x14ac:dyDescent="0.25">
      <c r="A5198" t="s">
        <v>5202</v>
      </c>
      <c r="B5198">
        <v>0.99542014353169495</v>
      </c>
      <c r="C5198">
        <v>1.03087878437841</v>
      </c>
      <c r="D5198">
        <v>0.93273269572553497</v>
      </c>
      <c r="E5198">
        <v>0.913158715485477</v>
      </c>
      <c r="F5198">
        <v>0.56830444508128997</v>
      </c>
      <c r="G5198">
        <v>0.31887630160643299</v>
      </c>
      <c r="H5198">
        <v>0.101465510879038</v>
      </c>
      <c r="I5198">
        <v>5.8441990091592497E-2</v>
      </c>
      <c r="J5198">
        <v>5.42672731748257E-2</v>
      </c>
      <c r="K5198">
        <v>6.7475782096241096E-2</v>
      </c>
      <c r="L5198">
        <v>1055.87238916413</v>
      </c>
      <c r="M5198">
        <v>20.710857266721199</v>
      </c>
      <c r="N5198">
        <v>51.193778454586003</v>
      </c>
      <c r="O5198">
        <v>50.513430355156999</v>
      </c>
      <c r="P5198">
        <v>-9.8288528191361205E-2</v>
      </c>
      <c r="Q5198">
        <v>4.1131015105826702E-2</v>
      </c>
      <c r="R5198">
        <v>0.99530174427880003</v>
      </c>
      <c r="S5198" t="s">
        <v>11600</v>
      </c>
      <c r="T5198" t="s">
        <v>12802</v>
      </c>
      <c r="U5198" t="s">
        <v>12802</v>
      </c>
      <c r="V5198" t="s">
        <v>12802</v>
      </c>
      <c r="W5198" t="s">
        <v>17936</v>
      </c>
      <c r="X5198">
        <v>9</v>
      </c>
      <c r="Y5198" t="s">
        <v>24151</v>
      </c>
      <c r="Z5198" t="s">
        <v>30516</v>
      </c>
      <c r="AA5198">
        <v>0.49985323158283262</v>
      </c>
      <c r="AB5198" t="str">
        <f>HYPERLINK("Melting_Curves/meltCurve_Q9BSD7_NTPCR.pdf", "Melting_Curves/meltCurve_Q9BSD7_NTPCR.pdf")</f>
        <v>Melting_Curves/meltCurve_Q9BSD7_NTPCR.pdf</v>
      </c>
    </row>
    <row r="5199" spans="1:28" x14ac:dyDescent="0.25">
      <c r="A5199" t="s">
        <v>5203</v>
      </c>
      <c r="B5199">
        <v>0.99542014353169495</v>
      </c>
      <c r="C5199">
        <v>0.96043320070441296</v>
      </c>
      <c r="D5199">
        <v>0.94699942081716304</v>
      </c>
      <c r="E5199">
        <v>0.84997135018124104</v>
      </c>
      <c r="F5199">
        <v>0.738817372623229</v>
      </c>
      <c r="G5199">
        <v>0.46194448313697101</v>
      </c>
      <c r="H5199">
        <v>0.27553505759869601</v>
      </c>
      <c r="I5199">
        <v>0.163410541223237</v>
      </c>
      <c r="J5199">
        <v>0.217904529643102</v>
      </c>
      <c r="K5199">
        <v>0.30650602106257402</v>
      </c>
      <c r="L5199">
        <v>979.683607828047</v>
      </c>
      <c r="M5199">
        <v>19.029255990980701</v>
      </c>
      <c r="N5199">
        <v>52.957616462093199</v>
      </c>
      <c r="O5199">
        <v>50.924573680229699</v>
      </c>
      <c r="P5199">
        <v>-7.4209659889433399E-2</v>
      </c>
      <c r="Q5199">
        <v>0.205655557170488</v>
      </c>
      <c r="R5199">
        <v>0.97761053753160598</v>
      </c>
      <c r="S5199" t="s">
        <v>11601</v>
      </c>
      <c r="T5199" t="s">
        <v>12802</v>
      </c>
      <c r="U5199" t="s">
        <v>12802</v>
      </c>
      <c r="V5199" t="s">
        <v>12802</v>
      </c>
      <c r="W5199" t="s">
        <v>17937</v>
      </c>
      <c r="X5199">
        <v>8</v>
      </c>
      <c r="Y5199" t="s">
        <v>24152</v>
      </c>
      <c r="Z5199" t="s">
        <v>30517</v>
      </c>
      <c r="AA5199">
        <v>0.60033442695874928</v>
      </c>
      <c r="AB5199" t="str">
        <f>HYPERLINK("Melting_Curves/meltCurve_Q9BSF4_C19orf52.pdf", "Melting_Curves/meltCurve_Q9BSF4_C19orf52.pdf")</f>
        <v>Melting_Curves/meltCurve_Q9BSF4_C19orf52.pdf</v>
      </c>
    </row>
    <row r="5200" spans="1:28" x14ac:dyDescent="0.25">
      <c r="A5200" t="s">
        <v>5204</v>
      </c>
      <c r="B5200">
        <v>0.99542014353169495</v>
      </c>
      <c r="C5200">
        <v>0.90648232397378803</v>
      </c>
      <c r="D5200">
        <v>0.824921552793764</v>
      </c>
      <c r="E5200">
        <v>0.60946681242975698</v>
      </c>
      <c r="F5200">
        <v>0.48682981183669799</v>
      </c>
      <c r="G5200">
        <v>0.36204238865581401</v>
      </c>
      <c r="H5200">
        <v>0.21828284001319601</v>
      </c>
      <c r="I5200">
        <v>0.15323527055872399</v>
      </c>
      <c r="J5200">
        <v>0.14389609579089699</v>
      </c>
      <c r="K5200">
        <v>4.88193598236756E-2</v>
      </c>
      <c r="L5200">
        <v>458.30583894141802</v>
      </c>
      <c r="M5200">
        <v>9.2074156565093705</v>
      </c>
      <c r="N5200">
        <v>49.7757271743057</v>
      </c>
      <c r="O5200">
        <v>47.596603443484099</v>
      </c>
      <c r="P5200">
        <v>-4.83939501847735E-2</v>
      </c>
      <c r="Q5200">
        <v>0</v>
      </c>
      <c r="R5200">
        <v>0.993963169503566</v>
      </c>
      <c r="S5200" t="s">
        <v>11602</v>
      </c>
      <c r="T5200" t="s">
        <v>12802</v>
      </c>
      <c r="U5200" t="s">
        <v>12802</v>
      </c>
      <c r="V5200" t="s">
        <v>12802</v>
      </c>
      <c r="W5200" t="s">
        <v>17938</v>
      </c>
      <c r="X5200">
        <v>2</v>
      </c>
      <c r="Y5200" t="s">
        <v>24153</v>
      </c>
      <c r="Z5200" t="s">
        <v>30518</v>
      </c>
      <c r="AA5200">
        <v>0.46332599926429369</v>
      </c>
      <c r="AB5200" t="str">
        <f>HYPERLINK("Melting_Curves/meltCurve_Q9BSG0_PRADC1.pdf", "Melting_Curves/meltCurve_Q9BSG0_PRADC1.pdf")</f>
        <v>Melting_Curves/meltCurve_Q9BSG0_PRADC1.pdf</v>
      </c>
    </row>
    <row r="5201" spans="1:28" x14ac:dyDescent="0.25">
      <c r="A5201" t="s">
        <v>5205</v>
      </c>
      <c r="B5201">
        <v>0.99542014353169495</v>
      </c>
      <c r="C5201">
        <v>1.0031789715969199</v>
      </c>
      <c r="D5201">
        <v>0.99893096605942799</v>
      </c>
      <c r="E5201">
        <v>0.62146459286782696</v>
      </c>
      <c r="F5201">
        <v>0.116166493448445</v>
      </c>
      <c r="G5201">
        <v>6.9657764414386994E-2</v>
      </c>
      <c r="H5201">
        <v>3.9441188902939898E-2</v>
      </c>
      <c r="I5201">
        <v>2.7365482738614701E-2</v>
      </c>
      <c r="J5201">
        <v>3.2478472318139301E-2</v>
      </c>
      <c r="K5201">
        <v>2.3902251097720099E-2</v>
      </c>
      <c r="L5201">
        <v>1878.92945766103</v>
      </c>
      <c r="M5201">
        <v>39.872774504180903</v>
      </c>
      <c r="N5201">
        <v>47.214676529499101</v>
      </c>
      <c r="O5201">
        <v>47.005063143521099</v>
      </c>
      <c r="P5201">
        <v>-0.20417542704174599</v>
      </c>
      <c r="Q5201">
        <v>3.7212077689486901E-2</v>
      </c>
      <c r="R5201">
        <v>0.99925250578795999</v>
      </c>
      <c r="S5201" t="s">
        <v>11603</v>
      </c>
      <c r="T5201" t="s">
        <v>12802</v>
      </c>
      <c r="U5201" t="s">
        <v>12802</v>
      </c>
      <c r="V5201" t="s">
        <v>12802</v>
      </c>
      <c r="W5201" t="s">
        <v>17939</v>
      </c>
      <c r="X5201">
        <v>9</v>
      </c>
      <c r="Y5201" t="s">
        <v>24154</v>
      </c>
      <c r="Z5201" t="s">
        <v>30519</v>
      </c>
      <c r="AA5201">
        <v>0.36524961995306632</v>
      </c>
      <c r="AB5201" t="str">
        <f>HYPERLINK("Melting_Curves/meltCurve_Q9BSH4_TACO1.pdf", "Melting_Curves/meltCurve_Q9BSH4_TACO1.pdf")</f>
        <v>Melting_Curves/meltCurve_Q9BSH4_TACO1.pdf</v>
      </c>
    </row>
    <row r="5202" spans="1:28" x14ac:dyDescent="0.25">
      <c r="A5202" t="s">
        <v>5206</v>
      </c>
      <c r="B5202">
        <v>0.99542014353169495</v>
      </c>
      <c r="C5202">
        <v>1.0121644491258801</v>
      </c>
      <c r="D5202">
        <v>0.89179397092203405</v>
      </c>
      <c r="E5202">
        <v>0.73859296314975098</v>
      </c>
      <c r="F5202">
        <v>0.58686628436335098</v>
      </c>
      <c r="G5202">
        <v>0.46563889569363198</v>
      </c>
      <c r="H5202">
        <v>0.28073526221435702</v>
      </c>
      <c r="I5202">
        <v>0.217836021431036</v>
      </c>
      <c r="J5202">
        <v>0.19821711870258901</v>
      </c>
      <c r="K5202">
        <v>0.16994455517760099</v>
      </c>
      <c r="L5202">
        <v>571.15553181400503</v>
      </c>
      <c r="M5202">
        <v>11.222433543147901</v>
      </c>
      <c r="N5202">
        <v>52.050587744553397</v>
      </c>
      <c r="O5202">
        <v>49.3583374755016</v>
      </c>
      <c r="P5202">
        <v>-5.0585176102314201E-2</v>
      </c>
      <c r="Q5202">
        <v>0.11034604886490899</v>
      </c>
      <c r="R5202">
        <v>0.99410877999680702</v>
      </c>
      <c r="S5202" t="s">
        <v>11604</v>
      </c>
      <c r="T5202" t="s">
        <v>12802</v>
      </c>
      <c r="U5202" t="s">
        <v>12802</v>
      </c>
      <c r="V5202" t="s">
        <v>12802</v>
      </c>
      <c r="W5202" t="s">
        <v>17940</v>
      </c>
      <c r="X5202">
        <v>7</v>
      </c>
      <c r="Y5202" t="s">
        <v>24155</v>
      </c>
      <c r="Z5202" t="s">
        <v>30520</v>
      </c>
      <c r="AA5202">
        <v>0.5472955596288257</v>
      </c>
      <c r="AB5202" t="str">
        <f>HYPERLINK("Melting_Curves/meltCurve_Q9BSH5_HDHD3.pdf", "Melting_Curves/meltCurve_Q9BSH5_HDHD3.pdf")</f>
        <v>Melting_Curves/meltCurve_Q9BSH5_HDHD3.pdf</v>
      </c>
    </row>
    <row r="5203" spans="1:28" x14ac:dyDescent="0.25">
      <c r="A5203" t="s">
        <v>5207</v>
      </c>
      <c r="B5203">
        <v>0.99542014353169495</v>
      </c>
      <c r="C5203">
        <v>0.90440686752114396</v>
      </c>
      <c r="D5203">
        <v>0.82943418558884696</v>
      </c>
      <c r="E5203">
        <v>0.45888631376768702</v>
      </c>
      <c r="F5203">
        <v>0.20439148213182801</v>
      </c>
      <c r="G5203">
        <v>0.11023941101291999</v>
      </c>
      <c r="H5203">
        <v>7.18349894046999E-2</v>
      </c>
      <c r="I5203">
        <v>5.6238894551731797E-2</v>
      </c>
      <c r="J5203">
        <v>6.3944206749353194E-2</v>
      </c>
      <c r="K5203">
        <v>7.0835934241302204E-2</v>
      </c>
      <c r="L5203">
        <v>901.00154912922096</v>
      </c>
      <c r="M5203">
        <v>19.610767735092701</v>
      </c>
      <c r="N5203">
        <v>46.232382572801299</v>
      </c>
      <c r="O5203">
        <v>45.474495371162298</v>
      </c>
      <c r="P5203">
        <v>-0.10161336268542601</v>
      </c>
      <c r="Q5203">
        <v>5.7527370740655497E-2</v>
      </c>
      <c r="R5203">
        <v>0.99753699288852704</v>
      </c>
      <c r="S5203" t="s">
        <v>11605</v>
      </c>
      <c r="T5203" t="s">
        <v>12802</v>
      </c>
      <c r="U5203" t="s">
        <v>12802</v>
      </c>
      <c r="V5203" t="s">
        <v>12802</v>
      </c>
      <c r="W5203" t="s">
        <v>17941</v>
      </c>
      <c r="X5203">
        <v>13</v>
      </c>
      <c r="Y5203" t="s">
        <v>24156</v>
      </c>
      <c r="Z5203" t="s">
        <v>30521</v>
      </c>
      <c r="AA5203">
        <v>0.35134071986590082</v>
      </c>
      <c r="AB5203" t="str">
        <f>HYPERLINK("Melting_Curves/meltCurve_Q9BSJ2_TUBGCP2.pdf", "Melting_Curves/meltCurve_Q9BSJ2_TUBGCP2.pdf")</f>
        <v>Melting_Curves/meltCurve_Q9BSJ2_TUBGCP2.pdf</v>
      </c>
    </row>
    <row r="5204" spans="1:28" x14ac:dyDescent="0.25">
      <c r="A5204" t="s">
        <v>5208</v>
      </c>
      <c r="B5204">
        <v>0.99542014353169495</v>
      </c>
      <c r="C5204">
        <v>0.913068338315697</v>
      </c>
      <c r="D5204">
        <v>0.90074010774185398</v>
      </c>
      <c r="E5204">
        <v>0.77443946835714506</v>
      </c>
      <c r="F5204">
        <v>0.68200687139191796</v>
      </c>
      <c r="G5204">
        <v>0.389634431802593</v>
      </c>
      <c r="H5204">
        <v>0.28542496032270698</v>
      </c>
      <c r="I5204">
        <v>0.225130377018668</v>
      </c>
      <c r="J5204">
        <v>0.21872331179260401</v>
      </c>
      <c r="K5204">
        <v>0.23866259434435899</v>
      </c>
      <c r="L5204">
        <v>652.22938739831102</v>
      </c>
      <c r="M5204">
        <v>12.8938447635002</v>
      </c>
      <c r="N5204">
        <v>52.201200375768799</v>
      </c>
      <c r="O5204">
        <v>49.414146655617003</v>
      </c>
      <c r="P5204">
        <v>-5.4505384318643303E-2</v>
      </c>
      <c r="Q5204">
        <v>0.164610418003726</v>
      </c>
      <c r="R5204">
        <v>0.98360148744251696</v>
      </c>
      <c r="S5204" t="s">
        <v>11606</v>
      </c>
      <c r="T5204" t="s">
        <v>12802</v>
      </c>
      <c r="U5204" t="s">
        <v>12802</v>
      </c>
      <c r="V5204" t="s">
        <v>12802</v>
      </c>
      <c r="W5204" t="s">
        <v>17942</v>
      </c>
      <c r="X5204">
        <v>3</v>
      </c>
      <c r="Y5204" t="s">
        <v>24157</v>
      </c>
      <c r="Z5204" t="s">
        <v>30522</v>
      </c>
      <c r="AA5204">
        <v>0.56361324505853194</v>
      </c>
      <c r="AB5204" t="str">
        <f>HYPERLINK("Melting_Curves/meltCurve_Q9BSJ5_C17orf80.pdf", "Melting_Curves/meltCurve_Q9BSJ5_C17orf80.pdf")</f>
        <v>Melting_Curves/meltCurve_Q9BSJ5_C17orf80.pdf</v>
      </c>
    </row>
    <row r="5205" spans="1:28" x14ac:dyDescent="0.25">
      <c r="A5205" t="s">
        <v>5209</v>
      </c>
      <c r="B5205">
        <v>0.99542014353169495</v>
      </c>
      <c r="C5205">
        <v>0.92120186164620399</v>
      </c>
      <c r="D5205">
        <v>0.86088250353680396</v>
      </c>
      <c r="E5205">
        <v>0.42572901952566999</v>
      </c>
      <c r="F5205">
        <v>0.18160071794520699</v>
      </c>
      <c r="G5205">
        <v>0.10502725814920599</v>
      </c>
      <c r="H5205">
        <v>6.6568003438207402E-2</v>
      </c>
      <c r="I5205">
        <v>4.5657243621638102E-2</v>
      </c>
      <c r="J5205">
        <v>4.7625860170325302E-2</v>
      </c>
      <c r="K5205">
        <v>5.13386332047365E-2</v>
      </c>
      <c r="L5205">
        <v>1032.33970351981</v>
      </c>
      <c r="M5205">
        <v>22.498687168598298</v>
      </c>
      <c r="N5205">
        <v>46.115307578935003</v>
      </c>
      <c r="O5205">
        <v>45.5265627303624</v>
      </c>
      <c r="P5205">
        <v>-0.11696915538908501</v>
      </c>
      <c r="Q5205">
        <v>5.3261296260330597E-2</v>
      </c>
      <c r="R5205">
        <v>0.99702739168150301</v>
      </c>
      <c r="S5205" t="s">
        <v>11607</v>
      </c>
      <c r="T5205" t="s">
        <v>12802</v>
      </c>
      <c r="U5205" t="s">
        <v>12802</v>
      </c>
      <c r="V5205" t="s">
        <v>12802</v>
      </c>
      <c r="W5205" t="s">
        <v>17943</v>
      </c>
      <c r="X5205">
        <v>39</v>
      </c>
      <c r="Y5205" t="s">
        <v>24158</v>
      </c>
      <c r="Z5205" t="s">
        <v>30523</v>
      </c>
      <c r="AA5205">
        <v>0.34336491339866909</v>
      </c>
      <c r="AB5205" t="str">
        <f>HYPERLINK("Melting_Curves/meltCurve_Q9BSJ8_2_ESYT1.pdf", "Melting_Curves/meltCurve_Q9BSJ8_2_ESYT1.pdf")</f>
        <v>Melting_Curves/meltCurve_Q9BSJ8_2_ESYT1.pdf</v>
      </c>
    </row>
    <row r="5206" spans="1:28" x14ac:dyDescent="0.25">
      <c r="A5206" t="s">
        <v>5210</v>
      </c>
      <c r="B5206">
        <v>0.99542014353169495</v>
      </c>
      <c r="C5206">
        <v>0.94659071231751102</v>
      </c>
      <c r="D5206">
        <v>0.96213231988080505</v>
      </c>
      <c r="E5206">
        <v>0.72757645914352198</v>
      </c>
      <c r="F5206">
        <v>0.66493301356799495</v>
      </c>
      <c r="G5206">
        <v>0.45824735364719998</v>
      </c>
      <c r="H5206">
        <v>0.399365234396026</v>
      </c>
      <c r="I5206">
        <v>0.34428893106638903</v>
      </c>
      <c r="J5206">
        <v>0.29550588464137001</v>
      </c>
      <c r="K5206">
        <v>0.23021517228409</v>
      </c>
      <c r="L5206">
        <v>547.86966432932695</v>
      </c>
      <c r="M5206">
        <v>10.768388338145201</v>
      </c>
      <c r="N5206">
        <v>53.510215756329202</v>
      </c>
      <c r="O5206">
        <v>49.217217707261803</v>
      </c>
      <c r="P5206">
        <v>-4.3466310215459401E-2</v>
      </c>
      <c r="Q5206">
        <v>0.205634972598781</v>
      </c>
      <c r="R5206">
        <v>0.985930899522661</v>
      </c>
      <c r="S5206" t="s">
        <v>11608</v>
      </c>
      <c r="T5206" t="s">
        <v>12802</v>
      </c>
      <c r="U5206" t="s">
        <v>12802</v>
      </c>
      <c r="V5206" t="s">
        <v>12802</v>
      </c>
      <c r="W5206" t="s">
        <v>17944</v>
      </c>
      <c r="X5206">
        <v>2</v>
      </c>
      <c r="Y5206" t="s">
        <v>24159</v>
      </c>
      <c r="Z5206" t="s">
        <v>30524</v>
      </c>
      <c r="AA5206">
        <v>0.59621891646191871</v>
      </c>
      <c r="AB5206" t="str">
        <f>HYPERLINK("Melting_Curves/meltCurve_Q9BSK2_SLC25A33.pdf", "Melting_Curves/meltCurve_Q9BSK2_SLC25A33.pdf")</f>
        <v>Melting_Curves/meltCurve_Q9BSK2_SLC25A33.pdf</v>
      </c>
    </row>
    <row r="5207" spans="1:28" x14ac:dyDescent="0.25">
      <c r="A5207" t="s">
        <v>5211</v>
      </c>
      <c r="B5207">
        <v>0.99542014353169495</v>
      </c>
      <c r="C5207">
        <v>0.80393792532186403</v>
      </c>
      <c r="D5207">
        <v>0.58237995972169598</v>
      </c>
      <c r="E5207">
        <v>0.578200690719052</v>
      </c>
      <c r="F5207">
        <v>0.40304606048018299</v>
      </c>
      <c r="G5207">
        <v>0.16787030877560499</v>
      </c>
      <c r="H5207">
        <v>0.23202366551683901</v>
      </c>
      <c r="I5207">
        <v>0.14605053188827</v>
      </c>
      <c r="J5207">
        <v>0.19705031082784399</v>
      </c>
      <c r="K5207">
        <v>0.12547108962147199</v>
      </c>
      <c r="L5207">
        <v>453.69276896502902</v>
      </c>
      <c r="M5207">
        <v>9.9795883802477494</v>
      </c>
      <c r="N5207">
        <v>46.565445341827299</v>
      </c>
      <c r="O5207">
        <v>43.749656638815601</v>
      </c>
      <c r="P5207">
        <v>-5.1047097421968099E-2</v>
      </c>
      <c r="Q5207">
        <v>0.105294174738299</v>
      </c>
      <c r="R5207">
        <v>0.95659615692273603</v>
      </c>
      <c r="S5207" t="s">
        <v>11609</v>
      </c>
      <c r="T5207" t="s">
        <v>12802</v>
      </c>
      <c r="U5207" t="s">
        <v>12802</v>
      </c>
      <c r="V5207" t="s">
        <v>12802</v>
      </c>
      <c r="W5207" t="s">
        <v>17945</v>
      </c>
      <c r="X5207">
        <v>2</v>
      </c>
      <c r="Y5207" t="s">
        <v>24160</v>
      </c>
      <c r="Z5207" t="s">
        <v>30525</v>
      </c>
      <c r="AA5207">
        <v>0.40074188425092949</v>
      </c>
      <c r="AB5207" t="str">
        <f>HYPERLINK("Melting_Curves/meltCurve_Q9BSK4_FEM1A.pdf", "Melting_Curves/meltCurve_Q9BSK4_FEM1A.pdf")</f>
        <v>Melting_Curves/meltCurve_Q9BSK4_FEM1A.pdf</v>
      </c>
    </row>
    <row r="5208" spans="1:28" x14ac:dyDescent="0.25">
      <c r="A5208" t="s">
        <v>5212</v>
      </c>
      <c r="B5208">
        <v>0.99542014353169495</v>
      </c>
      <c r="C5208">
        <v>0.98626747369141898</v>
      </c>
      <c r="D5208">
        <v>0.91377423287285897</v>
      </c>
      <c r="E5208">
        <v>0.62199808573152604</v>
      </c>
      <c r="F5208">
        <v>0.23168972713686001</v>
      </c>
      <c r="G5208">
        <v>0.107572425813779</v>
      </c>
      <c r="H5208">
        <v>5.7098525766843503E-2</v>
      </c>
      <c r="I5208">
        <v>4.0991977049513899E-2</v>
      </c>
      <c r="J5208">
        <v>5.0779587504806697E-2</v>
      </c>
      <c r="K5208">
        <v>6.1979375285763E-2</v>
      </c>
      <c r="L5208">
        <v>1141.75114222038</v>
      </c>
      <c r="M5208">
        <v>24.118141154377401</v>
      </c>
      <c r="N5208">
        <v>47.541374577302598</v>
      </c>
      <c r="O5208">
        <v>47.018080409799602</v>
      </c>
      <c r="P5208">
        <v>-0.122011652673747</v>
      </c>
      <c r="Q5208">
        <v>4.8572728232740801E-2</v>
      </c>
      <c r="R5208">
        <v>0.999586054301419</v>
      </c>
      <c r="S5208" t="s">
        <v>11610</v>
      </c>
      <c r="T5208" t="s">
        <v>12802</v>
      </c>
      <c r="U5208" t="s">
        <v>12802</v>
      </c>
      <c r="V5208" t="s">
        <v>12802</v>
      </c>
      <c r="W5208" t="s">
        <v>17946</v>
      </c>
      <c r="X5208">
        <v>17</v>
      </c>
      <c r="Y5208" t="s">
        <v>24161</v>
      </c>
      <c r="Z5208" t="s">
        <v>30526</v>
      </c>
      <c r="AA5208">
        <v>0.38512266239405613</v>
      </c>
      <c r="AB5208" t="str">
        <f>HYPERLINK("Melting_Curves/meltCurve_Q9BSL1_UBAC1.pdf", "Melting_Curves/meltCurve_Q9BSL1_UBAC1.pdf")</f>
        <v>Melting_Curves/meltCurve_Q9BSL1_UBAC1.pdf</v>
      </c>
    </row>
    <row r="5209" spans="1:28" x14ac:dyDescent="0.25">
      <c r="A5209" t="s">
        <v>5213</v>
      </c>
      <c r="B5209">
        <v>0.99542014353169495</v>
      </c>
      <c r="C5209">
        <v>0.95533923646308605</v>
      </c>
      <c r="D5209">
        <v>0.93248707231671202</v>
      </c>
      <c r="E5209">
        <v>0.78247479271466602</v>
      </c>
      <c r="F5209">
        <v>0.64360465532391598</v>
      </c>
      <c r="G5209">
        <v>0.47264668282220301</v>
      </c>
      <c r="H5209">
        <v>0.35160870501468899</v>
      </c>
      <c r="I5209">
        <v>0.27882346555947801</v>
      </c>
      <c r="J5209">
        <v>0.29715836600212397</v>
      </c>
      <c r="K5209">
        <v>0.25296351277351597</v>
      </c>
      <c r="L5209">
        <v>630.28846532628302</v>
      </c>
      <c r="M5209">
        <v>12.467957739313899</v>
      </c>
      <c r="N5209">
        <v>53.0044159972987</v>
      </c>
      <c r="O5209">
        <v>49.305023235800697</v>
      </c>
      <c r="P5209">
        <v>-4.9375682097567097E-2</v>
      </c>
      <c r="Q5209">
        <v>0.21913007694391601</v>
      </c>
      <c r="R5209">
        <v>0.99716617156463805</v>
      </c>
      <c r="S5209" t="s">
        <v>11611</v>
      </c>
      <c r="T5209" t="s">
        <v>12802</v>
      </c>
      <c r="U5209" t="s">
        <v>12802</v>
      </c>
      <c r="V5209" t="s">
        <v>12802</v>
      </c>
      <c r="W5209" t="s">
        <v>17947</v>
      </c>
      <c r="X5209">
        <v>4</v>
      </c>
      <c r="Y5209" t="s">
        <v>24162</v>
      </c>
      <c r="Z5209" t="s">
        <v>30527</v>
      </c>
      <c r="AA5209">
        <v>0.59206432659544872</v>
      </c>
      <c r="AB5209" t="str">
        <f>HYPERLINK("Melting_Curves/meltCurve_Q9BSR8_YIPF4.pdf", "Melting_Curves/meltCurve_Q9BSR8_YIPF4.pdf")</f>
        <v>Melting_Curves/meltCurve_Q9BSR8_YIPF4.pdf</v>
      </c>
    </row>
    <row r="5210" spans="1:28" x14ac:dyDescent="0.25">
      <c r="A5210" t="s">
        <v>5214</v>
      </c>
      <c r="B5210">
        <v>0.99542014353169495</v>
      </c>
      <c r="C5210">
        <v>1.032162789939</v>
      </c>
      <c r="D5210">
        <v>0.90241131362732496</v>
      </c>
      <c r="E5210">
        <v>0.74638356280090701</v>
      </c>
      <c r="F5210">
        <v>0.56581848362340703</v>
      </c>
      <c r="G5210">
        <v>0.21430274450519199</v>
      </c>
      <c r="H5210">
        <v>7.2110119034965406E-2</v>
      </c>
      <c r="I5210">
        <v>6.3672174303537998E-2</v>
      </c>
      <c r="J5210">
        <v>0.102598403574436</v>
      </c>
      <c r="K5210">
        <v>9.1034019848758002E-2</v>
      </c>
      <c r="L5210">
        <v>897.51243726374605</v>
      </c>
      <c r="M5210">
        <v>18.018013078429501</v>
      </c>
      <c r="N5210">
        <v>50.099467556359798</v>
      </c>
      <c r="O5210">
        <v>49.210532965207797</v>
      </c>
      <c r="P5210">
        <v>-8.7043618673787002E-2</v>
      </c>
      <c r="Q5210">
        <v>4.9117720204822898E-2</v>
      </c>
      <c r="R5210">
        <v>0.98807781505012404</v>
      </c>
      <c r="S5210" t="s">
        <v>11612</v>
      </c>
      <c r="T5210" t="s">
        <v>12802</v>
      </c>
      <c r="U5210" t="s">
        <v>12802</v>
      </c>
      <c r="V5210" t="s">
        <v>12802</v>
      </c>
      <c r="W5210" t="s">
        <v>17948</v>
      </c>
      <c r="X5210">
        <v>7</v>
      </c>
      <c r="Y5210" t="s">
        <v>24163</v>
      </c>
      <c r="Z5210" t="s">
        <v>30528</v>
      </c>
      <c r="AA5210">
        <v>0.47019409142363711</v>
      </c>
      <c r="AB5210" t="str">
        <f>HYPERLINK("Melting_Curves/meltCurve_Q9BSU3_NAA11.pdf", "Melting_Curves/meltCurve_Q9BSU3_NAA11.pdf")</f>
        <v>Melting_Curves/meltCurve_Q9BSU3_NAA11.pdf</v>
      </c>
    </row>
    <row r="5211" spans="1:28" x14ac:dyDescent="0.25">
      <c r="A5211" t="s">
        <v>5215</v>
      </c>
      <c r="B5211">
        <v>0.99542014353169495</v>
      </c>
      <c r="C5211">
        <v>0.89462518245315903</v>
      </c>
      <c r="D5211">
        <v>0.88018352967256996</v>
      </c>
      <c r="E5211">
        <v>0.80706742690044297</v>
      </c>
      <c r="F5211">
        <v>0.62968356792868196</v>
      </c>
      <c r="G5211">
        <v>0.52796075186158997</v>
      </c>
      <c r="H5211">
        <v>0.45424672908124702</v>
      </c>
      <c r="I5211">
        <v>0.37747401632803501</v>
      </c>
      <c r="J5211">
        <v>0.55279872659647999</v>
      </c>
      <c r="K5211">
        <v>0.67384469484517096</v>
      </c>
      <c r="L5211">
        <v>770.23414245111599</v>
      </c>
      <c r="M5211">
        <v>16.5091268914003</v>
      </c>
      <c r="O5211">
        <v>45.986624696828898</v>
      </c>
      <c r="P5211">
        <v>-4.4415741608936E-2</v>
      </c>
      <c r="Q5211">
        <v>0.50514926682665895</v>
      </c>
      <c r="R5211">
        <v>0.83623932595240502</v>
      </c>
      <c r="S5211" t="s">
        <v>11613</v>
      </c>
      <c r="T5211" t="s">
        <v>12802</v>
      </c>
      <c r="U5211" t="s">
        <v>12802</v>
      </c>
      <c r="V5211" t="s">
        <v>12802</v>
      </c>
      <c r="W5211" t="s">
        <v>17949</v>
      </c>
      <c r="X5211">
        <v>7</v>
      </c>
      <c r="Y5211" t="s">
        <v>24164</v>
      </c>
      <c r="Z5211" t="s">
        <v>30529</v>
      </c>
      <c r="AA5211">
        <v>0.67380287431738861</v>
      </c>
      <c r="AB5211" t="str">
        <f>HYPERLINK("Melting_Curves/meltCurve_Q9BSV6_TSEN34.pdf", "Melting_Curves/meltCurve_Q9BSV6_TSEN34.pdf")</f>
        <v>Melting_Curves/meltCurve_Q9BSV6_TSEN34.pdf</v>
      </c>
    </row>
    <row r="5212" spans="1:28" x14ac:dyDescent="0.25">
      <c r="A5212" t="s">
        <v>5216</v>
      </c>
      <c r="B5212">
        <v>0.99542014353169495</v>
      </c>
      <c r="C5212">
        <v>1.03302870345819</v>
      </c>
      <c r="D5212">
        <v>1.0628068730743201</v>
      </c>
      <c r="E5212">
        <v>0.91122941446424</v>
      </c>
      <c r="F5212">
        <v>0.57804004733332204</v>
      </c>
      <c r="G5212">
        <v>0.26107891358891799</v>
      </c>
      <c r="H5212">
        <v>0.12921417561050599</v>
      </c>
      <c r="I5212">
        <v>8.6534978036845997E-2</v>
      </c>
      <c r="J5212">
        <v>9.2975021611443803E-2</v>
      </c>
      <c r="K5212">
        <v>0.10802320679558899</v>
      </c>
      <c r="L5212">
        <v>1338.48281010147</v>
      </c>
      <c r="M5212">
        <v>26.480662396265899</v>
      </c>
      <c r="N5212">
        <v>50.944758248894502</v>
      </c>
      <c r="O5212">
        <v>50.260067185705203</v>
      </c>
      <c r="P5212">
        <v>-0.119381433436651</v>
      </c>
      <c r="Q5212">
        <v>9.3670251859437198E-2</v>
      </c>
      <c r="R5212">
        <v>0.99584049698785404</v>
      </c>
      <c r="S5212" t="s">
        <v>11614</v>
      </c>
      <c r="T5212" t="s">
        <v>12802</v>
      </c>
      <c r="U5212" t="s">
        <v>12802</v>
      </c>
      <c r="V5212" t="s">
        <v>12802</v>
      </c>
      <c r="W5212" t="s">
        <v>17950</v>
      </c>
      <c r="X5212">
        <v>5</v>
      </c>
      <c r="Y5212" t="s">
        <v>24165</v>
      </c>
      <c r="Z5212" t="s">
        <v>30530</v>
      </c>
      <c r="AA5212">
        <v>0.51004262644629028</v>
      </c>
      <c r="AB5212" t="str">
        <f>HYPERLINK("Melting_Curves/meltCurve_Q9BSW2_2_EFCAB4B.pdf", "Melting_Curves/meltCurve_Q9BSW2_2_EFCAB4B.pdf")</f>
        <v>Melting_Curves/meltCurve_Q9BSW2_2_EFCAB4B.pdf</v>
      </c>
    </row>
    <row r="5213" spans="1:28" x14ac:dyDescent="0.25">
      <c r="A5213" t="s">
        <v>5217</v>
      </c>
      <c r="B5213">
        <v>0.99542014353169495</v>
      </c>
      <c r="C5213">
        <v>1.11469505630304</v>
      </c>
      <c r="D5213">
        <v>1.05596627068905</v>
      </c>
      <c r="E5213">
        <v>1.0229845399378801</v>
      </c>
      <c r="F5213">
        <v>0.84323520340689195</v>
      </c>
      <c r="G5213">
        <v>0.74054856752587706</v>
      </c>
      <c r="H5213">
        <v>0.54127126618824395</v>
      </c>
      <c r="I5213">
        <v>0.52135762667021202</v>
      </c>
      <c r="J5213">
        <v>0.78699789917658602</v>
      </c>
      <c r="K5213">
        <v>0.94124780978859002</v>
      </c>
      <c r="L5213">
        <v>2983.0254407707698</v>
      </c>
      <c r="M5213">
        <v>59.509750724122704</v>
      </c>
      <c r="O5213">
        <v>50.070160050262103</v>
      </c>
      <c r="P5213">
        <v>-8.7674030371726497E-2</v>
      </c>
      <c r="Q5213">
        <v>0.70493235792072295</v>
      </c>
      <c r="R5213">
        <v>0.63903558553517503</v>
      </c>
      <c r="S5213" t="s">
        <v>11615</v>
      </c>
      <c r="T5213" t="s">
        <v>12802</v>
      </c>
      <c r="U5213" t="s">
        <v>12802</v>
      </c>
      <c r="V5213" t="s">
        <v>12802</v>
      </c>
      <c r="W5213" t="s">
        <v>17951</v>
      </c>
      <c r="X5213">
        <v>10</v>
      </c>
      <c r="Y5213" t="s">
        <v>24166</v>
      </c>
      <c r="Z5213" t="s">
        <v>30531</v>
      </c>
      <c r="AA5213">
        <v>0.83450064887169684</v>
      </c>
      <c r="AB5213" t="str">
        <f>HYPERLINK("Melting_Curves/meltCurve_Q9BSY4_CHCHD5.pdf", "Melting_Curves/meltCurve_Q9BSY4_CHCHD5.pdf")</f>
        <v>Melting_Curves/meltCurve_Q9BSY4_CHCHD5.pdf</v>
      </c>
    </row>
    <row r="5214" spans="1:28" x14ac:dyDescent="0.25">
      <c r="A5214" t="s">
        <v>5218</v>
      </c>
      <c r="B5214">
        <v>0.99542014353169495</v>
      </c>
      <c r="C5214">
        <v>1.0477138446328</v>
      </c>
      <c r="D5214">
        <v>0.99663147889223902</v>
      </c>
      <c r="E5214">
        <v>1.0038055479860399</v>
      </c>
      <c r="F5214">
        <v>0.85639218704152598</v>
      </c>
      <c r="G5214">
        <v>0.67386276501966902</v>
      </c>
      <c r="H5214">
        <v>0.46604161272400502</v>
      </c>
      <c r="I5214">
        <v>0.41230969944645302</v>
      </c>
      <c r="J5214">
        <v>0.60519133986631501</v>
      </c>
      <c r="K5214">
        <v>0.73051473260011501</v>
      </c>
      <c r="L5214">
        <v>1864.95765516544</v>
      </c>
      <c r="M5214">
        <v>36.250646979966703</v>
      </c>
      <c r="O5214">
        <v>51.290389881952798</v>
      </c>
      <c r="P5214">
        <v>-7.8010574002183294E-2</v>
      </c>
      <c r="Q5214">
        <v>0.55849836807807496</v>
      </c>
      <c r="R5214">
        <v>0.86290586739128705</v>
      </c>
      <c r="S5214" t="s">
        <v>11616</v>
      </c>
      <c r="T5214" t="s">
        <v>12802</v>
      </c>
      <c r="U5214" t="s">
        <v>12802</v>
      </c>
      <c r="V5214" t="s">
        <v>12802</v>
      </c>
      <c r="W5214" t="s">
        <v>17952</v>
      </c>
      <c r="X5214">
        <v>11</v>
      </c>
      <c r="Y5214" t="s">
        <v>24167</v>
      </c>
      <c r="Z5214" t="s">
        <v>30532</v>
      </c>
      <c r="AA5214">
        <v>0.77300631039065626</v>
      </c>
      <c r="AB5214" t="str">
        <f>HYPERLINK("Melting_Curves/meltCurve_Q9BT09_CNPY3.pdf", "Melting_Curves/meltCurve_Q9BT09_CNPY3.pdf")</f>
        <v>Melting_Curves/meltCurve_Q9BT09_CNPY3.pdf</v>
      </c>
    </row>
    <row r="5215" spans="1:28" x14ac:dyDescent="0.25">
      <c r="A5215" t="s">
        <v>5219</v>
      </c>
      <c r="B5215">
        <v>0.99542014353169495</v>
      </c>
      <c r="C5215">
        <v>0.92198499281283897</v>
      </c>
      <c r="D5215">
        <v>0.98675032330975998</v>
      </c>
      <c r="E5215">
        <v>0.87242512924692395</v>
      </c>
      <c r="F5215">
        <v>0.75509900337590696</v>
      </c>
      <c r="G5215">
        <v>0.41539129479107501</v>
      </c>
      <c r="H5215">
        <v>0.23602502417893101</v>
      </c>
      <c r="I5215">
        <v>0.148726574743687</v>
      </c>
      <c r="J5215">
        <v>6.2377187559427803E-2</v>
      </c>
      <c r="K5215">
        <v>6.9576479799023497E-2</v>
      </c>
      <c r="L5215">
        <v>879.43650055374405</v>
      </c>
      <c r="M5215">
        <v>16.656359705006899</v>
      </c>
      <c r="N5215">
        <v>53.026989676218498</v>
      </c>
      <c r="O5215">
        <v>52.055405923930103</v>
      </c>
      <c r="P5215">
        <v>-7.7232585023019301E-2</v>
      </c>
      <c r="Q5215">
        <v>3.4578073841458903E-2</v>
      </c>
      <c r="R5215">
        <v>0.99295262880351398</v>
      </c>
      <c r="S5215" t="s">
        <v>11617</v>
      </c>
      <c r="T5215" t="s">
        <v>12802</v>
      </c>
      <c r="U5215" t="s">
        <v>12802</v>
      </c>
      <c r="V5215" t="s">
        <v>12802</v>
      </c>
      <c r="W5215" t="s">
        <v>17953</v>
      </c>
      <c r="X5215">
        <v>7</v>
      </c>
      <c r="Y5215" t="s">
        <v>24168</v>
      </c>
      <c r="Z5215" t="s">
        <v>30533</v>
      </c>
      <c r="AA5215">
        <v>0.55860621554698586</v>
      </c>
      <c r="AB5215" t="str">
        <f>HYPERLINK("Melting_Curves/meltCurve_Q9BT22_ALG1.pdf", "Melting_Curves/meltCurve_Q9BT22_ALG1.pdf")</f>
        <v>Melting_Curves/meltCurve_Q9BT22_ALG1.pdf</v>
      </c>
    </row>
    <row r="5216" spans="1:28" x14ac:dyDescent="0.25">
      <c r="A5216" t="s">
        <v>5220</v>
      </c>
      <c r="B5216">
        <v>0.99542014353169495</v>
      </c>
      <c r="C5216">
        <v>1.03389053143634</v>
      </c>
      <c r="D5216">
        <v>1.0930020717794</v>
      </c>
      <c r="E5216">
        <v>0.95644789854613999</v>
      </c>
      <c r="F5216">
        <v>0.75240837924783299</v>
      </c>
      <c r="G5216">
        <v>0.68886384306900605</v>
      </c>
      <c r="H5216">
        <v>0.48066630626162599</v>
      </c>
      <c r="I5216">
        <v>0.370949328614195</v>
      </c>
      <c r="J5216">
        <v>0.46978370102877298</v>
      </c>
      <c r="K5216">
        <v>0.43406647026084999</v>
      </c>
      <c r="L5216">
        <v>1007.75859416181</v>
      </c>
      <c r="M5216">
        <v>19.311479901896401</v>
      </c>
      <c r="N5216">
        <v>57.288658582355303</v>
      </c>
      <c r="O5216">
        <v>51.634517728565697</v>
      </c>
      <c r="P5216">
        <v>-5.5118968265055503E-2</v>
      </c>
      <c r="Q5216">
        <v>0.41051956613927898</v>
      </c>
      <c r="R5216">
        <v>0.96002871674697698</v>
      </c>
      <c r="S5216" t="s">
        <v>11618</v>
      </c>
      <c r="T5216" t="s">
        <v>12802</v>
      </c>
      <c r="U5216" t="s">
        <v>12802</v>
      </c>
      <c r="V5216" t="s">
        <v>12802</v>
      </c>
      <c r="W5216" t="s">
        <v>17954</v>
      </c>
      <c r="X5216">
        <v>3</v>
      </c>
      <c r="Y5216" t="s">
        <v>24169</v>
      </c>
      <c r="Z5216" t="s">
        <v>30534</v>
      </c>
      <c r="AA5216">
        <v>0.71688413831708719</v>
      </c>
      <c r="AB5216" t="str">
        <f>HYPERLINK("Melting_Curves/meltCurve_Q9BT23_LIMD2.pdf", "Melting_Curves/meltCurve_Q9BT23_LIMD2.pdf")</f>
        <v>Melting_Curves/meltCurve_Q9BT23_LIMD2.pdf</v>
      </c>
    </row>
    <row r="5217" spans="1:28" x14ac:dyDescent="0.25">
      <c r="A5217" t="s">
        <v>5221</v>
      </c>
      <c r="B5217">
        <v>0.99542014353169495</v>
      </c>
      <c r="C5217">
        <v>1.02983003814095</v>
      </c>
      <c r="D5217">
        <v>0.97227782728968304</v>
      </c>
      <c r="E5217">
        <v>0.49726881614246998</v>
      </c>
      <c r="F5217">
        <v>0.30858626718566901</v>
      </c>
      <c r="G5217">
        <v>0.19494414063517199</v>
      </c>
      <c r="H5217">
        <v>0.16542214557218701</v>
      </c>
      <c r="I5217">
        <v>0.10985752936652</v>
      </c>
      <c r="J5217">
        <v>0.106655073274881</v>
      </c>
      <c r="K5217">
        <v>0.177187703809039</v>
      </c>
      <c r="L5217">
        <v>1303.7093899973499</v>
      </c>
      <c r="M5217">
        <v>28.1231451767861</v>
      </c>
      <c r="N5217">
        <v>46.9729038362266</v>
      </c>
      <c r="O5217">
        <v>46.124676652412298</v>
      </c>
      <c r="P5217">
        <v>-0.12893223439229001</v>
      </c>
      <c r="Q5217">
        <v>0.15416181339070001</v>
      </c>
      <c r="R5217">
        <v>0.98767003394636799</v>
      </c>
      <c r="S5217" t="s">
        <v>11619</v>
      </c>
      <c r="T5217" t="s">
        <v>12802</v>
      </c>
      <c r="U5217" t="s">
        <v>12802</v>
      </c>
      <c r="V5217" t="s">
        <v>12802</v>
      </c>
      <c r="W5217" t="s">
        <v>17955</v>
      </c>
      <c r="X5217">
        <v>2</v>
      </c>
      <c r="Y5217" t="s">
        <v>24170</v>
      </c>
      <c r="Z5217" t="s">
        <v>30535</v>
      </c>
      <c r="AA5217">
        <v>0.42352326246578947</v>
      </c>
      <c r="AB5217" t="str">
        <f>HYPERLINK("Melting_Curves/meltCurve_Q9BT25_2_HAUS8.pdf", "Melting_Curves/meltCurve_Q9BT25_2_HAUS8.pdf")</f>
        <v>Melting_Curves/meltCurve_Q9BT25_2_HAUS8.pdf</v>
      </c>
    </row>
    <row r="5218" spans="1:28" x14ac:dyDescent="0.25">
      <c r="A5218" t="s">
        <v>5222</v>
      </c>
      <c r="B5218">
        <v>0.99542014353169495</v>
      </c>
      <c r="C5218">
        <v>1.11276956050594</v>
      </c>
      <c r="D5218">
        <v>0.89587481436131899</v>
      </c>
      <c r="E5218">
        <v>0.57890707222002202</v>
      </c>
      <c r="F5218">
        <v>0.29192449093252298</v>
      </c>
      <c r="G5218">
        <v>0.20252253841199799</v>
      </c>
      <c r="H5218">
        <v>0.14874007854542601</v>
      </c>
      <c r="I5218">
        <v>0.101757620310564</v>
      </c>
      <c r="J5218">
        <v>0.14156453789045301</v>
      </c>
      <c r="K5218">
        <v>0.100683483192842</v>
      </c>
      <c r="L5218">
        <v>1082.9317238641299</v>
      </c>
      <c r="M5218">
        <v>23.090304338330998</v>
      </c>
      <c r="N5218">
        <v>47.499066201331203</v>
      </c>
      <c r="O5218">
        <v>46.5523218580093</v>
      </c>
      <c r="P5218">
        <v>-0.108335671628008</v>
      </c>
      <c r="Q5218">
        <v>0.12635467686843399</v>
      </c>
      <c r="R5218">
        <v>0.98660747124847403</v>
      </c>
      <c r="S5218" t="s">
        <v>11620</v>
      </c>
      <c r="T5218" t="s">
        <v>12802</v>
      </c>
      <c r="U5218" t="s">
        <v>12802</v>
      </c>
      <c r="V5218" t="s">
        <v>12802</v>
      </c>
      <c r="W5218" t="s">
        <v>17956</v>
      </c>
      <c r="X5218">
        <v>4</v>
      </c>
      <c r="Y5218" t="s">
        <v>24171</v>
      </c>
      <c r="Z5218" t="s">
        <v>30536</v>
      </c>
      <c r="AA5218">
        <v>0.42324845241924902</v>
      </c>
      <c r="AB5218" t="str">
        <f>HYPERLINK("Melting_Curves/meltCurve_Q9BT30_ALKBH7.pdf", "Melting_Curves/meltCurve_Q9BT30_ALKBH7.pdf")</f>
        <v>Melting_Curves/meltCurve_Q9BT30_ALKBH7.pdf</v>
      </c>
    </row>
    <row r="5219" spans="1:28" x14ac:dyDescent="0.25">
      <c r="A5219" t="s">
        <v>5223</v>
      </c>
      <c r="B5219">
        <v>0.99542014353169495</v>
      </c>
      <c r="C5219">
        <v>0.95392493194952999</v>
      </c>
      <c r="D5219">
        <v>0.96862609862786297</v>
      </c>
      <c r="E5219">
        <v>0.67772850483661295</v>
      </c>
      <c r="F5219">
        <v>0.632692319558678</v>
      </c>
      <c r="G5219">
        <v>0.35436578706735</v>
      </c>
      <c r="H5219">
        <v>0.24872012888925499</v>
      </c>
      <c r="I5219">
        <v>0.19642974680896899</v>
      </c>
      <c r="J5219">
        <v>0.21138444890749</v>
      </c>
      <c r="K5219">
        <v>0.25671331982443502</v>
      </c>
      <c r="L5219">
        <v>725.36889178588694</v>
      </c>
      <c r="M5219">
        <v>14.6813797651677</v>
      </c>
      <c r="N5219">
        <v>51.029072241108899</v>
      </c>
      <c r="O5219">
        <v>48.5178995417889</v>
      </c>
      <c r="P5219">
        <v>-6.1553285049344902E-2</v>
      </c>
      <c r="Q5219">
        <v>0.186423073481922</v>
      </c>
      <c r="R5219">
        <v>0.97705053490824401</v>
      </c>
      <c r="S5219" t="s">
        <v>11621</v>
      </c>
      <c r="T5219" t="s">
        <v>12802</v>
      </c>
      <c r="U5219" t="s">
        <v>12802</v>
      </c>
      <c r="V5219" t="s">
        <v>12802</v>
      </c>
      <c r="W5219" t="s">
        <v>17957</v>
      </c>
      <c r="X5219">
        <v>1</v>
      </c>
      <c r="Y5219" t="s">
        <v>24172</v>
      </c>
      <c r="Z5219" t="s">
        <v>30537</v>
      </c>
      <c r="AA5219">
        <v>0.54078478801705787</v>
      </c>
      <c r="AB5219" t="str">
        <f>HYPERLINK("Melting_Curves/meltCurve_Q9BT67_NDFIP1.pdf", "Melting_Curves/meltCurve_Q9BT67_NDFIP1.pdf")</f>
        <v>Melting_Curves/meltCurve_Q9BT67_NDFIP1.pdf</v>
      </c>
    </row>
    <row r="5220" spans="1:28" x14ac:dyDescent="0.25">
      <c r="A5220" t="s">
        <v>5224</v>
      </c>
      <c r="B5220">
        <v>0.99542014353169495</v>
      </c>
      <c r="C5220">
        <v>1.0107021230392601</v>
      </c>
      <c r="D5220">
        <v>0.90676870916804897</v>
      </c>
      <c r="E5220">
        <v>0.89365408375711197</v>
      </c>
      <c r="F5220">
        <v>0.726788420714231</v>
      </c>
      <c r="G5220">
        <v>0.645111872471408</v>
      </c>
      <c r="H5220">
        <v>0.66491609888694503</v>
      </c>
      <c r="I5220">
        <v>0.65816766141640504</v>
      </c>
      <c r="J5220">
        <v>0.95565923603295599</v>
      </c>
      <c r="K5220">
        <v>0.94540268249708004</v>
      </c>
      <c r="L5220">
        <v>1192.9263119720399</v>
      </c>
      <c r="M5220">
        <v>26.5022306559712</v>
      </c>
      <c r="O5220">
        <v>44.758359959585199</v>
      </c>
      <c r="P5220">
        <v>-3.41511992223308E-2</v>
      </c>
      <c r="Q5220">
        <v>0.769297103651011</v>
      </c>
      <c r="R5220">
        <v>0.42931071232448997</v>
      </c>
      <c r="S5220" t="s">
        <v>11622</v>
      </c>
      <c r="T5220" t="s">
        <v>12802</v>
      </c>
      <c r="U5220" t="s">
        <v>12802</v>
      </c>
      <c r="V5220" t="s">
        <v>12802</v>
      </c>
      <c r="W5220" t="s">
        <v>17958</v>
      </c>
      <c r="X5220">
        <v>4</v>
      </c>
      <c r="Y5220" t="s">
        <v>24173</v>
      </c>
      <c r="Z5220" t="s">
        <v>30538</v>
      </c>
      <c r="AA5220">
        <v>0.83258848920065864</v>
      </c>
      <c r="AB5220" t="str">
        <f>HYPERLINK("Melting_Curves/meltCurve_Q9BT73_PSMG3.pdf", "Melting_Curves/meltCurve_Q9BT73_PSMG3.pdf")</f>
        <v>Melting_Curves/meltCurve_Q9BT73_PSMG3.pdf</v>
      </c>
    </row>
    <row r="5221" spans="1:28" x14ac:dyDescent="0.25">
      <c r="A5221" t="s">
        <v>5225</v>
      </c>
      <c r="B5221">
        <v>0.99542014353169495</v>
      </c>
      <c r="C5221">
        <v>0.77680472601037598</v>
      </c>
      <c r="D5221">
        <v>0.92797173693307</v>
      </c>
      <c r="E5221">
        <v>0.72786336738338997</v>
      </c>
      <c r="F5221">
        <v>0.60337898389241995</v>
      </c>
      <c r="G5221">
        <v>0.32750187048359303</v>
      </c>
      <c r="H5221">
        <v>7.1864723572926101E-2</v>
      </c>
      <c r="I5221">
        <v>4.0133277589513197E-2</v>
      </c>
      <c r="J5221">
        <v>3.2780261026385503E-2</v>
      </c>
      <c r="K5221">
        <v>3.1000558471624501E-2</v>
      </c>
      <c r="L5221">
        <v>716.73425302655698</v>
      </c>
      <c r="M5221">
        <v>14.179898806349399</v>
      </c>
      <c r="N5221">
        <v>50.5457971531373</v>
      </c>
      <c r="O5221">
        <v>49.5723722529249</v>
      </c>
      <c r="P5221">
        <v>-7.1520099431436696E-2</v>
      </c>
      <c r="Q5221">
        <v>0</v>
      </c>
      <c r="R5221">
        <v>0.95880877489980998</v>
      </c>
      <c r="S5221" t="s">
        <v>11623</v>
      </c>
      <c r="T5221" t="s">
        <v>12802</v>
      </c>
      <c r="U5221" t="s">
        <v>12802</v>
      </c>
      <c r="V5221" t="s">
        <v>12802</v>
      </c>
      <c r="W5221" t="s">
        <v>17959</v>
      </c>
      <c r="X5221">
        <v>23</v>
      </c>
      <c r="Y5221" t="s">
        <v>24174</v>
      </c>
      <c r="Z5221" t="s">
        <v>30539</v>
      </c>
      <c r="AA5221">
        <v>0.47363349894375928</v>
      </c>
      <c r="AB5221" t="str">
        <f>HYPERLINK("Melting_Curves/meltCurve_Q9BT78_COPS4.pdf", "Melting_Curves/meltCurve_Q9BT78_COPS4.pdf")</f>
        <v>Melting_Curves/meltCurve_Q9BT78_COPS4.pdf</v>
      </c>
    </row>
    <row r="5222" spans="1:28" x14ac:dyDescent="0.25">
      <c r="A5222" t="s">
        <v>5226</v>
      </c>
      <c r="B5222">
        <v>0.99542014353169495</v>
      </c>
      <c r="C5222">
        <v>0.90946145674545997</v>
      </c>
      <c r="D5222">
        <v>0.89299470678577297</v>
      </c>
      <c r="E5222">
        <v>0.300081923890892</v>
      </c>
      <c r="F5222">
        <v>0.12319293779167401</v>
      </c>
      <c r="G5222">
        <v>7.5824497932881596E-2</v>
      </c>
      <c r="H5222">
        <v>5.4235698690206599E-2</v>
      </c>
      <c r="I5222">
        <v>4.41410663339451E-2</v>
      </c>
      <c r="J5222">
        <v>4.7690801425592198E-2</v>
      </c>
      <c r="K5222">
        <v>5.9906636087691797E-2</v>
      </c>
      <c r="L5222">
        <v>1586.1147796166299</v>
      </c>
      <c r="M5222">
        <v>35.032860799600698</v>
      </c>
      <c r="N5222">
        <v>45.441983065204603</v>
      </c>
      <c r="O5222">
        <v>45.1282746450267</v>
      </c>
      <c r="P5222">
        <v>-0.18235687127891301</v>
      </c>
      <c r="Q5222">
        <v>6.0376409461618097E-2</v>
      </c>
      <c r="R5222">
        <v>0.99396211912218502</v>
      </c>
      <c r="S5222" t="s">
        <v>11624</v>
      </c>
      <c r="T5222" t="s">
        <v>12802</v>
      </c>
      <c r="U5222" t="s">
        <v>12802</v>
      </c>
      <c r="V5222" t="s">
        <v>12802</v>
      </c>
      <c r="W5222" t="s">
        <v>17960</v>
      </c>
      <c r="X5222">
        <v>4</v>
      </c>
      <c r="Y5222" t="s">
        <v>24175</v>
      </c>
      <c r="Z5222" t="s">
        <v>30540</v>
      </c>
      <c r="AA5222">
        <v>0.32341192475202052</v>
      </c>
      <c r="AB5222" t="str">
        <f>HYPERLINK("Melting_Curves/meltCurve_Q9BTA9_2_WAC.pdf", "Melting_Curves/meltCurve_Q9BTA9_2_WAC.pdf")</f>
        <v>Melting_Curves/meltCurve_Q9BTA9_2_WAC.pdf</v>
      </c>
    </row>
    <row r="5223" spans="1:28" x14ac:dyDescent="0.25">
      <c r="A5223" t="s">
        <v>5227</v>
      </c>
      <c r="B5223">
        <v>0.99542014353169495</v>
      </c>
      <c r="C5223">
        <v>0.95548968702928105</v>
      </c>
      <c r="D5223">
        <v>0.94707483187999497</v>
      </c>
      <c r="E5223">
        <v>0.57513217227591995</v>
      </c>
      <c r="F5223">
        <v>0.30994624426278999</v>
      </c>
      <c r="G5223">
        <v>0.18813522765670401</v>
      </c>
      <c r="H5223">
        <v>0.118675857457402</v>
      </c>
      <c r="I5223">
        <v>0.10470600498961399</v>
      </c>
      <c r="J5223">
        <v>0.12505680209353501</v>
      </c>
      <c r="K5223">
        <v>0.17963926077742001</v>
      </c>
      <c r="L5223">
        <v>1099.1621026493201</v>
      </c>
      <c r="M5223">
        <v>23.4255668408892</v>
      </c>
      <c r="N5223">
        <v>47.550780830531501</v>
      </c>
      <c r="O5223">
        <v>46.583566002704799</v>
      </c>
      <c r="P5223">
        <v>-0.108963511345537</v>
      </c>
      <c r="Q5223">
        <v>0.133285617277384</v>
      </c>
      <c r="R5223">
        <v>0.99408769670393704</v>
      </c>
      <c r="S5223" t="s">
        <v>11625</v>
      </c>
      <c r="T5223" t="s">
        <v>12802</v>
      </c>
      <c r="U5223" t="s">
        <v>12802</v>
      </c>
      <c r="V5223" t="s">
        <v>12802</v>
      </c>
      <c r="W5223" t="s">
        <v>17961</v>
      </c>
      <c r="X5223">
        <v>18</v>
      </c>
      <c r="Y5223" t="s">
        <v>24176</v>
      </c>
      <c r="Z5223" t="s">
        <v>30541</v>
      </c>
      <c r="AA5223">
        <v>0.42820802184087231</v>
      </c>
      <c r="AB5223" t="str">
        <f>HYPERLINK("Melting_Curves/meltCurve_Q9BTC0_DIDO1.pdf", "Melting_Curves/meltCurve_Q9BTC0_DIDO1.pdf")</f>
        <v>Melting_Curves/meltCurve_Q9BTC0_DIDO1.pdf</v>
      </c>
    </row>
    <row r="5224" spans="1:28" x14ac:dyDescent="0.25">
      <c r="A5224" t="s">
        <v>5228</v>
      </c>
      <c r="B5224">
        <v>0.99542014353169495</v>
      </c>
      <c r="C5224">
        <v>0.89429705004685101</v>
      </c>
      <c r="D5224">
        <v>0.91613176090493997</v>
      </c>
      <c r="E5224">
        <v>0.60066725713077496</v>
      </c>
      <c r="F5224">
        <v>0.26373224510732701</v>
      </c>
      <c r="G5224">
        <v>0.105849781497695</v>
      </c>
      <c r="H5224">
        <v>5.7857906859349502E-2</v>
      </c>
      <c r="I5224">
        <v>3.70360986430208E-2</v>
      </c>
      <c r="J5224">
        <v>4.2256026456756697E-2</v>
      </c>
      <c r="K5224">
        <v>3.6508788410444797E-2</v>
      </c>
      <c r="L5224">
        <v>959.58941454893898</v>
      </c>
      <c r="M5224">
        <v>20.243855827605099</v>
      </c>
      <c r="N5224">
        <v>47.549733943696801</v>
      </c>
      <c r="O5224">
        <v>46.946238235614203</v>
      </c>
      <c r="P5224">
        <v>-0.10451036451819901</v>
      </c>
      <c r="Q5224">
        <v>3.0576731290114099E-2</v>
      </c>
      <c r="R5224">
        <v>0.99481474602034303</v>
      </c>
      <c r="S5224" t="s">
        <v>11626</v>
      </c>
      <c r="T5224" t="s">
        <v>12802</v>
      </c>
      <c r="U5224" t="s">
        <v>12802</v>
      </c>
      <c r="V5224" t="s">
        <v>12802</v>
      </c>
      <c r="W5224" t="s">
        <v>17962</v>
      </c>
      <c r="X5224">
        <v>22</v>
      </c>
      <c r="Y5224" t="s">
        <v>24177</v>
      </c>
      <c r="Z5224" t="s">
        <v>30542</v>
      </c>
      <c r="AA5224">
        <v>0.3791067489924887</v>
      </c>
      <c r="AB5224" t="str">
        <f>HYPERLINK("Melting_Curves/meltCurve_Q9BTE3_2_MCMBP.pdf", "Melting_Curves/meltCurve_Q9BTE3_2_MCMBP.pdf")</f>
        <v>Melting_Curves/meltCurve_Q9BTE3_2_MCMBP.pdf</v>
      </c>
    </row>
    <row r="5225" spans="1:28" x14ac:dyDescent="0.25">
      <c r="A5225" t="s">
        <v>5229</v>
      </c>
      <c r="B5225">
        <v>0.99542014353169495</v>
      </c>
      <c r="C5225">
        <v>0.97279727816037598</v>
      </c>
      <c r="D5225">
        <v>0.88607543021722401</v>
      </c>
      <c r="E5225">
        <v>0.42070027657917097</v>
      </c>
      <c r="F5225">
        <v>0.22701917020573301</v>
      </c>
      <c r="G5225">
        <v>8.3210982752273704E-2</v>
      </c>
      <c r="H5225">
        <v>6.0705599539351597E-2</v>
      </c>
      <c r="I5225">
        <v>4.1380672377677202E-2</v>
      </c>
      <c r="J5225">
        <v>4.2897176067439799E-2</v>
      </c>
      <c r="K5225">
        <v>4.4582826634026802E-2</v>
      </c>
      <c r="L5225">
        <v>1066.1340669466299</v>
      </c>
      <c r="M5225">
        <v>23.132457922857899</v>
      </c>
      <c r="N5225">
        <v>46.300024922778498</v>
      </c>
      <c r="O5225">
        <v>45.747924008489001</v>
      </c>
      <c r="P5225">
        <v>-0.120068196370783</v>
      </c>
      <c r="Q5225">
        <v>5.0205001695381002E-2</v>
      </c>
      <c r="R5225">
        <v>0.99582957407508399</v>
      </c>
      <c r="S5225" t="s">
        <v>11627</v>
      </c>
      <c r="T5225" t="s">
        <v>12802</v>
      </c>
      <c r="U5225" t="s">
        <v>12802</v>
      </c>
      <c r="V5225" t="s">
        <v>12802</v>
      </c>
      <c r="W5225" t="s">
        <v>17963</v>
      </c>
      <c r="X5225">
        <v>7</v>
      </c>
      <c r="Y5225" t="s">
        <v>24178</v>
      </c>
      <c r="Z5225" t="s">
        <v>30543</v>
      </c>
      <c r="AA5225">
        <v>0.34717121151284558</v>
      </c>
      <c r="AB5225" t="str">
        <f>HYPERLINK("Melting_Curves/meltCurve_Q9BTE7_DCUN1D5.pdf", "Melting_Curves/meltCurve_Q9BTE7_DCUN1D5.pdf")</f>
        <v>Melting_Curves/meltCurve_Q9BTE7_DCUN1D5.pdf</v>
      </c>
    </row>
    <row r="5226" spans="1:28" x14ac:dyDescent="0.25">
      <c r="A5226" t="s">
        <v>5230</v>
      </c>
      <c r="B5226">
        <v>0.99542014353169495</v>
      </c>
      <c r="C5226">
        <v>0.97875810992196699</v>
      </c>
      <c r="D5226">
        <v>0.881477111608721</v>
      </c>
      <c r="E5226">
        <v>0.82784573520895499</v>
      </c>
      <c r="F5226">
        <v>0.722217616082372</v>
      </c>
      <c r="G5226">
        <v>0.43631512226938601</v>
      </c>
      <c r="H5226">
        <v>0.38034188902756</v>
      </c>
      <c r="I5226">
        <v>0.179867116027635</v>
      </c>
      <c r="J5226">
        <v>0.176981654069088</v>
      </c>
      <c r="K5226">
        <v>0.15911313848036601</v>
      </c>
      <c r="L5226">
        <v>585.91431911756604</v>
      </c>
      <c r="M5226">
        <v>11.0564484211574</v>
      </c>
      <c r="N5226">
        <v>53.522919755087997</v>
      </c>
      <c r="O5226">
        <v>51.347998255418602</v>
      </c>
      <c r="P5226">
        <v>-5.1056985164559997E-2</v>
      </c>
      <c r="Q5226">
        <v>5.1844874769937099E-2</v>
      </c>
      <c r="R5226">
        <v>0.98746232794121003</v>
      </c>
      <c r="S5226" t="s">
        <v>11628</v>
      </c>
      <c r="T5226" t="s">
        <v>12802</v>
      </c>
      <c r="U5226" t="s">
        <v>12802</v>
      </c>
      <c r="V5226" t="s">
        <v>12802</v>
      </c>
      <c r="W5226" t="s">
        <v>17964</v>
      </c>
      <c r="X5226">
        <v>4</v>
      </c>
      <c r="Y5226" t="s">
        <v>24179</v>
      </c>
      <c r="Z5226" t="s">
        <v>30544</v>
      </c>
      <c r="AA5226">
        <v>0.57804527911749304</v>
      </c>
      <c r="AB5226" t="str">
        <f>HYPERLINK("Melting_Curves/meltCurve_Q9BTF0_THUMPD2.pdf", "Melting_Curves/meltCurve_Q9BTF0_THUMPD2.pdf")</f>
        <v>Melting_Curves/meltCurve_Q9BTF0_THUMPD2.pdf</v>
      </c>
    </row>
    <row r="5227" spans="1:28" x14ac:dyDescent="0.25">
      <c r="A5227" t="s">
        <v>5231</v>
      </c>
      <c r="B5227">
        <v>0.99542014353169495</v>
      </c>
      <c r="C5227">
        <v>0.90031562411863897</v>
      </c>
      <c r="D5227">
        <v>1.0207885816292599</v>
      </c>
      <c r="E5227">
        <v>1.0161011649353</v>
      </c>
      <c r="F5227">
        <v>0.85773657184830698</v>
      </c>
      <c r="G5227">
        <v>0.69855870395557296</v>
      </c>
      <c r="H5227">
        <v>0.48158262497722198</v>
      </c>
      <c r="I5227">
        <v>0.33724418651043597</v>
      </c>
      <c r="J5227">
        <v>0.46243756431873101</v>
      </c>
      <c r="K5227">
        <v>0.93863413782182004</v>
      </c>
      <c r="L5227">
        <v>1816.1606174763101</v>
      </c>
      <c r="M5227">
        <v>35.157084711103003</v>
      </c>
      <c r="O5227">
        <v>51.4921761119354</v>
      </c>
      <c r="P5227">
        <v>-7.4984865432284706E-2</v>
      </c>
      <c r="Q5227">
        <v>0.56070074652628898</v>
      </c>
      <c r="R5227">
        <v>0.621686869184358</v>
      </c>
      <c r="S5227" t="s">
        <v>11629</v>
      </c>
      <c r="T5227" t="s">
        <v>12802</v>
      </c>
      <c r="U5227" t="s">
        <v>12802</v>
      </c>
      <c r="V5227" t="s">
        <v>12802</v>
      </c>
      <c r="W5227" t="s">
        <v>17965</v>
      </c>
      <c r="X5227">
        <v>4</v>
      </c>
      <c r="Y5227" t="s">
        <v>24180</v>
      </c>
      <c r="Z5227" t="s">
        <v>30545</v>
      </c>
      <c r="AA5227">
        <v>0.77737301988332086</v>
      </c>
      <c r="AB5227" t="str">
        <f>HYPERLINK("Melting_Curves/meltCurve_Q9BTL3_FAM103A1.pdf", "Melting_Curves/meltCurve_Q9BTL3_FAM103A1.pdf")</f>
        <v>Melting_Curves/meltCurve_Q9BTL3_FAM103A1.pdf</v>
      </c>
    </row>
    <row r="5228" spans="1:28" x14ac:dyDescent="0.25">
      <c r="A5228" t="s">
        <v>5232</v>
      </c>
      <c r="B5228">
        <v>0.99542014353169495</v>
      </c>
      <c r="C5228">
        <v>0.97386420719058497</v>
      </c>
      <c r="D5228">
        <v>0.80229818300699196</v>
      </c>
      <c r="E5228">
        <v>0.34749470210021</v>
      </c>
      <c r="F5228">
        <v>0.12369050311763</v>
      </c>
      <c r="G5228">
        <v>8.2445336734918898E-2</v>
      </c>
      <c r="H5228">
        <v>4.4090831573254302E-2</v>
      </c>
      <c r="I5228">
        <v>3.1404347452998999E-2</v>
      </c>
      <c r="J5228">
        <v>3.7297121413833498E-2</v>
      </c>
      <c r="K5228">
        <v>3.60487260964703E-2</v>
      </c>
      <c r="L5228">
        <v>1136.6229043481901</v>
      </c>
      <c r="M5228">
        <v>25.1113052188194</v>
      </c>
      <c r="N5228">
        <v>45.421041269857596</v>
      </c>
      <c r="O5228">
        <v>44.979284899194703</v>
      </c>
      <c r="P5228">
        <v>-0.13374857081063099</v>
      </c>
      <c r="Q5228">
        <v>4.1733032972574503E-2</v>
      </c>
      <c r="R5228">
        <v>0.99940507136592105</v>
      </c>
      <c r="S5228" t="s">
        <v>11630</v>
      </c>
      <c r="T5228" t="s">
        <v>12802</v>
      </c>
      <c r="U5228" t="s">
        <v>12802</v>
      </c>
      <c r="V5228" t="s">
        <v>12802</v>
      </c>
      <c r="W5228" t="s">
        <v>17966</v>
      </c>
      <c r="X5228">
        <v>7</v>
      </c>
      <c r="Y5228" t="s">
        <v>24181</v>
      </c>
      <c r="Z5228" t="s">
        <v>30546</v>
      </c>
      <c r="AA5228">
        <v>0.31349235861594971</v>
      </c>
      <c r="AB5228" t="str">
        <f>HYPERLINK("Melting_Curves/meltCurve_Q9BTT0_ANP32E.pdf", "Melting_Curves/meltCurve_Q9BTT0_ANP32E.pdf")</f>
        <v>Melting_Curves/meltCurve_Q9BTT0_ANP32E.pdf</v>
      </c>
    </row>
    <row r="5229" spans="1:28" x14ac:dyDescent="0.25">
      <c r="A5229" t="s">
        <v>5233</v>
      </c>
      <c r="B5229">
        <v>0.99542014353169495</v>
      </c>
      <c r="C5229">
        <v>0.99848215187131395</v>
      </c>
      <c r="D5229">
        <v>0.92115855902967603</v>
      </c>
      <c r="E5229">
        <v>0.78343001065573503</v>
      </c>
      <c r="F5229">
        <v>0.83446969869739596</v>
      </c>
      <c r="G5229">
        <v>0.64650313037469598</v>
      </c>
      <c r="H5229">
        <v>0.411616198861807</v>
      </c>
      <c r="I5229">
        <v>0.30168573702641699</v>
      </c>
      <c r="J5229">
        <v>0.39821868704149899</v>
      </c>
      <c r="K5229">
        <v>0.50565772683131904</v>
      </c>
      <c r="L5229">
        <v>719.95815326971297</v>
      </c>
      <c r="M5229">
        <v>13.9550737795615</v>
      </c>
      <c r="N5229">
        <v>56.742310558511399</v>
      </c>
      <c r="O5229">
        <v>50.566371532891097</v>
      </c>
      <c r="P5229">
        <v>-4.4221074712522401E-2</v>
      </c>
      <c r="Q5229">
        <v>0.35914357021837201</v>
      </c>
      <c r="R5229">
        <v>0.90454117321748495</v>
      </c>
      <c r="S5229" t="s">
        <v>11631</v>
      </c>
      <c r="T5229" t="s">
        <v>12802</v>
      </c>
      <c r="U5229" t="s">
        <v>12802</v>
      </c>
      <c r="V5229" t="s">
        <v>12802</v>
      </c>
      <c r="W5229" t="s">
        <v>17967</v>
      </c>
      <c r="X5229">
        <v>3</v>
      </c>
      <c r="Y5229" t="s">
        <v>24182</v>
      </c>
      <c r="Z5229" t="s">
        <v>30547</v>
      </c>
      <c r="AA5229">
        <v>0.68448237098271281</v>
      </c>
      <c r="AB5229" t="str">
        <f>HYPERLINK("Melting_Curves/meltCurve_Q9BTT4_MED10.pdf", "Melting_Curves/meltCurve_Q9BTT4_MED10.pdf")</f>
        <v>Melting_Curves/meltCurve_Q9BTT4_MED10.pdf</v>
      </c>
    </row>
    <row r="5230" spans="1:28" x14ac:dyDescent="0.25">
      <c r="A5230" t="s">
        <v>5234</v>
      </c>
      <c r="B5230">
        <v>0.99542014353169495</v>
      </c>
      <c r="C5230">
        <v>0.952341263738402</v>
      </c>
      <c r="D5230">
        <v>0.90207938897779605</v>
      </c>
      <c r="E5230">
        <v>0.81088953914017503</v>
      </c>
      <c r="F5230">
        <v>0.64283026416165201</v>
      </c>
      <c r="G5230">
        <v>0.45881627354768401</v>
      </c>
      <c r="H5230">
        <v>0.192599833465873</v>
      </c>
      <c r="I5230">
        <v>8.0496785137523799E-2</v>
      </c>
      <c r="J5230">
        <v>7.5379295646866004E-2</v>
      </c>
      <c r="K5230">
        <v>8.7859110238640806E-2</v>
      </c>
      <c r="L5230">
        <v>684.04661362189904</v>
      </c>
      <c r="M5230">
        <v>13.105384445927999</v>
      </c>
      <c r="N5230">
        <v>52.195834037029698</v>
      </c>
      <c r="O5230">
        <v>51.025399492927797</v>
      </c>
      <c r="P5230">
        <v>-6.4221093931048995E-2</v>
      </c>
      <c r="Q5230">
        <v>0</v>
      </c>
      <c r="R5230">
        <v>0.99131247564903402</v>
      </c>
      <c r="S5230" t="s">
        <v>11632</v>
      </c>
      <c r="T5230" t="s">
        <v>12802</v>
      </c>
      <c r="U5230" t="s">
        <v>12802</v>
      </c>
      <c r="V5230" t="s">
        <v>12802</v>
      </c>
      <c r="W5230" t="s">
        <v>17968</v>
      </c>
      <c r="X5230">
        <v>17</v>
      </c>
      <c r="Y5230" t="s">
        <v>24183</v>
      </c>
      <c r="Z5230" t="s">
        <v>30548</v>
      </c>
      <c r="AA5230">
        <v>0.52818320985879752</v>
      </c>
      <c r="AB5230" t="str">
        <f>HYPERLINK("Melting_Curves/meltCurve_Q9BTU6_PI4K2A.pdf", "Melting_Curves/meltCurve_Q9BTU6_PI4K2A.pdf")</f>
        <v>Melting_Curves/meltCurve_Q9BTU6_PI4K2A.pdf</v>
      </c>
    </row>
    <row r="5231" spans="1:28" x14ac:dyDescent="0.25">
      <c r="A5231" t="s">
        <v>5235</v>
      </c>
      <c r="B5231">
        <v>0.99542014353169495</v>
      </c>
      <c r="C5231">
        <v>1.12778563866589</v>
      </c>
      <c r="D5231">
        <v>1.1363766264592301</v>
      </c>
      <c r="E5231">
        <v>1.1984240688043999</v>
      </c>
      <c r="F5231">
        <v>1.25305583816841</v>
      </c>
      <c r="G5231">
        <v>0.27595966389908499</v>
      </c>
      <c r="H5231">
        <v>0.150046143913456</v>
      </c>
      <c r="I5231">
        <v>9.3492701539131404E-2</v>
      </c>
      <c r="J5231">
        <v>0.100939934704594</v>
      </c>
      <c r="K5231">
        <v>4.35685036287701E-2</v>
      </c>
      <c r="L5231">
        <v>13374.8009652861</v>
      </c>
      <c r="M5231">
        <v>250</v>
      </c>
      <c r="N5231">
        <v>53.5454006825126</v>
      </c>
      <c r="O5231">
        <v>53.495780409908498</v>
      </c>
      <c r="P5231">
        <v>-1.05497598186519</v>
      </c>
      <c r="Q5231">
        <v>9.7011788054024703E-2</v>
      </c>
      <c r="R5231">
        <v>0.94492956048888699</v>
      </c>
      <c r="S5231" t="s">
        <v>11633</v>
      </c>
      <c r="T5231" t="s">
        <v>12802</v>
      </c>
      <c r="U5231" t="s">
        <v>12802</v>
      </c>
      <c r="V5231" t="s">
        <v>12802</v>
      </c>
      <c r="W5231" t="s">
        <v>17969</v>
      </c>
      <c r="X5231">
        <v>3</v>
      </c>
      <c r="Y5231" t="s">
        <v>24184</v>
      </c>
      <c r="Z5231" t="s">
        <v>30549</v>
      </c>
      <c r="AA5231">
        <v>0.59371612296474574</v>
      </c>
      <c r="AB5231" t="str">
        <f>HYPERLINK("Melting_Curves/meltCurve_Q9BTV4_TMEM43.pdf", "Melting_Curves/meltCurve_Q9BTV4_TMEM43.pdf")</f>
        <v>Melting_Curves/meltCurve_Q9BTV4_TMEM43.pdf</v>
      </c>
    </row>
    <row r="5232" spans="1:28" x14ac:dyDescent="0.25">
      <c r="A5232" t="s">
        <v>5236</v>
      </c>
      <c r="B5232">
        <v>0.99542014353169495</v>
      </c>
      <c r="C5232">
        <v>1.0070755565456699</v>
      </c>
      <c r="D5232">
        <v>0.94590231743141695</v>
      </c>
      <c r="E5232">
        <v>0.994481371372537</v>
      </c>
      <c r="F5232">
        <v>0.86132806154894004</v>
      </c>
      <c r="G5232">
        <v>0.81383092393138601</v>
      </c>
      <c r="H5232">
        <v>0.54831293443510198</v>
      </c>
      <c r="I5232">
        <v>0.32121206214464099</v>
      </c>
      <c r="J5232">
        <v>0.143372722633646</v>
      </c>
      <c r="K5232">
        <v>6.4341037261911094E-2</v>
      </c>
      <c r="L5232">
        <v>986.64285654496905</v>
      </c>
      <c r="M5232">
        <v>17.017181978030798</v>
      </c>
      <c r="N5232">
        <v>57.979216037886601</v>
      </c>
      <c r="O5232">
        <v>57.196312714163298</v>
      </c>
      <c r="P5232">
        <v>-7.4385164396928397E-2</v>
      </c>
      <c r="Q5232">
        <v>0</v>
      </c>
      <c r="R5232">
        <v>0.991746236309893</v>
      </c>
      <c r="S5232" t="s">
        <v>11634</v>
      </c>
      <c r="T5232" t="s">
        <v>12802</v>
      </c>
      <c r="U5232" t="s">
        <v>12802</v>
      </c>
      <c r="V5232" t="s">
        <v>12802</v>
      </c>
      <c r="W5232" t="s">
        <v>17970</v>
      </c>
      <c r="X5232">
        <v>2</v>
      </c>
      <c r="Y5232" t="s">
        <v>24185</v>
      </c>
      <c r="Z5232" t="s">
        <v>30550</v>
      </c>
      <c r="AA5232">
        <v>0.70520757628253816</v>
      </c>
      <c r="AB5232" t="str">
        <f>HYPERLINK("Melting_Curves/meltCurve_Q9BTV6_WDR85.pdf", "Melting_Curves/meltCurve_Q9BTV6_WDR85.pdf")</f>
        <v>Melting_Curves/meltCurve_Q9BTV6_WDR85.pdf</v>
      </c>
    </row>
    <row r="5233" spans="1:28" x14ac:dyDescent="0.25">
      <c r="A5233" t="s">
        <v>5237</v>
      </c>
      <c r="B5233">
        <v>0.99542014353169495</v>
      </c>
      <c r="C5233">
        <v>0.98263132448707802</v>
      </c>
      <c r="D5233">
        <v>0.93659137822641103</v>
      </c>
      <c r="E5233">
        <v>0.81125289565826897</v>
      </c>
      <c r="F5233">
        <v>0.59670062293860904</v>
      </c>
      <c r="G5233">
        <v>0.42551016468483999</v>
      </c>
      <c r="H5233">
        <v>0.285795921782524</v>
      </c>
      <c r="I5233">
        <v>0.175384086266334</v>
      </c>
      <c r="J5233">
        <v>0.12724360535444901</v>
      </c>
      <c r="K5233">
        <v>0.116465855469429</v>
      </c>
      <c r="L5233">
        <v>638.55238710047399</v>
      </c>
      <c r="M5233">
        <v>12.348999755988199</v>
      </c>
      <c r="N5233">
        <v>52.227635420134</v>
      </c>
      <c r="O5233">
        <v>50.4089780904036</v>
      </c>
      <c r="P5233">
        <v>-5.7721409911747498E-2</v>
      </c>
      <c r="Q5233">
        <v>5.7721338063211003E-2</v>
      </c>
      <c r="R5233">
        <v>0.99924115362438104</v>
      </c>
      <c r="S5233" t="s">
        <v>11635</v>
      </c>
      <c r="T5233" t="s">
        <v>12802</v>
      </c>
      <c r="U5233" t="s">
        <v>12802</v>
      </c>
      <c r="V5233" t="s">
        <v>12802</v>
      </c>
      <c r="W5233" t="s">
        <v>17971</v>
      </c>
      <c r="X5233">
        <v>7</v>
      </c>
      <c r="Y5233" t="s">
        <v>24186</v>
      </c>
      <c r="Z5233" t="s">
        <v>30551</v>
      </c>
      <c r="AA5233">
        <v>0.54219141222759282</v>
      </c>
      <c r="AB5233" t="str">
        <f>HYPERLINK("Melting_Curves/meltCurve_Q9BTY2_FUCA2.pdf", "Melting_Curves/meltCurve_Q9BTY2_FUCA2.pdf")</f>
        <v>Melting_Curves/meltCurve_Q9BTY2_FUCA2.pdf</v>
      </c>
    </row>
    <row r="5234" spans="1:28" x14ac:dyDescent="0.25">
      <c r="A5234" t="s">
        <v>5238</v>
      </c>
      <c r="B5234">
        <v>0.99542014353169495</v>
      </c>
      <c r="C5234">
        <v>0.91786191913897497</v>
      </c>
      <c r="D5234">
        <v>0.80841011215935099</v>
      </c>
      <c r="E5234">
        <v>0.45512270302867802</v>
      </c>
      <c r="F5234">
        <v>0.17826597907477401</v>
      </c>
      <c r="G5234">
        <v>0.100055352111563</v>
      </c>
      <c r="H5234">
        <v>5.4727808084679502E-2</v>
      </c>
      <c r="I5234">
        <v>4.4549401992208797E-2</v>
      </c>
      <c r="J5234">
        <v>4.2068447620206201E-2</v>
      </c>
      <c r="K5234">
        <v>4.7225574712604503E-2</v>
      </c>
      <c r="L5234">
        <v>891.24305790336905</v>
      </c>
      <c r="M5234">
        <v>19.413060141856398</v>
      </c>
      <c r="N5234">
        <v>46.101155097903501</v>
      </c>
      <c r="O5234">
        <v>45.430634310985504</v>
      </c>
      <c r="P5234">
        <v>-0.102689482579663</v>
      </c>
      <c r="Q5234">
        <v>3.8775534297150901E-2</v>
      </c>
      <c r="R5234">
        <v>0.99886240486406896</v>
      </c>
      <c r="S5234" t="s">
        <v>11636</v>
      </c>
      <c r="T5234" t="s">
        <v>12802</v>
      </c>
      <c r="U5234" t="s">
        <v>12802</v>
      </c>
      <c r="V5234" t="s">
        <v>12802</v>
      </c>
      <c r="W5234" t="s">
        <v>17972</v>
      </c>
      <c r="X5234">
        <v>14</v>
      </c>
      <c r="Y5234" t="s">
        <v>24187</v>
      </c>
      <c r="Z5234" t="s">
        <v>30552</v>
      </c>
      <c r="AA5234">
        <v>0.33759374204068349</v>
      </c>
      <c r="AB5234" t="str">
        <f>HYPERLINK("Melting_Curves/meltCurve_Q9BTY7_FAM203A.pdf", "Melting_Curves/meltCurve_Q9BTY7_FAM203A.pdf")</f>
        <v>Melting_Curves/meltCurve_Q9BTY7_FAM203A.pdf</v>
      </c>
    </row>
    <row r="5235" spans="1:28" x14ac:dyDescent="0.25">
      <c r="A5235" t="s">
        <v>5239</v>
      </c>
      <c r="B5235">
        <v>0.99542014353169495</v>
      </c>
      <c r="C5235">
        <v>0.960906991087917</v>
      </c>
      <c r="D5235">
        <v>0.93394926984939797</v>
      </c>
      <c r="E5235">
        <v>0.87751998982217705</v>
      </c>
      <c r="F5235">
        <v>0.62078176923476402</v>
      </c>
      <c r="G5235">
        <v>0.36955043029853402</v>
      </c>
      <c r="H5235">
        <v>0.20311148337377</v>
      </c>
      <c r="I5235">
        <v>0.10988506412700499</v>
      </c>
      <c r="J5235">
        <v>0.128024271091884</v>
      </c>
      <c r="K5235">
        <v>0.12712460943034601</v>
      </c>
      <c r="L5235">
        <v>907.32861180242799</v>
      </c>
      <c r="M5235">
        <v>17.736266433956601</v>
      </c>
      <c r="N5235">
        <v>51.760789039940299</v>
      </c>
      <c r="O5235">
        <v>50.519655278457002</v>
      </c>
      <c r="P5235">
        <v>-7.9567709424968699E-2</v>
      </c>
      <c r="Q5235">
        <v>9.3490565790648697E-2</v>
      </c>
      <c r="R5235">
        <v>0.99680332752711698</v>
      </c>
      <c r="S5235" t="s">
        <v>11637</v>
      </c>
      <c r="T5235" t="s">
        <v>12802</v>
      </c>
      <c r="U5235" t="s">
        <v>12802</v>
      </c>
      <c r="V5235" t="s">
        <v>12802</v>
      </c>
      <c r="W5235" t="s">
        <v>17973</v>
      </c>
      <c r="X5235">
        <v>4</v>
      </c>
      <c r="Y5235" t="s">
        <v>24188</v>
      </c>
      <c r="Z5235" t="s">
        <v>30553</v>
      </c>
      <c r="AA5235">
        <v>0.53559442564498316</v>
      </c>
      <c r="AB5235" t="str">
        <f>HYPERLINK("Melting_Curves/meltCurve_Q9BTZ2_8_DHRS4.pdf", "Melting_Curves/meltCurve_Q9BTZ2_8_DHRS4.pdf")</f>
        <v>Melting_Curves/meltCurve_Q9BTZ2_8_DHRS4.pdf</v>
      </c>
    </row>
    <row r="5236" spans="1:28" x14ac:dyDescent="0.25">
      <c r="A5236" t="s">
        <v>5240</v>
      </c>
      <c r="B5236">
        <v>0.99542014353169495</v>
      </c>
      <c r="C5236">
        <v>0.93682673192773502</v>
      </c>
      <c r="D5236">
        <v>0.89900370751301895</v>
      </c>
      <c r="E5236">
        <v>0.78603143946529197</v>
      </c>
      <c r="F5236">
        <v>0.56635057525791399</v>
      </c>
      <c r="G5236">
        <v>0.40329318700616401</v>
      </c>
      <c r="H5236">
        <v>0.21168627535874199</v>
      </c>
      <c r="I5236">
        <v>9.0490727758721703E-2</v>
      </c>
      <c r="J5236">
        <v>8.2477568277874502E-2</v>
      </c>
      <c r="K5236">
        <v>9.3732114525210297E-2</v>
      </c>
      <c r="L5236">
        <v>613.38517930463399</v>
      </c>
      <c r="M5236">
        <v>11.9250758899174</v>
      </c>
      <c r="N5236">
        <v>51.436584867462102</v>
      </c>
      <c r="O5236">
        <v>50.054143847444799</v>
      </c>
      <c r="P5236">
        <v>-5.9575594032593097E-2</v>
      </c>
      <c r="Q5236">
        <v>0</v>
      </c>
      <c r="R5236">
        <v>0.99559955291276403</v>
      </c>
      <c r="S5236" t="s">
        <v>11638</v>
      </c>
      <c r="T5236" t="s">
        <v>12802</v>
      </c>
      <c r="U5236" t="s">
        <v>12802</v>
      </c>
      <c r="V5236" t="s">
        <v>12802</v>
      </c>
      <c r="W5236" t="s">
        <v>17974</v>
      </c>
      <c r="X5236">
        <v>5</v>
      </c>
      <c r="Y5236" t="s">
        <v>24189</v>
      </c>
      <c r="Z5236" t="s">
        <v>30554</v>
      </c>
      <c r="AA5236">
        <v>0.50644450504469241</v>
      </c>
      <c r="AB5236" t="str">
        <f>HYPERLINK("Melting_Curves/meltCurve_Q9BU61_NDUFAF3.pdf", "Melting_Curves/meltCurve_Q9BU61_NDUFAF3.pdf")</f>
        <v>Melting_Curves/meltCurve_Q9BU61_NDUFAF3.pdf</v>
      </c>
    </row>
    <row r="5237" spans="1:28" x14ac:dyDescent="0.25">
      <c r="A5237" t="s">
        <v>5241</v>
      </c>
      <c r="B5237">
        <v>0.99542014353169495</v>
      </c>
      <c r="C5237">
        <v>0.87871401837236696</v>
      </c>
      <c r="D5237">
        <v>0.85624970375895604</v>
      </c>
      <c r="E5237">
        <v>0.68779861254347596</v>
      </c>
      <c r="F5237">
        <v>0.50243007820807695</v>
      </c>
      <c r="G5237">
        <v>0.324728660691531</v>
      </c>
      <c r="H5237">
        <v>0.215779305082578</v>
      </c>
      <c r="I5237">
        <v>0.13639684143337</v>
      </c>
      <c r="J5237">
        <v>0.20225322848105101</v>
      </c>
      <c r="K5237">
        <v>0.25886162731807999</v>
      </c>
      <c r="L5237">
        <v>629.59023834250195</v>
      </c>
      <c r="M5237">
        <v>13.0600886165831</v>
      </c>
      <c r="N5237">
        <v>49.667956990694101</v>
      </c>
      <c r="O5237">
        <v>47.118960233688099</v>
      </c>
      <c r="P5237">
        <v>-5.8253043971095202E-2</v>
      </c>
      <c r="Q5237">
        <v>0.15947074077889301</v>
      </c>
      <c r="R5237">
        <v>0.97969563401438997</v>
      </c>
      <c r="S5237" t="s">
        <v>11639</v>
      </c>
      <c r="T5237" t="s">
        <v>12802</v>
      </c>
      <c r="U5237" t="s">
        <v>12802</v>
      </c>
      <c r="V5237" t="s">
        <v>12802</v>
      </c>
      <c r="W5237" t="s">
        <v>17975</v>
      </c>
      <c r="X5237">
        <v>5</v>
      </c>
      <c r="Y5237" t="s">
        <v>24190</v>
      </c>
      <c r="Z5237" t="s">
        <v>30555</v>
      </c>
      <c r="AA5237">
        <v>0.49644643444468911</v>
      </c>
      <c r="AB5237" t="str">
        <f>HYPERLINK("Melting_Curves/meltCurve_Q9BU76_4_MMTAG2.pdf", "Melting_Curves/meltCurve_Q9BU76_4_MMTAG2.pdf")</f>
        <v>Melting_Curves/meltCurve_Q9BU76_4_MMTAG2.pdf</v>
      </c>
    </row>
    <row r="5238" spans="1:28" x14ac:dyDescent="0.25">
      <c r="A5238" t="s">
        <v>5242</v>
      </c>
      <c r="B5238">
        <v>0.99542014353169495</v>
      </c>
      <c r="C5238">
        <v>0.95459307862379605</v>
      </c>
      <c r="D5238">
        <v>0.64788093790841095</v>
      </c>
      <c r="E5238">
        <v>0.38564299889431503</v>
      </c>
      <c r="F5238">
        <v>0.244947092571356</v>
      </c>
      <c r="G5238">
        <v>0.14431768105944301</v>
      </c>
      <c r="H5238">
        <v>9.3041630731405298E-2</v>
      </c>
      <c r="I5238">
        <v>6.46654747893253E-2</v>
      </c>
      <c r="J5238">
        <v>7.2896318533731894E-2</v>
      </c>
      <c r="K5238">
        <v>7.6783397722401406E-2</v>
      </c>
      <c r="L5238">
        <v>746.10888290557705</v>
      </c>
      <c r="M5238">
        <v>16.651837806734601</v>
      </c>
      <c r="N5238">
        <v>45.2452025685308</v>
      </c>
      <c r="O5238">
        <v>44.175136783939102</v>
      </c>
      <c r="P5238">
        <v>-8.7216574306510405E-2</v>
      </c>
      <c r="Q5238">
        <v>7.4565146986068198E-2</v>
      </c>
      <c r="R5238">
        <v>0.99309193474786095</v>
      </c>
      <c r="S5238" t="s">
        <v>11640</v>
      </c>
      <c r="T5238" t="s">
        <v>12802</v>
      </c>
      <c r="U5238" t="s">
        <v>12802</v>
      </c>
      <c r="V5238" t="s">
        <v>12802</v>
      </c>
      <c r="W5238" t="s">
        <v>17976</v>
      </c>
      <c r="X5238">
        <v>17</v>
      </c>
      <c r="Y5238" t="s">
        <v>24191</v>
      </c>
      <c r="Z5238" t="s">
        <v>30556</v>
      </c>
      <c r="AA5238">
        <v>0.33328866003253282</v>
      </c>
      <c r="AB5238" t="str">
        <f>HYPERLINK("Melting_Curves/meltCurve_Q9BU89_DOHH.pdf", "Melting_Curves/meltCurve_Q9BU89_DOHH.pdf")</f>
        <v>Melting_Curves/meltCurve_Q9BU89_DOHH.pdf</v>
      </c>
    </row>
    <row r="5239" spans="1:28" x14ac:dyDescent="0.25">
      <c r="A5239" t="s">
        <v>5243</v>
      </c>
      <c r="B5239">
        <v>0.99542014353169495</v>
      </c>
      <c r="C5239">
        <v>1.02451139948078</v>
      </c>
      <c r="D5239">
        <v>0.94018954576801494</v>
      </c>
      <c r="E5239">
        <v>0.69456612527216999</v>
      </c>
      <c r="F5239">
        <v>0.40344622611647402</v>
      </c>
      <c r="G5239">
        <v>0.24903312445381101</v>
      </c>
      <c r="H5239">
        <v>0.133591555093522</v>
      </c>
      <c r="I5239">
        <v>0.21845005607412701</v>
      </c>
      <c r="J5239">
        <v>0.30213995597492999</v>
      </c>
      <c r="K5239">
        <v>0.336077489875166</v>
      </c>
      <c r="L5239">
        <v>1274.3507807000101</v>
      </c>
      <c r="M5239">
        <v>26.927615386322099</v>
      </c>
      <c r="N5239">
        <v>48.534319918849697</v>
      </c>
      <c r="O5239">
        <v>47.0663661759626</v>
      </c>
      <c r="P5239">
        <v>-0.108077722105776</v>
      </c>
      <c r="Q5239">
        <v>0.244378128394422</v>
      </c>
      <c r="R5239">
        <v>0.97398396914722896</v>
      </c>
      <c r="S5239" t="s">
        <v>11641</v>
      </c>
      <c r="T5239" t="s">
        <v>12802</v>
      </c>
      <c r="U5239" t="s">
        <v>12802</v>
      </c>
      <c r="V5239" t="s">
        <v>12802</v>
      </c>
      <c r="W5239" t="s">
        <v>17977</v>
      </c>
      <c r="X5239">
        <v>3</v>
      </c>
      <c r="Y5239" t="s">
        <v>24192</v>
      </c>
      <c r="Z5239" t="s">
        <v>30557</v>
      </c>
      <c r="AA5239">
        <v>0.50993261531439926</v>
      </c>
      <c r="AB5239" t="str">
        <f>HYPERLINK("Melting_Curves/meltCurve_Q9BUA3_C11orf84.pdf", "Melting_Curves/meltCurve_Q9BUA3_C11orf84.pdf")</f>
        <v>Melting_Curves/meltCurve_Q9BUA3_C11orf84.pdf</v>
      </c>
    </row>
    <row r="5240" spans="1:28" x14ac:dyDescent="0.25">
      <c r="A5240" t="s">
        <v>5244</v>
      </c>
      <c r="B5240">
        <v>0.99542014353169495</v>
      </c>
      <c r="C5240">
        <v>0.98090035397443998</v>
      </c>
      <c r="D5240">
        <v>0.66069786045215495</v>
      </c>
      <c r="E5240">
        <v>0.32938901272425503</v>
      </c>
      <c r="F5240">
        <v>0.22373436270313399</v>
      </c>
      <c r="G5240">
        <v>0.150173193327264</v>
      </c>
      <c r="H5240">
        <v>0.104975271872531</v>
      </c>
      <c r="I5240">
        <v>0.105763989388642</v>
      </c>
      <c r="J5240">
        <v>0.14211808694545899</v>
      </c>
      <c r="K5240">
        <v>9.7590123942475196E-2</v>
      </c>
      <c r="L5240">
        <v>980.30851586693905</v>
      </c>
      <c r="M5240">
        <v>22.192739055324601</v>
      </c>
      <c r="N5240">
        <v>44.736235454831302</v>
      </c>
      <c r="O5240">
        <v>43.8185283987929</v>
      </c>
      <c r="P5240">
        <v>-0.111174871046529</v>
      </c>
      <c r="Q5240">
        <v>0.12198067299743</v>
      </c>
      <c r="R5240">
        <v>0.99330336773156602</v>
      </c>
      <c r="S5240" t="s">
        <v>11642</v>
      </c>
      <c r="T5240" t="s">
        <v>12802</v>
      </c>
      <c r="U5240" t="s">
        <v>12802</v>
      </c>
      <c r="V5240" t="s">
        <v>12802</v>
      </c>
      <c r="W5240" t="s">
        <v>17978</v>
      </c>
      <c r="X5240">
        <v>1</v>
      </c>
      <c r="Y5240" t="s">
        <v>24193</v>
      </c>
      <c r="Z5240" t="s">
        <v>30558</v>
      </c>
      <c r="AA5240">
        <v>0.341225693697847</v>
      </c>
      <c r="AB5240" t="str">
        <f>HYPERLINK("Melting_Curves/meltCurve_Q9BUB4_2_ADAT1.pdf", "Melting_Curves/meltCurve_Q9BUB4_2_ADAT1.pdf")</f>
        <v>Melting_Curves/meltCurve_Q9BUB4_2_ADAT1.pdf</v>
      </c>
    </row>
    <row r="5241" spans="1:28" x14ac:dyDescent="0.25">
      <c r="A5241" t="s">
        <v>5245</v>
      </c>
      <c r="B5241">
        <v>0.99542014353169495</v>
      </c>
      <c r="C5241">
        <v>1.0071137284733001</v>
      </c>
      <c r="D5241">
        <v>0.90963429385340999</v>
      </c>
      <c r="E5241">
        <v>0.76881347338789396</v>
      </c>
      <c r="F5241">
        <v>0.42877353871691098</v>
      </c>
      <c r="G5241">
        <v>0.211450867900004</v>
      </c>
      <c r="H5241">
        <v>0.12656923060806899</v>
      </c>
      <c r="I5241">
        <v>7.0924693570035405E-2</v>
      </c>
      <c r="J5241">
        <v>4.7864226863873399E-2</v>
      </c>
      <c r="K5241">
        <v>5.4420928247752597E-2</v>
      </c>
      <c r="L5241">
        <v>897.29404393265304</v>
      </c>
      <c r="M5241">
        <v>18.219515942827702</v>
      </c>
      <c r="N5241">
        <v>49.5024923094157</v>
      </c>
      <c r="O5241">
        <v>48.667278589864601</v>
      </c>
      <c r="P5241">
        <v>-8.9428895054178004E-2</v>
      </c>
      <c r="Q5241">
        <v>4.4529050629379799E-2</v>
      </c>
      <c r="R5241">
        <v>0.99869544120514098</v>
      </c>
      <c r="S5241" t="s">
        <v>11643</v>
      </c>
      <c r="T5241" t="s">
        <v>12802</v>
      </c>
      <c r="U5241" t="s">
        <v>12802</v>
      </c>
      <c r="V5241" t="s">
        <v>12802</v>
      </c>
      <c r="W5241" t="s">
        <v>17979</v>
      </c>
      <c r="X5241">
        <v>6</v>
      </c>
      <c r="Y5241" t="s">
        <v>24194</v>
      </c>
      <c r="Z5241" t="s">
        <v>30559</v>
      </c>
      <c r="AA5241">
        <v>0.44949963085855521</v>
      </c>
      <c r="AB5241" t="str">
        <f>HYPERLINK("Melting_Curves/meltCurve_Q9BUB5_2_MKNK1.pdf", "Melting_Curves/meltCurve_Q9BUB5_2_MKNK1.pdf")</f>
        <v>Melting_Curves/meltCurve_Q9BUB5_2_MKNK1.pdf</v>
      </c>
    </row>
    <row r="5242" spans="1:28" x14ac:dyDescent="0.25">
      <c r="A5242" t="s">
        <v>5246</v>
      </c>
      <c r="B5242">
        <v>0.99542014353169495</v>
      </c>
      <c r="C5242">
        <v>1.0232273607406199</v>
      </c>
      <c r="D5242">
        <v>0.98987999329904797</v>
      </c>
      <c r="E5242">
        <v>0.82730962218612702</v>
      </c>
      <c r="F5242">
        <v>0.50985270341114697</v>
      </c>
      <c r="G5242">
        <v>0.30901215632573298</v>
      </c>
      <c r="H5242">
        <v>0.16382979573787201</v>
      </c>
      <c r="I5242">
        <v>6.1756202537168202E-2</v>
      </c>
      <c r="J5242">
        <v>6.0867812964074897E-2</v>
      </c>
      <c r="K5242">
        <v>7.7117535026267794E-2</v>
      </c>
      <c r="L5242">
        <v>911.30961922631604</v>
      </c>
      <c r="M5242">
        <v>18.089485940359399</v>
      </c>
      <c r="N5242">
        <v>50.688663051573997</v>
      </c>
      <c r="O5242">
        <v>49.774306507527797</v>
      </c>
      <c r="P5242">
        <v>-8.6092381284782901E-2</v>
      </c>
      <c r="Q5242">
        <v>5.2492366185846101E-2</v>
      </c>
      <c r="R5242">
        <v>0.996646844454815</v>
      </c>
      <c r="S5242" t="s">
        <v>11644</v>
      </c>
      <c r="T5242" t="s">
        <v>12802</v>
      </c>
      <c r="U5242" t="s">
        <v>12802</v>
      </c>
      <c r="V5242" t="s">
        <v>12802</v>
      </c>
      <c r="W5242" t="s">
        <v>17980</v>
      </c>
      <c r="X5242">
        <v>4</v>
      </c>
      <c r="Y5242" t="s">
        <v>24195</v>
      </c>
      <c r="Z5242" t="s">
        <v>30560</v>
      </c>
      <c r="AA5242">
        <v>0.48974773681463207</v>
      </c>
      <c r="AB5242" t="str">
        <f>HYPERLINK("Melting_Curves/meltCurve_Q9BUE0_MED18.pdf", "Melting_Curves/meltCurve_Q9BUE0_MED18.pdf")</f>
        <v>Melting_Curves/meltCurve_Q9BUE0_MED18.pdf</v>
      </c>
    </row>
    <row r="5243" spans="1:28" x14ac:dyDescent="0.25">
      <c r="A5243" t="s">
        <v>5247</v>
      </c>
      <c r="B5243">
        <v>0.99542014353169495</v>
      </c>
      <c r="C5243">
        <v>1.0514928572819899</v>
      </c>
      <c r="D5243">
        <v>0.99075471593443298</v>
      </c>
      <c r="E5243">
        <v>0.91642092044840795</v>
      </c>
      <c r="F5243">
        <v>0.53216984787453603</v>
      </c>
      <c r="G5243">
        <v>0.44517041280034297</v>
      </c>
      <c r="H5243">
        <v>0.239819607295466</v>
      </c>
      <c r="I5243">
        <v>0.14223984317642999</v>
      </c>
      <c r="J5243">
        <v>0.162623725152412</v>
      </c>
      <c r="K5243">
        <v>0.10346807262607299</v>
      </c>
      <c r="L5243">
        <v>875.60591751104903</v>
      </c>
      <c r="M5243">
        <v>17.126289712469099</v>
      </c>
      <c r="N5243">
        <v>51.905607382494601</v>
      </c>
      <c r="O5243">
        <v>50.444631241413497</v>
      </c>
      <c r="P5243">
        <v>-7.5260272065523603E-2</v>
      </c>
      <c r="Q5243">
        <v>0.113351720867193</v>
      </c>
      <c r="R5243">
        <v>0.98404499019165204</v>
      </c>
      <c r="S5243" t="s">
        <v>11645</v>
      </c>
      <c r="T5243" t="s">
        <v>12802</v>
      </c>
      <c r="U5243" t="s">
        <v>12802</v>
      </c>
      <c r="V5243" t="s">
        <v>12802</v>
      </c>
      <c r="W5243" t="s">
        <v>17981</v>
      </c>
      <c r="X5243">
        <v>2</v>
      </c>
      <c r="Y5243" t="s">
        <v>24196</v>
      </c>
      <c r="Z5243" t="s">
        <v>30561</v>
      </c>
      <c r="AA5243">
        <v>0.5456367015420055</v>
      </c>
      <c r="AB5243" t="str">
        <f>HYPERLINK("Melting_Curves/meltCurve_Q9BUE6_ISCA1.pdf", "Melting_Curves/meltCurve_Q9BUE6_ISCA1.pdf")</f>
        <v>Melting_Curves/meltCurve_Q9BUE6_ISCA1.pdf</v>
      </c>
    </row>
    <row r="5244" spans="1:28" x14ac:dyDescent="0.25">
      <c r="A5244" t="s">
        <v>5248</v>
      </c>
      <c r="B5244">
        <v>0.99542014353169495</v>
      </c>
      <c r="C5244">
        <v>0.93088468535873103</v>
      </c>
      <c r="D5244">
        <v>0.90607629965115399</v>
      </c>
      <c r="E5244">
        <v>0.87476530636275796</v>
      </c>
      <c r="F5244">
        <v>0.658251499388254</v>
      </c>
      <c r="G5244">
        <v>0.50733330734746096</v>
      </c>
      <c r="H5244">
        <v>0.29416627995484801</v>
      </c>
      <c r="I5244">
        <v>0.1248514115754</v>
      </c>
      <c r="J5244">
        <v>4.6516854575680097E-2</v>
      </c>
      <c r="K5244">
        <v>4.1595443271389698E-2</v>
      </c>
      <c r="L5244">
        <v>705.123214664751</v>
      </c>
      <c r="M5244">
        <v>13.2688181972777</v>
      </c>
      <c r="N5244">
        <v>53.1413725871735</v>
      </c>
      <c r="O5244">
        <v>51.977853133246398</v>
      </c>
      <c r="P5244">
        <v>-6.3829994102590701E-2</v>
      </c>
      <c r="Q5244">
        <v>0</v>
      </c>
      <c r="R5244">
        <v>0.99038684824657497</v>
      </c>
      <c r="S5244" t="s">
        <v>11646</v>
      </c>
      <c r="T5244" t="s">
        <v>12802</v>
      </c>
      <c r="U5244" t="s">
        <v>12802</v>
      </c>
      <c r="V5244" t="s">
        <v>12802</v>
      </c>
      <c r="W5244" t="s">
        <v>17982</v>
      </c>
      <c r="X5244">
        <v>25</v>
      </c>
      <c r="Y5244" t="s">
        <v>24197</v>
      </c>
      <c r="Z5244" t="s">
        <v>30562</v>
      </c>
      <c r="AA5244">
        <v>0.55752854872055069</v>
      </c>
      <c r="AB5244" t="str">
        <f>HYPERLINK("Melting_Curves/meltCurve_Q9BUF5_TUBB6.pdf", "Melting_Curves/meltCurve_Q9BUF5_TUBB6.pdf")</f>
        <v>Melting_Curves/meltCurve_Q9BUF5_TUBB6.pdf</v>
      </c>
    </row>
    <row r="5245" spans="1:28" x14ac:dyDescent="0.25">
      <c r="A5245" t="s">
        <v>5249</v>
      </c>
      <c r="B5245">
        <v>0.99542014353169495</v>
      </c>
      <c r="C5245">
        <v>0.99083519954260801</v>
      </c>
      <c r="D5245">
        <v>0.93210639885075397</v>
      </c>
      <c r="E5245">
        <v>0.98970345174026697</v>
      </c>
      <c r="F5245">
        <v>0.85243686414019904</v>
      </c>
      <c r="G5245">
        <v>0.72765291574050905</v>
      </c>
      <c r="H5245">
        <v>0.563852586774514</v>
      </c>
      <c r="I5245">
        <v>0.46326461666823299</v>
      </c>
      <c r="J5245">
        <v>0.48129684959073599</v>
      </c>
      <c r="K5245">
        <v>0.32820337739411198</v>
      </c>
      <c r="L5245">
        <v>706.85682182048402</v>
      </c>
      <c r="M5245">
        <v>12.7088436179477</v>
      </c>
      <c r="N5245">
        <v>59.995637092705202</v>
      </c>
      <c r="O5245">
        <v>54.296131349322003</v>
      </c>
      <c r="P5245">
        <v>-4.0844193631670099E-2</v>
      </c>
      <c r="Q5245">
        <v>0.30213831788972101</v>
      </c>
      <c r="R5245">
        <v>0.97910803278356495</v>
      </c>
      <c r="S5245" t="s">
        <v>11647</v>
      </c>
      <c r="T5245" t="s">
        <v>12802</v>
      </c>
      <c r="U5245" t="s">
        <v>12802</v>
      </c>
      <c r="V5245" t="s">
        <v>12802</v>
      </c>
      <c r="W5245" t="s">
        <v>17983</v>
      </c>
      <c r="X5245">
        <v>14</v>
      </c>
      <c r="Y5245" t="s">
        <v>24198</v>
      </c>
      <c r="Z5245" t="s">
        <v>30563</v>
      </c>
      <c r="AA5245">
        <v>0.74368456705238961</v>
      </c>
      <c r="AB5245" t="str">
        <f>HYPERLINK("Melting_Curves/meltCurve_Q9BUH6_C9orf142.pdf", "Melting_Curves/meltCurve_Q9BUH6_C9orf142.pdf")</f>
        <v>Melting_Curves/meltCurve_Q9BUH6_C9orf142.pdf</v>
      </c>
    </row>
    <row r="5246" spans="1:28" x14ac:dyDescent="0.25">
      <c r="A5246" t="s">
        <v>5250</v>
      </c>
      <c r="B5246">
        <v>0.99542014353169495</v>
      </c>
      <c r="C5246">
        <v>0.98557437611052101</v>
      </c>
      <c r="D5246">
        <v>1.0239368767014401</v>
      </c>
      <c r="E5246">
        <v>0.77795787501730196</v>
      </c>
      <c r="F5246">
        <v>0.85075558447644595</v>
      </c>
      <c r="G5246">
        <v>0.50091210431205502</v>
      </c>
      <c r="H5246">
        <v>0.209529913008389</v>
      </c>
      <c r="I5246">
        <v>6.5418391335774803E-2</v>
      </c>
      <c r="J5246">
        <v>5.4994962436197101E-2</v>
      </c>
      <c r="K5246">
        <v>5.3669283928859397E-2</v>
      </c>
      <c r="L5246">
        <v>983.40452909352302</v>
      </c>
      <c r="M5246">
        <v>18.3220315681661</v>
      </c>
      <c r="N5246">
        <v>53.673334356690702</v>
      </c>
      <c r="O5246">
        <v>53.046221920925603</v>
      </c>
      <c r="P5246">
        <v>-8.6353368971971003E-2</v>
      </c>
      <c r="Q5246">
        <v>0</v>
      </c>
      <c r="R5246">
        <v>0.97760063160484501</v>
      </c>
      <c r="S5246" t="s">
        <v>11648</v>
      </c>
      <c r="T5246" t="s">
        <v>12802</v>
      </c>
      <c r="U5246" t="s">
        <v>12802</v>
      </c>
      <c r="V5246" t="s">
        <v>12802</v>
      </c>
      <c r="W5246" t="s">
        <v>17984</v>
      </c>
      <c r="X5246">
        <v>8</v>
      </c>
      <c r="Y5246" t="s">
        <v>24199</v>
      </c>
      <c r="Z5246" t="s">
        <v>30564</v>
      </c>
      <c r="AA5246">
        <v>0.56950340967397817</v>
      </c>
      <c r="AB5246" t="str">
        <f>HYPERLINK("Melting_Curves/meltCurve_Q9BUI4_POLR3C.pdf", "Melting_Curves/meltCurve_Q9BUI4_POLR3C.pdf")</f>
        <v>Melting_Curves/meltCurve_Q9BUI4_POLR3C.pdf</v>
      </c>
    </row>
    <row r="5247" spans="1:28" x14ac:dyDescent="0.25">
      <c r="A5247" t="s">
        <v>5251</v>
      </c>
      <c r="B5247">
        <v>0.99542014353169495</v>
      </c>
      <c r="C5247">
        <v>0.88457351739969103</v>
      </c>
      <c r="D5247">
        <v>1.0238084304399699</v>
      </c>
      <c r="E5247">
        <v>0.80814831212145599</v>
      </c>
      <c r="F5247">
        <v>0.29067512447614802</v>
      </c>
      <c r="G5247">
        <v>0.140684699864323</v>
      </c>
      <c r="H5247">
        <v>8.6191917472020305E-2</v>
      </c>
      <c r="I5247">
        <v>6.0035441980215903E-2</v>
      </c>
      <c r="J5247">
        <v>6.0070561052616003E-2</v>
      </c>
      <c r="K5247">
        <v>7.1492856579328301E-2</v>
      </c>
      <c r="L5247">
        <v>1600.87031830871</v>
      </c>
      <c r="M5247">
        <v>33.017945763152703</v>
      </c>
      <c r="N5247">
        <v>48.720869015002201</v>
      </c>
      <c r="O5247">
        <v>48.308052420627803</v>
      </c>
      <c r="P5247">
        <v>-0.15824431912596801</v>
      </c>
      <c r="Q5247">
        <v>7.39049763709448E-2</v>
      </c>
      <c r="R5247">
        <v>0.99014852329517</v>
      </c>
      <c r="S5247" t="s">
        <v>11649</v>
      </c>
      <c r="T5247" t="s">
        <v>12802</v>
      </c>
      <c r="U5247" t="s">
        <v>12802</v>
      </c>
      <c r="V5247" t="s">
        <v>12802</v>
      </c>
      <c r="W5247" t="s">
        <v>17985</v>
      </c>
      <c r="X5247">
        <v>17</v>
      </c>
      <c r="Y5247" t="s">
        <v>24200</v>
      </c>
      <c r="Z5247" t="s">
        <v>30565</v>
      </c>
      <c r="AA5247">
        <v>0.43300675461985488</v>
      </c>
      <c r="AB5247" t="str">
        <f>HYPERLINK("Melting_Curves/meltCurve_Q9BUJ2_2_HNRNPUL1.pdf", "Melting_Curves/meltCurve_Q9BUJ2_2_HNRNPUL1.pdf")</f>
        <v>Melting_Curves/meltCurve_Q9BUJ2_2_HNRNPUL1.pdf</v>
      </c>
    </row>
    <row r="5248" spans="1:28" x14ac:dyDescent="0.25">
      <c r="A5248" t="s">
        <v>5252</v>
      </c>
      <c r="B5248">
        <v>0.99542014353169495</v>
      </c>
      <c r="C5248">
        <v>0.99593299761945697</v>
      </c>
      <c r="D5248">
        <v>0.94725403365273697</v>
      </c>
      <c r="E5248">
        <v>0.88427801334206901</v>
      </c>
      <c r="F5248">
        <v>0.54182545855238995</v>
      </c>
      <c r="G5248">
        <v>0.24426847313431699</v>
      </c>
      <c r="H5248">
        <v>0.12881379103768401</v>
      </c>
      <c r="I5248">
        <v>6.9858631164237003E-2</v>
      </c>
      <c r="J5248">
        <v>6.48594222068926E-2</v>
      </c>
      <c r="K5248">
        <v>7.6667398478245094E-2</v>
      </c>
      <c r="L5248">
        <v>1130.2240195142101</v>
      </c>
      <c r="M5248">
        <v>22.442811675944299</v>
      </c>
      <c r="N5248">
        <v>50.665890615673298</v>
      </c>
      <c r="O5248">
        <v>49.965431454800402</v>
      </c>
      <c r="P5248">
        <v>-0.105183034478146</v>
      </c>
      <c r="Q5248">
        <v>6.3324172644652205E-2</v>
      </c>
      <c r="R5248">
        <v>0.99889211773909203</v>
      </c>
      <c r="S5248" t="s">
        <v>11650</v>
      </c>
      <c r="T5248" t="s">
        <v>12802</v>
      </c>
      <c r="U5248" t="s">
        <v>12802</v>
      </c>
      <c r="V5248" t="s">
        <v>12802</v>
      </c>
      <c r="W5248" t="s">
        <v>17986</v>
      </c>
      <c r="X5248">
        <v>10</v>
      </c>
      <c r="Y5248" t="s">
        <v>24201</v>
      </c>
      <c r="Z5248" t="s">
        <v>30566</v>
      </c>
      <c r="AA5248">
        <v>0.49050632260685662</v>
      </c>
      <c r="AB5248" t="str">
        <f>HYPERLINK("Melting_Curves/meltCurve_Q9BUK6_3_MSTO1.pdf", "Melting_Curves/meltCurve_Q9BUK6_3_MSTO1.pdf")</f>
        <v>Melting_Curves/meltCurve_Q9BUK6_3_MSTO1.pdf</v>
      </c>
    </row>
    <row r="5249" spans="1:28" x14ac:dyDescent="0.25">
      <c r="A5249" t="s">
        <v>5253</v>
      </c>
      <c r="B5249">
        <v>0.99542014353169495</v>
      </c>
      <c r="C5249">
        <v>1.0441533502437199</v>
      </c>
      <c r="D5249">
        <v>0.85894113494569801</v>
      </c>
      <c r="E5249">
        <v>0.74371347290384804</v>
      </c>
      <c r="F5249">
        <v>0.700068623245787</v>
      </c>
      <c r="G5249">
        <v>0.54106583650669504</v>
      </c>
      <c r="H5249">
        <v>0.38187175816248398</v>
      </c>
      <c r="I5249">
        <v>0.29487663592320501</v>
      </c>
      <c r="J5249">
        <v>0.432982987297442</v>
      </c>
      <c r="K5249">
        <v>0.45583686913961102</v>
      </c>
      <c r="L5249">
        <v>648.39313831314405</v>
      </c>
      <c r="M5249">
        <v>13.2453978005839</v>
      </c>
      <c r="N5249">
        <v>54.286973939271903</v>
      </c>
      <c r="O5249">
        <v>47.876870806913601</v>
      </c>
      <c r="P5249">
        <v>-4.39988541574673E-2</v>
      </c>
      <c r="Q5249">
        <v>0.36395069847981298</v>
      </c>
      <c r="R5249">
        <v>0.93667948627862097</v>
      </c>
      <c r="S5249" t="s">
        <v>11651</v>
      </c>
      <c r="T5249" t="s">
        <v>12802</v>
      </c>
      <c r="U5249" t="s">
        <v>12802</v>
      </c>
      <c r="V5249" t="s">
        <v>12802</v>
      </c>
      <c r="W5249" t="s">
        <v>17987</v>
      </c>
      <c r="X5249">
        <v>3</v>
      </c>
      <c r="Y5249" t="s">
        <v>24202</v>
      </c>
      <c r="Z5249" t="s">
        <v>30567</v>
      </c>
      <c r="AA5249">
        <v>0.63388778267771684</v>
      </c>
      <c r="AB5249" t="str">
        <f>HYPERLINK("Melting_Curves/meltCurve_Q9BUL9_RPP25.pdf", "Melting_Curves/meltCurve_Q9BUL9_RPP25.pdf")</f>
        <v>Melting_Curves/meltCurve_Q9BUL9_RPP25.pdf</v>
      </c>
    </row>
    <row r="5250" spans="1:28" x14ac:dyDescent="0.25">
      <c r="A5250" t="s">
        <v>5254</v>
      </c>
      <c r="B5250">
        <v>0.99542014353169495</v>
      </c>
      <c r="C5250">
        <v>0.98272437599775497</v>
      </c>
      <c r="D5250">
        <v>0.99383039836618303</v>
      </c>
      <c r="E5250">
        <v>0.77626473475215096</v>
      </c>
      <c r="F5250">
        <v>0.63936095399468895</v>
      </c>
      <c r="G5250">
        <v>0.36161670422004699</v>
      </c>
      <c r="H5250">
        <v>0.17899837551976699</v>
      </c>
      <c r="I5250">
        <v>9.0508895879445203E-2</v>
      </c>
      <c r="J5250">
        <v>0.14809171066493201</v>
      </c>
      <c r="K5250">
        <v>0.156850992119835</v>
      </c>
      <c r="L5250">
        <v>864.042437620805</v>
      </c>
      <c r="M5250">
        <v>17.009144830841599</v>
      </c>
      <c r="N5250">
        <v>51.467904008873198</v>
      </c>
      <c r="O5250">
        <v>50.112123246337099</v>
      </c>
      <c r="P5250">
        <v>-7.6442136438332003E-2</v>
      </c>
      <c r="Q5250">
        <v>9.9204160629486296E-2</v>
      </c>
      <c r="R5250">
        <v>0.98944858447614104</v>
      </c>
      <c r="S5250" t="s">
        <v>11652</v>
      </c>
      <c r="T5250" t="s">
        <v>12802</v>
      </c>
      <c r="U5250" t="s">
        <v>12802</v>
      </c>
      <c r="V5250" t="s">
        <v>12802</v>
      </c>
      <c r="W5250" t="s">
        <v>17988</v>
      </c>
      <c r="X5250">
        <v>2</v>
      </c>
      <c r="Y5250" t="s">
        <v>24203</v>
      </c>
      <c r="Z5250" t="s">
        <v>30568</v>
      </c>
      <c r="AA5250">
        <v>0.52882886385026517</v>
      </c>
      <c r="AB5250" t="str">
        <f>HYPERLINK("Melting_Curves/meltCurve_Q9BUN5_CCDC28B.pdf", "Melting_Curves/meltCurve_Q9BUN5_CCDC28B.pdf")</f>
        <v>Melting_Curves/meltCurve_Q9BUN5_CCDC28B.pdf</v>
      </c>
    </row>
    <row r="5251" spans="1:28" x14ac:dyDescent="0.25">
      <c r="A5251" t="s">
        <v>5255</v>
      </c>
      <c r="B5251">
        <v>0.99542014353169495</v>
      </c>
      <c r="C5251">
        <v>1.03509279782577</v>
      </c>
      <c r="D5251">
        <v>0.96012090608449596</v>
      </c>
      <c r="E5251">
        <v>0.80910255532011299</v>
      </c>
      <c r="F5251">
        <v>0.31866760364151098</v>
      </c>
      <c r="G5251">
        <v>0.15913445907183499</v>
      </c>
      <c r="H5251">
        <v>8.1899481138296995E-2</v>
      </c>
      <c r="I5251">
        <v>5.6908634508250101E-2</v>
      </c>
      <c r="J5251">
        <v>7.0201484308089895E-2</v>
      </c>
      <c r="K5251">
        <v>6.2431121364153797E-2</v>
      </c>
      <c r="L5251">
        <v>1413.58749219231</v>
      </c>
      <c r="M5251">
        <v>29.066376446390901</v>
      </c>
      <c r="N5251">
        <v>48.886352051421298</v>
      </c>
      <c r="O5251">
        <v>48.404629606874998</v>
      </c>
      <c r="P5251">
        <v>-0.13962965506372399</v>
      </c>
      <c r="Q5251">
        <v>6.9898296836742896E-2</v>
      </c>
      <c r="R5251">
        <v>0.99775826242774801</v>
      </c>
      <c r="S5251" t="s">
        <v>11653</v>
      </c>
      <c r="T5251" t="s">
        <v>12802</v>
      </c>
      <c r="U5251" t="s">
        <v>12802</v>
      </c>
      <c r="V5251" t="s">
        <v>12802</v>
      </c>
      <c r="W5251" t="s">
        <v>17989</v>
      </c>
      <c r="X5251">
        <v>13</v>
      </c>
      <c r="Y5251" t="s">
        <v>24204</v>
      </c>
      <c r="Z5251" t="s">
        <v>30569</v>
      </c>
      <c r="AA5251">
        <v>0.43649965437056398</v>
      </c>
      <c r="AB5251" t="str">
        <f>HYPERLINK("Melting_Curves/meltCurve_Q9BUP3_3_HTATIP2.pdf", "Melting_Curves/meltCurve_Q9BUP3_3_HTATIP2.pdf")</f>
        <v>Melting_Curves/meltCurve_Q9BUP3_3_HTATIP2.pdf</v>
      </c>
    </row>
    <row r="5252" spans="1:28" x14ac:dyDescent="0.25">
      <c r="A5252" t="s">
        <v>5256</v>
      </c>
      <c r="B5252">
        <v>0.99542014353169495</v>
      </c>
      <c r="C5252">
        <v>0.93323569788595395</v>
      </c>
      <c r="D5252">
        <v>0.93532086597064401</v>
      </c>
      <c r="E5252">
        <v>0.92406316352802897</v>
      </c>
      <c r="F5252">
        <v>1.19730175566978</v>
      </c>
      <c r="G5252">
        <v>0.62697858855509003</v>
      </c>
      <c r="H5252">
        <v>0.116602129912008</v>
      </c>
      <c r="I5252">
        <v>8.1452460696371007E-2</v>
      </c>
      <c r="J5252">
        <v>8.7800884425326395E-2</v>
      </c>
      <c r="K5252">
        <v>9.1170018223899904E-2</v>
      </c>
      <c r="L5252">
        <v>9570.7123585663903</v>
      </c>
      <c r="M5252">
        <v>177.537892003141</v>
      </c>
      <c r="N5252">
        <v>53.9714758669476</v>
      </c>
      <c r="O5252">
        <v>53.901158470963999</v>
      </c>
      <c r="P5252">
        <v>-0.74583138061730103</v>
      </c>
      <c r="Q5252">
        <v>9.4251379256636694E-2</v>
      </c>
      <c r="R5252">
        <v>0.97102585519018003</v>
      </c>
      <c r="S5252" t="s">
        <v>11654</v>
      </c>
      <c r="T5252" t="s">
        <v>12802</v>
      </c>
      <c r="U5252" t="s">
        <v>12802</v>
      </c>
      <c r="V5252" t="s">
        <v>12802</v>
      </c>
      <c r="W5252" t="s">
        <v>17990</v>
      </c>
      <c r="X5252">
        <v>29</v>
      </c>
      <c r="Y5252" t="s">
        <v>24205</v>
      </c>
      <c r="Z5252" t="s">
        <v>30570</v>
      </c>
      <c r="AA5252">
        <v>0.60490119898743056</v>
      </c>
      <c r="AB5252" t="str">
        <f>HYPERLINK("Melting_Curves/meltCurve_Q9BUQ8_DDX23.pdf", "Melting_Curves/meltCurve_Q9BUQ8_DDX23.pdf")</f>
        <v>Melting_Curves/meltCurve_Q9BUQ8_DDX23.pdf</v>
      </c>
    </row>
    <row r="5253" spans="1:28" x14ac:dyDescent="0.25">
      <c r="A5253" t="s">
        <v>5257</v>
      </c>
      <c r="B5253">
        <v>0.99542014353169495</v>
      </c>
      <c r="C5253">
        <v>1.0397366684092499</v>
      </c>
      <c r="D5253">
        <v>0.98705398032230096</v>
      </c>
      <c r="E5253">
        <v>0.88526874214465401</v>
      </c>
      <c r="F5253">
        <v>0.73090317924431403</v>
      </c>
      <c r="G5253">
        <v>0.59894609601534998</v>
      </c>
      <c r="H5253">
        <v>0.33072699244165499</v>
      </c>
      <c r="I5253">
        <v>0.25753583468567398</v>
      </c>
      <c r="J5253">
        <v>0.45763268942976998</v>
      </c>
      <c r="K5253">
        <v>0.45295159192450102</v>
      </c>
      <c r="L5253">
        <v>1076.49365651071</v>
      </c>
      <c r="M5253">
        <v>21.131001666047801</v>
      </c>
      <c r="N5253">
        <v>54.388799884726097</v>
      </c>
      <c r="O5253">
        <v>50.494147091920702</v>
      </c>
      <c r="P5253">
        <v>-6.6030952130145704E-2</v>
      </c>
      <c r="Q5253">
        <v>0.36887252982011898</v>
      </c>
      <c r="R5253">
        <v>0.93932237434553201</v>
      </c>
      <c r="S5253" t="s">
        <v>11655</v>
      </c>
      <c r="T5253" t="s">
        <v>12802</v>
      </c>
      <c r="U5253" t="s">
        <v>12802</v>
      </c>
      <c r="V5253" t="s">
        <v>12802</v>
      </c>
      <c r="W5253" t="s">
        <v>17991</v>
      </c>
      <c r="X5253">
        <v>3</v>
      </c>
      <c r="Y5253" t="s">
        <v>24206</v>
      </c>
      <c r="Z5253" t="s">
        <v>30571</v>
      </c>
      <c r="AA5253">
        <v>0.66974634733603533</v>
      </c>
      <c r="AB5253" t="str">
        <f>HYPERLINK("Melting_Curves/meltCurve_Q9BUR4_WRAP53.pdf", "Melting_Curves/meltCurve_Q9BUR4_WRAP53.pdf")</f>
        <v>Melting_Curves/meltCurve_Q9BUR4_WRAP53.pdf</v>
      </c>
    </row>
    <row r="5254" spans="1:28" x14ac:dyDescent="0.25">
      <c r="A5254" t="s">
        <v>5258</v>
      </c>
      <c r="B5254">
        <v>0.99542014353169495</v>
      </c>
      <c r="C5254">
        <v>0.98662391852203202</v>
      </c>
      <c r="D5254">
        <v>0.874917930105788</v>
      </c>
      <c r="E5254">
        <v>0.88866683536422797</v>
      </c>
      <c r="F5254">
        <v>0.73746926321758699</v>
      </c>
      <c r="G5254">
        <v>0.26160359454068099</v>
      </c>
      <c r="H5254">
        <v>7.3595108886984201E-2</v>
      </c>
      <c r="I5254">
        <v>4.0765119267567297E-2</v>
      </c>
      <c r="J5254">
        <v>4.1072899000264701E-2</v>
      </c>
      <c r="K5254">
        <v>2.6669179277453801E-2</v>
      </c>
      <c r="L5254">
        <v>1385.2251231941</v>
      </c>
      <c r="M5254">
        <v>26.774017590430301</v>
      </c>
      <c r="N5254">
        <v>51.8243611435269</v>
      </c>
      <c r="O5254">
        <v>51.451625227755102</v>
      </c>
      <c r="P5254">
        <v>-0.127246071141079</v>
      </c>
      <c r="Q5254">
        <v>2.18950048999762E-2</v>
      </c>
      <c r="R5254">
        <v>0.987874279672186</v>
      </c>
      <c r="S5254" t="s">
        <v>11656</v>
      </c>
      <c r="T5254" t="s">
        <v>12802</v>
      </c>
      <c r="U5254" t="s">
        <v>12802</v>
      </c>
      <c r="V5254" t="s">
        <v>12802</v>
      </c>
      <c r="W5254" t="s">
        <v>17992</v>
      </c>
      <c r="X5254">
        <v>3</v>
      </c>
      <c r="Y5254" t="s">
        <v>24207</v>
      </c>
      <c r="Z5254" t="s">
        <v>30572</v>
      </c>
      <c r="AA5254">
        <v>0.51002883366203888</v>
      </c>
      <c r="AB5254" t="str">
        <f>HYPERLINK("Melting_Curves/meltCurve_Q9BUT1_BDH2.pdf", "Melting_Curves/meltCurve_Q9BUT1_BDH2.pdf")</f>
        <v>Melting_Curves/meltCurve_Q9BUT1_BDH2.pdf</v>
      </c>
    </row>
    <row r="5255" spans="1:28" x14ac:dyDescent="0.25">
      <c r="A5255" t="s">
        <v>5259</v>
      </c>
      <c r="B5255">
        <v>0.99542014353169495</v>
      </c>
      <c r="C5255">
        <v>0.84894391992030704</v>
      </c>
      <c r="D5255">
        <v>0.88759676310721602</v>
      </c>
      <c r="E5255">
        <v>0.70906979620089905</v>
      </c>
      <c r="F5255">
        <v>0.52059661541633095</v>
      </c>
      <c r="G5255">
        <v>0.205850757999538</v>
      </c>
      <c r="H5255">
        <v>0.170488671733174</v>
      </c>
      <c r="I5255">
        <v>0.15364394440982501</v>
      </c>
      <c r="J5255">
        <v>0.12642958702097401</v>
      </c>
      <c r="K5255">
        <v>0.19291228864187401</v>
      </c>
      <c r="L5255">
        <v>731.180645433667</v>
      </c>
      <c r="M5255">
        <v>15.039476619285599</v>
      </c>
      <c r="N5255">
        <v>49.4868429161804</v>
      </c>
      <c r="O5255">
        <v>47.782162006694399</v>
      </c>
      <c r="P5255">
        <v>-6.9559249859101197E-2</v>
      </c>
      <c r="Q5255">
        <v>0.116097215625307</v>
      </c>
      <c r="R5255">
        <v>0.97328567386850395</v>
      </c>
      <c r="S5255" t="s">
        <v>11657</v>
      </c>
      <c r="T5255" t="s">
        <v>12802</v>
      </c>
      <c r="U5255" t="s">
        <v>12802</v>
      </c>
      <c r="V5255" t="s">
        <v>12802</v>
      </c>
      <c r="W5255" t="s">
        <v>17993</v>
      </c>
      <c r="X5255">
        <v>2</v>
      </c>
      <c r="Y5255" t="s">
        <v>24208</v>
      </c>
      <c r="Z5255" t="s">
        <v>30573</v>
      </c>
      <c r="AA5255">
        <v>0.47750004940798357</v>
      </c>
      <c r="AB5255" t="str">
        <f>HYPERLINK("Melting_Curves/meltCurve_Q9BUT9_FAM195A.pdf", "Melting_Curves/meltCurve_Q9BUT9_FAM195A.pdf")</f>
        <v>Melting_Curves/meltCurve_Q9BUT9_FAM195A.pdf</v>
      </c>
    </row>
    <row r="5256" spans="1:28" x14ac:dyDescent="0.25">
      <c r="A5256" t="s">
        <v>5260</v>
      </c>
      <c r="B5256">
        <v>0.99542014353169495</v>
      </c>
      <c r="C5256">
        <v>1.11186731151441</v>
      </c>
      <c r="D5256">
        <v>1.0170253152839499</v>
      </c>
      <c r="E5256">
        <v>0.959222534989008</v>
      </c>
      <c r="F5256">
        <v>0.89165267606451004</v>
      </c>
      <c r="G5256">
        <v>0.71890047148164704</v>
      </c>
      <c r="H5256">
        <v>0.55067127697853102</v>
      </c>
      <c r="I5256">
        <v>0.52630893003540102</v>
      </c>
      <c r="J5256">
        <v>0.77483994690547797</v>
      </c>
      <c r="K5256">
        <v>0.94909780607269301</v>
      </c>
      <c r="L5256">
        <v>2733.46802513181</v>
      </c>
      <c r="M5256">
        <v>53.914977856729401</v>
      </c>
      <c r="O5256">
        <v>50.629998178511499</v>
      </c>
      <c r="P5256">
        <v>-7.9499477712393199E-2</v>
      </c>
      <c r="Q5256">
        <v>0.70137754177834599</v>
      </c>
      <c r="R5256">
        <v>0.62431713180620396</v>
      </c>
      <c r="S5256" t="s">
        <v>11658</v>
      </c>
      <c r="T5256" t="s">
        <v>12802</v>
      </c>
      <c r="U5256" t="s">
        <v>12802</v>
      </c>
      <c r="V5256" t="s">
        <v>12802</v>
      </c>
      <c r="W5256" t="s">
        <v>17994</v>
      </c>
      <c r="X5256">
        <v>2</v>
      </c>
      <c r="Y5256" t="s">
        <v>24209</v>
      </c>
      <c r="Z5256" t="s">
        <v>30574</v>
      </c>
      <c r="AA5256">
        <v>0.83831840239818456</v>
      </c>
      <c r="AB5256" t="str">
        <f>HYPERLINK("Melting_Curves/meltCurve_Q9BUW7_C9orf16.pdf", "Melting_Curves/meltCurve_Q9BUW7_C9orf16.pdf")</f>
        <v>Melting_Curves/meltCurve_Q9BUW7_C9orf16.pdf</v>
      </c>
    </row>
    <row r="5257" spans="1:28" x14ac:dyDescent="0.25">
      <c r="A5257" t="s">
        <v>5261</v>
      </c>
      <c r="B5257">
        <v>0.99542014353169495</v>
      </c>
      <c r="C5257">
        <v>0.94248542262604496</v>
      </c>
      <c r="D5257">
        <v>0.86270630397486403</v>
      </c>
      <c r="E5257">
        <v>0.60878825280552296</v>
      </c>
      <c r="F5257">
        <v>0.39183739435036602</v>
      </c>
      <c r="G5257">
        <v>0.29688766319318</v>
      </c>
      <c r="H5257">
        <v>0.116345158821305</v>
      </c>
      <c r="I5257">
        <v>0</v>
      </c>
      <c r="J5257">
        <v>3.5759201515238898E-2</v>
      </c>
      <c r="K5257">
        <v>0</v>
      </c>
      <c r="L5257">
        <v>633.47040624085901</v>
      </c>
      <c r="M5257">
        <v>13.0209497798767</v>
      </c>
      <c r="N5257">
        <v>48.6500921480852</v>
      </c>
      <c r="O5257">
        <v>47.545492430961701</v>
      </c>
      <c r="P5257">
        <v>-6.8477759516267195E-2</v>
      </c>
      <c r="Q5257">
        <v>0</v>
      </c>
      <c r="R5257">
        <v>0.99161867912047197</v>
      </c>
      <c r="S5257" t="s">
        <v>11659</v>
      </c>
      <c r="T5257" t="s">
        <v>12802</v>
      </c>
      <c r="U5257" t="s">
        <v>12802</v>
      </c>
      <c r="V5257" t="s">
        <v>12802</v>
      </c>
      <c r="W5257" t="s">
        <v>17995</v>
      </c>
      <c r="X5257">
        <v>5</v>
      </c>
      <c r="Y5257" t="s">
        <v>24210</v>
      </c>
      <c r="Z5257" t="s">
        <v>30575</v>
      </c>
      <c r="AA5257">
        <v>0.41530904802041813</v>
      </c>
      <c r="AB5257" t="str">
        <f>HYPERLINK("Melting_Curves/meltCurve_Q9BUZ4_TRAF4.pdf", "Melting_Curves/meltCurve_Q9BUZ4_TRAF4.pdf")</f>
        <v>Melting_Curves/meltCurve_Q9BUZ4_TRAF4.pdf</v>
      </c>
    </row>
    <row r="5258" spans="1:28" x14ac:dyDescent="0.25">
      <c r="A5258" t="s">
        <v>5262</v>
      </c>
      <c r="B5258">
        <v>0.99542014353169495</v>
      </c>
      <c r="C5258">
        <v>0.885633920083574</v>
      </c>
      <c r="D5258">
        <v>0.98637923554772899</v>
      </c>
      <c r="E5258">
        <v>0.82206187507473805</v>
      </c>
      <c r="F5258">
        <v>0.648319158165228</v>
      </c>
      <c r="G5258">
        <v>0.36873214200330001</v>
      </c>
      <c r="H5258">
        <v>0.32555491233440098</v>
      </c>
      <c r="I5258">
        <v>0.23360925477825201</v>
      </c>
      <c r="J5258">
        <v>0.23064846163647401</v>
      </c>
      <c r="K5258">
        <v>0.19731553711376201</v>
      </c>
      <c r="L5258">
        <v>809.56398100160595</v>
      </c>
      <c r="M5258">
        <v>16.018845248568301</v>
      </c>
      <c r="N5258">
        <v>52.116577051029097</v>
      </c>
      <c r="O5258">
        <v>49.770294380317203</v>
      </c>
      <c r="P5258">
        <v>-6.5004388004497704E-2</v>
      </c>
      <c r="Q5258">
        <v>0.19219271540810801</v>
      </c>
      <c r="R5258">
        <v>0.98383675376672497</v>
      </c>
      <c r="S5258" t="s">
        <v>11660</v>
      </c>
      <c r="T5258" t="s">
        <v>12802</v>
      </c>
      <c r="U5258" t="s">
        <v>12802</v>
      </c>
      <c r="V5258" t="s">
        <v>12802</v>
      </c>
      <c r="W5258" t="s">
        <v>17996</v>
      </c>
      <c r="X5258">
        <v>6</v>
      </c>
      <c r="Y5258" t="s">
        <v>24211</v>
      </c>
      <c r="Z5258" t="s">
        <v>30576</v>
      </c>
      <c r="AA5258">
        <v>0.57183190310909471</v>
      </c>
      <c r="AB5258" t="str">
        <f>HYPERLINK("Melting_Curves/meltCurve_Q9BV19_C1orf50.pdf", "Melting_Curves/meltCurve_Q9BV19_C1orf50.pdf")</f>
        <v>Melting_Curves/meltCurve_Q9BV19_C1orf50.pdf</v>
      </c>
    </row>
    <row r="5259" spans="1:28" x14ac:dyDescent="0.25">
      <c r="A5259" t="s">
        <v>5263</v>
      </c>
      <c r="B5259">
        <v>0.99542014353169495</v>
      </c>
      <c r="C5259">
        <v>1.09043757552722</v>
      </c>
      <c r="D5259">
        <v>1.01370574677545</v>
      </c>
      <c r="E5259">
        <v>0.95047126953365402</v>
      </c>
      <c r="F5259">
        <v>0.78979406768684901</v>
      </c>
      <c r="G5259">
        <v>0.53260249167603102</v>
      </c>
      <c r="H5259">
        <v>0.23014755129484901</v>
      </c>
      <c r="I5259">
        <v>0.100572225618259</v>
      </c>
      <c r="J5259">
        <v>8.4875358253972993E-2</v>
      </c>
      <c r="K5259">
        <v>8.2851738375811002E-2</v>
      </c>
      <c r="L5259">
        <v>1104.3629772919501</v>
      </c>
      <c r="M5259">
        <v>20.6083311770542</v>
      </c>
      <c r="N5259">
        <v>53.865045260635299</v>
      </c>
      <c r="O5259">
        <v>53.091234518438696</v>
      </c>
      <c r="P5259">
        <v>-9.2167898976306104E-2</v>
      </c>
      <c r="Q5259">
        <v>5.02544722969498E-2</v>
      </c>
      <c r="R5259">
        <v>0.99339379680866102</v>
      </c>
      <c r="S5259" t="s">
        <v>11661</v>
      </c>
      <c r="T5259" t="s">
        <v>12802</v>
      </c>
      <c r="U5259" t="s">
        <v>12802</v>
      </c>
      <c r="V5259" t="s">
        <v>12802</v>
      </c>
      <c r="W5259" t="s">
        <v>17997</v>
      </c>
      <c r="X5259">
        <v>17</v>
      </c>
      <c r="Y5259" t="s">
        <v>24212</v>
      </c>
      <c r="Z5259" t="s">
        <v>30577</v>
      </c>
      <c r="AA5259">
        <v>0.58663914025161445</v>
      </c>
      <c r="AB5259" t="str">
        <f>HYPERLINK("Melting_Curves/meltCurve_Q9BV20_MRI1.pdf", "Melting_Curves/meltCurve_Q9BV20_MRI1.pdf")</f>
        <v>Melting_Curves/meltCurve_Q9BV20_MRI1.pdf</v>
      </c>
    </row>
    <row r="5260" spans="1:28" x14ac:dyDescent="0.25">
      <c r="A5260" t="s">
        <v>5264</v>
      </c>
      <c r="B5260">
        <v>0.99542014353169495</v>
      </c>
      <c r="C5260">
        <v>0.994602838275356</v>
      </c>
      <c r="D5260">
        <v>0.89615968426530701</v>
      </c>
      <c r="E5260">
        <v>0.56879614992954697</v>
      </c>
      <c r="F5260">
        <v>0.31421762159398398</v>
      </c>
      <c r="G5260">
        <v>0.152981431929753</v>
      </c>
      <c r="H5260">
        <v>6.6977656926434107E-2</v>
      </c>
      <c r="I5260">
        <v>4.8139634037623003E-2</v>
      </c>
      <c r="J5260">
        <v>3.9118226295161797E-2</v>
      </c>
      <c r="K5260">
        <v>4.0018176397633699E-2</v>
      </c>
      <c r="L5260">
        <v>862.01847182080303</v>
      </c>
      <c r="M5260">
        <v>18.153975664015402</v>
      </c>
      <c r="N5260">
        <v>47.675070846198302</v>
      </c>
      <c r="O5260">
        <v>46.9188055839751</v>
      </c>
      <c r="P5260">
        <v>-9.3336570814392006E-2</v>
      </c>
      <c r="Q5260">
        <v>3.5135534438925697E-2</v>
      </c>
      <c r="R5260">
        <v>0.99827353087491999</v>
      </c>
      <c r="S5260" t="s">
        <v>11662</v>
      </c>
      <c r="T5260" t="s">
        <v>12802</v>
      </c>
      <c r="U5260" t="s">
        <v>12802</v>
      </c>
      <c r="V5260" t="s">
        <v>12802</v>
      </c>
      <c r="W5260" t="s">
        <v>17998</v>
      </c>
      <c r="X5260">
        <v>3</v>
      </c>
      <c r="Y5260" t="s">
        <v>24213</v>
      </c>
      <c r="Z5260" t="s">
        <v>30578</v>
      </c>
      <c r="AA5260">
        <v>0.38752584630540637</v>
      </c>
      <c r="AB5260" t="str">
        <f>HYPERLINK("Melting_Curves/meltCurve_Q9BV23_ABHD6.pdf", "Melting_Curves/meltCurve_Q9BV23_ABHD6.pdf")</f>
        <v>Melting_Curves/meltCurve_Q9BV23_ABHD6.pdf</v>
      </c>
    </row>
    <row r="5261" spans="1:28" x14ac:dyDescent="0.25">
      <c r="A5261" t="s">
        <v>5265</v>
      </c>
      <c r="B5261">
        <v>0.99542014353169495</v>
      </c>
      <c r="C5261">
        <v>0.91156989105662101</v>
      </c>
      <c r="D5261">
        <v>0.82377896341692802</v>
      </c>
      <c r="E5261">
        <v>0.80589432571658903</v>
      </c>
      <c r="F5261">
        <v>0.82821933281233595</v>
      </c>
      <c r="G5261">
        <v>0.75361104840035098</v>
      </c>
      <c r="H5261">
        <v>0.180398571933685</v>
      </c>
      <c r="I5261">
        <v>9.3024888834704195E-2</v>
      </c>
      <c r="J5261">
        <v>8.9076800865382097E-2</v>
      </c>
      <c r="K5261">
        <v>0.106836436286203</v>
      </c>
      <c r="L5261">
        <v>2253.5324941331801</v>
      </c>
      <c r="M5261">
        <v>41.069438562620199</v>
      </c>
      <c r="N5261">
        <v>55.1168912593442</v>
      </c>
      <c r="O5261">
        <v>54.741672021621298</v>
      </c>
      <c r="P5261">
        <v>-0.171876281361246</v>
      </c>
      <c r="Q5261">
        <v>8.36226746802438E-2</v>
      </c>
      <c r="R5261">
        <v>0.92381731117441501</v>
      </c>
      <c r="S5261" t="s">
        <v>11663</v>
      </c>
      <c r="T5261" t="s">
        <v>12802</v>
      </c>
      <c r="U5261" t="s">
        <v>12802</v>
      </c>
      <c r="V5261" t="s">
        <v>12802</v>
      </c>
      <c r="W5261" t="s">
        <v>17999</v>
      </c>
      <c r="X5261">
        <v>9</v>
      </c>
      <c r="Y5261" t="s">
        <v>24214</v>
      </c>
      <c r="Z5261" t="s">
        <v>30579</v>
      </c>
      <c r="AA5261">
        <v>0.63277528146359541</v>
      </c>
      <c r="AB5261" t="str">
        <f>HYPERLINK("Melting_Curves/meltCurve_Q9BV38_WDR18.pdf", "Melting_Curves/meltCurve_Q9BV38_WDR18.pdf")</f>
        <v>Melting_Curves/meltCurve_Q9BV38_WDR18.pdf</v>
      </c>
    </row>
    <row r="5262" spans="1:28" x14ac:dyDescent="0.25">
      <c r="A5262" t="s">
        <v>5266</v>
      </c>
      <c r="B5262">
        <v>0.99542014353169495</v>
      </c>
      <c r="C5262">
        <v>0.98538956911528697</v>
      </c>
      <c r="D5262">
        <v>1.0277848514225401</v>
      </c>
      <c r="E5262">
        <v>0.90350041827723204</v>
      </c>
      <c r="F5262">
        <v>0.80749270575388299</v>
      </c>
      <c r="G5262">
        <v>0.58225789841244602</v>
      </c>
      <c r="H5262">
        <v>0.52345998993490295</v>
      </c>
      <c r="I5262">
        <v>0.50265477186403795</v>
      </c>
      <c r="J5262">
        <v>0.65587136579389005</v>
      </c>
      <c r="K5262">
        <v>0.80506195584849005</v>
      </c>
      <c r="L5262">
        <v>1667.8976262133799</v>
      </c>
      <c r="M5262">
        <v>33.632943556723397</v>
      </c>
      <c r="O5262">
        <v>49.416852843683003</v>
      </c>
      <c r="P5262">
        <v>-6.5958372661072906E-2</v>
      </c>
      <c r="Q5262">
        <v>0.61235129868922</v>
      </c>
      <c r="R5262">
        <v>0.81067452871260304</v>
      </c>
      <c r="S5262" t="s">
        <v>11664</v>
      </c>
      <c r="T5262" t="s">
        <v>12802</v>
      </c>
      <c r="U5262" t="s">
        <v>12802</v>
      </c>
      <c r="V5262" t="s">
        <v>12802</v>
      </c>
      <c r="W5262" t="s">
        <v>18000</v>
      </c>
      <c r="X5262">
        <v>6</v>
      </c>
      <c r="Y5262" t="s">
        <v>24215</v>
      </c>
      <c r="Z5262" t="s">
        <v>30580</v>
      </c>
      <c r="AA5262">
        <v>0.77693101537168152</v>
      </c>
      <c r="AB5262" t="str">
        <f>HYPERLINK("Melting_Curves/meltCurve_Q9BV40_VAMP8.pdf", "Melting_Curves/meltCurve_Q9BV40_VAMP8.pdf")</f>
        <v>Melting_Curves/meltCurve_Q9BV40_VAMP8.pdf</v>
      </c>
    </row>
    <row r="5263" spans="1:28" x14ac:dyDescent="0.25">
      <c r="A5263" t="s">
        <v>5267</v>
      </c>
      <c r="B5263">
        <v>0.99542014353169495</v>
      </c>
      <c r="C5263">
        <v>0.89239490331694704</v>
      </c>
      <c r="D5263">
        <v>0.82072007576592898</v>
      </c>
      <c r="E5263">
        <v>0.779919683494811</v>
      </c>
      <c r="F5263">
        <v>0.59917069537660705</v>
      </c>
      <c r="G5263">
        <v>0.38129347680257603</v>
      </c>
      <c r="H5263">
        <v>8.0904633367687495E-2</v>
      </c>
      <c r="I5263">
        <v>4.6267510774584401E-2</v>
      </c>
      <c r="J5263">
        <v>3.79833256513522E-2</v>
      </c>
      <c r="K5263">
        <v>3.7879675673030799E-2</v>
      </c>
      <c r="L5263">
        <v>696.33376896827804</v>
      </c>
      <c r="M5263">
        <v>13.6928233089687</v>
      </c>
      <c r="N5263">
        <v>50.8539230594494</v>
      </c>
      <c r="O5263">
        <v>49.806064331417303</v>
      </c>
      <c r="P5263">
        <v>-6.8740623705164705E-2</v>
      </c>
      <c r="Q5263">
        <v>0</v>
      </c>
      <c r="R5263">
        <v>0.974596806153601</v>
      </c>
      <c r="S5263" t="s">
        <v>11665</v>
      </c>
      <c r="T5263" t="s">
        <v>12802</v>
      </c>
      <c r="U5263" t="s">
        <v>12802</v>
      </c>
      <c r="V5263" t="s">
        <v>12802</v>
      </c>
      <c r="W5263" t="s">
        <v>18001</v>
      </c>
      <c r="X5263">
        <v>16</v>
      </c>
      <c r="Y5263" t="s">
        <v>24216</v>
      </c>
      <c r="Z5263" t="s">
        <v>30581</v>
      </c>
      <c r="AA5263">
        <v>0.48453740678245361</v>
      </c>
      <c r="AB5263" t="str">
        <f>HYPERLINK("Melting_Curves/meltCurve_Q9BV44_THUMPD3.pdf", "Melting_Curves/meltCurve_Q9BV44_THUMPD3.pdf")</f>
        <v>Melting_Curves/meltCurve_Q9BV44_THUMPD3.pdf</v>
      </c>
    </row>
    <row r="5264" spans="1:28" x14ac:dyDescent="0.25">
      <c r="A5264" t="s">
        <v>5268</v>
      </c>
      <c r="B5264">
        <v>0.99542014353169495</v>
      </c>
      <c r="C5264">
        <v>0.98658642954893705</v>
      </c>
      <c r="D5264">
        <v>0.90856628613235901</v>
      </c>
      <c r="E5264">
        <v>0.66681743058617604</v>
      </c>
      <c r="F5264">
        <v>0.32903612119335202</v>
      </c>
      <c r="G5264">
        <v>0.155680389744867</v>
      </c>
      <c r="H5264">
        <v>9.1266244357700393E-2</v>
      </c>
      <c r="I5264">
        <v>8.0034347319833998E-2</v>
      </c>
      <c r="J5264">
        <v>9.21290121387357E-2</v>
      </c>
      <c r="K5264">
        <v>0.113950445671085</v>
      </c>
      <c r="L5264">
        <v>1020.35927531296</v>
      </c>
      <c r="M5264">
        <v>21.359668409761198</v>
      </c>
      <c r="N5264">
        <v>48.187282127165297</v>
      </c>
      <c r="O5264">
        <v>47.3575676542997</v>
      </c>
      <c r="P5264">
        <v>-0.103247186283999</v>
      </c>
      <c r="Q5264">
        <v>8.4365397475231196E-2</v>
      </c>
      <c r="R5264">
        <v>0.99895337851095201</v>
      </c>
      <c r="S5264" t="s">
        <v>11666</v>
      </c>
      <c r="T5264" t="s">
        <v>12802</v>
      </c>
      <c r="U5264" t="s">
        <v>12802</v>
      </c>
      <c r="V5264" t="s">
        <v>12802</v>
      </c>
      <c r="W5264" t="s">
        <v>18002</v>
      </c>
      <c r="X5264">
        <v>8</v>
      </c>
      <c r="Y5264" t="s">
        <v>24217</v>
      </c>
      <c r="Z5264" t="s">
        <v>30582</v>
      </c>
      <c r="AA5264">
        <v>0.42368210628566177</v>
      </c>
      <c r="AB5264" t="str">
        <f>HYPERLINK("Melting_Curves/meltCurve_Q9BV57_ADI1.pdf", "Melting_Curves/meltCurve_Q9BV57_ADI1.pdf")</f>
        <v>Melting_Curves/meltCurve_Q9BV57_ADI1.pdf</v>
      </c>
    </row>
    <row r="5265" spans="1:28" x14ac:dyDescent="0.25">
      <c r="A5265" t="s">
        <v>5269</v>
      </c>
      <c r="B5265">
        <v>0.99542014353169495</v>
      </c>
      <c r="C5265">
        <v>0.97794660579966997</v>
      </c>
      <c r="D5265">
        <v>0.97202090186191203</v>
      </c>
      <c r="E5265">
        <v>0.80501802189007399</v>
      </c>
      <c r="F5265">
        <v>0.585098586673378</v>
      </c>
      <c r="G5265">
        <v>0.38089530365952301</v>
      </c>
      <c r="H5265">
        <v>0.260811703554088</v>
      </c>
      <c r="I5265">
        <v>0.24382023594772201</v>
      </c>
      <c r="J5265">
        <v>0.28412137389237202</v>
      </c>
      <c r="K5265">
        <v>0.31551664764016302</v>
      </c>
      <c r="L5265">
        <v>1004.45927014147</v>
      </c>
      <c r="M5265">
        <v>20.3872859239683</v>
      </c>
      <c r="N5265">
        <v>51.153378913193201</v>
      </c>
      <c r="O5265">
        <v>48.802227728052998</v>
      </c>
      <c r="P5265">
        <v>-7.6861951973552597E-2</v>
      </c>
      <c r="Q5265">
        <v>0.26406661429031197</v>
      </c>
      <c r="R5265">
        <v>0.99291906741614999</v>
      </c>
      <c r="S5265" t="s">
        <v>11667</v>
      </c>
      <c r="T5265" t="s">
        <v>12802</v>
      </c>
      <c r="U5265" t="s">
        <v>12802</v>
      </c>
      <c r="V5265" t="s">
        <v>12802</v>
      </c>
      <c r="W5265" t="s">
        <v>18003</v>
      </c>
      <c r="X5265">
        <v>6</v>
      </c>
      <c r="Y5265" t="s">
        <v>24218</v>
      </c>
      <c r="Z5265" t="s">
        <v>30583</v>
      </c>
      <c r="AA5265">
        <v>0.57440375225163043</v>
      </c>
      <c r="AB5265" t="str">
        <f>HYPERLINK("Melting_Curves/meltCurve_Q9BV68_2_RNF126.pdf", "Melting_Curves/meltCurve_Q9BV68_2_RNF126.pdf")</f>
        <v>Melting_Curves/meltCurve_Q9BV68_2_RNF126.pdf</v>
      </c>
    </row>
    <row r="5266" spans="1:28" x14ac:dyDescent="0.25">
      <c r="A5266" t="s">
        <v>5270</v>
      </c>
      <c r="B5266">
        <v>0.99542014353169495</v>
      </c>
      <c r="C5266">
        <v>0.83971626861682502</v>
      </c>
      <c r="D5266">
        <v>0.589377214094845</v>
      </c>
      <c r="E5266">
        <v>0.23701021187249999</v>
      </c>
      <c r="F5266">
        <v>0.13668775470956099</v>
      </c>
      <c r="G5266">
        <v>9.1901359511024502E-2</v>
      </c>
      <c r="H5266">
        <v>7.5750358374510995E-2</v>
      </c>
      <c r="I5266">
        <v>5.90957893468523E-2</v>
      </c>
      <c r="J5266">
        <v>5.9791550153453499E-2</v>
      </c>
      <c r="K5266">
        <v>7.1368148937766704E-2</v>
      </c>
      <c r="L5266">
        <v>864.78648032293597</v>
      </c>
      <c r="M5266">
        <v>19.934309985989799</v>
      </c>
      <c r="N5266">
        <v>43.690925494592499</v>
      </c>
      <c r="O5266">
        <v>42.952316247695002</v>
      </c>
      <c r="P5266">
        <v>-0.10839832910616599</v>
      </c>
      <c r="Q5266">
        <v>6.5770350455656199E-2</v>
      </c>
      <c r="R5266">
        <v>0.99831445493561399</v>
      </c>
      <c r="S5266" t="s">
        <v>11668</v>
      </c>
      <c r="T5266" t="s">
        <v>12802</v>
      </c>
      <c r="U5266" t="s">
        <v>12802</v>
      </c>
      <c r="V5266" t="s">
        <v>12802</v>
      </c>
      <c r="W5266" t="s">
        <v>18004</v>
      </c>
      <c r="X5266">
        <v>5</v>
      </c>
      <c r="Y5266" t="s">
        <v>24219</v>
      </c>
      <c r="Z5266" t="s">
        <v>30584</v>
      </c>
      <c r="AA5266">
        <v>0.27738140392743338</v>
      </c>
      <c r="AB5266" t="str">
        <f>HYPERLINK("Melting_Curves/meltCurve_Q9BV73_2_CEP250.pdf", "Melting_Curves/meltCurve_Q9BV73_2_CEP250.pdf")</f>
        <v>Melting_Curves/meltCurve_Q9BV73_2_CEP250.pdf</v>
      </c>
    </row>
    <row r="5267" spans="1:28" x14ac:dyDescent="0.25">
      <c r="A5267" t="s">
        <v>5271</v>
      </c>
      <c r="B5267">
        <v>0.99542014353169495</v>
      </c>
      <c r="C5267">
        <v>1.0542813455271201</v>
      </c>
      <c r="D5267">
        <v>1.0497809237704701</v>
      </c>
      <c r="E5267">
        <v>0.95440271542654498</v>
      </c>
      <c r="F5267">
        <v>0.81781308323621704</v>
      </c>
      <c r="G5267">
        <v>0.53730833147300705</v>
      </c>
      <c r="H5267">
        <v>0.13334318403641601</v>
      </c>
      <c r="I5267">
        <v>3.8523357981473702E-2</v>
      </c>
      <c r="J5267">
        <v>2.6176631204117E-2</v>
      </c>
      <c r="K5267">
        <v>1.9524863224508401E-2</v>
      </c>
      <c r="L5267">
        <v>1333.44172416592</v>
      </c>
      <c r="M5267">
        <v>24.804782213247499</v>
      </c>
      <c r="N5267">
        <v>53.757449506983299</v>
      </c>
      <c r="O5267">
        <v>53.411701118864599</v>
      </c>
      <c r="P5267">
        <v>-0.116103427733686</v>
      </c>
      <c r="Q5267">
        <v>0</v>
      </c>
      <c r="R5267">
        <v>0.99425608604878202</v>
      </c>
      <c r="S5267" t="s">
        <v>11669</v>
      </c>
      <c r="T5267" t="s">
        <v>12802</v>
      </c>
      <c r="U5267" t="s">
        <v>12802</v>
      </c>
      <c r="V5267" t="s">
        <v>12802</v>
      </c>
      <c r="W5267" t="s">
        <v>18005</v>
      </c>
      <c r="X5267">
        <v>3</v>
      </c>
      <c r="Y5267" t="s">
        <v>24220</v>
      </c>
      <c r="Z5267" t="s">
        <v>30585</v>
      </c>
      <c r="AA5267">
        <v>0.56746052612405673</v>
      </c>
      <c r="AB5267" t="str">
        <f>HYPERLINK("Melting_Curves/meltCurve_Q9BV79_MECR.pdf", "Melting_Curves/meltCurve_Q9BV79_MECR.pdf")</f>
        <v>Melting_Curves/meltCurve_Q9BV79_MECR.pdf</v>
      </c>
    </row>
    <row r="5268" spans="1:28" x14ac:dyDescent="0.25">
      <c r="A5268" t="s">
        <v>5272</v>
      </c>
      <c r="B5268">
        <v>0.99542014353169495</v>
      </c>
      <c r="C5268">
        <v>0.75340371245329896</v>
      </c>
      <c r="D5268">
        <v>0.801405945421785</v>
      </c>
      <c r="E5268">
        <v>0.870046853535692</v>
      </c>
      <c r="F5268">
        <v>0.55840579298513404</v>
      </c>
      <c r="G5268">
        <v>0.26000879256316201</v>
      </c>
      <c r="H5268">
        <v>0.15823391275301699</v>
      </c>
      <c r="I5268">
        <v>0.31581879832078802</v>
      </c>
      <c r="J5268">
        <v>0.20482138828211</v>
      </c>
      <c r="K5268">
        <v>0.48816441233412899</v>
      </c>
      <c r="L5268">
        <v>1345.23300336069</v>
      </c>
      <c r="M5268">
        <v>27.495072279546498</v>
      </c>
      <c r="N5268">
        <v>50.412397359873403</v>
      </c>
      <c r="O5268">
        <v>48.669722422079701</v>
      </c>
      <c r="P5268">
        <v>-0.102015541089754</v>
      </c>
      <c r="Q5268">
        <v>0.277685626967065</v>
      </c>
      <c r="R5268">
        <v>0.79405562561383103</v>
      </c>
      <c r="S5268" t="s">
        <v>11670</v>
      </c>
      <c r="T5268" t="s">
        <v>12802</v>
      </c>
      <c r="U5268" t="s">
        <v>12802</v>
      </c>
      <c r="V5268" t="s">
        <v>12802</v>
      </c>
      <c r="W5268" t="s">
        <v>18006</v>
      </c>
      <c r="X5268">
        <v>3</v>
      </c>
      <c r="Y5268" t="s">
        <v>24221</v>
      </c>
      <c r="Z5268" t="s">
        <v>30586</v>
      </c>
      <c r="AA5268">
        <v>0.57001127953514463</v>
      </c>
      <c r="AB5268" t="str">
        <f>HYPERLINK("Melting_Curves/meltCurve_Q9BV81_EMC6.pdf", "Melting_Curves/meltCurve_Q9BV81_EMC6.pdf")</f>
        <v>Melting_Curves/meltCurve_Q9BV81_EMC6.pdf</v>
      </c>
    </row>
    <row r="5269" spans="1:28" x14ac:dyDescent="0.25">
      <c r="A5269" t="s">
        <v>5273</v>
      </c>
      <c r="B5269">
        <v>0.99542014353169495</v>
      </c>
      <c r="C5269">
        <v>0.97835307648774505</v>
      </c>
      <c r="D5269">
        <v>0.88131441884768602</v>
      </c>
      <c r="E5269">
        <v>0.77714239654282302</v>
      </c>
      <c r="F5269">
        <v>0.47091441189654298</v>
      </c>
      <c r="G5269">
        <v>7.6154830613138297E-2</v>
      </c>
      <c r="H5269">
        <v>3.1258865060910697E-2</v>
      </c>
      <c r="I5269">
        <v>1.5590814488935401E-2</v>
      </c>
      <c r="J5269">
        <v>1.57779839389314E-2</v>
      </c>
      <c r="K5269">
        <v>1.8263430158933901E-2</v>
      </c>
      <c r="L5269">
        <v>1070.0049543325299</v>
      </c>
      <c r="M5269">
        <v>21.660499238595499</v>
      </c>
      <c r="N5269">
        <v>49.398905462588097</v>
      </c>
      <c r="O5269">
        <v>48.983646733567497</v>
      </c>
      <c r="P5269">
        <v>-0.110552285938832</v>
      </c>
      <c r="Q5269">
        <v>0</v>
      </c>
      <c r="R5269">
        <v>0.99121393572105498</v>
      </c>
      <c r="S5269" t="s">
        <v>11671</v>
      </c>
      <c r="T5269" t="s">
        <v>12802</v>
      </c>
      <c r="U5269" t="s">
        <v>12802</v>
      </c>
      <c r="V5269" t="s">
        <v>12802</v>
      </c>
      <c r="W5269" t="s">
        <v>18007</v>
      </c>
      <c r="X5269">
        <v>11</v>
      </c>
      <c r="Y5269" t="s">
        <v>24222</v>
      </c>
      <c r="Z5269" t="s">
        <v>30587</v>
      </c>
      <c r="AA5269">
        <v>0.4246910932115377</v>
      </c>
      <c r="AB5269" t="str">
        <f>HYPERLINK("Melting_Curves/meltCurve_Q9BV86_NTMT1.pdf", "Melting_Curves/meltCurve_Q9BV86_NTMT1.pdf")</f>
        <v>Melting_Curves/meltCurve_Q9BV86_NTMT1.pdf</v>
      </c>
    </row>
    <row r="5270" spans="1:28" x14ac:dyDescent="0.25">
      <c r="A5270" t="s">
        <v>5274</v>
      </c>
      <c r="B5270">
        <v>0.99542014353169495</v>
      </c>
      <c r="C5270">
        <v>0.95249372014917</v>
      </c>
      <c r="D5270">
        <v>0.95303371659380098</v>
      </c>
      <c r="E5270">
        <v>0.76315588714194205</v>
      </c>
      <c r="F5270">
        <v>0.38739570709063997</v>
      </c>
      <c r="G5270">
        <v>0.196755384018828</v>
      </c>
      <c r="H5270">
        <v>0.109359720399205</v>
      </c>
      <c r="I5270">
        <v>8.3691604032177402E-2</v>
      </c>
      <c r="J5270">
        <v>6.0596503860309799E-2</v>
      </c>
      <c r="K5270">
        <v>7.8484903544031606E-2</v>
      </c>
      <c r="L5270">
        <v>1039.55851244717</v>
      </c>
      <c r="M5270">
        <v>21.294509309068498</v>
      </c>
      <c r="N5270">
        <v>49.164183193579397</v>
      </c>
      <c r="O5270">
        <v>48.3937422937965</v>
      </c>
      <c r="P5270">
        <v>-0.10235349512384399</v>
      </c>
      <c r="Q5270">
        <v>6.9592486857288999E-2</v>
      </c>
      <c r="R5270">
        <v>0.99842873111214203</v>
      </c>
      <c r="S5270" t="s">
        <v>11672</v>
      </c>
      <c r="T5270" t="s">
        <v>12802</v>
      </c>
      <c r="U5270" t="s">
        <v>12802</v>
      </c>
      <c r="V5270" t="s">
        <v>12802</v>
      </c>
      <c r="W5270" t="s">
        <v>18008</v>
      </c>
      <c r="X5270">
        <v>7</v>
      </c>
      <c r="Y5270" t="s">
        <v>24223</v>
      </c>
      <c r="Z5270" t="s">
        <v>30588</v>
      </c>
      <c r="AA5270">
        <v>0.44702257064372708</v>
      </c>
      <c r="AB5270" t="str">
        <f>HYPERLINK("Melting_Curves/meltCurve_Q9BVA0_KATNB1.pdf", "Melting_Curves/meltCurve_Q9BVA0_KATNB1.pdf")</f>
        <v>Melting_Curves/meltCurve_Q9BVA0_KATNB1.pdf</v>
      </c>
    </row>
    <row r="5271" spans="1:28" x14ac:dyDescent="0.25">
      <c r="A5271" t="s">
        <v>5275</v>
      </c>
      <c r="B5271">
        <v>0.99542014353169495</v>
      </c>
      <c r="C5271">
        <v>0.82488542700181799</v>
      </c>
      <c r="D5271">
        <v>0.94425404750494302</v>
      </c>
      <c r="E5271">
        <v>0.92302429211006398</v>
      </c>
      <c r="F5271">
        <v>0.69832969010551804</v>
      </c>
      <c r="G5271">
        <v>0.590937004775965</v>
      </c>
      <c r="H5271">
        <v>0.42470460770047602</v>
      </c>
      <c r="I5271">
        <v>0.21379103746592601</v>
      </c>
      <c r="J5271">
        <v>8.39451956509005E-2</v>
      </c>
      <c r="K5271">
        <v>7.5184505885913105E-2</v>
      </c>
      <c r="L5271">
        <v>664.81606287902605</v>
      </c>
      <c r="M5271">
        <v>12.130011522654501</v>
      </c>
      <c r="N5271">
        <v>54.807537635777898</v>
      </c>
      <c r="O5271">
        <v>53.381713705757399</v>
      </c>
      <c r="P5271">
        <v>-5.6821005372489401E-2</v>
      </c>
      <c r="Q5271">
        <v>0</v>
      </c>
      <c r="R5271">
        <v>0.96491259721191103</v>
      </c>
      <c r="S5271" t="s">
        <v>11673</v>
      </c>
      <c r="T5271" t="s">
        <v>12802</v>
      </c>
      <c r="U5271" t="s">
        <v>12802</v>
      </c>
      <c r="V5271" t="s">
        <v>12802</v>
      </c>
      <c r="W5271" t="s">
        <v>18009</v>
      </c>
      <c r="X5271">
        <v>31</v>
      </c>
      <c r="Y5271" t="s">
        <v>24224</v>
      </c>
      <c r="Z5271" t="s">
        <v>30589</v>
      </c>
      <c r="AA5271">
        <v>0.60857296497179048</v>
      </c>
      <c r="AB5271" t="str">
        <f>HYPERLINK("Melting_Curves/meltCurve_Q9BVA1_TUBB2B.pdf", "Melting_Curves/meltCurve_Q9BVA1_TUBB2B.pdf")</f>
        <v>Melting_Curves/meltCurve_Q9BVA1_TUBB2B.pdf</v>
      </c>
    </row>
    <row r="5272" spans="1:28" x14ac:dyDescent="0.25">
      <c r="A5272" t="s">
        <v>5276</v>
      </c>
      <c r="B5272">
        <v>0.99542014353169495</v>
      </c>
      <c r="C5272">
        <v>0.84780773973708701</v>
      </c>
      <c r="D5272">
        <v>0.78835472552104402</v>
      </c>
      <c r="E5272">
        <v>0.35840347577904702</v>
      </c>
      <c r="F5272">
        <v>0.156239279054737</v>
      </c>
      <c r="G5272">
        <v>6.9858078043260399E-2</v>
      </c>
      <c r="H5272">
        <v>5.6268179781255499E-2</v>
      </c>
      <c r="I5272">
        <v>5.2997752744263299E-2</v>
      </c>
      <c r="J5272">
        <v>4.93455653259013E-2</v>
      </c>
      <c r="K5272">
        <v>4.9333025479166202E-2</v>
      </c>
      <c r="L5272">
        <v>887.03286322978795</v>
      </c>
      <c r="M5272">
        <v>19.6557497206805</v>
      </c>
      <c r="N5272">
        <v>45.330884112862698</v>
      </c>
      <c r="O5272">
        <v>44.6690917852574</v>
      </c>
      <c r="P5272">
        <v>-0.105388677006125</v>
      </c>
      <c r="Q5272">
        <v>4.2020284237856101E-2</v>
      </c>
      <c r="R5272">
        <v>0.99220007423165402</v>
      </c>
      <c r="S5272" t="s">
        <v>11674</v>
      </c>
      <c r="T5272" t="s">
        <v>12802</v>
      </c>
      <c r="U5272" t="s">
        <v>12802</v>
      </c>
      <c r="V5272" t="s">
        <v>12802</v>
      </c>
      <c r="W5272" t="s">
        <v>18010</v>
      </c>
      <c r="X5272">
        <v>2</v>
      </c>
      <c r="Y5272" t="s">
        <v>24225</v>
      </c>
      <c r="Z5272" t="s">
        <v>30590</v>
      </c>
      <c r="AA5272">
        <v>0.31462080923912461</v>
      </c>
      <c r="AB5272" t="str">
        <f>HYPERLINK("Melting_Curves/meltCurve_Q9BVC3_DSCC1.pdf", "Melting_Curves/meltCurve_Q9BVC3_DSCC1.pdf")</f>
        <v>Melting_Curves/meltCurve_Q9BVC3_DSCC1.pdf</v>
      </c>
    </row>
    <row r="5273" spans="1:28" x14ac:dyDescent="0.25">
      <c r="A5273" t="s">
        <v>5277</v>
      </c>
      <c r="B5273">
        <v>0.99542014353169495</v>
      </c>
      <c r="C5273">
        <v>0.932938829422575</v>
      </c>
      <c r="D5273">
        <v>1.00012448235802</v>
      </c>
      <c r="E5273">
        <v>0.711958767176739</v>
      </c>
      <c r="F5273">
        <v>0.37462163502557899</v>
      </c>
      <c r="G5273">
        <v>0.14415635984658401</v>
      </c>
      <c r="H5273">
        <v>9.0098514021425505E-2</v>
      </c>
      <c r="I5273">
        <v>0.111322795902645</v>
      </c>
      <c r="J5273">
        <v>0.161877391825546</v>
      </c>
      <c r="K5273">
        <v>0.20728542627179</v>
      </c>
      <c r="L5273">
        <v>1292.02955966898</v>
      </c>
      <c r="M5273">
        <v>26.909650291452898</v>
      </c>
      <c r="N5273">
        <v>48.584708527248303</v>
      </c>
      <c r="O5273">
        <v>47.750808863313999</v>
      </c>
      <c r="P5273">
        <v>-0.121785163084682</v>
      </c>
      <c r="Q5273">
        <v>0.13558420795590301</v>
      </c>
      <c r="R5273">
        <v>0.98696895555230801</v>
      </c>
      <c r="S5273" t="s">
        <v>11675</v>
      </c>
      <c r="T5273" t="s">
        <v>12802</v>
      </c>
      <c r="U5273" t="s">
        <v>12802</v>
      </c>
      <c r="V5273" t="s">
        <v>12802</v>
      </c>
      <c r="W5273" t="s">
        <v>18011</v>
      </c>
      <c r="X5273">
        <v>3</v>
      </c>
      <c r="Y5273" t="s">
        <v>24226</v>
      </c>
      <c r="Z5273" t="s">
        <v>30591</v>
      </c>
      <c r="AA5273">
        <v>0.45929453922114338</v>
      </c>
      <c r="AB5273" t="str">
        <f>HYPERLINK("Melting_Curves/meltCurve_Q9BVC5_C2orf49.pdf", "Melting_Curves/meltCurve_Q9BVC5_C2orf49.pdf")</f>
        <v>Melting_Curves/meltCurve_Q9BVC5_C2orf49.pdf</v>
      </c>
    </row>
    <row r="5274" spans="1:28" x14ac:dyDescent="0.25">
      <c r="A5274" t="s">
        <v>5278</v>
      </c>
      <c r="B5274">
        <v>0.99542014353169495</v>
      </c>
      <c r="C5274">
        <v>1.03370458386405</v>
      </c>
      <c r="D5274">
        <v>1.0515731833061299</v>
      </c>
      <c r="E5274">
        <v>0.82290435930869599</v>
      </c>
      <c r="F5274">
        <v>0.61256101938576901</v>
      </c>
      <c r="G5274">
        <v>0.41296744362801502</v>
      </c>
      <c r="H5274">
        <v>0.30927906419231699</v>
      </c>
      <c r="I5274">
        <v>0.308077263832089</v>
      </c>
      <c r="J5274">
        <v>0.55892140110739796</v>
      </c>
      <c r="K5274">
        <v>0.75521461357331399</v>
      </c>
      <c r="L5274">
        <v>1606.74522518451</v>
      </c>
      <c r="M5274">
        <v>33.547182899850498</v>
      </c>
      <c r="N5274">
        <v>52.439588810778197</v>
      </c>
      <c r="O5274">
        <v>47.725857509204303</v>
      </c>
      <c r="P5274">
        <v>-9.2664288155341501E-2</v>
      </c>
      <c r="Q5274">
        <v>0.47268727639427399</v>
      </c>
      <c r="R5274">
        <v>0.79429633007946299</v>
      </c>
      <c r="S5274" t="s">
        <v>11676</v>
      </c>
      <c r="T5274" t="s">
        <v>12802</v>
      </c>
      <c r="U5274" t="s">
        <v>12802</v>
      </c>
      <c r="V5274" t="s">
        <v>12802</v>
      </c>
      <c r="W5274" t="s">
        <v>18012</v>
      </c>
      <c r="X5274">
        <v>7</v>
      </c>
      <c r="Y5274" t="s">
        <v>24227</v>
      </c>
      <c r="Z5274" t="s">
        <v>30592</v>
      </c>
      <c r="AA5274">
        <v>0.66668022077886613</v>
      </c>
      <c r="AB5274" t="str">
        <f>HYPERLINK("Melting_Curves/meltCurve_Q9BVC6_TMEM109.pdf", "Melting_Curves/meltCurve_Q9BVC6_TMEM109.pdf")</f>
        <v>Melting_Curves/meltCurve_Q9BVC6_TMEM109.pdf</v>
      </c>
    </row>
    <row r="5275" spans="1:28" x14ac:dyDescent="0.25">
      <c r="A5275" t="s">
        <v>5279</v>
      </c>
      <c r="B5275">
        <v>0.99542014353169495</v>
      </c>
      <c r="C5275">
        <v>0.99546655595040401</v>
      </c>
      <c r="D5275">
        <v>0.93906935673339698</v>
      </c>
      <c r="E5275">
        <v>0.81161637675024501</v>
      </c>
      <c r="F5275">
        <v>0.52495846202294505</v>
      </c>
      <c r="G5275">
        <v>0.26251069893676798</v>
      </c>
      <c r="H5275">
        <v>0.15896876006218399</v>
      </c>
      <c r="I5275">
        <v>0.116370441632923</v>
      </c>
      <c r="J5275">
        <v>0.113986749114954</v>
      </c>
      <c r="K5275">
        <v>0.112982727190168</v>
      </c>
      <c r="L5275">
        <v>961.15622676468195</v>
      </c>
      <c r="M5275">
        <v>19.2975761577414</v>
      </c>
      <c r="N5275">
        <v>50.3749014053477</v>
      </c>
      <c r="O5275">
        <v>49.2814909566126</v>
      </c>
      <c r="P5275">
        <v>-8.8329554242670402E-2</v>
      </c>
      <c r="Q5275">
        <v>9.7741845873096297E-2</v>
      </c>
      <c r="R5275">
        <v>0.99944439171648902</v>
      </c>
      <c r="S5275" t="s">
        <v>11677</v>
      </c>
      <c r="T5275" t="s">
        <v>12802</v>
      </c>
      <c r="U5275" t="s">
        <v>12802</v>
      </c>
      <c r="V5275" t="s">
        <v>12802</v>
      </c>
      <c r="W5275" t="s">
        <v>18013</v>
      </c>
      <c r="X5275">
        <v>10</v>
      </c>
      <c r="Y5275" t="s">
        <v>24228</v>
      </c>
      <c r="Z5275" t="s">
        <v>30593</v>
      </c>
      <c r="AA5275">
        <v>0.49557307143274443</v>
      </c>
      <c r="AB5275" t="str">
        <f>HYPERLINK("Melting_Curves/meltCurve_Q9BVG4_PBDC1.pdf", "Melting_Curves/meltCurve_Q9BVG4_PBDC1.pdf")</f>
        <v>Melting_Curves/meltCurve_Q9BVG4_PBDC1.pdf</v>
      </c>
    </row>
    <row r="5276" spans="1:28" x14ac:dyDescent="0.25">
      <c r="A5276" t="s">
        <v>5280</v>
      </c>
      <c r="B5276">
        <v>0.99542014353169495</v>
      </c>
      <c r="C5276">
        <v>0.82766842228832904</v>
      </c>
      <c r="D5276">
        <v>1.07992203595297</v>
      </c>
      <c r="E5276">
        <v>0.76754117641961095</v>
      </c>
      <c r="F5276">
        <v>0.745766368324697</v>
      </c>
      <c r="G5276">
        <v>0.253610892954369</v>
      </c>
      <c r="H5276">
        <v>0.115666097149456</v>
      </c>
      <c r="I5276">
        <v>6.3186608884554102E-2</v>
      </c>
      <c r="J5276">
        <v>6.4043623453457904E-2</v>
      </c>
      <c r="K5276">
        <v>0.10181428034532999</v>
      </c>
      <c r="L5276">
        <v>1175.63916008656</v>
      </c>
      <c r="M5276">
        <v>22.8825063431103</v>
      </c>
      <c r="N5276">
        <v>51.633667198185897</v>
      </c>
      <c r="O5276">
        <v>50.989649726604299</v>
      </c>
      <c r="P5276">
        <v>-0.106167475806586</v>
      </c>
      <c r="Q5276">
        <v>5.3715861148018101E-2</v>
      </c>
      <c r="R5276">
        <v>0.95298895637683401</v>
      </c>
      <c r="S5276" t="s">
        <v>11678</v>
      </c>
      <c r="T5276" t="s">
        <v>12802</v>
      </c>
      <c r="U5276" t="s">
        <v>12802</v>
      </c>
      <c r="V5276" t="s">
        <v>12802</v>
      </c>
      <c r="W5276" t="s">
        <v>18014</v>
      </c>
      <c r="X5276">
        <v>4</v>
      </c>
      <c r="Y5276" t="s">
        <v>24229</v>
      </c>
      <c r="Z5276" t="s">
        <v>30594</v>
      </c>
      <c r="AA5276">
        <v>0.51702713481041873</v>
      </c>
      <c r="AB5276" t="str">
        <f>HYPERLINK("Melting_Curves/meltCurve_Q9BVG9_PTDSS2.pdf", "Melting_Curves/meltCurve_Q9BVG9_PTDSS2.pdf")</f>
        <v>Melting_Curves/meltCurve_Q9BVG9_PTDSS2.pdf</v>
      </c>
    </row>
    <row r="5277" spans="1:28" x14ac:dyDescent="0.25">
      <c r="A5277" t="s">
        <v>5281</v>
      </c>
      <c r="B5277">
        <v>0.99542014353169495</v>
      </c>
      <c r="C5277">
        <v>0.86717110674544495</v>
      </c>
      <c r="D5277">
        <v>0.88045862216008897</v>
      </c>
      <c r="E5277">
        <v>0.50907493933340497</v>
      </c>
      <c r="F5277">
        <v>0.24795783575173599</v>
      </c>
      <c r="G5277">
        <v>0.15713395374934999</v>
      </c>
      <c r="H5277">
        <v>0.125737300018538</v>
      </c>
      <c r="I5277">
        <v>7.9043417792562895E-2</v>
      </c>
      <c r="J5277">
        <v>7.1664992237445005E-2</v>
      </c>
      <c r="K5277">
        <v>6.8402999939026904E-2</v>
      </c>
      <c r="L5277">
        <v>845.27201228236697</v>
      </c>
      <c r="M5277">
        <v>18.198001328480402</v>
      </c>
      <c r="N5277">
        <v>46.857599352064597</v>
      </c>
      <c r="O5277">
        <v>45.8986336597169</v>
      </c>
      <c r="P5277">
        <v>-9.1846387861329398E-2</v>
      </c>
      <c r="Q5277">
        <v>7.3431453053350096E-2</v>
      </c>
      <c r="R5277">
        <v>0.99056844656711696</v>
      </c>
      <c r="S5277" t="s">
        <v>11679</v>
      </c>
      <c r="T5277" t="s">
        <v>12802</v>
      </c>
      <c r="U5277" t="s">
        <v>12802</v>
      </c>
      <c r="V5277" t="s">
        <v>12802</v>
      </c>
      <c r="W5277" t="s">
        <v>18015</v>
      </c>
      <c r="X5277">
        <v>2</v>
      </c>
      <c r="Y5277" t="s">
        <v>24230</v>
      </c>
      <c r="Z5277" t="s">
        <v>30595</v>
      </c>
      <c r="AA5277">
        <v>0.37986313040074648</v>
      </c>
      <c r="AB5277" t="str">
        <f>HYPERLINK("Melting_Curves/meltCurve_Q9BVI4_NOC4L.pdf", "Melting_Curves/meltCurve_Q9BVI4_NOC4L.pdf")</f>
        <v>Melting_Curves/meltCurve_Q9BVI4_NOC4L.pdf</v>
      </c>
    </row>
    <row r="5278" spans="1:28" x14ac:dyDescent="0.25">
      <c r="A5278" t="s">
        <v>5282</v>
      </c>
      <c r="B5278">
        <v>0.99542014353169495</v>
      </c>
      <c r="C5278">
        <v>1.0114825666261</v>
      </c>
      <c r="D5278">
        <v>1.0471356801533001</v>
      </c>
      <c r="E5278">
        <v>1.0691461736501</v>
      </c>
      <c r="F5278">
        <v>0.65172896501119004</v>
      </c>
      <c r="G5278">
        <v>0.40147235656901697</v>
      </c>
      <c r="H5278">
        <v>0.23186084817849401</v>
      </c>
      <c r="I5278">
        <v>0.16852941933475701</v>
      </c>
      <c r="J5278">
        <v>0.22468687202516899</v>
      </c>
      <c r="K5278">
        <v>0.418478722284295</v>
      </c>
      <c r="L5278">
        <v>1944.4920037429299</v>
      </c>
      <c r="M5278">
        <v>38.461774065489003</v>
      </c>
      <c r="N5278">
        <v>51.604309943662997</v>
      </c>
      <c r="O5278">
        <v>50.420409049232397</v>
      </c>
      <c r="P5278">
        <v>-0.139021394952525</v>
      </c>
      <c r="Q5278">
        <v>0.27101685136459303</v>
      </c>
      <c r="R5278">
        <v>0.95793219652475603</v>
      </c>
      <c r="S5278" t="s">
        <v>11680</v>
      </c>
      <c r="T5278" t="s">
        <v>12802</v>
      </c>
      <c r="U5278" t="s">
        <v>12802</v>
      </c>
      <c r="V5278" t="s">
        <v>12802</v>
      </c>
      <c r="W5278" t="s">
        <v>18016</v>
      </c>
      <c r="X5278">
        <v>13</v>
      </c>
      <c r="Y5278" t="s">
        <v>24231</v>
      </c>
      <c r="Z5278" t="s">
        <v>30596</v>
      </c>
      <c r="AA5278">
        <v>0.6031851228306363</v>
      </c>
      <c r="AB5278" t="str">
        <f>HYPERLINK("Melting_Curves/meltCurve_Q9BVJ6_3_UTP14A.pdf", "Melting_Curves/meltCurve_Q9BVJ6_3_UTP14A.pdf")</f>
        <v>Melting_Curves/meltCurve_Q9BVJ6_3_UTP14A.pdf</v>
      </c>
    </row>
    <row r="5279" spans="1:28" x14ac:dyDescent="0.25">
      <c r="A5279" t="s">
        <v>5283</v>
      </c>
      <c r="B5279">
        <v>0.99542014353169495</v>
      </c>
      <c r="C5279">
        <v>1.0013012062492801</v>
      </c>
      <c r="D5279">
        <v>1.00537836663727</v>
      </c>
      <c r="E5279">
        <v>0.96808572847697005</v>
      </c>
      <c r="F5279">
        <v>0.835801213755759</v>
      </c>
      <c r="G5279">
        <v>0.58785815718986001</v>
      </c>
      <c r="H5279">
        <v>0.35382229269689902</v>
      </c>
      <c r="I5279">
        <v>0.20132400556250299</v>
      </c>
      <c r="J5279">
        <v>0.18886438079197501</v>
      </c>
      <c r="K5279">
        <v>0.19404258158406501</v>
      </c>
      <c r="L5279">
        <v>1109.17929827372</v>
      </c>
      <c r="M5279">
        <v>20.6080161433661</v>
      </c>
      <c r="N5279">
        <v>54.858567787187503</v>
      </c>
      <c r="O5279">
        <v>53.323591292111701</v>
      </c>
      <c r="P5279">
        <v>-8.10479025986868E-2</v>
      </c>
      <c r="Q5279">
        <v>0.16117296092774899</v>
      </c>
      <c r="R5279">
        <v>0.99876698658552199</v>
      </c>
      <c r="S5279" t="s">
        <v>11681</v>
      </c>
      <c r="T5279" t="s">
        <v>12802</v>
      </c>
      <c r="U5279" t="s">
        <v>12802</v>
      </c>
      <c r="V5279" t="s">
        <v>12802</v>
      </c>
      <c r="W5279" t="s">
        <v>18017</v>
      </c>
      <c r="X5279">
        <v>7</v>
      </c>
      <c r="Y5279" t="s">
        <v>24232</v>
      </c>
      <c r="Z5279" t="s">
        <v>30597</v>
      </c>
      <c r="AA5279">
        <v>0.64138034101943775</v>
      </c>
      <c r="AB5279" t="str">
        <f>HYPERLINK("Melting_Curves/meltCurve_Q9BVJ7_DUSP23.pdf", "Melting_Curves/meltCurve_Q9BVJ7_DUSP23.pdf")</f>
        <v>Melting_Curves/meltCurve_Q9BVJ7_DUSP23.pdf</v>
      </c>
    </row>
    <row r="5280" spans="1:28" x14ac:dyDescent="0.25">
      <c r="A5280" t="s">
        <v>5284</v>
      </c>
      <c r="B5280">
        <v>0.99542014353169495</v>
      </c>
      <c r="C5280">
        <v>0.89541701648116201</v>
      </c>
      <c r="D5280">
        <v>0.915097712731749</v>
      </c>
      <c r="E5280">
        <v>0.71460319526238802</v>
      </c>
      <c r="F5280">
        <v>0.66520101599774994</v>
      </c>
      <c r="G5280">
        <v>0.329027109815762</v>
      </c>
      <c r="H5280">
        <v>0.17727003945002701</v>
      </c>
      <c r="I5280">
        <v>7.2563680865451799E-2</v>
      </c>
      <c r="J5280">
        <v>5.5648635400944099E-2</v>
      </c>
      <c r="K5280">
        <v>5.6509842549388102E-2</v>
      </c>
      <c r="L5280">
        <v>660.21087054594898</v>
      </c>
      <c r="M5280">
        <v>12.9009775331309</v>
      </c>
      <c r="N5280">
        <v>51.175259669706897</v>
      </c>
      <c r="O5280">
        <v>49.992429948149599</v>
      </c>
      <c r="P5280">
        <v>-6.45263795221757E-2</v>
      </c>
      <c r="Q5280">
        <v>0</v>
      </c>
      <c r="R5280">
        <v>0.98247973270733102</v>
      </c>
      <c r="S5280" t="s">
        <v>11682</v>
      </c>
      <c r="T5280" t="s">
        <v>12802</v>
      </c>
      <c r="U5280" t="s">
        <v>12802</v>
      </c>
      <c r="V5280" t="s">
        <v>12802</v>
      </c>
      <c r="W5280" t="s">
        <v>18018</v>
      </c>
      <c r="X5280">
        <v>10</v>
      </c>
      <c r="Y5280" t="s">
        <v>24233</v>
      </c>
      <c r="Z5280" t="s">
        <v>30598</v>
      </c>
      <c r="AA5280">
        <v>0.49635496451537298</v>
      </c>
      <c r="AB5280" t="str">
        <f>HYPERLINK("Melting_Curves/meltCurve_Q9BVK6_TMED9.pdf", "Melting_Curves/meltCurve_Q9BVK6_TMED9.pdf")</f>
        <v>Melting_Curves/meltCurve_Q9BVK6_TMED9.pdf</v>
      </c>
    </row>
    <row r="5281" spans="1:28" x14ac:dyDescent="0.25">
      <c r="A5281" t="s">
        <v>5285</v>
      </c>
      <c r="B5281">
        <v>0.99542014353169495</v>
      </c>
      <c r="C5281">
        <v>0.97693190585161005</v>
      </c>
      <c r="D5281">
        <v>0.82137408296173997</v>
      </c>
      <c r="E5281">
        <v>0.28357639545854102</v>
      </c>
      <c r="F5281">
        <v>0.14549259612389401</v>
      </c>
      <c r="G5281">
        <v>9.9614974708957693E-2</v>
      </c>
      <c r="H5281">
        <v>0.117958452643421</v>
      </c>
      <c r="I5281">
        <v>0.12860901974386199</v>
      </c>
      <c r="J5281">
        <v>7.1134257971624607E-2</v>
      </c>
      <c r="K5281">
        <v>8.0952505986522899E-2</v>
      </c>
      <c r="L5281">
        <v>1497.85253332457</v>
      </c>
      <c r="M5281">
        <v>33.470868234052503</v>
      </c>
      <c r="N5281">
        <v>45.057951335832101</v>
      </c>
      <c r="O5281">
        <v>44.592098993086097</v>
      </c>
      <c r="P5281">
        <v>-0.168517302790823</v>
      </c>
      <c r="Q5281">
        <v>0.101964411324086</v>
      </c>
      <c r="R5281">
        <v>0.99789546655727202</v>
      </c>
      <c r="S5281" t="s">
        <v>11683</v>
      </c>
      <c r="T5281" t="s">
        <v>12802</v>
      </c>
      <c r="U5281" t="s">
        <v>12802</v>
      </c>
      <c r="V5281" t="s">
        <v>12802</v>
      </c>
      <c r="W5281" t="s">
        <v>18019</v>
      </c>
      <c r="X5281">
        <v>7</v>
      </c>
      <c r="Y5281" t="s">
        <v>24234</v>
      </c>
      <c r="Z5281" t="s">
        <v>30599</v>
      </c>
      <c r="AA5281">
        <v>0.33799066798446697</v>
      </c>
      <c r="AB5281" t="str">
        <f>HYPERLINK("Melting_Curves/meltCurve_Q9BVL4_SELO.pdf", "Melting_Curves/meltCurve_Q9BVL4_SELO.pdf")</f>
        <v>Melting_Curves/meltCurve_Q9BVL4_SELO.pdf</v>
      </c>
    </row>
    <row r="5282" spans="1:28" x14ac:dyDescent="0.25">
      <c r="A5282" t="s">
        <v>5286</v>
      </c>
      <c r="B5282">
        <v>0.99542014353169495</v>
      </c>
      <c r="C5282">
        <v>0.94040569084161396</v>
      </c>
      <c r="D5282">
        <v>0.88571007841787397</v>
      </c>
      <c r="E5282">
        <v>0.67739885862233895</v>
      </c>
      <c r="F5282">
        <v>0.52990534113883803</v>
      </c>
      <c r="G5282">
        <v>0.24597725572616599</v>
      </c>
      <c r="H5282">
        <v>0.34030433441122998</v>
      </c>
      <c r="I5282">
        <v>0.44055814541388699</v>
      </c>
      <c r="J5282">
        <v>0.43906840992421903</v>
      </c>
      <c r="K5282">
        <v>0.77880607697999005</v>
      </c>
      <c r="L5282">
        <v>1197.73486467464</v>
      </c>
      <c r="M5282">
        <v>26.2790815924782</v>
      </c>
      <c r="N5282">
        <v>50.182552960356396</v>
      </c>
      <c r="O5282">
        <v>45.316052103785999</v>
      </c>
      <c r="P5282">
        <v>-7.8989837416719499E-2</v>
      </c>
      <c r="Q5282">
        <v>0.45516112068476799</v>
      </c>
      <c r="R5282">
        <v>0.72990831090837904</v>
      </c>
      <c r="S5282" t="s">
        <v>11684</v>
      </c>
      <c r="T5282" t="s">
        <v>12802</v>
      </c>
      <c r="U5282" t="s">
        <v>12802</v>
      </c>
      <c r="V5282" t="s">
        <v>12802</v>
      </c>
      <c r="W5282" t="s">
        <v>18020</v>
      </c>
      <c r="X5282">
        <v>1</v>
      </c>
      <c r="Y5282" t="s">
        <v>24235</v>
      </c>
      <c r="Z5282" t="s">
        <v>30600</v>
      </c>
      <c r="AA5282">
        <v>0.61499257917031536</v>
      </c>
      <c r="AB5282" t="str">
        <f>HYPERLINK("Melting_Curves/meltCurve_Q9BVM2_DPCD.pdf", "Melting_Curves/meltCurve_Q9BVM2_DPCD.pdf")</f>
        <v>Melting_Curves/meltCurve_Q9BVM2_DPCD.pdf</v>
      </c>
    </row>
    <row r="5283" spans="1:28" x14ac:dyDescent="0.25">
      <c r="A5283" t="s">
        <v>5287</v>
      </c>
      <c r="B5283">
        <v>0.99542014353169495</v>
      </c>
      <c r="C5283">
        <v>0.92150474472795296</v>
      </c>
      <c r="D5283">
        <v>0.910635741272386</v>
      </c>
      <c r="E5283">
        <v>0.89348678292469896</v>
      </c>
      <c r="F5283">
        <v>0.90037999661136903</v>
      </c>
      <c r="G5283">
        <v>0.55682686512449397</v>
      </c>
      <c r="H5283">
        <v>0.45902618388423799</v>
      </c>
      <c r="I5283">
        <v>0.154456788026446</v>
      </c>
      <c r="J5283">
        <v>7.44629685290224E-2</v>
      </c>
      <c r="K5283">
        <v>7.6751849593277605E-2</v>
      </c>
      <c r="L5283">
        <v>856.76685239713004</v>
      </c>
      <c r="M5283">
        <v>15.438408585195299</v>
      </c>
      <c r="N5283">
        <v>55.4958018496609</v>
      </c>
      <c r="O5283">
        <v>54.589669139257197</v>
      </c>
      <c r="P5283">
        <v>-7.0708420247848694E-2</v>
      </c>
      <c r="Q5283">
        <v>0</v>
      </c>
      <c r="R5283">
        <v>0.97405681981747705</v>
      </c>
      <c r="S5283" t="s">
        <v>11685</v>
      </c>
      <c r="T5283" t="s">
        <v>12802</v>
      </c>
      <c r="U5283" t="s">
        <v>12802</v>
      </c>
      <c r="V5283" t="s">
        <v>12802</v>
      </c>
      <c r="W5283" t="s">
        <v>18021</v>
      </c>
      <c r="X5283">
        <v>12</v>
      </c>
      <c r="Y5283" t="s">
        <v>24236</v>
      </c>
      <c r="Z5283" t="s">
        <v>30601</v>
      </c>
      <c r="AA5283">
        <v>0.62931643639598889</v>
      </c>
      <c r="AB5283" t="str">
        <f>HYPERLINK("Melting_Curves/meltCurve_Q9BVQ7_SPATA5L1.pdf", "Melting_Curves/meltCurve_Q9BVQ7_SPATA5L1.pdf")</f>
        <v>Melting_Curves/meltCurve_Q9BVQ7_SPATA5L1.pdf</v>
      </c>
    </row>
    <row r="5284" spans="1:28" x14ac:dyDescent="0.25">
      <c r="A5284" t="s">
        <v>5288</v>
      </c>
      <c r="B5284">
        <v>0.99542014353169495</v>
      </c>
      <c r="C5284">
        <v>1.0026192002223799</v>
      </c>
      <c r="D5284">
        <v>1.0316523962412401</v>
      </c>
      <c r="E5284">
        <v>0.92846119055119702</v>
      </c>
      <c r="F5284">
        <v>0.80902226410774003</v>
      </c>
      <c r="G5284">
        <v>0.55053054422197101</v>
      </c>
      <c r="H5284">
        <v>0.30186216549714301</v>
      </c>
      <c r="I5284">
        <v>0.111330984561458</v>
      </c>
      <c r="J5284">
        <v>5.5235451837110497E-2</v>
      </c>
      <c r="K5284">
        <v>5.8998823393584997E-2</v>
      </c>
      <c r="L5284">
        <v>950.50694857779104</v>
      </c>
      <c r="M5284">
        <v>17.476211112882101</v>
      </c>
      <c r="N5284">
        <v>54.4018548732695</v>
      </c>
      <c r="O5284">
        <v>53.691467281168698</v>
      </c>
      <c r="P5284">
        <v>-8.12051749125524E-2</v>
      </c>
      <c r="Q5284">
        <v>2.12161576330391E-3</v>
      </c>
      <c r="R5284">
        <v>0.99780508859575501</v>
      </c>
      <c r="S5284" t="s">
        <v>11686</v>
      </c>
      <c r="T5284" t="s">
        <v>12802</v>
      </c>
      <c r="U5284" t="s">
        <v>12802</v>
      </c>
      <c r="V5284" t="s">
        <v>12802</v>
      </c>
      <c r="W5284" t="s">
        <v>18022</v>
      </c>
      <c r="X5284">
        <v>15</v>
      </c>
      <c r="Y5284" t="s">
        <v>24237</v>
      </c>
      <c r="Z5284" t="s">
        <v>30602</v>
      </c>
      <c r="AA5284">
        <v>0.5941858361529444</v>
      </c>
      <c r="AB5284" t="str">
        <f>HYPERLINK("Melting_Curves/meltCurve_Q9BVS4_RIOK2.pdf", "Melting_Curves/meltCurve_Q9BVS4_RIOK2.pdf")</f>
        <v>Melting_Curves/meltCurve_Q9BVS4_RIOK2.pdf</v>
      </c>
    </row>
    <row r="5285" spans="1:28" x14ac:dyDescent="0.25">
      <c r="A5285" t="s">
        <v>5289</v>
      </c>
      <c r="B5285">
        <v>0.99542014353169495</v>
      </c>
      <c r="C5285">
        <v>0.91475871977286005</v>
      </c>
      <c r="D5285">
        <v>0.84515474597474605</v>
      </c>
      <c r="E5285">
        <v>0.67566834222000405</v>
      </c>
      <c r="F5285">
        <v>0.688537829671788</v>
      </c>
      <c r="G5285">
        <v>0.44406300578718799</v>
      </c>
      <c r="H5285">
        <v>0.36324836952886203</v>
      </c>
      <c r="I5285">
        <v>0.30634884410862301</v>
      </c>
      <c r="J5285">
        <v>0.28418439018479402</v>
      </c>
      <c r="K5285">
        <v>4.44129614977333E-2</v>
      </c>
      <c r="L5285">
        <v>404.33872314535398</v>
      </c>
      <c r="M5285">
        <v>7.6186894183415204</v>
      </c>
      <c r="N5285">
        <v>53.0719525251913</v>
      </c>
      <c r="O5285">
        <v>49.785981514175198</v>
      </c>
      <c r="P5285">
        <v>-3.8309115605753799E-2</v>
      </c>
      <c r="Q5285">
        <v>0</v>
      </c>
      <c r="R5285">
        <v>0.96000127024466997</v>
      </c>
      <c r="S5285" t="s">
        <v>11687</v>
      </c>
      <c r="T5285" t="s">
        <v>12802</v>
      </c>
      <c r="U5285" t="s">
        <v>12802</v>
      </c>
      <c r="V5285" t="s">
        <v>12802</v>
      </c>
      <c r="W5285" t="s">
        <v>18023</v>
      </c>
      <c r="X5285">
        <v>3</v>
      </c>
      <c r="Y5285" t="s">
        <v>24238</v>
      </c>
      <c r="Z5285" t="s">
        <v>30603</v>
      </c>
      <c r="AA5285">
        <v>0.55657231621013992</v>
      </c>
      <c r="AB5285" t="str">
        <f>HYPERLINK("Melting_Curves/meltCurve_Q9BVS5_TRMT61B.pdf", "Melting_Curves/meltCurve_Q9BVS5_TRMT61B.pdf")</f>
        <v>Melting_Curves/meltCurve_Q9BVS5_TRMT61B.pdf</v>
      </c>
    </row>
    <row r="5286" spans="1:28" x14ac:dyDescent="0.25">
      <c r="A5286" t="s">
        <v>5290</v>
      </c>
      <c r="B5286">
        <v>0.99542014353169495</v>
      </c>
      <c r="C5286">
        <v>0.92024545583348705</v>
      </c>
      <c r="D5286">
        <v>0.96111563151596402</v>
      </c>
      <c r="E5286">
        <v>0.73993943346838598</v>
      </c>
      <c r="F5286">
        <v>0.48899758750494599</v>
      </c>
      <c r="G5286">
        <v>0.239364108581754</v>
      </c>
      <c r="H5286">
        <v>0.123167332313886</v>
      </c>
      <c r="I5286">
        <v>7.4564826003999898E-2</v>
      </c>
      <c r="J5286">
        <v>9.0590531388501705E-2</v>
      </c>
      <c r="K5286">
        <v>0.106700061242347</v>
      </c>
      <c r="L5286">
        <v>871.26580419626396</v>
      </c>
      <c r="M5286">
        <v>17.647097575634199</v>
      </c>
      <c r="N5286">
        <v>49.784673653078499</v>
      </c>
      <c r="O5286">
        <v>48.7507120566192</v>
      </c>
      <c r="P5286">
        <v>-8.4338271728532394E-2</v>
      </c>
      <c r="Q5286">
        <v>6.8100064748703101E-2</v>
      </c>
      <c r="R5286">
        <v>0.99452103053162599</v>
      </c>
      <c r="S5286" t="s">
        <v>11688</v>
      </c>
      <c r="T5286" t="s">
        <v>12802</v>
      </c>
      <c r="U5286" t="s">
        <v>12802</v>
      </c>
      <c r="V5286" t="s">
        <v>12802</v>
      </c>
      <c r="W5286" t="s">
        <v>18024</v>
      </c>
      <c r="X5286">
        <v>9</v>
      </c>
      <c r="Y5286" t="s">
        <v>24239</v>
      </c>
      <c r="Z5286" t="s">
        <v>30604</v>
      </c>
      <c r="AA5286">
        <v>0.46768447340635733</v>
      </c>
      <c r="AB5286" t="str">
        <f>HYPERLINK("Melting_Curves/meltCurve_Q9BVV7_TIMM21.pdf", "Melting_Curves/meltCurve_Q9BVV7_TIMM21.pdf")</f>
        <v>Melting_Curves/meltCurve_Q9BVV7_TIMM21.pdf</v>
      </c>
    </row>
    <row r="5287" spans="1:28" x14ac:dyDescent="0.25">
      <c r="A5287" t="s">
        <v>5291</v>
      </c>
      <c r="B5287">
        <v>0.99542014353169495</v>
      </c>
      <c r="C5287">
        <v>1.04058755075635</v>
      </c>
      <c r="D5287">
        <v>0.98633226938261898</v>
      </c>
      <c r="E5287">
        <v>0.89409566452554401</v>
      </c>
      <c r="F5287">
        <v>0.67137167584128399</v>
      </c>
      <c r="G5287">
        <v>0.557609020028068</v>
      </c>
      <c r="H5287">
        <v>0.39222781242951199</v>
      </c>
      <c r="I5287">
        <v>0.34614324988189199</v>
      </c>
      <c r="J5287">
        <v>0.55183302049975502</v>
      </c>
      <c r="K5287">
        <v>0.64632516440088095</v>
      </c>
      <c r="L5287">
        <v>1389.6432110630601</v>
      </c>
      <c r="M5287">
        <v>28.339115087456801</v>
      </c>
      <c r="N5287">
        <v>56.775709686185003</v>
      </c>
      <c r="O5287">
        <v>48.794005434954997</v>
      </c>
      <c r="P5287">
        <v>-7.4124246781432104E-2</v>
      </c>
      <c r="Q5287">
        <v>0.48949867898273802</v>
      </c>
      <c r="R5287">
        <v>0.89227652842420802</v>
      </c>
      <c r="S5287" t="s">
        <v>11689</v>
      </c>
      <c r="T5287" t="s">
        <v>12802</v>
      </c>
      <c r="U5287" t="s">
        <v>12802</v>
      </c>
      <c r="V5287" t="s">
        <v>12802</v>
      </c>
      <c r="W5287" t="s">
        <v>18025</v>
      </c>
      <c r="X5287">
        <v>11</v>
      </c>
      <c r="Y5287" t="s">
        <v>24240</v>
      </c>
      <c r="Z5287" t="s">
        <v>30605</v>
      </c>
      <c r="AA5287">
        <v>0.69776600380677212</v>
      </c>
      <c r="AB5287" t="str">
        <f>HYPERLINK("Melting_Curves/meltCurve_Q9BW04_SARG.pdf", "Melting_Curves/meltCurve_Q9BW04_SARG.pdf")</f>
        <v>Melting_Curves/meltCurve_Q9BW04_SARG.pdf</v>
      </c>
    </row>
    <row r="5288" spans="1:28" x14ac:dyDescent="0.25">
      <c r="A5288" t="s">
        <v>5292</v>
      </c>
      <c r="B5288">
        <v>0.99542014353169495</v>
      </c>
      <c r="C5288">
        <v>1.0102708356417101</v>
      </c>
      <c r="D5288">
        <v>1.0587263438952399</v>
      </c>
      <c r="E5288">
        <v>0.78289644193426799</v>
      </c>
      <c r="F5288">
        <v>0.18739240629867701</v>
      </c>
      <c r="G5288">
        <v>0.10873925537109599</v>
      </c>
      <c r="H5288">
        <v>7.3835894908517205E-2</v>
      </c>
      <c r="I5288">
        <v>4.9553641028798397E-2</v>
      </c>
      <c r="J5288">
        <v>4.5033814200030602E-2</v>
      </c>
      <c r="K5288">
        <v>4.8472710239242101E-2</v>
      </c>
      <c r="L5288">
        <v>2008.29613564381</v>
      </c>
      <c r="M5288">
        <v>41.869984431103198</v>
      </c>
      <c r="N5288">
        <v>48.118716460147901</v>
      </c>
      <c r="O5288">
        <v>47.856029335395903</v>
      </c>
      <c r="P5288">
        <v>-0.20504251525697001</v>
      </c>
      <c r="Q5288">
        <v>6.2573936370137903E-2</v>
      </c>
      <c r="R5288">
        <v>0.99651868386416098</v>
      </c>
      <c r="S5288" t="s">
        <v>11690</v>
      </c>
      <c r="T5288" t="s">
        <v>12802</v>
      </c>
      <c r="U5288" t="s">
        <v>12802</v>
      </c>
      <c r="V5288" t="s">
        <v>12802</v>
      </c>
      <c r="W5288" t="s">
        <v>18026</v>
      </c>
      <c r="X5288">
        <v>30</v>
      </c>
      <c r="Y5288" t="s">
        <v>24241</v>
      </c>
      <c r="Z5288" t="s">
        <v>30606</v>
      </c>
      <c r="AA5288">
        <v>0.40803968858269368</v>
      </c>
      <c r="AB5288" t="str">
        <f>HYPERLINK("Melting_Curves/meltCurve_Q9BW19_KIFC1.pdf", "Melting_Curves/meltCurve_Q9BW19_KIFC1.pdf")</f>
        <v>Melting_Curves/meltCurve_Q9BW19_KIFC1.pdf</v>
      </c>
    </row>
    <row r="5289" spans="1:28" x14ac:dyDescent="0.25">
      <c r="A5289" t="s">
        <v>5293</v>
      </c>
      <c r="B5289">
        <v>0.99542014353169495</v>
      </c>
      <c r="C5289">
        <v>0.94740032744881097</v>
      </c>
      <c r="D5289">
        <v>0.94262923802321696</v>
      </c>
      <c r="E5289">
        <v>0.76164937634797902</v>
      </c>
      <c r="F5289">
        <v>0.71294572905171805</v>
      </c>
      <c r="G5289">
        <v>0.72573242102327695</v>
      </c>
      <c r="H5289">
        <v>0.30526636503902299</v>
      </c>
      <c r="I5289">
        <v>0.103600115855354</v>
      </c>
      <c r="J5289">
        <v>9.2712129963123405E-2</v>
      </c>
      <c r="K5289">
        <v>7.3346255495636697E-2</v>
      </c>
      <c r="L5289">
        <v>713.50271376684395</v>
      </c>
      <c r="M5289">
        <v>13.1046052106426</v>
      </c>
      <c r="N5289">
        <v>54.4467156870762</v>
      </c>
      <c r="O5289">
        <v>53.225638653503196</v>
      </c>
      <c r="P5289">
        <v>-6.1562646038236697E-2</v>
      </c>
      <c r="Q5289">
        <v>0</v>
      </c>
      <c r="R5289">
        <v>0.94718379174874401</v>
      </c>
      <c r="S5289" t="s">
        <v>11691</v>
      </c>
      <c r="T5289" t="s">
        <v>12802</v>
      </c>
      <c r="U5289" t="s">
        <v>12802</v>
      </c>
      <c r="V5289" t="s">
        <v>12802</v>
      </c>
      <c r="W5289" t="s">
        <v>18027</v>
      </c>
      <c r="X5289">
        <v>10</v>
      </c>
      <c r="Y5289" t="s">
        <v>24242</v>
      </c>
      <c r="Z5289" t="s">
        <v>30607</v>
      </c>
      <c r="AA5289">
        <v>0.59774948184504884</v>
      </c>
      <c r="AB5289" t="str">
        <f>HYPERLINK("Melting_Curves/meltCurve_Q9BW27_NUP85.pdf", "Melting_Curves/meltCurve_Q9BW27_NUP85.pdf")</f>
        <v>Melting_Curves/meltCurve_Q9BW27_NUP85.pdf</v>
      </c>
    </row>
    <row r="5290" spans="1:28" x14ac:dyDescent="0.25">
      <c r="A5290" t="s">
        <v>5294</v>
      </c>
      <c r="B5290">
        <v>0.99542014353169495</v>
      </c>
      <c r="C5290">
        <v>0.94696974840900505</v>
      </c>
      <c r="D5290">
        <v>1.0567868786044401</v>
      </c>
      <c r="E5290">
        <v>0.799132317508641</v>
      </c>
      <c r="F5290">
        <v>0.55098486903196198</v>
      </c>
      <c r="G5290">
        <v>0.229100901441012</v>
      </c>
      <c r="H5290">
        <v>0.107349420321314</v>
      </c>
      <c r="I5290">
        <v>8.5345122164225504E-2</v>
      </c>
      <c r="J5290">
        <v>6.1595458890128497E-2</v>
      </c>
      <c r="K5290">
        <v>6.5456291403411401E-2</v>
      </c>
      <c r="L5290">
        <v>1060.18082067006</v>
      </c>
      <c r="M5290">
        <v>21.124942177434601</v>
      </c>
      <c r="N5290">
        <v>50.465922185798803</v>
      </c>
      <c r="O5290">
        <v>49.742983215274798</v>
      </c>
      <c r="P5290">
        <v>-0.10030762226322799</v>
      </c>
      <c r="Q5290">
        <v>5.5245782495676098E-2</v>
      </c>
      <c r="R5290">
        <v>0.99236929405116603</v>
      </c>
      <c r="S5290" t="s">
        <v>11692</v>
      </c>
      <c r="T5290" t="s">
        <v>12802</v>
      </c>
      <c r="U5290" t="s">
        <v>12802</v>
      </c>
      <c r="V5290" t="s">
        <v>12802</v>
      </c>
      <c r="W5290" t="s">
        <v>18028</v>
      </c>
      <c r="X5290">
        <v>2</v>
      </c>
      <c r="Y5290" t="s">
        <v>24243</v>
      </c>
      <c r="Z5290" t="s">
        <v>30608</v>
      </c>
      <c r="AA5290">
        <v>0.48179609157446912</v>
      </c>
      <c r="AB5290" t="str">
        <f>HYPERLINK("Melting_Curves/meltCurve_Q9BW60_ELOVL1.pdf", "Melting_Curves/meltCurve_Q9BW60_ELOVL1.pdf")</f>
        <v>Melting_Curves/meltCurve_Q9BW60_ELOVL1.pdf</v>
      </c>
    </row>
    <row r="5291" spans="1:28" x14ac:dyDescent="0.25">
      <c r="A5291" t="s">
        <v>5295</v>
      </c>
      <c r="B5291">
        <v>0.99542014353169495</v>
      </c>
      <c r="C5291">
        <v>0.82221113224757503</v>
      </c>
      <c r="D5291">
        <v>0.82298719071814996</v>
      </c>
      <c r="E5291">
        <v>0.65518953531670798</v>
      </c>
      <c r="F5291">
        <v>0.432816557454693</v>
      </c>
      <c r="G5291">
        <v>0.25418631952014598</v>
      </c>
      <c r="H5291">
        <v>0.11737851006891301</v>
      </c>
      <c r="I5291">
        <v>8.6258866728031097E-2</v>
      </c>
      <c r="J5291">
        <v>0.10685533556898701</v>
      </c>
      <c r="K5291">
        <v>0.109260881536154</v>
      </c>
      <c r="L5291">
        <v>548.319308641524</v>
      </c>
      <c r="M5291">
        <v>11.330852304469101</v>
      </c>
      <c r="N5291">
        <v>48.6474595185582</v>
      </c>
      <c r="O5291">
        <v>46.957926047005699</v>
      </c>
      <c r="P5291">
        <v>-5.8597863419009903E-2</v>
      </c>
      <c r="Q5291">
        <v>2.89146239080279E-2</v>
      </c>
      <c r="R5291">
        <v>0.98449865627468403</v>
      </c>
      <c r="S5291" t="s">
        <v>11693</v>
      </c>
      <c r="T5291" t="s">
        <v>12802</v>
      </c>
      <c r="U5291" t="s">
        <v>12802</v>
      </c>
      <c r="V5291" t="s">
        <v>12802</v>
      </c>
      <c r="W5291" t="s">
        <v>18029</v>
      </c>
      <c r="X5291">
        <v>5</v>
      </c>
      <c r="Y5291" t="s">
        <v>24244</v>
      </c>
      <c r="Z5291" t="s">
        <v>30609</v>
      </c>
      <c r="AA5291">
        <v>0.42992188696608291</v>
      </c>
      <c r="AB5291" t="str">
        <f>HYPERLINK("Melting_Curves/meltCurve_Q9BW61_DDA1.pdf", "Melting_Curves/meltCurve_Q9BW61_DDA1.pdf")</f>
        <v>Melting_Curves/meltCurve_Q9BW61_DDA1.pdf</v>
      </c>
    </row>
    <row r="5292" spans="1:28" x14ac:dyDescent="0.25">
      <c r="A5292" t="s">
        <v>5296</v>
      </c>
      <c r="B5292">
        <v>0.99542014353169495</v>
      </c>
      <c r="C5292">
        <v>1.01683823097793</v>
      </c>
      <c r="D5292">
        <v>0.93911210711149895</v>
      </c>
      <c r="E5292">
        <v>0.77363400775717195</v>
      </c>
      <c r="F5292">
        <v>0.52735577069293105</v>
      </c>
      <c r="G5292">
        <v>0.32762044913377902</v>
      </c>
      <c r="H5292">
        <v>0.19531622985915101</v>
      </c>
      <c r="I5292">
        <v>0.15798606577555699</v>
      </c>
      <c r="J5292">
        <v>0.220705208125897</v>
      </c>
      <c r="K5292">
        <v>0.28573119037721301</v>
      </c>
      <c r="L5292">
        <v>981.46161043506197</v>
      </c>
      <c r="M5292">
        <v>20.0447017873432</v>
      </c>
      <c r="N5292">
        <v>50.278407626219803</v>
      </c>
      <c r="O5292">
        <v>48.484123964047797</v>
      </c>
      <c r="P5292">
        <v>-8.2277256738585602E-2</v>
      </c>
      <c r="Q5292">
        <v>0.20397678090951299</v>
      </c>
      <c r="R5292">
        <v>0.98762538786558596</v>
      </c>
      <c r="S5292" t="s">
        <v>11694</v>
      </c>
      <c r="T5292" t="s">
        <v>12802</v>
      </c>
      <c r="U5292" t="s">
        <v>12802</v>
      </c>
      <c r="V5292" t="s">
        <v>12802</v>
      </c>
      <c r="W5292" t="s">
        <v>18030</v>
      </c>
      <c r="X5292">
        <v>9</v>
      </c>
      <c r="Y5292" t="s">
        <v>24245</v>
      </c>
      <c r="Z5292" t="s">
        <v>30610</v>
      </c>
      <c r="AA5292">
        <v>0.53186537656590105</v>
      </c>
      <c r="AB5292" t="str">
        <f>HYPERLINK("Melting_Curves/meltCurve_Q9BW71_2_HIRIP3.pdf", "Melting_Curves/meltCurve_Q9BW71_2_HIRIP3.pdf")</f>
        <v>Melting_Curves/meltCurve_Q9BW71_2_HIRIP3.pdf</v>
      </c>
    </row>
    <row r="5293" spans="1:28" x14ac:dyDescent="0.25">
      <c r="A5293" t="s">
        <v>5297</v>
      </c>
      <c r="B5293">
        <v>0.99542014353169495</v>
      </c>
      <c r="C5293">
        <v>1.07239229994156</v>
      </c>
      <c r="D5293">
        <v>1.0737977169306101</v>
      </c>
      <c r="E5293">
        <v>0.966662344653898</v>
      </c>
      <c r="F5293">
        <v>0.79677141506752103</v>
      </c>
      <c r="G5293">
        <v>0.50513693377760904</v>
      </c>
      <c r="H5293">
        <v>0.24926422695839001</v>
      </c>
      <c r="I5293">
        <v>0.14492649484498299</v>
      </c>
      <c r="J5293">
        <v>0.151648525200654</v>
      </c>
      <c r="K5293">
        <v>0.146217964404007</v>
      </c>
      <c r="L5293">
        <v>1236.8500440673699</v>
      </c>
      <c r="M5293">
        <v>23.334513509063498</v>
      </c>
      <c r="N5293">
        <v>53.687534483919997</v>
      </c>
      <c r="O5293">
        <v>52.620516769374198</v>
      </c>
      <c r="P5293">
        <v>-9.6638103672032696E-2</v>
      </c>
      <c r="Q5293">
        <v>0.128320414690585</v>
      </c>
      <c r="R5293">
        <v>0.99172809879508295</v>
      </c>
      <c r="S5293" t="s">
        <v>11695</v>
      </c>
      <c r="T5293" t="s">
        <v>12802</v>
      </c>
      <c r="U5293" t="s">
        <v>12802</v>
      </c>
      <c r="V5293" t="s">
        <v>12802</v>
      </c>
      <c r="W5293" t="s">
        <v>18031</v>
      </c>
      <c r="X5293">
        <v>20</v>
      </c>
      <c r="Y5293" t="s">
        <v>24246</v>
      </c>
      <c r="Z5293" t="s">
        <v>30611</v>
      </c>
      <c r="AA5293">
        <v>0.60201616186923645</v>
      </c>
      <c r="AB5293" t="str">
        <f>HYPERLINK("Melting_Curves/meltCurve_Q9BW85_CCDC94.pdf", "Melting_Curves/meltCurve_Q9BW85_CCDC94.pdf")</f>
        <v>Melting_Curves/meltCurve_Q9BW85_CCDC94.pdf</v>
      </c>
    </row>
    <row r="5294" spans="1:28" x14ac:dyDescent="0.25">
      <c r="A5294" t="s">
        <v>5298</v>
      </c>
      <c r="B5294">
        <v>0.99542014353169495</v>
      </c>
      <c r="C5294">
        <v>0.99596555694266098</v>
      </c>
      <c r="D5294">
        <v>0.92016220471274102</v>
      </c>
      <c r="E5294">
        <v>0.82180340247029604</v>
      </c>
      <c r="F5294">
        <v>0.49379932247358599</v>
      </c>
      <c r="G5294">
        <v>0.20473616831856001</v>
      </c>
      <c r="H5294">
        <v>0.106756888833565</v>
      </c>
      <c r="I5294">
        <v>7.1963976225682694E-2</v>
      </c>
      <c r="J5294">
        <v>8.1420254858891594E-2</v>
      </c>
      <c r="K5294">
        <v>7.2695719501390296E-2</v>
      </c>
      <c r="L5294">
        <v>1043.6733769207499</v>
      </c>
      <c r="M5294">
        <v>20.995106439245099</v>
      </c>
      <c r="N5294">
        <v>50.018714475843097</v>
      </c>
      <c r="O5294">
        <v>49.265923460176097</v>
      </c>
      <c r="P5294">
        <v>-0.100074453271508</v>
      </c>
      <c r="Q5294">
        <v>6.0709117679395699E-2</v>
      </c>
      <c r="R5294">
        <v>0.99818357272628</v>
      </c>
      <c r="S5294" t="s">
        <v>11696</v>
      </c>
      <c r="T5294" t="s">
        <v>12802</v>
      </c>
      <c r="U5294" t="s">
        <v>12802</v>
      </c>
      <c r="V5294" t="s">
        <v>12802</v>
      </c>
      <c r="W5294" t="s">
        <v>18032</v>
      </c>
      <c r="X5294">
        <v>13</v>
      </c>
      <c r="Y5294" t="s">
        <v>24247</v>
      </c>
      <c r="Z5294" t="s">
        <v>30612</v>
      </c>
      <c r="AA5294">
        <v>0.47001066228102739</v>
      </c>
      <c r="AB5294" t="str">
        <f>HYPERLINK("Melting_Curves/meltCurve_Q9BW91_2_NUDT9.pdf", "Melting_Curves/meltCurve_Q9BW91_2_NUDT9.pdf")</f>
        <v>Melting_Curves/meltCurve_Q9BW91_2_NUDT9.pdf</v>
      </c>
    </row>
    <row r="5295" spans="1:28" x14ac:dyDescent="0.25">
      <c r="A5295" t="s">
        <v>5299</v>
      </c>
      <c r="B5295">
        <v>0.99542014353169495</v>
      </c>
      <c r="C5295">
        <v>0.93695502265029096</v>
      </c>
      <c r="D5295">
        <v>0.91287002841118203</v>
      </c>
      <c r="E5295">
        <v>0.73215151786029697</v>
      </c>
      <c r="F5295">
        <v>0.437808583824919</v>
      </c>
      <c r="G5295">
        <v>0.213448060903635</v>
      </c>
      <c r="H5295">
        <v>9.4385966368726107E-2</v>
      </c>
      <c r="I5295">
        <v>6.0692525078484598E-2</v>
      </c>
      <c r="J5295">
        <v>8.5330940664341007E-2</v>
      </c>
      <c r="K5295">
        <v>6.3547281815477696E-2</v>
      </c>
      <c r="L5295">
        <v>842.37068978854097</v>
      </c>
      <c r="M5295">
        <v>17.173324337726999</v>
      </c>
      <c r="N5295">
        <v>49.318764306524002</v>
      </c>
      <c r="O5295">
        <v>48.400499071509998</v>
      </c>
      <c r="P5295">
        <v>-8.4762522910050805E-2</v>
      </c>
      <c r="Q5295">
        <v>4.44937411559682E-2</v>
      </c>
      <c r="R5295">
        <v>0.99746401531622997</v>
      </c>
      <c r="S5295" t="s">
        <v>11697</v>
      </c>
      <c r="T5295" t="s">
        <v>12802</v>
      </c>
      <c r="U5295" t="s">
        <v>12802</v>
      </c>
      <c r="V5295" t="s">
        <v>12802</v>
      </c>
      <c r="W5295" t="s">
        <v>18033</v>
      </c>
      <c r="X5295">
        <v>18</v>
      </c>
      <c r="Y5295" t="s">
        <v>24248</v>
      </c>
      <c r="Z5295" t="s">
        <v>30613</v>
      </c>
      <c r="AA5295">
        <v>0.44478734700135658</v>
      </c>
      <c r="AB5295" t="str">
        <f>HYPERLINK("Melting_Curves/meltCurve_Q9BW92_TARS2.pdf", "Melting_Curves/meltCurve_Q9BW92_TARS2.pdf")</f>
        <v>Melting_Curves/meltCurve_Q9BW92_TARS2.pdf</v>
      </c>
    </row>
    <row r="5296" spans="1:28" x14ac:dyDescent="0.25">
      <c r="A5296" t="s">
        <v>5300</v>
      </c>
      <c r="B5296">
        <v>0.99542014353169495</v>
      </c>
      <c r="C5296">
        <v>0.999781985053808</v>
      </c>
      <c r="D5296">
        <v>1.07550410596899</v>
      </c>
      <c r="E5296">
        <v>0.98022988948271095</v>
      </c>
      <c r="F5296">
        <v>0.889571246114369</v>
      </c>
      <c r="G5296">
        <v>0.68309510640362703</v>
      </c>
      <c r="H5296">
        <v>0.53981940696951303</v>
      </c>
      <c r="I5296">
        <v>0.46362446184315997</v>
      </c>
      <c r="J5296">
        <v>0.19953539693095601</v>
      </c>
      <c r="K5296">
        <v>7.9794482469870101E-2</v>
      </c>
      <c r="L5296">
        <v>762.97597856005302</v>
      </c>
      <c r="M5296">
        <v>13.1163540221134</v>
      </c>
      <c r="N5296">
        <v>58.169822083213099</v>
      </c>
      <c r="O5296">
        <v>56.867529888808598</v>
      </c>
      <c r="P5296">
        <v>-5.7671729770672302E-2</v>
      </c>
      <c r="Q5296">
        <v>0</v>
      </c>
      <c r="R5296">
        <v>0.97427238039057495</v>
      </c>
      <c r="S5296" t="s">
        <v>11698</v>
      </c>
      <c r="T5296" t="s">
        <v>12802</v>
      </c>
      <c r="U5296" t="s">
        <v>12802</v>
      </c>
      <c r="V5296" t="s">
        <v>12802</v>
      </c>
      <c r="W5296" t="s">
        <v>18034</v>
      </c>
      <c r="X5296">
        <v>19</v>
      </c>
      <c r="Y5296" t="s">
        <v>24249</v>
      </c>
      <c r="Z5296" t="s">
        <v>30614</v>
      </c>
      <c r="AA5296">
        <v>0.70595796140919731</v>
      </c>
      <c r="AB5296" t="str">
        <f>HYPERLINK("Melting_Curves/meltCurve_Q9BWD1_ACAT2.pdf", "Melting_Curves/meltCurve_Q9BWD1_ACAT2.pdf")</f>
        <v>Melting_Curves/meltCurve_Q9BWD1_ACAT2.pdf</v>
      </c>
    </row>
    <row r="5297" spans="1:28" x14ac:dyDescent="0.25">
      <c r="A5297" t="s">
        <v>5301</v>
      </c>
      <c r="B5297">
        <v>0.99542014353169495</v>
      </c>
      <c r="C5297">
        <v>0.927667373277411</v>
      </c>
      <c r="D5297">
        <v>1.04592963810449</v>
      </c>
      <c r="E5297">
        <v>0.93390653705106697</v>
      </c>
      <c r="F5297">
        <v>0.70583664831280701</v>
      </c>
      <c r="G5297">
        <v>0.374852994767082</v>
      </c>
      <c r="H5297">
        <v>0.228223173404561</v>
      </c>
      <c r="I5297">
        <v>0.116323984057482</v>
      </c>
      <c r="J5297">
        <v>4.84416419168631E-2</v>
      </c>
      <c r="K5297">
        <v>3.96090250823464E-2</v>
      </c>
      <c r="L5297">
        <v>999.58826019068999</v>
      </c>
      <c r="M5297">
        <v>19.075385805445698</v>
      </c>
      <c r="N5297">
        <v>52.620231351155802</v>
      </c>
      <c r="O5297">
        <v>51.836288596611901</v>
      </c>
      <c r="P5297">
        <v>-8.8502779000929593E-2</v>
      </c>
      <c r="Q5297">
        <v>3.8032615353902899E-2</v>
      </c>
      <c r="R5297">
        <v>0.99263788817650001</v>
      </c>
      <c r="S5297" t="s">
        <v>11699</v>
      </c>
      <c r="T5297" t="s">
        <v>12802</v>
      </c>
      <c r="U5297" t="s">
        <v>12802</v>
      </c>
      <c r="V5297" t="s">
        <v>12802</v>
      </c>
      <c r="W5297" t="s">
        <v>18035</v>
      </c>
      <c r="X5297">
        <v>12</v>
      </c>
      <c r="Y5297" t="s">
        <v>24250</v>
      </c>
      <c r="Z5297" t="s">
        <v>30615</v>
      </c>
      <c r="AA5297">
        <v>0.54512339362174356</v>
      </c>
      <c r="AB5297" t="str">
        <f>HYPERLINK("Melting_Curves/meltCurve_Q9BWE0_REPIN1.pdf", "Melting_Curves/meltCurve_Q9BWE0_REPIN1.pdf")</f>
        <v>Melting_Curves/meltCurve_Q9BWE0_REPIN1.pdf</v>
      </c>
    </row>
    <row r="5298" spans="1:28" x14ac:dyDescent="0.25">
      <c r="A5298" t="s">
        <v>5302</v>
      </c>
      <c r="B5298">
        <v>0.99542014353169495</v>
      </c>
      <c r="C5298">
        <v>0.98139466672948195</v>
      </c>
      <c r="D5298">
        <v>0.86314610235004496</v>
      </c>
      <c r="E5298">
        <v>0.50765530408424098</v>
      </c>
      <c r="F5298">
        <v>0.219700632824921</v>
      </c>
      <c r="G5298">
        <v>0.112512712309809</v>
      </c>
      <c r="H5298">
        <v>7.2579482136835599E-2</v>
      </c>
      <c r="I5298">
        <v>5.0062557203929901E-2</v>
      </c>
      <c r="J5298">
        <v>5.1584102358010302E-2</v>
      </c>
      <c r="K5298">
        <v>5.7403836444210397E-2</v>
      </c>
      <c r="L5298">
        <v>992.44842073396296</v>
      </c>
      <c r="M5298">
        <v>21.3464515979881</v>
      </c>
      <c r="N5298">
        <v>46.741354947835703</v>
      </c>
      <c r="O5298">
        <v>46.090186564473598</v>
      </c>
      <c r="P5298">
        <v>-0.109568006573687</v>
      </c>
      <c r="Q5298">
        <v>5.3728983030753401E-2</v>
      </c>
      <c r="R5298">
        <v>0.99974297106509902</v>
      </c>
      <c r="S5298" t="s">
        <v>11700</v>
      </c>
      <c r="T5298" t="s">
        <v>12802</v>
      </c>
      <c r="U5298" t="s">
        <v>12802</v>
      </c>
      <c r="V5298" t="s">
        <v>12802</v>
      </c>
      <c r="W5298" t="s">
        <v>18036</v>
      </c>
      <c r="X5298">
        <v>19</v>
      </c>
      <c r="Y5298" t="s">
        <v>24251</v>
      </c>
      <c r="Z5298" t="s">
        <v>30616</v>
      </c>
      <c r="AA5298">
        <v>0.3640031256279791</v>
      </c>
      <c r="AB5298" t="str">
        <f>HYPERLINK("Melting_Curves/meltCurve_Q9BWF3_RBM4.pdf", "Melting_Curves/meltCurve_Q9BWF3_RBM4.pdf")</f>
        <v>Melting_Curves/meltCurve_Q9BWF3_RBM4.pdf</v>
      </c>
    </row>
    <row r="5299" spans="1:28" x14ac:dyDescent="0.25">
      <c r="A5299" t="s">
        <v>5303</v>
      </c>
      <c r="B5299">
        <v>0.99542014353169495</v>
      </c>
      <c r="C5299">
        <v>0.93425183321556404</v>
      </c>
      <c r="D5299">
        <v>0.80637379023108602</v>
      </c>
      <c r="E5299">
        <v>0.656933402447061</v>
      </c>
      <c r="F5299">
        <v>0.50667835043517595</v>
      </c>
      <c r="G5299">
        <v>0.40333053034514399</v>
      </c>
      <c r="H5299">
        <v>0.24785760901648601</v>
      </c>
      <c r="I5299">
        <v>0.18685349354852701</v>
      </c>
      <c r="J5299">
        <v>0.20090287577799101</v>
      </c>
      <c r="K5299">
        <v>0.20117972803225001</v>
      </c>
      <c r="L5299">
        <v>513.27990450328105</v>
      </c>
      <c r="M5299">
        <v>10.537768393021199</v>
      </c>
      <c r="N5299">
        <v>50.144816644962098</v>
      </c>
      <c r="O5299">
        <v>47.0525876119966</v>
      </c>
      <c r="P5299">
        <v>-4.8715351196353202E-2</v>
      </c>
      <c r="Q5299">
        <v>0.13026309033219299</v>
      </c>
      <c r="R5299">
        <v>0.99364273707974304</v>
      </c>
      <c r="S5299" t="s">
        <v>11701</v>
      </c>
      <c r="T5299" t="s">
        <v>12802</v>
      </c>
      <c r="U5299" t="s">
        <v>12802</v>
      </c>
      <c r="V5299" t="s">
        <v>12802</v>
      </c>
      <c r="W5299" t="s">
        <v>18037</v>
      </c>
      <c r="X5299">
        <v>2</v>
      </c>
      <c r="Y5299" t="s">
        <v>24252</v>
      </c>
      <c r="Z5299" t="s">
        <v>30617</v>
      </c>
      <c r="AA5299">
        <v>0.50077728799624188</v>
      </c>
      <c r="AB5299" t="str">
        <f>HYPERLINK("Melting_Curves/meltCurve_Q9BWG6_SCNM1.pdf", "Melting_Curves/meltCurve_Q9BWG6_SCNM1.pdf")</f>
        <v>Melting_Curves/meltCurve_Q9BWG6_SCNM1.pdf</v>
      </c>
    </row>
    <row r="5300" spans="1:28" x14ac:dyDescent="0.25">
      <c r="A5300" t="s">
        <v>5304</v>
      </c>
      <c r="B5300">
        <v>0.99542014353169495</v>
      </c>
      <c r="C5300">
        <v>1.0424972991308901</v>
      </c>
      <c r="D5300">
        <v>1.02008200765428</v>
      </c>
      <c r="E5300">
        <v>0.90831990246693295</v>
      </c>
      <c r="F5300">
        <v>0.81676879517744605</v>
      </c>
      <c r="G5300">
        <v>0.77731797803821001</v>
      </c>
      <c r="H5300">
        <v>0.67774875804460499</v>
      </c>
      <c r="I5300">
        <v>0.65534290995044397</v>
      </c>
      <c r="J5300">
        <v>1.03689143839786</v>
      </c>
      <c r="K5300">
        <v>1.71632336218757</v>
      </c>
      <c r="L5300">
        <v>15000</v>
      </c>
      <c r="M5300">
        <v>231.52147802020201</v>
      </c>
      <c r="O5300">
        <v>64.7839712539744</v>
      </c>
      <c r="P5300">
        <v>0.44671828904307698</v>
      </c>
      <c r="Q5300">
        <v>1.5</v>
      </c>
      <c r="R5300">
        <v>0.556060977608136</v>
      </c>
      <c r="S5300" t="s">
        <v>11702</v>
      </c>
      <c r="T5300" t="s">
        <v>12802</v>
      </c>
      <c r="U5300" t="s">
        <v>12802</v>
      </c>
      <c r="V5300" t="s">
        <v>12802</v>
      </c>
      <c r="W5300" t="s">
        <v>18038</v>
      </c>
      <c r="X5300">
        <v>5</v>
      </c>
      <c r="Y5300" t="s">
        <v>24253</v>
      </c>
      <c r="Z5300" t="s">
        <v>30618</v>
      </c>
      <c r="AA5300">
        <v>1.036789368237194</v>
      </c>
      <c r="AB5300" t="str">
        <f>HYPERLINK("Melting_Curves/meltCurve_Q9BWH2_FUNDC2.pdf", "Melting_Curves/meltCurve_Q9BWH2_FUNDC2.pdf")</f>
        <v>Melting_Curves/meltCurve_Q9BWH2_FUNDC2.pdf</v>
      </c>
    </row>
    <row r="5301" spans="1:28" x14ac:dyDescent="0.25">
      <c r="A5301" t="s">
        <v>5305</v>
      </c>
      <c r="B5301">
        <v>0.99542014353169495</v>
      </c>
      <c r="C5301">
        <v>0.88985770622902705</v>
      </c>
      <c r="D5301">
        <v>0.84863753551667198</v>
      </c>
      <c r="E5301">
        <v>0.66974633595993205</v>
      </c>
      <c r="F5301">
        <v>0.483081331845642</v>
      </c>
      <c r="G5301">
        <v>0.18973046234726301</v>
      </c>
      <c r="H5301">
        <v>0.135312470711663</v>
      </c>
      <c r="I5301">
        <v>8.1494809898447595E-2</v>
      </c>
      <c r="J5301">
        <v>7.8469103685289796E-2</v>
      </c>
      <c r="K5301">
        <v>9.5603732946421896E-2</v>
      </c>
      <c r="L5301">
        <v>645.86161318269501</v>
      </c>
      <c r="M5301">
        <v>13.2473178617459</v>
      </c>
      <c r="N5301">
        <v>49.012675191151601</v>
      </c>
      <c r="O5301">
        <v>47.683330435417801</v>
      </c>
      <c r="P5301">
        <v>-6.7121866128432697E-2</v>
      </c>
      <c r="Q5301">
        <v>3.3745872379916497E-2</v>
      </c>
      <c r="R5301">
        <v>0.98986278741604095</v>
      </c>
      <c r="S5301" t="s">
        <v>11703</v>
      </c>
      <c r="T5301" t="s">
        <v>12802</v>
      </c>
      <c r="U5301" t="s">
        <v>12802</v>
      </c>
      <c r="V5301" t="s">
        <v>12802</v>
      </c>
      <c r="W5301" t="s">
        <v>18039</v>
      </c>
      <c r="X5301">
        <v>12</v>
      </c>
      <c r="Y5301" t="s">
        <v>24254</v>
      </c>
      <c r="Z5301" t="s">
        <v>30619</v>
      </c>
      <c r="AA5301">
        <v>0.4376337664150648</v>
      </c>
      <c r="AB5301" t="str">
        <f>HYPERLINK("Melting_Curves/meltCurve_Q9BWH6_RPAP1.pdf", "Melting_Curves/meltCurve_Q9BWH6_RPAP1.pdf")</f>
        <v>Melting_Curves/meltCurve_Q9BWH6_RPAP1.pdf</v>
      </c>
    </row>
    <row r="5302" spans="1:28" x14ac:dyDescent="0.25">
      <c r="A5302" t="s">
        <v>5306</v>
      </c>
      <c r="B5302">
        <v>0.99542014353169495</v>
      </c>
      <c r="C5302">
        <v>0.85871735828611095</v>
      </c>
      <c r="D5302">
        <v>0.89470597613943803</v>
      </c>
      <c r="E5302">
        <v>0.77506427272949396</v>
      </c>
      <c r="F5302">
        <v>0.89465766322116702</v>
      </c>
      <c r="G5302">
        <v>0.652893768746721</v>
      </c>
      <c r="H5302">
        <v>0.19476093979342901</v>
      </c>
      <c r="I5302">
        <v>0.112948997518367</v>
      </c>
      <c r="J5302">
        <v>0.136130954195675</v>
      </c>
      <c r="K5302">
        <v>0.15899397358362299</v>
      </c>
      <c r="L5302">
        <v>1819.94957018677</v>
      </c>
      <c r="M5302">
        <v>33.573549542797203</v>
      </c>
      <c r="N5302">
        <v>54.6508840745187</v>
      </c>
      <c r="O5302">
        <v>54.016603125014001</v>
      </c>
      <c r="P5302">
        <v>-0.13687323070722099</v>
      </c>
      <c r="Q5302">
        <v>0.119140352943248</v>
      </c>
      <c r="R5302">
        <v>0.92857011759681096</v>
      </c>
      <c r="S5302" t="s">
        <v>11704</v>
      </c>
      <c r="T5302" t="s">
        <v>12802</v>
      </c>
      <c r="U5302" t="s">
        <v>12802</v>
      </c>
      <c r="V5302" t="s">
        <v>12802</v>
      </c>
      <c r="W5302" t="s">
        <v>18040</v>
      </c>
      <c r="X5302">
        <v>3</v>
      </c>
      <c r="Y5302" t="s">
        <v>24255</v>
      </c>
      <c r="Z5302" t="s">
        <v>30620</v>
      </c>
      <c r="AA5302">
        <v>0.62897188689900296</v>
      </c>
      <c r="AB5302" t="str">
        <f>HYPERLINK("Melting_Curves/meltCurve_Q9BWJ5_SF3B5.pdf", "Melting_Curves/meltCurve_Q9BWJ5_SF3B5.pdf")</f>
        <v>Melting_Curves/meltCurve_Q9BWJ5_SF3B5.pdf</v>
      </c>
    </row>
    <row r="5303" spans="1:28" x14ac:dyDescent="0.25">
      <c r="A5303" t="s">
        <v>5307</v>
      </c>
      <c r="B5303">
        <v>0.99542014353169495</v>
      </c>
      <c r="C5303">
        <v>0.84626162418435402</v>
      </c>
      <c r="D5303">
        <v>0.761685857387978</v>
      </c>
      <c r="E5303">
        <v>0.56249012120687303</v>
      </c>
      <c r="F5303">
        <v>0.608235400504192</v>
      </c>
      <c r="G5303">
        <v>0.39937420270561602</v>
      </c>
      <c r="H5303">
        <v>0.16699106380259501</v>
      </c>
      <c r="I5303">
        <v>9.0390925653457105E-2</v>
      </c>
      <c r="J5303">
        <v>8.7398280242326404E-2</v>
      </c>
      <c r="K5303">
        <v>8.2773990344230303E-2</v>
      </c>
      <c r="L5303">
        <v>440.85064863971598</v>
      </c>
      <c r="M5303">
        <v>8.8962346713510705</v>
      </c>
      <c r="N5303">
        <v>49.554742034826603</v>
      </c>
      <c r="O5303">
        <v>47.242604416002202</v>
      </c>
      <c r="P5303">
        <v>-4.7113122697182201E-2</v>
      </c>
      <c r="Q5303">
        <v>0</v>
      </c>
      <c r="R5303">
        <v>0.9590465571965</v>
      </c>
      <c r="S5303" t="s">
        <v>11705</v>
      </c>
      <c r="T5303" t="s">
        <v>12802</v>
      </c>
      <c r="U5303" t="s">
        <v>12802</v>
      </c>
      <c r="V5303" t="s">
        <v>12802</v>
      </c>
      <c r="W5303" t="s">
        <v>18041</v>
      </c>
      <c r="X5303">
        <v>2</v>
      </c>
      <c r="Y5303" t="s">
        <v>24256</v>
      </c>
      <c r="Z5303" t="s">
        <v>30621</v>
      </c>
      <c r="AA5303">
        <v>0.45808241870547017</v>
      </c>
      <c r="AB5303" t="str">
        <f>HYPERLINK("Melting_Curves/meltCurve_Q9BWM7_SFXN3.pdf", "Melting_Curves/meltCurve_Q9BWM7_SFXN3.pdf")</f>
        <v>Melting_Curves/meltCurve_Q9BWM7_SFXN3.pdf</v>
      </c>
    </row>
    <row r="5304" spans="1:28" x14ac:dyDescent="0.25">
      <c r="A5304" t="s">
        <v>5308</v>
      </c>
      <c r="B5304">
        <v>0.99542014353169495</v>
      </c>
      <c r="C5304">
        <v>1.0527568707861601</v>
      </c>
      <c r="D5304">
        <v>0.92221923588136301</v>
      </c>
      <c r="E5304">
        <v>0.39477766079363602</v>
      </c>
      <c r="F5304">
        <v>0.20982604404982</v>
      </c>
      <c r="G5304">
        <v>0.12558445523409401</v>
      </c>
      <c r="H5304">
        <v>0.101207154005429</v>
      </c>
      <c r="I5304">
        <v>7.4176478888421202E-2</v>
      </c>
      <c r="J5304">
        <v>7.3690327793232202E-2</v>
      </c>
      <c r="K5304">
        <v>8.1046067990750995E-2</v>
      </c>
      <c r="L5304">
        <v>1500.58734149784</v>
      </c>
      <c r="M5304">
        <v>32.793862785023101</v>
      </c>
      <c r="N5304">
        <v>46.0678717504682</v>
      </c>
      <c r="O5304">
        <v>45.589029752035202</v>
      </c>
      <c r="P5304">
        <v>-0.162044619897068</v>
      </c>
      <c r="Q5304">
        <v>9.8926128066536403E-2</v>
      </c>
      <c r="R5304">
        <v>0.99315633378714296</v>
      </c>
      <c r="S5304" t="s">
        <v>11706</v>
      </c>
      <c r="T5304" t="s">
        <v>12802</v>
      </c>
      <c r="U5304" t="s">
        <v>12802</v>
      </c>
      <c r="V5304" t="s">
        <v>12802</v>
      </c>
      <c r="W5304" t="s">
        <v>18042</v>
      </c>
      <c r="X5304">
        <v>9</v>
      </c>
      <c r="Y5304" t="s">
        <v>24257</v>
      </c>
      <c r="Z5304" t="s">
        <v>30622</v>
      </c>
      <c r="AA5304">
        <v>0.36625304959266808</v>
      </c>
      <c r="AB5304" t="str">
        <f>HYPERLINK("Melting_Curves/meltCurve_Q9BWT3_PAPOLG.pdf", "Melting_Curves/meltCurve_Q9BWT3_PAPOLG.pdf")</f>
        <v>Melting_Curves/meltCurve_Q9BWT3_PAPOLG.pdf</v>
      </c>
    </row>
    <row r="5305" spans="1:28" x14ac:dyDescent="0.25">
      <c r="A5305" t="s">
        <v>5309</v>
      </c>
      <c r="B5305">
        <v>0.99542014353169495</v>
      </c>
      <c r="C5305">
        <v>1.0113426565727199</v>
      </c>
      <c r="D5305">
        <v>0.98116489667096796</v>
      </c>
      <c r="E5305">
        <v>0.76280259262757</v>
      </c>
      <c r="F5305">
        <v>0.42172690579055999</v>
      </c>
      <c r="G5305">
        <v>0.27932827712831598</v>
      </c>
      <c r="H5305">
        <v>0.20349779619407499</v>
      </c>
      <c r="I5305">
        <v>0.15278161452446601</v>
      </c>
      <c r="J5305">
        <v>0.20786530712370199</v>
      </c>
      <c r="K5305">
        <v>0.24001889583056499</v>
      </c>
      <c r="L5305">
        <v>1203.48341070939</v>
      </c>
      <c r="M5305">
        <v>24.920573082825801</v>
      </c>
      <c r="N5305">
        <v>49.303448823086804</v>
      </c>
      <c r="O5305">
        <v>47.985033330925297</v>
      </c>
      <c r="P5305">
        <v>-0.103868407773442</v>
      </c>
      <c r="Q5305">
        <v>0.200008847533481</v>
      </c>
      <c r="R5305">
        <v>0.99553934912006903</v>
      </c>
      <c r="S5305" t="s">
        <v>11707</v>
      </c>
      <c r="T5305" t="s">
        <v>12802</v>
      </c>
      <c r="U5305" t="s">
        <v>12802</v>
      </c>
      <c r="V5305" t="s">
        <v>12802</v>
      </c>
      <c r="W5305" t="s">
        <v>18043</v>
      </c>
      <c r="X5305">
        <v>4</v>
      </c>
      <c r="Y5305" t="s">
        <v>24258</v>
      </c>
      <c r="Z5305" t="s">
        <v>30623</v>
      </c>
      <c r="AA5305">
        <v>0.50803498878534348</v>
      </c>
      <c r="AB5305" t="str">
        <f>HYPERLINK("Melting_Curves/meltCurve_Q9BWT6_MND1.pdf", "Melting_Curves/meltCurve_Q9BWT6_MND1.pdf")</f>
        <v>Melting_Curves/meltCurve_Q9BWT6_MND1.pdf</v>
      </c>
    </row>
    <row r="5306" spans="1:28" x14ac:dyDescent="0.25">
      <c r="A5306" t="s">
        <v>5310</v>
      </c>
      <c r="B5306">
        <v>0.99542014353169495</v>
      </c>
      <c r="C5306">
        <v>0.99613585701159002</v>
      </c>
      <c r="D5306">
        <v>1.0846700945716501</v>
      </c>
      <c r="E5306">
        <v>0.84737907252271105</v>
      </c>
      <c r="F5306">
        <v>0.63304065692443801</v>
      </c>
      <c r="G5306">
        <v>0.257518460280238</v>
      </c>
      <c r="H5306">
        <v>7.7241005498718401E-2</v>
      </c>
      <c r="I5306">
        <v>4.3238704597260702E-2</v>
      </c>
      <c r="J5306">
        <v>4.7789790850738097E-2</v>
      </c>
      <c r="K5306">
        <v>5.16032007414952E-2</v>
      </c>
      <c r="L5306">
        <v>1186.5510720104</v>
      </c>
      <c r="M5306">
        <v>23.240042150802001</v>
      </c>
      <c r="N5306">
        <v>51.196559635979398</v>
      </c>
      <c r="O5306">
        <v>50.6828161442537</v>
      </c>
      <c r="P5306">
        <v>-0.111101769941018</v>
      </c>
      <c r="Q5306">
        <v>3.0836959661342998E-2</v>
      </c>
      <c r="R5306">
        <v>0.992184866761471</v>
      </c>
      <c r="S5306" t="s">
        <v>11708</v>
      </c>
      <c r="T5306" t="s">
        <v>12802</v>
      </c>
      <c r="U5306" t="s">
        <v>12802</v>
      </c>
      <c r="V5306" t="s">
        <v>12802</v>
      </c>
      <c r="W5306" t="s">
        <v>18044</v>
      </c>
      <c r="X5306">
        <v>21</v>
      </c>
      <c r="Y5306" t="s">
        <v>24259</v>
      </c>
      <c r="Z5306" t="s">
        <v>30624</v>
      </c>
      <c r="AA5306">
        <v>0.49470776397971228</v>
      </c>
      <c r="AB5306" t="str">
        <f>HYPERLINK("Melting_Curves/meltCurve_Q9BWU0_SLC4A1AP.pdf", "Melting_Curves/meltCurve_Q9BWU0_SLC4A1AP.pdf")</f>
        <v>Melting_Curves/meltCurve_Q9BWU0_SLC4A1AP.pdf</v>
      </c>
    </row>
    <row r="5307" spans="1:28" x14ac:dyDescent="0.25">
      <c r="A5307" t="s">
        <v>5311</v>
      </c>
      <c r="B5307">
        <v>0.99542014353169495</v>
      </c>
      <c r="C5307">
        <v>0.89937250349043196</v>
      </c>
      <c r="D5307">
        <v>0.90720586020349303</v>
      </c>
      <c r="E5307">
        <v>0.83812934583333898</v>
      </c>
      <c r="F5307">
        <v>0.85438452480594496</v>
      </c>
      <c r="G5307">
        <v>0.66297307272102202</v>
      </c>
      <c r="H5307">
        <v>0.54384553840542105</v>
      </c>
      <c r="I5307">
        <v>0.178637415025375</v>
      </c>
      <c r="J5307">
        <v>8.1972464332464898E-2</v>
      </c>
      <c r="K5307">
        <v>9.6603848488452798E-2</v>
      </c>
      <c r="L5307">
        <v>811.74405284863201</v>
      </c>
      <c r="M5307">
        <v>14.4117659867599</v>
      </c>
      <c r="N5307">
        <v>56.325092962433303</v>
      </c>
      <c r="O5307">
        <v>55.273927349635898</v>
      </c>
      <c r="P5307">
        <v>-6.5191083529102897E-2</v>
      </c>
      <c r="Q5307">
        <v>0</v>
      </c>
      <c r="R5307">
        <v>0.95625372548298504</v>
      </c>
      <c r="S5307" t="s">
        <v>11709</v>
      </c>
      <c r="T5307" t="s">
        <v>12802</v>
      </c>
      <c r="U5307" t="s">
        <v>12802</v>
      </c>
      <c r="V5307" t="s">
        <v>12802</v>
      </c>
      <c r="W5307" t="s">
        <v>18045</v>
      </c>
      <c r="X5307">
        <v>3</v>
      </c>
      <c r="Y5307" t="s">
        <v>24260</v>
      </c>
      <c r="Z5307" t="s">
        <v>30625</v>
      </c>
      <c r="AA5307">
        <v>0.65445521215719493</v>
      </c>
      <c r="AB5307" t="str">
        <f>HYPERLINK("Melting_Curves/meltCurve_Q9BWW4_2_SSBP3.pdf", "Melting_Curves/meltCurve_Q9BWW4_2_SSBP3.pdf")</f>
        <v>Melting_Curves/meltCurve_Q9BWW4_2_SSBP3.pdf</v>
      </c>
    </row>
    <row r="5308" spans="1:28" x14ac:dyDescent="0.25">
      <c r="A5308" t="s">
        <v>5312</v>
      </c>
      <c r="B5308">
        <v>0.99542014353169495</v>
      </c>
      <c r="C5308">
        <v>0.87417473533083601</v>
      </c>
      <c r="D5308">
        <v>0.97496389021781205</v>
      </c>
      <c r="E5308">
        <v>0.99545650135002595</v>
      </c>
      <c r="F5308">
        <v>0.99129584994831199</v>
      </c>
      <c r="G5308">
        <v>0.71013310257444695</v>
      </c>
      <c r="H5308">
        <v>0.46069365450273198</v>
      </c>
      <c r="I5308">
        <v>0.37541515503322298</v>
      </c>
      <c r="J5308">
        <v>0.39479565395352001</v>
      </c>
      <c r="K5308">
        <v>0.45557401864807601</v>
      </c>
      <c r="L5308">
        <v>2447.8640833022801</v>
      </c>
      <c r="M5308">
        <v>45.4427376058606</v>
      </c>
      <c r="N5308">
        <v>56.004731848337698</v>
      </c>
      <c r="O5308">
        <v>53.762996139469102</v>
      </c>
      <c r="P5308">
        <v>-0.124300969621107</v>
      </c>
      <c r="Q5308">
        <v>0.411762160470238</v>
      </c>
      <c r="R5308">
        <v>0.96946608062390305</v>
      </c>
      <c r="S5308" t="s">
        <v>11710</v>
      </c>
      <c r="T5308" t="s">
        <v>12802</v>
      </c>
      <c r="U5308" t="s">
        <v>12802</v>
      </c>
      <c r="V5308" t="s">
        <v>12802</v>
      </c>
      <c r="W5308" t="s">
        <v>18046</v>
      </c>
      <c r="X5308">
        <v>3</v>
      </c>
      <c r="Y5308" t="s">
        <v>24261</v>
      </c>
      <c r="Z5308" t="s">
        <v>30626</v>
      </c>
      <c r="AA5308">
        <v>0.74417810599669898</v>
      </c>
      <c r="AB5308" t="str">
        <f>HYPERLINK("Melting_Curves/meltCurve_Q9BWW5_SSDP4.pdf", "Melting_Curves/meltCurve_Q9BWW5_SSDP4.pdf")</f>
        <v>Melting_Curves/meltCurve_Q9BWW5_SSDP4.pdf</v>
      </c>
    </row>
    <row r="5309" spans="1:28" x14ac:dyDescent="0.25">
      <c r="A5309" t="s">
        <v>5313</v>
      </c>
      <c r="B5309">
        <v>0.99542014353169495</v>
      </c>
      <c r="C5309">
        <v>1.0033602811234199</v>
      </c>
      <c r="D5309">
        <v>0.92170388818228</v>
      </c>
      <c r="E5309">
        <v>0.60286763058620696</v>
      </c>
      <c r="F5309">
        <v>0.34577276135161</v>
      </c>
      <c r="G5309">
        <v>0.18281904411182801</v>
      </c>
      <c r="H5309">
        <v>9.1714732721758896E-2</v>
      </c>
      <c r="I5309">
        <v>8.0594909371489304E-2</v>
      </c>
      <c r="J5309">
        <v>7.2606457484510098E-2</v>
      </c>
      <c r="K5309">
        <v>8.5362184195763496E-2</v>
      </c>
      <c r="L5309">
        <v>908.31165649872696</v>
      </c>
      <c r="M5309">
        <v>19.060665744147698</v>
      </c>
      <c r="N5309">
        <v>48.047851419111801</v>
      </c>
      <c r="O5309">
        <v>47.138486628798802</v>
      </c>
      <c r="P5309">
        <v>-9.3776469942242396E-2</v>
      </c>
      <c r="Q5309">
        <v>7.2370937377108799E-2</v>
      </c>
      <c r="R5309">
        <v>0.99772515044068999</v>
      </c>
      <c r="S5309" t="s">
        <v>11711</v>
      </c>
      <c r="T5309" t="s">
        <v>12802</v>
      </c>
      <c r="U5309" t="s">
        <v>12802</v>
      </c>
      <c r="V5309" t="s">
        <v>12802</v>
      </c>
      <c r="W5309" t="s">
        <v>18047</v>
      </c>
      <c r="X5309">
        <v>9</v>
      </c>
      <c r="Y5309" t="s">
        <v>24262</v>
      </c>
      <c r="Z5309" t="s">
        <v>30627</v>
      </c>
      <c r="AA5309">
        <v>0.41513287610455618</v>
      </c>
      <c r="AB5309" t="str">
        <f>HYPERLINK("Melting_Curves/meltCurve_Q9BX10_2_GTPBP2.pdf", "Melting_Curves/meltCurve_Q9BX10_2_GTPBP2.pdf")</f>
        <v>Melting_Curves/meltCurve_Q9BX10_2_GTPBP2.pdf</v>
      </c>
    </row>
    <row r="5310" spans="1:28" x14ac:dyDescent="0.25">
      <c r="A5310" t="s">
        <v>5314</v>
      </c>
      <c r="B5310">
        <v>0.99542014353169495</v>
      </c>
      <c r="C5310">
        <v>0.89003898568409801</v>
      </c>
      <c r="D5310">
        <v>0.73716011907156898</v>
      </c>
      <c r="E5310">
        <v>0.51786949665847903</v>
      </c>
      <c r="F5310">
        <v>0.198095350091607</v>
      </c>
      <c r="G5310">
        <v>9.4416358981899096E-2</v>
      </c>
      <c r="H5310">
        <v>5.8837061593323199E-2</v>
      </c>
      <c r="I5310">
        <v>4.0278870658597601E-2</v>
      </c>
      <c r="J5310">
        <v>4.2918928965417998E-2</v>
      </c>
      <c r="K5310">
        <v>3.8823081052834003E-2</v>
      </c>
      <c r="L5310">
        <v>716.93523886469097</v>
      </c>
      <c r="M5310">
        <v>15.561084988828499</v>
      </c>
      <c r="N5310">
        <v>46.183861082227203</v>
      </c>
      <c r="O5310">
        <v>45.3315621122482</v>
      </c>
      <c r="P5310">
        <v>-8.4242782118138196E-2</v>
      </c>
      <c r="Q5310">
        <v>1.8442971114015699E-2</v>
      </c>
      <c r="R5310">
        <v>0.99552521767271096</v>
      </c>
      <c r="S5310" t="s">
        <v>11712</v>
      </c>
      <c r="T5310" t="s">
        <v>12802</v>
      </c>
      <c r="U5310" t="s">
        <v>12802</v>
      </c>
      <c r="V5310" t="s">
        <v>12802</v>
      </c>
      <c r="W5310" t="s">
        <v>18048</v>
      </c>
      <c r="X5310">
        <v>4</v>
      </c>
      <c r="Y5310" t="s">
        <v>22831</v>
      </c>
      <c r="Z5310" t="s">
        <v>30628</v>
      </c>
      <c r="AA5310">
        <v>0.33634659088609931</v>
      </c>
      <c r="AB5310" t="str">
        <f>HYPERLINK("Melting_Curves/meltCurve_Q9BX40_LSM14B.pdf", "Melting_Curves/meltCurve_Q9BX40_LSM14B.pdf")</f>
        <v>Melting_Curves/meltCurve_Q9BX40_LSM14B.pdf</v>
      </c>
    </row>
    <row r="5311" spans="1:28" x14ac:dyDescent="0.25">
      <c r="A5311" t="s">
        <v>5315</v>
      </c>
      <c r="B5311">
        <v>0.99542014353169495</v>
      </c>
      <c r="C5311">
        <v>0.92283240873542605</v>
      </c>
      <c r="D5311">
        <v>0.90114574811361403</v>
      </c>
      <c r="E5311">
        <v>0.66851988704966503</v>
      </c>
      <c r="F5311">
        <v>0.54103967742549897</v>
      </c>
      <c r="G5311">
        <v>0.305664420834242</v>
      </c>
      <c r="H5311">
        <v>0.153716739821007</v>
      </c>
      <c r="I5311">
        <v>8.7947924045650203E-2</v>
      </c>
      <c r="J5311">
        <v>5.6770353039223502E-2</v>
      </c>
      <c r="K5311">
        <v>6.1148681887344201E-2</v>
      </c>
      <c r="L5311">
        <v>604.064810119404</v>
      </c>
      <c r="M5311">
        <v>12.060833697757801</v>
      </c>
      <c r="N5311">
        <v>50.0848378473259</v>
      </c>
      <c r="O5311">
        <v>48.767549414081103</v>
      </c>
      <c r="P5311">
        <v>-6.1842787616562603E-2</v>
      </c>
      <c r="Q5311">
        <v>0</v>
      </c>
      <c r="R5311">
        <v>0.99475953980623</v>
      </c>
      <c r="S5311" t="s">
        <v>11713</v>
      </c>
      <c r="T5311" t="s">
        <v>12802</v>
      </c>
      <c r="U5311" t="s">
        <v>12802</v>
      </c>
      <c r="V5311" t="s">
        <v>12802</v>
      </c>
      <c r="W5311" t="s">
        <v>18049</v>
      </c>
      <c r="X5311">
        <v>4</v>
      </c>
      <c r="Y5311" t="s">
        <v>24263</v>
      </c>
      <c r="Z5311" t="s">
        <v>30629</v>
      </c>
      <c r="AA5311">
        <v>0.46383471497634138</v>
      </c>
      <c r="AB5311" t="str">
        <f>HYPERLINK("Melting_Curves/meltCurve_Q9BX63_BRIP1.pdf", "Melting_Curves/meltCurve_Q9BX63_BRIP1.pdf")</f>
        <v>Melting_Curves/meltCurve_Q9BX63_BRIP1.pdf</v>
      </c>
    </row>
    <row r="5312" spans="1:28" x14ac:dyDescent="0.25">
      <c r="A5312" t="s">
        <v>5316</v>
      </c>
      <c r="B5312">
        <v>0.99542014353169495</v>
      </c>
      <c r="C5312">
        <v>0.97166430820291005</v>
      </c>
      <c r="D5312">
        <v>0.91922536876884697</v>
      </c>
      <c r="E5312">
        <v>0.80702359750401598</v>
      </c>
      <c r="F5312">
        <v>0.59675031803044898</v>
      </c>
      <c r="G5312">
        <v>0.31477070501481402</v>
      </c>
      <c r="H5312">
        <v>0.14724502911575399</v>
      </c>
      <c r="I5312">
        <v>8.8470578651245899E-2</v>
      </c>
      <c r="J5312">
        <v>9.4688051341439497E-2</v>
      </c>
      <c r="K5312">
        <v>0.10789823975655299</v>
      </c>
      <c r="L5312">
        <v>839.57325245947595</v>
      </c>
      <c r="M5312">
        <v>16.575857241629102</v>
      </c>
      <c r="N5312">
        <v>51.037075663426698</v>
      </c>
      <c r="O5312">
        <v>49.930393050516898</v>
      </c>
      <c r="P5312">
        <v>-7.8102033912407498E-2</v>
      </c>
      <c r="Q5312">
        <v>5.9017190786312401E-2</v>
      </c>
      <c r="R5312">
        <v>0.99624940054019495</v>
      </c>
      <c r="S5312" t="s">
        <v>11714</v>
      </c>
      <c r="T5312" t="s">
        <v>12802</v>
      </c>
      <c r="U5312" t="s">
        <v>12802</v>
      </c>
      <c r="V5312" t="s">
        <v>12802</v>
      </c>
      <c r="W5312" t="s">
        <v>18050</v>
      </c>
      <c r="X5312">
        <v>15</v>
      </c>
      <c r="Y5312" t="s">
        <v>24264</v>
      </c>
      <c r="Z5312" t="s">
        <v>30630</v>
      </c>
      <c r="AA5312">
        <v>0.50384642930658463</v>
      </c>
      <c r="AB5312" t="str">
        <f>HYPERLINK("Melting_Curves/meltCurve_Q9BX66_9_SORBS1.pdf", "Melting_Curves/meltCurve_Q9BX66_9_SORBS1.pdf")</f>
        <v>Melting_Curves/meltCurve_Q9BX66_9_SORBS1.pdf</v>
      </c>
    </row>
    <row r="5313" spans="1:28" x14ac:dyDescent="0.25">
      <c r="A5313" t="s">
        <v>5317</v>
      </c>
      <c r="B5313">
        <v>0.99542014353169495</v>
      </c>
      <c r="C5313">
        <v>1.0290293404473001</v>
      </c>
      <c r="D5313">
        <v>0.95728216632545204</v>
      </c>
      <c r="E5313">
        <v>0.90705966701214602</v>
      </c>
      <c r="F5313">
        <v>0.82183425849330705</v>
      </c>
      <c r="G5313">
        <v>0.71752394237135997</v>
      </c>
      <c r="H5313">
        <v>0.39740789163622797</v>
      </c>
      <c r="I5313">
        <v>0.19429450090959099</v>
      </c>
      <c r="J5313">
        <v>0.123276331065716</v>
      </c>
      <c r="K5313">
        <v>7.1821423519125904E-2</v>
      </c>
      <c r="L5313">
        <v>872.02906440005302</v>
      </c>
      <c r="M5313">
        <v>15.5630374205724</v>
      </c>
      <c r="N5313">
        <v>56.032061830441002</v>
      </c>
      <c r="O5313">
        <v>55.131396151263601</v>
      </c>
      <c r="P5313">
        <v>-7.0578650982214705E-2</v>
      </c>
      <c r="Q5313">
        <v>0</v>
      </c>
      <c r="R5313">
        <v>0.99193927517450997</v>
      </c>
      <c r="S5313" t="s">
        <v>11715</v>
      </c>
      <c r="T5313" t="s">
        <v>12802</v>
      </c>
      <c r="U5313" t="s">
        <v>12802</v>
      </c>
      <c r="V5313" t="s">
        <v>12802</v>
      </c>
      <c r="W5313" t="s">
        <v>18051</v>
      </c>
      <c r="X5313">
        <v>4</v>
      </c>
      <c r="Y5313" t="s">
        <v>24265</v>
      </c>
      <c r="Z5313" t="s">
        <v>30631</v>
      </c>
      <c r="AA5313">
        <v>0.64580358517615177</v>
      </c>
      <c r="AB5313" t="str">
        <f>HYPERLINK("Melting_Curves/meltCurve_Q9BX68_HINT2.pdf", "Melting_Curves/meltCurve_Q9BX68_HINT2.pdf")</f>
        <v>Melting_Curves/meltCurve_Q9BX68_HINT2.pdf</v>
      </c>
    </row>
    <row r="5314" spans="1:28" x14ac:dyDescent="0.25">
      <c r="A5314" t="s">
        <v>5318</v>
      </c>
      <c r="B5314">
        <v>0.99542014353169495</v>
      </c>
      <c r="C5314">
        <v>0.90438352261754995</v>
      </c>
      <c r="D5314">
        <v>1.09747866245966</v>
      </c>
      <c r="E5314">
        <v>1.0918902901004399</v>
      </c>
      <c r="F5314">
        <v>1.0317343381943</v>
      </c>
      <c r="G5314">
        <v>0.656500394854453</v>
      </c>
      <c r="H5314">
        <v>1.3284296580380599</v>
      </c>
      <c r="I5314">
        <v>1.2786178982505301</v>
      </c>
      <c r="J5314">
        <v>1.3819732109421501</v>
      </c>
      <c r="K5314">
        <v>1.2016979913138099</v>
      </c>
      <c r="L5314">
        <v>2777.5462819683798</v>
      </c>
      <c r="M5314">
        <v>49.166106570409198</v>
      </c>
      <c r="O5314">
        <v>56.399887409495101</v>
      </c>
      <c r="P5314">
        <v>6.7140232091814203E-2</v>
      </c>
      <c r="Q5314">
        <v>1.30807385582691</v>
      </c>
      <c r="R5314">
        <v>0.54195694919380999</v>
      </c>
      <c r="S5314" t="s">
        <v>11716</v>
      </c>
      <c r="T5314" t="s">
        <v>12802</v>
      </c>
      <c r="U5314" t="s">
        <v>12802</v>
      </c>
      <c r="V5314" t="s">
        <v>12802</v>
      </c>
      <c r="W5314" t="s">
        <v>18052</v>
      </c>
      <c r="X5314">
        <v>1</v>
      </c>
      <c r="Y5314" t="s">
        <v>24266</v>
      </c>
      <c r="Z5314" t="s">
        <v>30632</v>
      </c>
      <c r="AA5314">
        <v>1.1071103098766599</v>
      </c>
      <c r="AB5314" t="str">
        <f>HYPERLINK("Melting_Curves/meltCurve_Q9BX69_CARD6.pdf", "Melting_Curves/meltCurve_Q9BX69_CARD6.pdf")</f>
        <v>Melting_Curves/meltCurve_Q9BX69_CARD6.pdf</v>
      </c>
    </row>
    <row r="5315" spans="1:28" x14ac:dyDescent="0.25">
      <c r="A5315" t="s">
        <v>5319</v>
      </c>
      <c r="B5315">
        <v>0.99542014353169495</v>
      </c>
      <c r="C5315">
        <v>1.0317726013658199</v>
      </c>
      <c r="D5315">
        <v>1.20690553827668</v>
      </c>
      <c r="E5315">
        <v>0.776758631282081</v>
      </c>
      <c r="F5315">
        <v>0.73321894098187701</v>
      </c>
      <c r="G5315">
        <v>0.22686322478464399</v>
      </c>
      <c r="H5315">
        <v>0.13976968856781</v>
      </c>
      <c r="I5315">
        <v>0</v>
      </c>
      <c r="J5315">
        <v>0</v>
      </c>
      <c r="K5315">
        <v>0.30684992056094001</v>
      </c>
      <c r="L5315">
        <v>1488.8416023197501</v>
      </c>
      <c r="M5315">
        <v>29.1157518543123</v>
      </c>
      <c r="N5315">
        <v>51.509646618399202</v>
      </c>
      <c r="O5315">
        <v>50.895838913751199</v>
      </c>
      <c r="P5315">
        <v>-0.12937857525907301</v>
      </c>
      <c r="Q5315">
        <v>9.5364506340044494E-2</v>
      </c>
      <c r="R5315">
        <v>0.92244734857176003</v>
      </c>
      <c r="S5315" t="s">
        <v>11717</v>
      </c>
      <c r="T5315" t="s">
        <v>12802</v>
      </c>
      <c r="U5315" t="s">
        <v>12802</v>
      </c>
      <c r="V5315" t="s">
        <v>12802</v>
      </c>
      <c r="W5315" t="s">
        <v>18053</v>
      </c>
      <c r="X5315">
        <v>3</v>
      </c>
      <c r="Y5315" t="s">
        <v>24267</v>
      </c>
      <c r="Z5315" t="s">
        <v>30633</v>
      </c>
      <c r="AA5315">
        <v>0.52759055413776546</v>
      </c>
      <c r="AB5315" t="str">
        <f>HYPERLINK("Melting_Curves/meltCurve_Q9BX95_SGPP1.pdf", "Melting_Curves/meltCurve_Q9BX95_SGPP1.pdf")</f>
        <v>Melting_Curves/meltCurve_Q9BX95_SGPP1.pdf</v>
      </c>
    </row>
    <row r="5316" spans="1:28" x14ac:dyDescent="0.25">
      <c r="A5316" t="s">
        <v>5320</v>
      </c>
      <c r="B5316">
        <v>0.99542014353169495</v>
      </c>
      <c r="C5316">
        <v>0.75712686577236299</v>
      </c>
      <c r="D5316">
        <v>0.76327326277299001</v>
      </c>
      <c r="E5316">
        <v>0.31374405053413001</v>
      </c>
      <c r="F5316">
        <v>0.18071963282522599</v>
      </c>
      <c r="G5316">
        <v>0.10395500616301399</v>
      </c>
      <c r="H5316">
        <v>6.06482556507233E-2</v>
      </c>
      <c r="I5316">
        <v>5.1725222965678497E-2</v>
      </c>
      <c r="J5316">
        <v>1.5765878250038098E-2</v>
      </c>
      <c r="K5316">
        <v>3.1579266174243302E-2</v>
      </c>
      <c r="L5316">
        <v>679.892039075664</v>
      </c>
      <c r="M5316">
        <v>15.1849927088459</v>
      </c>
      <c r="N5316">
        <v>44.908624326868598</v>
      </c>
      <c r="O5316">
        <v>44.018974517815998</v>
      </c>
      <c r="P5316">
        <v>-8.43297606806932E-2</v>
      </c>
      <c r="Q5316">
        <v>2.2257765468023799E-2</v>
      </c>
      <c r="R5316">
        <v>0.97721723391659199</v>
      </c>
      <c r="S5316" t="s">
        <v>11718</v>
      </c>
      <c r="T5316" t="s">
        <v>12802</v>
      </c>
      <c r="U5316" t="s">
        <v>12802</v>
      </c>
      <c r="V5316" t="s">
        <v>12802</v>
      </c>
      <c r="W5316" t="s">
        <v>18054</v>
      </c>
      <c r="X5316">
        <v>2</v>
      </c>
      <c r="Y5316" t="s">
        <v>24268</v>
      </c>
      <c r="Z5316" t="s">
        <v>30634</v>
      </c>
      <c r="AA5316">
        <v>0.29850421734120131</v>
      </c>
      <c r="AB5316" t="str">
        <f>HYPERLINK("Melting_Curves/meltCurve_Q9BXB4_OSBPL11.pdf", "Melting_Curves/meltCurve_Q9BXB4_OSBPL11.pdf")</f>
        <v>Melting_Curves/meltCurve_Q9BXB4_OSBPL11.pdf</v>
      </c>
    </row>
    <row r="5317" spans="1:28" x14ac:dyDescent="0.25">
      <c r="A5317" t="s">
        <v>5321</v>
      </c>
      <c r="B5317">
        <v>0.99542014353169495</v>
      </c>
      <c r="C5317">
        <v>1.0143551146090199</v>
      </c>
      <c r="D5317">
        <v>0.81835400674016201</v>
      </c>
      <c r="E5317">
        <v>0.58221998282937404</v>
      </c>
      <c r="F5317">
        <v>0.47681732821178702</v>
      </c>
      <c r="G5317">
        <v>0.34279327158489398</v>
      </c>
      <c r="H5317">
        <v>0.249444926971919</v>
      </c>
      <c r="I5317">
        <v>0.20180625723062401</v>
      </c>
      <c r="J5317">
        <v>0.26324862806538002</v>
      </c>
      <c r="K5317">
        <v>0.32490254451857897</v>
      </c>
      <c r="L5317">
        <v>753.95563957631998</v>
      </c>
      <c r="M5317">
        <v>16.237990030489701</v>
      </c>
      <c r="N5317">
        <v>48.558109901505901</v>
      </c>
      <c r="O5317">
        <v>45.744509952287402</v>
      </c>
      <c r="P5317">
        <v>-6.6166925630283105E-2</v>
      </c>
      <c r="Q5317">
        <v>0.25445216508309298</v>
      </c>
      <c r="R5317">
        <v>0.97841097305139402</v>
      </c>
      <c r="S5317" t="s">
        <v>11719</v>
      </c>
      <c r="T5317" t="s">
        <v>12802</v>
      </c>
      <c r="U5317" t="s">
        <v>12802</v>
      </c>
      <c r="V5317" t="s">
        <v>12802</v>
      </c>
      <c r="W5317" t="s">
        <v>18055</v>
      </c>
      <c r="X5317">
        <v>7</v>
      </c>
      <c r="Y5317" t="s">
        <v>23981</v>
      </c>
      <c r="Z5317" t="s">
        <v>30635</v>
      </c>
      <c r="AA5317">
        <v>0.50349510681807119</v>
      </c>
      <c r="AB5317" t="str">
        <f>HYPERLINK("Melting_Curves/meltCurve_Q9BXH1_BBC3.pdf", "Melting_Curves/meltCurve_Q9BXH1_BBC3.pdf")</f>
        <v>Melting_Curves/meltCurve_Q9BXH1_BBC3.pdf</v>
      </c>
    </row>
    <row r="5318" spans="1:28" x14ac:dyDescent="0.25">
      <c r="A5318" t="s">
        <v>5322</v>
      </c>
      <c r="B5318">
        <v>0.99542014353169495</v>
      </c>
      <c r="C5318">
        <v>0.97329110381697004</v>
      </c>
      <c r="D5318">
        <v>0.99733894924444</v>
      </c>
      <c r="E5318">
        <v>0.90565126972453502</v>
      </c>
      <c r="F5318">
        <v>0.70559767341947299</v>
      </c>
      <c r="G5318">
        <v>0.33212761076973601</v>
      </c>
      <c r="H5318">
        <v>7.3176698271589402E-2</v>
      </c>
      <c r="I5318">
        <v>4.93164179341474E-2</v>
      </c>
      <c r="J5318">
        <v>4.8609162778413498E-2</v>
      </c>
      <c r="K5318">
        <v>5.9424769540148303E-2</v>
      </c>
      <c r="L5318">
        <v>1259.78187895577</v>
      </c>
      <c r="M5318">
        <v>24.302700309354002</v>
      </c>
      <c r="N5318">
        <v>51.975817573966999</v>
      </c>
      <c r="O5318">
        <v>51.4899590423991</v>
      </c>
      <c r="P5318">
        <v>-0.11429413913554801</v>
      </c>
      <c r="Q5318">
        <v>3.1397843587766303E-2</v>
      </c>
      <c r="R5318">
        <v>0.99723394584495695</v>
      </c>
      <c r="S5318" t="s">
        <v>11720</v>
      </c>
      <c r="T5318" t="s">
        <v>12802</v>
      </c>
      <c r="U5318" t="s">
        <v>12802</v>
      </c>
      <c r="V5318" t="s">
        <v>12802</v>
      </c>
      <c r="W5318" t="s">
        <v>18056</v>
      </c>
      <c r="X5318">
        <v>58</v>
      </c>
      <c r="Y5318" t="s">
        <v>24269</v>
      </c>
      <c r="Z5318" t="s">
        <v>30636</v>
      </c>
      <c r="AA5318">
        <v>0.51946579970177043</v>
      </c>
      <c r="AB5318" t="str">
        <f>HYPERLINK("Melting_Curves/meltCurve_Q9BXJ9_NAA15.pdf", "Melting_Curves/meltCurve_Q9BXJ9_NAA15.pdf")</f>
        <v>Melting_Curves/meltCurve_Q9BXJ9_NAA15.pdf</v>
      </c>
    </row>
    <row r="5319" spans="1:28" x14ac:dyDescent="0.25">
      <c r="A5319" t="s">
        <v>5323</v>
      </c>
      <c r="B5319">
        <v>0.99542014353169495</v>
      </c>
      <c r="C5319">
        <v>0.96486174174268102</v>
      </c>
      <c r="D5319">
        <v>1.0278766206585199</v>
      </c>
      <c r="E5319">
        <v>0.68441664377113598</v>
      </c>
      <c r="F5319">
        <v>0.42377631426837598</v>
      </c>
      <c r="G5319">
        <v>0.27029233780892198</v>
      </c>
      <c r="H5319">
        <v>0.175657463839066</v>
      </c>
      <c r="I5319">
        <v>0.155072552329615</v>
      </c>
      <c r="J5319">
        <v>0.198515091289798</v>
      </c>
      <c r="K5319">
        <v>0.216500041546413</v>
      </c>
      <c r="L5319">
        <v>1111.0018208803201</v>
      </c>
      <c r="M5319">
        <v>23.155829810428301</v>
      </c>
      <c r="N5319">
        <v>48.967856345196402</v>
      </c>
      <c r="O5319">
        <v>47.625833059485998</v>
      </c>
      <c r="P5319">
        <v>-9.8859369163117605E-2</v>
      </c>
      <c r="Q5319">
        <v>0.18669768296610101</v>
      </c>
      <c r="R5319">
        <v>0.98927158898223799</v>
      </c>
      <c r="S5319" t="s">
        <v>11721</v>
      </c>
      <c r="T5319" t="s">
        <v>12802</v>
      </c>
      <c r="U5319" t="s">
        <v>12802</v>
      </c>
      <c r="V5319" t="s">
        <v>12802</v>
      </c>
      <c r="W5319" t="s">
        <v>18057</v>
      </c>
      <c r="X5319">
        <v>3</v>
      </c>
      <c r="Y5319" t="s">
        <v>24270</v>
      </c>
      <c r="Z5319" t="s">
        <v>30637</v>
      </c>
      <c r="AA5319">
        <v>0.49240548077077462</v>
      </c>
      <c r="AB5319" t="str">
        <f>HYPERLINK("Melting_Curves/meltCurve_Q9BXK1_KLF16.pdf", "Melting_Curves/meltCurve_Q9BXK1_KLF16.pdf")</f>
        <v>Melting_Curves/meltCurve_Q9BXK1_KLF16.pdf</v>
      </c>
    </row>
    <row r="5320" spans="1:28" x14ac:dyDescent="0.25">
      <c r="A5320" t="s">
        <v>5324</v>
      </c>
      <c r="B5320">
        <v>0.99542014353169495</v>
      </c>
      <c r="C5320">
        <v>1.09660640650956</v>
      </c>
      <c r="D5320">
        <v>0.93707083705306704</v>
      </c>
      <c r="E5320">
        <v>0.82890131970761305</v>
      </c>
      <c r="F5320">
        <v>0.58752140379602702</v>
      </c>
      <c r="G5320">
        <v>0.22496837123801799</v>
      </c>
      <c r="H5320">
        <v>0.129786117486862</v>
      </c>
      <c r="I5320">
        <v>6.4703666607247898E-2</v>
      </c>
      <c r="J5320">
        <v>2.78771981017201E-2</v>
      </c>
      <c r="K5320">
        <v>5.2175043885551303E-2</v>
      </c>
      <c r="L5320">
        <v>1005.02644095506</v>
      </c>
      <c r="M5320">
        <v>19.8587560930699</v>
      </c>
      <c r="N5320">
        <v>50.767756631532301</v>
      </c>
      <c r="O5320">
        <v>50.103929834238699</v>
      </c>
      <c r="P5320">
        <v>-9.6103011566319202E-2</v>
      </c>
      <c r="Q5320">
        <v>3.0155278718847899E-2</v>
      </c>
      <c r="R5320">
        <v>0.991372128242064</v>
      </c>
      <c r="S5320" t="s">
        <v>11722</v>
      </c>
      <c r="T5320" t="s">
        <v>12802</v>
      </c>
      <c r="U5320" t="s">
        <v>12802</v>
      </c>
      <c r="V5320" t="s">
        <v>12802</v>
      </c>
      <c r="W5320" t="s">
        <v>18058</v>
      </c>
      <c r="X5320">
        <v>6</v>
      </c>
      <c r="Y5320" t="s">
        <v>24271</v>
      </c>
      <c r="Z5320" t="s">
        <v>30638</v>
      </c>
      <c r="AA5320">
        <v>0.48299142194163502</v>
      </c>
      <c r="AB5320" t="str">
        <f>HYPERLINK("Melting_Curves/meltCurve_Q9BXK5_BCL2L13.pdf", "Melting_Curves/meltCurve_Q9BXK5_BCL2L13.pdf")</f>
        <v>Melting_Curves/meltCurve_Q9BXK5_BCL2L13.pdf</v>
      </c>
    </row>
    <row r="5321" spans="1:28" x14ac:dyDescent="0.25">
      <c r="A5321" t="s">
        <v>5325</v>
      </c>
      <c r="B5321">
        <v>0.99542014353169495</v>
      </c>
      <c r="C5321">
        <v>1.0162025085333</v>
      </c>
      <c r="D5321">
        <v>1.0379293264345999</v>
      </c>
      <c r="E5321">
        <v>0.93785944647271502</v>
      </c>
      <c r="F5321">
        <v>0.82375003211711595</v>
      </c>
      <c r="G5321">
        <v>0.65523739405958004</v>
      </c>
      <c r="H5321">
        <v>0.54629628269632802</v>
      </c>
      <c r="I5321">
        <v>0.511222592318203</v>
      </c>
      <c r="J5321">
        <v>0.81091643249237</v>
      </c>
      <c r="K5321">
        <v>1.13923272893911</v>
      </c>
      <c r="L5321">
        <v>1933.675699316</v>
      </c>
      <c r="M5321">
        <v>39.753129522146097</v>
      </c>
      <c r="O5321">
        <v>48.519497915865699</v>
      </c>
      <c r="P5321">
        <v>-5.4166953267717102E-2</v>
      </c>
      <c r="Q5321">
        <v>0.73555312460931899</v>
      </c>
      <c r="R5321">
        <v>0.371410394062058</v>
      </c>
      <c r="S5321" t="s">
        <v>11723</v>
      </c>
      <c r="T5321" t="s">
        <v>12802</v>
      </c>
      <c r="U5321" t="s">
        <v>12802</v>
      </c>
      <c r="V5321" t="s">
        <v>12802</v>
      </c>
      <c r="W5321" t="s">
        <v>18059</v>
      </c>
      <c r="X5321">
        <v>24</v>
      </c>
      <c r="Y5321" t="s">
        <v>24272</v>
      </c>
      <c r="Z5321" t="s">
        <v>30639</v>
      </c>
      <c r="AA5321">
        <v>0.83907721709749494</v>
      </c>
      <c r="AB5321" t="str">
        <f>HYPERLINK("Melting_Curves/meltCurve_Q9BXL5_HEMGN.pdf", "Melting_Curves/meltCurve_Q9BXL5_HEMGN.pdf")</f>
        <v>Melting_Curves/meltCurve_Q9BXL5_HEMGN.pdf</v>
      </c>
    </row>
    <row r="5322" spans="1:28" x14ac:dyDescent="0.25">
      <c r="A5322" t="s">
        <v>5326</v>
      </c>
      <c r="B5322">
        <v>0.99542014353169495</v>
      </c>
      <c r="C5322">
        <v>0.91864987241847196</v>
      </c>
      <c r="D5322">
        <v>1.0716549968222999</v>
      </c>
      <c r="E5322">
        <v>1.0093549105600099</v>
      </c>
      <c r="F5322">
        <v>0.22945707843588001</v>
      </c>
      <c r="G5322">
        <v>0.17863401963391401</v>
      </c>
      <c r="H5322">
        <v>0.10022245119359</v>
      </c>
      <c r="I5322">
        <v>9.9869735784560404E-2</v>
      </c>
      <c r="J5322">
        <v>4.5225777644026202E-2</v>
      </c>
      <c r="K5322">
        <v>0.14046171252786499</v>
      </c>
      <c r="L5322">
        <v>9556.7062528824299</v>
      </c>
      <c r="M5322">
        <v>192.26119409429899</v>
      </c>
      <c r="N5322">
        <v>49.773134560016999</v>
      </c>
      <c r="O5322">
        <v>49.701513254375897</v>
      </c>
      <c r="P5322">
        <v>-0.85791278906258694</v>
      </c>
      <c r="Q5322">
        <v>0.112882578547296</v>
      </c>
      <c r="R5322">
        <v>0.98809153095703905</v>
      </c>
      <c r="S5322" t="s">
        <v>11724</v>
      </c>
      <c r="T5322" t="s">
        <v>12802</v>
      </c>
      <c r="U5322" t="s">
        <v>12802</v>
      </c>
      <c r="V5322" t="s">
        <v>12802</v>
      </c>
      <c r="W5322" t="s">
        <v>18060</v>
      </c>
      <c r="X5322">
        <v>3</v>
      </c>
      <c r="Y5322" t="s">
        <v>24273</v>
      </c>
      <c r="Z5322" t="s">
        <v>30640</v>
      </c>
      <c r="AA5322">
        <v>0.48876359800635089</v>
      </c>
      <c r="AB5322" t="str">
        <f>HYPERLINK("Melting_Curves/meltCurve_Q9BXL7_CARD11.pdf", "Melting_Curves/meltCurve_Q9BXL7_CARD11.pdf")</f>
        <v>Melting_Curves/meltCurve_Q9BXL7_CARD11.pdf</v>
      </c>
    </row>
    <row r="5323" spans="1:28" x14ac:dyDescent="0.25">
      <c r="A5323" t="s">
        <v>5327</v>
      </c>
      <c r="B5323">
        <v>0.99542014353169495</v>
      </c>
      <c r="C5323">
        <v>1.0344586240034299</v>
      </c>
      <c r="D5323">
        <v>0.957160311231957</v>
      </c>
      <c r="E5323">
        <v>0.86553288209108403</v>
      </c>
      <c r="F5323">
        <v>0.77826598297169902</v>
      </c>
      <c r="G5323">
        <v>0.48915802555655902</v>
      </c>
      <c r="H5323">
        <v>0.32996291552596801</v>
      </c>
      <c r="I5323">
        <v>0.17594208815495299</v>
      </c>
      <c r="J5323">
        <v>0.12977642784254201</v>
      </c>
      <c r="K5323">
        <v>9.9309525068812493E-2</v>
      </c>
      <c r="L5323">
        <v>758.98057491198301</v>
      </c>
      <c r="M5323">
        <v>14.133826381603299</v>
      </c>
      <c r="N5323">
        <v>54.017163571717902</v>
      </c>
      <c r="O5323">
        <v>52.658886633711603</v>
      </c>
      <c r="P5323">
        <v>-6.4433789053047696E-2</v>
      </c>
      <c r="Q5323">
        <v>3.9869622252845099E-2</v>
      </c>
      <c r="R5323">
        <v>0.99562583797908</v>
      </c>
      <c r="S5323" t="s">
        <v>11725</v>
      </c>
      <c r="T5323" t="s">
        <v>12802</v>
      </c>
      <c r="U5323" t="s">
        <v>12802</v>
      </c>
      <c r="V5323" t="s">
        <v>12802</v>
      </c>
      <c r="W5323" t="s">
        <v>18061</v>
      </c>
      <c r="X5323">
        <v>8</v>
      </c>
      <c r="Y5323" t="s">
        <v>24274</v>
      </c>
      <c r="Z5323" t="s">
        <v>30641</v>
      </c>
      <c r="AA5323">
        <v>0.59111573366127979</v>
      </c>
      <c r="AB5323" t="str">
        <f>HYPERLINK("Melting_Curves/meltCurve_Q9BXP2_SLC12A9.pdf", "Melting_Curves/meltCurve_Q9BXP2_SLC12A9.pdf")</f>
        <v>Melting_Curves/meltCurve_Q9BXP2_SLC12A9.pdf</v>
      </c>
    </row>
    <row r="5324" spans="1:28" x14ac:dyDescent="0.25">
      <c r="A5324" t="s">
        <v>5328</v>
      </c>
      <c r="B5324">
        <v>0.99542014353169495</v>
      </c>
      <c r="C5324">
        <v>0.99868893371660905</v>
      </c>
      <c r="D5324">
        <v>1.0002176661048701</v>
      </c>
      <c r="E5324">
        <v>0.558525830882727</v>
      </c>
      <c r="F5324">
        <v>0.16694602971814201</v>
      </c>
      <c r="G5324">
        <v>9.9329325278823599E-2</v>
      </c>
      <c r="H5324">
        <v>5.7082130319986199E-2</v>
      </c>
      <c r="I5324">
        <v>4.0801303614729001E-2</v>
      </c>
      <c r="J5324">
        <v>4.5672077285728203E-2</v>
      </c>
      <c r="K5324">
        <v>4.6233902173371602E-2</v>
      </c>
      <c r="L5324">
        <v>1574.4083060998901</v>
      </c>
      <c r="M5324">
        <v>33.590618359405298</v>
      </c>
      <c r="N5324">
        <v>47.040124036635298</v>
      </c>
      <c r="O5324">
        <v>46.705294278580098</v>
      </c>
      <c r="P5324">
        <v>-0.16954485016986501</v>
      </c>
      <c r="Q5324">
        <v>5.7045156883841402E-2</v>
      </c>
      <c r="R5324">
        <v>0.99772293558243896</v>
      </c>
      <c r="S5324" t="s">
        <v>11726</v>
      </c>
      <c r="T5324" t="s">
        <v>12802</v>
      </c>
      <c r="U5324" t="s">
        <v>12802</v>
      </c>
      <c r="V5324" t="s">
        <v>12802</v>
      </c>
      <c r="W5324" t="s">
        <v>18062</v>
      </c>
      <c r="X5324">
        <v>37</v>
      </c>
      <c r="Y5324" t="s">
        <v>24275</v>
      </c>
      <c r="Z5324" t="s">
        <v>30642</v>
      </c>
      <c r="AA5324">
        <v>0.37164118609212587</v>
      </c>
      <c r="AB5324" t="str">
        <f>HYPERLINK("Melting_Curves/meltCurve_Q9BXP5_4_SRRT.pdf", "Melting_Curves/meltCurve_Q9BXP5_4_SRRT.pdf")</f>
        <v>Melting_Curves/meltCurve_Q9BXP5_4_SRRT.pdf</v>
      </c>
    </row>
    <row r="5325" spans="1:28" x14ac:dyDescent="0.25">
      <c r="A5325" t="s">
        <v>5329</v>
      </c>
      <c r="B5325">
        <v>0.99542014353169495</v>
      </c>
      <c r="C5325">
        <v>0.94437445234995698</v>
      </c>
      <c r="D5325">
        <v>0.912494156695837</v>
      </c>
      <c r="E5325">
        <v>0.87963653777633699</v>
      </c>
      <c r="F5325">
        <v>0.73868266168885199</v>
      </c>
      <c r="G5325">
        <v>0.65179585420896902</v>
      </c>
      <c r="H5325">
        <v>0.31049697065056397</v>
      </c>
      <c r="I5325">
        <v>8.2635716522322003E-2</v>
      </c>
      <c r="J5325">
        <v>8.3040835077335895E-2</v>
      </c>
      <c r="K5325">
        <v>0.234255247563599</v>
      </c>
      <c r="L5325">
        <v>835.86940709297801</v>
      </c>
      <c r="M5325">
        <v>15.4947001173344</v>
      </c>
      <c r="N5325">
        <v>54.422758908871799</v>
      </c>
      <c r="O5325">
        <v>53.070929726873302</v>
      </c>
      <c r="P5325">
        <v>-6.8359958545976707E-2</v>
      </c>
      <c r="Q5325">
        <v>6.3524164847785405E-2</v>
      </c>
      <c r="R5325">
        <v>0.95441626926954504</v>
      </c>
      <c r="S5325" t="s">
        <v>11727</v>
      </c>
      <c r="T5325" t="s">
        <v>12802</v>
      </c>
      <c r="U5325" t="s">
        <v>12802</v>
      </c>
      <c r="V5325" t="s">
        <v>12802</v>
      </c>
      <c r="W5325" t="s">
        <v>18063</v>
      </c>
      <c r="X5325">
        <v>10</v>
      </c>
      <c r="Y5325" t="s">
        <v>24276</v>
      </c>
      <c r="Z5325" t="s">
        <v>30643</v>
      </c>
      <c r="AA5325">
        <v>0.60737889073854234</v>
      </c>
      <c r="AB5325" t="str">
        <f>HYPERLINK("Melting_Curves/meltCurve_Q9BXR0_QTRT1.pdf", "Melting_Curves/meltCurve_Q9BXR0_QTRT1.pdf")</f>
        <v>Melting_Curves/meltCurve_Q9BXR0_QTRT1.pdf</v>
      </c>
    </row>
    <row r="5326" spans="1:28" x14ac:dyDescent="0.25">
      <c r="A5326" t="s">
        <v>5330</v>
      </c>
      <c r="B5326">
        <v>0.99542014353169495</v>
      </c>
      <c r="C5326">
        <v>0.96986181270621397</v>
      </c>
      <c r="D5326">
        <v>0.93381596478599105</v>
      </c>
      <c r="E5326">
        <v>0.85442788637022804</v>
      </c>
      <c r="F5326">
        <v>0.59986368738654305</v>
      </c>
      <c r="G5326">
        <v>0.29412226604188901</v>
      </c>
      <c r="H5326">
        <v>0.179249341434804</v>
      </c>
      <c r="I5326">
        <v>0.109329510973997</v>
      </c>
      <c r="J5326">
        <v>0.13382916218322399</v>
      </c>
      <c r="K5326">
        <v>0.18267513715360401</v>
      </c>
      <c r="L5326">
        <v>1059.82449528489</v>
      </c>
      <c r="M5326">
        <v>21.052048282222302</v>
      </c>
      <c r="N5326">
        <v>51.054593456621902</v>
      </c>
      <c r="O5326">
        <v>49.895408904059003</v>
      </c>
      <c r="P5326">
        <v>-9.2072843681455394E-2</v>
      </c>
      <c r="Q5326">
        <v>0.127136754697487</v>
      </c>
      <c r="R5326">
        <v>0.99424737371775396</v>
      </c>
      <c r="S5326" t="s">
        <v>11728</v>
      </c>
      <c r="T5326" t="s">
        <v>12802</v>
      </c>
      <c r="U5326" t="s">
        <v>12802</v>
      </c>
      <c r="V5326" t="s">
        <v>12802</v>
      </c>
      <c r="W5326" t="s">
        <v>18064</v>
      </c>
      <c r="X5326">
        <v>13</v>
      </c>
      <c r="Y5326" t="s">
        <v>24277</v>
      </c>
      <c r="Z5326" t="s">
        <v>30644</v>
      </c>
      <c r="AA5326">
        <v>0.52585621321406484</v>
      </c>
      <c r="AB5326" t="str">
        <f>HYPERLINK("Melting_Curves/meltCurve_Q9BXS6_2_NUSAP1.pdf", "Melting_Curves/meltCurve_Q9BXS6_2_NUSAP1.pdf")</f>
        <v>Melting_Curves/meltCurve_Q9BXS6_2_NUSAP1.pdf</v>
      </c>
    </row>
    <row r="5327" spans="1:28" x14ac:dyDescent="0.25">
      <c r="A5327" t="s">
        <v>5331</v>
      </c>
      <c r="B5327">
        <v>0.99542014353169495</v>
      </c>
      <c r="C5327">
        <v>1.07872528240299</v>
      </c>
      <c r="D5327">
        <v>0.930954228393436</v>
      </c>
      <c r="E5327">
        <v>0.74403156267881398</v>
      </c>
      <c r="F5327">
        <v>0.61942357897162803</v>
      </c>
      <c r="G5327">
        <v>0.50001436301930402</v>
      </c>
      <c r="H5327">
        <v>0.41462103579194598</v>
      </c>
      <c r="I5327">
        <v>0.36819583260147698</v>
      </c>
      <c r="J5327">
        <v>0.70084597517138603</v>
      </c>
      <c r="K5327">
        <v>0.95043957225851805</v>
      </c>
      <c r="L5327">
        <v>1518.8589583412299</v>
      </c>
      <c r="M5327">
        <v>33.195769289702397</v>
      </c>
      <c r="O5327">
        <v>45.5895076947482</v>
      </c>
      <c r="P5327">
        <v>-7.4818923301882001E-2</v>
      </c>
      <c r="Q5327">
        <v>0.58899063376388405</v>
      </c>
      <c r="R5327">
        <v>0.58707693038817899</v>
      </c>
      <c r="S5327" t="s">
        <v>11729</v>
      </c>
      <c r="T5327" t="s">
        <v>12802</v>
      </c>
      <c r="U5327" t="s">
        <v>12802</v>
      </c>
      <c r="V5327" t="s">
        <v>12802</v>
      </c>
      <c r="W5327" t="s">
        <v>18065</v>
      </c>
      <c r="X5327">
        <v>3</v>
      </c>
      <c r="Y5327" t="s">
        <v>24278</v>
      </c>
      <c r="Z5327" t="s">
        <v>30645</v>
      </c>
      <c r="AA5327">
        <v>0.71083030294299887</v>
      </c>
      <c r="AB5327" t="str">
        <f>HYPERLINK("Melting_Curves/meltCurve_Q9BXV9_C14orf142.pdf", "Melting_Curves/meltCurve_Q9BXV9_C14orf142.pdf")</f>
        <v>Melting_Curves/meltCurve_Q9BXV9_C14orf142.pdf</v>
      </c>
    </row>
    <row r="5328" spans="1:28" x14ac:dyDescent="0.25">
      <c r="A5328" t="s">
        <v>5332</v>
      </c>
      <c r="B5328">
        <v>0.99542014353169495</v>
      </c>
      <c r="C5328">
        <v>1.13724594907529</v>
      </c>
      <c r="D5328">
        <v>1.0219782562369</v>
      </c>
      <c r="E5328">
        <v>0.91004774079557904</v>
      </c>
      <c r="F5328">
        <v>0.52410711585215897</v>
      </c>
      <c r="G5328">
        <v>0.193313797168849</v>
      </c>
      <c r="H5328">
        <v>0.119882523309949</v>
      </c>
      <c r="I5328">
        <v>5.4649807183988201E-2</v>
      </c>
      <c r="J5328">
        <v>4.5387397443571502E-2</v>
      </c>
      <c r="K5328">
        <v>3.0368063666874199E-2</v>
      </c>
      <c r="L5328">
        <v>1356.82760237759</v>
      </c>
      <c r="M5328">
        <v>26.9832154163479</v>
      </c>
      <c r="N5328">
        <v>50.4847370963763</v>
      </c>
      <c r="O5328">
        <v>50.010403411423297</v>
      </c>
      <c r="P5328">
        <v>-0.128032193666761</v>
      </c>
      <c r="Q5328">
        <v>5.0835758635800997E-2</v>
      </c>
      <c r="R5328">
        <v>0.98862035735919496</v>
      </c>
      <c r="S5328" t="s">
        <v>11730</v>
      </c>
      <c r="T5328" t="s">
        <v>12802</v>
      </c>
      <c r="U5328" t="s">
        <v>12802</v>
      </c>
      <c r="V5328" t="s">
        <v>12802</v>
      </c>
      <c r="W5328" t="s">
        <v>18066</v>
      </c>
      <c r="X5328">
        <v>10</v>
      </c>
      <c r="Y5328" t="s">
        <v>24279</v>
      </c>
      <c r="Z5328" t="s">
        <v>30646</v>
      </c>
      <c r="AA5328">
        <v>0.4783238009410577</v>
      </c>
      <c r="AB5328" t="str">
        <f>HYPERLINK("Melting_Curves/meltCurve_Q9BXW7_2_CECR5.pdf", "Melting_Curves/meltCurve_Q9BXW7_2_CECR5.pdf")</f>
        <v>Melting_Curves/meltCurve_Q9BXW7_2_CECR5.pdf</v>
      </c>
    </row>
    <row r="5329" spans="1:28" x14ac:dyDescent="0.25">
      <c r="A5329" t="s">
        <v>5333</v>
      </c>
      <c r="B5329">
        <v>0.99542014353169495</v>
      </c>
      <c r="C5329">
        <v>1.0045135035811501</v>
      </c>
      <c r="D5329">
        <v>0.88403614570704103</v>
      </c>
      <c r="E5329">
        <v>0.34429378135705502</v>
      </c>
      <c r="F5329">
        <v>0.160138407999801</v>
      </c>
      <c r="G5329">
        <v>8.2499512915128706E-2</v>
      </c>
      <c r="H5329">
        <v>6.7050684486414006E-2</v>
      </c>
      <c r="I5329">
        <v>5.8997050444804702E-2</v>
      </c>
      <c r="J5329">
        <v>7.8997662644969699E-2</v>
      </c>
      <c r="K5329">
        <v>7.9884459148470102E-2</v>
      </c>
      <c r="L5329">
        <v>1490.2118582949699</v>
      </c>
      <c r="M5329">
        <v>32.809211860011899</v>
      </c>
      <c r="N5329">
        <v>45.658672976101897</v>
      </c>
      <c r="O5329">
        <v>45.252789705464899</v>
      </c>
      <c r="P5329">
        <v>-0.167001887833062</v>
      </c>
      <c r="Q5329">
        <v>7.8640849161362103E-2</v>
      </c>
      <c r="R5329">
        <v>0.998129377522468</v>
      </c>
      <c r="S5329" t="s">
        <v>11731</v>
      </c>
      <c r="T5329" t="s">
        <v>12802</v>
      </c>
      <c r="U5329" t="s">
        <v>12802</v>
      </c>
      <c r="V5329" t="s">
        <v>12802</v>
      </c>
      <c r="W5329" t="s">
        <v>18067</v>
      </c>
      <c r="X5329">
        <v>8</v>
      </c>
      <c r="Y5329" t="s">
        <v>24280</v>
      </c>
      <c r="Z5329" t="s">
        <v>30647</v>
      </c>
      <c r="AA5329">
        <v>0.34158445178414298</v>
      </c>
      <c r="AB5329" t="str">
        <f>HYPERLINK("Melting_Curves/meltCurve_Q9BXW9_2_FANCD2.pdf", "Melting_Curves/meltCurve_Q9BXW9_2_FANCD2.pdf")</f>
        <v>Melting_Curves/meltCurve_Q9BXW9_2_FANCD2.pdf</v>
      </c>
    </row>
    <row r="5330" spans="1:28" x14ac:dyDescent="0.25">
      <c r="A5330" t="s">
        <v>5334</v>
      </c>
      <c r="B5330">
        <v>0.99542014353169495</v>
      </c>
      <c r="C5330">
        <v>1.0170123086179801</v>
      </c>
      <c r="D5330">
        <v>0.93823084028699799</v>
      </c>
      <c r="E5330">
        <v>0.91299850035502905</v>
      </c>
      <c r="F5330">
        <v>0.69534724532192804</v>
      </c>
      <c r="G5330">
        <v>0.54629141344750598</v>
      </c>
      <c r="H5330">
        <v>0.35394453677530802</v>
      </c>
      <c r="I5330">
        <v>0.31484680079022798</v>
      </c>
      <c r="J5330">
        <v>0.43218288054218201</v>
      </c>
      <c r="K5330">
        <v>0.36988168944043098</v>
      </c>
      <c r="L5330">
        <v>1032.0064276692001</v>
      </c>
      <c r="M5330">
        <v>20.381387593984201</v>
      </c>
      <c r="N5330">
        <v>53.8971012253254</v>
      </c>
      <c r="O5330">
        <v>50.1548565679429</v>
      </c>
      <c r="P5330">
        <v>-6.5591076939784193E-2</v>
      </c>
      <c r="Q5330">
        <v>0.35438906381935698</v>
      </c>
      <c r="R5330">
        <v>0.97893866975057298</v>
      </c>
      <c r="S5330" t="s">
        <v>11732</v>
      </c>
      <c r="T5330" t="s">
        <v>12802</v>
      </c>
      <c r="U5330" t="s">
        <v>12802</v>
      </c>
      <c r="V5330" t="s">
        <v>12802</v>
      </c>
      <c r="W5330" t="s">
        <v>18068</v>
      </c>
      <c r="X5330">
        <v>3</v>
      </c>
      <c r="Y5330" t="s">
        <v>24281</v>
      </c>
      <c r="Z5330" t="s">
        <v>30648</v>
      </c>
      <c r="AA5330">
        <v>0.65602206195063628</v>
      </c>
      <c r="AB5330" t="str">
        <f>HYPERLINK("Melting_Curves/meltCurve_Q9BY32_ITPA.pdf", "Melting_Curves/meltCurve_Q9BY32_ITPA.pdf")</f>
        <v>Melting_Curves/meltCurve_Q9BY32_ITPA.pdf</v>
      </c>
    </row>
    <row r="5331" spans="1:28" x14ac:dyDescent="0.25">
      <c r="A5331" t="s">
        <v>5335</v>
      </c>
      <c r="B5331">
        <v>0.99542014353169495</v>
      </c>
      <c r="C5331">
        <v>1.1841248869926599</v>
      </c>
      <c r="D5331">
        <v>1.18178449641265</v>
      </c>
      <c r="E5331">
        <v>1.09302735260393</v>
      </c>
      <c r="F5331">
        <v>0.669329469271153</v>
      </c>
      <c r="G5331">
        <v>0.26950752013469997</v>
      </c>
      <c r="H5331">
        <v>9.9213421924019399E-2</v>
      </c>
      <c r="I5331">
        <v>5.9138324443838097E-2</v>
      </c>
      <c r="J5331">
        <v>3.9655422721825602E-2</v>
      </c>
      <c r="K5331">
        <v>6.07177075925995E-2</v>
      </c>
      <c r="L5331">
        <v>1694.3651447063</v>
      </c>
      <c r="M5331">
        <v>32.9360109089913</v>
      </c>
      <c r="N5331">
        <v>51.642031179224198</v>
      </c>
      <c r="O5331">
        <v>51.255615040252898</v>
      </c>
      <c r="P5331">
        <v>-0.151123138077396</v>
      </c>
      <c r="Q5331">
        <v>5.9281995208417503E-2</v>
      </c>
      <c r="R5331">
        <v>0.96313213388142105</v>
      </c>
      <c r="S5331" t="s">
        <v>11733</v>
      </c>
      <c r="T5331" t="s">
        <v>12802</v>
      </c>
      <c r="U5331" t="s">
        <v>12802</v>
      </c>
      <c r="V5331" t="s">
        <v>12802</v>
      </c>
      <c r="W5331" t="s">
        <v>18069</v>
      </c>
      <c r="X5331">
        <v>9</v>
      </c>
      <c r="Y5331" t="s">
        <v>24282</v>
      </c>
      <c r="Z5331" t="s">
        <v>30649</v>
      </c>
      <c r="AA5331">
        <v>0.51712442338072628</v>
      </c>
      <c r="AB5331" t="str">
        <f>HYPERLINK("Melting_Curves/meltCurve_Q9BY42_RTFDC1.pdf", "Melting_Curves/meltCurve_Q9BY42_RTFDC1.pdf")</f>
        <v>Melting_Curves/meltCurve_Q9BY42_RTFDC1.pdf</v>
      </c>
    </row>
    <row r="5332" spans="1:28" x14ac:dyDescent="0.25">
      <c r="A5332" t="s">
        <v>5336</v>
      </c>
      <c r="B5332">
        <v>0.99542014353169495</v>
      </c>
      <c r="C5332">
        <v>1.0811896706542199</v>
      </c>
      <c r="D5332">
        <v>1.0650130312324499</v>
      </c>
      <c r="E5332">
        <v>0.98303235482763995</v>
      </c>
      <c r="F5332">
        <v>0.85223210322853105</v>
      </c>
      <c r="G5332">
        <v>0.56946275250983103</v>
      </c>
      <c r="H5332">
        <v>0.44607778587508501</v>
      </c>
      <c r="I5332">
        <v>0.39734373150882601</v>
      </c>
      <c r="J5332">
        <v>0.55990919795400995</v>
      </c>
      <c r="K5332">
        <v>0.78723678691501098</v>
      </c>
      <c r="L5332">
        <v>3005.49429539536</v>
      </c>
      <c r="M5332">
        <v>59.151858441994399</v>
      </c>
      <c r="O5332">
        <v>50.751828110966201</v>
      </c>
      <c r="P5332">
        <v>-0.13151706950612599</v>
      </c>
      <c r="Q5332">
        <v>0.54863776378637996</v>
      </c>
      <c r="R5332">
        <v>0.83474211938632803</v>
      </c>
      <c r="S5332" t="s">
        <v>11734</v>
      </c>
      <c r="T5332" t="s">
        <v>12802</v>
      </c>
      <c r="U5332" t="s">
        <v>12802</v>
      </c>
      <c r="V5332" t="s">
        <v>12802</v>
      </c>
      <c r="W5332" t="s">
        <v>18070</v>
      </c>
      <c r="X5332">
        <v>10</v>
      </c>
      <c r="Y5332" t="s">
        <v>24283</v>
      </c>
      <c r="Z5332" t="s">
        <v>30650</v>
      </c>
      <c r="AA5332">
        <v>0.75713351287223118</v>
      </c>
      <c r="AB5332" t="str">
        <f>HYPERLINK("Melting_Curves/meltCurve_Q9BY43_CHMP4A.pdf", "Melting_Curves/meltCurve_Q9BY43_CHMP4A.pdf")</f>
        <v>Melting_Curves/meltCurve_Q9BY43_CHMP4A.pdf</v>
      </c>
    </row>
    <row r="5333" spans="1:28" x14ac:dyDescent="0.25">
      <c r="A5333" t="s">
        <v>5337</v>
      </c>
      <c r="B5333">
        <v>0.99542014353169495</v>
      </c>
      <c r="C5333">
        <v>0.99863436846910703</v>
      </c>
      <c r="D5333">
        <v>0.96056739565160998</v>
      </c>
      <c r="E5333">
        <v>0.92290413084543699</v>
      </c>
      <c r="F5333">
        <v>0.60330636199013798</v>
      </c>
      <c r="G5333">
        <v>0.32285502382087899</v>
      </c>
      <c r="H5333">
        <v>8.6444800460524898E-2</v>
      </c>
      <c r="I5333">
        <v>4.7598394396848799E-2</v>
      </c>
      <c r="J5333">
        <v>4.8179964773206602E-2</v>
      </c>
      <c r="K5333">
        <v>4.9517613237344098E-2</v>
      </c>
      <c r="L5333">
        <v>1104.8737995266899</v>
      </c>
      <c r="M5333">
        <v>21.538106190544202</v>
      </c>
      <c r="N5333">
        <v>51.437520884957699</v>
      </c>
      <c r="O5333">
        <v>50.862478098876103</v>
      </c>
      <c r="P5333">
        <v>-0.102874852641806</v>
      </c>
      <c r="Q5333">
        <v>2.82631442940042E-2</v>
      </c>
      <c r="R5333">
        <v>0.99756852922204198</v>
      </c>
      <c r="S5333" t="s">
        <v>11735</v>
      </c>
      <c r="T5333" t="s">
        <v>12802</v>
      </c>
      <c r="U5333" t="s">
        <v>12802</v>
      </c>
      <c r="V5333" t="s">
        <v>12802</v>
      </c>
      <c r="W5333" t="s">
        <v>18071</v>
      </c>
      <c r="X5333">
        <v>28</v>
      </c>
      <c r="Y5333" t="s">
        <v>24284</v>
      </c>
      <c r="Z5333" t="s">
        <v>30651</v>
      </c>
      <c r="AA5333">
        <v>0.50261177197214069</v>
      </c>
      <c r="AB5333" t="str">
        <f>HYPERLINK("Melting_Curves/meltCurve_Q9BY44_EIF2A.pdf", "Melting_Curves/meltCurve_Q9BY44_EIF2A.pdf")</f>
        <v>Melting_Curves/meltCurve_Q9BY44_EIF2A.pdf</v>
      </c>
    </row>
    <row r="5334" spans="1:28" x14ac:dyDescent="0.25">
      <c r="A5334" t="s">
        <v>5338</v>
      </c>
      <c r="B5334">
        <v>0.99542014353169495</v>
      </c>
      <c r="C5334">
        <v>1.0633099757033</v>
      </c>
      <c r="D5334">
        <v>0.94980983145076703</v>
      </c>
      <c r="E5334">
        <v>0.75935503358313206</v>
      </c>
      <c r="F5334">
        <v>0.349702377036059</v>
      </c>
      <c r="G5334">
        <v>0.17382664339149501</v>
      </c>
      <c r="H5334">
        <v>8.0707496099324705E-2</v>
      </c>
      <c r="I5334">
        <v>4.35406319896759E-2</v>
      </c>
      <c r="J5334">
        <v>4.9606774839797599E-2</v>
      </c>
      <c r="K5334">
        <v>5.0981310214395503E-2</v>
      </c>
      <c r="L5334">
        <v>1124.82181343855</v>
      </c>
      <c r="M5334">
        <v>23.094871845548901</v>
      </c>
      <c r="N5334">
        <v>48.925522274412401</v>
      </c>
      <c r="O5334">
        <v>48.343631244582703</v>
      </c>
      <c r="P5334">
        <v>-0.113514096004702</v>
      </c>
      <c r="Q5334">
        <v>4.9558046111526997E-2</v>
      </c>
      <c r="R5334">
        <v>0.99636997132709704</v>
      </c>
      <c r="S5334" t="s">
        <v>11736</v>
      </c>
      <c r="T5334" t="s">
        <v>12802</v>
      </c>
      <c r="U5334" t="s">
        <v>12802</v>
      </c>
      <c r="V5334" t="s">
        <v>12802</v>
      </c>
      <c r="W5334" t="s">
        <v>18072</v>
      </c>
      <c r="X5334">
        <v>15</v>
      </c>
      <c r="Y5334" t="s">
        <v>24285</v>
      </c>
      <c r="Z5334" t="s">
        <v>30652</v>
      </c>
      <c r="AA5334">
        <v>0.42990977943556591</v>
      </c>
      <c r="AB5334" t="str">
        <f>HYPERLINK("Melting_Curves/meltCurve_Q9BY77_POLDIP3.pdf", "Melting_Curves/meltCurve_Q9BY77_POLDIP3.pdf")</f>
        <v>Melting_Curves/meltCurve_Q9BY77_POLDIP3.pdf</v>
      </c>
    </row>
    <row r="5335" spans="1:28" x14ac:dyDescent="0.25">
      <c r="A5335" t="s">
        <v>5339</v>
      </c>
      <c r="B5335">
        <v>0.99542014353169495</v>
      </c>
      <c r="C5335">
        <v>1.0362637664027601</v>
      </c>
      <c r="D5335">
        <v>0.92543949132221504</v>
      </c>
      <c r="E5335">
        <v>0.911649594711334</v>
      </c>
      <c r="F5335">
        <v>0.77947912463848301</v>
      </c>
      <c r="G5335">
        <v>0.69920258153369197</v>
      </c>
      <c r="H5335">
        <v>0.43102478123573401</v>
      </c>
      <c r="I5335">
        <v>0.27060540380479597</v>
      </c>
      <c r="J5335">
        <v>0.17256795938930999</v>
      </c>
      <c r="K5335">
        <v>0.113609260995093</v>
      </c>
      <c r="L5335">
        <v>693.30665340266</v>
      </c>
      <c r="M5335">
        <v>12.316825614503299</v>
      </c>
      <c r="N5335">
        <v>56.289394406610697</v>
      </c>
      <c r="O5335">
        <v>54.867296402852503</v>
      </c>
      <c r="P5335">
        <v>-5.6133208276155998E-2</v>
      </c>
      <c r="Q5335">
        <v>0</v>
      </c>
      <c r="R5335">
        <v>0.99097446273138701</v>
      </c>
      <c r="S5335" t="s">
        <v>11737</v>
      </c>
      <c r="T5335" t="s">
        <v>12802</v>
      </c>
      <c r="U5335" t="s">
        <v>12802</v>
      </c>
      <c r="V5335" t="s">
        <v>12802</v>
      </c>
      <c r="W5335" t="s">
        <v>18073</v>
      </c>
      <c r="X5335">
        <v>14</v>
      </c>
      <c r="Y5335" t="s">
        <v>24286</v>
      </c>
      <c r="Z5335" t="s">
        <v>30653</v>
      </c>
      <c r="AA5335">
        <v>0.65178239013212758</v>
      </c>
      <c r="AB5335" t="str">
        <f>HYPERLINK("Melting_Curves/meltCurve_Q9BYB4_GNB1L.pdf", "Melting_Curves/meltCurve_Q9BYB4_GNB1L.pdf")</f>
        <v>Melting_Curves/meltCurve_Q9BYB4_GNB1L.pdf</v>
      </c>
    </row>
    <row r="5336" spans="1:28" x14ac:dyDescent="0.25">
      <c r="A5336" t="s">
        <v>5340</v>
      </c>
      <c r="B5336">
        <v>0.99542014353169495</v>
      </c>
      <c r="C5336">
        <v>1.01280337244652</v>
      </c>
      <c r="D5336">
        <v>1.03895779253944</v>
      </c>
      <c r="E5336">
        <v>0.60752810311140504</v>
      </c>
      <c r="F5336">
        <v>0.31227879808557002</v>
      </c>
      <c r="G5336">
        <v>0.14763200092155301</v>
      </c>
      <c r="H5336">
        <v>7.3279820080149605E-2</v>
      </c>
      <c r="I5336">
        <v>3.2544295424778498E-2</v>
      </c>
      <c r="J5336">
        <v>2.3316252110071E-2</v>
      </c>
      <c r="K5336">
        <v>3.1410907043696298E-2</v>
      </c>
      <c r="L5336">
        <v>1088.0630249160899</v>
      </c>
      <c r="M5336">
        <v>22.712660425933901</v>
      </c>
      <c r="N5336">
        <v>48.082595004264903</v>
      </c>
      <c r="O5336">
        <v>47.538859753712401</v>
      </c>
      <c r="P5336">
        <v>-0.114654158984639</v>
      </c>
      <c r="Q5336">
        <v>4.0109084140268397E-2</v>
      </c>
      <c r="R5336">
        <v>0.98990446324363701</v>
      </c>
      <c r="S5336" t="s">
        <v>11738</v>
      </c>
      <c r="T5336" t="s">
        <v>12802</v>
      </c>
      <c r="U5336" t="s">
        <v>12802</v>
      </c>
      <c r="V5336" t="s">
        <v>12802</v>
      </c>
      <c r="W5336" t="s">
        <v>18074</v>
      </c>
      <c r="X5336">
        <v>2</v>
      </c>
      <c r="Y5336" t="s">
        <v>24287</v>
      </c>
      <c r="Z5336" t="s">
        <v>30654</v>
      </c>
      <c r="AA5336">
        <v>0.39891438168358179</v>
      </c>
      <c r="AB5336" t="str">
        <f>HYPERLINK("Melting_Curves/meltCurve_Q9BYC5_2_FUT8.pdf", "Melting_Curves/meltCurve_Q9BYC5_2_FUT8.pdf")</f>
        <v>Melting_Curves/meltCurve_Q9BYC5_2_FUT8.pdf</v>
      </c>
    </row>
    <row r="5337" spans="1:28" x14ac:dyDescent="0.25">
      <c r="A5337" t="s">
        <v>5341</v>
      </c>
      <c r="B5337">
        <v>0.99542014353169495</v>
      </c>
      <c r="C5337">
        <v>1.09741577209417</v>
      </c>
      <c r="D5337">
        <v>1.16484030562809</v>
      </c>
      <c r="E5337">
        <v>1.5985538568072</v>
      </c>
      <c r="F5337">
        <v>1.6633443018513301</v>
      </c>
      <c r="G5337">
        <v>1.4134250208794901</v>
      </c>
      <c r="H5337">
        <v>0.93662068451102298</v>
      </c>
      <c r="I5337">
        <v>0.72864453626551795</v>
      </c>
      <c r="J5337">
        <v>0.79595284436212099</v>
      </c>
      <c r="K5337">
        <v>0.90921467346617402</v>
      </c>
      <c r="L5337">
        <v>14389.144925767299</v>
      </c>
      <c r="M5337">
        <v>250</v>
      </c>
      <c r="O5337">
        <v>57.552896408248401</v>
      </c>
      <c r="P5337">
        <v>-0.20495201793298801</v>
      </c>
      <c r="Q5337">
        <v>0.811270683931127</v>
      </c>
      <c r="R5337">
        <v>-6.1254294003906702E-2</v>
      </c>
      <c r="S5337" t="s">
        <v>11739</v>
      </c>
      <c r="T5337" t="s">
        <v>12802</v>
      </c>
      <c r="U5337" t="s">
        <v>12802</v>
      </c>
      <c r="V5337" t="s">
        <v>12802</v>
      </c>
      <c r="W5337" t="s">
        <v>18075</v>
      </c>
      <c r="X5337">
        <v>2</v>
      </c>
      <c r="Y5337" t="s">
        <v>24288</v>
      </c>
      <c r="Z5337" t="s">
        <v>30655</v>
      </c>
      <c r="AA5337">
        <v>0.94061072191868578</v>
      </c>
      <c r="AB5337" t="str">
        <f>HYPERLINK("Melting_Curves/meltCurve_Q9BYC8_MRPL32.pdf", "Melting_Curves/meltCurve_Q9BYC8_MRPL32.pdf")</f>
        <v>Melting_Curves/meltCurve_Q9BYC8_MRPL32.pdf</v>
      </c>
    </row>
    <row r="5338" spans="1:28" x14ac:dyDescent="0.25">
      <c r="A5338" t="s">
        <v>5342</v>
      </c>
      <c r="B5338">
        <v>0.99542014353169495</v>
      </c>
      <c r="C5338">
        <v>1.0459708704678901</v>
      </c>
      <c r="D5338">
        <v>0.93174930770620501</v>
      </c>
      <c r="E5338">
        <v>0.361353283170741</v>
      </c>
      <c r="F5338">
        <v>0.16012417211840599</v>
      </c>
      <c r="G5338">
        <v>9.0640183004369601E-2</v>
      </c>
      <c r="H5338">
        <v>6.0732369416479297E-2</v>
      </c>
      <c r="I5338">
        <v>4.4325941265608702E-2</v>
      </c>
      <c r="J5338">
        <v>4.5123409471762001E-2</v>
      </c>
      <c r="K5338">
        <v>4.5546686456036302E-2</v>
      </c>
      <c r="L5338">
        <v>1655.9031222388501</v>
      </c>
      <c r="M5338">
        <v>36.217970873205502</v>
      </c>
      <c r="N5338">
        <v>45.898900462699999</v>
      </c>
      <c r="O5338">
        <v>45.5817705363432</v>
      </c>
      <c r="P5338">
        <v>-0.185599948595423</v>
      </c>
      <c r="Q5338">
        <v>6.5662972028811495E-2</v>
      </c>
      <c r="R5338">
        <v>0.99502485046661604</v>
      </c>
      <c r="S5338" t="s">
        <v>11740</v>
      </c>
      <c r="T5338" t="s">
        <v>12802</v>
      </c>
      <c r="U5338" t="s">
        <v>12802</v>
      </c>
      <c r="V5338" t="s">
        <v>12802</v>
      </c>
      <c r="W5338" t="s">
        <v>18076</v>
      </c>
      <c r="X5338">
        <v>8</v>
      </c>
      <c r="Y5338" t="s">
        <v>24289</v>
      </c>
      <c r="Z5338" t="s">
        <v>30656</v>
      </c>
      <c r="AA5338">
        <v>0.34087238481953158</v>
      </c>
      <c r="AB5338" t="str">
        <f>HYPERLINK("Melting_Curves/meltCurve_Q9BYD6_MRPL1.pdf", "Melting_Curves/meltCurve_Q9BYD6_MRPL1.pdf")</f>
        <v>Melting_Curves/meltCurve_Q9BYD6_MRPL1.pdf</v>
      </c>
    </row>
    <row r="5339" spans="1:28" x14ac:dyDescent="0.25">
      <c r="A5339" t="s">
        <v>5343</v>
      </c>
      <c r="B5339">
        <v>0.99542014353169495</v>
      </c>
      <c r="C5339">
        <v>0.931961227383452</v>
      </c>
      <c r="D5339">
        <v>0.75425429442029901</v>
      </c>
      <c r="E5339">
        <v>0.56360669948087005</v>
      </c>
      <c r="F5339">
        <v>0.28431732310213098</v>
      </c>
      <c r="G5339">
        <v>0.14458030784981099</v>
      </c>
      <c r="H5339">
        <v>7.4759515884993494E-2</v>
      </c>
      <c r="I5339">
        <v>7.6119171245910305E-2</v>
      </c>
      <c r="J5339">
        <v>8.1434490444256699E-2</v>
      </c>
      <c r="K5339">
        <v>4.9109762773886401E-2</v>
      </c>
      <c r="L5339">
        <v>691.85742077726798</v>
      </c>
      <c r="M5339">
        <v>14.8190855656411</v>
      </c>
      <c r="N5339">
        <v>46.954524454130301</v>
      </c>
      <c r="O5339">
        <v>45.861483616917802</v>
      </c>
      <c r="P5339">
        <v>-7.7518718997443101E-2</v>
      </c>
      <c r="Q5339">
        <v>4.0494954273402099E-2</v>
      </c>
      <c r="R5339">
        <v>0.99674613716904403</v>
      </c>
      <c r="S5339" t="s">
        <v>11741</v>
      </c>
      <c r="T5339" t="s">
        <v>12802</v>
      </c>
      <c r="U5339" t="s">
        <v>12802</v>
      </c>
      <c r="V5339" t="s">
        <v>12802</v>
      </c>
      <c r="W5339" t="s">
        <v>18077</v>
      </c>
      <c r="X5339">
        <v>9</v>
      </c>
      <c r="Y5339" t="s">
        <v>24290</v>
      </c>
      <c r="Z5339" t="s">
        <v>30657</v>
      </c>
      <c r="AA5339">
        <v>0.3725569504511001</v>
      </c>
      <c r="AB5339" t="str">
        <f>HYPERLINK("Melting_Curves/meltCurve_Q9BYG5_PARD6B.pdf", "Melting_Curves/meltCurve_Q9BYG5_PARD6B.pdf")</f>
        <v>Melting_Curves/meltCurve_Q9BYG5_PARD6B.pdf</v>
      </c>
    </row>
    <row r="5340" spans="1:28" x14ac:dyDescent="0.25">
      <c r="A5340" t="s">
        <v>5344</v>
      </c>
      <c r="B5340">
        <v>0.99542014353169495</v>
      </c>
      <c r="C5340">
        <v>0.89998829615692799</v>
      </c>
      <c r="D5340">
        <v>0.89389081687500804</v>
      </c>
      <c r="E5340">
        <v>0.58906443437349798</v>
      </c>
      <c r="F5340">
        <v>0.26120441397234101</v>
      </c>
      <c r="G5340">
        <v>8.1135077075870296E-2</v>
      </c>
      <c r="H5340">
        <v>5.2071297649349799E-2</v>
      </c>
      <c r="I5340">
        <v>3.1660476086681502E-2</v>
      </c>
      <c r="J5340">
        <v>5.377766699916E-2</v>
      </c>
      <c r="K5340">
        <v>5.8470083519104002E-2</v>
      </c>
      <c r="L5340">
        <v>960.83792212916796</v>
      </c>
      <c r="M5340">
        <v>20.3508282069564</v>
      </c>
      <c r="N5340">
        <v>47.3780406127579</v>
      </c>
      <c r="O5340">
        <v>46.764908324882903</v>
      </c>
      <c r="P5340">
        <v>-0.105088963770175</v>
      </c>
      <c r="Q5340">
        <v>3.4078331056106602E-2</v>
      </c>
      <c r="R5340">
        <v>0.99478915185087402</v>
      </c>
      <c r="S5340" t="s">
        <v>11742</v>
      </c>
      <c r="T5340" t="s">
        <v>12802</v>
      </c>
      <c r="U5340" t="s">
        <v>12802</v>
      </c>
      <c r="V5340" t="s">
        <v>12802</v>
      </c>
      <c r="W5340" t="s">
        <v>18078</v>
      </c>
      <c r="X5340">
        <v>1</v>
      </c>
      <c r="Y5340" t="s">
        <v>24291</v>
      </c>
      <c r="Z5340" t="s">
        <v>30658</v>
      </c>
      <c r="AA5340">
        <v>0.375165960070726</v>
      </c>
      <c r="AB5340" t="str">
        <f>HYPERLINK("Melting_Curves/meltCurve_Q9BYI3_FAM126A.pdf", "Melting_Curves/meltCurve_Q9BYI3_FAM126A.pdf")</f>
        <v>Melting_Curves/meltCurve_Q9BYI3_FAM126A.pdf</v>
      </c>
    </row>
    <row r="5341" spans="1:28" x14ac:dyDescent="0.25">
      <c r="A5341" t="s">
        <v>5345</v>
      </c>
      <c r="B5341">
        <v>0.99542014353169495</v>
      </c>
      <c r="C5341">
        <v>1.0660637307831899</v>
      </c>
      <c r="D5341">
        <v>0.90240619345991602</v>
      </c>
      <c r="E5341">
        <v>0.78794673389340897</v>
      </c>
      <c r="F5341">
        <v>0.50228645589367404</v>
      </c>
      <c r="G5341">
        <v>0.25256233202539502</v>
      </c>
      <c r="H5341">
        <v>0.122148418273784</v>
      </c>
      <c r="I5341">
        <v>0.118631969161034</v>
      </c>
      <c r="J5341">
        <v>0.12469692440274199</v>
      </c>
      <c r="K5341">
        <v>0.161315050111738</v>
      </c>
      <c r="L5341">
        <v>985.71943962872501</v>
      </c>
      <c r="M5341">
        <v>19.978435499107601</v>
      </c>
      <c r="N5341">
        <v>49.982321284513198</v>
      </c>
      <c r="O5341">
        <v>48.852816346173</v>
      </c>
      <c r="P5341">
        <v>-9.0653057616452801E-2</v>
      </c>
      <c r="Q5341">
        <v>0.113341501230695</v>
      </c>
      <c r="R5341">
        <v>0.99111388802431299</v>
      </c>
      <c r="S5341" t="s">
        <v>11743</v>
      </c>
      <c r="T5341" t="s">
        <v>12802</v>
      </c>
      <c r="U5341" t="s">
        <v>12802</v>
      </c>
      <c r="V5341" t="s">
        <v>12802</v>
      </c>
      <c r="W5341" t="s">
        <v>18079</v>
      </c>
      <c r="X5341">
        <v>2</v>
      </c>
      <c r="Y5341" t="s">
        <v>24292</v>
      </c>
      <c r="Z5341" t="s">
        <v>30659</v>
      </c>
      <c r="AA5341">
        <v>0.48973703300793081</v>
      </c>
      <c r="AB5341" t="str">
        <f>HYPERLINK("Melting_Curves/meltCurve_Q9BYN0_SRXN1.pdf", "Melting_Curves/meltCurve_Q9BYN0_SRXN1.pdf")</f>
        <v>Melting_Curves/meltCurve_Q9BYN0_SRXN1.pdf</v>
      </c>
    </row>
    <row r="5342" spans="1:28" x14ac:dyDescent="0.25">
      <c r="A5342" t="s">
        <v>5346</v>
      </c>
      <c r="B5342">
        <v>0.99542014353169495</v>
      </c>
      <c r="C5342">
        <v>0.99498901925991701</v>
      </c>
      <c r="D5342">
        <v>0.942563540565314</v>
      </c>
      <c r="E5342">
        <v>0.86609703803483296</v>
      </c>
      <c r="F5342">
        <v>0.686538233888633</v>
      </c>
      <c r="G5342">
        <v>0.49502043437325999</v>
      </c>
      <c r="H5342">
        <v>0.29258458325137798</v>
      </c>
      <c r="I5342">
        <v>0.168849157182723</v>
      </c>
      <c r="J5342">
        <v>9.7111774845201601E-2</v>
      </c>
      <c r="K5342">
        <v>9.0127747223477897E-2</v>
      </c>
      <c r="L5342">
        <v>672.24146003101805</v>
      </c>
      <c r="M5342">
        <v>12.576798128490999</v>
      </c>
      <c r="N5342">
        <v>53.459691397195499</v>
      </c>
      <c r="O5342">
        <v>52.153595586383702</v>
      </c>
      <c r="P5342">
        <v>-6.0237295198576797E-2</v>
      </c>
      <c r="Q5342">
        <v>1.0305099980464701E-3</v>
      </c>
      <c r="R5342">
        <v>0.99921177085653801</v>
      </c>
      <c r="S5342" t="s">
        <v>11744</v>
      </c>
      <c r="T5342" t="s">
        <v>12802</v>
      </c>
      <c r="U5342" t="s">
        <v>12802</v>
      </c>
      <c r="V5342" t="s">
        <v>12802</v>
      </c>
      <c r="W5342" t="s">
        <v>18080</v>
      </c>
      <c r="X5342">
        <v>29</v>
      </c>
      <c r="Y5342" t="s">
        <v>24293</v>
      </c>
      <c r="Z5342" t="s">
        <v>30660</v>
      </c>
      <c r="AA5342">
        <v>0.5681315280327931</v>
      </c>
      <c r="AB5342" t="str">
        <f>HYPERLINK("Melting_Curves/meltCurve_Q9BYT8_NLN.pdf", "Melting_Curves/meltCurve_Q9BYT8_NLN.pdf")</f>
        <v>Melting_Curves/meltCurve_Q9BYT8_NLN.pdf</v>
      </c>
    </row>
    <row r="5343" spans="1:28" x14ac:dyDescent="0.25">
      <c r="A5343" t="s">
        <v>5347</v>
      </c>
      <c r="B5343">
        <v>0.99542014353169495</v>
      </c>
      <c r="C5343">
        <v>0.91374413973167001</v>
      </c>
      <c r="D5343">
        <v>0.85360507103543304</v>
      </c>
      <c r="E5343">
        <v>0.70349812474278695</v>
      </c>
      <c r="F5343">
        <v>0.19560608936985099</v>
      </c>
      <c r="G5343">
        <v>9.68446928483115E-2</v>
      </c>
      <c r="H5343">
        <v>5.84811170274964E-2</v>
      </c>
      <c r="I5343">
        <v>4.1544786670834097E-2</v>
      </c>
      <c r="J5343">
        <v>2.76008495671888E-2</v>
      </c>
      <c r="K5343">
        <v>2.1057073615726899E-2</v>
      </c>
      <c r="L5343">
        <v>1138.8230650243399</v>
      </c>
      <c r="M5343">
        <v>23.900761897183202</v>
      </c>
      <c r="N5343">
        <v>47.7593241222011</v>
      </c>
      <c r="O5343">
        <v>47.318179580684003</v>
      </c>
      <c r="P5343">
        <v>-0.122856968466954</v>
      </c>
      <c r="Q5343">
        <v>2.7097976450553899E-2</v>
      </c>
      <c r="R5343">
        <v>0.98775459216973205</v>
      </c>
      <c r="S5343" t="s">
        <v>11745</v>
      </c>
      <c r="T5343" t="s">
        <v>12802</v>
      </c>
      <c r="U5343" t="s">
        <v>12802</v>
      </c>
      <c r="V5343" t="s">
        <v>12802</v>
      </c>
      <c r="W5343" t="s">
        <v>18081</v>
      </c>
      <c r="X5343">
        <v>5</v>
      </c>
      <c r="Y5343" t="s">
        <v>24294</v>
      </c>
      <c r="Z5343" t="s">
        <v>30661</v>
      </c>
      <c r="AA5343">
        <v>0.38143102224889353</v>
      </c>
      <c r="AB5343" t="str">
        <f>HYPERLINK("Melting_Curves/meltCurve_Q9BYV8_CEP41.pdf", "Melting_Curves/meltCurve_Q9BYV8_CEP41.pdf")</f>
        <v>Melting_Curves/meltCurve_Q9BYV8_CEP41.pdf</v>
      </c>
    </row>
    <row r="5344" spans="1:28" x14ac:dyDescent="0.25">
      <c r="A5344" t="s">
        <v>5348</v>
      </c>
      <c r="B5344">
        <v>0.99542014353169495</v>
      </c>
      <c r="C5344">
        <v>0.81826643433161195</v>
      </c>
      <c r="D5344">
        <v>0.77324620802518895</v>
      </c>
      <c r="E5344">
        <v>0.27928451080878097</v>
      </c>
      <c r="F5344">
        <v>0.11674778130607399</v>
      </c>
      <c r="G5344">
        <v>7.4523912966989403E-2</v>
      </c>
      <c r="H5344">
        <v>4.5945975292869902E-2</v>
      </c>
      <c r="I5344">
        <v>3.35239195043373E-2</v>
      </c>
      <c r="J5344">
        <v>3.2821467031471097E-2</v>
      </c>
      <c r="K5344">
        <v>5.8538831271512902E-2</v>
      </c>
      <c r="L5344">
        <v>949.17698269790799</v>
      </c>
      <c r="M5344">
        <v>21.269635642014801</v>
      </c>
      <c r="N5344">
        <v>44.792547868976797</v>
      </c>
      <c r="O5344">
        <v>44.237076641232598</v>
      </c>
      <c r="P5344">
        <v>-0.11563332893107001</v>
      </c>
      <c r="Q5344">
        <v>3.8037467859818201E-2</v>
      </c>
      <c r="R5344">
        <v>0.98551695603495604</v>
      </c>
      <c r="S5344" t="s">
        <v>11746</v>
      </c>
      <c r="T5344" t="s">
        <v>12802</v>
      </c>
      <c r="U5344" t="s">
        <v>12802</v>
      </c>
      <c r="V5344" t="s">
        <v>12802</v>
      </c>
      <c r="W5344" t="s">
        <v>18082</v>
      </c>
      <c r="X5344">
        <v>10</v>
      </c>
      <c r="Y5344" t="s">
        <v>24295</v>
      </c>
      <c r="Z5344" t="s">
        <v>30662</v>
      </c>
      <c r="AA5344">
        <v>0.29370034413713958</v>
      </c>
      <c r="AB5344" t="str">
        <f>HYPERLINK("Melting_Curves/meltCurve_Q9BYW2_SETD2.pdf", "Melting_Curves/meltCurve_Q9BYW2_SETD2.pdf")</f>
        <v>Melting_Curves/meltCurve_Q9BYW2_SETD2.pdf</v>
      </c>
    </row>
    <row r="5345" spans="1:28" x14ac:dyDescent="0.25">
      <c r="A5345" t="s">
        <v>5349</v>
      </c>
      <c r="B5345">
        <v>0.99542014353169495</v>
      </c>
      <c r="C5345">
        <v>0.933414969007483</v>
      </c>
      <c r="D5345">
        <v>0.81144595711851397</v>
      </c>
      <c r="E5345">
        <v>0.48347641041765399</v>
      </c>
      <c r="F5345">
        <v>0.26926045475893101</v>
      </c>
      <c r="G5345">
        <v>0.14257938211837501</v>
      </c>
      <c r="H5345">
        <v>0.10867736518629</v>
      </c>
      <c r="I5345">
        <v>6.7256709267377396E-2</v>
      </c>
      <c r="J5345">
        <v>6.7241348903763196E-2</v>
      </c>
      <c r="K5345">
        <v>8.1043616693828993E-2</v>
      </c>
      <c r="L5345">
        <v>794.08681198229101</v>
      </c>
      <c r="M5345">
        <v>17.1858700180094</v>
      </c>
      <c r="N5345">
        <v>46.598331934962196</v>
      </c>
      <c r="O5345">
        <v>45.593796273844703</v>
      </c>
      <c r="P5345">
        <v>-8.7888446573438597E-2</v>
      </c>
      <c r="Q5345">
        <v>6.7389518488444905E-2</v>
      </c>
      <c r="R5345">
        <v>0.99907089563129503</v>
      </c>
      <c r="S5345" t="s">
        <v>11747</v>
      </c>
      <c r="T5345" t="s">
        <v>12802</v>
      </c>
      <c r="U5345" t="s">
        <v>12802</v>
      </c>
      <c r="V5345" t="s">
        <v>12802</v>
      </c>
      <c r="W5345" t="s">
        <v>18083</v>
      </c>
      <c r="X5345">
        <v>4</v>
      </c>
      <c r="Y5345" t="s">
        <v>24296</v>
      </c>
      <c r="Z5345" t="s">
        <v>30663</v>
      </c>
      <c r="AA5345">
        <v>0.37005075148521782</v>
      </c>
      <c r="AB5345" t="str">
        <f>HYPERLINK("Melting_Curves/meltCurve_Q9BYX2_4_TBC1D2.pdf", "Melting_Curves/meltCurve_Q9BYX2_4_TBC1D2.pdf")</f>
        <v>Melting_Curves/meltCurve_Q9BYX2_4_TBC1D2.pdf</v>
      </c>
    </row>
    <row r="5346" spans="1:28" x14ac:dyDescent="0.25">
      <c r="A5346" t="s">
        <v>5350</v>
      </c>
      <c r="B5346">
        <v>0.99542014353169495</v>
      </c>
      <c r="C5346">
        <v>0.87344828041162603</v>
      </c>
      <c r="D5346">
        <v>0.84311078097933301</v>
      </c>
      <c r="E5346">
        <v>0.80289378632106001</v>
      </c>
      <c r="F5346">
        <v>0.621122560261956</v>
      </c>
      <c r="G5346">
        <v>0.45690700983277199</v>
      </c>
      <c r="H5346">
        <v>0.15336818122088</v>
      </c>
      <c r="I5346">
        <v>6.5004218694719298E-2</v>
      </c>
      <c r="J5346">
        <v>3.6401640175284702E-2</v>
      </c>
      <c r="K5346">
        <v>4.2453083972160202E-2</v>
      </c>
      <c r="L5346">
        <v>675.45316310189401</v>
      </c>
      <c r="M5346">
        <v>13.0765954065218</v>
      </c>
      <c r="N5346">
        <v>51.653595045118799</v>
      </c>
      <c r="O5346">
        <v>50.490383006799298</v>
      </c>
      <c r="P5346">
        <v>-6.4759117736720995E-2</v>
      </c>
      <c r="Q5346">
        <v>0</v>
      </c>
      <c r="R5346">
        <v>0.973999871562509</v>
      </c>
      <c r="S5346" t="s">
        <v>11748</v>
      </c>
      <c r="T5346" t="s">
        <v>12802</v>
      </c>
      <c r="U5346" t="s">
        <v>12802</v>
      </c>
      <c r="V5346" t="s">
        <v>12802</v>
      </c>
      <c r="W5346" t="s">
        <v>18084</v>
      </c>
      <c r="X5346">
        <v>11</v>
      </c>
      <c r="Y5346" t="s">
        <v>24297</v>
      </c>
      <c r="Z5346" t="s">
        <v>30664</v>
      </c>
      <c r="AA5346">
        <v>0.51115323495861797</v>
      </c>
      <c r="AB5346" t="str">
        <f>HYPERLINK("Melting_Curves/meltCurve_Q9BZ23_3_PANK2.pdf", "Melting_Curves/meltCurve_Q9BZ23_3_PANK2.pdf")</f>
        <v>Melting_Curves/meltCurve_Q9BZ23_3_PANK2.pdf</v>
      </c>
    </row>
    <row r="5347" spans="1:28" x14ac:dyDescent="0.25">
      <c r="A5347" t="s">
        <v>5351</v>
      </c>
      <c r="B5347">
        <v>0.99542014353169495</v>
      </c>
      <c r="C5347">
        <v>0.89855160762364805</v>
      </c>
      <c r="D5347">
        <v>1.1187288418608701</v>
      </c>
      <c r="E5347">
        <v>0.75664437101189697</v>
      </c>
      <c r="F5347">
        <v>0.48439920841238598</v>
      </c>
      <c r="G5347">
        <v>0.31534248412869598</v>
      </c>
      <c r="H5347">
        <v>0.25931415841209898</v>
      </c>
      <c r="I5347">
        <v>6.8068219391918303E-2</v>
      </c>
      <c r="J5347">
        <v>0.112519380321594</v>
      </c>
      <c r="K5347">
        <v>0.18651107726803401</v>
      </c>
      <c r="L5347">
        <v>977.66116633175204</v>
      </c>
      <c r="M5347">
        <v>19.771232940521699</v>
      </c>
      <c r="N5347">
        <v>50.266179768642203</v>
      </c>
      <c r="O5347">
        <v>48.951137478337301</v>
      </c>
      <c r="P5347">
        <v>-8.7094488904847903E-2</v>
      </c>
      <c r="Q5347">
        <v>0.13748848045034501</v>
      </c>
      <c r="R5347">
        <v>0.96059206756278404</v>
      </c>
      <c r="S5347" t="s">
        <v>11749</v>
      </c>
      <c r="T5347" t="s">
        <v>12802</v>
      </c>
      <c r="U5347" t="s">
        <v>12802</v>
      </c>
      <c r="V5347" t="s">
        <v>12802</v>
      </c>
      <c r="W5347" t="s">
        <v>18085</v>
      </c>
      <c r="X5347">
        <v>3</v>
      </c>
      <c r="Y5347" t="s">
        <v>24298</v>
      </c>
      <c r="Z5347" t="s">
        <v>30665</v>
      </c>
      <c r="AA5347">
        <v>0.50699568593185351</v>
      </c>
      <c r="AB5347" t="str">
        <f>HYPERLINK("Melting_Curves/meltCurve_Q9BZ67_2_FRMD8.pdf", "Melting_Curves/meltCurve_Q9BZ67_2_FRMD8.pdf")</f>
        <v>Melting_Curves/meltCurve_Q9BZ67_2_FRMD8.pdf</v>
      </c>
    </row>
    <row r="5348" spans="1:28" x14ac:dyDescent="0.25">
      <c r="A5348" t="s">
        <v>5352</v>
      </c>
      <c r="B5348">
        <v>0.99542014353169495</v>
      </c>
      <c r="C5348">
        <v>0.94346846251527705</v>
      </c>
      <c r="D5348">
        <v>0.86655490999871498</v>
      </c>
      <c r="E5348">
        <v>0.50246844668597701</v>
      </c>
      <c r="F5348">
        <v>0.31061675699435298</v>
      </c>
      <c r="G5348">
        <v>0.15184010622276201</v>
      </c>
      <c r="H5348">
        <v>0.108091420940335</v>
      </c>
      <c r="I5348">
        <v>8.9060619163253807E-2</v>
      </c>
      <c r="J5348">
        <v>9.6120979221046607E-2</v>
      </c>
      <c r="K5348">
        <v>0.12808177340177099</v>
      </c>
      <c r="L5348">
        <v>877.64920384965797</v>
      </c>
      <c r="M5348">
        <v>18.8926121072545</v>
      </c>
      <c r="N5348">
        <v>46.992107848449599</v>
      </c>
      <c r="O5348">
        <v>45.9435426765343</v>
      </c>
      <c r="P5348">
        <v>-9.2818028367332397E-2</v>
      </c>
      <c r="Q5348">
        <v>9.7167673953309899E-2</v>
      </c>
      <c r="R5348">
        <v>0.99617185118414597</v>
      </c>
      <c r="S5348" t="s">
        <v>11750</v>
      </c>
      <c r="T5348" t="s">
        <v>12802</v>
      </c>
      <c r="U5348" t="s">
        <v>12802</v>
      </c>
      <c r="V5348" t="s">
        <v>12802</v>
      </c>
      <c r="W5348" t="s">
        <v>18086</v>
      </c>
      <c r="X5348">
        <v>8</v>
      </c>
      <c r="Y5348" t="s">
        <v>24299</v>
      </c>
      <c r="Z5348" t="s">
        <v>30666</v>
      </c>
      <c r="AA5348">
        <v>0.39491783528594637</v>
      </c>
      <c r="AB5348" t="str">
        <f>HYPERLINK("Melting_Curves/meltCurve_Q9BZ95_4_WHSC1L1.pdf", "Melting_Curves/meltCurve_Q9BZ95_4_WHSC1L1.pdf")</f>
        <v>Melting_Curves/meltCurve_Q9BZ95_4_WHSC1L1.pdf</v>
      </c>
    </row>
    <row r="5349" spans="1:28" x14ac:dyDescent="0.25">
      <c r="A5349" t="s">
        <v>5353</v>
      </c>
      <c r="B5349">
        <v>0.99542014353169495</v>
      </c>
      <c r="C5349">
        <v>0.93042847504971804</v>
      </c>
      <c r="D5349">
        <v>0.92385699672925203</v>
      </c>
      <c r="E5349">
        <v>0.55139175195969603</v>
      </c>
      <c r="F5349">
        <v>0.48715670369065101</v>
      </c>
      <c r="G5349">
        <v>0.19565183793476101</v>
      </c>
      <c r="H5349">
        <v>0.127804301732442</v>
      </c>
      <c r="I5349">
        <v>7.7760290269560897E-2</v>
      </c>
      <c r="J5349">
        <v>8.6278911900410898E-2</v>
      </c>
      <c r="K5349">
        <v>0.260554002937257</v>
      </c>
      <c r="L5349">
        <v>780.13093648416896</v>
      </c>
      <c r="M5349">
        <v>16.398633015441199</v>
      </c>
      <c r="N5349">
        <v>48.374792699493199</v>
      </c>
      <c r="O5349">
        <v>46.882354220143</v>
      </c>
      <c r="P5349">
        <v>-7.7044574684223294E-2</v>
      </c>
      <c r="Q5349">
        <v>0.119006111313793</v>
      </c>
      <c r="R5349">
        <v>0.95996365658641702</v>
      </c>
      <c r="S5349" t="s">
        <v>11751</v>
      </c>
      <c r="T5349" t="s">
        <v>12802</v>
      </c>
      <c r="U5349" t="s">
        <v>12802</v>
      </c>
      <c r="V5349" t="s">
        <v>12802</v>
      </c>
      <c r="W5349" t="s">
        <v>18087</v>
      </c>
      <c r="X5349">
        <v>4</v>
      </c>
      <c r="Y5349" t="s">
        <v>24300</v>
      </c>
      <c r="Z5349" t="s">
        <v>30667</v>
      </c>
      <c r="AA5349">
        <v>0.44622869282188887</v>
      </c>
      <c r="AB5349" t="str">
        <f>HYPERLINK("Melting_Curves/meltCurve_Q9BZD3_GCOM2.pdf", "Melting_Curves/meltCurve_Q9BZD3_GCOM2.pdf")</f>
        <v>Melting_Curves/meltCurve_Q9BZD3_GCOM2.pdf</v>
      </c>
    </row>
    <row r="5350" spans="1:28" x14ac:dyDescent="0.25">
      <c r="A5350" t="s">
        <v>5354</v>
      </c>
      <c r="B5350">
        <v>0.99542014353169495</v>
      </c>
      <c r="C5350">
        <v>0.98347075150114305</v>
      </c>
      <c r="D5350">
        <v>0.92135438690282501</v>
      </c>
      <c r="E5350">
        <v>0.29707948581186799</v>
      </c>
      <c r="F5350">
        <v>0.126003425081614</v>
      </c>
      <c r="G5350">
        <v>7.7549470675035106E-2</v>
      </c>
      <c r="H5350">
        <v>5.1964123602646697E-2</v>
      </c>
      <c r="I5350">
        <v>3.4776734132700701E-2</v>
      </c>
      <c r="J5350">
        <v>3.3858973636957397E-2</v>
      </c>
      <c r="K5350">
        <v>4.0932469646238298E-2</v>
      </c>
      <c r="L5350">
        <v>1807.214280356</v>
      </c>
      <c r="M5350">
        <v>39.790389723203504</v>
      </c>
      <c r="N5350">
        <v>45.553509245517098</v>
      </c>
      <c r="O5350">
        <v>45.304099870142402</v>
      </c>
      <c r="P5350">
        <v>-0.20734964436377501</v>
      </c>
      <c r="Q5350">
        <v>5.5674652014909599E-2</v>
      </c>
      <c r="R5350">
        <v>0.99731306238348005</v>
      </c>
      <c r="S5350" t="s">
        <v>11752</v>
      </c>
      <c r="T5350" t="s">
        <v>12802</v>
      </c>
      <c r="U5350" t="s">
        <v>12802</v>
      </c>
      <c r="V5350" t="s">
        <v>12802</v>
      </c>
      <c r="W5350" t="s">
        <v>18088</v>
      </c>
      <c r="X5350">
        <v>12</v>
      </c>
      <c r="Y5350" t="s">
        <v>24301</v>
      </c>
      <c r="Z5350" t="s">
        <v>30668</v>
      </c>
      <c r="AA5350">
        <v>0.32366327963580432</v>
      </c>
      <c r="AB5350" t="str">
        <f>HYPERLINK("Melting_Curves/meltCurve_Q9BZD4_NUF2.pdf", "Melting_Curves/meltCurve_Q9BZD4_NUF2.pdf")</f>
        <v>Melting_Curves/meltCurve_Q9BZD4_NUF2.pdf</v>
      </c>
    </row>
    <row r="5351" spans="1:28" x14ac:dyDescent="0.25">
      <c r="A5351" t="s">
        <v>5355</v>
      </c>
      <c r="B5351">
        <v>0.99542014353169495</v>
      </c>
      <c r="C5351">
        <v>1.0438112649979601</v>
      </c>
      <c r="D5351">
        <v>1.03353956118551</v>
      </c>
      <c r="E5351">
        <v>0.68482095942022903</v>
      </c>
      <c r="F5351">
        <v>0.48365806021952701</v>
      </c>
      <c r="G5351">
        <v>0.16396602870584201</v>
      </c>
      <c r="H5351">
        <v>8.28447201300678E-2</v>
      </c>
      <c r="I5351">
        <v>5.7178065761117003E-2</v>
      </c>
      <c r="J5351">
        <v>5.21075595277882E-2</v>
      </c>
      <c r="K5351">
        <v>2.8886029836366501E-2</v>
      </c>
      <c r="L5351">
        <v>961.43549147506599</v>
      </c>
      <c r="M5351">
        <v>19.505286722544</v>
      </c>
      <c r="N5351">
        <v>49.449896629751102</v>
      </c>
      <c r="O5351">
        <v>48.781704715854303</v>
      </c>
      <c r="P5351">
        <v>-9.69296785426009E-2</v>
      </c>
      <c r="Q5351">
        <v>3.0370829269155901E-2</v>
      </c>
      <c r="R5351">
        <v>0.98855544058601796</v>
      </c>
      <c r="S5351" t="s">
        <v>11753</v>
      </c>
      <c r="T5351" t="s">
        <v>12802</v>
      </c>
      <c r="U5351" t="s">
        <v>12802</v>
      </c>
      <c r="V5351" t="s">
        <v>12802</v>
      </c>
      <c r="W5351" t="s">
        <v>18089</v>
      </c>
      <c r="X5351">
        <v>6</v>
      </c>
      <c r="Y5351" t="s">
        <v>24302</v>
      </c>
      <c r="Z5351" t="s">
        <v>30669</v>
      </c>
      <c r="AA5351">
        <v>0.44099404327523362</v>
      </c>
      <c r="AB5351" t="str">
        <f>HYPERLINK("Melting_Curves/meltCurve_Q9BZE1_MRPL37.pdf", "Melting_Curves/meltCurve_Q9BZE1_MRPL37.pdf")</f>
        <v>Melting_Curves/meltCurve_Q9BZE1_MRPL37.pdf</v>
      </c>
    </row>
    <row r="5352" spans="1:28" x14ac:dyDescent="0.25">
      <c r="A5352" t="s">
        <v>5356</v>
      </c>
      <c r="B5352">
        <v>0.99542014353169495</v>
      </c>
      <c r="C5352">
        <v>0.94804363337835396</v>
      </c>
      <c r="D5352">
        <v>1.0282572040159399</v>
      </c>
      <c r="E5352">
        <v>0.80111259455953099</v>
      </c>
      <c r="F5352">
        <v>0.58788968207014103</v>
      </c>
      <c r="G5352">
        <v>0.15309072492635301</v>
      </c>
      <c r="H5352">
        <v>9.3106797944131695E-2</v>
      </c>
      <c r="I5352">
        <v>6.0214114413763301E-2</v>
      </c>
      <c r="J5352">
        <v>7.4107106856276805E-2</v>
      </c>
      <c r="K5352">
        <v>6.9452757848319904E-2</v>
      </c>
      <c r="L5352">
        <v>1203.63249444453</v>
      </c>
      <c r="M5352">
        <v>23.977499120353102</v>
      </c>
      <c r="N5352">
        <v>50.427259004797698</v>
      </c>
      <c r="O5352">
        <v>49.853178000660101</v>
      </c>
      <c r="P5352">
        <v>-0.114043995058156</v>
      </c>
      <c r="Q5352">
        <v>5.1550268435979298E-2</v>
      </c>
      <c r="R5352">
        <v>0.98967869262754005</v>
      </c>
      <c r="S5352" t="s">
        <v>11754</v>
      </c>
      <c r="T5352" t="s">
        <v>12802</v>
      </c>
      <c r="U5352" t="s">
        <v>12802</v>
      </c>
      <c r="V5352" t="s">
        <v>12802</v>
      </c>
      <c r="W5352" t="s">
        <v>18090</v>
      </c>
      <c r="X5352">
        <v>14</v>
      </c>
      <c r="Y5352" t="s">
        <v>24303</v>
      </c>
      <c r="Z5352" t="s">
        <v>30670</v>
      </c>
      <c r="AA5352">
        <v>0.47781021290496012</v>
      </c>
      <c r="AB5352" t="str">
        <f>HYPERLINK("Melting_Curves/meltCurve_Q9BZE2_PUS3.pdf", "Melting_Curves/meltCurve_Q9BZE2_PUS3.pdf")</f>
        <v>Melting_Curves/meltCurve_Q9BZE2_PUS3.pdf</v>
      </c>
    </row>
    <row r="5353" spans="1:28" x14ac:dyDescent="0.25">
      <c r="A5353" t="s">
        <v>5357</v>
      </c>
      <c r="B5353">
        <v>0.99542014353169495</v>
      </c>
      <c r="C5353">
        <v>0.98929174289772703</v>
      </c>
      <c r="D5353">
        <v>0.96422510601887101</v>
      </c>
      <c r="E5353">
        <v>0.80422114138712097</v>
      </c>
      <c r="F5353">
        <v>0.54523368403596895</v>
      </c>
      <c r="G5353">
        <v>0.16520063057302301</v>
      </c>
      <c r="H5353">
        <v>8.1429678592684407E-2</v>
      </c>
      <c r="I5353">
        <v>5.3057897473528202E-2</v>
      </c>
      <c r="J5353">
        <v>4.3972159206413897E-2</v>
      </c>
      <c r="K5353">
        <v>4.7398600697714101E-2</v>
      </c>
      <c r="L5353">
        <v>1084.5009590263701</v>
      </c>
      <c r="M5353">
        <v>21.664652852730299</v>
      </c>
      <c r="N5353">
        <v>50.202798282344197</v>
      </c>
      <c r="O5353">
        <v>49.637891881219502</v>
      </c>
      <c r="P5353">
        <v>-0.10582326484808099</v>
      </c>
      <c r="Q5353">
        <v>3.01770966895516E-2</v>
      </c>
      <c r="R5353">
        <v>0.99689122890483295</v>
      </c>
      <c r="S5353" t="s">
        <v>11755</v>
      </c>
      <c r="T5353" t="s">
        <v>12802</v>
      </c>
      <c r="U5353" t="s">
        <v>12802</v>
      </c>
      <c r="V5353" t="s">
        <v>12802</v>
      </c>
      <c r="W5353" t="s">
        <v>18091</v>
      </c>
      <c r="X5353">
        <v>9</v>
      </c>
      <c r="Y5353" t="s">
        <v>24304</v>
      </c>
      <c r="Z5353" t="s">
        <v>30671</v>
      </c>
      <c r="AA5353">
        <v>0.46340255677725423</v>
      </c>
      <c r="AB5353" t="str">
        <f>HYPERLINK("Melting_Curves/meltCurve_Q9BZE9_ASPSCR1.pdf", "Melting_Curves/meltCurve_Q9BZE9_ASPSCR1.pdf")</f>
        <v>Melting_Curves/meltCurve_Q9BZE9_ASPSCR1.pdf</v>
      </c>
    </row>
    <row r="5354" spans="1:28" x14ac:dyDescent="0.25">
      <c r="A5354" t="s">
        <v>5358</v>
      </c>
      <c r="B5354">
        <v>0.99542014353169495</v>
      </c>
      <c r="C5354">
        <v>0.90219633705409996</v>
      </c>
      <c r="D5354">
        <v>0.84213812811855904</v>
      </c>
      <c r="E5354">
        <v>0.40001631830347101</v>
      </c>
      <c r="F5354">
        <v>0.239695114215321</v>
      </c>
      <c r="G5354">
        <v>0.16256995935674701</v>
      </c>
      <c r="H5354">
        <v>8.9383453002198104E-2</v>
      </c>
      <c r="I5354">
        <v>6.6275371032113006E-2</v>
      </c>
      <c r="J5354">
        <v>7.2487136873384803E-2</v>
      </c>
      <c r="K5354">
        <v>7.2212068629605497E-2</v>
      </c>
      <c r="L5354">
        <v>886.74560380913897</v>
      </c>
      <c r="M5354">
        <v>19.416214641645901</v>
      </c>
      <c r="N5354">
        <v>46.0697571505588</v>
      </c>
      <c r="O5354">
        <v>45.194194142566303</v>
      </c>
      <c r="P5354">
        <v>-9.9088432187799502E-2</v>
      </c>
      <c r="Q5354">
        <v>7.7460363514115393E-2</v>
      </c>
      <c r="R5354">
        <v>0.99213713542090598</v>
      </c>
      <c r="S5354" t="s">
        <v>11756</v>
      </c>
      <c r="T5354" t="s">
        <v>12802</v>
      </c>
      <c r="U5354" t="s">
        <v>12802</v>
      </c>
      <c r="V5354" t="s">
        <v>12802</v>
      </c>
      <c r="W5354" t="s">
        <v>18092</v>
      </c>
      <c r="X5354">
        <v>13</v>
      </c>
      <c r="Y5354" t="s">
        <v>24305</v>
      </c>
      <c r="Z5354" t="s">
        <v>30672</v>
      </c>
      <c r="AA5354">
        <v>0.35691037686181448</v>
      </c>
      <c r="AB5354" t="str">
        <f>HYPERLINK("Melting_Curves/meltCurve_Q9BZF1_3_OSBPL8.pdf", "Melting_Curves/meltCurve_Q9BZF1_3_OSBPL8.pdf")</f>
        <v>Melting_Curves/meltCurve_Q9BZF1_3_OSBPL8.pdf</v>
      </c>
    </row>
    <row r="5355" spans="1:28" x14ac:dyDescent="0.25">
      <c r="A5355" t="s">
        <v>5359</v>
      </c>
      <c r="B5355">
        <v>0.99542014353169495</v>
      </c>
      <c r="C5355">
        <v>0.86684576445391803</v>
      </c>
      <c r="D5355">
        <v>1.02132153904178</v>
      </c>
      <c r="E5355">
        <v>0.51186181204078096</v>
      </c>
      <c r="F5355">
        <v>0.16792616722449299</v>
      </c>
      <c r="G5355">
        <v>8.20202263521604E-2</v>
      </c>
      <c r="H5355">
        <v>4.8926990448624898E-2</v>
      </c>
      <c r="I5355">
        <v>2.2124452908358301E-2</v>
      </c>
      <c r="J5355">
        <v>1.7630107346266299E-2</v>
      </c>
      <c r="K5355">
        <v>0</v>
      </c>
      <c r="L5355">
        <v>1455.3899609278301</v>
      </c>
      <c r="M5355">
        <v>31.124888667674401</v>
      </c>
      <c r="N5355">
        <v>46.864657555330503</v>
      </c>
      <c r="O5355">
        <v>46.567937623593302</v>
      </c>
      <c r="P5355">
        <v>-0.16146863972119599</v>
      </c>
      <c r="Q5355">
        <v>3.36713020150263E-2</v>
      </c>
      <c r="R5355">
        <v>0.98355649463966999</v>
      </c>
      <c r="S5355" t="s">
        <v>11757</v>
      </c>
      <c r="T5355" t="s">
        <v>12802</v>
      </c>
      <c r="U5355" t="s">
        <v>12802</v>
      </c>
      <c r="V5355" t="s">
        <v>12802</v>
      </c>
      <c r="W5355" t="s">
        <v>18093</v>
      </c>
      <c r="X5355">
        <v>2</v>
      </c>
      <c r="Y5355" t="s">
        <v>24306</v>
      </c>
      <c r="Z5355" t="s">
        <v>30673</v>
      </c>
      <c r="AA5355">
        <v>0.35322919773675748</v>
      </c>
      <c r="AB5355" t="str">
        <f>HYPERLINK("Melting_Curves/meltCurve_Q9BZF3_4_OSBPL6.pdf", "Melting_Curves/meltCurve_Q9BZF3_4_OSBPL6.pdf")</f>
        <v>Melting_Curves/meltCurve_Q9BZF3_4_OSBPL6.pdf</v>
      </c>
    </row>
    <row r="5356" spans="1:28" x14ac:dyDescent="0.25">
      <c r="A5356" t="s">
        <v>5360</v>
      </c>
      <c r="B5356">
        <v>0.99542014353169495</v>
      </c>
      <c r="C5356">
        <v>0.82148238713482902</v>
      </c>
      <c r="D5356">
        <v>0.98039298327737201</v>
      </c>
      <c r="E5356">
        <v>0.77336728117336495</v>
      </c>
      <c r="F5356">
        <v>0.65844698953408298</v>
      </c>
      <c r="G5356">
        <v>0.352443314012019</v>
      </c>
      <c r="H5356">
        <v>0.169728492147253</v>
      </c>
      <c r="I5356">
        <v>0.114904057315229</v>
      </c>
      <c r="J5356">
        <v>0.111182760097574</v>
      </c>
      <c r="K5356">
        <v>0.12113347938612699</v>
      </c>
      <c r="L5356">
        <v>753.15213845698804</v>
      </c>
      <c r="M5356">
        <v>14.7298743210442</v>
      </c>
      <c r="N5356">
        <v>51.550990739730999</v>
      </c>
      <c r="O5356">
        <v>50.216263945835401</v>
      </c>
      <c r="P5356">
        <v>-6.9192723078525295E-2</v>
      </c>
      <c r="Q5356">
        <v>5.6550489732699799E-2</v>
      </c>
      <c r="R5356">
        <v>0.96933442031815598</v>
      </c>
      <c r="S5356" t="s">
        <v>11758</v>
      </c>
      <c r="T5356" t="s">
        <v>12802</v>
      </c>
      <c r="U5356" t="s">
        <v>12802</v>
      </c>
      <c r="V5356" t="s">
        <v>12802</v>
      </c>
      <c r="W5356" t="s">
        <v>18094</v>
      </c>
      <c r="X5356">
        <v>7</v>
      </c>
      <c r="Y5356" t="s">
        <v>24307</v>
      </c>
      <c r="Z5356" t="s">
        <v>30674</v>
      </c>
      <c r="AA5356">
        <v>0.52027143086830896</v>
      </c>
      <c r="AB5356" t="str">
        <f>HYPERLINK("Melting_Curves/meltCurve_Q9BZH6_WDR11.pdf", "Melting_Curves/meltCurve_Q9BZH6_WDR11.pdf")</f>
        <v>Melting_Curves/meltCurve_Q9BZH6_WDR11.pdf</v>
      </c>
    </row>
    <row r="5357" spans="1:28" x14ac:dyDescent="0.25">
      <c r="A5357" t="s">
        <v>5361</v>
      </c>
      <c r="B5357">
        <v>0.99542014353169495</v>
      </c>
      <c r="C5357">
        <v>0.94429900586784299</v>
      </c>
      <c r="D5357">
        <v>0.94667077380886699</v>
      </c>
      <c r="E5357">
        <v>0.71251771538670505</v>
      </c>
      <c r="F5357">
        <v>0.43373804179653003</v>
      </c>
      <c r="G5357">
        <v>0.27884292073551598</v>
      </c>
      <c r="H5357">
        <v>0.15016493574919099</v>
      </c>
      <c r="I5357">
        <v>0.101288818540722</v>
      </c>
      <c r="J5357">
        <v>0.109505541831142</v>
      </c>
      <c r="K5357">
        <v>0.131853688380136</v>
      </c>
      <c r="L5357">
        <v>833.79996765772603</v>
      </c>
      <c r="M5357">
        <v>17.0899266483455</v>
      </c>
      <c r="N5357">
        <v>49.424163441785304</v>
      </c>
      <c r="O5357">
        <v>48.135642852256503</v>
      </c>
      <c r="P5357">
        <v>-8.0012996303840594E-2</v>
      </c>
      <c r="Q5357">
        <v>9.8593228449521203E-2</v>
      </c>
      <c r="R5357">
        <v>0.996537553256019</v>
      </c>
      <c r="S5357" t="s">
        <v>11759</v>
      </c>
      <c r="T5357" t="s">
        <v>12802</v>
      </c>
      <c r="U5357" t="s">
        <v>12802</v>
      </c>
      <c r="V5357" t="s">
        <v>12802</v>
      </c>
      <c r="W5357" t="s">
        <v>18095</v>
      </c>
      <c r="X5357">
        <v>17</v>
      </c>
      <c r="Y5357" t="s">
        <v>24308</v>
      </c>
      <c r="Z5357" t="s">
        <v>30675</v>
      </c>
      <c r="AA5357">
        <v>0.46852102047376171</v>
      </c>
      <c r="AB5357" t="str">
        <f>HYPERLINK("Melting_Curves/meltCurve_Q9BZI7_2_UPF3B.pdf", "Melting_Curves/meltCurve_Q9BZI7_2_UPF3B.pdf")</f>
        <v>Melting_Curves/meltCurve_Q9BZI7_2_UPF3B.pdf</v>
      </c>
    </row>
    <row r="5358" spans="1:28" x14ac:dyDescent="0.25">
      <c r="A5358" t="s">
        <v>5362</v>
      </c>
      <c r="B5358">
        <v>0.99542014353169495</v>
      </c>
      <c r="C5358">
        <v>0.98974686230351605</v>
      </c>
      <c r="D5358">
        <v>1.00794097718265</v>
      </c>
      <c r="E5358">
        <v>0.84912757956137996</v>
      </c>
      <c r="F5358">
        <v>0.65362100166774295</v>
      </c>
      <c r="G5358">
        <v>0.415761582554664</v>
      </c>
      <c r="H5358">
        <v>0.28554606530383497</v>
      </c>
      <c r="I5358">
        <v>0.202433769478707</v>
      </c>
      <c r="J5358">
        <v>0.18391340066360401</v>
      </c>
      <c r="K5358">
        <v>0.13285614308877999</v>
      </c>
      <c r="L5358">
        <v>824.12821037626804</v>
      </c>
      <c r="M5358">
        <v>16.009659242013999</v>
      </c>
      <c r="N5358">
        <v>52.499537595345799</v>
      </c>
      <c r="O5358">
        <v>50.693867569206503</v>
      </c>
      <c r="P5358">
        <v>-6.8382210456376394E-2</v>
      </c>
      <c r="Q5358">
        <v>0.133950949241569</v>
      </c>
      <c r="R5358">
        <v>0.99753679888692803</v>
      </c>
      <c r="S5358" t="s">
        <v>11760</v>
      </c>
      <c r="T5358" t="s">
        <v>12802</v>
      </c>
      <c r="U5358" t="s">
        <v>12802</v>
      </c>
      <c r="V5358" t="s">
        <v>12802</v>
      </c>
      <c r="W5358" t="s">
        <v>18096</v>
      </c>
      <c r="X5358">
        <v>11</v>
      </c>
      <c r="Y5358" t="s">
        <v>24309</v>
      </c>
      <c r="Z5358" t="s">
        <v>30676</v>
      </c>
      <c r="AA5358">
        <v>0.56755770036754638</v>
      </c>
      <c r="AB5358" t="str">
        <f>HYPERLINK("Melting_Curves/meltCurve_Q9BZK7_TBL1XR1.pdf", "Melting_Curves/meltCurve_Q9BZK7_TBL1XR1.pdf")</f>
        <v>Melting_Curves/meltCurve_Q9BZK7_TBL1XR1.pdf</v>
      </c>
    </row>
    <row r="5359" spans="1:28" x14ac:dyDescent="0.25">
      <c r="A5359" t="s">
        <v>5363</v>
      </c>
      <c r="B5359">
        <v>0.99542014353169495</v>
      </c>
      <c r="C5359">
        <v>1.07928982018203</v>
      </c>
      <c r="D5359">
        <v>1.12206602806985</v>
      </c>
      <c r="E5359">
        <v>0.89108082264682198</v>
      </c>
      <c r="F5359">
        <v>0.34503919593892701</v>
      </c>
      <c r="G5359">
        <v>0.15121798203726999</v>
      </c>
      <c r="H5359">
        <v>8.0283603099472703E-2</v>
      </c>
      <c r="I5359">
        <v>5.5412327301511001E-2</v>
      </c>
      <c r="J5359">
        <v>4.6191213259069698E-2</v>
      </c>
      <c r="K5359">
        <v>4.8563925823368201E-2</v>
      </c>
      <c r="L5359">
        <v>1817.9990908203299</v>
      </c>
      <c r="M5359">
        <v>37.005456954901199</v>
      </c>
      <c r="N5359">
        <v>49.316828979026397</v>
      </c>
      <c r="O5359">
        <v>48.985041753575203</v>
      </c>
      <c r="P5359">
        <v>-0.17637819057681001</v>
      </c>
      <c r="Q5359">
        <v>6.6097571957961607E-2</v>
      </c>
      <c r="R5359">
        <v>0.98733584214255898</v>
      </c>
      <c r="S5359" t="s">
        <v>11761</v>
      </c>
      <c r="T5359" t="s">
        <v>12802</v>
      </c>
      <c r="U5359" t="s">
        <v>12802</v>
      </c>
      <c r="V5359" t="s">
        <v>12802</v>
      </c>
      <c r="W5359" t="s">
        <v>18097</v>
      </c>
      <c r="X5359">
        <v>6</v>
      </c>
      <c r="Y5359" t="s">
        <v>24310</v>
      </c>
      <c r="Z5359" t="s">
        <v>30677</v>
      </c>
      <c r="AA5359">
        <v>0.44734689988643961</v>
      </c>
      <c r="AB5359" t="str">
        <f>HYPERLINK("Melting_Curves/meltCurve_Q9BZL1_UBL5.pdf", "Melting_Curves/meltCurve_Q9BZL1_UBL5.pdf")</f>
        <v>Melting_Curves/meltCurve_Q9BZL1_UBL5.pdf</v>
      </c>
    </row>
    <row r="5360" spans="1:28" x14ac:dyDescent="0.25">
      <c r="A5360" t="s">
        <v>5364</v>
      </c>
      <c r="B5360">
        <v>0.99542014353169495</v>
      </c>
      <c r="C5360">
        <v>0.91475691225440803</v>
      </c>
      <c r="D5360">
        <v>0.92727797848908</v>
      </c>
      <c r="E5360">
        <v>1.00850009085791</v>
      </c>
      <c r="F5360">
        <v>0.75503756260278598</v>
      </c>
      <c r="G5360">
        <v>0.55431988584809599</v>
      </c>
      <c r="H5360">
        <v>0.39655693257583302</v>
      </c>
      <c r="I5360">
        <v>0.30689801918783399</v>
      </c>
      <c r="J5360">
        <v>0.50208890788997596</v>
      </c>
      <c r="K5360">
        <v>0.50016955837965504</v>
      </c>
      <c r="L5360">
        <v>1618.8359544926</v>
      </c>
      <c r="M5360">
        <v>31.812600117101699</v>
      </c>
      <c r="N5360">
        <v>54.207366396888098</v>
      </c>
      <c r="O5360">
        <v>50.686805356136901</v>
      </c>
      <c r="P5360">
        <v>-8.9629158396047695E-2</v>
      </c>
      <c r="Q5360">
        <v>0.42878061788802702</v>
      </c>
      <c r="R5360">
        <v>0.93029114436831895</v>
      </c>
      <c r="S5360" t="s">
        <v>11762</v>
      </c>
      <c r="T5360" t="s">
        <v>12802</v>
      </c>
      <c r="U5360" t="s">
        <v>12802</v>
      </c>
      <c r="V5360" t="s">
        <v>12802</v>
      </c>
      <c r="W5360" t="s">
        <v>18098</v>
      </c>
      <c r="X5360">
        <v>2</v>
      </c>
      <c r="Y5360" t="s">
        <v>24311</v>
      </c>
      <c r="Z5360" t="s">
        <v>30678</v>
      </c>
      <c r="AA5360">
        <v>0.69635767737911713</v>
      </c>
      <c r="AB5360" t="str">
        <f>HYPERLINK("Melting_Curves/meltCurve_Q9BZM1_PLA2G12A.pdf", "Melting_Curves/meltCurve_Q9BZM1_PLA2G12A.pdf")</f>
        <v>Melting_Curves/meltCurve_Q9BZM1_PLA2G12A.pdf</v>
      </c>
    </row>
    <row r="5361" spans="1:28" x14ac:dyDescent="0.25">
      <c r="A5361" t="s">
        <v>5365</v>
      </c>
      <c r="B5361">
        <v>0.99542014353169495</v>
      </c>
      <c r="C5361">
        <v>0.86052919956878104</v>
      </c>
      <c r="D5361">
        <v>1.01786988674164</v>
      </c>
      <c r="E5361">
        <v>0.87279181361633396</v>
      </c>
      <c r="F5361">
        <v>0.78961077953376702</v>
      </c>
      <c r="G5361">
        <v>0.53024142353273296</v>
      </c>
      <c r="H5361">
        <v>0.32806495939325198</v>
      </c>
      <c r="I5361">
        <v>0.16029800457778601</v>
      </c>
      <c r="J5361">
        <v>0.15980866348035999</v>
      </c>
      <c r="K5361">
        <v>0.14918506926623801</v>
      </c>
      <c r="L5361">
        <v>845.5012706553</v>
      </c>
      <c r="M5361">
        <v>15.797352922210001</v>
      </c>
      <c r="N5361">
        <v>54.199066209390701</v>
      </c>
      <c r="O5361">
        <v>52.686065530819199</v>
      </c>
      <c r="P5361">
        <v>-6.8250464669071198E-2</v>
      </c>
      <c r="Q5361">
        <v>8.9581068427275798E-2</v>
      </c>
      <c r="R5361">
        <v>0.97856152244711303</v>
      </c>
      <c r="S5361" t="s">
        <v>11763</v>
      </c>
      <c r="T5361" t="s">
        <v>12802</v>
      </c>
      <c r="U5361" t="s">
        <v>12802</v>
      </c>
      <c r="V5361" t="s">
        <v>12802</v>
      </c>
      <c r="W5361" t="s">
        <v>18099</v>
      </c>
      <c r="X5361">
        <v>1</v>
      </c>
      <c r="Y5361" t="s">
        <v>24312</v>
      </c>
      <c r="Z5361" t="s">
        <v>30679</v>
      </c>
      <c r="AA5361">
        <v>0.60577854224235039</v>
      </c>
      <c r="AB5361" t="str">
        <f>HYPERLINK("Melting_Curves/meltCurve_Q9BZM5_ULBP2.pdf", "Melting_Curves/meltCurve_Q9BZM5_ULBP2.pdf")</f>
        <v>Melting_Curves/meltCurve_Q9BZM5_ULBP2.pdf</v>
      </c>
    </row>
    <row r="5362" spans="1:28" x14ac:dyDescent="0.25">
      <c r="A5362" t="s">
        <v>5366</v>
      </c>
      <c r="B5362">
        <v>0.99542014353169495</v>
      </c>
      <c r="C5362">
        <v>1.03476340431917</v>
      </c>
      <c r="D5362">
        <v>0.87183265795961495</v>
      </c>
      <c r="E5362">
        <v>0.81970233894732403</v>
      </c>
      <c r="F5362">
        <v>0.78690431126995497</v>
      </c>
      <c r="G5362">
        <v>0.53910518338110203</v>
      </c>
      <c r="H5362">
        <v>0.352195072885017</v>
      </c>
      <c r="I5362">
        <v>0.22733876749229101</v>
      </c>
      <c r="J5362">
        <v>0.23879872920843101</v>
      </c>
      <c r="K5362">
        <v>0.17170115699555799</v>
      </c>
      <c r="L5362">
        <v>607.68850574229896</v>
      </c>
      <c r="M5362">
        <v>11.301731086334399</v>
      </c>
      <c r="N5362">
        <v>54.560454501196403</v>
      </c>
      <c r="O5362">
        <v>52.1685666070506</v>
      </c>
      <c r="P5362">
        <v>-5.0082634131041498E-2</v>
      </c>
      <c r="Q5362">
        <v>7.5559194447423705E-2</v>
      </c>
      <c r="R5362">
        <v>0.98108022066974299</v>
      </c>
      <c r="S5362" t="s">
        <v>11764</v>
      </c>
      <c r="T5362" t="s">
        <v>12802</v>
      </c>
      <c r="U5362" t="s">
        <v>12802</v>
      </c>
      <c r="V5362" t="s">
        <v>12802</v>
      </c>
      <c r="W5362" t="s">
        <v>18100</v>
      </c>
      <c r="X5362">
        <v>1</v>
      </c>
      <c r="Y5362" t="s">
        <v>24313</v>
      </c>
      <c r="Z5362" t="s">
        <v>30680</v>
      </c>
      <c r="AA5362">
        <v>0.6097776760901894</v>
      </c>
      <c r="AB5362" t="str">
        <f>HYPERLINK("Melting_Curves/meltCurve_Q9BZM6_ULBP1.pdf", "Melting_Curves/meltCurve_Q9BZM6_ULBP1.pdf")</f>
        <v>Melting_Curves/meltCurve_Q9BZM6_ULBP1.pdf</v>
      </c>
    </row>
    <row r="5363" spans="1:28" x14ac:dyDescent="0.25">
      <c r="A5363" t="s">
        <v>5367</v>
      </c>
      <c r="B5363">
        <v>0.99542014353169495</v>
      </c>
      <c r="C5363">
        <v>1.04295831903589</v>
      </c>
      <c r="D5363">
        <v>0.91652591876591605</v>
      </c>
      <c r="E5363">
        <v>0.73861765272150604</v>
      </c>
      <c r="F5363">
        <v>0.29345458600754298</v>
      </c>
      <c r="G5363">
        <v>0.136822940707818</v>
      </c>
      <c r="H5363">
        <v>0.10217699620128699</v>
      </c>
      <c r="I5363">
        <v>6.9237024792445895E-2</v>
      </c>
      <c r="J5363">
        <v>8.2444280209872794E-2</v>
      </c>
      <c r="K5363">
        <v>7.5189742282354796E-2</v>
      </c>
      <c r="L5363">
        <v>1262.5576567579801</v>
      </c>
      <c r="M5363">
        <v>26.256157105138598</v>
      </c>
      <c r="N5363">
        <v>48.3963119374747</v>
      </c>
      <c r="O5363">
        <v>47.809815805640497</v>
      </c>
      <c r="P5363">
        <v>-0.12666464335554101</v>
      </c>
      <c r="Q5363">
        <v>7.7436021569373001E-2</v>
      </c>
      <c r="R5363">
        <v>0.99691010058908902</v>
      </c>
      <c r="S5363" t="s">
        <v>11765</v>
      </c>
      <c r="T5363" t="s">
        <v>12802</v>
      </c>
      <c r="U5363" t="s">
        <v>12802</v>
      </c>
      <c r="V5363" t="s">
        <v>12802</v>
      </c>
      <c r="W5363" t="s">
        <v>18101</v>
      </c>
      <c r="X5363">
        <v>4</v>
      </c>
      <c r="Y5363" t="s">
        <v>24314</v>
      </c>
      <c r="Z5363" t="s">
        <v>30681</v>
      </c>
      <c r="AA5363">
        <v>0.42550188175274578</v>
      </c>
      <c r="AB5363" t="str">
        <f>HYPERLINK("Melting_Curves/meltCurve_Q9BZQ8_FAM129A.pdf", "Melting_Curves/meltCurve_Q9BZQ8_FAM129A.pdf")</f>
        <v>Melting_Curves/meltCurve_Q9BZQ8_FAM129A.pdf</v>
      </c>
    </row>
    <row r="5364" spans="1:28" x14ac:dyDescent="0.25">
      <c r="A5364" t="s">
        <v>5368</v>
      </c>
      <c r="B5364">
        <v>0.99542014353169495</v>
      </c>
      <c r="C5364">
        <v>0.99667440183690104</v>
      </c>
      <c r="D5364">
        <v>0.93212451941169605</v>
      </c>
      <c r="E5364">
        <v>0.86403294074763903</v>
      </c>
      <c r="F5364">
        <v>0.67670451443148005</v>
      </c>
      <c r="G5364">
        <v>0.48159899842089199</v>
      </c>
      <c r="H5364">
        <v>0.27318123213001499</v>
      </c>
      <c r="I5364">
        <v>0.179972876962148</v>
      </c>
      <c r="J5364">
        <v>0.147835347292126</v>
      </c>
      <c r="K5364">
        <v>0.10064022887902301</v>
      </c>
      <c r="L5364">
        <v>697.26662322971004</v>
      </c>
      <c r="M5364">
        <v>13.214774345965401</v>
      </c>
      <c r="N5364">
        <v>53.181471352668197</v>
      </c>
      <c r="O5364">
        <v>51.599802079369901</v>
      </c>
      <c r="P5364">
        <v>-6.0882261429076101E-2</v>
      </c>
      <c r="Q5364">
        <v>4.9248769800700302E-2</v>
      </c>
      <c r="R5364">
        <v>0.99872112247762102</v>
      </c>
      <c r="S5364" t="s">
        <v>11766</v>
      </c>
      <c r="T5364" t="s">
        <v>12802</v>
      </c>
      <c r="U5364" t="s">
        <v>12802</v>
      </c>
      <c r="V5364" t="s">
        <v>12802</v>
      </c>
      <c r="W5364" t="s">
        <v>18102</v>
      </c>
      <c r="X5364">
        <v>11</v>
      </c>
      <c r="Y5364" t="s">
        <v>24315</v>
      </c>
      <c r="Z5364" t="s">
        <v>30682</v>
      </c>
      <c r="AA5364">
        <v>0.56820171703475819</v>
      </c>
      <c r="AB5364" t="str">
        <f>HYPERLINK("Melting_Curves/meltCurve_Q9BZX2_UCK2.pdf", "Melting_Curves/meltCurve_Q9BZX2_UCK2.pdf")</f>
        <v>Melting_Curves/meltCurve_Q9BZX2_UCK2.pdf</v>
      </c>
    </row>
    <row r="5365" spans="1:28" x14ac:dyDescent="0.25">
      <c r="A5365" t="s">
        <v>5369</v>
      </c>
      <c r="B5365">
        <v>0.99542014353169495</v>
      </c>
      <c r="C5365">
        <v>0.84023591393612496</v>
      </c>
      <c r="D5365">
        <v>0.78526319005349798</v>
      </c>
      <c r="E5365">
        <v>0.82066238379548595</v>
      </c>
      <c r="F5365">
        <v>0.61672477132180303</v>
      </c>
      <c r="G5365">
        <v>0.55902190446977196</v>
      </c>
      <c r="H5365">
        <v>7.2746906025079397E-2</v>
      </c>
      <c r="I5365">
        <v>4.5887054999858401E-2</v>
      </c>
      <c r="J5365">
        <v>4.2961170500944099E-2</v>
      </c>
      <c r="K5365">
        <v>6.10705199504342E-2</v>
      </c>
      <c r="L5365">
        <v>677.92869920560599</v>
      </c>
      <c r="M5365">
        <v>13.085288172836099</v>
      </c>
      <c r="N5365">
        <v>51.808465393289502</v>
      </c>
      <c r="O5365">
        <v>50.643258363728798</v>
      </c>
      <c r="P5365">
        <v>-6.4606522125304405E-2</v>
      </c>
      <c r="Q5365">
        <v>0</v>
      </c>
      <c r="R5365">
        <v>0.92415964964939301</v>
      </c>
      <c r="S5365" t="s">
        <v>11767</v>
      </c>
      <c r="T5365" t="s">
        <v>12802</v>
      </c>
      <c r="U5365" t="s">
        <v>12802</v>
      </c>
      <c r="V5365" t="s">
        <v>12802</v>
      </c>
      <c r="W5365" t="s">
        <v>13626</v>
      </c>
      <c r="X5365">
        <v>25</v>
      </c>
      <c r="Y5365" t="s">
        <v>19947</v>
      </c>
      <c r="Z5365" t="s">
        <v>30683</v>
      </c>
      <c r="AA5365">
        <v>0.51602542322838552</v>
      </c>
      <c r="AB5365" t="str">
        <f>HYPERLINK("Melting_Curves/meltCurve_Q9BZZ5_API5.pdf", "Melting_Curves/meltCurve_Q9BZZ5_API5.pdf")</f>
        <v>Melting_Curves/meltCurve_Q9BZZ5_API5.pdf</v>
      </c>
    </row>
    <row r="5366" spans="1:28" x14ac:dyDescent="0.25">
      <c r="A5366" t="s">
        <v>5370</v>
      </c>
      <c r="B5366">
        <v>0.99542014353169495</v>
      </c>
      <c r="C5366">
        <v>1.00089853747541</v>
      </c>
      <c r="D5366">
        <v>0.91945972868507997</v>
      </c>
      <c r="E5366">
        <v>0.92516140988235596</v>
      </c>
      <c r="F5366">
        <v>0.77984529922767498</v>
      </c>
      <c r="G5366">
        <v>0.60812059589811795</v>
      </c>
      <c r="H5366">
        <v>0.112857934061125</v>
      </c>
      <c r="I5366">
        <v>5.9257492588746297E-2</v>
      </c>
      <c r="J5366">
        <v>4.9215531868822701E-2</v>
      </c>
      <c r="K5366">
        <v>5.8444737449552898E-2</v>
      </c>
      <c r="L5366">
        <v>1235.65934041991</v>
      </c>
      <c r="M5366">
        <v>22.945415164392202</v>
      </c>
      <c r="N5366">
        <v>53.903026662010603</v>
      </c>
      <c r="O5366">
        <v>53.448091090246201</v>
      </c>
      <c r="P5366">
        <v>-0.106177446069447</v>
      </c>
      <c r="Q5366">
        <v>1.07174722478302E-2</v>
      </c>
      <c r="R5366">
        <v>0.98085215058159403</v>
      </c>
      <c r="S5366" t="s">
        <v>11768</v>
      </c>
      <c r="T5366" t="s">
        <v>12802</v>
      </c>
      <c r="U5366" t="s">
        <v>12802</v>
      </c>
      <c r="V5366" t="s">
        <v>12802</v>
      </c>
      <c r="W5366" t="s">
        <v>18103</v>
      </c>
      <c r="X5366">
        <v>25</v>
      </c>
      <c r="Y5366" t="s">
        <v>19947</v>
      </c>
      <c r="Z5366" t="s">
        <v>30684</v>
      </c>
      <c r="AA5366">
        <v>0.57634885106752098</v>
      </c>
      <c r="AB5366" t="str">
        <f>HYPERLINK("Melting_Curves/meltCurve_Q9BZZ5_2_API5.pdf", "Melting_Curves/meltCurve_Q9BZZ5_2_API5.pdf")</f>
        <v>Melting_Curves/meltCurve_Q9BZZ5_2_API5.pdf</v>
      </c>
    </row>
    <row r="5367" spans="1:28" x14ac:dyDescent="0.25">
      <c r="A5367" t="s">
        <v>5371</v>
      </c>
      <c r="B5367">
        <v>0.99542014353169495</v>
      </c>
      <c r="C5367">
        <v>1.01634768739771</v>
      </c>
      <c r="D5367">
        <v>0.89840367980255298</v>
      </c>
      <c r="E5367">
        <v>0.77680070093364095</v>
      </c>
      <c r="F5367">
        <v>0.67891134977276602</v>
      </c>
      <c r="G5367">
        <v>0.40851836925757701</v>
      </c>
      <c r="H5367">
        <v>0.35446539162803298</v>
      </c>
      <c r="I5367">
        <v>0.27702003239606499</v>
      </c>
      <c r="J5367">
        <v>0.28863002841164198</v>
      </c>
      <c r="K5367">
        <v>0.30896454043617</v>
      </c>
      <c r="L5367">
        <v>722.47934350114701</v>
      </c>
      <c r="M5367">
        <v>14.4764170965326</v>
      </c>
      <c r="N5367">
        <v>52.532787527190202</v>
      </c>
      <c r="O5367">
        <v>48.983984442499199</v>
      </c>
      <c r="P5367">
        <v>-5.4866807292768403E-2</v>
      </c>
      <c r="Q5367">
        <v>0.25747295154217797</v>
      </c>
      <c r="R5367">
        <v>0.98641852991772405</v>
      </c>
      <c r="S5367" t="s">
        <v>11769</v>
      </c>
      <c r="T5367" t="s">
        <v>12802</v>
      </c>
      <c r="U5367" t="s">
        <v>12802</v>
      </c>
      <c r="V5367" t="s">
        <v>12802</v>
      </c>
      <c r="W5367" t="s">
        <v>18104</v>
      </c>
      <c r="X5367">
        <v>4</v>
      </c>
      <c r="Y5367" t="s">
        <v>24316</v>
      </c>
      <c r="Z5367" t="s">
        <v>30685</v>
      </c>
      <c r="AA5367">
        <v>0.59332369851590827</v>
      </c>
      <c r="AB5367" t="str">
        <f>HYPERLINK("Melting_Curves/meltCurve_Q9C004_SPRY4.pdf", "Melting_Curves/meltCurve_Q9C004_SPRY4.pdf")</f>
        <v>Melting_Curves/meltCurve_Q9C004_SPRY4.pdf</v>
      </c>
    </row>
    <row r="5368" spans="1:28" x14ac:dyDescent="0.25">
      <c r="A5368" t="s">
        <v>5372</v>
      </c>
      <c r="B5368">
        <v>0.99542014353169495</v>
      </c>
      <c r="C5368">
        <v>0.99009862616172495</v>
      </c>
      <c r="D5368">
        <v>0.85545681836840404</v>
      </c>
      <c r="E5368">
        <v>0.80229319471473903</v>
      </c>
      <c r="F5368">
        <v>0.500201071138905</v>
      </c>
      <c r="G5368">
        <v>0.54095887151574995</v>
      </c>
      <c r="H5368">
        <v>0.72888287314854106</v>
      </c>
      <c r="I5368">
        <v>0.79923159425739598</v>
      </c>
      <c r="J5368">
        <v>1.2570930585684399</v>
      </c>
      <c r="K5368">
        <v>1.4571113353823399</v>
      </c>
      <c r="L5368">
        <v>10075.3479374378</v>
      </c>
      <c r="M5368">
        <v>250</v>
      </c>
      <c r="O5368">
        <v>40.298802474748697</v>
      </c>
      <c r="P5368">
        <v>-0.20525790804052099</v>
      </c>
      <c r="Q5368">
        <v>0.86765360006801096</v>
      </c>
      <c r="R5368">
        <v>3.15193453388646E-2</v>
      </c>
      <c r="S5368" t="s">
        <v>11770</v>
      </c>
      <c r="T5368" t="s">
        <v>12802</v>
      </c>
      <c r="U5368" t="s">
        <v>12802</v>
      </c>
      <c r="V5368" t="s">
        <v>12802</v>
      </c>
      <c r="W5368" t="s">
        <v>18105</v>
      </c>
      <c r="X5368">
        <v>6</v>
      </c>
      <c r="Y5368" t="s">
        <v>24317</v>
      </c>
      <c r="Z5368" t="s">
        <v>30686</v>
      </c>
      <c r="AA5368">
        <v>0.88222720446752623</v>
      </c>
      <c r="AB5368" t="str">
        <f>HYPERLINK("Melting_Curves/meltCurve_Q9C005_DPY30.pdf", "Melting_Curves/meltCurve_Q9C005_DPY30.pdf")</f>
        <v>Melting_Curves/meltCurve_Q9C005_DPY30.pdf</v>
      </c>
    </row>
    <row r="5369" spans="1:28" x14ac:dyDescent="0.25">
      <c r="A5369" t="s">
        <v>5373</v>
      </c>
      <c r="B5369">
        <v>0.99542014353169495</v>
      </c>
      <c r="C5369">
        <v>1.0455813442108399</v>
      </c>
      <c r="D5369">
        <v>0.93473755248051704</v>
      </c>
      <c r="E5369">
        <v>0.70444748983452499</v>
      </c>
      <c r="F5369">
        <v>0.30772306381084102</v>
      </c>
      <c r="G5369">
        <v>0.117220886810398</v>
      </c>
      <c r="H5369">
        <v>8.5771357698131406E-2</v>
      </c>
      <c r="I5369">
        <v>6.8297971123540899E-2</v>
      </c>
      <c r="J5369">
        <v>6.1238906966526403E-2</v>
      </c>
      <c r="K5369">
        <v>5.9050924541850798E-2</v>
      </c>
      <c r="L5369">
        <v>1177.79742640168</v>
      </c>
      <c r="M5369">
        <v>24.5050271006691</v>
      </c>
      <c r="N5369">
        <v>48.319341594313698</v>
      </c>
      <c r="O5369">
        <v>47.746845243134501</v>
      </c>
      <c r="P5369">
        <v>-0.120502359153596</v>
      </c>
      <c r="Q5369">
        <v>6.0841730310016398E-2</v>
      </c>
      <c r="R5369">
        <v>0.99814572848624705</v>
      </c>
      <c r="S5369" t="s">
        <v>11771</v>
      </c>
      <c r="T5369" t="s">
        <v>12802</v>
      </c>
      <c r="U5369" t="s">
        <v>12802</v>
      </c>
      <c r="V5369" t="s">
        <v>12802</v>
      </c>
      <c r="W5369" t="s">
        <v>18106</v>
      </c>
      <c r="X5369">
        <v>9</v>
      </c>
      <c r="Y5369" t="s">
        <v>24318</v>
      </c>
      <c r="Z5369" t="s">
        <v>30687</v>
      </c>
      <c r="AA5369">
        <v>0.41552074687152429</v>
      </c>
      <c r="AB5369" t="str">
        <f>HYPERLINK("Melting_Curves/meltCurve_Q9C037_2_TRIM4.pdf", "Melting_Curves/meltCurve_Q9C037_2_TRIM4.pdf")</f>
        <v>Melting_Curves/meltCurve_Q9C037_2_TRIM4.pdf</v>
      </c>
    </row>
    <row r="5370" spans="1:28" x14ac:dyDescent="0.25">
      <c r="A5370" t="s">
        <v>5374</v>
      </c>
      <c r="B5370">
        <v>0.99542014353169495</v>
      </c>
      <c r="C5370">
        <v>0.92705346457930504</v>
      </c>
      <c r="D5370">
        <v>0.90355342098759395</v>
      </c>
      <c r="E5370">
        <v>0.75552450579052199</v>
      </c>
      <c r="F5370">
        <v>0.56496001153706299</v>
      </c>
      <c r="G5370">
        <v>0.34543641924947099</v>
      </c>
      <c r="H5370">
        <v>0.207568639543495</v>
      </c>
      <c r="I5370">
        <v>9.6719176180833394E-2</v>
      </c>
      <c r="J5370">
        <v>8.7816138691378595E-2</v>
      </c>
      <c r="K5370">
        <v>0.101539946677372</v>
      </c>
      <c r="L5370">
        <v>629.82406782288899</v>
      </c>
      <c r="M5370">
        <v>12.4076674285909</v>
      </c>
      <c r="N5370">
        <v>50.954561291383598</v>
      </c>
      <c r="O5370">
        <v>49.496393388788903</v>
      </c>
      <c r="P5370">
        <v>-6.1239005643236602E-2</v>
      </c>
      <c r="Q5370">
        <v>2.30337319643103E-2</v>
      </c>
      <c r="R5370">
        <v>0.99654593321348195</v>
      </c>
      <c r="S5370" t="s">
        <v>11772</v>
      </c>
      <c r="T5370" t="s">
        <v>12802</v>
      </c>
      <c r="U5370" t="s">
        <v>12802</v>
      </c>
      <c r="V5370" t="s">
        <v>12802</v>
      </c>
      <c r="W5370" t="s">
        <v>18107</v>
      </c>
      <c r="X5370">
        <v>10</v>
      </c>
      <c r="Y5370" t="s">
        <v>24319</v>
      </c>
      <c r="Z5370" t="s">
        <v>30688</v>
      </c>
      <c r="AA5370">
        <v>0.49617819161932081</v>
      </c>
      <c r="AB5370" t="str">
        <f>HYPERLINK("Melting_Curves/meltCurve_Q9C073_FAM117A.pdf", "Melting_Curves/meltCurve_Q9C073_FAM117A.pdf")</f>
        <v>Melting_Curves/meltCurve_Q9C073_FAM117A.pdf</v>
      </c>
    </row>
    <row r="5371" spans="1:28" x14ac:dyDescent="0.25">
      <c r="A5371" t="s">
        <v>5375</v>
      </c>
      <c r="B5371">
        <v>0.99542014353169495</v>
      </c>
      <c r="C5371">
        <v>1.0182322831714401</v>
      </c>
      <c r="D5371">
        <v>0.97288577220676897</v>
      </c>
      <c r="E5371">
        <v>0.929141099486681</v>
      </c>
      <c r="F5371">
        <v>0.80298668864415101</v>
      </c>
      <c r="G5371">
        <v>0.61954091623179497</v>
      </c>
      <c r="H5371">
        <v>0.33322225324980598</v>
      </c>
      <c r="I5371">
        <v>0.196386443251889</v>
      </c>
      <c r="J5371">
        <v>0.13224298792335601</v>
      </c>
      <c r="K5371">
        <v>0.14373549750870099</v>
      </c>
      <c r="L5371">
        <v>912.38602796665998</v>
      </c>
      <c r="M5371">
        <v>16.7669629760797</v>
      </c>
      <c r="N5371">
        <v>54.9833374785659</v>
      </c>
      <c r="O5371">
        <v>53.659333085292701</v>
      </c>
      <c r="P5371">
        <v>-7.1914112613125802E-2</v>
      </c>
      <c r="Q5371">
        <v>7.9472754745292307E-2</v>
      </c>
      <c r="R5371">
        <v>0.99688631003654604</v>
      </c>
      <c r="S5371" t="s">
        <v>11773</v>
      </c>
      <c r="T5371" t="s">
        <v>12802</v>
      </c>
      <c r="U5371" t="s">
        <v>12802</v>
      </c>
      <c r="V5371" t="s">
        <v>12802</v>
      </c>
      <c r="W5371" t="s">
        <v>18108</v>
      </c>
      <c r="X5371">
        <v>13</v>
      </c>
      <c r="Y5371" t="s">
        <v>24320</v>
      </c>
      <c r="Z5371" t="s">
        <v>30689</v>
      </c>
      <c r="AA5371">
        <v>0.62692084277158322</v>
      </c>
      <c r="AB5371" t="str">
        <f>HYPERLINK("Melting_Curves/meltCurve_Q9C0B1_FTO.pdf", "Melting_Curves/meltCurve_Q9C0B1_FTO.pdf")</f>
        <v>Melting_Curves/meltCurve_Q9C0B1_FTO.pdf</v>
      </c>
    </row>
    <row r="5372" spans="1:28" x14ac:dyDescent="0.25">
      <c r="A5372" t="s">
        <v>5376</v>
      </c>
      <c r="B5372">
        <v>0.99542014353169495</v>
      </c>
      <c r="C5372">
        <v>1.02499057644193</v>
      </c>
      <c r="D5372">
        <v>0.99209011509061695</v>
      </c>
      <c r="E5372">
        <v>0.86621789704257102</v>
      </c>
      <c r="F5372">
        <v>0.76409869257055696</v>
      </c>
      <c r="G5372">
        <v>0.56413954425889801</v>
      </c>
      <c r="H5372">
        <v>0.44092426460505502</v>
      </c>
      <c r="I5372">
        <v>0.38203594301041199</v>
      </c>
      <c r="J5372">
        <v>0.51321910866779796</v>
      </c>
      <c r="K5372">
        <v>0.63450830147969906</v>
      </c>
      <c r="L5372">
        <v>1182.2214267429399</v>
      </c>
      <c r="M5372">
        <v>23.733432441497602</v>
      </c>
      <c r="N5372">
        <v>59.5005215097828</v>
      </c>
      <c r="O5372">
        <v>49.462890269057901</v>
      </c>
      <c r="P5372">
        <v>-6.12370323282483E-2</v>
      </c>
      <c r="Q5372">
        <v>0.48951160653930398</v>
      </c>
      <c r="R5372">
        <v>0.91719105454645</v>
      </c>
      <c r="S5372" t="s">
        <v>11774</v>
      </c>
      <c r="T5372" t="s">
        <v>12802</v>
      </c>
      <c r="U5372" t="s">
        <v>12802</v>
      </c>
      <c r="V5372" t="s">
        <v>12802</v>
      </c>
      <c r="W5372" t="s">
        <v>18109</v>
      </c>
      <c r="X5372">
        <v>14</v>
      </c>
      <c r="Y5372" t="s">
        <v>24321</v>
      </c>
      <c r="Z5372" t="s">
        <v>30690</v>
      </c>
      <c r="AA5372">
        <v>0.71245037899563735</v>
      </c>
      <c r="AB5372" t="str">
        <f>HYPERLINK("Melting_Curves/meltCurve_Q9C0B5_2_ZDHHC5.pdf", "Melting_Curves/meltCurve_Q9C0B5_2_ZDHHC5.pdf")</f>
        <v>Melting_Curves/meltCurve_Q9C0B5_2_ZDHHC5.pdf</v>
      </c>
    </row>
    <row r="5373" spans="1:28" x14ac:dyDescent="0.25">
      <c r="A5373" t="s">
        <v>5377</v>
      </c>
      <c r="B5373">
        <v>0.99542014353169495</v>
      </c>
      <c r="C5373">
        <v>0.92166767216758305</v>
      </c>
      <c r="D5373">
        <v>0.94915910020482797</v>
      </c>
      <c r="E5373">
        <v>0.71495483165151696</v>
      </c>
      <c r="F5373">
        <v>0.21962181311430601</v>
      </c>
      <c r="G5373">
        <v>6.9850718883743904E-2</v>
      </c>
      <c r="H5373">
        <v>5.4621232278025698E-2</v>
      </c>
      <c r="I5373">
        <v>3.6263192271606799E-2</v>
      </c>
      <c r="J5373">
        <v>1.1184119433848901E-2</v>
      </c>
      <c r="K5373">
        <v>0</v>
      </c>
      <c r="L5373">
        <v>1378.6760897521799</v>
      </c>
      <c r="M5373">
        <v>28.7562584788344</v>
      </c>
      <c r="N5373">
        <v>48.019629037952498</v>
      </c>
      <c r="O5373">
        <v>47.713454223664399</v>
      </c>
      <c r="P5373">
        <v>-0.14731614575580201</v>
      </c>
      <c r="Q5373">
        <v>2.2277821510696402E-2</v>
      </c>
      <c r="R5373">
        <v>0.99556038751786202</v>
      </c>
      <c r="S5373" t="s">
        <v>11775</v>
      </c>
      <c r="T5373" t="s">
        <v>12802</v>
      </c>
      <c r="U5373" t="s">
        <v>12802</v>
      </c>
      <c r="V5373" t="s">
        <v>12802</v>
      </c>
      <c r="W5373" t="s">
        <v>18110</v>
      </c>
      <c r="X5373">
        <v>2</v>
      </c>
      <c r="Y5373" t="s">
        <v>24322</v>
      </c>
      <c r="Z5373" t="s">
        <v>30691</v>
      </c>
      <c r="AA5373">
        <v>0.38523256344927881</v>
      </c>
      <c r="AB5373" t="str">
        <f>HYPERLINK("Melting_Curves/meltCurve_Q9C0B7_TANGO6.pdf", "Melting_Curves/meltCurve_Q9C0B7_TANGO6.pdf")</f>
        <v>Melting_Curves/meltCurve_Q9C0B7_TANGO6.pdf</v>
      </c>
    </row>
    <row r="5374" spans="1:28" x14ac:dyDescent="0.25">
      <c r="A5374" t="s">
        <v>5378</v>
      </c>
      <c r="B5374">
        <v>0.99542014353169495</v>
      </c>
      <c r="C5374">
        <v>0.90063870909884902</v>
      </c>
      <c r="D5374">
        <v>0.92569303384999102</v>
      </c>
      <c r="E5374">
        <v>0.71926784714688596</v>
      </c>
      <c r="F5374">
        <v>0.63067163004495397</v>
      </c>
      <c r="G5374">
        <v>0.68871529802833698</v>
      </c>
      <c r="H5374">
        <v>0.61134513521497302</v>
      </c>
      <c r="I5374">
        <v>0.71131867046789399</v>
      </c>
      <c r="J5374">
        <v>1.1395966767747501</v>
      </c>
      <c r="K5374">
        <v>1.4260352769835301</v>
      </c>
      <c r="L5374">
        <v>15000</v>
      </c>
      <c r="M5374">
        <v>233.29042352894999</v>
      </c>
      <c r="O5374">
        <v>64.292813780487904</v>
      </c>
      <c r="P5374">
        <v>0.38650587866763397</v>
      </c>
      <c r="Q5374">
        <v>1.4260706453190799</v>
      </c>
      <c r="R5374">
        <v>7.3256310621629003E-2</v>
      </c>
      <c r="S5374" t="s">
        <v>11776</v>
      </c>
      <c r="T5374" t="s">
        <v>12802</v>
      </c>
      <c r="U5374" t="s">
        <v>12802</v>
      </c>
      <c r="V5374" t="s">
        <v>12802</v>
      </c>
      <c r="W5374" t="s">
        <v>18111</v>
      </c>
      <c r="X5374">
        <v>35</v>
      </c>
      <c r="Y5374" t="s">
        <v>24323</v>
      </c>
      <c r="Z5374" t="s">
        <v>30692</v>
      </c>
      <c r="AA5374">
        <v>1.0383264537186909</v>
      </c>
      <c r="AB5374" t="str">
        <f>HYPERLINK("Melting_Curves/meltCurve_Q9C0C2_TNKS1BP1.pdf", "Melting_Curves/meltCurve_Q9C0C2_TNKS1BP1.pdf")</f>
        <v>Melting_Curves/meltCurve_Q9C0C2_TNKS1BP1.pdf</v>
      </c>
    </row>
    <row r="5375" spans="1:28" x14ac:dyDescent="0.25">
      <c r="A5375" t="s">
        <v>5379</v>
      </c>
      <c r="B5375">
        <v>0.99542014353169495</v>
      </c>
      <c r="C5375">
        <v>0.85671647589641697</v>
      </c>
      <c r="D5375">
        <v>0.91220217995601405</v>
      </c>
      <c r="E5375">
        <v>0.75347783124087497</v>
      </c>
      <c r="F5375">
        <v>0.54816756666747501</v>
      </c>
      <c r="G5375">
        <v>0.23720387494263101</v>
      </c>
      <c r="H5375">
        <v>8.5398683495781905E-2</v>
      </c>
      <c r="I5375">
        <v>3.9066771851017597E-2</v>
      </c>
      <c r="J5375">
        <v>5.0210380633384802E-2</v>
      </c>
      <c r="K5375">
        <v>4.31930922136953E-2</v>
      </c>
      <c r="L5375">
        <v>764.61466366953596</v>
      </c>
      <c r="M5375">
        <v>15.2573973863032</v>
      </c>
      <c r="N5375">
        <v>50.1143630333925</v>
      </c>
      <c r="O5375">
        <v>49.277117111407698</v>
      </c>
      <c r="P5375">
        <v>-7.7413413610915097E-2</v>
      </c>
      <c r="Q5375">
        <v>0</v>
      </c>
      <c r="R5375">
        <v>0.98489964143120301</v>
      </c>
      <c r="S5375" t="s">
        <v>11777</v>
      </c>
      <c r="T5375" t="s">
        <v>12802</v>
      </c>
      <c r="U5375" t="s">
        <v>12802</v>
      </c>
      <c r="V5375" t="s">
        <v>12802</v>
      </c>
      <c r="W5375" t="s">
        <v>18112</v>
      </c>
      <c r="X5375">
        <v>9</v>
      </c>
      <c r="Y5375" t="s">
        <v>24324</v>
      </c>
      <c r="Z5375" t="s">
        <v>30693</v>
      </c>
      <c r="AA5375">
        <v>0.4574647512137226</v>
      </c>
      <c r="AB5375" t="str">
        <f>HYPERLINK("Melting_Curves/meltCurve_Q9C0C4_SEMA4C.pdf", "Melting_Curves/meltCurve_Q9C0C4_SEMA4C.pdf")</f>
        <v>Melting_Curves/meltCurve_Q9C0C4_SEMA4C.pdf</v>
      </c>
    </row>
    <row r="5376" spans="1:28" x14ac:dyDescent="0.25">
      <c r="A5376" t="s">
        <v>5380</v>
      </c>
      <c r="B5376">
        <v>0.99542014353169495</v>
      </c>
      <c r="C5376">
        <v>0.74973576321050495</v>
      </c>
      <c r="D5376">
        <v>0.58517363782751397</v>
      </c>
      <c r="E5376">
        <v>0.39614649962709497</v>
      </c>
      <c r="F5376">
        <v>0.21290546347332401</v>
      </c>
      <c r="G5376">
        <v>0.129681599535931</v>
      </c>
      <c r="H5376">
        <v>9.3606495088672095E-2</v>
      </c>
      <c r="I5376">
        <v>7.3937388493466802E-2</v>
      </c>
      <c r="J5376">
        <v>7.2103114235646096E-2</v>
      </c>
      <c r="K5376">
        <v>9.6645605135486701E-2</v>
      </c>
      <c r="L5376">
        <v>569.93596989638195</v>
      </c>
      <c r="M5376">
        <v>12.9781453314797</v>
      </c>
      <c r="N5376">
        <v>44.362219145497299</v>
      </c>
      <c r="O5376">
        <v>42.9116426882239</v>
      </c>
      <c r="P5376">
        <v>-7.0986632788373194E-2</v>
      </c>
      <c r="Q5376">
        <v>6.1311088547868098E-2</v>
      </c>
      <c r="R5376">
        <v>0.98998307910833705</v>
      </c>
      <c r="S5376" t="s">
        <v>11778</v>
      </c>
      <c r="T5376" t="s">
        <v>12802</v>
      </c>
      <c r="U5376" t="s">
        <v>12802</v>
      </c>
      <c r="V5376" t="s">
        <v>12802</v>
      </c>
      <c r="W5376" t="s">
        <v>18113</v>
      </c>
      <c r="X5376">
        <v>1</v>
      </c>
      <c r="Y5376" t="s">
        <v>24325</v>
      </c>
      <c r="Z5376" t="s">
        <v>30694</v>
      </c>
      <c r="AA5376">
        <v>0.30907337264471951</v>
      </c>
      <c r="AB5376" t="str">
        <f>HYPERLINK("Melting_Curves/meltCurve_Q9C0C7_4_AMBRA1.pdf", "Melting_Curves/meltCurve_Q9C0C7_4_AMBRA1.pdf")</f>
        <v>Melting_Curves/meltCurve_Q9C0C7_4_AMBRA1.pdf</v>
      </c>
    </row>
    <row r="5377" spans="1:28" x14ac:dyDescent="0.25">
      <c r="A5377" t="s">
        <v>5381</v>
      </c>
      <c r="B5377">
        <v>0.99542014353169495</v>
      </c>
      <c r="C5377">
        <v>0.95598764099087297</v>
      </c>
      <c r="D5377">
        <v>0.97930398229399596</v>
      </c>
      <c r="E5377">
        <v>0.75030062392943997</v>
      </c>
      <c r="F5377">
        <v>0.342677305893966</v>
      </c>
      <c r="G5377">
        <v>0.13625627463850101</v>
      </c>
      <c r="H5377">
        <v>8.9598386734830907E-2</v>
      </c>
      <c r="I5377">
        <v>6.2801853350125794E-2</v>
      </c>
      <c r="J5377">
        <v>6.22832245722977E-2</v>
      </c>
      <c r="K5377">
        <v>5.29192224270097E-2</v>
      </c>
      <c r="L5377">
        <v>1208.9922252485701</v>
      </c>
      <c r="M5377">
        <v>24.917391096057798</v>
      </c>
      <c r="N5377">
        <v>48.769246376431902</v>
      </c>
      <c r="O5377">
        <v>48.210753049496297</v>
      </c>
      <c r="P5377">
        <v>-0.121488485534421</v>
      </c>
      <c r="Q5377">
        <v>5.9777946058809699E-2</v>
      </c>
      <c r="R5377">
        <v>0.99874165599097597</v>
      </c>
      <c r="S5377" t="s">
        <v>11779</v>
      </c>
      <c r="T5377" t="s">
        <v>12802</v>
      </c>
      <c r="U5377" t="s">
        <v>12802</v>
      </c>
      <c r="V5377" t="s">
        <v>12802</v>
      </c>
      <c r="W5377" t="s">
        <v>18114</v>
      </c>
      <c r="X5377">
        <v>29</v>
      </c>
      <c r="Y5377" t="s">
        <v>20400</v>
      </c>
      <c r="Z5377" t="s">
        <v>30695</v>
      </c>
      <c r="AA5377">
        <v>0.42894817455096368</v>
      </c>
      <c r="AB5377" t="str">
        <f>HYPERLINK("Melting_Curves/meltCurve_Q9C0C9_UBE2O.pdf", "Melting_Curves/meltCurve_Q9C0C9_UBE2O.pdf")</f>
        <v>Melting_Curves/meltCurve_Q9C0C9_UBE2O.pdf</v>
      </c>
    </row>
    <row r="5378" spans="1:28" x14ac:dyDescent="0.25">
      <c r="A5378" t="s">
        <v>5382</v>
      </c>
      <c r="B5378">
        <v>0.99542014353169495</v>
      </c>
      <c r="C5378">
        <v>1.01146401970976</v>
      </c>
      <c r="D5378">
        <v>0.97576397413993199</v>
      </c>
      <c r="E5378">
        <v>0.82022902831413402</v>
      </c>
      <c r="F5378">
        <v>0.63128226979475199</v>
      </c>
      <c r="G5378">
        <v>0.26545349119626699</v>
      </c>
      <c r="H5378">
        <v>0.14529768988612299</v>
      </c>
      <c r="I5378">
        <v>8.06364552005224E-2</v>
      </c>
      <c r="J5378">
        <v>7.8478544923097401E-2</v>
      </c>
      <c r="K5378">
        <v>7.6366628846471094E-2</v>
      </c>
      <c r="L5378">
        <v>997.63075956877196</v>
      </c>
      <c r="M5378">
        <v>19.624746850345002</v>
      </c>
      <c r="N5378">
        <v>51.143838675012901</v>
      </c>
      <c r="O5378">
        <v>50.316324897906497</v>
      </c>
      <c r="P5378">
        <v>-9.2067457403067404E-2</v>
      </c>
      <c r="Q5378">
        <v>5.58179167723407E-2</v>
      </c>
      <c r="R5378">
        <v>0.99655983582825902</v>
      </c>
      <c r="S5378" t="s">
        <v>11780</v>
      </c>
      <c r="T5378" t="s">
        <v>12802</v>
      </c>
      <c r="U5378" t="s">
        <v>12802</v>
      </c>
      <c r="V5378" t="s">
        <v>12802</v>
      </c>
      <c r="W5378" t="s">
        <v>18115</v>
      </c>
      <c r="X5378">
        <v>6</v>
      </c>
      <c r="Y5378" t="s">
        <v>24326</v>
      </c>
      <c r="Z5378" t="s">
        <v>30696</v>
      </c>
      <c r="AA5378">
        <v>0.50403161690704823</v>
      </c>
      <c r="AB5378" t="str">
        <f>HYPERLINK("Melting_Curves/meltCurve_Q9C0D3_ZYG11B.pdf", "Melting_Curves/meltCurve_Q9C0D3_ZYG11B.pdf")</f>
        <v>Melting_Curves/meltCurve_Q9C0D3_ZYG11B.pdf</v>
      </c>
    </row>
    <row r="5379" spans="1:28" x14ac:dyDescent="0.25">
      <c r="A5379" t="s">
        <v>5383</v>
      </c>
      <c r="B5379">
        <v>0.99542014353169495</v>
      </c>
      <c r="C5379">
        <v>0.88454417562758103</v>
      </c>
      <c r="D5379">
        <v>0.86741159063942797</v>
      </c>
      <c r="E5379">
        <v>0.574052080697523</v>
      </c>
      <c r="F5379">
        <v>0.27357478674178698</v>
      </c>
      <c r="G5379">
        <v>0.117550518495272</v>
      </c>
      <c r="H5379">
        <v>8.1409622776343504E-2</v>
      </c>
      <c r="I5379">
        <v>6.0515956561610199E-2</v>
      </c>
      <c r="J5379">
        <v>6.5294256854398006E-2</v>
      </c>
      <c r="K5379">
        <v>6.9877945611193204E-2</v>
      </c>
      <c r="L5379">
        <v>845.85870335563004</v>
      </c>
      <c r="M5379">
        <v>17.998550951430101</v>
      </c>
      <c r="N5379">
        <v>47.270341898528997</v>
      </c>
      <c r="O5379">
        <v>46.427321703266102</v>
      </c>
      <c r="P5379">
        <v>-9.2114844390011205E-2</v>
      </c>
      <c r="Q5379">
        <v>4.9604979624600198E-2</v>
      </c>
      <c r="R5379">
        <v>0.994603946617303</v>
      </c>
      <c r="S5379" t="s">
        <v>11781</v>
      </c>
      <c r="T5379" t="s">
        <v>12802</v>
      </c>
      <c r="U5379" t="s">
        <v>12802</v>
      </c>
      <c r="V5379" t="s">
        <v>12802</v>
      </c>
      <c r="W5379" t="s">
        <v>18116</v>
      </c>
      <c r="X5379">
        <v>7</v>
      </c>
      <c r="Y5379" t="s">
        <v>24327</v>
      </c>
      <c r="Z5379" t="s">
        <v>30697</v>
      </c>
      <c r="AA5379">
        <v>0.38153401982284257</v>
      </c>
      <c r="AB5379" t="str">
        <f>HYPERLINK("Melting_Curves/meltCurve_Q9C0F1_CEP44.pdf", "Melting_Curves/meltCurve_Q9C0F1_CEP44.pdf")</f>
        <v>Melting_Curves/meltCurve_Q9C0F1_CEP44.pdf</v>
      </c>
    </row>
    <row r="5380" spans="1:28" x14ac:dyDescent="0.25">
      <c r="A5380" t="s">
        <v>5384</v>
      </c>
      <c r="B5380">
        <v>0.99542014353169495</v>
      </c>
      <c r="C5380">
        <v>0.94947787833256903</v>
      </c>
      <c r="D5380">
        <v>0.92070298892413804</v>
      </c>
      <c r="E5380">
        <v>0.80662225426921896</v>
      </c>
      <c r="F5380">
        <v>0.68501238904456596</v>
      </c>
      <c r="G5380">
        <v>0.55630177671841197</v>
      </c>
      <c r="H5380">
        <v>0.370894440796392</v>
      </c>
      <c r="I5380">
        <v>0.20148916233522801</v>
      </c>
      <c r="J5380">
        <v>0.10238468978625399</v>
      </c>
      <c r="K5380">
        <v>0.111776013812952</v>
      </c>
      <c r="L5380">
        <v>574.71634067204297</v>
      </c>
      <c r="M5380">
        <v>10.6552430896863</v>
      </c>
      <c r="N5380">
        <v>53.937421753758997</v>
      </c>
      <c r="O5380">
        <v>52.141682893356602</v>
      </c>
      <c r="P5380">
        <v>-5.1107436775074497E-2</v>
      </c>
      <c r="Q5380">
        <v>0</v>
      </c>
      <c r="R5380">
        <v>0.99202934039764401</v>
      </c>
      <c r="S5380" t="s">
        <v>11782</v>
      </c>
      <c r="T5380" t="s">
        <v>12802</v>
      </c>
      <c r="U5380" t="s">
        <v>12802</v>
      </c>
      <c r="V5380" t="s">
        <v>12802</v>
      </c>
      <c r="W5380" t="s">
        <v>18117</v>
      </c>
      <c r="X5380">
        <v>12</v>
      </c>
      <c r="Y5380" t="s">
        <v>24328</v>
      </c>
      <c r="Z5380" t="s">
        <v>30698</v>
      </c>
      <c r="AA5380">
        <v>0.58276960074342632</v>
      </c>
      <c r="AB5380" t="str">
        <f>HYPERLINK("Melting_Curves/meltCurve_Q9C0I1_MTMR12.pdf", "Melting_Curves/meltCurve_Q9C0I1_MTMR12.pdf")</f>
        <v>Melting_Curves/meltCurve_Q9C0I1_MTMR12.pdf</v>
      </c>
    </row>
    <row r="5381" spans="1:28" x14ac:dyDescent="0.25">
      <c r="A5381" t="s">
        <v>5385</v>
      </c>
      <c r="B5381">
        <v>0.99542014353169495</v>
      </c>
      <c r="C5381">
        <v>0.90956877237787104</v>
      </c>
      <c r="D5381">
        <v>0.90589104006917198</v>
      </c>
      <c r="E5381">
        <v>0.57619934745044399</v>
      </c>
      <c r="F5381">
        <v>0.44907238290749402</v>
      </c>
      <c r="G5381">
        <v>0.214583492950224</v>
      </c>
      <c r="H5381">
        <v>0.115094374795502</v>
      </c>
      <c r="I5381">
        <v>9.7135816384888898E-2</v>
      </c>
      <c r="J5381">
        <v>8.1791772438992799E-2</v>
      </c>
      <c r="K5381">
        <v>0.12725555034166</v>
      </c>
      <c r="L5381">
        <v>700.45498559309601</v>
      </c>
      <c r="M5381">
        <v>14.602690317240899</v>
      </c>
      <c r="N5381">
        <v>48.470097282350203</v>
      </c>
      <c r="O5381">
        <v>47.094894397371803</v>
      </c>
      <c r="P5381">
        <v>-7.2079700044601902E-2</v>
      </c>
      <c r="Q5381">
        <v>7.0252160714914497E-2</v>
      </c>
      <c r="R5381">
        <v>0.98828505405109701</v>
      </c>
      <c r="S5381" t="s">
        <v>11783</v>
      </c>
      <c r="T5381" t="s">
        <v>12802</v>
      </c>
      <c r="U5381" t="s">
        <v>12802</v>
      </c>
      <c r="V5381" t="s">
        <v>12802</v>
      </c>
      <c r="W5381" t="s">
        <v>18118</v>
      </c>
      <c r="X5381">
        <v>9</v>
      </c>
      <c r="Y5381" t="s">
        <v>24329</v>
      </c>
      <c r="Z5381" t="s">
        <v>30699</v>
      </c>
      <c r="AA5381">
        <v>0.43158764094302621</v>
      </c>
      <c r="AB5381" t="str">
        <f>HYPERLINK("Melting_Curves/meltCurve_Q9C0J8_WDR33.pdf", "Melting_Curves/meltCurve_Q9C0J8_WDR33.pdf")</f>
        <v>Melting_Curves/meltCurve_Q9C0J8_WDR33.pdf</v>
      </c>
    </row>
    <row r="5382" spans="1:28" x14ac:dyDescent="0.25">
      <c r="A5382" t="s">
        <v>5386</v>
      </c>
      <c r="B5382">
        <v>0.99542014353169495</v>
      </c>
      <c r="C5382">
        <v>0.98781643041497003</v>
      </c>
      <c r="D5382">
        <v>0.92606069126134105</v>
      </c>
      <c r="E5382">
        <v>0.92552404946545197</v>
      </c>
      <c r="F5382">
        <v>0.75031770262117703</v>
      </c>
      <c r="G5382">
        <v>0.61528350029510703</v>
      </c>
      <c r="H5382">
        <v>0.28104271610213899</v>
      </c>
      <c r="I5382">
        <v>0.184976064583908</v>
      </c>
      <c r="J5382">
        <v>0.19377581217864701</v>
      </c>
      <c r="K5382">
        <v>0.19016202100675</v>
      </c>
      <c r="L5382">
        <v>907.01574616816799</v>
      </c>
      <c r="M5382">
        <v>16.981281623787201</v>
      </c>
      <c r="N5382">
        <v>54.383342799156999</v>
      </c>
      <c r="O5382">
        <v>52.688457933213797</v>
      </c>
      <c r="P5382">
        <v>-7.0044393945487199E-2</v>
      </c>
      <c r="Q5382">
        <v>0.13073650430974301</v>
      </c>
      <c r="R5382">
        <v>0.98582016890886504</v>
      </c>
      <c r="S5382" t="s">
        <v>11784</v>
      </c>
      <c r="T5382" t="s">
        <v>12802</v>
      </c>
      <c r="U5382" t="s">
        <v>12802</v>
      </c>
      <c r="V5382" t="s">
        <v>12802</v>
      </c>
      <c r="W5382" t="s">
        <v>18119</v>
      </c>
      <c r="X5382">
        <v>8</v>
      </c>
      <c r="Y5382" t="s">
        <v>24330</v>
      </c>
      <c r="Z5382" t="s">
        <v>30700</v>
      </c>
      <c r="AA5382">
        <v>0.61953751929516487</v>
      </c>
      <c r="AB5382" t="str">
        <f>HYPERLINK("Melting_Curves/meltCurve_Q9GZL7_WDR12.pdf", "Melting_Curves/meltCurve_Q9GZL7_WDR12.pdf")</f>
        <v>Melting_Curves/meltCurve_Q9GZL7_WDR12.pdf</v>
      </c>
    </row>
    <row r="5383" spans="1:28" x14ac:dyDescent="0.25">
      <c r="A5383" t="s">
        <v>5387</v>
      </c>
      <c r="B5383">
        <v>0.99542014353169495</v>
      </c>
      <c r="C5383">
        <v>1.0523411650825301</v>
      </c>
      <c r="D5383">
        <v>0.96022386709170204</v>
      </c>
      <c r="E5383">
        <v>0.79616262363466495</v>
      </c>
      <c r="F5383">
        <v>0.46915645414204399</v>
      </c>
      <c r="G5383">
        <v>0.26500269117557101</v>
      </c>
      <c r="H5383">
        <v>0.230168484223783</v>
      </c>
      <c r="I5383">
        <v>0.134740516060916</v>
      </c>
      <c r="J5383">
        <v>0.15393688941904801</v>
      </c>
      <c r="K5383">
        <v>0.123562421174851</v>
      </c>
      <c r="L5383">
        <v>1018.46936854327</v>
      </c>
      <c r="M5383">
        <v>20.712007978950499</v>
      </c>
      <c r="N5383">
        <v>49.977119390340299</v>
      </c>
      <c r="O5383">
        <v>48.721391862082598</v>
      </c>
      <c r="P5383">
        <v>-9.1218622334726204E-2</v>
      </c>
      <c r="Q5383">
        <v>0.14172063397922299</v>
      </c>
      <c r="R5383">
        <v>0.99501042441593102</v>
      </c>
      <c r="S5383" t="s">
        <v>11785</v>
      </c>
      <c r="T5383" t="s">
        <v>12802</v>
      </c>
      <c r="U5383" t="s">
        <v>12802</v>
      </c>
      <c r="V5383" t="s">
        <v>12802</v>
      </c>
      <c r="W5383" t="s">
        <v>18120</v>
      </c>
      <c r="X5383">
        <v>2</v>
      </c>
      <c r="Y5383" t="s">
        <v>24331</v>
      </c>
      <c r="Z5383" t="s">
        <v>30701</v>
      </c>
      <c r="AA5383">
        <v>0.50058956795625376</v>
      </c>
      <c r="AB5383" t="str">
        <f>HYPERLINK("Melting_Curves/meltCurve_Q9GZN1_ACTR6.pdf", "Melting_Curves/meltCurve_Q9GZN1_ACTR6.pdf")</f>
        <v>Melting_Curves/meltCurve_Q9GZN1_ACTR6.pdf</v>
      </c>
    </row>
    <row r="5384" spans="1:28" x14ac:dyDescent="0.25">
      <c r="A5384" t="s">
        <v>5388</v>
      </c>
      <c r="B5384">
        <v>0.99542014353169495</v>
      </c>
      <c r="C5384">
        <v>1.0386430324522</v>
      </c>
      <c r="D5384">
        <v>1.00287843897871</v>
      </c>
      <c r="E5384">
        <v>1.00546899977992</v>
      </c>
      <c r="F5384">
        <v>0.77794425573775505</v>
      </c>
      <c r="G5384">
        <v>0.53236674504571602</v>
      </c>
      <c r="H5384">
        <v>0.22798274958907899</v>
      </c>
      <c r="I5384">
        <v>0.116394350636119</v>
      </c>
      <c r="J5384">
        <v>0.102999666074994</v>
      </c>
      <c r="K5384">
        <v>0.115869253720096</v>
      </c>
      <c r="L5384">
        <v>1186.87894287586</v>
      </c>
      <c r="M5384">
        <v>22.241926826197702</v>
      </c>
      <c r="N5384">
        <v>53.804874341130599</v>
      </c>
      <c r="O5384">
        <v>52.936492857921003</v>
      </c>
      <c r="P5384">
        <v>-9.62604818675106E-2</v>
      </c>
      <c r="Q5384">
        <v>8.3607562956733106E-2</v>
      </c>
      <c r="R5384">
        <v>0.99548661205486</v>
      </c>
      <c r="S5384" t="s">
        <v>11786</v>
      </c>
      <c r="T5384" t="s">
        <v>12802</v>
      </c>
      <c r="U5384" t="s">
        <v>12802</v>
      </c>
      <c r="V5384" t="s">
        <v>12802</v>
      </c>
      <c r="W5384" t="s">
        <v>18121</v>
      </c>
      <c r="X5384">
        <v>6</v>
      </c>
      <c r="Y5384" t="s">
        <v>24332</v>
      </c>
      <c r="Z5384" t="s">
        <v>30702</v>
      </c>
      <c r="AA5384">
        <v>0.59316711612176565</v>
      </c>
      <c r="AB5384" t="str">
        <f>HYPERLINK("Melting_Curves/meltCurve_Q9GZN8_C20orf27.pdf", "Melting_Curves/meltCurve_Q9GZN8_C20orf27.pdf")</f>
        <v>Melting_Curves/meltCurve_Q9GZN8_C20orf27.pdf</v>
      </c>
    </row>
    <row r="5385" spans="1:28" x14ac:dyDescent="0.25">
      <c r="A5385" t="s">
        <v>5389</v>
      </c>
      <c r="B5385">
        <v>0.99542014353169495</v>
      </c>
      <c r="C5385">
        <v>0.90608355695647202</v>
      </c>
      <c r="D5385">
        <v>0.96088901103420798</v>
      </c>
      <c r="E5385">
        <v>0.83675493808936097</v>
      </c>
      <c r="F5385">
        <v>0.74678814906657598</v>
      </c>
      <c r="G5385">
        <v>0.60048806681653499</v>
      </c>
      <c r="H5385">
        <v>0.41467970501641999</v>
      </c>
      <c r="I5385">
        <v>0.338777120154716</v>
      </c>
      <c r="J5385">
        <v>0.48721810985696201</v>
      </c>
      <c r="K5385">
        <v>0.54342201897534004</v>
      </c>
      <c r="L5385">
        <v>838.18130692022703</v>
      </c>
      <c r="M5385">
        <v>16.779787962813799</v>
      </c>
      <c r="N5385">
        <v>56.731925398834797</v>
      </c>
      <c r="O5385">
        <v>49.258557814630599</v>
      </c>
      <c r="P5385">
        <v>-4.83158959055634E-2</v>
      </c>
      <c r="Q5385">
        <v>0.43269449091262702</v>
      </c>
      <c r="R5385">
        <v>0.91344783166659205</v>
      </c>
      <c r="S5385" t="s">
        <v>11787</v>
      </c>
      <c r="T5385" t="s">
        <v>12802</v>
      </c>
      <c r="U5385" t="s">
        <v>12802</v>
      </c>
      <c r="V5385" t="s">
        <v>12802</v>
      </c>
      <c r="W5385" t="s">
        <v>18122</v>
      </c>
      <c r="X5385">
        <v>1</v>
      </c>
      <c r="Y5385" t="s">
        <v>24333</v>
      </c>
      <c r="Z5385" t="s">
        <v>30703</v>
      </c>
      <c r="AA5385">
        <v>0.68763473174251544</v>
      </c>
      <c r="AB5385" t="str">
        <f>HYPERLINK("Melting_Curves/meltCurve_Q9GZP1_NRSN2.pdf", "Melting_Curves/meltCurve_Q9GZP1_NRSN2.pdf")</f>
        <v>Melting_Curves/meltCurve_Q9GZP1_NRSN2.pdf</v>
      </c>
    </row>
    <row r="5386" spans="1:28" x14ac:dyDescent="0.25">
      <c r="A5386" t="s">
        <v>5390</v>
      </c>
      <c r="B5386">
        <v>0.99542014353169495</v>
      </c>
      <c r="C5386">
        <v>1.03883833425926</v>
      </c>
      <c r="D5386">
        <v>0.98454464663625396</v>
      </c>
      <c r="E5386">
        <v>1.03850408416435</v>
      </c>
      <c r="F5386">
        <v>0.83092439545949504</v>
      </c>
      <c r="G5386">
        <v>0.60515746604796405</v>
      </c>
      <c r="H5386">
        <v>0.44448821351779699</v>
      </c>
      <c r="I5386">
        <v>0.38986511363951498</v>
      </c>
      <c r="J5386">
        <v>0.52668614319214202</v>
      </c>
      <c r="K5386">
        <v>0.49399828580405503</v>
      </c>
      <c r="L5386">
        <v>1716.53577991721</v>
      </c>
      <c r="M5386">
        <v>33.215296003234798</v>
      </c>
      <c r="N5386">
        <v>56.059990136898001</v>
      </c>
      <c r="O5386">
        <v>51.492831925997997</v>
      </c>
      <c r="P5386">
        <v>-8.6645967128182899E-2</v>
      </c>
      <c r="Q5386">
        <v>0.46270216005876702</v>
      </c>
      <c r="R5386">
        <v>0.97222319780266298</v>
      </c>
      <c r="S5386" t="s">
        <v>11788</v>
      </c>
      <c r="T5386" t="s">
        <v>12802</v>
      </c>
      <c r="U5386" t="s">
        <v>12802</v>
      </c>
      <c r="V5386" t="s">
        <v>12802</v>
      </c>
      <c r="W5386" t="s">
        <v>18123</v>
      </c>
      <c r="X5386">
        <v>10</v>
      </c>
      <c r="Y5386" t="s">
        <v>24334</v>
      </c>
      <c r="Z5386" t="s">
        <v>30704</v>
      </c>
      <c r="AA5386">
        <v>0.72837333849609842</v>
      </c>
      <c r="AB5386" t="str">
        <f>HYPERLINK("Melting_Curves/meltCurve_Q9GZP4_PITHD1.pdf", "Melting_Curves/meltCurve_Q9GZP4_PITHD1.pdf")</f>
        <v>Melting_Curves/meltCurve_Q9GZP4_PITHD1.pdf</v>
      </c>
    </row>
    <row r="5387" spans="1:28" x14ac:dyDescent="0.25">
      <c r="A5387" t="s">
        <v>5391</v>
      </c>
      <c r="B5387">
        <v>0.99542014353169495</v>
      </c>
      <c r="C5387">
        <v>0.97332800127416197</v>
      </c>
      <c r="D5387">
        <v>0.92945024796463305</v>
      </c>
      <c r="E5387">
        <v>0.79828462952345802</v>
      </c>
      <c r="F5387">
        <v>0.79701231457837696</v>
      </c>
      <c r="G5387">
        <v>0.50432841423263397</v>
      </c>
      <c r="H5387">
        <v>0.27016738256323702</v>
      </c>
      <c r="I5387">
        <v>0.13147979742254301</v>
      </c>
      <c r="J5387">
        <v>6.7807694450676997E-2</v>
      </c>
      <c r="K5387">
        <v>0.10437959901556</v>
      </c>
      <c r="L5387">
        <v>737.43780167048601</v>
      </c>
      <c r="M5387">
        <v>13.740698185298699</v>
      </c>
      <c r="N5387">
        <v>53.668124505517</v>
      </c>
      <c r="O5387">
        <v>52.569736288989098</v>
      </c>
      <c r="P5387">
        <v>-6.5354405006959701E-2</v>
      </c>
      <c r="Q5387">
        <v>0</v>
      </c>
      <c r="R5387">
        <v>0.98493787183454895</v>
      </c>
      <c r="S5387" t="s">
        <v>11789</v>
      </c>
      <c r="T5387" t="s">
        <v>12802</v>
      </c>
      <c r="U5387" t="s">
        <v>12802</v>
      </c>
      <c r="V5387" t="s">
        <v>12802</v>
      </c>
      <c r="W5387" t="s">
        <v>18124</v>
      </c>
      <c r="X5387">
        <v>2</v>
      </c>
      <c r="Y5387" t="s">
        <v>24335</v>
      </c>
      <c r="Z5387" t="s">
        <v>30705</v>
      </c>
      <c r="AA5387">
        <v>0.57347799236342312</v>
      </c>
      <c r="AB5387" t="str">
        <f>HYPERLINK("Melting_Curves/meltCurve_Q9GZP9_DERL2.pdf", "Melting_Curves/meltCurve_Q9GZP9_DERL2.pdf")</f>
        <v>Melting_Curves/meltCurve_Q9GZP9_DERL2.pdf</v>
      </c>
    </row>
    <row r="5388" spans="1:28" x14ac:dyDescent="0.25">
      <c r="A5388" t="s">
        <v>5392</v>
      </c>
      <c r="B5388">
        <v>0.99542014353169495</v>
      </c>
      <c r="C5388">
        <v>1.1212114573540699</v>
      </c>
      <c r="D5388">
        <v>0.97476874415727099</v>
      </c>
      <c r="E5388">
        <v>0.78810508768403997</v>
      </c>
      <c r="F5388">
        <v>0.74285848912545704</v>
      </c>
      <c r="G5388">
        <v>0.50028031097350401</v>
      </c>
      <c r="H5388">
        <v>0.17391074743013701</v>
      </c>
      <c r="I5388">
        <v>0.116925348705596</v>
      </c>
      <c r="J5388">
        <v>0.120386396726808</v>
      </c>
      <c r="K5388">
        <v>8.3349043486155905E-2</v>
      </c>
      <c r="L5388">
        <v>824.60332811004298</v>
      </c>
      <c r="M5388">
        <v>15.6203372815389</v>
      </c>
      <c r="N5388">
        <v>53.022741905433101</v>
      </c>
      <c r="O5388">
        <v>51.947858749063101</v>
      </c>
      <c r="P5388">
        <v>-7.2692360284308505E-2</v>
      </c>
      <c r="Q5388">
        <v>3.3084379046436199E-2</v>
      </c>
      <c r="R5388">
        <v>0.97470130322252502</v>
      </c>
      <c r="S5388" t="s">
        <v>11790</v>
      </c>
      <c r="T5388" t="s">
        <v>12802</v>
      </c>
      <c r="U5388" t="s">
        <v>12802</v>
      </c>
      <c r="V5388" t="s">
        <v>12802</v>
      </c>
      <c r="W5388" t="s">
        <v>18125</v>
      </c>
      <c r="X5388">
        <v>4</v>
      </c>
      <c r="Y5388" t="s">
        <v>24336</v>
      </c>
      <c r="Z5388" t="s">
        <v>30706</v>
      </c>
      <c r="AA5388">
        <v>0.55883696170295549</v>
      </c>
      <c r="AB5388" t="str">
        <f>HYPERLINK("Melting_Curves/meltCurve_Q9GZQ3_COMMD5.pdf", "Melting_Curves/meltCurve_Q9GZQ3_COMMD5.pdf")</f>
        <v>Melting_Curves/meltCurve_Q9GZQ3_COMMD5.pdf</v>
      </c>
    </row>
    <row r="5389" spans="1:28" x14ac:dyDescent="0.25">
      <c r="A5389" t="s">
        <v>5393</v>
      </c>
      <c r="B5389">
        <v>0.99542014353169495</v>
      </c>
      <c r="C5389">
        <v>0.911915805965125</v>
      </c>
      <c r="D5389">
        <v>0.90904655803602896</v>
      </c>
      <c r="E5389">
        <v>0.29122724885551798</v>
      </c>
      <c r="F5389">
        <v>0.120156494731435</v>
      </c>
      <c r="G5389">
        <v>5.4079325681648603E-2</v>
      </c>
      <c r="H5389">
        <v>5.3968632955470303E-2</v>
      </c>
      <c r="I5389">
        <v>3.4775970510502102E-2</v>
      </c>
      <c r="J5389">
        <v>3.7765947997060699E-2</v>
      </c>
      <c r="K5389">
        <v>3.1390267781277501E-2</v>
      </c>
      <c r="L5389">
        <v>1681.43277661764</v>
      </c>
      <c r="M5389">
        <v>37.079376124530498</v>
      </c>
      <c r="N5389">
        <v>45.473119406590698</v>
      </c>
      <c r="O5389">
        <v>45.215553004734801</v>
      </c>
      <c r="P5389">
        <v>-0.194985600454187</v>
      </c>
      <c r="Q5389">
        <v>4.8920669252231298E-2</v>
      </c>
      <c r="R5389">
        <v>0.99358731309038795</v>
      </c>
      <c r="S5389" t="s">
        <v>11791</v>
      </c>
      <c r="T5389" t="s">
        <v>12802</v>
      </c>
      <c r="U5389" t="s">
        <v>12802</v>
      </c>
      <c r="V5389" t="s">
        <v>12802</v>
      </c>
      <c r="W5389" t="s">
        <v>18126</v>
      </c>
      <c r="X5389">
        <v>7</v>
      </c>
      <c r="Y5389" t="s">
        <v>24337</v>
      </c>
      <c r="Z5389" t="s">
        <v>30707</v>
      </c>
      <c r="AA5389">
        <v>0.317018334762734</v>
      </c>
      <c r="AB5389" t="str">
        <f>HYPERLINK("Melting_Curves/meltCurve_Q9GZS1_2_POLR1E.pdf", "Melting_Curves/meltCurve_Q9GZS1_2_POLR1E.pdf")</f>
        <v>Melting_Curves/meltCurve_Q9GZS1_2_POLR1E.pdf</v>
      </c>
    </row>
    <row r="5390" spans="1:28" x14ac:dyDescent="0.25">
      <c r="A5390" t="s">
        <v>5394</v>
      </c>
      <c r="B5390">
        <v>0.99542014353169495</v>
      </c>
      <c r="C5390">
        <v>0.964782761790143</v>
      </c>
      <c r="D5390">
        <v>0.94048622581280605</v>
      </c>
      <c r="E5390">
        <v>0.73984999845479205</v>
      </c>
      <c r="F5390">
        <v>0.502019832818829</v>
      </c>
      <c r="G5390">
        <v>0.31267199204650897</v>
      </c>
      <c r="H5390">
        <v>0.10271827587822401</v>
      </c>
      <c r="I5390">
        <v>5.9578052512566398E-2</v>
      </c>
      <c r="J5390">
        <v>7.0163893943215302E-2</v>
      </c>
      <c r="K5390">
        <v>7.4108922935183105E-2</v>
      </c>
      <c r="L5390">
        <v>760.81302532412803</v>
      </c>
      <c r="M5390">
        <v>15.2158617222945</v>
      </c>
      <c r="N5390">
        <v>50.182634502226499</v>
      </c>
      <c r="O5390">
        <v>49.161518331503302</v>
      </c>
      <c r="P5390">
        <v>-7.5314707710598006E-2</v>
      </c>
      <c r="Q5390">
        <v>2.6744111696745301E-2</v>
      </c>
      <c r="R5390">
        <v>0.996046577135693</v>
      </c>
      <c r="S5390" t="s">
        <v>11792</v>
      </c>
      <c r="T5390" t="s">
        <v>12802</v>
      </c>
      <c r="U5390" t="s">
        <v>12802</v>
      </c>
      <c r="V5390" t="s">
        <v>12802</v>
      </c>
      <c r="W5390" t="s">
        <v>18127</v>
      </c>
      <c r="X5390">
        <v>12</v>
      </c>
      <c r="Y5390" t="s">
        <v>24338</v>
      </c>
      <c r="Z5390" t="s">
        <v>30708</v>
      </c>
      <c r="AA5390">
        <v>0.46845543392263111</v>
      </c>
      <c r="AB5390" t="str">
        <f>HYPERLINK("Melting_Curves/meltCurve_Q9GZS3_WDR61.pdf", "Melting_Curves/meltCurve_Q9GZS3_WDR61.pdf")</f>
        <v>Melting_Curves/meltCurve_Q9GZS3_WDR61.pdf</v>
      </c>
    </row>
    <row r="5391" spans="1:28" x14ac:dyDescent="0.25">
      <c r="A5391" t="s">
        <v>5395</v>
      </c>
      <c r="B5391">
        <v>0.99542014353169495</v>
      </c>
      <c r="C5391">
        <v>0.98875729984511895</v>
      </c>
      <c r="D5391">
        <v>0.93485762539091699</v>
      </c>
      <c r="E5391">
        <v>0.48271183881106999</v>
      </c>
      <c r="F5391">
        <v>0.46734356145271699</v>
      </c>
      <c r="G5391">
        <v>0.48322827735644902</v>
      </c>
      <c r="H5391">
        <v>0.40302754634782301</v>
      </c>
      <c r="I5391">
        <v>0.33060719282538997</v>
      </c>
      <c r="J5391">
        <v>0.31512357899305199</v>
      </c>
      <c r="K5391">
        <v>0.287473699543836</v>
      </c>
      <c r="L5391">
        <v>1904.3246468392001</v>
      </c>
      <c r="M5391">
        <v>42.3073422125726</v>
      </c>
      <c r="N5391">
        <v>46.562718381188802</v>
      </c>
      <c r="O5391">
        <v>44.911469899473303</v>
      </c>
      <c r="P5391">
        <v>-0.14652146290447901</v>
      </c>
      <c r="Q5391">
        <v>0.37784011933872902</v>
      </c>
      <c r="R5391">
        <v>0.95568178032260398</v>
      </c>
      <c r="S5391" t="s">
        <v>11793</v>
      </c>
      <c r="T5391" t="s">
        <v>12802</v>
      </c>
      <c r="U5391" t="s">
        <v>12802</v>
      </c>
      <c r="V5391" t="s">
        <v>12802</v>
      </c>
      <c r="W5391" t="s">
        <v>18128</v>
      </c>
      <c r="X5391">
        <v>6</v>
      </c>
      <c r="Y5391" t="s">
        <v>24339</v>
      </c>
      <c r="Z5391" t="s">
        <v>30709</v>
      </c>
      <c r="AA5391">
        <v>0.54572238545306717</v>
      </c>
      <c r="AB5391" t="str">
        <f>HYPERLINK("Melting_Curves/meltCurve_Q9GZT3_2_SLIRP.pdf", "Melting_Curves/meltCurve_Q9GZT3_2_SLIRP.pdf")</f>
        <v>Melting_Curves/meltCurve_Q9GZT3_2_SLIRP.pdf</v>
      </c>
    </row>
    <row r="5392" spans="1:28" x14ac:dyDescent="0.25">
      <c r="A5392" t="s">
        <v>5396</v>
      </c>
      <c r="B5392">
        <v>0.99542014353169495</v>
      </c>
      <c r="C5392">
        <v>0.88751279713699105</v>
      </c>
      <c r="D5392">
        <v>0.94498180206840399</v>
      </c>
      <c r="E5392">
        <v>0.866434699961942</v>
      </c>
      <c r="F5392">
        <v>0.62650777622452702</v>
      </c>
      <c r="G5392">
        <v>0.30384578268439699</v>
      </c>
      <c r="H5392">
        <v>9.9627922727682797E-2</v>
      </c>
      <c r="I5392">
        <v>6.0994434128964901E-2</v>
      </c>
      <c r="J5392">
        <v>6.4334859070018402E-2</v>
      </c>
      <c r="K5392">
        <v>7.1015818032001604E-2</v>
      </c>
      <c r="L5392">
        <v>1018.3932487639</v>
      </c>
      <c r="M5392">
        <v>19.916416531409801</v>
      </c>
      <c r="N5392">
        <v>51.332068285501101</v>
      </c>
      <c r="O5392">
        <v>50.6262397473972</v>
      </c>
      <c r="P5392">
        <v>-9.4704607151954306E-2</v>
      </c>
      <c r="Q5392">
        <v>3.7100258575435897E-2</v>
      </c>
      <c r="R5392">
        <v>0.98954594751693803</v>
      </c>
      <c r="S5392" t="s">
        <v>11794</v>
      </c>
      <c r="T5392" t="s">
        <v>12802</v>
      </c>
      <c r="U5392" t="s">
        <v>12802</v>
      </c>
      <c r="V5392" t="s">
        <v>12802</v>
      </c>
      <c r="W5392" t="s">
        <v>18129</v>
      </c>
      <c r="X5392">
        <v>4</v>
      </c>
      <c r="Y5392" t="s">
        <v>24340</v>
      </c>
      <c r="Z5392" t="s">
        <v>30710</v>
      </c>
      <c r="AA5392">
        <v>0.50341157822704219</v>
      </c>
      <c r="AB5392" t="str">
        <f>HYPERLINK("Melting_Curves/meltCurve_Q9GZT4_SRR.pdf", "Melting_Curves/meltCurve_Q9GZT4_SRR.pdf")</f>
        <v>Melting_Curves/meltCurve_Q9GZT4_SRR.pdf</v>
      </c>
    </row>
    <row r="5393" spans="1:28" x14ac:dyDescent="0.25">
      <c r="A5393" t="s">
        <v>5397</v>
      </c>
      <c r="B5393">
        <v>0.99542014353169495</v>
      </c>
      <c r="C5393">
        <v>0.96089022855095096</v>
      </c>
      <c r="D5393">
        <v>0.98789686985145797</v>
      </c>
      <c r="E5393">
        <v>0.83282693381428097</v>
      </c>
      <c r="F5393">
        <v>0.738813932995395</v>
      </c>
      <c r="G5393">
        <v>0.53751056546408604</v>
      </c>
      <c r="H5393">
        <v>0.43556671260627799</v>
      </c>
      <c r="I5393">
        <v>0.29378954347604602</v>
      </c>
      <c r="J5393">
        <v>0.273761588014799</v>
      </c>
      <c r="K5393">
        <v>0.26719056185585499</v>
      </c>
      <c r="L5393">
        <v>647.260331121474</v>
      </c>
      <c r="M5393">
        <v>12.2780455488762</v>
      </c>
      <c r="N5393">
        <v>54.948899016396901</v>
      </c>
      <c r="O5393">
        <v>51.376970421950602</v>
      </c>
      <c r="P5393">
        <v>-4.80245327120188E-2</v>
      </c>
      <c r="Q5393">
        <v>0.19635064524141699</v>
      </c>
      <c r="R5393">
        <v>0.99381051563558997</v>
      </c>
      <c r="S5393" t="s">
        <v>11795</v>
      </c>
      <c r="T5393" t="s">
        <v>12802</v>
      </c>
      <c r="U5393" t="s">
        <v>12802</v>
      </c>
      <c r="V5393" t="s">
        <v>12802</v>
      </c>
      <c r="W5393" t="s">
        <v>18130</v>
      </c>
      <c r="X5393">
        <v>6</v>
      </c>
      <c r="Y5393" t="s">
        <v>24341</v>
      </c>
      <c r="Z5393" t="s">
        <v>30711</v>
      </c>
      <c r="AA5393">
        <v>0.63471450205879942</v>
      </c>
      <c r="AB5393" t="str">
        <f>HYPERLINK("Melting_Curves/meltCurve_Q9GZT6_2_CCDC90B.pdf", "Melting_Curves/meltCurve_Q9GZT6_2_CCDC90B.pdf")</f>
        <v>Melting_Curves/meltCurve_Q9GZT6_2_CCDC90B.pdf</v>
      </c>
    </row>
    <row r="5394" spans="1:28" x14ac:dyDescent="0.25">
      <c r="A5394" t="s">
        <v>5398</v>
      </c>
      <c r="B5394">
        <v>0.99542014353169495</v>
      </c>
      <c r="C5394">
        <v>0.97292285433288905</v>
      </c>
      <c r="D5394">
        <v>0.76524822983005303</v>
      </c>
      <c r="E5394">
        <v>0.647827329466233</v>
      </c>
      <c r="F5394">
        <v>0.51230196981883902</v>
      </c>
      <c r="G5394">
        <v>0.378848873419667</v>
      </c>
      <c r="H5394">
        <v>0.34171807703471502</v>
      </c>
      <c r="I5394">
        <v>0.33089701247250403</v>
      </c>
      <c r="J5394">
        <v>0.47383260378598002</v>
      </c>
      <c r="K5394">
        <v>0.50579369894714798</v>
      </c>
      <c r="L5394">
        <v>799.17373010728102</v>
      </c>
      <c r="M5394">
        <v>17.792419515464999</v>
      </c>
      <c r="N5394">
        <v>49.515728831073197</v>
      </c>
      <c r="O5394">
        <v>44.360656089647897</v>
      </c>
      <c r="P5394">
        <v>-5.9742101332341299E-2</v>
      </c>
      <c r="Q5394">
        <v>0.40422670513770997</v>
      </c>
      <c r="R5394">
        <v>0.93583135113980398</v>
      </c>
      <c r="S5394" t="s">
        <v>11796</v>
      </c>
      <c r="T5394" t="s">
        <v>12802</v>
      </c>
      <c r="U5394" t="s">
        <v>12802</v>
      </c>
      <c r="V5394" t="s">
        <v>12802</v>
      </c>
      <c r="W5394" t="s">
        <v>18131</v>
      </c>
      <c r="X5394">
        <v>6</v>
      </c>
      <c r="Y5394" t="s">
        <v>24342</v>
      </c>
      <c r="Z5394" t="s">
        <v>30712</v>
      </c>
      <c r="AA5394">
        <v>0.57146189629694188</v>
      </c>
      <c r="AB5394" t="str">
        <f>HYPERLINK("Melting_Curves/meltCurve_Q9GZT8_2_NIF3L1.pdf", "Melting_Curves/meltCurve_Q9GZT8_2_NIF3L1.pdf")</f>
        <v>Melting_Curves/meltCurve_Q9GZT8_2_NIF3L1.pdf</v>
      </c>
    </row>
    <row r="5395" spans="1:28" x14ac:dyDescent="0.25">
      <c r="A5395" t="s">
        <v>5399</v>
      </c>
      <c r="B5395">
        <v>0.99542014353169495</v>
      </c>
      <c r="C5395">
        <v>1.02918043129905</v>
      </c>
      <c r="D5395">
        <v>0.98679764979523599</v>
      </c>
      <c r="E5395">
        <v>0.70496395610147999</v>
      </c>
      <c r="F5395">
        <v>0.38889223597010097</v>
      </c>
      <c r="G5395">
        <v>0.21335174729061601</v>
      </c>
      <c r="H5395">
        <v>0.144903544060174</v>
      </c>
      <c r="I5395">
        <v>0.10443096508430499</v>
      </c>
      <c r="J5395">
        <v>0.120353576354966</v>
      </c>
      <c r="K5395">
        <v>0.132434622426122</v>
      </c>
      <c r="L5395">
        <v>1087.4543094519599</v>
      </c>
      <c r="M5395">
        <v>22.525363100530601</v>
      </c>
      <c r="N5395">
        <v>48.871173294280702</v>
      </c>
      <c r="O5395">
        <v>47.9012202399432</v>
      </c>
      <c r="P5395">
        <v>-0.10347950698045399</v>
      </c>
      <c r="Q5395">
        <v>0.119802179442523</v>
      </c>
      <c r="R5395">
        <v>0.99697006928698495</v>
      </c>
      <c r="S5395" t="s">
        <v>11797</v>
      </c>
      <c r="T5395" t="s">
        <v>12802</v>
      </c>
      <c r="U5395" t="s">
        <v>12802</v>
      </c>
      <c r="V5395" t="s">
        <v>12802</v>
      </c>
      <c r="W5395" t="s">
        <v>18132</v>
      </c>
      <c r="X5395">
        <v>7</v>
      </c>
      <c r="Y5395" t="s">
        <v>24343</v>
      </c>
      <c r="Z5395" t="s">
        <v>30713</v>
      </c>
      <c r="AA5395">
        <v>0.45989497025974713</v>
      </c>
      <c r="AB5395" t="str">
        <f>HYPERLINK("Melting_Curves/meltCurve_Q9GZT9_EGLN1.pdf", "Melting_Curves/meltCurve_Q9GZT9_EGLN1.pdf")</f>
        <v>Melting_Curves/meltCurve_Q9GZT9_EGLN1.pdf</v>
      </c>
    </row>
    <row r="5396" spans="1:28" x14ac:dyDescent="0.25">
      <c r="A5396" t="s">
        <v>5400</v>
      </c>
      <c r="B5396">
        <v>0.99542014353169495</v>
      </c>
      <c r="C5396">
        <v>0.93662733278659704</v>
      </c>
      <c r="D5396">
        <v>0.89624029246036296</v>
      </c>
      <c r="E5396">
        <v>0.80496981944272095</v>
      </c>
      <c r="F5396">
        <v>0.67035280766524397</v>
      </c>
      <c r="G5396">
        <v>0.53510915105716494</v>
      </c>
      <c r="H5396">
        <v>0.43830881353981399</v>
      </c>
      <c r="I5396">
        <v>0.41462181267033299</v>
      </c>
      <c r="J5396">
        <v>0.58562759571685197</v>
      </c>
      <c r="K5396">
        <v>0.793196599113416</v>
      </c>
      <c r="L5396">
        <v>929.26944745259198</v>
      </c>
      <c r="M5396">
        <v>19.938834664636499</v>
      </c>
      <c r="O5396">
        <v>46.144788296257701</v>
      </c>
      <c r="P5396">
        <v>-4.8397978500431399E-2</v>
      </c>
      <c r="Q5396">
        <v>0.55198158042919099</v>
      </c>
      <c r="R5396">
        <v>0.74135584061441795</v>
      </c>
      <c r="S5396" t="s">
        <v>11798</v>
      </c>
      <c r="T5396" t="s">
        <v>12802</v>
      </c>
      <c r="U5396" t="s">
        <v>12802</v>
      </c>
      <c r="V5396" t="s">
        <v>12802</v>
      </c>
      <c r="W5396" t="s">
        <v>18133</v>
      </c>
      <c r="X5396">
        <v>24</v>
      </c>
      <c r="Y5396" t="s">
        <v>24344</v>
      </c>
      <c r="Z5396" t="s">
        <v>30714</v>
      </c>
      <c r="AA5396">
        <v>0.70133229834707156</v>
      </c>
      <c r="AB5396" t="str">
        <f>HYPERLINK("Melting_Curves/meltCurve_Q9GZU8_FAM192A.pdf", "Melting_Curves/meltCurve_Q9GZU8_FAM192A.pdf")</f>
        <v>Melting_Curves/meltCurve_Q9GZU8_FAM192A.pdf</v>
      </c>
    </row>
    <row r="5397" spans="1:28" x14ac:dyDescent="0.25">
      <c r="A5397" t="s">
        <v>5401</v>
      </c>
      <c r="B5397">
        <v>0.99542014353169495</v>
      </c>
      <c r="C5397">
        <v>1.0273686579366099</v>
      </c>
      <c r="D5397">
        <v>0.90737990092911702</v>
      </c>
      <c r="E5397">
        <v>0.65654988271817405</v>
      </c>
      <c r="F5397">
        <v>0.55128422909224895</v>
      </c>
      <c r="G5397">
        <v>0.39730175394784301</v>
      </c>
      <c r="H5397">
        <v>0.30142282756368399</v>
      </c>
      <c r="I5397">
        <v>0.28087431256733397</v>
      </c>
      <c r="J5397">
        <v>0.53138961413983199</v>
      </c>
      <c r="K5397">
        <v>0.64999099470570298</v>
      </c>
      <c r="L5397">
        <v>1179.9547818851399</v>
      </c>
      <c r="M5397">
        <v>25.693024499439002</v>
      </c>
      <c r="N5397">
        <v>49.983501743626299</v>
      </c>
      <c r="O5397">
        <v>45.649618798034297</v>
      </c>
      <c r="P5397">
        <v>-7.9090398971206594E-2</v>
      </c>
      <c r="Q5397">
        <v>0.43791721687995799</v>
      </c>
      <c r="R5397">
        <v>0.84186619129707696</v>
      </c>
      <c r="S5397" t="s">
        <v>11799</v>
      </c>
      <c r="T5397" t="s">
        <v>12802</v>
      </c>
      <c r="U5397" t="s">
        <v>12802</v>
      </c>
      <c r="V5397" t="s">
        <v>12802</v>
      </c>
      <c r="W5397" t="s">
        <v>18134</v>
      </c>
      <c r="X5397">
        <v>4</v>
      </c>
      <c r="Y5397" t="s">
        <v>24345</v>
      </c>
      <c r="Z5397" t="s">
        <v>30715</v>
      </c>
      <c r="AA5397">
        <v>0.60953795167691238</v>
      </c>
      <c r="AB5397" t="str">
        <f>HYPERLINK("Melting_Curves/meltCurve_Q9GZX9_TWSG1.pdf", "Melting_Curves/meltCurve_Q9GZX9_TWSG1.pdf")</f>
        <v>Melting_Curves/meltCurve_Q9GZX9_TWSG1.pdf</v>
      </c>
    </row>
    <row r="5398" spans="1:28" x14ac:dyDescent="0.25">
      <c r="A5398" t="s">
        <v>5402</v>
      </c>
      <c r="B5398">
        <v>0.99542014353169495</v>
      </c>
      <c r="C5398">
        <v>0.99671100933934598</v>
      </c>
      <c r="D5398">
        <v>0.99961481286615295</v>
      </c>
      <c r="E5398">
        <v>0.91093562567245501</v>
      </c>
      <c r="F5398">
        <v>0.71410100337333005</v>
      </c>
      <c r="G5398">
        <v>0.46652719803386899</v>
      </c>
      <c r="H5398">
        <v>0.30914064021264498</v>
      </c>
      <c r="I5398">
        <v>0.22406427291691999</v>
      </c>
      <c r="J5398">
        <v>0.19850083925726</v>
      </c>
      <c r="K5398">
        <v>0.208209186468227</v>
      </c>
      <c r="L5398">
        <v>966.50360095207702</v>
      </c>
      <c r="M5398">
        <v>18.6153885647797</v>
      </c>
      <c r="N5398">
        <v>53.237951262376697</v>
      </c>
      <c r="O5398">
        <v>51.331565385375697</v>
      </c>
      <c r="P5398">
        <v>-7.3923304495609396E-2</v>
      </c>
      <c r="Q5398">
        <v>0.18466680984015801</v>
      </c>
      <c r="R5398">
        <v>0.999435905411453</v>
      </c>
      <c r="S5398" t="s">
        <v>11800</v>
      </c>
      <c r="T5398" t="s">
        <v>12802</v>
      </c>
      <c r="U5398" t="s">
        <v>12802</v>
      </c>
      <c r="V5398" t="s">
        <v>12802</v>
      </c>
      <c r="W5398" t="s">
        <v>18135</v>
      </c>
      <c r="X5398">
        <v>2</v>
      </c>
      <c r="Y5398" t="s">
        <v>24346</v>
      </c>
      <c r="Z5398" t="s">
        <v>30716</v>
      </c>
      <c r="AA5398">
        <v>0.60191566931671647</v>
      </c>
      <c r="AB5398" t="str">
        <f>HYPERLINK("Melting_Curves/meltCurve_Q9GZY4_COA1.pdf", "Melting_Curves/meltCurve_Q9GZY4_COA1.pdf")</f>
        <v>Melting_Curves/meltCurve_Q9GZY4_COA1.pdf</v>
      </c>
    </row>
    <row r="5399" spans="1:28" x14ac:dyDescent="0.25">
      <c r="A5399" t="s">
        <v>5403</v>
      </c>
      <c r="B5399">
        <v>0.99542014353169495</v>
      </c>
      <c r="C5399">
        <v>0.94141155833945001</v>
      </c>
      <c r="D5399">
        <v>0.98968012363143298</v>
      </c>
      <c r="E5399">
        <v>0.76361861297189304</v>
      </c>
      <c r="F5399">
        <v>0.47950430024047802</v>
      </c>
      <c r="G5399">
        <v>0.260269781222008</v>
      </c>
      <c r="H5399">
        <v>0.14427755077434301</v>
      </c>
      <c r="I5399">
        <v>9.2914394313941204E-2</v>
      </c>
      <c r="J5399">
        <v>0.14277837130057799</v>
      </c>
      <c r="K5399">
        <v>0.171020431238607</v>
      </c>
      <c r="L5399">
        <v>1009.87813431374</v>
      </c>
      <c r="M5399">
        <v>20.555473188881599</v>
      </c>
      <c r="N5399">
        <v>49.819588695238799</v>
      </c>
      <c r="O5399">
        <v>48.671522143318199</v>
      </c>
      <c r="P5399">
        <v>-9.2503040592074995E-2</v>
      </c>
      <c r="Q5399">
        <v>0.123906087980623</v>
      </c>
      <c r="R5399">
        <v>0.993128417648943</v>
      </c>
      <c r="S5399" t="s">
        <v>11801</v>
      </c>
      <c r="T5399" t="s">
        <v>12802</v>
      </c>
      <c r="U5399" t="s">
        <v>12802</v>
      </c>
      <c r="V5399" t="s">
        <v>12802</v>
      </c>
      <c r="W5399" t="s">
        <v>18136</v>
      </c>
      <c r="X5399">
        <v>4</v>
      </c>
      <c r="Y5399" t="s">
        <v>24347</v>
      </c>
      <c r="Z5399" t="s">
        <v>30717</v>
      </c>
      <c r="AA5399">
        <v>0.4891040320835186</v>
      </c>
      <c r="AB5399" t="str">
        <f>HYPERLINK("Melting_Curves/meltCurve_Q9GZY8_2_MFF.pdf", "Melting_Curves/meltCurve_Q9GZY8_2_MFF.pdf")</f>
        <v>Melting_Curves/meltCurve_Q9GZY8_2_MFF.pdf</v>
      </c>
    </row>
    <row r="5400" spans="1:28" x14ac:dyDescent="0.25">
      <c r="A5400" t="s">
        <v>5404</v>
      </c>
      <c r="B5400">
        <v>0.99542014353169495</v>
      </c>
      <c r="C5400">
        <v>1.06824304040428</v>
      </c>
      <c r="D5400">
        <v>0.98000104357437801</v>
      </c>
      <c r="E5400">
        <v>1.01143860024772</v>
      </c>
      <c r="F5400">
        <v>0.82030906753972999</v>
      </c>
      <c r="G5400">
        <v>0.567995936973824</v>
      </c>
      <c r="H5400">
        <v>0.151830277522534</v>
      </c>
      <c r="I5400">
        <v>7.6294457306240807E-2</v>
      </c>
      <c r="J5400">
        <v>6.5506091772680394E-2</v>
      </c>
      <c r="K5400">
        <v>7.0918623121618604E-2</v>
      </c>
      <c r="L5400">
        <v>1421.4014733997001</v>
      </c>
      <c r="M5400">
        <v>26.427158545387002</v>
      </c>
      <c r="N5400">
        <v>53.976053901936801</v>
      </c>
      <c r="O5400">
        <v>53.480489828640103</v>
      </c>
      <c r="P5400">
        <v>-0.11803919090632201</v>
      </c>
      <c r="Q5400">
        <v>4.45093648313198E-2</v>
      </c>
      <c r="R5400">
        <v>0.99237088095470705</v>
      </c>
      <c r="S5400" t="s">
        <v>11802</v>
      </c>
      <c r="T5400" t="s">
        <v>12802</v>
      </c>
      <c r="U5400" t="s">
        <v>12802</v>
      </c>
      <c r="V5400" t="s">
        <v>12802</v>
      </c>
      <c r="W5400" t="s">
        <v>18137</v>
      </c>
      <c r="X5400">
        <v>9</v>
      </c>
      <c r="Y5400" t="s">
        <v>24348</v>
      </c>
      <c r="Z5400" t="s">
        <v>30718</v>
      </c>
      <c r="AA5400">
        <v>0.58675633073088218</v>
      </c>
      <c r="AB5400" t="str">
        <f>HYPERLINK("Melting_Curves/meltCurve_Q9GZZ9_UBA5.pdf", "Melting_Curves/meltCurve_Q9GZZ9_UBA5.pdf")</f>
        <v>Melting_Curves/meltCurve_Q9GZZ9_UBA5.pdf</v>
      </c>
    </row>
    <row r="5401" spans="1:28" x14ac:dyDescent="0.25">
      <c r="A5401" t="s">
        <v>5405</v>
      </c>
      <c r="B5401">
        <v>0.99542014353169495</v>
      </c>
      <c r="C5401">
        <v>0.939863853889502</v>
      </c>
      <c r="D5401">
        <v>0.79143167059417197</v>
      </c>
      <c r="E5401">
        <v>0.47872783354304599</v>
      </c>
      <c r="F5401">
        <v>0.243026154213874</v>
      </c>
      <c r="G5401">
        <v>0.12532548323898199</v>
      </c>
      <c r="H5401">
        <v>8.8835929209535897E-2</v>
      </c>
      <c r="I5401">
        <v>4.8294895638084298E-2</v>
      </c>
      <c r="J5401">
        <v>3.2064741264552797E-2</v>
      </c>
      <c r="K5401">
        <v>2.3220902660304701E-2</v>
      </c>
      <c r="L5401">
        <v>760.45618480636904</v>
      </c>
      <c r="M5401">
        <v>16.4242444620706</v>
      </c>
      <c r="N5401">
        <v>46.477284530846703</v>
      </c>
      <c r="O5401">
        <v>45.630771506589099</v>
      </c>
      <c r="P5401">
        <v>-8.7270834357041402E-2</v>
      </c>
      <c r="Q5401">
        <v>3.02254175025224E-2</v>
      </c>
      <c r="R5401">
        <v>0.99931999916539505</v>
      </c>
      <c r="S5401" t="s">
        <v>11803</v>
      </c>
      <c r="T5401" t="s">
        <v>12802</v>
      </c>
      <c r="U5401" t="s">
        <v>12802</v>
      </c>
      <c r="V5401" t="s">
        <v>12802</v>
      </c>
      <c r="W5401" t="s">
        <v>18138</v>
      </c>
      <c r="X5401">
        <v>4</v>
      </c>
      <c r="Y5401" t="s">
        <v>24349</v>
      </c>
      <c r="Z5401" t="s">
        <v>30719</v>
      </c>
      <c r="AA5401">
        <v>0.34957013031941692</v>
      </c>
      <c r="AB5401" t="str">
        <f>HYPERLINK("Melting_Curves/meltCurve_Q9H019_3_MTFR1L.pdf", "Melting_Curves/meltCurve_Q9H019_3_MTFR1L.pdf")</f>
        <v>Melting_Curves/meltCurve_Q9H019_3_MTFR1L.pdf</v>
      </c>
    </row>
    <row r="5402" spans="1:28" x14ac:dyDescent="0.25">
      <c r="A5402" t="s">
        <v>5406</v>
      </c>
      <c r="B5402">
        <v>0.99542014353169495</v>
      </c>
      <c r="C5402">
        <v>0.96079586267678596</v>
      </c>
      <c r="D5402">
        <v>1.07000661698774</v>
      </c>
      <c r="E5402">
        <v>0.858626492937686</v>
      </c>
      <c r="F5402">
        <v>0.80323306890453905</v>
      </c>
      <c r="G5402">
        <v>0.43920194347625302</v>
      </c>
      <c r="H5402">
        <v>0.36035033486982898</v>
      </c>
      <c r="I5402">
        <v>0.24680191635667401</v>
      </c>
      <c r="J5402">
        <v>0.182055136317991</v>
      </c>
      <c r="K5402">
        <v>0.153596372076613</v>
      </c>
      <c r="L5402">
        <v>897.731612069883</v>
      </c>
      <c r="M5402">
        <v>17.027806206021701</v>
      </c>
      <c r="N5402">
        <v>53.852687155873703</v>
      </c>
      <c r="O5402">
        <v>52.0104718180446</v>
      </c>
      <c r="P5402">
        <v>-6.9546622986665696E-2</v>
      </c>
      <c r="Q5402">
        <v>0.15034725221116599</v>
      </c>
      <c r="R5402">
        <v>0.98140138896647799</v>
      </c>
      <c r="S5402" t="s">
        <v>11804</v>
      </c>
      <c r="T5402" t="s">
        <v>12802</v>
      </c>
      <c r="U5402" t="s">
        <v>12802</v>
      </c>
      <c r="V5402" t="s">
        <v>12802</v>
      </c>
      <c r="W5402" t="s">
        <v>18139</v>
      </c>
      <c r="X5402">
        <v>3</v>
      </c>
      <c r="Y5402" t="s">
        <v>24350</v>
      </c>
      <c r="Z5402" t="s">
        <v>30720</v>
      </c>
      <c r="AA5402">
        <v>0.60904012803970198</v>
      </c>
      <c r="AB5402" t="str">
        <f>HYPERLINK("Melting_Curves/meltCurve_Q9H061_TMEM126A.pdf", "Melting_Curves/meltCurve_Q9H061_TMEM126A.pdf")</f>
        <v>Melting_Curves/meltCurve_Q9H061_TMEM126A.pdf</v>
      </c>
    </row>
    <row r="5403" spans="1:28" x14ac:dyDescent="0.25">
      <c r="A5403" t="s">
        <v>5407</v>
      </c>
      <c r="B5403">
        <v>0.99542014353169495</v>
      </c>
      <c r="C5403">
        <v>1.0222157616277301</v>
      </c>
      <c r="D5403">
        <v>0.95390698621919101</v>
      </c>
      <c r="E5403">
        <v>0.86732902202409401</v>
      </c>
      <c r="F5403">
        <v>0.47636846325274601</v>
      </c>
      <c r="G5403">
        <v>0.16646708655091599</v>
      </c>
      <c r="H5403">
        <v>6.2985350890577899E-2</v>
      </c>
      <c r="I5403">
        <v>4.0474420222256398E-2</v>
      </c>
      <c r="J5403">
        <v>4.6875820283971401E-2</v>
      </c>
      <c r="K5403">
        <v>4.96348582512579E-2</v>
      </c>
      <c r="L5403">
        <v>1281.54581838216</v>
      </c>
      <c r="M5403">
        <v>25.709957830699899</v>
      </c>
      <c r="N5403">
        <v>50.005125518165102</v>
      </c>
      <c r="O5403">
        <v>49.547650275686202</v>
      </c>
      <c r="P5403">
        <v>-0.124638264984964</v>
      </c>
      <c r="Q5403">
        <v>3.9211383926885703E-2</v>
      </c>
      <c r="R5403">
        <v>0.99901373533965099</v>
      </c>
      <c r="S5403" t="s">
        <v>11805</v>
      </c>
      <c r="T5403" t="s">
        <v>12802</v>
      </c>
      <c r="U5403" t="s">
        <v>12802</v>
      </c>
      <c r="V5403" t="s">
        <v>12802</v>
      </c>
      <c r="W5403" t="s">
        <v>18140</v>
      </c>
      <c r="X5403">
        <v>9</v>
      </c>
      <c r="Y5403" t="s">
        <v>24351</v>
      </c>
      <c r="Z5403" t="s">
        <v>30721</v>
      </c>
      <c r="AA5403">
        <v>0.45857979145895411</v>
      </c>
      <c r="AB5403" t="str">
        <f>HYPERLINK("Melting_Curves/meltCurve_Q9H074_PAIP1.pdf", "Melting_Curves/meltCurve_Q9H074_PAIP1.pdf")</f>
        <v>Melting_Curves/meltCurve_Q9H074_PAIP1.pdf</v>
      </c>
    </row>
    <row r="5404" spans="1:28" x14ac:dyDescent="0.25">
      <c r="A5404" t="s">
        <v>5408</v>
      </c>
      <c r="B5404">
        <v>0.99542014353169495</v>
      </c>
      <c r="C5404">
        <v>1.0027916019424099</v>
      </c>
      <c r="D5404">
        <v>0.97149684609765197</v>
      </c>
      <c r="E5404">
        <v>0.88852247315302502</v>
      </c>
      <c r="F5404">
        <v>0.73371375566347596</v>
      </c>
      <c r="G5404">
        <v>0.46946100283583497</v>
      </c>
      <c r="H5404">
        <v>9.9201820017077294E-2</v>
      </c>
      <c r="I5404">
        <v>6.4568283071948604E-2</v>
      </c>
      <c r="J5404">
        <v>6.20786827870035E-2</v>
      </c>
      <c r="K5404">
        <v>6.9222889310904603E-2</v>
      </c>
      <c r="L5404">
        <v>1082.98049576113</v>
      </c>
      <c r="M5404">
        <v>20.558374734586501</v>
      </c>
      <c r="N5404">
        <v>52.802966017575201</v>
      </c>
      <c r="O5404">
        <v>52.187484586933699</v>
      </c>
      <c r="P5404">
        <v>-9.6153599461125505E-2</v>
      </c>
      <c r="Q5404">
        <v>2.3683991233180799E-2</v>
      </c>
      <c r="R5404">
        <v>0.99153194344233797</v>
      </c>
      <c r="S5404" t="s">
        <v>11806</v>
      </c>
      <c r="T5404" t="s">
        <v>12802</v>
      </c>
      <c r="U5404" t="s">
        <v>12802</v>
      </c>
      <c r="V5404" t="s">
        <v>12802</v>
      </c>
      <c r="W5404" t="s">
        <v>18141</v>
      </c>
      <c r="X5404">
        <v>30</v>
      </c>
      <c r="Y5404" t="s">
        <v>24352</v>
      </c>
      <c r="Z5404" t="s">
        <v>30722</v>
      </c>
      <c r="AA5404">
        <v>0.54582875508296824</v>
      </c>
      <c r="AB5404" t="str">
        <f>HYPERLINK("Melting_Curves/meltCurve_Q9H078_2_CLPB.pdf", "Melting_Curves/meltCurve_Q9H078_2_CLPB.pdf")</f>
        <v>Melting_Curves/meltCurve_Q9H078_2_CLPB.pdf</v>
      </c>
    </row>
    <row r="5405" spans="1:28" x14ac:dyDescent="0.25">
      <c r="A5405" t="s">
        <v>5409</v>
      </c>
      <c r="B5405">
        <v>0.99542014353169495</v>
      </c>
      <c r="C5405">
        <v>0.92836536921840296</v>
      </c>
      <c r="D5405">
        <v>0.90899647891468405</v>
      </c>
      <c r="E5405">
        <v>1.0328769179394901</v>
      </c>
      <c r="F5405">
        <v>0.53050673696244</v>
      </c>
      <c r="G5405">
        <v>0.205837441207534</v>
      </c>
      <c r="H5405">
        <v>0.109781670745209</v>
      </c>
      <c r="I5405">
        <v>8.6209276707295293E-2</v>
      </c>
      <c r="J5405">
        <v>0.12702969656884899</v>
      </c>
      <c r="K5405">
        <v>3.4340654209607302E-2</v>
      </c>
      <c r="L5405">
        <v>2001.4914778969801</v>
      </c>
      <c r="M5405">
        <v>39.844940765683099</v>
      </c>
      <c r="N5405">
        <v>50.504735289877701</v>
      </c>
      <c r="O5405">
        <v>50.105979966865597</v>
      </c>
      <c r="P5405">
        <v>-0.179560244525931</v>
      </c>
      <c r="Q5405">
        <v>9.6796440206921602E-2</v>
      </c>
      <c r="R5405">
        <v>0.98402828682086996</v>
      </c>
      <c r="S5405" t="s">
        <v>11807</v>
      </c>
      <c r="T5405" t="s">
        <v>12802</v>
      </c>
      <c r="U5405" t="s">
        <v>12802</v>
      </c>
      <c r="V5405" t="s">
        <v>12802</v>
      </c>
      <c r="W5405" t="s">
        <v>18142</v>
      </c>
      <c r="X5405">
        <v>3</v>
      </c>
      <c r="Y5405" t="s">
        <v>24353</v>
      </c>
      <c r="Z5405" t="s">
        <v>30723</v>
      </c>
      <c r="AA5405">
        <v>0.49832803338864201</v>
      </c>
      <c r="AB5405" t="str">
        <f>HYPERLINK("Melting_Curves/meltCurve_Q9H081_MIS12.pdf", "Melting_Curves/meltCurve_Q9H081_MIS12.pdf")</f>
        <v>Melting_Curves/meltCurve_Q9H081_MIS12.pdf</v>
      </c>
    </row>
    <row r="5406" spans="1:28" x14ac:dyDescent="0.25">
      <c r="A5406" t="s">
        <v>5410</v>
      </c>
      <c r="B5406">
        <v>0.99542014353169495</v>
      </c>
      <c r="C5406">
        <v>0.98734479096376404</v>
      </c>
      <c r="D5406">
        <v>0.93584505812692997</v>
      </c>
      <c r="E5406">
        <v>0.92530991123191098</v>
      </c>
      <c r="F5406">
        <v>0.80362143949284104</v>
      </c>
      <c r="G5406">
        <v>0.60466080120141097</v>
      </c>
      <c r="H5406">
        <v>0.35921776294176</v>
      </c>
      <c r="I5406">
        <v>0.22972939056146799</v>
      </c>
      <c r="J5406">
        <v>0.15312483176201799</v>
      </c>
      <c r="K5406">
        <v>0.126480589375636</v>
      </c>
      <c r="L5406">
        <v>785.70543851074297</v>
      </c>
      <c r="M5406">
        <v>14.3436187478687</v>
      </c>
      <c r="N5406">
        <v>55.205994597511697</v>
      </c>
      <c r="O5406">
        <v>53.745636441179201</v>
      </c>
      <c r="P5406">
        <v>-6.3211642778518706E-2</v>
      </c>
      <c r="Q5406">
        <v>5.2696216083752301E-2</v>
      </c>
      <c r="R5406">
        <v>0.99753558309166301</v>
      </c>
      <c r="S5406" t="s">
        <v>11808</v>
      </c>
      <c r="T5406" t="s">
        <v>12802</v>
      </c>
      <c r="U5406" t="s">
        <v>12802</v>
      </c>
      <c r="V5406" t="s">
        <v>12802</v>
      </c>
      <c r="W5406" t="s">
        <v>18143</v>
      </c>
      <c r="X5406">
        <v>5</v>
      </c>
      <c r="Y5406" t="s">
        <v>24354</v>
      </c>
      <c r="Z5406" t="s">
        <v>30724</v>
      </c>
      <c r="AA5406">
        <v>0.62814567332632065</v>
      </c>
      <c r="AB5406" t="str">
        <f>HYPERLINK("Melting_Curves/meltCurve_Q9H082_RAB33B.pdf", "Melting_Curves/meltCurve_Q9H082_RAB33B.pdf")</f>
        <v>Melting_Curves/meltCurve_Q9H082_RAB33B.pdf</v>
      </c>
    </row>
    <row r="5407" spans="1:28" x14ac:dyDescent="0.25">
      <c r="A5407" t="s">
        <v>5411</v>
      </c>
      <c r="B5407">
        <v>0.99542014353169495</v>
      </c>
      <c r="C5407">
        <v>0.88899516803453404</v>
      </c>
      <c r="D5407">
        <v>0.93644815769998702</v>
      </c>
      <c r="E5407">
        <v>0.58415148736967903</v>
      </c>
      <c r="F5407">
        <v>0.14362389974393899</v>
      </c>
      <c r="G5407">
        <v>8.3912083100150803E-2</v>
      </c>
      <c r="H5407">
        <v>5.3056455985713603E-2</v>
      </c>
      <c r="I5407">
        <v>4.1283997157020802E-2</v>
      </c>
      <c r="J5407">
        <v>4.9992820766282697E-2</v>
      </c>
      <c r="K5407">
        <v>5.7691119292831598E-2</v>
      </c>
      <c r="L5407">
        <v>1422.18233312912</v>
      </c>
      <c r="M5407">
        <v>30.315789600995402</v>
      </c>
      <c r="N5407">
        <v>47.074119208942697</v>
      </c>
      <c r="O5407">
        <v>46.709549352002099</v>
      </c>
      <c r="P5407">
        <v>-0.15422725816798699</v>
      </c>
      <c r="Q5407">
        <v>4.9493123894272198E-2</v>
      </c>
      <c r="R5407">
        <v>0.99213637599876103</v>
      </c>
      <c r="S5407" t="s">
        <v>11809</v>
      </c>
      <c r="T5407" t="s">
        <v>12802</v>
      </c>
      <c r="U5407" t="s">
        <v>12802</v>
      </c>
      <c r="V5407" t="s">
        <v>12802</v>
      </c>
      <c r="W5407" t="s">
        <v>18144</v>
      </c>
      <c r="X5407">
        <v>16</v>
      </c>
      <c r="Y5407" t="s">
        <v>24355</v>
      </c>
      <c r="Z5407" t="s">
        <v>30725</v>
      </c>
      <c r="AA5407">
        <v>0.36894855266540549</v>
      </c>
      <c r="AB5407" t="str">
        <f>HYPERLINK("Melting_Curves/meltCurve_Q9H089_LSG1.pdf", "Melting_Curves/meltCurve_Q9H089_LSG1.pdf")</f>
        <v>Melting_Curves/meltCurve_Q9H089_LSG1.pdf</v>
      </c>
    </row>
    <row r="5408" spans="1:28" x14ac:dyDescent="0.25">
      <c r="A5408" t="s">
        <v>5412</v>
      </c>
      <c r="B5408">
        <v>0.99542014353169495</v>
      </c>
      <c r="C5408">
        <v>0.90904553059856297</v>
      </c>
      <c r="D5408">
        <v>1.00630717856556</v>
      </c>
      <c r="E5408">
        <v>0.69853588841246095</v>
      </c>
      <c r="F5408">
        <v>0.25687195869649099</v>
      </c>
      <c r="G5408">
        <v>0.11049369273957001</v>
      </c>
      <c r="H5408">
        <v>7.0391235803074798E-2</v>
      </c>
      <c r="I5408">
        <v>4.7591309643597701E-2</v>
      </c>
      <c r="J5408">
        <v>5.7922291281819603E-2</v>
      </c>
      <c r="K5408">
        <v>5.5001071389379902E-2</v>
      </c>
      <c r="L5408">
        <v>1373.1847787858601</v>
      </c>
      <c r="M5408">
        <v>28.673447647578001</v>
      </c>
      <c r="N5408">
        <v>48.097233568875303</v>
      </c>
      <c r="O5408">
        <v>47.659343721139003</v>
      </c>
      <c r="P5408">
        <v>-0.141688263296606</v>
      </c>
      <c r="Q5408">
        <v>5.7983291332264798E-2</v>
      </c>
      <c r="R5408">
        <v>0.99397140277114004</v>
      </c>
      <c r="S5408" t="s">
        <v>11810</v>
      </c>
      <c r="T5408" t="s">
        <v>12802</v>
      </c>
      <c r="U5408" t="s">
        <v>12802</v>
      </c>
      <c r="V5408" t="s">
        <v>12802</v>
      </c>
      <c r="W5408" t="s">
        <v>18145</v>
      </c>
      <c r="X5408">
        <v>27</v>
      </c>
      <c r="Y5408" t="s">
        <v>24356</v>
      </c>
      <c r="Z5408" t="s">
        <v>30726</v>
      </c>
      <c r="AA5408">
        <v>0.40604689752390422</v>
      </c>
      <c r="AB5408" t="str">
        <f>HYPERLINK("Melting_Curves/meltCurve_Q9H0B6_KLC2.pdf", "Melting_Curves/meltCurve_Q9H0B6_KLC2.pdf")</f>
        <v>Melting_Curves/meltCurve_Q9H0B6_KLC2.pdf</v>
      </c>
    </row>
    <row r="5409" spans="1:28" x14ac:dyDescent="0.25">
      <c r="A5409" t="s">
        <v>5413</v>
      </c>
      <c r="B5409">
        <v>0.99542014353169495</v>
      </c>
      <c r="C5409">
        <v>1.0356364601082999</v>
      </c>
      <c r="D5409">
        <v>0.89694785000669297</v>
      </c>
      <c r="E5409">
        <v>0.73767130260510805</v>
      </c>
      <c r="F5409">
        <v>0.27915094157000903</v>
      </c>
      <c r="G5409">
        <v>0.12932242190885601</v>
      </c>
      <c r="H5409">
        <v>7.8323047846645497E-2</v>
      </c>
      <c r="I5409">
        <v>7.2744430143208597E-2</v>
      </c>
      <c r="J5409">
        <v>7.0344202028113798E-2</v>
      </c>
      <c r="K5409">
        <v>8.9839811068588196E-2</v>
      </c>
      <c r="L5409">
        <v>1273.1787598272399</v>
      </c>
      <c r="M5409">
        <v>26.5170206473252</v>
      </c>
      <c r="N5409">
        <v>48.301607476597901</v>
      </c>
      <c r="O5409">
        <v>47.743070901571699</v>
      </c>
      <c r="P5409">
        <v>-0.12870225365195401</v>
      </c>
      <c r="Q5409">
        <v>7.3112245190904701E-2</v>
      </c>
      <c r="R5409">
        <v>0.99579816449996095</v>
      </c>
      <c r="S5409" t="s">
        <v>11811</v>
      </c>
      <c r="T5409" t="s">
        <v>12802</v>
      </c>
      <c r="U5409" t="s">
        <v>12802</v>
      </c>
      <c r="V5409" t="s">
        <v>12802</v>
      </c>
      <c r="W5409" t="s">
        <v>18146</v>
      </c>
      <c r="X5409">
        <v>17</v>
      </c>
      <c r="Y5409" t="s">
        <v>24357</v>
      </c>
      <c r="Z5409" t="s">
        <v>30727</v>
      </c>
      <c r="AA5409">
        <v>0.42042108513092907</v>
      </c>
      <c r="AB5409" t="str">
        <f>HYPERLINK("Melting_Curves/meltCurve_Q9H0C8_ILKAP.pdf", "Melting_Curves/meltCurve_Q9H0C8_ILKAP.pdf")</f>
        <v>Melting_Curves/meltCurve_Q9H0C8_ILKAP.pdf</v>
      </c>
    </row>
    <row r="5410" spans="1:28" x14ac:dyDescent="0.25">
      <c r="A5410" t="s">
        <v>5414</v>
      </c>
      <c r="B5410">
        <v>0.99542014353169495</v>
      </c>
      <c r="C5410">
        <v>0.89934967193116799</v>
      </c>
      <c r="D5410">
        <v>0.92095561802661896</v>
      </c>
      <c r="E5410">
        <v>0.63691516470028298</v>
      </c>
      <c r="F5410">
        <v>0.50352568776323203</v>
      </c>
      <c r="G5410">
        <v>0.32349083792465899</v>
      </c>
      <c r="H5410">
        <v>0.234053603164116</v>
      </c>
      <c r="I5410">
        <v>0.192625729798546</v>
      </c>
      <c r="J5410">
        <v>0.26477928897139202</v>
      </c>
      <c r="K5410">
        <v>0.262286777100038</v>
      </c>
      <c r="L5410">
        <v>736.17777889324304</v>
      </c>
      <c r="M5410">
        <v>15.4612446902907</v>
      </c>
      <c r="N5410">
        <v>49.435717885204497</v>
      </c>
      <c r="O5410">
        <v>46.839198196160702</v>
      </c>
      <c r="P5410">
        <v>-6.4610419067282807E-2</v>
      </c>
      <c r="Q5410">
        <v>0.217131969144708</v>
      </c>
      <c r="R5410">
        <v>0.98276426801302097</v>
      </c>
      <c r="S5410" t="s">
        <v>11812</v>
      </c>
      <c r="T5410" t="s">
        <v>12802</v>
      </c>
      <c r="U5410" t="s">
        <v>12802</v>
      </c>
      <c r="V5410" t="s">
        <v>12802</v>
      </c>
      <c r="W5410" t="s">
        <v>18147</v>
      </c>
      <c r="X5410">
        <v>13</v>
      </c>
      <c r="Y5410" t="s">
        <v>24358</v>
      </c>
      <c r="Z5410" t="s">
        <v>30728</v>
      </c>
      <c r="AA5410">
        <v>0.51061790829541376</v>
      </c>
      <c r="AB5410" t="str">
        <f>HYPERLINK("Melting_Curves/meltCurve_Q9H0D6_XRN2.pdf", "Melting_Curves/meltCurve_Q9H0D6_XRN2.pdf")</f>
        <v>Melting_Curves/meltCurve_Q9H0D6_XRN2.pdf</v>
      </c>
    </row>
    <row r="5411" spans="1:28" x14ac:dyDescent="0.25">
      <c r="A5411" t="s">
        <v>5415</v>
      </c>
      <c r="B5411">
        <v>0.99542014353169495</v>
      </c>
      <c r="C5411">
        <v>0.98759568865923497</v>
      </c>
      <c r="D5411">
        <v>0.84302862052425598</v>
      </c>
      <c r="E5411">
        <v>0.77223773940546103</v>
      </c>
      <c r="F5411">
        <v>0.46619689301487999</v>
      </c>
      <c r="G5411">
        <v>0.253878706381024</v>
      </c>
      <c r="H5411">
        <v>0.108758680622503</v>
      </c>
      <c r="I5411">
        <v>7.3316173280491198E-2</v>
      </c>
      <c r="J5411">
        <v>6.0811104328025098E-2</v>
      </c>
      <c r="K5411">
        <v>7.0714993583878796E-2</v>
      </c>
      <c r="L5411">
        <v>755.53037065315903</v>
      </c>
      <c r="M5411">
        <v>15.246688617347401</v>
      </c>
      <c r="N5411">
        <v>49.745850708617901</v>
      </c>
      <c r="O5411">
        <v>48.724730385410403</v>
      </c>
      <c r="P5411">
        <v>-7.5999523257181206E-2</v>
      </c>
      <c r="Q5411">
        <v>2.8587669048513401E-2</v>
      </c>
      <c r="R5411">
        <v>0.99437674281802102</v>
      </c>
      <c r="S5411" t="s">
        <v>11813</v>
      </c>
      <c r="T5411" t="s">
        <v>12802</v>
      </c>
      <c r="U5411" t="s">
        <v>12802</v>
      </c>
      <c r="V5411" t="s">
        <v>12802</v>
      </c>
      <c r="W5411" t="s">
        <v>18148</v>
      </c>
      <c r="X5411">
        <v>7</v>
      </c>
      <c r="Y5411" t="s">
        <v>24359</v>
      </c>
      <c r="Z5411" t="s">
        <v>30729</v>
      </c>
      <c r="AA5411">
        <v>0.4551667285982185</v>
      </c>
      <c r="AB5411" t="str">
        <f>HYPERLINK("Melting_Curves/meltCurve_Q9H0E2_TOLLIP.pdf", "Melting_Curves/meltCurve_Q9H0E2_TOLLIP.pdf")</f>
        <v>Melting_Curves/meltCurve_Q9H0E2_TOLLIP.pdf</v>
      </c>
    </row>
    <row r="5412" spans="1:28" x14ac:dyDescent="0.25">
      <c r="A5412" t="s">
        <v>5416</v>
      </c>
      <c r="B5412">
        <v>0.99542014353169495</v>
      </c>
      <c r="C5412">
        <v>0.99567744939800296</v>
      </c>
      <c r="D5412">
        <v>0.95793171845082803</v>
      </c>
      <c r="E5412">
        <v>0.681280684684755</v>
      </c>
      <c r="F5412">
        <v>0.45487317283272799</v>
      </c>
      <c r="G5412">
        <v>0.24493294252553199</v>
      </c>
      <c r="H5412">
        <v>0.14397834435489201</v>
      </c>
      <c r="I5412">
        <v>9.1757629436782701E-2</v>
      </c>
      <c r="J5412">
        <v>8.6514319347810606E-2</v>
      </c>
      <c r="K5412">
        <v>0.10223690752391699</v>
      </c>
      <c r="L5412">
        <v>833.93908335613503</v>
      </c>
      <c r="M5412">
        <v>17.063403859352601</v>
      </c>
      <c r="N5412">
        <v>49.363033915378999</v>
      </c>
      <c r="O5412">
        <v>48.216503356332097</v>
      </c>
      <c r="P5412">
        <v>-8.1584365586971103E-2</v>
      </c>
      <c r="Q5412">
        <v>7.7915669189701303E-2</v>
      </c>
      <c r="R5412">
        <v>0.99698863167481</v>
      </c>
      <c r="S5412" t="s">
        <v>11814</v>
      </c>
      <c r="T5412" t="s">
        <v>12802</v>
      </c>
      <c r="U5412" t="s">
        <v>12802</v>
      </c>
      <c r="V5412" t="s">
        <v>12802</v>
      </c>
      <c r="W5412" t="s">
        <v>18149</v>
      </c>
      <c r="X5412">
        <v>11</v>
      </c>
      <c r="Y5412" t="s">
        <v>24360</v>
      </c>
      <c r="Z5412" t="s">
        <v>30730</v>
      </c>
      <c r="AA5412">
        <v>0.45893874640390397</v>
      </c>
      <c r="AB5412" t="str">
        <f>HYPERLINK("Melting_Curves/meltCurve_Q9H0E9_2_BRD8.pdf", "Melting_Curves/meltCurve_Q9H0E9_2_BRD8.pdf")</f>
        <v>Melting_Curves/meltCurve_Q9H0E9_2_BRD8.pdf</v>
      </c>
    </row>
    <row r="5413" spans="1:28" x14ac:dyDescent="0.25">
      <c r="A5413" t="s">
        <v>5417</v>
      </c>
      <c r="B5413">
        <v>0.99542014353169495</v>
      </c>
      <c r="C5413">
        <v>0.86504846582642203</v>
      </c>
      <c r="D5413">
        <v>0.65439893949566996</v>
      </c>
      <c r="E5413">
        <v>0.38755615018828099</v>
      </c>
      <c r="F5413">
        <v>0.20603780851231901</v>
      </c>
      <c r="G5413">
        <v>0.15721497539239901</v>
      </c>
      <c r="H5413">
        <v>7.2155799992214706E-2</v>
      </c>
      <c r="I5413">
        <v>5.1767823669660498E-2</v>
      </c>
      <c r="J5413">
        <v>5.0109677199574501E-2</v>
      </c>
      <c r="K5413">
        <v>3.1503459594189501E-2</v>
      </c>
      <c r="L5413">
        <v>647.31223385462204</v>
      </c>
      <c r="M5413">
        <v>14.425631121034501</v>
      </c>
      <c r="N5413">
        <v>45.120169292734502</v>
      </c>
      <c r="O5413">
        <v>44.036507435306298</v>
      </c>
      <c r="P5413">
        <v>-7.8786116349187196E-2</v>
      </c>
      <c r="Q5413">
        <v>3.8085382868764603E-2</v>
      </c>
      <c r="R5413">
        <v>0.99713544688533695</v>
      </c>
      <c r="S5413" t="s">
        <v>11815</v>
      </c>
      <c r="T5413" t="s">
        <v>12802</v>
      </c>
      <c r="U5413" t="s">
        <v>12802</v>
      </c>
      <c r="V5413" t="s">
        <v>12802</v>
      </c>
      <c r="W5413" t="s">
        <v>18150</v>
      </c>
      <c r="X5413">
        <v>3</v>
      </c>
      <c r="Y5413" t="s">
        <v>24361</v>
      </c>
      <c r="Z5413" t="s">
        <v>30731</v>
      </c>
      <c r="AA5413">
        <v>0.3153502662520184</v>
      </c>
      <c r="AB5413" t="str">
        <f>HYPERLINK("Melting_Curves/meltCurve_Q9H0F6_2_SHARPIN.pdf", "Melting_Curves/meltCurve_Q9H0F6_2_SHARPIN.pdf")</f>
        <v>Melting_Curves/meltCurve_Q9H0F6_2_SHARPIN.pdf</v>
      </c>
    </row>
    <row r="5414" spans="1:28" x14ac:dyDescent="0.25">
      <c r="A5414" t="s">
        <v>5418</v>
      </c>
      <c r="B5414">
        <v>0.99542014353169495</v>
      </c>
      <c r="C5414">
        <v>0.953614003966195</v>
      </c>
      <c r="D5414">
        <v>0.92117629137822299</v>
      </c>
      <c r="E5414">
        <v>0.79426706573683503</v>
      </c>
      <c r="F5414">
        <v>0.57291181986847195</v>
      </c>
      <c r="G5414">
        <v>0.470035846156035</v>
      </c>
      <c r="H5414">
        <v>0.40077472144477699</v>
      </c>
      <c r="I5414">
        <v>0.37129519308522102</v>
      </c>
      <c r="J5414">
        <v>0.66117203524451895</v>
      </c>
      <c r="K5414">
        <v>0.84954453607686897</v>
      </c>
      <c r="L5414">
        <v>1530.92729903032</v>
      </c>
      <c r="M5414">
        <v>32.872069019981801</v>
      </c>
      <c r="O5414">
        <v>46.4009428963871</v>
      </c>
      <c r="P5414">
        <v>-7.99590113127229E-2</v>
      </c>
      <c r="Q5414">
        <v>0.548533859227334</v>
      </c>
      <c r="R5414">
        <v>0.66150225043842303</v>
      </c>
      <c r="S5414" t="s">
        <v>11816</v>
      </c>
      <c r="T5414" t="s">
        <v>12802</v>
      </c>
      <c r="U5414" t="s">
        <v>12802</v>
      </c>
      <c r="V5414" t="s">
        <v>12802</v>
      </c>
      <c r="W5414" t="s">
        <v>18151</v>
      </c>
      <c r="X5414">
        <v>14</v>
      </c>
      <c r="Y5414" t="s">
        <v>24362</v>
      </c>
      <c r="Z5414" t="s">
        <v>30732</v>
      </c>
      <c r="AA5414">
        <v>0.6947482881589464</v>
      </c>
      <c r="AB5414" t="str">
        <f>HYPERLINK("Melting_Curves/meltCurve_Q9H0G5_NSRP1.pdf", "Melting_Curves/meltCurve_Q9H0G5_NSRP1.pdf")</f>
        <v>Melting_Curves/meltCurve_Q9H0G5_NSRP1.pdf</v>
      </c>
    </row>
    <row r="5415" spans="1:28" x14ac:dyDescent="0.25">
      <c r="A5415" t="s">
        <v>5419</v>
      </c>
      <c r="B5415">
        <v>0.99542014353169495</v>
      </c>
      <c r="C5415">
        <v>0.81012880433137802</v>
      </c>
      <c r="D5415">
        <v>0.69892781277727201</v>
      </c>
      <c r="E5415">
        <v>0.39913771574534201</v>
      </c>
      <c r="F5415">
        <v>0.16291000537754499</v>
      </c>
      <c r="G5415">
        <v>9.0456102472735306E-2</v>
      </c>
      <c r="H5415">
        <v>6.3169713558708401E-2</v>
      </c>
      <c r="I5415">
        <v>4.8099825748139501E-2</v>
      </c>
      <c r="J5415">
        <v>6.3338295689558205E-2</v>
      </c>
      <c r="K5415">
        <v>8.3396248730065903E-2</v>
      </c>
      <c r="L5415">
        <v>701.66654994025203</v>
      </c>
      <c r="M5415">
        <v>15.6795352056374</v>
      </c>
      <c r="N5415">
        <v>45.016083197381001</v>
      </c>
      <c r="O5415">
        <v>44.0415156719828</v>
      </c>
      <c r="P5415">
        <v>-8.5079024014937998E-2</v>
      </c>
      <c r="Q5415">
        <v>4.4183147540602402E-2</v>
      </c>
      <c r="R5415">
        <v>0.99221080328135902</v>
      </c>
      <c r="S5415" t="s">
        <v>11817</v>
      </c>
      <c r="T5415" t="s">
        <v>12802</v>
      </c>
      <c r="U5415" t="s">
        <v>12802</v>
      </c>
      <c r="V5415" t="s">
        <v>12802</v>
      </c>
      <c r="W5415" t="s">
        <v>18152</v>
      </c>
      <c r="X5415">
        <v>6</v>
      </c>
      <c r="Y5415" t="s">
        <v>24363</v>
      </c>
      <c r="Z5415" t="s">
        <v>30733</v>
      </c>
      <c r="AA5415">
        <v>0.31209429411385159</v>
      </c>
      <c r="AB5415" t="str">
        <f>HYPERLINK("Melting_Curves/meltCurve_Q9H0H5_RACGAP1.pdf", "Melting_Curves/meltCurve_Q9H0H5_RACGAP1.pdf")</f>
        <v>Melting_Curves/meltCurve_Q9H0H5_RACGAP1.pdf</v>
      </c>
    </row>
    <row r="5416" spans="1:28" x14ac:dyDescent="0.25">
      <c r="A5416" t="s">
        <v>5420</v>
      </c>
      <c r="B5416">
        <v>0.99542014353169495</v>
      </c>
      <c r="C5416">
        <v>0.93931783592951001</v>
      </c>
      <c r="D5416">
        <v>0.94117897527061101</v>
      </c>
      <c r="E5416">
        <v>0.61671187902355995</v>
      </c>
      <c r="F5416">
        <v>0.33921717069854601</v>
      </c>
      <c r="G5416">
        <v>0.17872805171474701</v>
      </c>
      <c r="H5416">
        <v>9.9894800877209602E-2</v>
      </c>
      <c r="I5416">
        <v>9.5057647516757104E-2</v>
      </c>
      <c r="J5416">
        <v>0.106551054995089</v>
      </c>
      <c r="K5416">
        <v>0.122090764583837</v>
      </c>
      <c r="L5416">
        <v>975.30920758693196</v>
      </c>
      <c r="M5416">
        <v>20.5302937210474</v>
      </c>
      <c r="N5416">
        <v>48.018803780713498</v>
      </c>
      <c r="O5416">
        <v>47.062027330238102</v>
      </c>
      <c r="P5416">
        <v>-9.83243515399779E-2</v>
      </c>
      <c r="Q5416">
        <v>9.8462496848481407E-2</v>
      </c>
      <c r="R5416">
        <v>0.99631069631768399</v>
      </c>
      <c r="S5416" t="s">
        <v>11818</v>
      </c>
      <c r="T5416" t="s">
        <v>12802</v>
      </c>
      <c r="U5416" t="s">
        <v>12802</v>
      </c>
      <c r="V5416" t="s">
        <v>12802</v>
      </c>
      <c r="W5416" t="s">
        <v>18153</v>
      </c>
      <c r="X5416">
        <v>3</v>
      </c>
      <c r="Y5416" t="s">
        <v>24364</v>
      </c>
      <c r="Z5416" t="s">
        <v>30734</v>
      </c>
      <c r="AA5416">
        <v>0.4254176260152569</v>
      </c>
      <c r="AB5416" t="str">
        <f>HYPERLINK("Melting_Curves/meltCurve_Q9H0J9_PARP12.pdf", "Melting_Curves/meltCurve_Q9H0J9_PARP12.pdf")</f>
        <v>Melting_Curves/meltCurve_Q9H0J9_PARP12.pdf</v>
      </c>
    </row>
    <row r="5417" spans="1:28" x14ac:dyDescent="0.25">
      <c r="A5417" t="s">
        <v>5421</v>
      </c>
      <c r="B5417">
        <v>0.99542014353169495</v>
      </c>
      <c r="C5417">
        <v>0.89342838597706997</v>
      </c>
      <c r="D5417">
        <v>0.79744392753958604</v>
      </c>
      <c r="E5417">
        <v>0.56199902398517998</v>
      </c>
      <c r="F5417">
        <v>0.35791365681929899</v>
      </c>
      <c r="G5417">
        <v>0.15531062832774001</v>
      </c>
      <c r="H5417">
        <v>0.122071508813148</v>
      </c>
      <c r="I5417">
        <v>9.4347587080991502E-2</v>
      </c>
      <c r="J5417">
        <v>6.4286884095710706E-2</v>
      </c>
      <c r="K5417">
        <v>0.14018469643042999</v>
      </c>
      <c r="L5417">
        <v>670.28615727355395</v>
      </c>
      <c r="M5417">
        <v>14.305147837666301</v>
      </c>
      <c r="N5417">
        <v>47.3576663317711</v>
      </c>
      <c r="O5417">
        <v>45.969182281083498</v>
      </c>
      <c r="P5417">
        <v>-7.2339567543085501E-2</v>
      </c>
      <c r="Q5417">
        <v>7.0269007514127499E-2</v>
      </c>
      <c r="R5417">
        <v>0.99303575510530995</v>
      </c>
      <c r="S5417" t="s">
        <v>11819</v>
      </c>
      <c r="T5417" t="s">
        <v>12802</v>
      </c>
      <c r="U5417" t="s">
        <v>12802</v>
      </c>
      <c r="V5417" t="s">
        <v>12802</v>
      </c>
      <c r="W5417" t="s">
        <v>18154</v>
      </c>
      <c r="X5417">
        <v>1</v>
      </c>
      <c r="Y5417" t="s">
        <v>24365</v>
      </c>
      <c r="Z5417" t="s">
        <v>30735</v>
      </c>
      <c r="AA5417">
        <v>0.3985818681717922</v>
      </c>
      <c r="AB5417" t="str">
        <f>HYPERLINK("Melting_Curves/meltCurve_Q9H0K1_SIK2.pdf", "Melting_Curves/meltCurve_Q9H0K1_SIK2.pdf")</f>
        <v>Melting_Curves/meltCurve_Q9H0K1_SIK2.pdf</v>
      </c>
    </row>
    <row r="5418" spans="1:28" x14ac:dyDescent="0.25">
      <c r="A5418" t="s">
        <v>5422</v>
      </c>
      <c r="B5418">
        <v>0.99542014353169495</v>
      </c>
      <c r="C5418">
        <v>0.97190363414730097</v>
      </c>
      <c r="D5418">
        <v>0.92732464908046197</v>
      </c>
      <c r="E5418">
        <v>0.76677280576816098</v>
      </c>
      <c r="F5418">
        <v>0.47587789921836399</v>
      </c>
      <c r="G5418">
        <v>0.22222994450551201</v>
      </c>
      <c r="H5418">
        <v>0.113698221636281</v>
      </c>
      <c r="I5418">
        <v>6.4780951996431593E-2</v>
      </c>
      <c r="J5418">
        <v>5.8759256113441398E-2</v>
      </c>
      <c r="K5418">
        <v>5.2837348167818002E-2</v>
      </c>
      <c r="L5418">
        <v>870.07050364750796</v>
      </c>
      <c r="M5418">
        <v>17.543700390997198</v>
      </c>
      <c r="N5418">
        <v>49.806369768470397</v>
      </c>
      <c r="O5418">
        <v>48.9635489224205</v>
      </c>
      <c r="P5418">
        <v>-8.6358885048881506E-2</v>
      </c>
      <c r="Q5418">
        <v>3.59601261494416E-2</v>
      </c>
      <c r="R5418">
        <v>0.99958317581815403</v>
      </c>
      <c r="S5418" t="s">
        <v>11820</v>
      </c>
      <c r="T5418" t="s">
        <v>12802</v>
      </c>
      <c r="U5418" t="s">
        <v>12802</v>
      </c>
      <c r="V5418" t="s">
        <v>12802</v>
      </c>
      <c r="W5418" t="s">
        <v>18155</v>
      </c>
      <c r="X5418">
        <v>14</v>
      </c>
      <c r="Y5418" t="s">
        <v>24366</v>
      </c>
      <c r="Z5418" t="s">
        <v>30736</v>
      </c>
      <c r="AA5418">
        <v>0.45660404136373889</v>
      </c>
      <c r="AB5418" t="str">
        <f>HYPERLINK("Melting_Curves/meltCurve_Q9H0K6_PUS7L.pdf", "Melting_Curves/meltCurve_Q9H0K6_PUS7L.pdf")</f>
        <v>Melting_Curves/meltCurve_Q9H0K6_PUS7L.pdf</v>
      </c>
    </row>
    <row r="5419" spans="1:28" x14ac:dyDescent="0.25">
      <c r="A5419" t="s">
        <v>5423</v>
      </c>
      <c r="B5419">
        <v>0.99542014353169495</v>
      </c>
      <c r="C5419">
        <v>1.0047450700720399</v>
      </c>
      <c r="D5419">
        <v>0.951835097133786</v>
      </c>
      <c r="E5419">
        <v>0.68102833641204896</v>
      </c>
      <c r="F5419">
        <v>0.62413135848999901</v>
      </c>
      <c r="G5419">
        <v>0.26712571575854499</v>
      </c>
      <c r="H5419">
        <v>0.15091065047414201</v>
      </c>
      <c r="I5419">
        <v>0.103052991209337</v>
      </c>
      <c r="J5419">
        <v>9.82399977356158E-2</v>
      </c>
      <c r="K5419">
        <v>0.123315597871309</v>
      </c>
      <c r="L5419">
        <v>760.14525201696802</v>
      </c>
      <c r="M5419">
        <v>15.1840544017635</v>
      </c>
      <c r="N5419">
        <v>50.517410770690297</v>
      </c>
      <c r="O5419">
        <v>49.2178480103845</v>
      </c>
      <c r="P5419">
        <v>-7.2201149263031297E-2</v>
      </c>
      <c r="Q5419">
        <v>6.3954375764915805E-2</v>
      </c>
      <c r="R5419">
        <v>0.98275726411612796</v>
      </c>
      <c r="S5419" t="s">
        <v>11821</v>
      </c>
      <c r="T5419" t="s">
        <v>12802</v>
      </c>
      <c r="U5419" t="s">
        <v>12802</v>
      </c>
      <c r="V5419" t="s">
        <v>12802</v>
      </c>
      <c r="W5419" t="s">
        <v>18156</v>
      </c>
      <c r="X5419">
        <v>16</v>
      </c>
      <c r="Y5419" t="s">
        <v>24367</v>
      </c>
      <c r="Z5419" t="s">
        <v>30737</v>
      </c>
      <c r="AA5419">
        <v>0.49069601922229827</v>
      </c>
      <c r="AB5419" t="str">
        <f>HYPERLINK("Melting_Curves/meltCurve_Q9H0L4_CSTF2T.pdf", "Melting_Curves/meltCurve_Q9H0L4_CSTF2T.pdf")</f>
        <v>Melting_Curves/meltCurve_Q9H0L4_CSTF2T.pdf</v>
      </c>
    </row>
    <row r="5420" spans="1:28" x14ac:dyDescent="0.25">
      <c r="A5420" t="s">
        <v>5424</v>
      </c>
      <c r="B5420">
        <v>0.99542014353169495</v>
      </c>
      <c r="C5420">
        <v>0.95298668565410505</v>
      </c>
      <c r="D5420">
        <v>0.96736149462549603</v>
      </c>
      <c r="E5420">
        <v>0.74934910179592595</v>
      </c>
      <c r="F5420">
        <v>0.33886338790975901</v>
      </c>
      <c r="G5420">
        <v>9.8279111508286193E-2</v>
      </c>
      <c r="H5420">
        <v>6.4055483792559903E-2</v>
      </c>
      <c r="I5420">
        <v>3.7829826781019198E-2</v>
      </c>
      <c r="J5420">
        <v>3.2029664472530403E-2</v>
      </c>
      <c r="K5420">
        <v>3.5739568533231902E-2</v>
      </c>
      <c r="L5420">
        <v>1205.23005778318</v>
      </c>
      <c r="M5420">
        <v>24.8038025816725</v>
      </c>
      <c r="N5420">
        <v>48.721539481565202</v>
      </c>
      <c r="O5420">
        <v>48.277999228108499</v>
      </c>
      <c r="P5420">
        <v>-0.124300925554019</v>
      </c>
      <c r="Q5420">
        <v>3.2258604708548903E-2</v>
      </c>
      <c r="R5420">
        <v>0.99869366665746495</v>
      </c>
      <c r="S5420" t="s">
        <v>11822</v>
      </c>
      <c r="T5420" t="s">
        <v>12802</v>
      </c>
      <c r="U5420" t="s">
        <v>12802</v>
      </c>
      <c r="V5420" t="s">
        <v>12802</v>
      </c>
      <c r="W5420" t="s">
        <v>18157</v>
      </c>
      <c r="X5420">
        <v>12</v>
      </c>
      <c r="Y5420" t="s">
        <v>24368</v>
      </c>
      <c r="Z5420" t="s">
        <v>30738</v>
      </c>
      <c r="AA5420">
        <v>0.41459219295974481</v>
      </c>
      <c r="AB5420" t="str">
        <f>HYPERLINK("Melting_Curves/meltCurve_Q9H0P0_NT5C3A.pdf", "Melting_Curves/meltCurve_Q9H0P0_NT5C3A.pdf")</f>
        <v>Melting_Curves/meltCurve_Q9H0P0_NT5C3A.pdf</v>
      </c>
    </row>
    <row r="5421" spans="1:28" x14ac:dyDescent="0.25">
      <c r="A5421" t="s">
        <v>5425</v>
      </c>
      <c r="B5421">
        <v>0.99542014353169495</v>
      </c>
      <c r="C5421">
        <v>1.05149835832997</v>
      </c>
      <c r="D5421">
        <v>0.92029641140633001</v>
      </c>
      <c r="E5421">
        <v>0.84691890298429096</v>
      </c>
      <c r="F5421">
        <v>0.71856633488438804</v>
      </c>
      <c r="G5421">
        <v>0.57348791093511897</v>
      </c>
      <c r="H5421">
        <v>0.43917979359755899</v>
      </c>
      <c r="I5421">
        <v>0.41268540857707797</v>
      </c>
      <c r="J5421">
        <v>0.60997004804811294</v>
      </c>
      <c r="K5421">
        <v>0.74967659488008098</v>
      </c>
      <c r="L5421">
        <v>1106.39818205603</v>
      </c>
      <c r="M5421">
        <v>23.017906919311098</v>
      </c>
      <c r="O5421">
        <v>47.7084578076715</v>
      </c>
      <c r="P5421">
        <v>-5.3918519695593498E-2</v>
      </c>
      <c r="Q5421">
        <v>0.55298778118898195</v>
      </c>
      <c r="R5421">
        <v>0.80926735960775298</v>
      </c>
      <c r="S5421" t="s">
        <v>11823</v>
      </c>
      <c r="T5421" t="s">
        <v>12802</v>
      </c>
      <c r="U5421" t="s">
        <v>12802</v>
      </c>
      <c r="V5421" t="s">
        <v>12802</v>
      </c>
      <c r="W5421" t="s">
        <v>18158</v>
      </c>
      <c r="X5421">
        <v>9</v>
      </c>
      <c r="Y5421" t="s">
        <v>24369</v>
      </c>
      <c r="Z5421" t="s">
        <v>30739</v>
      </c>
      <c r="AA5421">
        <v>0.722372867451196</v>
      </c>
      <c r="AB5421" t="str">
        <f>HYPERLINK("Melting_Curves/meltCurve_Q9H0R4_HDHD2.pdf", "Melting_Curves/meltCurve_Q9H0R4_HDHD2.pdf")</f>
        <v>Melting_Curves/meltCurve_Q9H0R4_HDHD2.pdf</v>
      </c>
    </row>
    <row r="5422" spans="1:28" x14ac:dyDescent="0.25">
      <c r="A5422" t="s">
        <v>5426</v>
      </c>
      <c r="B5422">
        <v>0.99542014353169495</v>
      </c>
      <c r="C5422">
        <v>0.98706043750736405</v>
      </c>
      <c r="D5422">
        <v>0.971626429861007</v>
      </c>
      <c r="E5422">
        <v>0.68495157127989403</v>
      </c>
      <c r="F5422">
        <v>0.17050924526705899</v>
      </c>
      <c r="G5422">
        <v>0.10252208186003101</v>
      </c>
      <c r="H5422">
        <v>7.1627710446598797E-2</v>
      </c>
      <c r="I5422">
        <v>5.15733784172634E-2</v>
      </c>
      <c r="J5422">
        <v>5.36450835096242E-2</v>
      </c>
      <c r="K5422">
        <v>3.38684353558453E-2</v>
      </c>
      <c r="L5422">
        <v>1670.68427505775</v>
      </c>
      <c r="M5422">
        <v>35.178725330051599</v>
      </c>
      <c r="N5422">
        <v>47.656856868647097</v>
      </c>
      <c r="O5422">
        <v>47.338649249172903</v>
      </c>
      <c r="P5422">
        <v>-0.17509983804443699</v>
      </c>
      <c r="Q5422">
        <v>5.7503044290820898E-2</v>
      </c>
      <c r="R5422">
        <v>0.99887106082958999</v>
      </c>
      <c r="S5422" t="s">
        <v>11824</v>
      </c>
      <c r="T5422" t="s">
        <v>12802</v>
      </c>
      <c r="U5422" t="s">
        <v>12802</v>
      </c>
      <c r="V5422" t="s">
        <v>12802</v>
      </c>
      <c r="W5422" t="s">
        <v>18159</v>
      </c>
      <c r="X5422">
        <v>10</v>
      </c>
      <c r="Y5422" t="s">
        <v>24370</v>
      </c>
      <c r="Z5422" t="s">
        <v>30740</v>
      </c>
      <c r="AA5422">
        <v>0.39111411515788408</v>
      </c>
      <c r="AB5422" t="str">
        <f>HYPERLINK("Melting_Curves/meltCurve_Q9H0R6_QRSL1.pdf", "Melting_Curves/meltCurve_Q9H0R6_QRSL1.pdf")</f>
        <v>Melting_Curves/meltCurve_Q9H0R6_QRSL1.pdf</v>
      </c>
    </row>
    <row r="5423" spans="1:28" x14ac:dyDescent="0.25">
      <c r="A5423" t="s">
        <v>5427</v>
      </c>
      <c r="B5423">
        <v>0.99542014353169495</v>
      </c>
      <c r="C5423">
        <v>1.05793251476563</v>
      </c>
      <c r="D5423">
        <v>1.16407074424283</v>
      </c>
      <c r="E5423">
        <v>1.19439826380627</v>
      </c>
      <c r="F5423">
        <v>0.89194249737181996</v>
      </c>
      <c r="G5423">
        <v>0.31689866522418803</v>
      </c>
      <c r="H5423">
        <v>0.14543690886091401</v>
      </c>
      <c r="I5423">
        <v>0.100731935875446</v>
      </c>
      <c r="J5423">
        <v>9.6315012788062301E-2</v>
      </c>
      <c r="K5423">
        <v>9.44248133591538E-2</v>
      </c>
      <c r="L5423">
        <v>2437.43439061443</v>
      </c>
      <c r="M5423">
        <v>46.469625326177102</v>
      </c>
      <c r="N5423">
        <v>52.718154627894599</v>
      </c>
      <c r="O5423">
        <v>52.3553515255646</v>
      </c>
      <c r="P5423">
        <v>-0.19870849052805301</v>
      </c>
      <c r="Q5423">
        <v>0.10449547565279001</v>
      </c>
      <c r="R5423">
        <v>0.96769978916495203</v>
      </c>
      <c r="S5423" t="s">
        <v>11825</v>
      </c>
      <c r="T5423" t="s">
        <v>12802</v>
      </c>
      <c r="U5423" t="s">
        <v>12802</v>
      </c>
      <c r="V5423" t="s">
        <v>12802</v>
      </c>
      <c r="W5423" t="s">
        <v>18160</v>
      </c>
      <c r="X5423">
        <v>8</v>
      </c>
      <c r="Y5423" t="s">
        <v>24371</v>
      </c>
      <c r="Z5423" t="s">
        <v>30741</v>
      </c>
      <c r="AA5423">
        <v>0.56814458712738092</v>
      </c>
      <c r="AB5423" t="str">
        <f>HYPERLINK("Melting_Curves/meltCurve_Q9H0S4_2_DDX47.pdf", "Melting_Curves/meltCurve_Q9H0S4_2_DDX47.pdf")</f>
        <v>Melting_Curves/meltCurve_Q9H0S4_2_DDX47.pdf</v>
      </c>
    </row>
    <row r="5424" spans="1:28" x14ac:dyDescent="0.25">
      <c r="A5424" t="s">
        <v>5428</v>
      </c>
      <c r="B5424">
        <v>0.99542014353169495</v>
      </c>
      <c r="C5424">
        <v>0.84204300714822</v>
      </c>
      <c r="D5424">
        <v>0.96216419881226301</v>
      </c>
      <c r="E5424">
        <v>0.60537116872025099</v>
      </c>
      <c r="F5424">
        <v>0.47906442855742298</v>
      </c>
      <c r="G5424">
        <v>0.20193604439089399</v>
      </c>
      <c r="H5424">
        <v>0.14509382150368699</v>
      </c>
      <c r="I5424">
        <v>0.12357228338701701</v>
      </c>
      <c r="J5424">
        <v>0.115327665899304</v>
      </c>
      <c r="K5424">
        <v>0.15090965044558499</v>
      </c>
      <c r="L5424">
        <v>747.18846208045795</v>
      </c>
      <c r="M5424">
        <v>15.5250796488329</v>
      </c>
      <c r="N5424">
        <v>48.828392262813402</v>
      </c>
      <c r="O5424">
        <v>47.3505385111226</v>
      </c>
      <c r="P5424">
        <v>-7.3791617721838496E-2</v>
      </c>
      <c r="Q5424">
        <v>9.9839918887087098E-2</v>
      </c>
      <c r="R5424">
        <v>0.97141823215843803</v>
      </c>
      <c r="S5424" t="s">
        <v>11826</v>
      </c>
      <c r="T5424" t="s">
        <v>12802</v>
      </c>
      <c r="U5424" t="s">
        <v>12802</v>
      </c>
      <c r="V5424" t="s">
        <v>12802</v>
      </c>
      <c r="W5424" t="s">
        <v>18161</v>
      </c>
      <c r="X5424">
        <v>4</v>
      </c>
      <c r="Y5424" t="s">
        <v>24372</v>
      </c>
      <c r="Z5424" t="s">
        <v>30742</v>
      </c>
      <c r="AA5424">
        <v>0.45239082866090458</v>
      </c>
      <c r="AB5424" t="str">
        <f>HYPERLINK("Melting_Curves/meltCurve_Q9H0U3_MAGT1.pdf", "Melting_Curves/meltCurve_Q9H0U3_MAGT1.pdf")</f>
        <v>Melting_Curves/meltCurve_Q9H0U3_MAGT1.pdf</v>
      </c>
    </row>
    <row r="5425" spans="1:28" x14ac:dyDescent="0.25">
      <c r="A5425" t="s">
        <v>5429</v>
      </c>
      <c r="B5425">
        <v>0.99542014353169495</v>
      </c>
      <c r="C5425">
        <v>0.96588425109385401</v>
      </c>
      <c r="D5425">
        <v>0.92102614773870295</v>
      </c>
      <c r="E5425">
        <v>0.88958688995365898</v>
      </c>
      <c r="F5425">
        <v>0.79072697295733896</v>
      </c>
      <c r="G5425">
        <v>0.67197242168204296</v>
      </c>
      <c r="H5425">
        <v>0.53567757089171097</v>
      </c>
      <c r="I5425">
        <v>0.47478572947283898</v>
      </c>
      <c r="J5425">
        <v>0.62074043218621699</v>
      </c>
      <c r="K5425">
        <v>0.51205678383142295</v>
      </c>
      <c r="L5425">
        <v>715.61121733494997</v>
      </c>
      <c r="M5425">
        <v>14.145409081714</v>
      </c>
      <c r="O5425">
        <v>49.610772765823</v>
      </c>
      <c r="P5425">
        <v>-3.5352497267136199E-2</v>
      </c>
      <c r="Q5425">
        <v>0.50410997188280104</v>
      </c>
      <c r="R5425">
        <v>0.94692769617372696</v>
      </c>
      <c r="S5425" t="s">
        <v>11827</v>
      </c>
      <c r="T5425" t="s">
        <v>12802</v>
      </c>
      <c r="U5425" t="s">
        <v>12802</v>
      </c>
      <c r="V5425" t="s">
        <v>12802</v>
      </c>
      <c r="W5425" t="s">
        <v>18162</v>
      </c>
      <c r="X5425">
        <v>19</v>
      </c>
      <c r="Y5425" t="s">
        <v>24373</v>
      </c>
      <c r="Z5425" t="s">
        <v>30743</v>
      </c>
      <c r="AA5425">
        <v>0.73971722140747764</v>
      </c>
      <c r="AB5425" t="str">
        <f>HYPERLINK("Melting_Curves/meltCurve_Q9H0U4_RAB1B.pdf", "Melting_Curves/meltCurve_Q9H0U4_RAB1B.pdf")</f>
        <v>Melting_Curves/meltCurve_Q9H0U4_RAB1B.pdf</v>
      </c>
    </row>
    <row r="5426" spans="1:28" x14ac:dyDescent="0.25">
      <c r="A5426" t="s">
        <v>5430</v>
      </c>
      <c r="B5426">
        <v>0.99542014353169495</v>
      </c>
      <c r="C5426">
        <v>0.89321806490937705</v>
      </c>
      <c r="D5426">
        <v>0.896892426507789</v>
      </c>
      <c r="E5426">
        <v>0.72987108438404402</v>
      </c>
      <c r="F5426">
        <v>0.72331477631021801</v>
      </c>
      <c r="G5426">
        <v>0.433933035863028</v>
      </c>
      <c r="H5426">
        <v>0.249419603952797</v>
      </c>
      <c r="I5426">
        <v>8.1657075499715695E-2</v>
      </c>
      <c r="J5426">
        <v>0.103102105439125</v>
      </c>
      <c r="K5426">
        <v>0.101153132169536</v>
      </c>
      <c r="L5426">
        <v>601.10555902390195</v>
      </c>
      <c r="M5426">
        <v>11.4933188404072</v>
      </c>
      <c r="N5426">
        <v>52.300433612015397</v>
      </c>
      <c r="O5426">
        <v>50.792274891373403</v>
      </c>
      <c r="P5426">
        <v>-5.6586320292056402E-2</v>
      </c>
      <c r="Q5426">
        <v>0</v>
      </c>
      <c r="R5426">
        <v>0.97432755852826003</v>
      </c>
      <c r="S5426" t="s">
        <v>11828</v>
      </c>
      <c r="T5426" t="s">
        <v>12802</v>
      </c>
      <c r="U5426" t="s">
        <v>12802</v>
      </c>
      <c r="V5426" t="s">
        <v>12802</v>
      </c>
      <c r="W5426" t="s">
        <v>18163</v>
      </c>
      <c r="X5426">
        <v>2</v>
      </c>
      <c r="Y5426" t="s">
        <v>24374</v>
      </c>
      <c r="Z5426" t="s">
        <v>30744</v>
      </c>
      <c r="AA5426">
        <v>0.5336908581469384</v>
      </c>
      <c r="AB5426" t="str">
        <f>HYPERLINK("Melting_Curves/meltCurve_Q9H0V1_TMEM168.pdf", "Melting_Curves/meltCurve_Q9H0V1_TMEM168.pdf")</f>
        <v>Melting_Curves/meltCurve_Q9H0V1_TMEM168.pdf</v>
      </c>
    </row>
    <row r="5427" spans="1:28" x14ac:dyDescent="0.25">
      <c r="A5427" t="s">
        <v>5431</v>
      </c>
      <c r="B5427">
        <v>0.99542014353169495</v>
      </c>
      <c r="C5427">
        <v>0.97328709262493995</v>
      </c>
      <c r="D5427">
        <v>0.85477374086492097</v>
      </c>
      <c r="E5427">
        <v>0.64932594176160796</v>
      </c>
      <c r="F5427">
        <v>0.48984234847907399</v>
      </c>
      <c r="G5427">
        <v>0.23047974453268799</v>
      </c>
      <c r="H5427">
        <v>7.7126250445618397E-2</v>
      </c>
      <c r="I5427">
        <v>4.2130545085107503E-2</v>
      </c>
      <c r="J5427">
        <v>4.1175193105375103E-2</v>
      </c>
      <c r="K5427">
        <v>4.6077376993662503E-2</v>
      </c>
      <c r="L5427">
        <v>674.37561851568</v>
      </c>
      <c r="M5427">
        <v>13.718674085241499</v>
      </c>
      <c r="N5427">
        <v>49.157477563654801</v>
      </c>
      <c r="O5427">
        <v>48.148261866100498</v>
      </c>
      <c r="P5427">
        <v>-7.1241595719197998E-2</v>
      </c>
      <c r="Q5427">
        <v>0</v>
      </c>
      <c r="R5427">
        <v>0.99428560731474702</v>
      </c>
      <c r="S5427" t="s">
        <v>11829</v>
      </c>
      <c r="T5427" t="s">
        <v>12802</v>
      </c>
      <c r="U5427" t="s">
        <v>12802</v>
      </c>
      <c r="V5427" t="s">
        <v>12802</v>
      </c>
      <c r="W5427" t="s">
        <v>18164</v>
      </c>
      <c r="X5427">
        <v>7</v>
      </c>
      <c r="Y5427" t="s">
        <v>24375</v>
      </c>
      <c r="Z5427" t="s">
        <v>30745</v>
      </c>
      <c r="AA5427">
        <v>0.42974945549306282</v>
      </c>
      <c r="AB5427" t="str">
        <f>HYPERLINK("Melting_Curves/meltCurve_Q9H0V9_LMAN2L.pdf", "Melting_Curves/meltCurve_Q9H0V9_LMAN2L.pdf")</f>
        <v>Melting_Curves/meltCurve_Q9H0V9_LMAN2L.pdf</v>
      </c>
    </row>
    <row r="5428" spans="1:28" x14ac:dyDescent="0.25">
      <c r="A5428" t="s">
        <v>5432</v>
      </c>
      <c r="B5428">
        <v>0.99542014353169495</v>
      </c>
      <c r="C5428">
        <v>0.86933554087916098</v>
      </c>
      <c r="D5428">
        <v>0.91367080128873002</v>
      </c>
      <c r="E5428">
        <v>0.61734025029765105</v>
      </c>
      <c r="F5428">
        <v>0.22889298199792901</v>
      </c>
      <c r="G5428">
        <v>0.16124296956923601</v>
      </c>
      <c r="H5428">
        <v>0.118279459625101</v>
      </c>
      <c r="I5428">
        <v>9.2852241879281705E-2</v>
      </c>
      <c r="J5428">
        <v>0.14354129708641999</v>
      </c>
      <c r="K5428">
        <v>0.16981640124321101</v>
      </c>
      <c r="L5428">
        <v>1215.52647356958</v>
      </c>
      <c r="M5428">
        <v>25.939958482587901</v>
      </c>
      <c r="N5428">
        <v>47.388910586515998</v>
      </c>
      <c r="O5428">
        <v>46.583403819380401</v>
      </c>
      <c r="P5428">
        <v>-0.12169461944306</v>
      </c>
      <c r="Q5428">
        <v>0.125845434847524</v>
      </c>
      <c r="R5428">
        <v>0.984187736155686</v>
      </c>
      <c r="S5428" t="s">
        <v>11830</v>
      </c>
      <c r="T5428" t="s">
        <v>12802</v>
      </c>
      <c r="U5428" t="s">
        <v>12802</v>
      </c>
      <c r="V5428" t="s">
        <v>12802</v>
      </c>
      <c r="W5428" t="s">
        <v>18165</v>
      </c>
      <c r="X5428">
        <v>9</v>
      </c>
      <c r="Y5428" t="s">
        <v>24376</v>
      </c>
      <c r="Z5428" t="s">
        <v>30746</v>
      </c>
      <c r="AA5428">
        <v>0.41992903101805562</v>
      </c>
      <c r="AB5428" t="str">
        <f>HYPERLINK("Melting_Curves/meltCurve_Q9H0W8_2_SMG9.pdf", "Melting_Curves/meltCurve_Q9H0W8_2_SMG9.pdf")</f>
        <v>Melting_Curves/meltCurve_Q9H0W8_2_SMG9.pdf</v>
      </c>
    </row>
    <row r="5429" spans="1:28" x14ac:dyDescent="0.25">
      <c r="A5429" t="s">
        <v>5433</v>
      </c>
      <c r="B5429">
        <v>0.99542014353169495</v>
      </c>
      <c r="C5429">
        <v>1.1495257458718799</v>
      </c>
      <c r="D5429">
        <v>1.0745549245606201</v>
      </c>
      <c r="E5429">
        <v>1.1625629603975201</v>
      </c>
      <c r="F5429">
        <v>0.92004356231679396</v>
      </c>
      <c r="G5429">
        <v>0.76242259501448895</v>
      </c>
      <c r="H5429">
        <v>0.38187309509726403</v>
      </c>
      <c r="I5429">
        <v>0.19713082391771899</v>
      </c>
      <c r="J5429">
        <v>0.16975243501366</v>
      </c>
      <c r="K5429">
        <v>0.19105621128737699</v>
      </c>
      <c r="L5429">
        <v>1690.46076425864</v>
      </c>
      <c r="M5429">
        <v>30.5359635960932</v>
      </c>
      <c r="N5429">
        <v>56.103448259072202</v>
      </c>
      <c r="O5429">
        <v>55.123870320990598</v>
      </c>
      <c r="P5429">
        <v>-0.115436865635529</v>
      </c>
      <c r="Q5429">
        <v>0.166453287629173</v>
      </c>
      <c r="R5429">
        <v>0.96343720495644403</v>
      </c>
      <c r="S5429" t="s">
        <v>11831</v>
      </c>
      <c r="T5429" t="s">
        <v>12802</v>
      </c>
      <c r="U5429" t="s">
        <v>12802</v>
      </c>
      <c r="V5429" t="s">
        <v>12802</v>
      </c>
      <c r="W5429" t="s">
        <v>18166</v>
      </c>
      <c r="X5429">
        <v>7</v>
      </c>
      <c r="Y5429" t="s">
        <v>24377</v>
      </c>
      <c r="Z5429" t="s">
        <v>30747</v>
      </c>
      <c r="AA5429">
        <v>0.68168625898700475</v>
      </c>
      <c r="AB5429" t="str">
        <f>HYPERLINK("Melting_Curves/meltCurve_Q9H0W9_C11orf54.pdf", "Melting_Curves/meltCurve_Q9H0W9_C11orf54.pdf")</f>
        <v>Melting_Curves/meltCurve_Q9H0W9_C11orf54.pdf</v>
      </c>
    </row>
    <row r="5430" spans="1:28" x14ac:dyDescent="0.25">
      <c r="A5430" t="s">
        <v>5434</v>
      </c>
      <c r="B5430">
        <v>0.99542014353169495</v>
      </c>
      <c r="C5430">
        <v>0.976176463199527</v>
      </c>
      <c r="D5430">
        <v>0.94217855520926996</v>
      </c>
      <c r="E5430">
        <v>0.75930777185006004</v>
      </c>
      <c r="F5430">
        <v>0.67714424767086001</v>
      </c>
      <c r="G5430">
        <v>0.36340613955168799</v>
      </c>
      <c r="H5430">
        <v>0.31556010488796998</v>
      </c>
      <c r="I5430">
        <v>0.22178293315233</v>
      </c>
      <c r="J5430">
        <v>0.25893813814240901</v>
      </c>
      <c r="K5430">
        <v>0.33184917670969399</v>
      </c>
      <c r="L5430">
        <v>820.624540139278</v>
      </c>
      <c r="M5430">
        <v>16.511884779046898</v>
      </c>
      <c r="N5430">
        <v>51.835542644937</v>
      </c>
      <c r="O5430">
        <v>48.987217149799697</v>
      </c>
      <c r="P5430">
        <v>-6.3470644188522995E-2</v>
      </c>
      <c r="Q5430">
        <v>0.246837078851773</v>
      </c>
      <c r="R5430">
        <v>0.97627043678233505</v>
      </c>
      <c r="S5430" t="s">
        <v>11832</v>
      </c>
      <c r="T5430" t="s">
        <v>12802</v>
      </c>
      <c r="U5430" t="s">
        <v>12802</v>
      </c>
      <c r="V5430" t="s">
        <v>12802</v>
      </c>
      <c r="W5430" t="s">
        <v>18167</v>
      </c>
      <c r="X5430">
        <v>4</v>
      </c>
      <c r="Y5430" t="s">
        <v>24378</v>
      </c>
      <c r="Z5430" t="s">
        <v>30748</v>
      </c>
      <c r="AA5430">
        <v>0.5793611754024719</v>
      </c>
      <c r="AB5430" t="str">
        <f>HYPERLINK("Melting_Curves/meltCurve_Q9H0X4_ITFG3.pdf", "Melting_Curves/meltCurve_Q9H0X4_ITFG3.pdf")</f>
        <v>Melting_Curves/meltCurve_Q9H0X4_ITFG3.pdf</v>
      </c>
    </row>
    <row r="5431" spans="1:28" x14ac:dyDescent="0.25">
      <c r="A5431" t="s">
        <v>5435</v>
      </c>
      <c r="B5431">
        <v>0.99542014353169495</v>
      </c>
      <c r="C5431">
        <v>0.80207047967420397</v>
      </c>
      <c r="D5431">
        <v>0.81918844066276597</v>
      </c>
      <c r="E5431">
        <v>0.62628788841737404</v>
      </c>
      <c r="F5431">
        <v>0.34636024467555798</v>
      </c>
      <c r="G5431">
        <v>0.18288463650540299</v>
      </c>
      <c r="H5431">
        <v>8.6593497069388195E-2</v>
      </c>
      <c r="I5431">
        <v>7.8499662132488907E-2</v>
      </c>
      <c r="J5431">
        <v>9.6934853127106202E-2</v>
      </c>
      <c r="K5431">
        <v>7.4967149836901906E-2</v>
      </c>
      <c r="L5431">
        <v>599.22467963426004</v>
      </c>
      <c r="M5431">
        <v>12.6151958463435</v>
      </c>
      <c r="N5431">
        <v>47.726668148791603</v>
      </c>
      <c r="O5431">
        <v>46.354050592202803</v>
      </c>
      <c r="P5431">
        <v>-6.6073924330342898E-2</v>
      </c>
      <c r="Q5431">
        <v>2.90485237173463E-2</v>
      </c>
      <c r="R5431">
        <v>0.98178295617415501</v>
      </c>
      <c r="S5431" t="s">
        <v>11833</v>
      </c>
      <c r="T5431" t="s">
        <v>12802</v>
      </c>
      <c r="U5431" t="s">
        <v>12802</v>
      </c>
      <c r="V5431" t="s">
        <v>12802</v>
      </c>
      <c r="W5431" t="s">
        <v>18168</v>
      </c>
      <c r="X5431">
        <v>2</v>
      </c>
      <c r="Y5431" t="s">
        <v>24379</v>
      </c>
      <c r="Z5431" t="s">
        <v>30749</v>
      </c>
      <c r="AA5431">
        <v>0.39770976273637532</v>
      </c>
      <c r="AB5431" t="str">
        <f>HYPERLINK("Melting_Curves/meltCurve_Q9H160_ING2.pdf", "Melting_Curves/meltCurve_Q9H160_ING2.pdf")</f>
        <v>Melting_Curves/meltCurve_Q9H160_ING2.pdf</v>
      </c>
    </row>
    <row r="5432" spans="1:28" x14ac:dyDescent="0.25">
      <c r="A5432" t="s">
        <v>5436</v>
      </c>
      <c r="B5432">
        <v>0.99542014353169495</v>
      </c>
      <c r="C5432">
        <v>0.97443763857254795</v>
      </c>
      <c r="D5432">
        <v>0.98737277028463399</v>
      </c>
      <c r="E5432">
        <v>0.72605630111158803</v>
      </c>
      <c r="F5432">
        <v>0.42662622331389899</v>
      </c>
      <c r="G5432">
        <v>0.184295569922337</v>
      </c>
      <c r="H5432">
        <v>0.11754195322396099</v>
      </c>
      <c r="I5432">
        <v>8.1676806362307897E-2</v>
      </c>
      <c r="J5432">
        <v>8.6426914003693706E-2</v>
      </c>
      <c r="K5432">
        <v>7.8089544496292601E-2</v>
      </c>
      <c r="L5432">
        <v>1013.81417748268</v>
      </c>
      <c r="M5432">
        <v>20.7588908546239</v>
      </c>
      <c r="N5432">
        <v>49.219334340021902</v>
      </c>
      <c r="O5432">
        <v>48.391158083192003</v>
      </c>
      <c r="P5432">
        <v>-9.9273805956203595E-2</v>
      </c>
      <c r="Q5432">
        <v>7.4355267227726396E-2</v>
      </c>
      <c r="R5432">
        <v>0.99809798341068201</v>
      </c>
      <c r="S5432" t="s">
        <v>11834</v>
      </c>
      <c r="T5432" t="s">
        <v>12802</v>
      </c>
      <c r="U5432" t="s">
        <v>12802</v>
      </c>
      <c r="V5432" t="s">
        <v>12802</v>
      </c>
      <c r="W5432" t="s">
        <v>18169</v>
      </c>
      <c r="X5432">
        <v>5</v>
      </c>
      <c r="Y5432" t="s">
        <v>24380</v>
      </c>
      <c r="Z5432" t="s">
        <v>30750</v>
      </c>
      <c r="AA5432">
        <v>0.45098299077089699</v>
      </c>
      <c r="AB5432" t="str">
        <f>HYPERLINK("Melting_Curves/meltCurve_Q9H173_SIL1.pdf", "Melting_Curves/meltCurve_Q9H173_SIL1.pdf")</f>
        <v>Melting_Curves/meltCurve_Q9H173_SIL1.pdf</v>
      </c>
    </row>
    <row r="5433" spans="1:28" x14ac:dyDescent="0.25">
      <c r="A5433" t="s">
        <v>5437</v>
      </c>
      <c r="B5433">
        <v>0.99542014353169495</v>
      </c>
      <c r="C5433">
        <v>0.92514787289757605</v>
      </c>
      <c r="D5433">
        <v>0.85687765104326896</v>
      </c>
      <c r="E5433">
        <v>0.74185112795741404</v>
      </c>
      <c r="F5433">
        <v>0.47392260408563103</v>
      </c>
      <c r="G5433">
        <v>0.268746566996305</v>
      </c>
      <c r="H5433">
        <v>0.19507327624299201</v>
      </c>
      <c r="I5433">
        <v>0.120030843400617</v>
      </c>
      <c r="J5433">
        <v>0.139796437807715</v>
      </c>
      <c r="K5433">
        <v>0.169662775873654</v>
      </c>
      <c r="L5433">
        <v>720.880701361771</v>
      </c>
      <c r="M5433">
        <v>14.7715478762895</v>
      </c>
      <c r="N5433">
        <v>49.651020487791698</v>
      </c>
      <c r="O5433">
        <v>47.933754176798601</v>
      </c>
      <c r="P5433">
        <v>-6.8450321773277797E-2</v>
      </c>
      <c r="Q5433">
        <v>0.111608759598031</v>
      </c>
      <c r="R5433">
        <v>0.99278473848987803</v>
      </c>
      <c r="S5433" t="s">
        <v>11835</v>
      </c>
      <c r="T5433" t="s">
        <v>12802</v>
      </c>
      <c r="U5433" t="s">
        <v>12802</v>
      </c>
      <c r="V5433" t="s">
        <v>12802</v>
      </c>
      <c r="W5433" t="s">
        <v>18170</v>
      </c>
      <c r="X5433">
        <v>3</v>
      </c>
      <c r="Y5433" t="s">
        <v>24381</v>
      </c>
      <c r="Z5433" t="s">
        <v>30751</v>
      </c>
      <c r="AA5433">
        <v>0.4807803155505862</v>
      </c>
      <c r="AB5433" t="str">
        <f>HYPERLINK("Melting_Curves/meltCurve_Q9H1A3_2_METTL9.pdf", "Melting_Curves/meltCurve_Q9H1A3_2_METTL9.pdf")</f>
        <v>Melting_Curves/meltCurve_Q9H1A3_2_METTL9.pdf</v>
      </c>
    </row>
    <row r="5434" spans="1:28" x14ac:dyDescent="0.25">
      <c r="A5434" t="s">
        <v>5438</v>
      </c>
      <c r="B5434">
        <v>0.99542014353169495</v>
      </c>
      <c r="C5434">
        <v>1.0535440811753201</v>
      </c>
      <c r="D5434">
        <v>1.19572983249009</v>
      </c>
      <c r="E5434">
        <v>0.81304563836176702</v>
      </c>
      <c r="F5434">
        <v>0.44376176644871901</v>
      </c>
      <c r="G5434">
        <v>0.165853271909118</v>
      </c>
      <c r="H5434">
        <v>0.11243241610346399</v>
      </c>
      <c r="I5434">
        <v>2.6964242915960699E-2</v>
      </c>
      <c r="J5434">
        <v>0.11363694587268</v>
      </c>
      <c r="K5434">
        <v>6.4949776839387699E-2</v>
      </c>
      <c r="L5434">
        <v>1404.76892211468</v>
      </c>
      <c r="M5434">
        <v>28.4361189093547</v>
      </c>
      <c r="N5434">
        <v>49.688010968034803</v>
      </c>
      <c r="O5434">
        <v>49.158489548698299</v>
      </c>
      <c r="P5434">
        <v>-0.13365826087180099</v>
      </c>
      <c r="Q5434">
        <v>7.5769062419480698E-2</v>
      </c>
      <c r="R5434">
        <v>0.97272607964600899</v>
      </c>
      <c r="S5434" t="s">
        <v>11836</v>
      </c>
      <c r="T5434" t="s">
        <v>12802</v>
      </c>
      <c r="U5434" t="s">
        <v>12802</v>
      </c>
      <c r="V5434" t="s">
        <v>12802</v>
      </c>
      <c r="W5434" t="s">
        <v>18171</v>
      </c>
      <c r="X5434">
        <v>3</v>
      </c>
      <c r="Y5434" t="s">
        <v>24382</v>
      </c>
      <c r="Z5434" t="s">
        <v>30752</v>
      </c>
      <c r="AA5434">
        <v>0.46405307955667502</v>
      </c>
      <c r="AB5434" t="str">
        <f>HYPERLINK("Melting_Curves/meltCurve_Q9H1A4_ANAPC1.pdf", "Melting_Curves/meltCurve_Q9H1A4_ANAPC1.pdf")</f>
        <v>Melting_Curves/meltCurve_Q9H1A4_ANAPC1.pdf</v>
      </c>
    </row>
    <row r="5435" spans="1:28" x14ac:dyDescent="0.25">
      <c r="A5435" t="s">
        <v>5439</v>
      </c>
      <c r="B5435">
        <v>0.99542014353169495</v>
      </c>
      <c r="C5435">
        <v>0.92548189750698695</v>
      </c>
      <c r="D5435">
        <v>0.72286210059948397</v>
      </c>
      <c r="E5435">
        <v>0.43854118656288799</v>
      </c>
      <c r="F5435">
        <v>0.32916067003764499</v>
      </c>
      <c r="G5435">
        <v>0.172429733103202</v>
      </c>
      <c r="H5435">
        <v>0.12320094139938401</v>
      </c>
      <c r="I5435">
        <v>0.100730986065275</v>
      </c>
      <c r="J5435">
        <v>7.8896183316136903E-2</v>
      </c>
      <c r="K5435">
        <v>0.23105869467364401</v>
      </c>
      <c r="L5435">
        <v>730.176392274048</v>
      </c>
      <c r="M5435">
        <v>16.1476975804914</v>
      </c>
      <c r="N5435">
        <v>46.042001745176997</v>
      </c>
      <c r="O5435">
        <v>44.542161305551801</v>
      </c>
      <c r="P5435">
        <v>-7.9271451616370406E-2</v>
      </c>
      <c r="Q5435">
        <v>0.12540975867295701</v>
      </c>
      <c r="R5435">
        <v>0.98148551617681301</v>
      </c>
      <c r="S5435" t="s">
        <v>11837</v>
      </c>
      <c r="T5435" t="s">
        <v>12802</v>
      </c>
      <c r="U5435" t="s">
        <v>12802</v>
      </c>
      <c r="V5435" t="s">
        <v>12802</v>
      </c>
      <c r="W5435" t="s">
        <v>18172</v>
      </c>
      <c r="X5435">
        <v>8</v>
      </c>
      <c r="Y5435" t="s">
        <v>24383</v>
      </c>
      <c r="Z5435" t="s">
        <v>30753</v>
      </c>
      <c r="AA5435">
        <v>0.38282844616755252</v>
      </c>
      <c r="AB5435" t="str">
        <f>HYPERLINK("Melting_Curves/meltCurve_Q9H1B7_IRF2BPL.pdf", "Melting_Curves/meltCurve_Q9H1B7_IRF2BPL.pdf")</f>
        <v>Melting_Curves/meltCurve_Q9H1B7_IRF2BPL.pdf</v>
      </c>
    </row>
    <row r="5436" spans="1:28" x14ac:dyDescent="0.25">
      <c r="A5436" t="s">
        <v>5440</v>
      </c>
      <c r="B5436">
        <v>0.99542014353169495</v>
      </c>
      <c r="C5436">
        <v>0.94767063411171404</v>
      </c>
      <c r="D5436">
        <v>0.87571092423915198</v>
      </c>
      <c r="E5436">
        <v>0.83653195050303197</v>
      </c>
      <c r="F5436">
        <v>0.919064865822246</v>
      </c>
      <c r="G5436">
        <v>0.56064263718988405</v>
      </c>
      <c r="H5436">
        <v>0.20309771699234999</v>
      </c>
      <c r="I5436">
        <v>9.5592365972065399E-2</v>
      </c>
      <c r="J5436">
        <v>9.7209164132367798E-2</v>
      </c>
      <c r="K5436">
        <v>8.4236848774687206E-2</v>
      </c>
      <c r="L5436">
        <v>1500.8384530501901</v>
      </c>
      <c r="M5436">
        <v>27.8263223595822</v>
      </c>
      <c r="N5436">
        <v>54.242199864979199</v>
      </c>
      <c r="O5436">
        <v>53.6596724286252</v>
      </c>
      <c r="P5436">
        <v>-0.120218652807144</v>
      </c>
      <c r="Q5436">
        <v>7.2700056610405406E-2</v>
      </c>
      <c r="R5436">
        <v>0.97036635884117795</v>
      </c>
      <c r="S5436" t="s">
        <v>11838</v>
      </c>
      <c r="T5436" t="s">
        <v>12802</v>
      </c>
      <c r="U5436" t="s">
        <v>12802</v>
      </c>
      <c r="V5436" t="s">
        <v>12802</v>
      </c>
      <c r="W5436" t="s">
        <v>18173</v>
      </c>
      <c r="X5436">
        <v>7</v>
      </c>
      <c r="Y5436" t="s">
        <v>24384</v>
      </c>
      <c r="Z5436" t="s">
        <v>30754</v>
      </c>
      <c r="AA5436">
        <v>0.6029565708511414</v>
      </c>
      <c r="AB5436" t="str">
        <f>HYPERLINK("Melting_Curves/meltCurve_Q9H1D9_POLR3F.pdf", "Melting_Curves/meltCurve_Q9H1D9_POLR3F.pdf")</f>
        <v>Melting_Curves/meltCurve_Q9H1D9_POLR3F.pdf</v>
      </c>
    </row>
    <row r="5437" spans="1:28" x14ac:dyDescent="0.25">
      <c r="A5437" t="s">
        <v>5441</v>
      </c>
      <c r="B5437">
        <v>0.99542014353169495</v>
      </c>
      <c r="C5437">
        <v>1.0597033590706399</v>
      </c>
      <c r="D5437">
        <v>1.0162313279433901</v>
      </c>
      <c r="E5437">
        <v>0.93968221578572697</v>
      </c>
      <c r="F5437">
        <v>0.818965208665413</v>
      </c>
      <c r="G5437">
        <v>0.711876559326586</v>
      </c>
      <c r="H5437">
        <v>0.71454994332382005</v>
      </c>
      <c r="I5437">
        <v>0.95680978991777799</v>
      </c>
      <c r="J5437">
        <v>1.0714665447151499</v>
      </c>
      <c r="K5437">
        <v>1.1471346414499</v>
      </c>
      <c r="L5437">
        <v>15000</v>
      </c>
      <c r="M5437">
        <v>233.95211710874099</v>
      </c>
      <c r="O5437">
        <v>64.110994560391703</v>
      </c>
      <c r="P5437">
        <v>0.13423584949484901</v>
      </c>
      <c r="Q5437">
        <v>1.14714112419704</v>
      </c>
      <c r="R5437">
        <v>-2.7472220456873801E-2</v>
      </c>
      <c r="S5437" t="s">
        <v>11839</v>
      </c>
      <c r="T5437" t="s">
        <v>12802</v>
      </c>
      <c r="U5437" t="s">
        <v>12802</v>
      </c>
      <c r="V5437" t="s">
        <v>12802</v>
      </c>
      <c r="W5437" t="s">
        <v>18174</v>
      </c>
      <c r="X5437">
        <v>13</v>
      </c>
      <c r="Y5437" t="s">
        <v>24385</v>
      </c>
      <c r="Z5437" t="s">
        <v>30755</v>
      </c>
      <c r="AA5437">
        <v>1.0141278729627881</v>
      </c>
      <c r="AB5437" t="str">
        <f>HYPERLINK("Melting_Curves/meltCurve_Q9H1E3_NUCKS1.pdf", "Melting_Curves/meltCurve_Q9H1E3_NUCKS1.pdf")</f>
        <v>Melting_Curves/meltCurve_Q9H1E3_NUCKS1.pdf</v>
      </c>
    </row>
    <row r="5438" spans="1:28" x14ac:dyDescent="0.25">
      <c r="A5438" t="s">
        <v>5442</v>
      </c>
      <c r="B5438">
        <v>0.99542014353169495</v>
      </c>
      <c r="C5438">
        <v>1.1642112762954999</v>
      </c>
      <c r="D5438">
        <v>1.00208449391415</v>
      </c>
      <c r="E5438">
        <v>0.88178347999822404</v>
      </c>
      <c r="F5438">
        <v>0.56414252134867604</v>
      </c>
      <c r="G5438">
        <v>0.22339014549647501</v>
      </c>
      <c r="H5438">
        <v>0.11701247096117399</v>
      </c>
      <c r="I5438">
        <v>7.4597069878833203E-2</v>
      </c>
      <c r="J5438">
        <v>9.0799253501520794E-2</v>
      </c>
      <c r="K5438">
        <v>7.4442366636524704E-2</v>
      </c>
      <c r="L5438">
        <v>1286.51838420333</v>
      </c>
      <c r="M5438">
        <v>25.5393674931356</v>
      </c>
      <c r="N5438">
        <v>50.696929236267799</v>
      </c>
      <c r="O5438">
        <v>50.068126382422903</v>
      </c>
      <c r="P5438">
        <v>-0.117949693211525</v>
      </c>
      <c r="Q5438">
        <v>7.5083111220203197E-2</v>
      </c>
      <c r="R5438">
        <v>0.98472013811195702</v>
      </c>
      <c r="S5438" t="s">
        <v>11840</v>
      </c>
      <c r="T5438" t="s">
        <v>12802</v>
      </c>
      <c r="U5438" t="s">
        <v>12802</v>
      </c>
      <c r="V5438" t="s">
        <v>12802</v>
      </c>
      <c r="W5438" t="s">
        <v>18175</v>
      </c>
      <c r="X5438">
        <v>1</v>
      </c>
      <c r="Y5438" t="s">
        <v>24386</v>
      </c>
      <c r="Z5438" t="s">
        <v>30756</v>
      </c>
      <c r="AA5438">
        <v>0.49520615533048601</v>
      </c>
      <c r="AB5438" t="str">
        <f>HYPERLINK("Melting_Curves/meltCurve_Q9H1E5_TMX4.pdf", "Melting_Curves/meltCurve_Q9H1E5_TMX4.pdf")</f>
        <v>Melting_Curves/meltCurve_Q9H1E5_TMX4.pdf</v>
      </c>
    </row>
    <row r="5439" spans="1:28" x14ac:dyDescent="0.25">
      <c r="A5439" t="s">
        <v>5443</v>
      </c>
      <c r="B5439">
        <v>0.99542014353169495</v>
      </c>
      <c r="C5439">
        <v>1.16780765333773</v>
      </c>
      <c r="D5439">
        <v>1.0516089071544099</v>
      </c>
      <c r="E5439">
        <v>0.878718343678768</v>
      </c>
      <c r="F5439">
        <v>0.67479055261238496</v>
      </c>
      <c r="G5439">
        <v>0.30020980122518098</v>
      </c>
      <c r="H5439">
        <v>0.14010507065650399</v>
      </c>
      <c r="I5439">
        <v>0.103125862144636</v>
      </c>
      <c r="J5439">
        <v>0.102328690533846</v>
      </c>
      <c r="K5439">
        <v>0.11365880695463799</v>
      </c>
      <c r="L5439">
        <v>1267.5601285186201</v>
      </c>
      <c r="M5439">
        <v>24.760154914295899</v>
      </c>
      <c r="N5439">
        <v>51.629641684966799</v>
      </c>
      <c r="O5439">
        <v>50.863106217965701</v>
      </c>
      <c r="P5439">
        <v>-0.110218001396873</v>
      </c>
      <c r="Q5439">
        <v>9.4359025725767098E-2</v>
      </c>
      <c r="R5439">
        <v>0.98015207528353399</v>
      </c>
      <c r="S5439" t="s">
        <v>11841</v>
      </c>
      <c r="T5439" t="s">
        <v>12802</v>
      </c>
      <c r="U5439" t="s">
        <v>12802</v>
      </c>
      <c r="V5439" t="s">
        <v>12802</v>
      </c>
      <c r="W5439" t="s">
        <v>18176</v>
      </c>
      <c r="X5439">
        <v>11</v>
      </c>
      <c r="Y5439" t="s">
        <v>24387</v>
      </c>
      <c r="Z5439" t="s">
        <v>30757</v>
      </c>
      <c r="AA5439">
        <v>0.53097756822534115</v>
      </c>
      <c r="AB5439" t="str">
        <f>HYPERLINK("Melting_Curves/meltCurve_Q9H1H9_3_KIF13A.pdf", "Melting_Curves/meltCurve_Q9H1H9_3_KIF13A.pdf")</f>
        <v>Melting_Curves/meltCurve_Q9H1H9_3_KIF13A.pdf</v>
      </c>
    </row>
    <row r="5440" spans="1:28" x14ac:dyDescent="0.25">
      <c r="A5440" t="s">
        <v>5444</v>
      </c>
      <c r="B5440">
        <v>0.99542014353169495</v>
      </c>
      <c r="C5440">
        <v>0.95543303058998197</v>
      </c>
      <c r="D5440">
        <v>0.94561843720764505</v>
      </c>
      <c r="E5440">
        <v>0.79180449872737801</v>
      </c>
      <c r="F5440">
        <v>0.23592630752763899</v>
      </c>
      <c r="G5440">
        <v>0.125061181531366</v>
      </c>
      <c r="H5440">
        <v>8.9341197713653606E-2</v>
      </c>
      <c r="I5440">
        <v>6.3165921705963496E-2</v>
      </c>
      <c r="J5440">
        <v>7.5004605741591707E-2</v>
      </c>
      <c r="K5440">
        <v>7.44743800514477E-2</v>
      </c>
      <c r="L5440">
        <v>1730.94260903703</v>
      </c>
      <c r="M5440">
        <v>35.974956184142599</v>
      </c>
      <c r="N5440">
        <v>48.346348589894298</v>
      </c>
      <c r="O5440">
        <v>47.967273433964301</v>
      </c>
      <c r="P5440">
        <v>-0.172684337038951</v>
      </c>
      <c r="Q5440">
        <v>7.9007227843269495E-2</v>
      </c>
      <c r="R5440">
        <v>0.99693701778421895</v>
      </c>
      <c r="S5440" t="s">
        <v>11842</v>
      </c>
      <c r="T5440" t="s">
        <v>12802</v>
      </c>
      <c r="U5440" t="s">
        <v>12802</v>
      </c>
      <c r="V5440" t="s">
        <v>12802</v>
      </c>
      <c r="W5440" t="s">
        <v>18177</v>
      </c>
      <c r="X5440">
        <v>7</v>
      </c>
      <c r="Y5440" t="s">
        <v>24388</v>
      </c>
      <c r="Z5440" t="s">
        <v>30758</v>
      </c>
      <c r="AA5440">
        <v>0.42403455635951881</v>
      </c>
      <c r="AB5440" t="str">
        <f>HYPERLINK("Melting_Curves/meltCurve_Q9H1K0_ZFYVE20.pdf", "Melting_Curves/meltCurve_Q9H1K0_ZFYVE20.pdf")</f>
        <v>Melting_Curves/meltCurve_Q9H1K0_ZFYVE20.pdf</v>
      </c>
    </row>
    <row r="5441" spans="1:28" x14ac:dyDescent="0.25">
      <c r="A5441" t="s">
        <v>5445</v>
      </c>
      <c r="B5441">
        <v>0.99542014353169495</v>
      </c>
      <c r="C5441">
        <v>1.0129543851635701</v>
      </c>
      <c r="D5441">
        <v>0.91831776263390497</v>
      </c>
      <c r="E5441">
        <v>0.80493405351239899</v>
      </c>
      <c r="F5441">
        <v>0.658499439251091</v>
      </c>
      <c r="G5441">
        <v>0.49848965992011501</v>
      </c>
      <c r="H5441">
        <v>0.32680823163924799</v>
      </c>
      <c r="I5441">
        <v>0.26847556658933303</v>
      </c>
      <c r="J5441">
        <v>0.32244512088553201</v>
      </c>
      <c r="K5441">
        <v>0.35857072593908101</v>
      </c>
      <c r="L5441">
        <v>765.32951093640702</v>
      </c>
      <c r="M5441">
        <v>15.2983647232896</v>
      </c>
      <c r="N5441">
        <v>52.965234380654003</v>
      </c>
      <c r="O5441">
        <v>49.195472809681398</v>
      </c>
      <c r="P5441">
        <v>-5.5512290441909799E-2</v>
      </c>
      <c r="Q5441">
        <v>0.28601601547623201</v>
      </c>
      <c r="R5441">
        <v>0.98397701416300198</v>
      </c>
      <c r="S5441" t="s">
        <v>11843</v>
      </c>
      <c r="T5441" t="s">
        <v>12802</v>
      </c>
      <c r="U5441" t="s">
        <v>12802</v>
      </c>
      <c r="V5441" t="s">
        <v>12802</v>
      </c>
      <c r="W5441" t="s">
        <v>18178</v>
      </c>
      <c r="X5441">
        <v>11</v>
      </c>
      <c r="Y5441" t="s">
        <v>24389</v>
      </c>
      <c r="Z5441" t="s">
        <v>30759</v>
      </c>
      <c r="AA5441">
        <v>0.61053902895090606</v>
      </c>
      <c r="AB5441" t="str">
        <f>HYPERLINK("Melting_Curves/meltCurve_Q9H1K1_ISCU.pdf", "Melting_Curves/meltCurve_Q9H1K1_ISCU.pdf")</f>
        <v>Melting_Curves/meltCurve_Q9H1K1_ISCU.pdf</v>
      </c>
    </row>
    <row r="5442" spans="1:28" x14ac:dyDescent="0.25">
      <c r="A5442" t="s">
        <v>5446</v>
      </c>
      <c r="B5442">
        <v>0.99542014353169495</v>
      </c>
      <c r="C5442">
        <v>0.93583961016574502</v>
      </c>
      <c r="D5442">
        <v>0.64343636148510297</v>
      </c>
      <c r="E5442">
        <v>0.23560426468002199</v>
      </c>
      <c r="F5442">
        <v>0.12593757671511699</v>
      </c>
      <c r="G5442">
        <v>6.7762538640328704E-2</v>
      </c>
      <c r="H5442">
        <v>5.3931245375506101E-2</v>
      </c>
      <c r="I5442">
        <v>2.80339604971711E-2</v>
      </c>
      <c r="J5442">
        <v>5.0674841417964502E-2</v>
      </c>
      <c r="K5442">
        <v>6.5335401491662295E-2</v>
      </c>
      <c r="L5442">
        <v>1060.9395828587501</v>
      </c>
      <c r="M5442">
        <v>24.152171656653501</v>
      </c>
      <c r="N5442">
        <v>44.135790935503401</v>
      </c>
      <c r="O5442">
        <v>43.629469289043598</v>
      </c>
      <c r="P5442">
        <v>-0.13093450110770699</v>
      </c>
      <c r="Q5442">
        <v>5.3912751959389299E-2</v>
      </c>
      <c r="R5442">
        <v>0.99857625707074205</v>
      </c>
      <c r="S5442" t="s">
        <v>11844</v>
      </c>
      <c r="T5442" t="s">
        <v>12802</v>
      </c>
      <c r="U5442" t="s">
        <v>12802</v>
      </c>
      <c r="V5442" t="s">
        <v>12802</v>
      </c>
      <c r="W5442" t="s">
        <v>18179</v>
      </c>
      <c r="X5442">
        <v>5</v>
      </c>
      <c r="Y5442" t="s">
        <v>24390</v>
      </c>
      <c r="Z5442" t="s">
        <v>30760</v>
      </c>
      <c r="AA5442">
        <v>0.28075679614427379</v>
      </c>
      <c r="AB5442" t="str">
        <f>HYPERLINK("Melting_Curves/meltCurve_Q9H1P3_2_OSBPL2.pdf", "Melting_Curves/meltCurve_Q9H1P3_2_OSBPL2.pdf")</f>
        <v>Melting_Curves/meltCurve_Q9H1P3_2_OSBPL2.pdf</v>
      </c>
    </row>
    <row r="5443" spans="1:28" x14ac:dyDescent="0.25">
      <c r="A5443" t="s">
        <v>5447</v>
      </c>
      <c r="B5443">
        <v>0.99542014353169495</v>
      </c>
      <c r="C5443">
        <v>0.94584793626994701</v>
      </c>
      <c r="D5443">
        <v>0.69805695762201203</v>
      </c>
      <c r="E5443">
        <v>0.60070072828672605</v>
      </c>
      <c r="F5443">
        <v>0.47209725294164301</v>
      </c>
      <c r="G5443">
        <v>0.275442669339443</v>
      </c>
      <c r="H5443">
        <v>0.13282411587044801</v>
      </c>
      <c r="I5443">
        <v>8.9292575344543698E-2</v>
      </c>
      <c r="J5443">
        <v>0.10426426761372801</v>
      </c>
      <c r="K5443">
        <v>0.109078358518149</v>
      </c>
      <c r="L5443">
        <v>498.74955566107701</v>
      </c>
      <c r="M5443">
        <v>10.3489543344091</v>
      </c>
      <c r="N5443">
        <v>48.422846063618003</v>
      </c>
      <c r="O5443">
        <v>46.497895556548897</v>
      </c>
      <c r="P5443">
        <v>-5.4332921205172503E-2</v>
      </c>
      <c r="Q5443">
        <v>2.3944303303323599E-2</v>
      </c>
      <c r="R5443">
        <v>0.98308539602875</v>
      </c>
      <c r="S5443" t="s">
        <v>11845</v>
      </c>
      <c r="T5443" t="s">
        <v>12802</v>
      </c>
      <c r="U5443" t="s">
        <v>12802</v>
      </c>
      <c r="V5443" t="s">
        <v>12802</v>
      </c>
      <c r="W5443" t="s">
        <v>18180</v>
      </c>
      <c r="X5443">
        <v>4</v>
      </c>
      <c r="Y5443" t="s">
        <v>24391</v>
      </c>
      <c r="Z5443" t="s">
        <v>30761</v>
      </c>
      <c r="AA5443">
        <v>0.42512030415036528</v>
      </c>
      <c r="AB5443" t="str">
        <f>HYPERLINK("Melting_Curves/meltCurve_Q9H1Y0_ATG5.pdf", "Melting_Curves/meltCurve_Q9H1Y0_ATG5.pdf")</f>
        <v>Melting_Curves/meltCurve_Q9H1Y0_ATG5.pdf</v>
      </c>
    </row>
    <row r="5444" spans="1:28" x14ac:dyDescent="0.25">
      <c r="A5444" t="s">
        <v>5448</v>
      </c>
      <c r="B5444">
        <v>0.99542014353169495</v>
      </c>
      <c r="C5444">
        <v>1.0406055081268499</v>
      </c>
      <c r="D5444">
        <v>0.97243615339988398</v>
      </c>
      <c r="E5444">
        <v>0.66676363672005801</v>
      </c>
      <c r="F5444">
        <v>0.48838762310980399</v>
      </c>
      <c r="G5444">
        <v>0.338511924725791</v>
      </c>
      <c r="H5444">
        <v>0.22878259652774399</v>
      </c>
      <c r="I5444">
        <v>9.4589208622672102E-2</v>
      </c>
      <c r="J5444">
        <v>9.3453891797337499E-2</v>
      </c>
      <c r="K5444">
        <v>0.303387799549238</v>
      </c>
      <c r="L5444">
        <v>844.01104588705505</v>
      </c>
      <c r="M5444">
        <v>17.372897136849399</v>
      </c>
      <c r="N5444">
        <v>49.728228236446597</v>
      </c>
      <c r="O5444">
        <v>47.952064463953199</v>
      </c>
      <c r="P5444">
        <v>-7.5635466870703993E-2</v>
      </c>
      <c r="Q5444">
        <v>0.16498186850965901</v>
      </c>
      <c r="R5444">
        <v>0.96353402691558399</v>
      </c>
      <c r="S5444" t="s">
        <v>11846</v>
      </c>
      <c r="T5444" t="s">
        <v>12802</v>
      </c>
      <c r="U5444" t="s">
        <v>12802</v>
      </c>
      <c r="V5444" t="s">
        <v>12802</v>
      </c>
      <c r="W5444" t="s">
        <v>18181</v>
      </c>
      <c r="X5444">
        <v>4</v>
      </c>
      <c r="Y5444" t="s">
        <v>24392</v>
      </c>
      <c r="Z5444" t="s">
        <v>30762</v>
      </c>
      <c r="AA5444">
        <v>0.5015250106709821</v>
      </c>
      <c r="AB5444" t="str">
        <f>HYPERLINK("Melting_Curves/meltCurve_Q9H1Z4_WDR13.pdf", "Melting_Curves/meltCurve_Q9H1Z4_WDR13.pdf")</f>
        <v>Melting_Curves/meltCurve_Q9H1Z4_WDR13.pdf</v>
      </c>
    </row>
    <row r="5445" spans="1:28" x14ac:dyDescent="0.25">
      <c r="A5445" t="s">
        <v>5449</v>
      </c>
      <c r="B5445">
        <v>0.99542014353169495</v>
      </c>
      <c r="C5445">
        <v>0.98093952736448797</v>
      </c>
      <c r="D5445">
        <v>0.952446137031003</v>
      </c>
      <c r="E5445">
        <v>0.84409933859637698</v>
      </c>
      <c r="F5445">
        <v>0.56512912590377795</v>
      </c>
      <c r="G5445">
        <v>0.17499832898273701</v>
      </c>
      <c r="H5445">
        <v>9.8141632121985095E-2</v>
      </c>
      <c r="I5445">
        <v>8.0067789741331996E-2</v>
      </c>
      <c r="J5445">
        <v>8.9311013517403198E-2</v>
      </c>
      <c r="K5445">
        <v>8.9187868867417905E-2</v>
      </c>
      <c r="L5445">
        <v>1244.24212715202</v>
      </c>
      <c r="M5445">
        <v>24.826716430085</v>
      </c>
      <c r="N5445">
        <v>50.427916223699903</v>
      </c>
      <c r="O5445">
        <v>49.795311543044903</v>
      </c>
      <c r="P5445">
        <v>-0.11580175557526801</v>
      </c>
      <c r="Q5445">
        <v>7.0951973113941497E-2</v>
      </c>
      <c r="R5445">
        <v>0.99613662263820502</v>
      </c>
      <c r="S5445" t="s">
        <v>11847</v>
      </c>
      <c r="T5445" t="s">
        <v>12802</v>
      </c>
      <c r="U5445" t="s">
        <v>12802</v>
      </c>
      <c r="V5445" t="s">
        <v>12802</v>
      </c>
      <c r="W5445" t="s">
        <v>18182</v>
      </c>
      <c r="X5445">
        <v>17</v>
      </c>
      <c r="Y5445" t="s">
        <v>24393</v>
      </c>
      <c r="Z5445" t="s">
        <v>30763</v>
      </c>
      <c r="AA5445">
        <v>0.485407595432437</v>
      </c>
      <c r="AB5445" t="str">
        <f>HYPERLINK("Melting_Curves/meltCurve_Q9H223_EHD4.pdf", "Melting_Curves/meltCurve_Q9H223_EHD4.pdf")</f>
        <v>Melting_Curves/meltCurve_Q9H223_EHD4.pdf</v>
      </c>
    </row>
    <row r="5446" spans="1:28" x14ac:dyDescent="0.25">
      <c r="A5446" t="s">
        <v>5450</v>
      </c>
      <c r="B5446">
        <v>0.99542014353169495</v>
      </c>
      <c r="C5446">
        <v>1.01059773946933</v>
      </c>
      <c r="D5446">
        <v>0.81740752357145496</v>
      </c>
      <c r="E5446">
        <v>0.47466022591614798</v>
      </c>
      <c r="F5446">
        <v>0.227114577088569</v>
      </c>
      <c r="G5446">
        <v>0.168473342561683</v>
      </c>
      <c r="H5446">
        <v>0.12677266181192701</v>
      </c>
      <c r="I5446">
        <v>8.9610998011818294E-2</v>
      </c>
      <c r="J5446">
        <v>9.8578144809980506E-2</v>
      </c>
      <c r="K5446">
        <v>0.10360919324265699</v>
      </c>
      <c r="L5446">
        <v>986.96983873151498</v>
      </c>
      <c r="M5446">
        <v>21.513888402304499</v>
      </c>
      <c r="N5446">
        <v>46.387776048479701</v>
      </c>
      <c r="O5446">
        <v>45.485106096811101</v>
      </c>
      <c r="P5446">
        <v>-0.105756183905326</v>
      </c>
      <c r="Q5446">
        <v>0.10565452387077399</v>
      </c>
      <c r="R5446">
        <v>0.99741415170636505</v>
      </c>
      <c r="S5446" t="s">
        <v>11848</v>
      </c>
      <c r="T5446" t="s">
        <v>12802</v>
      </c>
      <c r="U5446" t="s">
        <v>12802</v>
      </c>
      <c r="V5446" t="s">
        <v>12802</v>
      </c>
      <c r="W5446" t="s">
        <v>18183</v>
      </c>
      <c r="X5446">
        <v>7</v>
      </c>
      <c r="Y5446" t="s">
        <v>24394</v>
      </c>
      <c r="Z5446" t="s">
        <v>30764</v>
      </c>
      <c r="AA5446">
        <v>0.38033356842229432</v>
      </c>
      <c r="AB5446" t="str">
        <f>HYPERLINK("Melting_Curves/meltCurve_Q9H257_2_CARD9.pdf", "Melting_Curves/meltCurve_Q9H257_2_CARD9.pdf")</f>
        <v>Melting_Curves/meltCurve_Q9H257_2_CARD9.pdf</v>
      </c>
    </row>
    <row r="5447" spans="1:28" x14ac:dyDescent="0.25">
      <c r="A5447" t="s">
        <v>5451</v>
      </c>
      <c r="B5447">
        <v>0.99542014353169495</v>
      </c>
      <c r="C5447">
        <v>0.87871517183043901</v>
      </c>
      <c r="D5447">
        <v>0.84946538450877795</v>
      </c>
      <c r="E5447">
        <v>0.60501179288519802</v>
      </c>
      <c r="F5447">
        <v>0.23319850934977401</v>
      </c>
      <c r="G5447">
        <v>0.134678384250915</v>
      </c>
      <c r="H5447">
        <v>8.0507255826250498E-2</v>
      </c>
      <c r="I5447">
        <v>5.5809932636468898E-2</v>
      </c>
      <c r="J5447">
        <v>8.1488590744152101E-2</v>
      </c>
      <c r="K5447">
        <v>6.6796155736999596E-2</v>
      </c>
      <c r="L5447">
        <v>864.97962382092703</v>
      </c>
      <c r="M5447">
        <v>18.419483710527899</v>
      </c>
      <c r="N5447">
        <v>47.248467472227297</v>
      </c>
      <c r="O5447">
        <v>46.417045714101597</v>
      </c>
      <c r="P5447">
        <v>-9.39353540616953E-2</v>
      </c>
      <c r="Q5447">
        <v>5.3175756564533001E-2</v>
      </c>
      <c r="R5447">
        <v>0.99128082661688699</v>
      </c>
      <c r="S5447" t="s">
        <v>11849</v>
      </c>
      <c r="T5447" t="s">
        <v>12802</v>
      </c>
      <c r="U5447" t="s">
        <v>12802</v>
      </c>
      <c r="V5447" t="s">
        <v>12802</v>
      </c>
      <c r="W5447" t="s">
        <v>18184</v>
      </c>
      <c r="X5447">
        <v>20</v>
      </c>
      <c r="Y5447" t="s">
        <v>24395</v>
      </c>
      <c r="Z5447" t="s">
        <v>30765</v>
      </c>
      <c r="AA5447">
        <v>0.38206744651275909</v>
      </c>
      <c r="AB5447" t="str">
        <f>HYPERLINK("Melting_Curves/meltCurve_Q9H267_VPS33B.pdf", "Melting_Curves/meltCurve_Q9H267_VPS33B.pdf")</f>
        <v>Melting_Curves/meltCurve_Q9H267_VPS33B.pdf</v>
      </c>
    </row>
    <row r="5448" spans="1:28" x14ac:dyDescent="0.25">
      <c r="A5448" t="s">
        <v>5452</v>
      </c>
      <c r="B5448">
        <v>0.99542014353169495</v>
      </c>
      <c r="C5448">
        <v>0.84703096193873695</v>
      </c>
      <c r="D5448">
        <v>0.85030120180143098</v>
      </c>
      <c r="E5448">
        <v>0.51403203796669295</v>
      </c>
      <c r="F5448">
        <v>0.25872715588782202</v>
      </c>
      <c r="G5448">
        <v>0.113288542093494</v>
      </c>
      <c r="H5448">
        <v>8.6190656621834394E-2</v>
      </c>
      <c r="I5448">
        <v>5.1224403542940902E-2</v>
      </c>
      <c r="J5448">
        <v>5.4368752172597498E-2</v>
      </c>
      <c r="K5448">
        <v>5.3240354156154003E-2</v>
      </c>
      <c r="L5448">
        <v>761.14110433077701</v>
      </c>
      <c r="M5448">
        <v>16.3462245576203</v>
      </c>
      <c r="N5448">
        <v>46.783828159344601</v>
      </c>
      <c r="O5448">
        <v>45.883558980433001</v>
      </c>
      <c r="P5448">
        <v>-8.5773501067608504E-2</v>
      </c>
      <c r="Q5448">
        <v>3.7010542617062901E-2</v>
      </c>
      <c r="R5448">
        <v>0.99109131061964895</v>
      </c>
      <c r="S5448" t="s">
        <v>11850</v>
      </c>
      <c r="T5448" t="s">
        <v>12802</v>
      </c>
      <c r="U5448" t="s">
        <v>12802</v>
      </c>
      <c r="V5448" t="s">
        <v>12802</v>
      </c>
      <c r="W5448" t="s">
        <v>18185</v>
      </c>
      <c r="X5448">
        <v>8</v>
      </c>
      <c r="Y5448" t="s">
        <v>24396</v>
      </c>
      <c r="Z5448" t="s">
        <v>30766</v>
      </c>
      <c r="AA5448">
        <v>0.36265335252077979</v>
      </c>
      <c r="AB5448" t="str">
        <f>HYPERLINK("Melting_Curves/meltCurve_Q9H269_VPS16.pdf", "Melting_Curves/meltCurve_Q9H269_VPS16.pdf")</f>
        <v>Melting_Curves/meltCurve_Q9H269_VPS16.pdf</v>
      </c>
    </row>
    <row r="5449" spans="1:28" x14ac:dyDescent="0.25">
      <c r="A5449" t="s">
        <v>5453</v>
      </c>
      <c r="B5449">
        <v>0.99542014353169495</v>
      </c>
      <c r="C5449">
        <v>0.88374211784635004</v>
      </c>
      <c r="D5449">
        <v>0.90612685944221805</v>
      </c>
      <c r="E5449">
        <v>0.52678211297973998</v>
      </c>
      <c r="F5449">
        <v>0.206914645294938</v>
      </c>
      <c r="G5449">
        <v>0.113419800785292</v>
      </c>
      <c r="H5449">
        <v>7.98269387502685E-2</v>
      </c>
      <c r="I5449">
        <v>4.6489695887212003E-2</v>
      </c>
      <c r="J5449">
        <v>5.6228098786747102E-2</v>
      </c>
      <c r="K5449">
        <v>6.7015896974786299E-2</v>
      </c>
      <c r="L5449">
        <v>1032.3240570748001</v>
      </c>
      <c r="M5449">
        <v>22.148137688138</v>
      </c>
      <c r="N5449">
        <v>46.866234183693798</v>
      </c>
      <c r="O5449">
        <v>46.2349863437138</v>
      </c>
      <c r="P5449">
        <v>-0.11293122714524</v>
      </c>
      <c r="Q5449">
        <v>5.7029480624551203E-2</v>
      </c>
      <c r="R5449">
        <v>0.99263475611700402</v>
      </c>
      <c r="S5449" t="s">
        <v>11851</v>
      </c>
      <c r="T5449" t="s">
        <v>12802</v>
      </c>
      <c r="U5449" t="s">
        <v>12802</v>
      </c>
      <c r="V5449" t="s">
        <v>12802</v>
      </c>
      <c r="W5449" t="s">
        <v>18186</v>
      </c>
      <c r="X5449">
        <v>13</v>
      </c>
      <c r="Y5449" t="s">
        <v>24397</v>
      </c>
      <c r="Z5449" t="s">
        <v>30767</v>
      </c>
      <c r="AA5449">
        <v>0.36915134500102431</v>
      </c>
      <c r="AB5449" t="str">
        <f>HYPERLINK("Melting_Curves/meltCurve_Q9H270_VPS11.pdf", "Melting_Curves/meltCurve_Q9H270_VPS11.pdf")</f>
        <v>Melting_Curves/meltCurve_Q9H270_VPS11.pdf</v>
      </c>
    </row>
    <row r="5450" spans="1:28" x14ac:dyDescent="0.25">
      <c r="A5450" t="s">
        <v>5454</v>
      </c>
      <c r="B5450">
        <v>0.99542014353169495</v>
      </c>
      <c r="C5450">
        <v>0.97710984657135103</v>
      </c>
      <c r="D5450">
        <v>0.97404016403495497</v>
      </c>
      <c r="E5450">
        <v>0.81650530398378796</v>
      </c>
      <c r="F5450">
        <v>0.46805359485366499</v>
      </c>
      <c r="G5450">
        <v>0.17990592440966799</v>
      </c>
      <c r="H5450">
        <v>0.14783724472155299</v>
      </c>
      <c r="I5450">
        <v>9.2240988038011201E-2</v>
      </c>
      <c r="J5450">
        <v>9.6681941771489005E-2</v>
      </c>
      <c r="K5450">
        <v>9.5744612611743607E-2</v>
      </c>
      <c r="L5450">
        <v>1178.32401006189</v>
      </c>
      <c r="M5450">
        <v>23.8747376824391</v>
      </c>
      <c r="N5450">
        <v>49.782474231298501</v>
      </c>
      <c r="O5450">
        <v>49.012055863642701</v>
      </c>
      <c r="P5450">
        <v>-0.110481701253673</v>
      </c>
      <c r="Q5450">
        <v>9.27899460284137E-2</v>
      </c>
      <c r="R5450">
        <v>0.99879871365309802</v>
      </c>
      <c r="S5450" t="s">
        <v>11852</v>
      </c>
      <c r="T5450" t="s">
        <v>12802</v>
      </c>
      <c r="U5450" t="s">
        <v>12802</v>
      </c>
      <c r="V5450" t="s">
        <v>12802</v>
      </c>
      <c r="W5450" t="s">
        <v>18187</v>
      </c>
      <c r="X5450">
        <v>10</v>
      </c>
      <c r="Y5450" t="s">
        <v>24398</v>
      </c>
      <c r="Z5450" t="s">
        <v>30768</v>
      </c>
      <c r="AA5450">
        <v>0.47499539170998289</v>
      </c>
      <c r="AB5450" t="str">
        <f>HYPERLINK("Melting_Curves/meltCurve_Q9H2C0_GAN.pdf", "Melting_Curves/meltCurve_Q9H2C0_GAN.pdf")</f>
        <v>Melting_Curves/meltCurve_Q9H2C0_GAN.pdf</v>
      </c>
    </row>
    <row r="5451" spans="1:28" x14ac:dyDescent="0.25">
      <c r="A5451" t="s">
        <v>5455</v>
      </c>
      <c r="B5451">
        <v>0.99542014353169495</v>
      </c>
      <c r="C5451">
        <v>0.92514169516891298</v>
      </c>
      <c r="D5451">
        <v>1.00945692055773</v>
      </c>
      <c r="E5451">
        <v>0.71549779503461697</v>
      </c>
      <c r="F5451">
        <v>0.65337271479429104</v>
      </c>
      <c r="G5451">
        <v>0.44868294170171902</v>
      </c>
      <c r="H5451">
        <v>0.40997922372191298</v>
      </c>
      <c r="I5451">
        <v>0.27964457296855999</v>
      </c>
      <c r="J5451">
        <v>0.157890301662377</v>
      </c>
      <c r="K5451">
        <v>9.3718957244835296E-2</v>
      </c>
      <c r="L5451">
        <v>489.29988932110302</v>
      </c>
      <c r="M5451">
        <v>9.1494796874067195</v>
      </c>
      <c r="N5451">
        <v>53.4784142281407</v>
      </c>
      <c r="O5451">
        <v>51.109585245547102</v>
      </c>
      <c r="P5451">
        <v>-4.4784742522741901E-2</v>
      </c>
      <c r="Q5451">
        <v>0</v>
      </c>
      <c r="R5451">
        <v>0.97376723828930301</v>
      </c>
      <c r="S5451" t="s">
        <v>11853</v>
      </c>
      <c r="T5451" t="s">
        <v>12802</v>
      </c>
      <c r="U5451" t="s">
        <v>12802</v>
      </c>
      <c r="V5451" t="s">
        <v>12802</v>
      </c>
      <c r="W5451" t="s">
        <v>18188</v>
      </c>
      <c r="X5451">
        <v>1</v>
      </c>
      <c r="Y5451" t="s">
        <v>24399</v>
      </c>
      <c r="Z5451" t="s">
        <v>30769</v>
      </c>
      <c r="AA5451">
        <v>0.5690871154380599</v>
      </c>
      <c r="AB5451" t="str">
        <f>HYPERLINK("Melting_Curves/meltCurve_Q9H2D1_SLC25A32.pdf", "Melting_Curves/meltCurve_Q9H2D1_SLC25A32.pdf")</f>
        <v>Melting_Curves/meltCurve_Q9H2D1_SLC25A32.pdf</v>
      </c>
    </row>
    <row r="5452" spans="1:28" x14ac:dyDescent="0.25">
      <c r="A5452" t="s">
        <v>5456</v>
      </c>
      <c r="B5452">
        <v>0.99542014353169495</v>
      </c>
      <c r="C5452">
        <v>1.0128374298890701</v>
      </c>
      <c r="D5452">
        <v>0.96570311196610603</v>
      </c>
      <c r="E5452">
        <v>0.848827619200752</v>
      </c>
      <c r="F5452">
        <v>0.20346381777169001</v>
      </c>
      <c r="G5452">
        <v>9.5770033929283196E-2</v>
      </c>
      <c r="H5452">
        <v>5.4660597192228898E-2</v>
      </c>
      <c r="I5452">
        <v>3.8681264176050598E-2</v>
      </c>
      <c r="J5452">
        <v>3.6849142763034297E-2</v>
      </c>
      <c r="K5452">
        <v>4.29683675267266E-2</v>
      </c>
      <c r="L5452">
        <v>2095.8751676317502</v>
      </c>
      <c r="M5452">
        <v>43.347937958095898</v>
      </c>
      <c r="N5452">
        <v>48.468292813636097</v>
      </c>
      <c r="O5452">
        <v>48.2475097572461</v>
      </c>
      <c r="P5452">
        <v>-0.213343031099375</v>
      </c>
      <c r="Q5452">
        <v>5.0173870385959503E-2</v>
      </c>
      <c r="R5452">
        <v>0.99857411428429699</v>
      </c>
      <c r="S5452" t="s">
        <v>11854</v>
      </c>
      <c r="T5452" t="s">
        <v>12802</v>
      </c>
      <c r="U5452" t="s">
        <v>12802</v>
      </c>
      <c r="V5452" t="s">
        <v>12802</v>
      </c>
      <c r="W5452" t="s">
        <v>18189</v>
      </c>
      <c r="X5452">
        <v>44</v>
      </c>
      <c r="Y5452" t="s">
        <v>24400</v>
      </c>
      <c r="Z5452" t="s">
        <v>30770</v>
      </c>
      <c r="AA5452">
        <v>0.41222631175188412</v>
      </c>
      <c r="AB5452" t="str">
        <f>HYPERLINK("Melting_Curves/meltCurve_Q9H2G2_2_SLK.pdf", "Melting_Curves/meltCurve_Q9H2G2_2_SLK.pdf")</f>
        <v>Melting_Curves/meltCurve_Q9H2G2_2_SLK.pdf</v>
      </c>
    </row>
    <row r="5453" spans="1:28" x14ac:dyDescent="0.25">
      <c r="A5453" t="s">
        <v>5457</v>
      </c>
      <c r="B5453">
        <v>0.99542014353169495</v>
      </c>
      <c r="C5453">
        <v>0.93394315262368299</v>
      </c>
      <c r="D5453">
        <v>0.89806282397063197</v>
      </c>
      <c r="E5453">
        <v>0.85159721831036295</v>
      </c>
      <c r="F5453">
        <v>0.62771518371164703</v>
      </c>
      <c r="G5453">
        <v>0.401286185203027</v>
      </c>
      <c r="H5453">
        <v>0.31178958428010001</v>
      </c>
      <c r="I5453">
        <v>0.13288214262211101</v>
      </c>
      <c r="J5453">
        <v>0.102469813881492</v>
      </c>
      <c r="K5453">
        <v>0.112261188340818</v>
      </c>
      <c r="L5453">
        <v>622.19372495980201</v>
      </c>
      <c r="M5453">
        <v>11.903728310992999</v>
      </c>
      <c r="N5453">
        <v>52.438562299383896</v>
      </c>
      <c r="O5453">
        <v>50.859181706306998</v>
      </c>
      <c r="P5453">
        <v>-5.7421517865420199E-2</v>
      </c>
      <c r="Q5453">
        <v>1.8900562266033101E-2</v>
      </c>
      <c r="R5453">
        <v>0.99260041501942997</v>
      </c>
      <c r="S5453" t="s">
        <v>11855</v>
      </c>
      <c r="T5453" t="s">
        <v>12802</v>
      </c>
      <c r="U5453" t="s">
        <v>12802</v>
      </c>
      <c r="V5453" t="s">
        <v>12802</v>
      </c>
      <c r="W5453" t="s">
        <v>18190</v>
      </c>
      <c r="X5453">
        <v>8</v>
      </c>
      <c r="Y5453" t="s">
        <v>24401</v>
      </c>
      <c r="Z5453" t="s">
        <v>30771</v>
      </c>
      <c r="AA5453">
        <v>0.5410146345521134</v>
      </c>
      <c r="AB5453" t="str">
        <f>HYPERLINK("Melting_Curves/meltCurve_Q9H2J4_PDCL3.pdf", "Melting_Curves/meltCurve_Q9H2J4_PDCL3.pdf")</f>
        <v>Melting_Curves/meltCurve_Q9H2J4_PDCL3.pdf</v>
      </c>
    </row>
    <row r="5454" spans="1:28" x14ac:dyDescent="0.25">
      <c r="A5454" t="s">
        <v>5458</v>
      </c>
      <c r="B5454">
        <v>0.99542014353169495</v>
      </c>
      <c r="C5454">
        <v>1.0034458923184599</v>
      </c>
      <c r="D5454">
        <v>0.98567112354695197</v>
      </c>
      <c r="E5454">
        <v>0.87792463269357202</v>
      </c>
      <c r="F5454">
        <v>0.56132405996423596</v>
      </c>
      <c r="G5454">
        <v>0.13946274711965301</v>
      </c>
      <c r="H5454">
        <v>9.5733591963199999E-2</v>
      </c>
      <c r="I5454">
        <v>6.4746273807012894E-2</v>
      </c>
      <c r="J5454">
        <v>6.2525759043131707E-2</v>
      </c>
      <c r="K5454">
        <v>6.8131037949161796E-2</v>
      </c>
      <c r="L5454">
        <v>1470.7466022380299</v>
      </c>
      <c r="M5454">
        <v>29.278614415971401</v>
      </c>
      <c r="N5454">
        <v>50.449789413169199</v>
      </c>
      <c r="O5454">
        <v>50.000196400267498</v>
      </c>
      <c r="P5454">
        <v>-0.13773234376962801</v>
      </c>
      <c r="Q5454">
        <v>5.9163643959445199E-2</v>
      </c>
      <c r="R5454">
        <v>0.99786000901512195</v>
      </c>
      <c r="S5454" t="s">
        <v>11856</v>
      </c>
      <c r="T5454" t="s">
        <v>12802</v>
      </c>
      <c r="U5454" t="s">
        <v>12802</v>
      </c>
      <c r="V5454" t="s">
        <v>12802</v>
      </c>
      <c r="W5454" t="s">
        <v>18191</v>
      </c>
      <c r="X5454">
        <v>32</v>
      </c>
      <c r="Y5454" t="s">
        <v>24402</v>
      </c>
      <c r="Z5454" t="s">
        <v>30772</v>
      </c>
      <c r="AA5454">
        <v>0.4802383874682713</v>
      </c>
      <c r="AB5454" t="str">
        <f>HYPERLINK("Melting_Curves/meltCurve_Q9H2K8_TAOK3.pdf", "Melting_Curves/meltCurve_Q9H2K8_TAOK3.pdf")</f>
        <v>Melting_Curves/meltCurve_Q9H2K8_TAOK3.pdf</v>
      </c>
    </row>
    <row r="5455" spans="1:28" x14ac:dyDescent="0.25">
      <c r="A5455" t="s">
        <v>5459</v>
      </c>
      <c r="B5455">
        <v>0.99542014353169495</v>
      </c>
      <c r="C5455">
        <v>0.964455161344552</v>
      </c>
      <c r="D5455">
        <v>1.00004470497932</v>
      </c>
      <c r="E5455">
        <v>0.57912525832476702</v>
      </c>
      <c r="F5455">
        <v>0.187553256239123</v>
      </c>
      <c r="G5455">
        <v>0.114497240045439</v>
      </c>
      <c r="H5455">
        <v>6.7658285373348101E-2</v>
      </c>
      <c r="I5455">
        <v>4.9781275612720402E-2</v>
      </c>
      <c r="J5455">
        <v>5.4472956744571699E-2</v>
      </c>
      <c r="K5455">
        <v>5.2301286702262702E-2</v>
      </c>
      <c r="L5455">
        <v>1484.27151570302</v>
      </c>
      <c r="M5455">
        <v>31.579681057522901</v>
      </c>
      <c r="N5455">
        <v>47.207956870620102</v>
      </c>
      <c r="O5455">
        <v>46.813565175200097</v>
      </c>
      <c r="P5455">
        <v>-0.15773714051708601</v>
      </c>
      <c r="Q5455">
        <v>6.4689738474055694E-2</v>
      </c>
      <c r="R5455">
        <v>0.99682757973703695</v>
      </c>
      <c r="S5455" t="s">
        <v>11857</v>
      </c>
      <c r="T5455" t="s">
        <v>12802</v>
      </c>
      <c r="U5455" t="s">
        <v>12802</v>
      </c>
      <c r="V5455" t="s">
        <v>12802</v>
      </c>
      <c r="W5455" t="s">
        <v>18192</v>
      </c>
      <c r="X5455">
        <v>27</v>
      </c>
      <c r="Y5455" t="s">
        <v>24403</v>
      </c>
      <c r="Z5455" t="s">
        <v>30773</v>
      </c>
      <c r="AA5455">
        <v>0.38138614239134028</v>
      </c>
      <c r="AB5455" t="str">
        <f>HYPERLINK("Melting_Curves/meltCurve_Q9H2M9_RAB3GAP2.pdf", "Melting_Curves/meltCurve_Q9H2M9_RAB3GAP2.pdf")</f>
        <v>Melting_Curves/meltCurve_Q9H2M9_RAB3GAP2.pdf</v>
      </c>
    </row>
    <row r="5456" spans="1:28" x14ac:dyDescent="0.25">
      <c r="A5456" t="s">
        <v>5460</v>
      </c>
      <c r="B5456">
        <v>0.99542014353169495</v>
      </c>
      <c r="C5456">
        <v>0.89157607648720705</v>
      </c>
      <c r="D5456">
        <v>0.90587030683965897</v>
      </c>
      <c r="E5456">
        <v>0.438841998198373</v>
      </c>
      <c r="F5456">
        <v>0.25085766587941399</v>
      </c>
      <c r="G5456">
        <v>0.147379751763416</v>
      </c>
      <c r="H5456">
        <v>0.104330870030857</v>
      </c>
      <c r="I5456">
        <v>7.1900561586484696E-2</v>
      </c>
      <c r="J5456">
        <v>7.8591640416045994E-2</v>
      </c>
      <c r="K5456">
        <v>9.5062924323308498E-2</v>
      </c>
      <c r="L5456">
        <v>1008.71070993033</v>
      </c>
      <c r="M5456">
        <v>21.908056370188401</v>
      </c>
      <c r="N5456">
        <v>46.465183845761501</v>
      </c>
      <c r="O5456">
        <v>45.6644374875087</v>
      </c>
      <c r="P5456">
        <v>-0.109116512323689</v>
      </c>
      <c r="Q5456">
        <v>9.0265066415042505E-2</v>
      </c>
      <c r="R5456">
        <v>0.98888684523223103</v>
      </c>
      <c r="S5456" t="s">
        <v>11858</v>
      </c>
      <c r="T5456" t="s">
        <v>12802</v>
      </c>
      <c r="U5456" t="s">
        <v>12802</v>
      </c>
      <c r="V5456" t="s">
        <v>12802</v>
      </c>
      <c r="W5456" t="s">
        <v>18193</v>
      </c>
      <c r="X5456">
        <v>12</v>
      </c>
      <c r="Y5456" t="s">
        <v>24404</v>
      </c>
      <c r="Z5456" t="s">
        <v>30774</v>
      </c>
      <c r="AA5456">
        <v>0.37436767302448831</v>
      </c>
      <c r="AB5456" t="str">
        <f>HYPERLINK("Melting_Curves/meltCurve_Q9H2P0_ADNP.pdf", "Melting_Curves/meltCurve_Q9H2P0_ADNP.pdf")</f>
        <v>Melting_Curves/meltCurve_Q9H2P0_ADNP.pdf</v>
      </c>
    </row>
    <row r="5457" spans="1:28" x14ac:dyDescent="0.25">
      <c r="A5457" t="s">
        <v>5461</v>
      </c>
      <c r="B5457">
        <v>0.99542014353169495</v>
      </c>
      <c r="C5457">
        <v>0.97540472499449304</v>
      </c>
      <c r="D5457">
        <v>0.90292354691116095</v>
      </c>
      <c r="E5457">
        <v>0.85937535199515003</v>
      </c>
      <c r="F5457">
        <v>0.69041428984197895</v>
      </c>
      <c r="G5457">
        <v>0.59930125725577799</v>
      </c>
      <c r="H5457">
        <v>0.37908378828213901</v>
      </c>
      <c r="I5457">
        <v>0.12238058388914599</v>
      </c>
      <c r="J5457">
        <v>5.8886097104130501E-2</v>
      </c>
      <c r="K5457">
        <v>6.40363940663988E-2</v>
      </c>
      <c r="L5457">
        <v>700.49092406745604</v>
      </c>
      <c r="M5457">
        <v>12.9354182662992</v>
      </c>
      <c r="N5457">
        <v>54.152953236140299</v>
      </c>
      <c r="O5457">
        <v>52.907705333425099</v>
      </c>
      <c r="P5457">
        <v>-6.1133573766185299E-2</v>
      </c>
      <c r="Q5457">
        <v>0</v>
      </c>
      <c r="R5457">
        <v>0.98130748793851097</v>
      </c>
      <c r="S5457" t="s">
        <v>11859</v>
      </c>
      <c r="T5457" t="s">
        <v>12802</v>
      </c>
      <c r="U5457" t="s">
        <v>12802</v>
      </c>
      <c r="V5457" t="s">
        <v>12802</v>
      </c>
      <c r="W5457" t="s">
        <v>18194</v>
      </c>
      <c r="X5457">
        <v>8</v>
      </c>
      <c r="Y5457" t="s">
        <v>24405</v>
      </c>
      <c r="Z5457" t="s">
        <v>30775</v>
      </c>
      <c r="AA5457">
        <v>0.58888391749460034</v>
      </c>
      <c r="AB5457" t="str">
        <f>HYPERLINK("Melting_Curves/meltCurve_Q9H2P9_3_DPH5.pdf", "Melting_Curves/meltCurve_Q9H2P9_3_DPH5.pdf")</f>
        <v>Melting_Curves/meltCurve_Q9H2P9_3_DPH5.pdf</v>
      </c>
    </row>
    <row r="5458" spans="1:28" x14ac:dyDescent="0.25">
      <c r="A5458" t="s">
        <v>5462</v>
      </c>
      <c r="B5458">
        <v>0.99542014353169495</v>
      </c>
      <c r="C5458">
        <v>1.01060857130052</v>
      </c>
      <c r="D5458">
        <v>1.0142248449117499</v>
      </c>
      <c r="E5458">
        <v>0.99529184833863704</v>
      </c>
      <c r="F5458">
        <v>0.76485129442885602</v>
      </c>
      <c r="G5458">
        <v>0.62185105083247705</v>
      </c>
      <c r="H5458">
        <v>0.40173186622407803</v>
      </c>
      <c r="I5458">
        <v>0.219787874953185</v>
      </c>
      <c r="J5458">
        <v>0.107039955841603</v>
      </c>
      <c r="K5458">
        <v>7.3851339437788599E-2</v>
      </c>
      <c r="L5458">
        <v>802.44709747962099</v>
      </c>
      <c r="M5458">
        <v>14.4541730582523</v>
      </c>
      <c r="N5458">
        <v>55.516638712594997</v>
      </c>
      <c r="O5458">
        <v>54.486444056020403</v>
      </c>
      <c r="P5458">
        <v>-6.6327787162467899E-2</v>
      </c>
      <c r="Q5458">
        <v>0</v>
      </c>
      <c r="R5458">
        <v>0.99412421058560596</v>
      </c>
      <c r="S5458" t="s">
        <v>11860</v>
      </c>
      <c r="T5458" t="s">
        <v>12802</v>
      </c>
      <c r="U5458" t="s">
        <v>12802</v>
      </c>
      <c r="V5458" t="s">
        <v>12802</v>
      </c>
      <c r="W5458" t="s">
        <v>18195</v>
      </c>
      <c r="X5458">
        <v>8</v>
      </c>
      <c r="Y5458" t="s">
        <v>24406</v>
      </c>
      <c r="Z5458" t="s">
        <v>30776</v>
      </c>
      <c r="AA5458">
        <v>0.63007883140824072</v>
      </c>
      <c r="AB5458" t="str">
        <f>HYPERLINK("Melting_Curves/meltCurve_Q9H2U2_PPA2.pdf", "Melting_Curves/meltCurve_Q9H2U2_PPA2.pdf")</f>
        <v>Melting_Curves/meltCurve_Q9H2U2_PPA2.pdf</v>
      </c>
    </row>
    <row r="5459" spans="1:28" x14ac:dyDescent="0.25">
      <c r="A5459" t="s">
        <v>5463</v>
      </c>
      <c r="B5459">
        <v>0.99542014353169495</v>
      </c>
      <c r="C5459">
        <v>1.2080016056695599</v>
      </c>
      <c r="D5459">
        <v>0.38447997806998202</v>
      </c>
      <c r="E5459">
        <v>0.651792899713588</v>
      </c>
      <c r="F5459">
        <v>0.48466159544618898</v>
      </c>
      <c r="G5459">
        <v>0.305767580424469</v>
      </c>
      <c r="H5459">
        <v>0.10875752688552499</v>
      </c>
      <c r="I5459">
        <v>7.2953411152945305E-2</v>
      </c>
      <c r="J5459">
        <v>0.10267436612120601</v>
      </c>
      <c r="K5459">
        <v>0.20271526587781999</v>
      </c>
      <c r="L5459">
        <v>515.82611295136303</v>
      </c>
      <c r="M5459">
        <v>10.9449304544589</v>
      </c>
      <c r="N5459">
        <v>47.8657829191175</v>
      </c>
      <c r="O5459">
        <v>45.637845955599701</v>
      </c>
      <c r="P5459">
        <v>-5.5327798166874699E-2</v>
      </c>
      <c r="Q5459">
        <v>7.7500523969599097E-2</v>
      </c>
      <c r="R5459">
        <v>0.79380035998535803</v>
      </c>
      <c r="S5459" t="s">
        <v>11861</v>
      </c>
      <c r="T5459" t="s">
        <v>12802</v>
      </c>
      <c r="U5459" t="s">
        <v>12802</v>
      </c>
      <c r="V5459" t="s">
        <v>12802</v>
      </c>
      <c r="W5459" t="s">
        <v>18196</v>
      </c>
      <c r="X5459">
        <v>1</v>
      </c>
      <c r="Y5459" t="s">
        <v>24407</v>
      </c>
      <c r="Z5459" t="s">
        <v>30777</v>
      </c>
      <c r="AA5459">
        <v>0.42364535809742132</v>
      </c>
      <c r="AB5459" t="str">
        <f>HYPERLINK("Melting_Curves/meltCurve_Q9H2W2_MIXL1.pdf", "Melting_Curves/meltCurve_Q9H2W2_MIXL1.pdf")</f>
        <v>Melting_Curves/meltCurve_Q9H2W2_MIXL1.pdf</v>
      </c>
    </row>
    <row r="5460" spans="1:28" x14ac:dyDescent="0.25">
      <c r="A5460" t="s">
        <v>5464</v>
      </c>
      <c r="B5460">
        <v>0.99542014353169495</v>
      </c>
      <c r="C5460">
        <v>1.0760972835126399</v>
      </c>
      <c r="D5460">
        <v>1.04261074863032</v>
      </c>
      <c r="E5460">
        <v>1.1631803017070299</v>
      </c>
      <c r="F5460">
        <v>0.66251970997101195</v>
      </c>
      <c r="G5460">
        <v>0.19725019974421701</v>
      </c>
      <c r="H5460">
        <v>0.150536101823595</v>
      </c>
      <c r="I5460">
        <v>0.159970735825709</v>
      </c>
      <c r="J5460">
        <v>0.18739655036935501</v>
      </c>
      <c r="K5460">
        <v>0.28264373235097801</v>
      </c>
      <c r="L5460">
        <v>12566.3018002957</v>
      </c>
      <c r="M5460">
        <v>250</v>
      </c>
      <c r="N5460">
        <v>50.365175065132199</v>
      </c>
      <c r="O5460">
        <v>50.261990572524702</v>
      </c>
      <c r="P5460">
        <v>-1.0003092545730801</v>
      </c>
      <c r="Q5460">
        <v>0.19555945195480701</v>
      </c>
      <c r="R5460">
        <v>0.97384350366052497</v>
      </c>
      <c r="S5460" t="s">
        <v>11862</v>
      </c>
      <c r="T5460" t="s">
        <v>12802</v>
      </c>
      <c r="U5460" t="s">
        <v>12802</v>
      </c>
      <c r="V5460" t="s">
        <v>12802</v>
      </c>
      <c r="W5460" t="s">
        <v>18197</v>
      </c>
      <c r="X5460">
        <v>5</v>
      </c>
      <c r="Y5460" t="s">
        <v>24408</v>
      </c>
      <c r="Z5460" t="s">
        <v>30778</v>
      </c>
      <c r="AA5460">
        <v>0.55133276709638201</v>
      </c>
      <c r="AB5460" t="str">
        <f>HYPERLINK("Melting_Curves/meltCurve_Q9H2W6_MRPL46.pdf", "Melting_Curves/meltCurve_Q9H2W6_MRPL46.pdf")</f>
        <v>Melting_Curves/meltCurve_Q9H2W6_MRPL46.pdf</v>
      </c>
    </row>
    <row r="5461" spans="1:28" x14ac:dyDescent="0.25">
      <c r="A5461" t="s">
        <v>5465</v>
      </c>
      <c r="B5461">
        <v>0.99542014353169495</v>
      </c>
      <c r="C5461">
        <v>0.915562634860004</v>
      </c>
      <c r="D5461">
        <v>0.97345462800813898</v>
      </c>
      <c r="E5461">
        <v>0.77224894492781304</v>
      </c>
      <c r="F5461">
        <v>0.549675384509973</v>
      </c>
      <c r="G5461">
        <v>0.39802500888682402</v>
      </c>
      <c r="H5461">
        <v>0.39692193889933802</v>
      </c>
      <c r="I5461">
        <v>0.22625088185671499</v>
      </c>
      <c r="J5461">
        <v>0.40999369180721801</v>
      </c>
      <c r="K5461">
        <v>0.245130179065291</v>
      </c>
      <c r="L5461">
        <v>840.36497456546601</v>
      </c>
      <c r="M5461">
        <v>17.2682220040119</v>
      </c>
      <c r="N5461">
        <v>51.309746500708698</v>
      </c>
      <c r="O5461">
        <v>48.026823986785203</v>
      </c>
      <c r="P5461">
        <v>-6.3405349551104606E-2</v>
      </c>
      <c r="Q5461">
        <v>0.294662614930919</v>
      </c>
      <c r="R5461">
        <v>0.96118793187755602</v>
      </c>
      <c r="S5461" t="s">
        <v>11863</v>
      </c>
      <c r="T5461" t="s">
        <v>12802</v>
      </c>
      <c r="U5461" t="s">
        <v>12802</v>
      </c>
      <c r="V5461" t="s">
        <v>12802</v>
      </c>
      <c r="W5461" t="s">
        <v>18198</v>
      </c>
      <c r="X5461">
        <v>2</v>
      </c>
      <c r="Y5461" t="s">
        <v>24409</v>
      </c>
      <c r="Z5461" t="s">
        <v>30779</v>
      </c>
      <c r="AA5461">
        <v>0.58101699064221612</v>
      </c>
      <c r="AB5461" t="str">
        <f>HYPERLINK("Melting_Curves/meltCurve_Q9H300_PARL.pdf", "Melting_Curves/meltCurve_Q9H300_PARL.pdf")</f>
        <v>Melting_Curves/meltCurve_Q9H300_PARL.pdf</v>
      </c>
    </row>
    <row r="5462" spans="1:28" x14ac:dyDescent="0.25">
      <c r="A5462" t="s">
        <v>5466</v>
      </c>
      <c r="B5462">
        <v>0.99542014353169495</v>
      </c>
      <c r="C5462">
        <v>0.94897601325612402</v>
      </c>
      <c r="D5462">
        <v>1.0499114356770101</v>
      </c>
      <c r="E5462">
        <v>1.09874000698463</v>
      </c>
      <c r="F5462">
        <v>0.91398301612878796</v>
      </c>
      <c r="G5462">
        <v>0.455827960049214</v>
      </c>
      <c r="H5462">
        <v>0.24957435048228499</v>
      </c>
      <c r="I5462">
        <v>0.17050612049021999</v>
      </c>
      <c r="J5462">
        <v>0.20778911740505199</v>
      </c>
      <c r="K5462">
        <v>0.30495624770383201</v>
      </c>
      <c r="L5462">
        <v>2329.0780194270901</v>
      </c>
      <c r="M5462">
        <v>44.183007553267203</v>
      </c>
      <c r="N5462">
        <v>53.450825213172998</v>
      </c>
      <c r="O5462">
        <v>52.606692475613599</v>
      </c>
      <c r="P5462">
        <v>-0.16209697005266099</v>
      </c>
      <c r="Q5462">
        <v>0.22799519100229401</v>
      </c>
      <c r="R5462">
        <v>0.98167627429093796</v>
      </c>
      <c r="S5462" t="s">
        <v>11864</v>
      </c>
      <c r="T5462" t="s">
        <v>12802</v>
      </c>
      <c r="U5462" t="s">
        <v>12802</v>
      </c>
      <c r="V5462" t="s">
        <v>12802</v>
      </c>
      <c r="W5462" t="s">
        <v>18199</v>
      </c>
      <c r="X5462">
        <v>10</v>
      </c>
      <c r="Y5462" t="s">
        <v>24410</v>
      </c>
      <c r="Z5462" t="s">
        <v>30780</v>
      </c>
      <c r="AA5462">
        <v>0.63467829910423346</v>
      </c>
      <c r="AB5462" t="str">
        <f>HYPERLINK("Melting_Curves/meltCurve_Q9H307_PNN.pdf", "Melting_Curves/meltCurve_Q9H307_PNN.pdf")</f>
        <v>Melting_Curves/meltCurve_Q9H307_PNN.pdf</v>
      </c>
    </row>
    <row r="5463" spans="1:28" x14ac:dyDescent="0.25">
      <c r="A5463" t="s">
        <v>5467</v>
      </c>
      <c r="B5463">
        <v>0.99542014353169495</v>
      </c>
      <c r="C5463">
        <v>0.91081235126678595</v>
      </c>
      <c r="D5463">
        <v>0.86178569972511099</v>
      </c>
      <c r="E5463">
        <v>0.70620128500402501</v>
      </c>
      <c r="F5463">
        <v>0.60748008903619899</v>
      </c>
      <c r="G5463">
        <v>0.42934255903403101</v>
      </c>
      <c r="H5463">
        <v>0.35111295127484599</v>
      </c>
      <c r="I5463">
        <v>0.31325207749157602</v>
      </c>
      <c r="J5463">
        <v>0.39701339996381602</v>
      </c>
      <c r="K5463">
        <v>0.39318765667208999</v>
      </c>
      <c r="L5463">
        <v>616.53518678501996</v>
      </c>
      <c r="M5463">
        <v>12.974852468880499</v>
      </c>
      <c r="N5463">
        <v>51.9085460144371</v>
      </c>
      <c r="O5463">
        <v>46.431424474747899</v>
      </c>
      <c r="P5463">
        <v>-4.6594566862325298E-2</v>
      </c>
      <c r="Q5463">
        <v>0.33315090968866601</v>
      </c>
      <c r="R5463">
        <v>0.97650200471234205</v>
      </c>
      <c r="S5463" t="s">
        <v>11865</v>
      </c>
      <c r="T5463" t="s">
        <v>12802</v>
      </c>
      <c r="U5463" t="s">
        <v>12802</v>
      </c>
      <c r="V5463" t="s">
        <v>12802</v>
      </c>
      <c r="W5463" t="s">
        <v>18200</v>
      </c>
      <c r="X5463">
        <v>5</v>
      </c>
      <c r="Y5463" t="s">
        <v>24411</v>
      </c>
      <c r="Z5463" t="s">
        <v>30781</v>
      </c>
      <c r="AA5463">
        <v>0.58585646026772864</v>
      </c>
      <c r="AB5463" t="str">
        <f>HYPERLINK("Melting_Curves/meltCurve_Q9H330_2_TMEM245.pdf", "Melting_Curves/meltCurve_Q9H330_2_TMEM245.pdf")</f>
        <v>Melting_Curves/meltCurve_Q9H330_2_TMEM245.pdf</v>
      </c>
    </row>
    <row r="5464" spans="1:28" x14ac:dyDescent="0.25">
      <c r="A5464" t="s">
        <v>5468</v>
      </c>
      <c r="B5464">
        <v>0.99542014353169495</v>
      </c>
      <c r="C5464">
        <v>1.06479645400538</v>
      </c>
      <c r="D5464">
        <v>0.98239232324951797</v>
      </c>
      <c r="E5464">
        <v>0.98741694344882303</v>
      </c>
      <c r="F5464">
        <v>0.71589391682907599</v>
      </c>
      <c r="G5464">
        <v>0.45883243127122197</v>
      </c>
      <c r="H5464">
        <v>0.16758870325191599</v>
      </c>
      <c r="I5464">
        <v>8.0110370540837597E-2</v>
      </c>
      <c r="J5464">
        <v>3.8807912122115498E-2</v>
      </c>
      <c r="K5464">
        <v>2.1189347645074501E-2</v>
      </c>
      <c r="L5464">
        <v>1061.27588916223</v>
      </c>
      <c r="M5464">
        <v>20.021680187245199</v>
      </c>
      <c r="N5464">
        <v>53.047415205443698</v>
      </c>
      <c r="O5464">
        <v>52.486052222641298</v>
      </c>
      <c r="P5464">
        <v>-9.4636119601500895E-2</v>
      </c>
      <c r="Q5464">
        <v>7.6926447877417098E-3</v>
      </c>
      <c r="R5464">
        <v>0.99477824840903795</v>
      </c>
      <c r="S5464" t="s">
        <v>11866</v>
      </c>
      <c r="T5464" t="s">
        <v>12802</v>
      </c>
      <c r="U5464" t="s">
        <v>12802</v>
      </c>
      <c r="V5464" t="s">
        <v>12802</v>
      </c>
      <c r="W5464" t="s">
        <v>18201</v>
      </c>
      <c r="X5464">
        <v>5</v>
      </c>
      <c r="Y5464" t="s">
        <v>24412</v>
      </c>
      <c r="Z5464" t="s">
        <v>30782</v>
      </c>
      <c r="AA5464">
        <v>0.54961034715658419</v>
      </c>
      <c r="AB5464" t="str">
        <f>HYPERLINK("Melting_Curves/meltCurve_Q9H3C7_GGNBP2.pdf", "Melting_Curves/meltCurve_Q9H3C7_GGNBP2.pdf")</f>
        <v>Melting_Curves/meltCurve_Q9H3C7_GGNBP2.pdf</v>
      </c>
    </row>
    <row r="5465" spans="1:28" x14ac:dyDescent="0.25">
      <c r="A5465" t="s">
        <v>5469</v>
      </c>
      <c r="B5465">
        <v>0.99542014353169495</v>
      </c>
      <c r="C5465">
        <v>0.98566016592797201</v>
      </c>
      <c r="D5465">
        <v>0.92080128436866504</v>
      </c>
      <c r="E5465">
        <v>0.50328621904197601</v>
      </c>
      <c r="F5465">
        <v>0.22195460797207001</v>
      </c>
      <c r="G5465">
        <v>0.11132613208679</v>
      </c>
      <c r="H5465">
        <v>7.2970321698163004E-2</v>
      </c>
      <c r="I5465">
        <v>5.1728451814836499E-2</v>
      </c>
      <c r="J5465">
        <v>5.2561332655809E-2</v>
      </c>
      <c r="K5465">
        <v>5.4746824721814302E-2</v>
      </c>
      <c r="L5465">
        <v>1129.8242504678001</v>
      </c>
      <c r="M5465">
        <v>24.2502267261107</v>
      </c>
      <c r="N5465">
        <v>46.8391457101051</v>
      </c>
      <c r="O5465">
        <v>46.276903447407399</v>
      </c>
      <c r="P5465">
        <v>-0.123088570177967</v>
      </c>
      <c r="Q5465">
        <v>6.0450667431398798E-2</v>
      </c>
      <c r="R5465">
        <v>0.99834582525482696</v>
      </c>
      <c r="S5465" t="s">
        <v>11867</v>
      </c>
      <c r="T5465" t="s">
        <v>12802</v>
      </c>
      <c r="U5465" t="s">
        <v>12802</v>
      </c>
      <c r="V5465" t="s">
        <v>12802</v>
      </c>
      <c r="W5465" t="s">
        <v>18202</v>
      </c>
      <c r="X5465">
        <v>11</v>
      </c>
      <c r="Y5465" t="s">
        <v>24413</v>
      </c>
      <c r="Z5465" t="s">
        <v>30783</v>
      </c>
      <c r="AA5465">
        <v>0.36914529381483779</v>
      </c>
      <c r="AB5465" t="str">
        <f>HYPERLINK("Melting_Curves/meltCurve_Q9H3H1_4_TRIT1.pdf", "Melting_Curves/meltCurve_Q9H3H1_4_TRIT1.pdf")</f>
        <v>Melting_Curves/meltCurve_Q9H3H1_4_TRIT1.pdf</v>
      </c>
    </row>
    <row r="5466" spans="1:28" x14ac:dyDescent="0.25">
      <c r="A5466" t="s">
        <v>5470</v>
      </c>
      <c r="B5466">
        <v>0.99542014353169495</v>
      </c>
      <c r="C5466">
        <v>0.99288873694380797</v>
      </c>
      <c r="D5466">
        <v>0.88415949594081</v>
      </c>
      <c r="E5466">
        <v>0.91137212689181302</v>
      </c>
      <c r="F5466">
        <v>0.70996813688104099</v>
      </c>
      <c r="G5466">
        <v>0.202450037623954</v>
      </c>
      <c r="H5466">
        <v>0.101407441384726</v>
      </c>
      <c r="I5466">
        <v>7.0715385489505303E-2</v>
      </c>
      <c r="J5466">
        <v>5.9367942403577303E-2</v>
      </c>
      <c r="K5466">
        <v>7.1042000338627204E-2</v>
      </c>
      <c r="L5466">
        <v>1693.3525499139</v>
      </c>
      <c r="M5466">
        <v>33.0430212987281</v>
      </c>
      <c r="N5466">
        <v>51.460156864549504</v>
      </c>
      <c r="O5466">
        <v>51.060300437161303</v>
      </c>
      <c r="P5466">
        <v>-0.15143312267857101</v>
      </c>
      <c r="Q5466">
        <v>6.3985587545698594E-2</v>
      </c>
      <c r="R5466">
        <v>0.98950785647778605</v>
      </c>
      <c r="S5466" t="s">
        <v>11868</v>
      </c>
      <c r="T5466" t="s">
        <v>12802</v>
      </c>
      <c r="U5466" t="s">
        <v>12802</v>
      </c>
      <c r="V5466" t="s">
        <v>12802</v>
      </c>
      <c r="W5466" t="s">
        <v>18203</v>
      </c>
      <c r="X5466">
        <v>7</v>
      </c>
      <c r="Y5466" t="s">
        <v>24414</v>
      </c>
      <c r="Z5466" t="s">
        <v>30784</v>
      </c>
      <c r="AA5466">
        <v>0.51333841537544533</v>
      </c>
      <c r="AB5466" t="str">
        <f>HYPERLINK("Melting_Curves/meltCurve_Q9H3H3_2_C11orf68.pdf", "Melting_Curves/meltCurve_Q9H3H3_2_C11orf68.pdf")</f>
        <v>Melting_Curves/meltCurve_Q9H3H3_2_C11orf68.pdf</v>
      </c>
    </row>
    <row r="5467" spans="1:28" x14ac:dyDescent="0.25">
      <c r="A5467" t="s">
        <v>5471</v>
      </c>
      <c r="B5467">
        <v>0.99542014353169495</v>
      </c>
      <c r="C5467">
        <v>1.0332513471286899</v>
      </c>
      <c r="D5467">
        <v>1.0027165688898001</v>
      </c>
      <c r="E5467">
        <v>0.95554123866197505</v>
      </c>
      <c r="F5467">
        <v>0.62769074422326698</v>
      </c>
      <c r="G5467">
        <v>0.433493337005185</v>
      </c>
      <c r="H5467">
        <v>0.296406407516419</v>
      </c>
      <c r="I5467">
        <v>0.348678724840704</v>
      </c>
      <c r="J5467">
        <v>0.54697950923607097</v>
      </c>
      <c r="K5467">
        <v>0.69676716798294303</v>
      </c>
      <c r="L5467">
        <v>2438.1218588036099</v>
      </c>
      <c r="M5467">
        <v>49.455076870653201</v>
      </c>
      <c r="N5467">
        <v>52.061335145164101</v>
      </c>
      <c r="O5467">
        <v>49.219322220721203</v>
      </c>
      <c r="P5467">
        <v>-0.13471216112714601</v>
      </c>
      <c r="Q5467">
        <v>0.4637205715421</v>
      </c>
      <c r="R5467">
        <v>0.85749662943369798</v>
      </c>
      <c r="S5467" t="s">
        <v>11869</v>
      </c>
      <c r="T5467" t="s">
        <v>12802</v>
      </c>
      <c r="U5467" t="s">
        <v>12802</v>
      </c>
      <c r="V5467" t="s">
        <v>12802</v>
      </c>
      <c r="W5467" t="s">
        <v>18204</v>
      </c>
      <c r="X5467">
        <v>3</v>
      </c>
      <c r="Y5467" t="s">
        <v>24415</v>
      </c>
      <c r="Z5467" t="s">
        <v>30785</v>
      </c>
      <c r="AA5467">
        <v>0.68478241076210855</v>
      </c>
      <c r="AB5467" t="str">
        <f>HYPERLINK("Melting_Curves/meltCurve_Q9H3H5_2_DPAGT1.pdf", "Melting_Curves/meltCurve_Q9H3H5_2_DPAGT1.pdf")</f>
        <v>Melting_Curves/meltCurve_Q9H3H5_2_DPAGT1.pdf</v>
      </c>
    </row>
    <row r="5468" spans="1:28" x14ac:dyDescent="0.25">
      <c r="A5468" t="s">
        <v>5472</v>
      </c>
      <c r="B5468">
        <v>0.99542014353169495</v>
      </c>
      <c r="C5468">
        <v>1.0755407911332</v>
      </c>
      <c r="D5468">
        <v>0.98821179705433004</v>
      </c>
      <c r="E5468">
        <v>0.88457329269694995</v>
      </c>
      <c r="F5468">
        <v>0.55111293208930201</v>
      </c>
      <c r="G5468">
        <v>0.24726050211897699</v>
      </c>
      <c r="H5468">
        <v>0.11455476084494801</v>
      </c>
      <c r="I5468">
        <v>8.1195353256008199E-2</v>
      </c>
      <c r="J5468">
        <v>8.5789799005794795E-2</v>
      </c>
      <c r="K5468">
        <v>8.3761718214806297E-2</v>
      </c>
      <c r="L5468">
        <v>1219.8287189411301</v>
      </c>
      <c r="M5468">
        <v>24.2252532313884</v>
      </c>
      <c r="N5468">
        <v>50.701107433631101</v>
      </c>
      <c r="O5468">
        <v>50.014227383103503</v>
      </c>
      <c r="P5468">
        <v>-0.111830664624815</v>
      </c>
      <c r="Q5468">
        <v>7.6494131450339106E-2</v>
      </c>
      <c r="R5468">
        <v>0.996318320839508</v>
      </c>
      <c r="S5468" t="s">
        <v>11870</v>
      </c>
      <c r="T5468" t="s">
        <v>12802</v>
      </c>
      <c r="U5468" t="s">
        <v>12802</v>
      </c>
      <c r="V5468" t="s">
        <v>12802</v>
      </c>
      <c r="W5468" t="s">
        <v>18205</v>
      </c>
      <c r="X5468">
        <v>5</v>
      </c>
      <c r="Y5468" t="s">
        <v>24416</v>
      </c>
      <c r="Z5468" t="s">
        <v>30786</v>
      </c>
      <c r="AA5468">
        <v>0.49616440471918227</v>
      </c>
      <c r="AB5468" t="str">
        <f>HYPERLINK("Melting_Curves/meltCurve_Q9H3K6_BOLA2.pdf", "Melting_Curves/meltCurve_Q9H3K6_BOLA2.pdf")</f>
        <v>Melting_Curves/meltCurve_Q9H3K6_BOLA2.pdf</v>
      </c>
    </row>
    <row r="5469" spans="1:28" x14ac:dyDescent="0.25">
      <c r="A5469" t="s">
        <v>5473</v>
      </c>
      <c r="B5469">
        <v>0.99542014353169495</v>
      </c>
      <c r="C5469">
        <v>0.89658607747699903</v>
      </c>
      <c r="D5469">
        <v>0.89537287765632001</v>
      </c>
      <c r="E5469">
        <v>0.65360230891250704</v>
      </c>
      <c r="F5469">
        <v>0.24885939734707899</v>
      </c>
      <c r="G5469">
        <v>0.11231039922630601</v>
      </c>
      <c r="H5469">
        <v>7.6121877883808906E-2</v>
      </c>
      <c r="I5469">
        <v>5.6788700961237802E-2</v>
      </c>
      <c r="J5469">
        <v>5.7748103974763501E-2</v>
      </c>
      <c r="K5469">
        <v>6.6901650367952897E-2</v>
      </c>
      <c r="L5469">
        <v>1044.79661025274</v>
      </c>
      <c r="M5469">
        <v>22.007471093763399</v>
      </c>
      <c r="N5469">
        <v>47.715192981216497</v>
      </c>
      <c r="O5469">
        <v>47.087860210877203</v>
      </c>
      <c r="P5469">
        <v>-0.110709734483471</v>
      </c>
      <c r="Q5469">
        <v>5.2509358648052999E-2</v>
      </c>
      <c r="R5469">
        <v>0.99317958769200898</v>
      </c>
      <c r="S5469" t="s">
        <v>11871</v>
      </c>
      <c r="T5469" t="s">
        <v>12802</v>
      </c>
      <c r="U5469" t="s">
        <v>12802</v>
      </c>
      <c r="V5469" t="s">
        <v>12802</v>
      </c>
      <c r="W5469" t="s">
        <v>18206</v>
      </c>
      <c r="X5469">
        <v>6</v>
      </c>
      <c r="Y5469" t="s">
        <v>24417</v>
      </c>
      <c r="Z5469" t="s">
        <v>30787</v>
      </c>
      <c r="AA5469">
        <v>0.39364450199644729</v>
      </c>
      <c r="AB5469" t="str">
        <f>HYPERLINK("Melting_Curves/meltCurve_Q9H3M7_TXNIP.pdf", "Melting_Curves/meltCurve_Q9H3M7_TXNIP.pdf")</f>
        <v>Melting_Curves/meltCurve_Q9H3M7_TXNIP.pdf</v>
      </c>
    </row>
    <row r="5470" spans="1:28" x14ac:dyDescent="0.25">
      <c r="A5470" t="s">
        <v>5474</v>
      </c>
      <c r="B5470">
        <v>0.99542014353169495</v>
      </c>
      <c r="C5470">
        <v>1.07801355837406</v>
      </c>
      <c r="D5470">
        <v>1.0904849493905699</v>
      </c>
      <c r="E5470">
        <v>1.0562570331986501</v>
      </c>
      <c r="F5470">
        <v>0.87072763697913202</v>
      </c>
      <c r="G5470">
        <v>0.59367637620354696</v>
      </c>
      <c r="H5470">
        <v>0.29644154810517898</v>
      </c>
      <c r="I5470">
        <v>0.14909761028820001</v>
      </c>
      <c r="J5470">
        <v>0.14151662800428999</v>
      </c>
      <c r="K5470">
        <v>0.16052001561305199</v>
      </c>
      <c r="L5470">
        <v>1428.06985987709</v>
      </c>
      <c r="M5470">
        <v>26.4417722362959</v>
      </c>
      <c r="N5470">
        <v>54.656463485191601</v>
      </c>
      <c r="O5470">
        <v>53.702028515198599</v>
      </c>
      <c r="P5470">
        <v>-0.106525135106945</v>
      </c>
      <c r="Q5470">
        <v>0.13461863353807199</v>
      </c>
      <c r="R5470">
        <v>0.98662091330366397</v>
      </c>
      <c r="S5470" t="s">
        <v>11872</v>
      </c>
      <c r="T5470" t="s">
        <v>12802</v>
      </c>
      <c r="U5470" t="s">
        <v>12802</v>
      </c>
      <c r="V5470" t="s">
        <v>12802</v>
      </c>
      <c r="W5470" t="s">
        <v>18207</v>
      </c>
      <c r="X5470">
        <v>9</v>
      </c>
      <c r="Y5470" t="s">
        <v>24418</v>
      </c>
      <c r="Z5470" t="s">
        <v>30788</v>
      </c>
      <c r="AA5470">
        <v>0.63212215273414685</v>
      </c>
      <c r="AB5470" t="str">
        <f>HYPERLINK("Melting_Curves/meltCurve_Q9H3N1_TMX1.pdf", "Melting_Curves/meltCurve_Q9H3N1_TMX1.pdf")</f>
        <v>Melting_Curves/meltCurve_Q9H3N1_TMX1.pdf</v>
      </c>
    </row>
    <row r="5471" spans="1:28" x14ac:dyDescent="0.25">
      <c r="A5471" t="s">
        <v>5475</v>
      </c>
      <c r="B5471">
        <v>0.99542014353169495</v>
      </c>
      <c r="C5471">
        <v>0.95825986696432597</v>
      </c>
      <c r="D5471">
        <v>0.89220353882502701</v>
      </c>
      <c r="E5471">
        <v>0.54491836239476699</v>
      </c>
      <c r="F5471">
        <v>0.20377949587038</v>
      </c>
      <c r="G5471">
        <v>0.10663357810191899</v>
      </c>
      <c r="H5471">
        <v>6.1755793278423503E-2</v>
      </c>
      <c r="I5471">
        <v>4.6235399450289101E-2</v>
      </c>
      <c r="J5471">
        <v>3.8343177125498701E-2</v>
      </c>
      <c r="K5471">
        <v>3.8528622123606797E-2</v>
      </c>
      <c r="L5471">
        <v>1049.5768468701101</v>
      </c>
      <c r="M5471">
        <v>22.428090815694599</v>
      </c>
      <c r="N5471">
        <v>46.981958243830299</v>
      </c>
      <c r="O5471">
        <v>46.430152150449203</v>
      </c>
      <c r="P5471">
        <v>-0.115673332229489</v>
      </c>
      <c r="Q5471">
        <v>4.2162091933053897E-2</v>
      </c>
      <c r="R5471">
        <v>0.999358259354996</v>
      </c>
      <c r="S5471" t="s">
        <v>11873</v>
      </c>
      <c r="T5471" t="s">
        <v>12802</v>
      </c>
      <c r="U5471" t="s">
        <v>12802</v>
      </c>
      <c r="V5471" t="s">
        <v>12802</v>
      </c>
      <c r="W5471" t="s">
        <v>12931</v>
      </c>
      <c r="X5471">
        <v>11</v>
      </c>
      <c r="Y5471" t="s">
        <v>24419</v>
      </c>
      <c r="Z5471" t="s">
        <v>30789</v>
      </c>
      <c r="AA5471">
        <v>0.36495229852397132</v>
      </c>
      <c r="AB5471" t="str">
        <f>HYPERLINK("Melting_Curves/meltCurve_Q9H3P2_NELFA.pdf", "Melting_Curves/meltCurve_Q9H3P2_NELFA.pdf")</f>
        <v>Melting_Curves/meltCurve_Q9H3P2_NELFA.pdf</v>
      </c>
    </row>
    <row r="5472" spans="1:28" x14ac:dyDescent="0.25">
      <c r="A5472" t="s">
        <v>5476</v>
      </c>
      <c r="B5472">
        <v>0.99542014353169495</v>
      </c>
      <c r="C5472">
        <v>0.98159665529306195</v>
      </c>
      <c r="D5472">
        <v>0.96188340449705401</v>
      </c>
      <c r="E5472">
        <v>0.87992941133220803</v>
      </c>
      <c r="F5472">
        <v>0.54971541685148895</v>
      </c>
      <c r="G5472">
        <v>0.204729940622915</v>
      </c>
      <c r="H5472">
        <v>9.5466822479545896E-2</v>
      </c>
      <c r="I5472">
        <v>6.4062241611574602E-2</v>
      </c>
      <c r="J5472">
        <v>6.2967342595140696E-2</v>
      </c>
      <c r="K5472">
        <v>7.2594792400921704E-2</v>
      </c>
      <c r="L5472">
        <v>1251.4884963361801</v>
      </c>
      <c r="M5472">
        <v>24.882129611485801</v>
      </c>
      <c r="N5472">
        <v>50.5471060559425</v>
      </c>
      <c r="O5472">
        <v>49.975198035832399</v>
      </c>
      <c r="P5472">
        <v>-0.11725596536784701</v>
      </c>
      <c r="Q5472">
        <v>5.79893642334669E-2</v>
      </c>
      <c r="R5472">
        <v>0.99920479679513097</v>
      </c>
      <c r="S5472" t="s">
        <v>11874</v>
      </c>
      <c r="T5472" t="s">
        <v>12802</v>
      </c>
      <c r="U5472" t="s">
        <v>12802</v>
      </c>
      <c r="V5472" t="s">
        <v>12802</v>
      </c>
      <c r="W5472" t="s">
        <v>18208</v>
      </c>
      <c r="X5472">
        <v>16</v>
      </c>
      <c r="Y5472" t="s">
        <v>24420</v>
      </c>
      <c r="Z5472" t="s">
        <v>30790</v>
      </c>
      <c r="AA5472">
        <v>0.48384695330250882</v>
      </c>
      <c r="AB5472" t="str">
        <f>HYPERLINK("Melting_Curves/meltCurve_Q9H3P7_ACBD3.pdf", "Melting_Curves/meltCurve_Q9H3P7_ACBD3.pdf")</f>
        <v>Melting_Curves/meltCurve_Q9H3P7_ACBD3.pdf</v>
      </c>
    </row>
    <row r="5473" spans="1:28" x14ac:dyDescent="0.25">
      <c r="A5473" t="s">
        <v>5477</v>
      </c>
      <c r="B5473">
        <v>0.99542014353169495</v>
      </c>
      <c r="C5473">
        <v>1.0015562538067799</v>
      </c>
      <c r="D5473">
        <v>0.93479974293226098</v>
      </c>
      <c r="E5473">
        <v>0.75714077097412702</v>
      </c>
      <c r="F5473">
        <v>0.55111602756964495</v>
      </c>
      <c r="G5473">
        <v>0.37778181207574002</v>
      </c>
      <c r="H5473">
        <v>0.28024413568704398</v>
      </c>
      <c r="I5473">
        <v>0.22577944941476</v>
      </c>
      <c r="J5473">
        <v>0.32873148122363099</v>
      </c>
      <c r="K5473">
        <v>0.41257246061450797</v>
      </c>
      <c r="L5473">
        <v>984.87730303952696</v>
      </c>
      <c r="M5473">
        <v>20.422949045857202</v>
      </c>
      <c r="N5473">
        <v>50.561663356046701</v>
      </c>
      <c r="O5473">
        <v>47.768828781936399</v>
      </c>
      <c r="P5473">
        <v>-7.42326111849545E-2</v>
      </c>
      <c r="Q5473">
        <v>0.30550694743080398</v>
      </c>
      <c r="R5473">
        <v>0.97274152538696002</v>
      </c>
      <c r="S5473" t="s">
        <v>11875</v>
      </c>
      <c r="T5473" t="s">
        <v>12802</v>
      </c>
      <c r="U5473" t="s">
        <v>12802</v>
      </c>
      <c r="V5473" t="s">
        <v>12802</v>
      </c>
      <c r="W5473" t="s">
        <v>18209</v>
      </c>
      <c r="X5473">
        <v>13</v>
      </c>
      <c r="Y5473" t="s">
        <v>24421</v>
      </c>
      <c r="Z5473" t="s">
        <v>30791</v>
      </c>
      <c r="AA5473">
        <v>0.5741200578123824</v>
      </c>
      <c r="AB5473" t="str">
        <f>HYPERLINK("Melting_Curves/meltCurve_Q9H3Q1_CDC42EP4.pdf", "Melting_Curves/meltCurve_Q9H3Q1_CDC42EP4.pdf")</f>
        <v>Melting_Curves/meltCurve_Q9H3Q1_CDC42EP4.pdf</v>
      </c>
    </row>
    <row r="5474" spans="1:28" x14ac:dyDescent="0.25">
      <c r="A5474" t="s">
        <v>5478</v>
      </c>
      <c r="B5474">
        <v>0.99542014353169495</v>
      </c>
      <c r="C5474">
        <v>0.96101561791356305</v>
      </c>
      <c r="D5474">
        <v>0.79996583123027998</v>
      </c>
      <c r="E5474">
        <v>0.42738165222205998</v>
      </c>
      <c r="F5474">
        <v>0.20220192210100699</v>
      </c>
      <c r="G5474">
        <v>0.12196736452051</v>
      </c>
      <c r="H5474">
        <v>6.9553577112419204E-2</v>
      </c>
      <c r="I5474">
        <v>4.70275428631119E-2</v>
      </c>
      <c r="J5474">
        <v>4.5114324024637498E-2</v>
      </c>
      <c r="K5474">
        <v>5.35398096172904E-2</v>
      </c>
      <c r="L5474">
        <v>904.63460644179804</v>
      </c>
      <c r="M5474">
        <v>19.765054635640102</v>
      </c>
      <c r="N5474">
        <v>46.025804342088897</v>
      </c>
      <c r="O5474">
        <v>45.308600302058302</v>
      </c>
      <c r="P5474">
        <v>-0.103376032002854</v>
      </c>
      <c r="Q5474">
        <v>5.2132450947846701E-2</v>
      </c>
      <c r="R5474">
        <v>0.99910050016232999</v>
      </c>
      <c r="S5474" t="s">
        <v>11876</v>
      </c>
      <c r="T5474" t="s">
        <v>12802</v>
      </c>
      <c r="U5474" t="s">
        <v>12802</v>
      </c>
      <c r="V5474" t="s">
        <v>12802</v>
      </c>
      <c r="W5474" t="s">
        <v>18210</v>
      </c>
      <c r="X5474">
        <v>7</v>
      </c>
      <c r="Y5474" t="s">
        <v>24422</v>
      </c>
      <c r="Z5474" t="s">
        <v>30792</v>
      </c>
      <c r="AA5474">
        <v>0.34190667313682838</v>
      </c>
      <c r="AB5474" t="str">
        <f>HYPERLINK("Melting_Curves/meltCurve_Q9H3R5_CENPH.pdf", "Melting_Curves/meltCurve_Q9H3R5_CENPH.pdf")</f>
        <v>Melting_Curves/meltCurve_Q9H3R5_CENPH.pdf</v>
      </c>
    </row>
    <row r="5475" spans="1:28" x14ac:dyDescent="0.25">
      <c r="A5475" t="s">
        <v>5479</v>
      </c>
      <c r="B5475">
        <v>0.99542014353169495</v>
      </c>
      <c r="C5475">
        <v>0.96766061801011605</v>
      </c>
      <c r="D5475">
        <v>0.92726074171696804</v>
      </c>
      <c r="E5475">
        <v>0.74399251663974197</v>
      </c>
      <c r="F5475">
        <v>0.20388156673433799</v>
      </c>
      <c r="G5475">
        <v>0.121620197330051</v>
      </c>
      <c r="H5475">
        <v>7.9456950634661794E-2</v>
      </c>
      <c r="I5475">
        <v>5.7778006362960703E-2</v>
      </c>
      <c r="J5475">
        <v>7.7449245396453398E-2</v>
      </c>
      <c r="K5475">
        <v>7.0600274460440898E-2</v>
      </c>
      <c r="L5475">
        <v>1657.5497405805199</v>
      </c>
      <c r="M5475">
        <v>34.683693171095797</v>
      </c>
      <c r="N5475">
        <v>48.013507632594496</v>
      </c>
      <c r="O5475">
        <v>47.632438197280202</v>
      </c>
      <c r="P5475">
        <v>-0.16849293095303799</v>
      </c>
      <c r="Q5475">
        <v>7.4412519849174505E-2</v>
      </c>
      <c r="R5475">
        <v>0.99657303133030395</v>
      </c>
      <c r="S5475" t="s">
        <v>11877</v>
      </c>
      <c r="T5475" t="s">
        <v>12802</v>
      </c>
      <c r="U5475" t="s">
        <v>12802</v>
      </c>
      <c r="V5475" t="s">
        <v>12802</v>
      </c>
      <c r="W5475" t="s">
        <v>18211</v>
      </c>
      <c r="X5475">
        <v>38</v>
      </c>
      <c r="Y5475" t="s">
        <v>24423</v>
      </c>
      <c r="Z5475" t="s">
        <v>30793</v>
      </c>
      <c r="AA5475">
        <v>0.41140635659916208</v>
      </c>
      <c r="AB5475" t="str">
        <f>HYPERLINK("Melting_Curves/meltCurve_Q9H3S7_PTPN23.pdf", "Melting_Curves/meltCurve_Q9H3S7_PTPN23.pdf")</f>
        <v>Melting_Curves/meltCurve_Q9H3S7_PTPN23.pdf</v>
      </c>
    </row>
    <row r="5476" spans="1:28" x14ac:dyDescent="0.25">
      <c r="A5476" t="s">
        <v>5480</v>
      </c>
      <c r="B5476">
        <v>0.99542014353169495</v>
      </c>
      <c r="C5476">
        <v>0.98743479940974399</v>
      </c>
      <c r="D5476">
        <v>0.99152039095717703</v>
      </c>
      <c r="E5476">
        <v>0.52312238351969698</v>
      </c>
      <c r="F5476">
        <v>0.15219143728409901</v>
      </c>
      <c r="G5476">
        <v>9.6194659203406599E-2</v>
      </c>
      <c r="H5476">
        <v>6.2727050343937801E-2</v>
      </c>
      <c r="I5476">
        <v>4.8141770149274697E-2</v>
      </c>
      <c r="J5476">
        <v>5.9077898472840201E-2</v>
      </c>
      <c r="K5476">
        <v>6.1346710014869701E-2</v>
      </c>
      <c r="L5476">
        <v>1695.33301836428</v>
      </c>
      <c r="M5476">
        <v>36.374334675709903</v>
      </c>
      <c r="N5476">
        <v>46.792512175470002</v>
      </c>
      <c r="O5476">
        <v>46.467753613790002</v>
      </c>
      <c r="P5476">
        <v>-0.18261920613487401</v>
      </c>
      <c r="Q5476">
        <v>6.6828057430725701E-2</v>
      </c>
      <c r="R5476">
        <v>0.99833575905107397</v>
      </c>
      <c r="S5476" t="s">
        <v>11878</v>
      </c>
      <c r="T5476" t="s">
        <v>12802</v>
      </c>
      <c r="U5476" t="s">
        <v>12802</v>
      </c>
      <c r="V5476" t="s">
        <v>12802</v>
      </c>
      <c r="W5476" t="s">
        <v>18212</v>
      </c>
      <c r="X5476">
        <v>38</v>
      </c>
      <c r="Y5476" t="s">
        <v>24424</v>
      </c>
      <c r="Z5476" t="s">
        <v>30794</v>
      </c>
      <c r="AA5476">
        <v>0.36933418394404138</v>
      </c>
      <c r="AB5476" t="str">
        <f>HYPERLINK("Melting_Curves/meltCurve_Q9H3U1_UNC45A.pdf", "Melting_Curves/meltCurve_Q9H3U1_UNC45A.pdf")</f>
        <v>Melting_Curves/meltCurve_Q9H3U1_UNC45A.pdf</v>
      </c>
    </row>
    <row r="5477" spans="1:28" x14ac:dyDescent="0.25">
      <c r="A5477" t="s">
        <v>5481</v>
      </c>
      <c r="B5477">
        <v>0.99542014353169495</v>
      </c>
      <c r="C5477">
        <v>0.84732404236958403</v>
      </c>
      <c r="D5477">
        <v>0.94901404250254195</v>
      </c>
      <c r="E5477">
        <v>0.89970592069643995</v>
      </c>
      <c r="F5477">
        <v>1.21992853445247</v>
      </c>
      <c r="G5477">
        <v>0.78958483329903095</v>
      </c>
      <c r="H5477">
        <v>2.5516657251480299</v>
      </c>
      <c r="I5477">
        <v>2.8251036376642098</v>
      </c>
      <c r="J5477">
        <v>2.6585066269631801</v>
      </c>
      <c r="K5477">
        <v>2.0482192463041802</v>
      </c>
      <c r="L5477">
        <v>13842.364318604399</v>
      </c>
      <c r="M5477">
        <v>250</v>
      </c>
      <c r="O5477">
        <v>55.365914121318703</v>
      </c>
      <c r="P5477">
        <v>0.56442669832297498</v>
      </c>
      <c r="Q5477">
        <v>1.5</v>
      </c>
      <c r="R5477">
        <v>0.27268408752927598</v>
      </c>
      <c r="S5477" t="s">
        <v>11879</v>
      </c>
      <c r="T5477" t="s">
        <v>12802</v>
      </c>
      <c r="U5477" t="s">
        <v>12802</v>
      </c>
      <c r="V5477" t="s">
        <v>12802</v>
      </c>
      <c r="W5477" t="s">
        <v>18213</v>
      </c>
      <c r="X5477">
        <v>3</v>
      </c>
      <c r="Y5477" t="s">
        <v>24425</v>
      </c>
      <c r="Z5477" t="s">
        <v>30795</v>
      </c>
      <c r="AA5477">
        <v>1.1937937924918141</v>
      </c>
      <c r="AB5477" t="str">
        <f>HYPERLINK("Melting_Curves/meltCurve_Q9H3U5_3_MFSD1.pdf", "Melting_Curves/meltCurve_Q9H3U5_3_MFSD1.pdf")</f>
        <v>Melting_Curves/meltCurve_Q9H3U5_3_MFSD1.pdf</v>
      </c>
    </row>
    <row r="5478" spans="1:28" x14ac:dyDescent="0.25">
      <c r="A5478" t="s">
        <v>5482</v>
      </c>
      <c r="B5478">
        <v>0.99542014353169495</v>
      </c>
      <c r="C5478">
        <v>0.91724726199336304</v>
      </c>
      <c r="D5478">
        <v>1.0683193500466399</v>
      </c>
      <c r="E5478">
        <v>1.1096759850962099</v>
      </c>
      <c r="F5478">
        <v>0.79370676473344604</v>
      </c>
      <c r="G5478">
        <v>0.39203567731301298</v>
      </c>
      <c r="H5478">
        <v>0.355340571810496</v>
      </c>
      <c r="I5478">
        <v>0.397586035714242</v>
      </c>
      <c r="J5478">
        <v>0.636186256075704</v>
      </c>
      <c r="K5478">
        <v>0.81294600381970705</v>
      </c>
      <c r="L5478">
        <v>12564.4106287506</v>
      </c>
      <c r="M5478">
        <v>250</v>
      </c>
      <c r="O5478">
        <v>50.254426375760403</v>
      </c>
      <c r="P5478">
        <v>-0.59843123366293005</v>
      </c>
      <c r="Q5478">
        <v>0.51881890675315201</v>
      </c>
      <c r="R5478">
        <v>0.75683037632210404</v>
      </c>
      <c r="S5478" t="s">
        <v>11880</v>
      </c>
      <c r="T5478" t="s">
        <v>12802</v>
      </c>
      <c r="U5478" t="s">
        <v>12802</v>
      </c>
      <c r="V5478" t="s">
        <v>12802</v>
      </c>
      <c r="W5478" t="s">
        <v>18214</v>
      </c>
      <c r="X5478">
        <v>1</v>
      </c>
      <c r="Y5478" t="s">
        <v>24426</v>
      </c>
      <c r="Z5478" t="s">
        <v>30796</v>
      </c>
      <c r="AA5478">
        <v>0.73150557823130624</v>
      </c>
      <c r="AB5478" t="str">
        <f>HYPERLINK("Melting_Curves/meltCurve_Q9H3Z4_2_DNAJC5.pdf", "Melting_Curves/meltCurve_Q9H3Z4_2_DNAJC5.pdf")</f>
        <v>Melting_Curves/meltCurve_Q9H3Z4_2_DNAJC5.pdf</v>
      </c>
    </row>
    <row r="5479" spans="1:28" x14ac:dyDescent="0.25">
      <c r="A5479" t="s">
        <v>5483</v>
      </c>
      <c r="B5479">
        <v>0.99542014353169495</v>
      </c>
      <c r="C5479">
        <v>0.94326729886689498</v>
      </c>
      <c r="D5479">
        <v>0.97836803986550602</v>
      </c>
      <c r="E5479">
        <v>1.0662231323706099</v>
      </c>
      <c r="F5479">
        <v>0.234896867186599</v>
      </c>
      <c r="G5479">
        <v>0.131286093580334</v>
      </c>
      <c r="H5479">
        <v>6.8834626695095699E-2</v>
      </c>
      <c r="I5479">
        <v>4.5794213540647798E-2</v>
      </c>
      <c r="J5479">
        <v>4.3977307617260097E-2</v>
      </c>
      <c r="K5479">
        <v>5.0903394905430402E-2</v>
      </c>
      <c r="L5479">
        <v>12473.515865519301</v>
      </c>
      <c r="M5479">
        <v>250</v>
      </c>
      <c r="N5479">
        <v>49.923328021516497</v>
      </c>
      <c r="O5479">
        <v>49.890869289299999</v>
      </c>
      <c r="P5479">
        <v>-1.1673489411425599</v>
      </c>
      <c r="Q5479">
        <v>6.8159122106132203E-2</v>
      </c>
      <c r="R5479">
        <v>0.99320141904064096</v>
      </c>
      <c r="S5479" t="s">
        <v>11881</v>
      </c>
      <c r="T5479" t="s">
        <v>12802</v>
      </c>
      <c r="U5479" t="s">
        <v>12802</v>
      </c>
      <c r="V5479" t="s">
        <v>12802</v>
      </c>
      <c r="W5479" t="s">
        <v>18215</v>
      </c>
      <c r="X5479">
        <v>3</v>
      </c>
      <c r="Y5479" t="s">
        <v>24427</v>
      </c>
      <c r="Z5479" t="s">
        <v>30797</v>
      </c>
      <c r="AA5479">
        <v>0.46874789771037312</v>
      </c>
      <c r="AB5479" t="str">
        <f>HYPERLINK("Melting_Curves/meltCurve_Q9H410_DSN1.pdf", "Melting_Curves/meltCurve_Q9H410_DSN1.pdf")</f>
        <v>Melting_Curves/meltCurve_Q9H410_DSN1.pdf</v>
      </c>
    </row>
    <row r="5480" spans="1:28" x14ac:dyDescent="0.25">
      <c r="A5480" t="s">
        <v>5484</v>
      </c>
      <c r="B5480">
        <v>0.99542014353169495</v>
      </c>
      <c r="C5480">
        <v>1.1155994788766901</v>
      </c>
      <c r="D5480">
        <v>0.93357383264326199</v>
      </c>
      <c r="E5480">
        <v>0.73874951588833004</v>
      </c>
      <c r="F5480">
        <v>0.58399003615999001</v>
      </c>
      <c r="G5480">
        <v>0.35817187392485</v>
      </c>
      <c r="H5480">
        <v>0.26212920893925201</v>
      </c>
      <c r="I5480">
        <v>0.23385181882976899</v>
      </c>
      <c r="J5480">
        <v>0.36212931523331598</v>
      </c>
      <c r="K5480">
        <v>0.47572737329091902</v>
      </c>
      <c r="L5480">
        <v>1056.76503060401</v>
      </c>
      <c r="M5480">
        <v>21.9870437300027</v>
      </c>
      <c r="N5480">
        <v>50.529042175106703</v>
      </c>
      <c r="O5480">
        <v>47.670777702361903</v>
      </c>
      <c r="P5480">
        <v>-7.7370806783516793E-2</v>
      </c>
      <c r="Q5480">
        <v>0.32901479150757001</v>
      </c>
      <c r="R5480">
        <v>0.93373121265413295</v>
      </c>
      <c r="S5480" t="s">
        <v>11882</v>
      </c>
      <c r="T5480" t="s">
        <v>12802</v>
      </c>
      <c r="U5480" t="s">
        <v>12802</v>
      </c>
      <c r="V5480" t="s">
        <v>12802</v>
      </c>
      <c r="W5480" t="s">
        <v>18216</v>
      </c>
      <c r="X5480">
        <v>7</v>
      </c>
      <c r="Y5480" t="s">
        <v>24428</v>
      </c>
      <c r="Z5480" t="s">
        <v>30798</v>
      </c>
      <c r="AA5480">
        <v>0.58381123462251805</v>
      </c>
      <c r="AB5480" t="str">
        <f>HYPERLINK("Melting_Curves/meltCurve_Q9H425_C1orf198.pdf", "Melting_Curves/meltCurve_Q9H425_C1orf198.pdf")</f>
        <v>Melting_Curves/meltCurve_Q9H425_C1orf198.pdf</v>
      </c>
    </row>
    <row r="5481" spans="1:28" x14ac:dyDescent="0.25">
      <c r="A5481" t="s">
        <v>5485</v>
      </c>
      <c r="B5481">
        <v>0.99542014353169495</v>
      </c>
      <c r="C5481">
        <v>1.03248119661584</v>
      </c>
      <c r="D5481">
        <v>0.80295480017851295</v>
      </c>
      <c r="E5481">
        <v>0.77028889133596601</v>
      </c>
      <c r="F5481">
        <v>0.64992691492183796</v>
      </c>
      <c r="G5481">
        <v>0.61915341753878195</v>
      </c>
      <c r="H5481">
        <v>0.49327268350303399</v>
      </c>
      <c r="I5481">
        <v>0.46606864109499202</v>
      </c>
      <c r="J5481">
        <v>0.79351615763320305</v>
      </c>
      <c r="K5481">
        <v>1.0903230777953901</v>
      </c>
      <c r="L5481">
        <v>10723.115620360801</v>
      </c>
      <c r="M5481">
        <v>250</v>
      </c>
      <c r="O5481">
        <v>42.889724086247298</v>
      </c>
      <c r="P5481">
        <v>-0.44080041947970999</v>
      </c>
      <c r="Q5481">
        <v>0.69750711175623104</v>
      </c>
      <c r="R5481">
        <v>0.36387492204864802</v>
      </c>
      <c r="S5481" t="s">
        <v>11883</v>
      </c>
      <c r="T5481" t="s">
        <v>12802</v>
      </c>
      <c r="U5481" t="s">
        <v>12802</v>
      </c>
      <c r="V5481" t="s">
        <v>12802</v>
      </c>
      <c r="W5481" t="s">
        <v>18217</v>
      </c>
      <c r="X5481">
        <v>13</v>
      </c>
      <c r="Y5481" t="s">
        <v>24429</v>
      </c>
      <c r="Z5481" t="s">
        <v>30799</v>
      </c>
      <c r="AA5481">
        <v>0.75694414858712311</v>
      </c>
      <c r="AB5481" t="str">
        <f>HYPERLINK("Melting_Curves/meltCurve_Q9H444_CHMP4B.pdf", "Melting_Curves/meltCurve_Q9H444_CHMP4B.pdf")</f>
        <v>Melting_Curves/meltCurve_Q9H444_CHMP4B.pdf</v>
      </c>
    </row>
    <row r="5482" spans="1:28" x14ac:dyDescent="0.25">
      <c r="A5482" t="s">
        <v>5486</v>
      </c>
      <c r="B5482">
        <v>0.99542014353169495</v>
      </c>
      <c r="C5482">
        <v>0.93047723125875803</v>
      </c>
      <c r="D5482">
        <v>0.99570630104307301</v>
      </c>
      <c r="E5482">
        <v>0.89660211658737798</v>
      </c>
      <c r="F5482">
        <v>0.73150880108910898</v>
      </c>
      <c r="G5482">
        <v>0.51099299295682998</v>
      </c>
      <c r="H5482">
        <v>0.50842059027612596</v>
      </c>
      <c r="I5482">
        <v>0.47772160908455902</v>
      </c>
      <c r="J5482">
        <v>0.72878318530386599</v>
      </c>
      <c r="K5482">
        <v>0.88816679514432695</v>
      </c>
      <c r="L5482">
        <v>1750.9809585171699</v>
      </c>
      <c r="M5482">
        <v>36.410497005981497</v>
      </c>
      <c r="O5482">
        <v>47.945632066507898</v>
      </c>
      <c r="P5482">
        <v>-7.0784249514297404E-2</v>
      </c>
      <c r="Q5482">
        <v>0.62716407480346203</v>
      </c>
      <c r="R5482">
        <v>0.64093533409833603</v>
      </c>
      <c r="S5482" t="s">
        <v>11884</v>
      </c>
      <c r="T5482" t="s">
        <v>12802</v>
      </c>
      <c r="U5482" t="s">
        <v>12802</v>
      </c>
      <c r="V5482" t="s">
        <v>12802</v>
      </c>
      <c r="W5482" t="s">
        <v>18218</v>
      </c>
      <c r="X5482">
        <v>3</v>
      </c>
      <c r="Y5482" t="s">
        <v>24430</v>
      </c>
      <c r="Z5482" t="s">
        <v>30800</v>
      </c>
      <c r="AA5482">
        <v>0.76648707932061144</v>
      </c>
      <c r="AB5482" t="str">
        <f>HYPERLINK("Melting_Curves/meltCurve_Q9H467_CUEDC2.pdf", "Melting_Curves/meltCurve_Q9H467_CUEDC2.pdf")</f>
        <v>Melting_Curves/meltCurve_Q9H467_CUEDC2.pdf</v>
      </c>
    </row>
    <row r="5483" spans="1:28" x14ac:dyDescent="0.25">
      <c r="A5483" t="s">
        <v>5487</v>
      </c>
      <c r="B5483">
        <v>0.99542014353169495</v>
      </c>
      <c r="C5483">
        <v>0.85680451177142103</v>
      </c>
      <c r="D5483">
        <v>0.61116288919448003</v>
      </c>
      <c r="E5483">
        <v>0.37094013878575</v>
      </c>
      <c r="F5483">
        <v>0.25718786677789401</v>
      </c>
      <c r="G5483">
        <v>0.133626474170566</v>
      </c>
      <c r="H5483">
        <v>0.108200697194878</v>
      </c>
      <c r="I5483">
        <v>8.0747165705164797E-2</v>
      </c>
      <c r="J5483">
        <v>7.1250170343407804E-2</v>
      </c>
      <c r="K5483">
        <v>8.9314657645266596E-2</v>
      </c>
      <c r="L5483">
        <v>648.22923533583401</v>
      </c>
      <c r="M5483">
        <v>14.6304317564407</v>
      </c>
      <c r="N5483">
        <v>44.807878357271498</v>
      </c>
      <c r="O5483">
        <v>43.503851866600797</v>
      </c>
      <c r="P5483">
        <v>-7.7741003202912204E-2</v>
      </c>
      <c r="Q5483">
        <v>7.5446321084046294E-2</v>
      </c>
      <c r="R5483">
        <v>0.99536005435672303</v>
      </c>
      <c r="S5483" t="s">
        <v>11885</v>
      </c>
      <c r="T5483" t="s">
        <v>12802</v>
      </c>
      <c r="U5483" t="s">
        <v>12802</v>
      </c>
      <c r="V5483" t="s">
        <v>12802</v>
      </c>
      <c r="W5483" t="s">
        <v>18219</v>
      </c>
      <c r="X5483">
        <v>3</v>
      </c>
      <c r="Y5483" t="s">
        <v>24431</v>
      </c>
      <c r="Z5483" t="s">
        <v>30801</v>
      </c>
      <c r="AA5483">
        <v>0.32444103891776738</v>
      </c>
      <c r="AB5483" t="str">
        <f>HYPERLINK("Melting_Curves/meltCurve_Q9H469_FBXL15.pdf", "Melting_Curves/meltCurve_Q9H469_FBXL15.pdf")</f>
        <v>Melting_Curves/meltCurve_Q9H469_FBXL15.pdf</v>
      </c>
    </row>
    <row r="5484" spans="1:28" x14ac:dyDescent="0.25">
      <c r="A5484" t="s">
        <v>5488</v>
      </c>
      <c r="B5484">
        <v>0.99542014353169495</v>
      </c>
      <c r="C5484">
        <v>1.0976179616800701</v>
      </c>
      <c r="D5484">
        <v>1.00992298565758</v>
      </c>
      <c r="E5484">
        <v>0.99920438039124804</v>
      </c>
      <c r="F5484">
        <v>0.82781223498911105</v>
      </c>
      <c r="G5484">
        <v>0.76876072320720701</v>
      </c>
      <c r="H5484">
        <v>0.52488340449051696</v>
      </c>
      <c r="I5484">
        <v>0.48718895293998399</v>
      </c>
      <c r="J5484">
        <v>0.83050883063205505</v>
      </c>
      <c r="K5484">
        <v>0.70467583706440395</v>
      </c>
      <c r="L5484">
        <v>1597.02799969068</v>
      </c>
      <c r="M5484">
        <v>31.484984903186799</v>
      </c>
      <c r="O5484">
        <v>50.520180941953797</v>
      </c>
      <c r="P5484">
        <v>-5.4860060443636803E-2</v>
      </c>
      <c r="Q5484">
        <v>0.64789250416379596</v>
      </c>
      <c r="R5484">
        <v>0.75405787559591797</v>
      </c>
      <c r="S5484" t="s">
        <v>11886</v>
      </c>
      <c r="T5484" t="s">
        <v>12802</v>
      </c>
      <c r="U5484" t="s">
        <v>12802</v>
      </c>
      <c r="V5484" t="s">
        <v>12802</v>
      </c>
      <c r="W5484" t="s">
        <v>18220</v>
      </c>
      <c r="X5484">
        <v>8</v>
      </c>
      <c r="Y5484" t="s">
        <v>24432</v>
      </c>
      <c r="Z5484" t="s">
        <v>30802</v>
      </c>
      <c r="AA5484">
        <v>0.81095090531131175</v>
      </c>
      <c r="AB5484" t="str">
        <f>HYPERLINK("Melting_Curves/meltCurve_Q9H479_FN3K.pdf", "Melting_Curves/meltCurve_Q9H479_FN3K.pdf")</f>
        <v>Melting_Curves/meltCurve_Q9H479_FN3K.pdf</v>
      </c>
    </row>
    <row r="5485" spans="1:28" x14ac:dyDescent="0.25">
      <c r="A5485" t="s">
        <v>5489</v>
      </c>
      <c r="B5485">
        <v>0.99542014353169495</v>
      </c>
      <c r="C5485">
        <v>1.0946008152706701</v>
      </c>
      <c r="D5485">
        <v>0.97801139058655395</v>
      </c>
      <c r="E5485">
        <v>0.94695294075697301</v>
      </c>
      <c r="F5485">
        <v>0.74837246565816495</v>
      </c>
      <c r="G5485">
        <v>0.559000825519124</v>
      </c>
      <c r="H5485">
        <v>0.23913049963139901</v>
      </c>
      <c r="I5485">
        <v>0.108602576334187</v>
      </c>
      <c r="J5485">
        <v>0.113602699737731</v>
      </c>
      <c r="K5485">
        <v>0.106699857397534</v>
      </c>
      <c r="L5485">
        <v>1006.0592815597</v>
      </c>
      <c r="M5485">
        <v>18.808642102565301</v>
      </c>
      <c r="N5485">
        <v>53.866278163019501</v>
      </c>
      <c r="O5485">
        <v>52.895559660985903</v>
      </c>
      <c r="P5485">
        <v>-8.3415377905674395E-2</v>
      </c>
      <c r="Q5485">
        <v>6.1682385659135301E-2</v>
      </c>
      <c r="R5485">
        <v>0.98913556653697698</v>
      </c>
      <c r="S5485" t="s">
        <v>11887</v>
      </c>
      <c r="T5485" t="s">
        <v>12802</v>
      </c>
      <c r="U5485" t="s">
        <v>12802</v>
      </c>
      <c r="V5485" t="s">
        <v>12802</v>
      </c>
      <c r="W5485" t="s">
        <v>18221</v>
      </c>
      <c r="X5485">
        <v>10</v>
      </c>
      <c r="Y5485" t="s">
        <v>24433</v>
      </c>
      <c r="Z5485" t="s">
        <v>30803</v>
      </c>
      <c r="AA5485">
        <v>0.59001472703640034</v>
      </c>
      <c r="AB5485" t="str">
        <f>HYPERLINK("Melting_Curves/meltCurve_Q9H488_POFUT1.pdf", "Melting_Curves/meltCurve_Q9H488_POFUT1.pdf")</f>
        <v>Melting_Curves/meltCurve_Q9H488_POFUT1.pdf</v>
      </c>
    </row>
    <row r="5486" spans="1:28" x14ac:dyDescent="0.25">
      <c r="A5486" t="s">
        <v>5490</v>
      </c>
      <c r="B5486">
        <v>0.99542014353169495</v>
      </c>
      <c r="C5486">
        <v>0.80393186571976605</v>
      </c>
      <c r="D5486">
        <v>0.78040576634502901</v>
      </c>
      <c r="E5486">
        <v>0.52536107710216795</v>
      </c>
      <c r="F5486">
        <v>0.24638599888852999</v>
      </c>
      <c r="G5486">
        <v>0.122033796622877</v>
      </c>
      <c r="H5486">
        <v>6.1733166781749102E-2</v>
      </c>
      <c r="I5486">
        <v>2.78639344284085E-2</v>
      </c>
      <c r="J5486">
        <v>3.68718577618301E-2</v>
      </c>
      <c r="K5486">
        <v>6.2902000562522806E-2</v>
      </c>
      <c r="L5486">
        <v>628.51201123044302</v>
      </c>
      <c r="M5486">
        <v>13.546508465669</v>
      </c>
      <c r="N5486">
        <v>46.450223005602403</v>
      </c>
      <c r="O5486">
        <v>45.420546817932099</v>
      </c>
      <c r="P5486">
        <v>-7.3994280807788096E-2</v>
      </c>
      <c r="Q5486">
        <v>7.7575787127724897E-3</v>
      </c>
      <c r="R5486">
        <v>0.98759381635698196</v>
      </c>
      <c r="S5486" t="s">
        <v>11888</v>
      </c>
      <c r="T5486" t="s">
        <v>12802</v>
      </c>
      <c r="U5486" t="s">
        <v>12802</v>
      </c>
      <c r="V5486" t="s">
        <v>12802</v>
      </c>
      <c r="W5486" t="s">
        <v>18222</v>
      </c>
      <c r="X5486">
        <v>4</v>
      </c>
      <c r="Y5486" t="s">
        <v>24434</v>
      </c>
      <c r="Z5486" t="s">
        <v>30804</v>
      </c>
      <c r="AA5486">
        <v>0.34580395641839629</v>
      </c>
      <c r="AB5486" t="str">
        <f>HYPERLINK("Melting_Curves/meltCurve_Q9H496_IFRG15.pdf", "Melting_Curves/meltCurve_Q9H496_IFRG15.pdf")</f>
        <v>Melting_Curves/meltCurve_Q9H496_IFRG15.pdf</v>
      </c>
    </row>
    <row r="5487" spans="1:28" x14ac:dyDescent="0.25">
      <c r="A5487" t="s">
        <v>5491</v>
      </c>
      <c r="B5487">
        <v>0.99542014353169495</v>
      </c>
      <c r="C5487">
        <v>1.0391915046056199</v>
      </c>
      <c r="D5487">
        <v>0.97335480912282502</v>
      </c>
      <c r="E5487">
        <v>1.0023834323379099</v>
      </c>
      <c r="F5487">
        <v>0.70029886403333996</v>
      </c>
      <c r="G5487">
        <v>0.44931681885388303</v>
      </c>
      <c r="H5487">
        <v>0.250828869395748</v>
      </c>
      <c r="I5487">
        <v>0.15127887249476701</v>
      </c>
      <c r="J5487">
        <v>0.126082232922517</v>
      </c>
      <c r="K5487">
        <v>0.156701698417025</v>
      </c>
      <c r="L5487">
        <v>1124.0814268865499</v>
      </c>
      <c r="M5487">
        <v>21.529671196496501</v>
      </c>
      <c r="N5487">
        <v>52.949330845748399</v>
      </c>
      <c r="O5487">
        <v>51.766618857558903</v>
      </c>
      <c r="P5487">
        <v>-9.0491232373024602E-2</v>
      </c>
      <c r="Q5487">
        <v>0.12970119288194101</v>
      </c>
      <c r="R5487">
        <v>0.99357953512870001</v>
      </c>
      <c r="S5487" t="s">
        <v>11889</v>
      </c>
      <c r="T5487" t="s">
        <v>12802</v>
      </c>
      <c r="U5487" t="s">
        <v>12802</v>
      </c>
      <c r="V5487" t="s">
        <v>12802</v>
      </c>
      <c r="W5487" t="s">
        <v>18223</v>
      </c>
      <c r="X5487">
        <v>6</v>
      </c>
      <c r="Y5487" t="s">
        <v>24435</v>
      </c>
      <c r="Z5487" t="s">
        <v>30805</v>
      </c>
      <c r="AA5487">
        <v>0.58092271539687579</v>
      </c>
      <c r="AB5487" t="str">
        <f>HYPERLINK("Melting_Curves/meltCurve_Q9H497_TOR3A.pdf", "Melting_Curves/meltCurve_Q9H497_TOR3A.pdf")</f>
        <v>Melting_Curves/meltCurve_Q9H497_TOR3A.pdf</v>
      </c>
    </row>
    <row r="5488" spans="1:28" x14ac:dyDescent="0.25">
      <c r="A5488" t="s">
        <v>5492</v>
      </c>
      <c r="B5488">
        <v>0.99542014353169495</v>
      </c>
      <c r="C5488">
        <v>1.0329707255490099</v>
      </c>
      <c r="D5488">
        <v>0.96434842297760603</v>
      </c>
      <c r="E5488">
        <v>0.94273951290315705</v>
      </c>
      <c r="F5488">
        <v>0.70296868434104698</v>
      </c>
      <c r="G5488">
        <v>0.23770582921199501</v>
      </c>
      <c r="H5488">
        <v>8.7645833923733193E-2</v>
      </c>
      <c r="I5488">
        <v>5.8997188753482303E-2</v>
      </c>
      <c r="J5488">
        <v>6.1192620363374702E-2</v>
      </c>
      <c r="K5488">
        <v>6.7552044806211603E-2</v>
      </c>
      <c r="L5488">
        <v>1610.81939219421</v>
      </c>
      <c r="M5488">
        <v>31.351242320659001</v>
      </c>
      <c r="N5488">
        <v>51.581108908498102</v>
      </c>
      <c r="O5488">
        <v>51.172076807911601</v>
      </c>
      <c r="P5488">
        <v>-0.14434518714840999</v>
      </c>
      <c r="Q5488">
        <v>5.7593653859827898E-2</v>
      </c>
      <c r="R5488">
        <v>0.99838324706748105</v>
      </c>
      <c r="S5488" t="s">
        <v>11890</v>
      </c>
      <c r="T5488" t="s">
        <v>12802</v>
      </c>
      <c r="U5488" t="s">
        <v>12802</v>
      </c>
      <c r="V5488" t="s">
        <v>12802</v>
      </c>
      <c r="W5488" t="s">
        <v>18224</v>
      </c>
      <c r="X5488">
        <v>29</v>
      </c>
      <c r="Y5488" t="s">
        <v>24436</v>
      </c>
      <c r="Z5488" t="s">
        <v>30806</v>
      </c>
      <c r="AA5488">
        <v>0.51472971729593542</v>
      </c>
      <c r="AB5488" t="str">
        <f>HYPERLINK("Melting_Curves/meltCurve_Q9H4A4_RNPEP.pdf", "Melting_Curves/meltCurve_Q9H4A4_RNPEP.pdf")</f>
        <v>Melting_Curves/meltCurve_Q9H4A4_RNPEP.pdf</v>
      </c>
    </row>
    <row r="5489" spans="1:28" x14ac:dyDescent="0.25">
      <c r="A5489" t="s">
        <v>5493</v>
      </c>
      <c r="B5489">
        <v>0.99542014353169495</v>
      </c>
      <c r="C5489">
        <v>0.96913751648299395</v>
      </c>
      <c r="D5489">
        <v>0.83268297250813295</v>
      </c>
      <c r="E5489">
        <v>0.45847515522732901</v>
      </c>
      <c r="F5489">
        <v>0.12909735091368801</v>
      </c>
      <c r="G5489">
        <v>7.3862837983693697E-2</v>
      </c>
      <c r="H5489">
        <v>4.0053263457194802E-2</v>
      </c>
      <c r="I5489">
        <v>2.7303913195285599E-2</v>
      </c>
      <c r="J5489">
        <v>3.7605921595108102E-2</v>
      </c>
      <c r="K5489">
        <v>2.96736241837782E-2</v>
      </c>
      <c r="L5489">
        <v>1072.3990362474201</v>
      </c>
      <c r="M5489">
        <v>23.304501077776699</v>
      </c>
      <c r="N5489">
        <v>46.137782008556997</v>
      </c>
      <c r="O5489">
        <v>45.681997322511599</v>
      </c>
      <c r="P5489">
        <v>-0.123759246928682</v>
      </c>
      <c r="Q5489">
        <v>2.9634697302896199E-2</v>
      </c>
      <c r="R5489">
        <v>0.999356400548705</v>
      </c>
      <c r="S5489" t="s">
        <v>11891</v>
      </c>
      <c r="T5489" t="s">
        <v>12802</v>
      </c>
      <c r="U5489" t="s">
        <v>12802</v>
      </c>
      <c r="V5489" t="s">
        <v>12802</v>
      </c>
      <c r="W5489" t="s">
        <v>18225</v>
      </c>
      <c r="X5489">
        <v>5</v>
      </c>
      <c r="Y5489" t="s">
        <v>24437</v>
      </c>
      <c r="Z5489" t="s">
        <v>30807</v>
      </c>
      <c r="AA5489">
        <v>0.33057493452610343</v>
      </c>
      <c r="AB5489" t="str">
        <f>HYPERLINK("Melting_Curves/meltCurve_Q9H4A5_GOLPH3L.pdf", "Melting_Curves/meltCurve_Q9H4A5_GOLPH3L.pdf")</f>
        <v>Melting_Curves/meltCurve_Q9H4A5_GOLPH3L.pdf</v>
      </c>
    </row>
    <row r="5490" spans="1:28" x14ac:dyDescent="0.25">
      <c r="A5490" t="s">
        <v>5494</v>
      </c>
      <c r="B5490">
        <v>0.99542014353169495</v>
      </c>
      <c r="C5490">
        <v>1.0085688812245299</v>
      </c>
      <c r="D5490">
        <v>0.760607732878814</v>
      </c>
      <c r="E5490">
        <v>0.75091785751236095</v>
      </c>
      <c r="F5490">
        <v>0.53203677944252303</v>
      </c>
      <c r="G5490">
        <v>0.31713504804875597</v>
      </c>
      <c r="H5490">
        <v>9.0100629603711596E-2</v>
      </c>
      <c r="I5490">
        <v>6.3357339396359999E-2</v>
      </c>
      <c r="J5490">
        <v>6.7056304486763404E-2</v>
      </c>
      <c r="K5490">
        <v>7.1318650423111904E-2</v>
      </c>
      <c r="L5490">
        <v>628.80936912332402</v>
      </c>
      <c r="M5490">
        <v>12.566409899130001</v>
      </c>
      <c r="N5490">
        <v>50.038911862620402</v>
      </c>
      <c r="O5490">
        <v>48.822446706902802</v>
      </c>
      <c r="P5490">
        <v>-6.4360472811043498E-2</v>
      </c>
      <c r="Q5490">
        <v>0</v>
      </c>
      <c r="R5490">
        <v>0.97866769071105397</v>
      </c>
      <c r="S5490" t="s">
        <v>11892</v>
      </c>
      <c r="T5490" t="s">
        <v>12802</v>
      </c>
      <c r="U5490" t="s">
        <v>12802</v>
      </c>
      <c r="V5490" t="s">
        <v>12802</v>
      </c>
      <c r="W5490" t="s">
        <v>18226</v>
      </c>
      <c r="X5490">
        <v>8</v>
      </c>
      <c r="Y5490" t="s">
        <v>24438</v>
      </c>
      <c r="Z5490" t="s">
        <v>30808</v>
      </c>
      <c r="AA5490">
        <v>0.46105765935532461</v>
      </c>
      <c r="AB5490" t="str">
        <f>HYPERLINK("Melting_Curves/meltCurve_Q9H4A6_GOLPH3.pdf", "Melting_Curves/meltCurve_Q9H4A6_GOLPH3.pdf")</f>
        <v>Melting_Curves/meltCurve_Q9H4A6_GOLPH3.pdf</v>
      </c>
    </row>
    <row r="5491" spans="1:28" x14ac:dyDescent="0.25">
      <c r="A5491" t="s">
        <v>5495</v>
      </c>
      <c r="B5491">
        <v>0.99542014353169495</v>
      </c>
      <c r="C5491">
        <v>0.98483962824747795</v>
      </c>
      <c r="D5491">
        <v>0.776977864632316</v>
      </c>
      <c r="E5491">
        <v>0.207953750513557</v>
      </c>
      <c r="F5491">
        <v>0.107828328454061</v>
      </c>
      <c r="G5491">
        <v>6.8515916870639598E-2</v>
      </c>
      <c r="H5491">
        <v>3.8152139434066298E-2</v>
      </c>
      <c r="I5491">
        <v>2.6103119929475799E-2</v>
      </c>
      <c r="J5491">
        <v>3.09442916260276E-2</v>
      </c>
      <c r="K5491">
        <v>3.0915897375589901E-2</v>
      </c>
      <c r="L5491">
        <v>1481.4269355358999</v>
      </c>
      <c r="M5491">
        <v>33.284780708427697</v>
      </c>
      <c r="N5491">
        <v>44.632960068646199</v>
      </c>
      <c r="O5491">
        <v>44.347903909348503</v>
      </c>
      <c r="P5491">
        <v>-0.179263763621691</v>
      </c>
      <c r="Q5491">
        <v>4.4615899119828599E-2</v>
      </c>
      <c r="R5491">
        <v>0.99798735845247999</v>
      </c>
      <c r="S5491" t="s">
        <v>11893</v>
      </c>
      <c r="T5491" t="s">
        <v>12802</v>
      </c>
      <c r="U5491" t="s">
        <v>12802</v>
      </c>
      <c r="V5491" t="s">
        <v>12802</v>
      </c>
      <c r="W5491" t="s">
        <v>18227</v>
      </c>
      <c r="X5491">
        <v>13</v>
      </c>
      <c r="Y5491" t="s">
        <v>24439</v>
      </c>
      <c r="Z5491" t="s">
        <v>30809</v>
      </c>
      <c r="AA5491">
        <v>0.28799939606381558</v>
      </c>
      <c r="AB5491" t="str">
        <f>HYPERLINK("Melting_Curves/meltCurve_Q9H4E7_DEF6.pdf", "Melting_Curves/meltCurve_Q9H4E7_DEF6.pdf")</f>
        <v>Melting_Curves/meltCurve_Q9H4E7_DEF6.pdf</v>
      </c>
    </row>
    <row r="5492" spans="1:28" x14ac:dyDescent="0.25">
      <c r="A5492" t="s">
        <v>5496</v>
      </c>
      <c r="B5492">
        <v>0.99542014353169495</v>
      </c>
      <c r="C5492">
        <v>0.89744411388660905</v>
      </c>
      <c r="D5492">
        <v>0.87793662787513604</v>
      </c>
      <c r="E5492">
        <v>0.50447203040854305</v>
      </c>
      <c r="F5492">
        <v>0.19976461571922999</v>
      </c>
      <c r="G5492">
        <v>0.10047040384361799</v>
      </c>
      <c r="H5492">
        <v>7.1656538872067799E-2</v>
      </c>
      <c r="I5492">
        <v>5.6780710462474702E-2</v>
      </c>
      <c r="J5492">
        <v>5.2816908448381897E-2</v>
      </c>
      <c r="K5492">
        <v>6.4397972787878593E-2</v>
      </c>
      <c r="L5492">
        <v>995.92845747950901</v>
      </c>
      <c r="M5492">
        <v>21.468363038189</v>
      </c>
      <c r="N5492">
        <v>46.637912623247402</v>
      </c>
      <c r="O5492">
        <v>45.9936408570872</v>
      </c>
      <c r="P5492">
        <v>-0.110414646026698</v>
      </c>
      <c r="Q5492">
        <v>5.3817870361638001E-2</v>
      </c>
      <c r="R5492">
        <v>0.99552238004451199</v>
      </c>
      <c r="S5492" t="s">
        <v>11894</v>
      </c>
      <c r="T5492" t="s">
        <v>12802</v>
      </c>
      <c r="U5492" t="s">
        <v>12802</v>
      </c>
      <c r="V5492" t="s">
        <v>12802</v>
      </c>
      <c r="W5492" t="s">
        <v>18228</v>
      </c>
      <c r="X5492">
        <v>12</v>
      </c>
      <c r="Y5492" t="s">
        <v>24440</v>
      </c>
      <c r="Z5492" t="s">
        <v>30810</v>
      </c>
      <c r="AA5492">
        <v>0.36071843777729712</v>
      </c>
      <c r="AB5492" t="str">
        <f>HYPERLINK("Melting_Curves/meltCurve_Q9H4H8_FAM83D.pdf", "Melting_Curves/meltCurve_Q9H4H8_FAM83D.pdf")</f>
        <v>Melting_Curves/meltCurve_Q9H4H8_FAM83D.pdf</v>
      </c>
    </row>
    <row r="5493" spans="1:28" x14ac:dyDescent="0.25">
      <c r="A5493" t="s">
        <v>5497</v>
      </c>
      <c r="B5493">
        <v>0.99542014353169495</v>
      </c>
      <c r="C5493">
        <v>0.83237523584537598</v>
      </c>
      <c r="D5493">
        <v>0.70555682584678103</v>
      </c>
      <c r="E5493">
        <v>0.32680872125434901</v>
      </c>
      <c r="F5493">
        <v>0.198302183229108</v>
      </c>
      <c r="G5493">
        <v>0.118879506084553</v>
      </c>
      <c r="H5493">
        <v>6.6918784596679506E-2</v>
      </c>
      <c r="I5493">
        <v>5.1734120283889302E-2</v>
      </c>
      <c r="J5493">
        <v>5.8570143879811097E-2</v>
      </c>
      <c r="K5493">
        <v>6.0185539248913601E-2</v>
      </c>
      <c r="L5493">
        <v>731.22495698793205</v>
      </c>
      <c r="M5493">
        <v>16.408931906581699</v>
      </c>
      <c r="N5493">
        <v>44.860403057372402</v>
      </c>
      <c r="O5493">
        <v>43.916560940698098</v>
      </c>
      <c r="P5493">
        <v>-8.8596065795984905E-2</v>
      </c>
      <c r="Q5493">
        <v>5.1600414647553897E-2</v>
      </c>
      <c r="R5493">
        <v>0.99440632133235796</v>
      </c>
      <c r="S5493" t="s">
        <v>11895</v>
      </c>
      <c r="T5493" t="s">
        <v>12802</v>
      </c>
      <c r="U5493" t="s">
        <v>12802</v>
      </c>
      <c r="V5493" t="s">
        <v>12802</v>
      </c>
      <c r="W5493" t="s">
        <v>18229</v>
      </c>
      <c r="X5493">
        <v>14</v>
      </c>
      <c r="Y5493" t="s">
        <v>24441</v>
      </c>
      <c r="Z5493" t="s">
        <v>30811</v>
      </c>
      <c r="AA5493">
        <v>0.30975316247056911</v>
      </c>
      <c r="AB5493" t="str">
        <f>HYPERLINK("Melting_Curves/meltCurve_Q9H4L5_OSBPL3.pdf", "Melting_Curves/meltCurve_Q9H4L5_OSBPL3.pdf")</f>
        <v>Melting_Curves/meltCurve_Q9H4L5_OSBPL3.pdf</v>
      </c>
    </row>
    <row r="5494" spans="1:28" x14ac:dyDescent="0.25">
      <c r="A5494" t="s">
        <v>5498</v>
      </c>
      <c r="B5494">
        <v>0.99542014353169495</v>
      </c>
      <c r="C5494">
        <v>0.94752509318920097</v>
      </c>
      <c r="D5494">
        <v>0.93569136685064502</v>
      </c>
      <c r="E5494">
        <v>0.72392768733982304</v>
      </c>
      <c r="F5494">
        <v>0.36252804270401301</v>
      </c>
      <c r="G5494">
        <v>0.143230222754753</v>
      </c>
      <c r="H5494">
        <v>9.1438979210807805E-2</v>
      </c>
      <c r="I5494">
        <v>7.4761454783907694E-2</v>
      </c>
      <c r="J5494">
        <v>9.6837824522425703E-2</v>
      </c>
      <c r="K5494">
        <v>0.10869691790689399</v>
      </c>
      <c r="L5494">
        <v>1103.69825398136</v>
      </c>
      <c r="M5494">
        <v>22.858390016817602</v>
      </c>
      <c r="N5494">
        <v>48.663019247645103</v>
      </c>
      <c r="O5494">
        <v>47.919176819066102</v>
      </c>
      <c r="P5494">
        <v>-0.109536359449802</v>
      </c>
      <c r="Q5494">
        <v>8.1511606476110096E-2</v>
      </c>
      <c r="R5494">
        <v>0.99737203989884005</v>
      </c>
      <c r="S5494" t="s">
        <v>11896</v>
      </c>
      <c r="T5494" t="s">
        <v>12802</v>
      </c>
      <c r="U5494" t="s">
        <v>12802</v>
      </c>
      <c r="V5494" t="s">
        <v>12802</v>
      </c>
      <c r="W5494" t="s">
        <v>18230</v>
      </c>
      <c r="X5494">
        <v>19</v>
      </c>
      <c r="Y5494" t="s">
        <v>24442</v>
      </c>
      <c r="Z5494" t="s">
        <v>30812</v>
      </c>
      <c r="AA5494">
        <v>0.4363531196549042</v>
      </c>
      <c r="AB5494" t="str">
        <f>HYPERLINK("Melting_Curves/meltCurve_Q9H4L7_SMARCAD1.pdf", "Melting_Curves/meltCurve_Q9H4L7_SMARCAD1.pdf")</f>
        <v>Melting_Curves/meltCurve_Q9H4L7_SMARCAD1.pdf</v>
      </c>
    </row>
    <row r="5495" spans="1:28" x14ac:dyDescent="0.25">
      <c r="A5495" t="s">
        <v>5499</v>
      </c>
      <c r="B5495">
        <v>0.99542014353169495</v>
      </c>
      <c r="C5495">
        <v>0.98123198623700703</v>
      </c>
      <c r="D5495">
        <v>0.92495090574495498</v>
      </c>
      <c r="E5495">
        <v>0.87224074477731794</v>
      </c>
      <c r="F5495">
        <v>0.64193776483380904</v>
      </c>
      <c r="G5495">
        <v>0.2519507296656</v>
      </c>
      <c r="H5495">
        <v>7.4891812022383403E-2</v>
      </c>
      <c r="I5495">
        <v>5.02971514293373E-2</v>
      </c>
      <c r="J5495">
        <v>5.4832249412071501E-2</v>
      </c>
      <c r="K5495">
        <v>4.9347109197715899E-2</v>
      </c>
      <c r="L5495">
        <v>1161.7794543538</v>
      </c>
      <c r="M5495">
        <v>22.744186703851501</v>
      </c>
      <c r="N5495">
        <v>51.220633556418797</v>
      </c>
      <c r="O5495">
        <v>50.690305504075297</v>
      </c>
      <c r="P5495">
        <v>-0.10878565850112901</v>
      </c>
      <c r="Q5495">
        <v>3.0209878483551202E-2</v>
      </c>
      <c r="R5495">
        <v>0.99553820800668902</v>
      </c>
      <c r="S5495" t="s">
        <v>11897</v>
      </c>
      <c r="T5495" t="s">
        <v>12802</v>
      </c>
      <c r="U5495" t="s">
        <v>12802</v>
      </c>
      <c r="V5495" t="s">
        <v>12802</v>
      </c>
      <c r="W5495" t="s">
        <v>18231</v>
      </c>
      <c r="X5495">
        <v>28</v>
      </c>
      <c r="Y5495" t="s">
        <v>24443</v>
      </c>
      <c r="Z5495" t="s">
        <v>30813</v>
      </c>
      <c r="AA5495">
        <v>0.49554093864830873</v>
      </c>
      <c r="AB5495" t="str">
        <f>HYPERLINK("Melting_Curves/meltCurve_Q9H4M9_EHD1.pdf", "Melting_Curves/meltCurve_Q9H4M9_EHD1.pdf")</f>
        <v>Melting_Curves/meltCurve_Q9H4M9_EHD1.pdf</v>
      </c>
    </row>
    <row r="5496" spans="1:28" x14ac:dyDescent="0.25">
      <c r="A5496" t="s">
        <v>5500</v>
      </c>
      <c r="B5496">
        <v>0.99542014353169495</v>
      </c>
      <c r="C5496">
        <v>1.0726328453429701</v>
      </c>
      <c r="D5496">
        <v>0.96386968233144799</v>
      </c>
      <c r="E5496">
        <v>0.90565106481036195</v>
      </c>
      <c r="F5496">
        <v>0.43583527849819897</v>
      </c>
      <c r="G5496">
        <v>0.20574314421252099</v>
      </c>
      <c r="H5496">
        <v>0.121956880627062</v>
      </c>
      <c r="I5496">
        <v>9.7919190594370903E-2</v>
      </c>
      <c r="J5496">
        <v>3.7861844060982801E-2</v>
      </c>
      <c r="K5496">
        <v>9.9125663888531904E-2</v>
      </c>
      <c r="L5496">
        <v>1451.6461676300401</v>
      </c>
      <c r="M5496">
        <v>29.286566660367299</v>
      </c>
      <c r="N5496">
        <v>49.899475137367503</v>
      </c>
      <c r="O5496">
        <v>49.337586981320797</v>
      </c>
      <c r="P5496">
        <v>-0.13524488307771301</v>
      </c>
      <c r="Q5496">
        <v>8.8645957630984901E-2</v>
      </c>
      <c r="R5496">
        <v>0.99315322028601605</v>
      </c>
      <c r="S5496" t="s">
        <v>11898</v>
      </c>
      <c r="T5496" t="s">
        <v>12802</v>
      </c>
      <c r="U5496" t="s">
        <v>12802</v>
      </c>
      <c r="V5496" t="s">
        <v>12802</v>
      </c>
      <c r="W5496" t="s">
        <v>18232</v>
      </c>
      <c r="X5496">
        <v>5</v>
      </c>
      <c r="Y5496" t="s">
        <v>24444</v>
      </c>
      <c r="Z5496" t="s">
        <v>30814</v>
      </c>
      <c r="AA5496">
        <v>0.47623362112416651</v>
      </c>
      <c r="AB5496" t="str">
        <f>HYPERLINK("Melting_Curves/meltCurve_Q9H4Z3_PCIF1.pdf", "Melting_Curves/meltCurve_Q9H4Z3_PCIF1.pdf")</f>
        <v>Melting_Curves/meltCurve_Q9H4Z3_PCIF1.pdf</v>
      </c>
    </row>
    <row r="5497" spans="1:28" x14ac:dyDescent="0.25">
      <c r="A5497" t="s">
        <v>5501</v>
      </c>
      <c r="B5497">
        <v>0.99542014353169495</v>
      </c>
      <c r="C5497">
        <v>0.79836220136298097</v>
      </c>
      <c r="D5497">
        <v>0.83491647835434901</v>
      </c>
      <c r="E5497">
        <v>0.48015890693098401</v>
      </c>
      <c r="F5497">
        <v>0.26125167463238502</v>
      </c>
      <c r="G5497">
        <v>0.206183838426136</v>
      </c>
      <c r="H5497">
        <v>0.110299861657044</v>
      </c>
      <c r="I5497">
        <v>6.8469052410053105E-2</v>
      </c>
      <c r="J5497">
        <v>7.9583577247341206E-2</v>
      </c>
      <c r="K5497">
        <v>6.4755092906648895E-2</v>
      </c>
      <c r="L5497">
        <v>629.71269412313404</v>
      </c>
      <c r="M5497">
        <v>13.615710736836601</v>
      </c>
      <c r="N5497">
        <v>46.609500241388602</v>
      </c>
      <c r="O5497">
        <v>45.285550821506099</v>
      </c>
      <c r="P5497">
        <v>-7.1419575964628099E-2</v>
      </c>
      <c r="Q5497">
        <v>4.9980464837862497E-2</v>
      </c>
      <c r="R5497">
        <v>0.98161287108162898</v>
      </c>
      <c r="S5497" t="s">
        <v>11899</v>
      </c>
      <c r="T5497" t="s">
        <v>12802</v>
      </c>
      <c r="U5497" t="s">
        <v>12802</v>
      </c>
      <c r="V5497" t="s">
        <v>12802</v>
      </c>
      <c r="W5497" t="s">
        <v>18233</v>
      </c>
      <c r="X5497">
        <v>3</v>
      </c>
      <c r="Y5497" t="s">
        <v>24445</v>
      </c>
      <c r="Z5497" t="s">
        <v>30815</v>
      </c>
      <c r="AA5497">
        <v>0.36886608977171942</v>
      </c>
      <c r="AB5497" t="str">
        <f>HYPERLINK("Melting_Curves/meltCurve_Q9H501_ESF1.pdf", "Melting_Curves/meltCurve_Q9H501_ESF1.pdf")</f>
        <v>Melting_Curves/meltCurve_Q9H501_ESF1.pdf</v>
      </c>
    </row>
    <row r="5498" spans="1:28" x14ac:dyDescent="0.25">
      <c r="A5498" t="s">
        <v>5502</v>
      </c>
      <c r="B5498">
        <v>0.99542014353169495</v>
      </c>
      <c r="C5498">
        <v>1.0249458573255401</v>
      </c>
      <c r="D5498">
        <v>1.00286851386052</v>
      </c>
      <c r="E5498">
        <v>0.97248083822987597</v>
      </c>
      <c r="F5498">
        <v>0.69757664497656502</v>
      </c>
      <c r="G5498">
        <v>0.26921612533567602</v>
      </c>
      <c r="H5498">
        <v>8.9494227658396694E-2</v>
      </c>
      <c r="I5498">
        <v>6.0069352732887597E-2</v>
      </c>
      <c r="J5498">
        <v>4.9605303627857103E-2</v>
      </c>
      <c r="K5498">
        <v>4.7283702869391597E-2</v>
      </c>
      <c r="L5498">
        <v>1513.03981189659</v>
      </c>
      <c r="M5498">
        <v>29.345440127713001</v>
      </c>
      <c r="N5498">
        <v>51.7348760045818</v>
      </c>
      <c r="O5498">
        <v>51.321969853459002</v>
      </c>
      <c r="P5498">
        <v>-0.13618615239785101</v>
      </c>
      <c r="Q5498">
        <v>4.7307955076625198E-2</v>
      </c>
      <c r="R5498">
        <v>0.99949972183704106</v>
      </c>
      <c r="S5498" t="s">
        <v>11900</v>
      </c>
      <c r="T5498" t="s">
        <v>12802</v>
      </c>
      <c r="U5498" t="s">
        <v>12802</v>
      </c>
      <c r="V5498" t="s">
        <v>12802</v>
      </c>
      <c r="W5498" t="s">
        <v>18234</v>
      </c>
      <c r="X5498">
        <v>6</v>
      </c>
      <c r="Y5498" t="s">
        <v>24446</v>
      </c>
      <c r="Z5498" t="s">
        <v>30816</v>
      </c>
      <c r="AA5498">
        <v>0.51590878736588985</v>
      </c>
      <c r="AB5498" t="str">
        <f>HYPERLINK("Melting_Curves/meltCurve_Q9H553_ALG2.pdf", "Melting_Curves/meltCurve_Q9H553_ALG2.pdf")</f>
        <v>Melting_Curves/meltCurve_Q9H553_ALG2.pdf</v>
      </c>
    </row>
    <row r="5499" spans="1:28" x14ac:dyDescent="0.25">
      <c r="A5499" t="s">
        <v>5503</v>
      </c>
      <c r="B5499">
        <v>0.99542014353169495</v>
      </c>
      <c r="C5499">
        <v>0.89132403433124296</v>
      </c>
      <c r="D5499">
        <v>1.0326433525543</v>
      </c>
      <c r="E5499">
        <v>0.89518619589353299</v>
      </c>
      <c r="F5499">
        <v>0.30702247573866998</v>
      </c>
      <c r="G5499">
        <v>4.3656872466467003E-2</v>
      </c>
      <c r="H5499">
        <v>2.7657994772075999E-2</v>
      </c>
      <c r="I5499">
        <v>8.4319744278736706E-3</v>
      </c>
      <c r="J5499">
        <v>0</v>
      </c>
      <c r="K5499">
        <v>2.1296262200254799E-2</v>
      </c>
      <c r="L5499">
        <v>1955.6249405337201</v>
      </c>
      <c r="M5499">
        <v>39.816211372406499</v>
      </c>
      <c r="N5499">
        <v>49.150053445729199</v>
      </c>
      <c r="O5499">
        <v>48.992890635635597</v>
      </c>
      <c r="P5499">
        <v>-0.20043337157298699</v>
      </c>
      <c r="Q5499">
        <v>1.3488305467232699E-2</v>
      </c>
      <c r="R5499">
        <v>0.993133183273468</v>
      </c>
      <c r="S5499" t="s">
        <v>11901</v>
      </c>
      <c r="T5499" t="s">
        <v>12802</v>
      </c>
      <c r="U5499" t="s">
        <v>12802</v>
      </c>
      <c r="V5499" t="s">
        <v>12802</v>
      </c>
      <c r="W5499" t="s">
        <v>18235</v>
      </c>
      <c r="X5499">
        <v>1</v>
      </c>
      <c r="Y5499" t="s">
        <v>24447</v>
      </c>
      <c r="Z5499" t="s">
        <v>30817</v>
      </c>
      <c r="AA5499">
        <v>0.4152969149484374</v>
      </c>
      <c r="AB5499" t="str">
        <f>HYPERLINK("Melting_Curves/meltCurve_Q9H5K3_SGK196.pdf", "Melting_Curves/meltCurve_Q9H5K3_SGK196.pdf")</f>
        <v>Melting_Curves/meltCurve_Q9H5K3_SGK196.pdf</v>
      </c>
    </row>
    <row r="5500" spans="1:28" x14ac:dyDescent="0.25">
      <c r="A5500" t="s">
        <v>5504</v>
      </c>
      <c r="B5500">
        <v>0.99542014353169495</v>
      </c>
      <c r="C5500">
        <v>1.0251722823535001</v>
      </c>
      <c r="D5500">
        <v>0.87494141432180095</v>
      </c>
      <c r="E5500">
        <v>0.40916831873437098</v>
      </c>
      <c r="F5500">
        <v>0.288356311891724</v>
      </c>
      <c r="G5500">
        <v>0.15906232895069</v>
      </c>
      <c r="H5500">
        <v>0.102006103083896</v>
      </c>
      <c r="I5500">
        <v>8.2563953437141693E-2</v>
      </c>
      <c r="J5500">
        <v>9.1401848573263403E-2</v>
      </c>
      <c r="K5500">
        <v>8.7774451439007195E-2</v>
      </c>
      <c r="L5500">
        <v>1063.40282094139</v>
      </c>
      <c r="M5500">
        <v>23.1846791770182</v>
      </c>
      <c r="N5500">
        <v>46.332461883300503</v>
      </c>
      <c r="O5500">
        <v>45.529477351187197</v>
      </c>
      <c r="P5500">
        <v>-0.114072543169475</v>
      </c>
      <c r="Q5500">
        <v>0.10396533448739199</v>
      </c>
      <c r="R5500">
        <v>0.98907308146119199</v>
      </c>
      <c r="S5500" t="s">
        <v>11902</v>
      </c>
      <c r="T5500" t="s">
        <v>12802</v>
      </c>
      <c r="U5500" t="s">
        <v>12802</v>
      </c>
      <c r="V5500" t="s">
        <v>12802</v>
      </c>
      <c r="W5500" t="s">
        <v>18236</v>
      </c>
      <c r="X5500">
        <v>11</v>
      </c>
      <c r="Y5500" t="s">
        <v>24448</v>
      </c>
      <c r="Z5500" t="s">
        <v>30818</v>
      </c>
      <c r="AA5500">
        <v>0.37744756449888001</v>
      </c>
      <c r="AB5500" t="str">
        <f>HYPERLINK("Melting_Curves/meltCurve_Q9H5N1_RABEP2.pdf", "Melting_Curves/meltCurve_Q9H5N1_RABEP2.pdf")</f>
        <v>Melting_Curves/meltCurve_Q9H5N1_RABEP2.pdf</v>
      </c>
    </row>
    <row r="5501" spans="1:28" x14ac:dyDescent="0.25">
      <c r="A5501" t="s">
        <v>5505</v>
      </c>
      <c r="B5501">
        <v>0.99542014353169495</v>
      </c>
      <c r="C5501">
        <v>1.0084753208789199</v>
      </c>
      <c r="D5501">
        <v>0.91276030077460502</v>
      </c>
      <c r="E5501">
        <v>0.78637469084324196</v>
      </c>
      <c r="F5501">
        <v>0.44113592262395701</v>
      </c>
      <c r="G5501">
        <v>0.12362463196530001</v>
      </c>
      <c r="H5501">
        <v>6.2536972805695104E-2</v>
      </c>
      <c r="I5501">
        <v>3.60324420158128E-2</v>
      </c>
      <c r="J5501">
        <v>3.79358679764129E-2</v>
      </c>
      <c r="K5501">
        <v>3.1173017726325102E-2</v>
      </c>
      <c r="L5501">
        <v>1071.4833521698499</v>
      </c>
      <c r="M5501">
        <v>21.726233795112901</v>
      </c>
      <c r="N5501">
        <v>49.412445409146102</v>
      </c>
      <c r="O5501">
        <v>48.905380689817399</v>
      </c>
      <c r="P5501">
        <v>-0.108795003054394</v>
      </c>
      <c r="Q5501">
        <v>2.04402151386479E-2</v>
      </c>
      <c r="R5501">
        <v>0.99736709477532903</v>
      </c>
      <c r="S5501" t="s">
        <v>11903</v>
      </c>
      <c r="T5501" t="s">
        <v>12802</v>
      </c>
      <c r="U5501" t="s">
        <v>12802</v>
      </c>
      <c r="V5501" t="s">
        <v>12802</v>
      </c>
      <c r="W5501" t="s">
        <v>18237</v>
      </c>
      <c r="X5501">
        <v>11</v>
      </c>
      <c r="Y5501" t="s">
        <v>24449</v>
      </c>
      <c r="Z5501" t="s">
        <v>30819</v>
      </c>
      <c r="AA5501">
        <v>0.43372460010537339</v>
      </c>
      <c r="AB5501" t="str">
        <f>HYPERLINK("Melting_Curves/meltCurve_Q9H5Q4_TFB2M.pdf", "Melting_Curves/meltCurve_Q9H5Q4_TFB2M.pdf")</f>
        <v>Melting_Curves/meltCurve_Q9H5Q4_TFB2M.pdf</v>
      </c>
    </row>
    <row r="5502" spans="1:28" x14ac:dyDescent="0.25">
      <c r="A5502" t="s">
        <v>5506</v>
      </c>
      <c r="B5502">
        <v>0.99542014353169495</v>
      </c>
      <c r="C5502">
        <v>0.92415768067309101</v>
      </c>
      <c r="D5502">
        <v>0.83387537805290102</v>
      </c>
      <c r="E5502">
        <v>0.72529810264028605</v>
      </c>
      <c r="F5502">
        <v>0.573162755162126</v>
      </c>
      <c r="G5502">
        <v>0.38690112992521603</v>
      </c>
      <c r="H5502">
        <v>0.23268556550731001</v>
      </c>
      <c r="I5502">
        <v>0.15220982738275499</v>
      </c>
      <c r="J5502">
        <v>0.17570831945375801</v>
      </c>
      <c r="K5502">
        <v>0.17592224690496899</v>
      </c>
      <c r="L5502">
        <v>537.23252353569603</v>
      </c>
      <c r="M5502">
        <v>10.7167639286716</v>
      </c>
      <c r="N5502">
        <v>50.960911163864601</v>
      </c>
      <c r="O5502">
        <v>48.479180082524699</v>
      </c>
      <c r="P5502">
        <v>-5.0854210384499297E-2</v>
      </c>
      <c r="Q5502">
        <v>8.0150986770375895E-2</v>
      </c>
      <c r="R5502">
        <v>0.991748050439208</v>
      </c>
      <c r="S5502" t="s">
        <v>11904</v>
      </c>
      <c r="T5502" t="s">
        <v>12802</v>
      </c>
      <c r="U5502" t="s">
        <v>12802</v>
      </c>
      <c r="V5502" t="s">
        <v>12802</v>
      </c>
      <c r="W5502" t="s">
        <v>18238</v>
      </c>
      <c r="X5502">
        <v>5</v>
      </c>
      <c r="Y5502" t="s">
        <v>24450</v>
      </c>
      <c r="Z5502" t="s">
        <v>30820</v>
      </c>
      <c r="AA5502">
        <v>0.51157294870926018</v>
      </c>
      <c r="AB5502" t="str">
        <f>HYPERLINK("Melting_Curves/meltCurve_Q9H5V8_CDCP1.pdf", "Melting_Curves/meltCurve_Q9H5V8_CDCP1.pdf")</f>
        <v>Melting_Curves/meltCurve_Q9H5V8_CDCP1.pdf</v>
      </c>
    </row>
    <row r="5503" spans="1:28" x14ac:dyDescent="0.25">
      <c r="A5503" t="s">
        <v>5507</v>
      </c>
      <c r="B5503">
        <v>0.99542014353169495</v>
      </c>
      <c r="C5503">
        <v>1.007197505136</v>
      </c>
      <c r="D5503">
        <v>0.98071436474585605</v>
      </c>
      <c r="E5503">
        <v>0.92196862835336901</v>
      </c>
      <c r="F5503">
        <v>0.64455744864544795</v>
      </c>
      <c r="G5503">
        <v>0.35627556483779099</v>
      </c>
      <c r="H5503">
        <v>0.16634354565259701</v>
      </c>
      <c r="I5503">
        <v>0.12512606652716701</v>
      </c>
      <c r="J5503">
        <v>0.14514460877516699</v>
      </c>
      <c r="K5503">
        <v>0.15806926605879601</v>
      </c>
      <c r="L5503">
        <v>1198.7835354111801</v>
      </c>
      <c r="M5503">
        <v>23.4643840029063</v>
      </c>
      <c r="N5503">
        <v>51.752861524044597</v>
      </c>
      <c r="O5503">
        <v>50.722758337406901</v>
      </c>
      <c r="P5503">
        <v>-0.10063192557245799</v>
      </c>
      <c r="Q5503">
        <v>0.12987436805703401</v>
      </c>
      <c r="R5503">
        <v>0.99815488299879196</v>
      </c>
      <c r="S5503" t="s">
        <v>11905</v>
      </c>
      <c r="T5503" t="s">
        <v>12802</v>
      </c>
      <c r="U5503" t="s">
        <v>12802</v>
      </c>
      <c r="V5503" t="s">
        <v>12802</v>
      </c>
      <c r="W5503" t="s">
        <v>18239</v>
      </c>
      <c r="X5503">
        <v>9</v>
      </c>
      <c r="Y5503" t="s">
        <v>24451</v>
      </c>
      <c r="Z5503" t="s">
        <v>30821</v>
      </c>
      <c r="AA5503">
        <v>0.54715494312447477</v>
      </c>
      <c r="AB5503" t="str">
        <f>HYPERLINK("Melting_Curves/meltCurve_Q9H5V9_3_CXorf56.pdf", "Melting_Curves/meltCurve_Q9H5V9_3_CXorf56.pdf")</f>
        <v>Melting_Curves/meltCurve_Q9H5V9_3_CXorf56.pdf</v>
      </c>
    </row>
    <row r="5504" spans="1:28" x14ac:dyDescent="0.25">
      <c r="A5504" t="s">
        <v>5508</v>
      </c>
      <c r="B5504">
        <v>0.99542014353169495</v>
      </c>
      <c r="C5504">
        <v>0.98947892653793101</v>
      </c>
      <c r="D5504">
        <v>0.93473470092146305</v>
      </c>
      <c r="E5504">
        <v>0.88643234270620197</v>
      </c>
      <c r="F5504">
        <v>0.67000085446388202</v>
      </c>
      <c r="G5504">
        <v>0.50637758123528498</v>
      </c>
      <c r="H5504">
        <v>0.30975753965881397</v>
      </c>
      <c r="I5504">
        <v>0.21813866020206199</v>
      </c>
      <c r="J5504">
        <v>0.16872707783969099</v>
      </c>
      <c r="K5504">
        <v>0.12930248605941699</v>
      </c>
      <c r="L5504">
        <v>681.00296647465404</v>
      </c>
      <c r="M5504">
        <v>12.871883342729401</v>
      </c>
      <c r="N5504">
        <v>53.579192041710698</v>
      </c>
      <c r="O5504">
        <v>51.678102172703703</v>
      </c>
      <c r="P5504">
        <v>-5.7632376403156702E-2</v>
      </c>
      <c r="Q5504">
        <v>7.4639013564351098E-2</v>
      </c>
      <c r="R5504">
        <v>0.99825500865473604</v>
      </c>
      <c r="S5504" t="s">
        <v>11906</v>
      </c>
      <c r="T5504" t="s">
        <v>12802</v>
      </c>
      <c r="U5504" t="s">
        <v>12802</v>
      </c>
      <c r="V5504" t="s">
        <v>12802</v>
      </c>
      <c r="W5504" t="s">
        <v>18240</v>
      </c>
      <c r="X5504">
        <v>4</v>
      </c>
      <c r="Y5504" t="s">
        <v>24452</v>
      </c>
      <c r="Z5504" t="s">
        <v>30822</v>
      </c>
      <c r="AA5504">
        <v>0.58418688237393468</v>
      </c>
      <c r="AB5504" t="str">
        <f>HYPERLINK("Melting_Curves/meltCurve_Q9H5X1_FAM96A.pdf", "Melting_Curves/meltCurve_Q9H5X1_FAM96A.pdf")</f>
        <v>Melting_Curves/meltCurve_Q9H5X1_FAM96A.pdf</v>
      </c>
    </row>
    <row r="5505" spans="1:28" x14ac:dyDescent="0.25">
      <c r="A5505" t="s">
        <v>5509</v>
      </c>
      <c r="B5505">
        <v>0.99542014353169495</v>
      </c>
      <c r="C5505">
        <v>0.86544278679749398</v>
      </c>
      <c r="D5505">
        <v>0.87626309198433205</v>
      </c>
      <c r="E5505">
        <v>0.50737726020284701</v>
      </c>
      <c r="F5505">
        <v>0.248252676561066</v>
      </c>
      <c r="G5505">
        <v>0.15250618269570901</v>
      </c>
      <c r="H5505">
        <v>9.4371937204278999E-2</v>
      </c>
      <c r="I5505">
        <v>5.3256171371709397E-2</v>
      </c>
      <c r="J5505">
        <v>5.0147300514399397E-2</v>
      </c>
      <c r="K5505">
        <v>5.1332836332739398E-2</v>
      </c>
      <c r="L5505">
        <v>803.27264084804904</v>
      </c>
      <c r="M5505">
        <v>17.235289564294501</v>
      </c>
      <c r="N5505">
        <v>46.875294058538103</v>
      </c>
      <c r="O5505">
        <v>45.992446872905703</v>
      </c>
      <c r="P5505">
        <v>-8.9279080712225595E-2</v>
      </c>
      <c r="Q5505">
        <v>4.7089692235965701E-2</v>
      </c>
      <c r="R5505">
        <v>0.99136383915630699</v>
      </c>
      <c r="S5505" t="s">
        <v>11907</v>
      </c>
      <c r="T5505" t="s">
        <v>12802</v>
      </c>
      <c r="U5505" t="s">
        <v>12802</v>
      </c>
      <c r="V5505" t="s">
        <v>12802</v>
      </c>
      <c r="W5505" t="s">
        <v>18241</v>
      </c>
      <c r="X5505">
        <v>8</v>
      </c>
      <c r="Y5505" t="s">
        <v>24453</v>
      </c>
      <c r="Z5505" t="s">
        <v>30823</v>
      </c>
      <c r="AA5505">
        <v>0.36889239777842558</v>
      </c>
      <c r="AB5505" t="str">
        <f>HYPERLINK("Melting_Curves/meltCurve_Q9H6D7_HAUS4.pdf", "Melting_Curves/meltCurve_Q9H6D7_HAUS4.pdf")</f>
        <v>Melting_Curves/meltCurve_Q9H6D7_HAUS4.pdf</v>
      </c>
    </row>
    <row r="5506" spans="1:28" x14ac:dyDescent="0.25">
      <c r="A5506" t="s">
        <v>5510</v>
      </c>
      <c r="B5506">
        <v>0.99542014353169495</v>
      </c>
      <c r="C5506">
        <v>1.0040242987574799</v>
      </c>
      <c r="D5506">
        <v>0.89051027581921405</v>
      </c>
      <c r="E5506">
        <v>0.79268194654788604</v>
      </c>
      <c r="F5506">
        <v>0.43618956928014202</v>
      </c>
      <c r="G5506">
        <v>0.18658687513540501</v>
      </c>
      <c r="H5506">
        <v>0.114864061841807</v>
      </c>
      <c r="I5506">
        <v>8.1904082893350993E-2</v>
      </c>
      <c r="J5506">
        <v>9.3239944144514003E-2</v>
      </c>
      <c r="K5506">
        <v>6.3424658793335406E-2</v>
      </c>
      <c r="L5506">
        <v>996.21520286312295</v>
      </c>
      <c r="M5506">
        <v>20.2714755410701</v>
      </c>
      <c r="N5506">
        <v>49.489729546812903</v>
      </c>
      <c r="O5506">
        <v>48.672955893364801</v>
      </c>
      <c r="P5506">
        <v>-9.7243954874503699E-2</v>
      </c>
      <c r="Q5506">
        <v>6.6076047580847896E-2</v>
      </c>
      <c r="R5506">
        <v>0.99657358968291598</v>
      </c>
      <c r="S5506" t="s">
        <v>11908</v>
      </c>
      <c r="T5506" t="s">
        <v>12802</v>
      </c>
      <c r="U5506" t="s">
        <v>12802</v>
      </c>
      <c r="V5506" t="s">
        <v>12802</v>
      </c>
      <c r="W5506" t="s">
        <v>18242</v>
      </c>
      <c r="X5506">
        <v>5</v>
      </c>
      <c r="Y5506" t="s">
        <v>24454</v>
      </c>
      <c r="Z5506" t="s">
        <v>30824</v>
      </c>
      <c r="AA5506">
        <v>0.45612728715683271</v>
      </c>
      <c r="AB5506" t="str">
        <f>HYPERLINK("Melting_Curves/meltCurve_Q9H6E4_CCDC134.pdf", "Melting_Curves/meltCurve_Q9H6E4_CCDC134.pdf")</f>
        <v>Melting_Curves/meltCurve_Q9H6E4_CCDC134.pdf</v>
      </c>
    </row>
    <row r="5507" spans="1:28" x14ac:dyDescent="0.25">
      <c r="A5507" t="s">
        <v>5511</v>
      </c>
      <c r="B5507">
        <v>0.99542014353169495</v>
      </c>
      <c r="C5507">
        <v>1.27893451818476</v>
      </c>
      <c r="D5507">
        <v>1.3317065043291101</v>
      </c>
      <c r="E5507">
        <v>1.1062934333637899</v>
      </c>
      <c r="F5507">
        <v>1.10842542937973</v>
      </c>
      <c r="G5507">
        <v>0.61458967704868195</v>
      </c>
      <c r="H5507">
        <v>0.42909218137012201</v>
      </c>
      <c r="I5507">
        <v>0.15300423904666799</v>
      </c>
      <c r="J5507">
        <v>0.27810888323382899</v>
      </c>
      <c r="K5507">
        <v>0.39697193254989199</v>
      </c>
      <c r="L5507">
        <v>3714.1839482927799</v>
      </c>
      <c r="M5507">
        <v>69.226241716294993</v>
      </c>
      <c r="N5507">
        <v>54.418374434986802</v>
      </c>
      <c r="O5507">
        <v>53.608112862685097</v>
      </c>
      <c r="P5507">
        <v>-0.22237261688698901</v>
      </c>
      <c r="Q5507">
        <v>0.31118760381119498</v>
      </c>
      <c r="R5507">
        <v>0.85299070495752005</v>
      </c>
      <c r="S5507" t="s">
        <v>11909</v>
      </c>
      <c r="T5507" t="s">
        <v>12802</v>
      </c>
      <c r="U5507" t="s">
        <v>12802</v>
      </c>
      <c r="V5507" t="s">
        <v>12802</v>
      </c>
      <c r="W5507" t="s">
        <v>18243</v>
      </c>
      <c r="X5507">
        <v>2</v>
      </c>
      <c r="Y5507" t="s">
        <v>24455</v>
      </c>
      <c r="Z5507" t="s">
        <v>30825</v>
      </c>
      <c r="AA5507">
        <v>0.6943916293008513</v>
      </c>
      <c r="AB5507" t="str">
        <f>HYPERLINK("Melting_Curves/meltCurve_Q9H6F5_CCDC86.pdf", "Melting_Curves/meltCurve_Q9H6F5_CCDC86.pdf")</f>
        <v>Melting_Curves/meltCurve_Q9H6F5_CCDC86.pdf</v>
      </c>
    </row>
    <row r="5508" spans="1:28" x14ac:dyDescent="0.25">
      <c r="A5508" t="s">
        <v>5512</v>
      </c>
      <c r="B5508">
        <v>0.99542014353169495</v>
      </c>
      <c r="C5508">
        <v>0.95088186567650601</v>
      </c>
      <c r="D5508">
        <v>0.84208493956110197</v>
      </c>
      <c r="E5508">
        <v>0.72778227113368699</v>
      </c>
      <c r="F5508">
        <v>0.55079752318064001</v>
      </c>
      <c r="G5508">
        <v>0.309491231894368</v>
      </c>
      <c r="H5508">
        <v>0.217056005715625</v>
      </c>
      <c r="I5508">
        <v>0.162511252088861</v>
      </c>
      <c r="J5508">
        <v>0.20497602372804599</v>
      </c>
      <c r="K5508">
        <v>0.221188952125078</v>
      </c>
      <c r="L5508">
        <v>675.05480825819404</v>
      </c>
      <c r="M5508">
        <v>13.811398814907299</v>
      </c>
      <c r="N5508">
        <v>50.214355497347903</v>
      </c>
      <c r="O5508">
        <v>47.886168093277099</v>
      </c>
      <c r="P5508">
        <v>-6.1015333394971498E-2</v>
      </c>
      <c r="Q5508">
        <v>0.15392119528693299</v>
      </c>
      <c r="R5508">
        <v>0.98854882131023403</v>
      </c>
      <c r="S5508" t="s">
        <v>11910</v>
      </c>
      <c r="T5508" t="s">
        <v>12802</v>
      </c>
      <c r="U5508" t="s">
        <v>12802</v>
      </c>
      <c r="V5508" t="s">
        <v>12802</v>
      </c>
      <c r="W5508" t="s">
        <v>18244</v>
      </c>
      <c r="X5508">
        <v>9</v>
      </c>
      <c r="Y5508" t="s">
        <v>24456</v>
      </c>
      <c r="Z5508" t="s">
        <v>30826</v>
      </c>
      <c r="AA5508">
        <v>0.50960789240296178</v>
      </c>
      <c r="AB5508" t="str">
        <f>HYPERLINK("Melting_Curves/meltCurve_Q9H6H4_REEP4.pdf", "Melting_Curves/meltCurve_Q9H6H4_REEP4.pdf")</f>
        <v>Melting_Curves/meltCurve_Q9H6H4_REEP4.pdf</v>
      </c>
    </row>
    <row r="5509" spans="1:28" x14ac:dyDescent="0.25">
      <c r="A5509" t="s">
        <v>5513</v>
      </c>
      <c r="B5509">
        <v>0.99542014353169495</v>
      </c>
      <c r="C5509">
        <v>1.0492265573785999</v>
      </c>
      <c r="D5509">
        <v>0.96579838162423404</v>
      </c>
      <c r="E5509">
        <v>0.75946912163847402</v>
      </c>
      <c r="F5509">
        <v>0.393103497710585</v>
      </c>
      <c r="G5509">
        <v>0.186245179068011</v>
      </c>
      <c r="H5509">
        <v>0.110139700354313</v>
      </c>
      <c r="I5509">
        <v>9.0323014693130796E-2</v>
      </c>
      <c r="J5509">
        <v>0.100457344716885</v>
      </c>
      <c r="K5509">
        <v>9.9971519118259994E-2</v>
      </c>
      <c r="L5509">
        <v>1150.0896119865599</v>
      </c>
      <c r="M5509">
        <v>23.6234041757263</v>
      </c>
      <c r="N5509">
        <v>49.110627533076297</v>
      </c>
      <c r="O5509">
        <v>48.339481730504097</v>
      </c>
      <c r="P5509">
        <v>-0.110850688143644</v>
      </c>
      <c r="Q5509">
        <v>9.2700501221227305E-2</v>
      </c>
      <c r="R5509">
        <v>0.99792473430347794</v>
      </c>
      <c r="S5509" t="s">
        <v>11911</v>
      </c>
      <c r="T5509" t="s">
        <v>12802</v>
      </c>
      <c r="U5509" t="s">
        <v>12802</v>
      </c>
      <c r="V5509" t="s">
        <v>12802</v>
      </c>
      <c r="W5509" t="s">
        <v>18245</v>
      </c>
      <c r="X5509">
        <v>7</v>
      </c>
      <c r="Y5509" t="s">
        <v>24457</v>
      </c>
      <c r="Z5509" t="s">
        <v>30827</v>
      </c>
      <c r="AA5509">
        <v>0.45478958141463999</v>
      </c>
      <c r="AB5509" t="str">
        <f>HYPERLINK("Melting_Curves/meltCurve_Q9H6K1_C6orf106.pdf", "Melting_Curves/meltCurve_Q9H6K1_C6orf106.pdf")</f>
        <v>Melting_Curves/meltCurve_Q9H6K1_C6orf106.pdf</v>
      </c>
    </row>
    <row r="5510" spans="1:28" x14ac:dyDescent="0.25">
      <c r="A5510" t="s">
        <v>5514</v>
      </c>
      <c r="B5510">
        <v>0.99542014353169495</v>
      </c>
      <c r="C5510">
        <v>0.94766330015108602</v>
      </c>
      <c r="D5510">
        <v>0.94274916212450699</v>
      </c>
      <c r="E5510">
        <v>0.760290377873028</v>
      </c>
      <c r="F5510">
        <v>0.64182374739248105</v>
      </c>
      <c r="G5510">
        <v>0.45799356823246401</v>
      </c>
      <c r="H5510">
        <v>0.24931051776878699</v>
      </c>
      <c r="I5510">
        <v>0.13744112711342399</v>
      </c>
      <c r="J5510">
        <v>0.14279760558848301</v>
      </c>
      <c r="K5510">
        <v>8.7943389675703101E-2</v>
      </c>
      <c r="L5510">
        <v>583.04452192335998</v>
      </c>
      <c r="M5510">
        <v>11.1245321103567</v>
      </c>
      <c r="N5510">
        <v>52.410700613547299</v>
      </c>
      <c r="O5510">
        <v>50.802627749953402</v>
      </c>
      <c r="P5510">
        <v>-5.4761561217268502E-2</v>
      </c>
      <c r="Q5510">
        <v>0</v>
      </c>
      <c r="R5510">
        <v>0.99447746545092197</v>
      </c>
      <c r="S5510" t="s">
        <v>11912</v>
      </c>
      <c r="T5510" t="s">
        <v>12802</v>
      </c>
      <c r="U5510" t="s">
        <v>12802</v>
      </c>
      <c r="V5510" t="s">
        <v>12802</v>
      </c>
      <c r="W5510" t="s">
        <v>18246</v>
      </c>
      <c r="X5510">
        <v>1</v>
      </c>
      <c r="Y5510" t="s">
        <v>24458</v>
      </c>
      <c r="Z5510" t="s">
        <v>30828</v>
      </c>
      <c r="AA5510">
        <v>0.53748511966080126</v>
      </c>
      <c r="AB5510" t="str">
        <f>HYPERLINK("Melting_Curves/meltCurve_Q9H6K4_OPA3.pdf", "Melting_Curves/meltCurve_Q9H6K4_OPA3.pdf")</f>
        <v>Melting_Curves/meltCurve_Q9H6K4_OPA3.pdf</v>
      </c>
    </row>
    <row r="5511" spans="1:28" x14ac:dyDescent="0.25">
      <c r="A5511" t="s">
        <v>5515</v>
      </c>
      <c r="B5511">
        <v>0.99542014353169495</v>
      </c>
      <c r="C5511">
        <v>0.99979982429945402</v>
      </c>
      <c r="D5511">
        <v>0.95738871761449695</v>
      </c>
      <c r="E5511">
        <v>0.89533955972562795</v>
      </c>
      <c r="F5511">
        <v>0.77896418682872903</v>
      </c>
      <c r="G5511">
        <v>0.45324565992915999</v>
      </c>
      <c r="H5511">
        <v>0.115823755170562</v>
      </c>
      <c r="I5511">
        <v>8.06862513130195E-2</v>
      </c>
      <c r="J5511">
        <v>4.9145009119885903E-2</v>
      </c>
      <c r="K5511">
        <v>5.6843501781394003E-2</v>
      </c>
      <c r="L5511">
        <v>1171.36849020465</v>
      </c>
      <c r="M5511">
        <v>22.157869727193901</v>
      </c>
      <c r="N5511">
        <v>52.996936024917197</v>
      </c>
      <c r="O5511">
        <v>52.439736600965603</v>
      </c>
      <c r="P5511">
        <v>-0.10279565764389299</v>
      </c>
      <c r="Q5511">
        <v>2.6899232496165298E-2</v>
      </c>
      <c r="R5511">
        <v>0.99436023799600504</v>
      </c>
      <c r="S5511" t="s">
        <v>11913</v>
      </c>
      <c r="T5511" t="s">
        <v>12802</v>
      </c>
      <c r="U5511" t="s">
        <v>12802</v>
      </c>
      <c r="V5511" t="s">
        <v>12802</v>
      </c>
      <c r="W5511" t="s">
        <v>18247</v>
      </c>
      <c r="X5511">
        <v>7</v>
      </c>
      <c r="Y5511" t="s">
        <v>24459</v>
      </c>
      <c r="Z5511" t="s">
        <v>30829</v>
      </c>
      <c r="AA5511">
        <v>0.55201958326496625</v>
      </c>
      <c r="AB5511" t="str">
        <f>HYPERLINK("Melting_Curves/meltCurve_Q9H6Q4_NARFL.pdf", "Melting_Curves/meltCurve_Q9H6Q4_NARFL.pdf")</f>
        <v>Melting_Curves/meltCurve_Q9H6Q4_NARFL.pdf</v>
      </c>
    </row>
    <row r="5512" spans="1:28" x14ac:dyDescent="0.25">
      <c r="A5512" t="s">
        <v>5516</v>
      </c>
      <c r="B5512">
        <v>0.99542014353169495</v>
      </c>
      <c r="C5512">
        <v>1.0684402196243299</v>
      </c>
      <c r="D5512">
        <v>1.0603146774651799</v>
      </c>
      <c r="E5512">
        <v>0.62770572456554896</v>
      </c>
      <c r="F5512">
        <v>0.25055856447470998</v>
      </c>
      <c r="G5512">
        <v>0.13669873556758</v>
      </c>
      <c r="H5512">
        <v>5.7348104478294498E-2</v>
      </c>
      <c r="I5512">
        <v>6.1435117957123898E-2</v>
      </c>
      <c r="J5512">
        <v>0</v>
      </c>
      <c r="K5512">
        <v>0.12479475396091901</v>
      </c>
      <c r="L5512">
        <v>1426.9677084679799</v>
      </c>
      <c r="M5512">
        <v>30.048524108631899</v>
      </c>
      <c r="N5512">
        <v>47.734523261583703</v>
      </c>
      <c r="O5512">
        <v>47.279943285704803</v>
      </c>
      <c r="P5512">
        <v>-0.147501190717238</v>
      </c>
      <c r="Q5512">
        <v>7.1661278077402205E-2</v>
      </c>
      <c r="R5512">
        <v>0.98528126926737403</v>
      </c>
      <c r="S5512" t="s">
        <v>11914</v>
      </c>
      <c r="T5512" t="s">
        <v>12802</v>
      </c>
      <c r="U5512" t="s">
        <v>12802</v>
      </c>
      <c r="V5512" t="s">
        <v>12802</v>
      </c>
      <c r="W5512" t="s">
        <v>18248</v>
      </c>
      <c r="X5512">
        <v>1</v>
      </c>
      <c r="Y5512" t="s">
        <v>24460</v>
      </c>
      <c r="Z5512" t="s">
        <v>30830</v>
      </c>
      <c r="AA5512">
        <v>0.40166045527456101</v>
      </c>
      <c r="AB5512" t="str">
        <f>HYPERLINK("Melting_Curves/meltCurve_Q9H6R6_2_ZDHHC6.pdf", "Melting_Curves/meltCurve_Q9H6R6_2_ZDHHC6.pdf")</f>
        <v>Melting_Curves/meltCurve_Q9H6R6_2_ZDHHC6.pdf</v>
      </c>
    </row>
    <row r="5513" spans="1:28" x14ac:dyDescent="0.25">
      <c r="A5513" t="s">
        <v>5517</v>
      </c>
      <c r="B5513">
        <v>0.99542014353169495</v>
      </c>
      <c r="C5513">
        <v>0.81774700511904397</v>
      </c>
      <c r="D5513">
        <v>0.79258635125229604</v>
      </c>
      <c r="E5513">
        <v>0.482387225801582</v>
      </c>
      <c r="F5513">
        <v>0.242701525241316</v>
      </c>
      <c r="G5513">
        <v>0.19079463121418999</v>
      </c>
      <c r="H5513">
        <v>0.152578770826859</v>
      </c>
      <c r="I5513">
        <v>0.13515447440578299</v>
      </c>
      <c r="J5513">
        <v>0.12715125680984299</v>
      </c>
      <c r="K5513">
        <v>0.10332864554438601</v>
      </c>
      <c r="L5513">
        <v>686.70990139139201</v>
      </c>
      <c r="M5513">
        <v>15.0886579370906</v>
      </c>
      <c r="N5513">
        <v>46.247292861280798</v>
      </c>
      <c r="O5513">
        <v>44.734698454098897</v>
      </c>
      <c r="P5513">
        <v>-7.5334121027791495E-2</v>
      </c>
      <c r="Q5513">
        <v>0.10668886977249301</v>
      </c>
      <c r="R5513">
        <v>0.98770740404311896</v>
      </c>
      <c r="S5513" t="s">
        <v>11915</v>
      </c>
      <c r="T5513" t="s">
        <v>12802</v>
      </c>
      <c r="U5513" t="s">
        <v>12802</v>
      </c>
      <c r="V5513" t="s">
        <v>12802</v>
      </c>
      <c r="W5513" t="s">
        <v>18249</v>
      </c>
      <c r="X5513">
        <v>1</v>
      </c>
      <c r="Y5513" t="s">
        <v>24461</v>
      </c>
      <c r="Z5513" t="s">
        <v>30831</v>
      </c>
      <c r="AA5513">
        <v>0.38079346371166523</v>
      </c>
      <c r="AB5513" t="str">
        <f>HYPERLINK("Melting_Curves/meltCurve_Q9H6R7_2_C2orf44.pdf", "Melting_Curves/meltCurve_Q9H6R7_2_C2orf44.pdf")</f>
        <v>Melting_Curves/meltCurve_Q9H6R7_2_C2orf44.pdf</v>
      </c>
    </row>
    <row r="5514" spans="1:28" x14ac:dyDescent="0.25">
      <c r="A5514" t="s">
        <v>5518</v>
      </c>
      <c r="B5514">
        <v>0.99542014353169495</v>
      </c>
      <c r="C5514">
        <v>0.912722042824754</v>
      </c>
      <c r="D5514">
        <v>0.84167844458736396</v>
      </c>
      <c r="E5514">
        <v>0.20189909369634901</v>
      </c>
      <c r="F5514">
        <v>0.168339267566955</v>
      </c>
      <c r="G5514">
        <v>5.4185135412810899E-2</v>
      </c>
      <c r="H5514">
        <v>0.14806474378128301</v>
      </c>
      <c r="I5514">
        <v>4.41274089281469E-2</v>
      </c>
      <c r="J5514">
        <v>0.13637160240973301</v>
      </c>
      <c r="K5514">
        <v>0.206272361783358</v>
      </c>
      <c r="L5514">
        <v>2044.2541973411201</v>
      </c>
      <c r="M5514">
        <v>46.0828563285069</v>
      </c>
      <c r="N5514">
        <v>44.637292507186501</v>
      </c>
      <c r="O5514">
        <v>44.277113504289801</v>
      </c>
      <c r="P5514">
        <v>-0.22785001923259399</v>
      </c>
      <c r="Q5514">
        <v>0.124313938157066</v>
      </c>
      <c r="R5514">
        <v>0.97920916272154002</v>
      </c>
      <c r="S5514" t="s">
        <v>11916</v>
      </c>
      <c r="T5514" t="s">
        <v>12802</v>
      </c>
      <c r="U5514" t="s">
        <v>12802</v>
      </c>
      <c r="V5514" t="s">
        <v>12802</v>
      </c>
      <c r="W5514" t="s">
        <v>18250</v>
      </c>
      <c r="X5514">
        <v>3</v>
      </c>
      <c r="Y5514" t="s">
        <v>24462</v>
      </c>
      <c r="Z5514" t="s">
        <v>30832</v>
      </c>
      <c r="AA5514">
        <v>0.34118192594267899</v>
      </c>
      <c r="AB5514" t="str">
        <f>HYPERLINK("Melting_Curves/meltCurve_Q9H6S0_YTHDC2.pdf", "Melting_Curves/meltCurve_Q9H6S0_YTHDC2.pdf")</f>
        <v>Melting_Curves/meltCurve_Q9H6S0_YTHDC2.pdf</v>
      </c>
    </row>
    <row r="5515" spans="1:28" x14ac:dyDescent="0.25">
      <c r="A5515" t="s">
        <v>5519</v>
      </c>
      <c r="B5515">
        <v>0.99542014353169495</v>
      </c>
      <c r="C5515">
        <v>0.84567296736817998</v>
      </c>
      <c r="D5515">
        <v>0.75900681028634898</v>
      </c>
      <c r="E5515">
        <v>0.480442026748849</v>
      </c>
      <c r="F5515">
        <v>0.18708202852349401</v>
      </c>
      <c r="G5515">
        <v>9.5024364174102802E-2</v>
      </c>
      <c r="H5515">
        <v>5.0650945104370702E-2</v>
      </c>
      <c r="I5515">
        <v>4.2285005063150999E-2</v>
      </c>
      <c r="J5515">
        <v>4.01907423818091E-2</v>
      </c>
      <c r="K5515">
        <v>6.4371242795069797E-2</v>
      </c>
      <c r="L5515">
        <v>724.86824297882094</v>
      </c>
      <c r="M5515">
        <v>15.833306911391601</v>
      </c>
      <c r="N5515">
        <v>45.935340018150001</v>
      </c>
      <c r="O5515">
        <v>45.069604680041401</v>
      </c>
      <c r="P5515">
        <v>-8.5562142014886905E-2</v>
      </c>
      <c r="Q5515">
        <v>2.5866974494512199E-2</v>
      </c>
      <c r="R5515">
        <v>0.99311463310046399</v>
      </c>
      <c r="S5515" t="s">
        <v>11917</v>
      </c>
      <c r="T5515" t="s">
        <v>12802</v>
      </c>
      <c r="U5515" t="s">
        <v>12802</v>
      </c>
      <c r="V5515" t="s">
        <v>12802</v>
      </c>
      <c r="W5515" t="s">
        <v>18251</v>
      </c>
      <c r="X5515">
        <v>5</v>
      </c>
      <c r="Y5515" t="s">
        <v>24463</v>
      </c>
      <c r="Z5515" t="s">
        <v>30833</v>
      </c>
      <c r="AA5515">
        <v>0.33135909120958379</v>
      </c>
      <c r="AB5515" t="str">
        <f>HYPERLINK("Melting_Curves/meltCurve_Q9H6S1_AZI2.pdf", "Melting_Curves/meltCurve_Q9H6S1_AZI2.pdf")</f>
        <v>Melting_Curves/meltCurve_Q9H6S1_AZI2.pdf</v>
      </c>
    </row>
    <row r="5516" spans="1:28" x14ac:dyDescent="0.25">
      <c r="A5516" t="s">
        <v>5520</v>
      </c>
      <c r="B5516">
        <v>0.99542014353169495</v>
      </c>
      <c r="C5516">
        <v>1.0555962466308599</v>
      </c>
      <c r="D5516">
        <v>1.0612411105922901</v>
      </c>
      <c r="E5516">
        <v>0.88288271260451801</v>
      </c>
      <c r="F5516">
        <v>0.39497799022142299</v>
      </c>
      <c r="G5516">
        <v>0.229818306054622</v>
      </c>
      <c r="H5516">
        <v>0.173923839050664</v>
      </c>
      <c r="I5516">
        <v>0.120455021461078</v>
      </c>
      <c r="J5516">
        <v>0.19870412457554301</v>
      </c>
      <c r="K5516">
        <v>0.24153094129015901</v>
      </c>
      <c r="L5516">
        <v>1873.13100545417</v>
      </c>
      <c r="M5516">
        <v>38.371898190702503</v>
      </c>
      <c r="N5516">
        <v>49.419934601323398</v>
      </c>
      <c r="O5516">
        <v>48.683160748416398</v>
      </c>
      <c r="P5516">
        <v>-0.160130051047251</v>
      </c>
      <c r="Q5516">
        <v>0.18736175902872201</v>
      </c>
      <c r="R5516">
        <v>0.98949194738714197</v>
      </c>
      <c r="S5516" t="s">
        <v>11918</v>
      </c>
      <c r="T5516" t="s">
        <v>12802</v>
      </c>
      <c r="U5516" t="s">
        <v>12802</v>
      </c>
      <c r="V5516" t="s">
        <v>12802</v>
      </c>
      <c r="W5516" t="s">
        <v>18252</v>
      </c>
      <c r="X5516">
        <v>3</v>
      </c>
      <c r="Y5516" t="s">
        <v>24464</v>
      </c>
      <c r="Z5516" t="s">
        <v>30834</v>
      </c>
      <c r="AA5516">
        <v>0.51039140028027807</v>
      </c>
      <c r="AB5516" t="str">
        <f>HYPERLINK("Melting_Curves/meltCurve_Q9H6S3_EPS8L2.pdf", "Melting_Curves/meltCurve_Q9H6S3_EPS8L2.pdf")</f>
        <v>Melting_Curves/meltCurve_Q9H6S3_EPS8L2.pdf</v>
      </c>
    </row>
    <row r="5517" spans="1:28" x14ac:dyDescent="0.25">
      <c r="A5517" t="s">
        <v>5521</v>
      </c>
      <c r="B5517">
        <v>0.99542014353169495</v>
      </c>
      <c r="C5517">
        <v>0.88366513124506096</v>
      </c>
      <c r="D5517">
        <v>0.90578719056171897</v>
      </c>
      <c r="E5517">
        <v>0.64292806601575503</v>
      </c>
      <c r="F5517">
        <v>0.271744422753046</v>
      </c>
      <c r="G5517">
        <v>9.9979084679065397E-2</v>
      </c>
      <c r="H5517">
        <v>6.2170823059421898E-2</v>
      </c>
      <c r="I5517">
        <v>4.1307367607960999E-2</v>
      </c>
      <c r="J5517">
        <v>4.76136295755447E-2</v>
      </c>
      <c r="K5517">
        <v>4.9739772218912501E-2</v>
      </c>
      <c r="L5517">
        <v>985.12341652803298</v>
      </c>
      <c r="M5517">
        <v>20.6954911124303</v>
      </c>
      <c r="N5517">
        <v>47.768573838379602</v>
      </c>
      <c r="O5517">
        <v>47.163116755052201</v>
      </c>
      <c r="P5517">
        <v>-0.105860771042958</v>
      </c>
      <c r="Q5517">
        <v>3.5039680818917597E-2</v>
      </c>
      <c r="R5517">
        <v>0.99281852684284</v>
      </c>
      <c r="S5517" t="s">
        <v>11919</v>
      </c>
      <c r="T5517" t="s">
        <v>12802</v>
      </c>
      <c r="U5517" t="s">
        <v>12802</v>
      </c>
      <c r="V5517" t="s">
        <v>12802</v>
      </c>
      <c r="W5517" t="s">
        <v>18253</v>
      </c>
      <c r="X5517">
        <v>28</v>
      </c>
      <c r="Y5517" t="s">
        <v>24465</v>
      </c>
      <c r="Z5517" t="s">
        <v>30835</v>
      </c>
      <c r="AA5517">
        <v>0.38787340125981262</v>
      </c>
      <c r="AB5517" t="str">
        <f>HYPERLINK("Melting_Curves/meltCurve_Q9H6T3_RPAP3.pdf", "Melting_Curves/meltCurve_Q9H6T3_RPAP3.pdf")</f>
        <v>Melting_Curves/meltCurve_Q9H6T3_RPAP3.pdf</v>
      </c>
    </row>
    <row r="5518" spans="1:28" x14ac:dyDescent="0.25">
      <c r="A5518" t="s">
        <v>5522</v>
      </c>
      <c r="B5518">
        <v>0.99542014353169495</v>
      </c>
      <c r="C5518">
        <v>1.0354435575690399</v>
      </c>
      <c r="D5518">
        <v>1.0364198112299601</v>
      </c>
      <c r="E5518">
        <v>0.83793539762249603</v>
      </c>
      <c r="F5518">
        <v>0.71836094833893605</v>
      </c>
      <c r="G5518">
        <v>0.31743900036317402</v>
      </c>
      <c r="H5518">
        <v>0.136515993386088</v>
      </c>
      <c r="I5518">
        <v>7.9863696579747595E-2</v>
      </c>
      <c r="J5518">
        <v>8.2909834297190899E-2</v>
      </c>
      <c r="K5518">
        <v>9.4570232918279595E-2</v>
      </c>
      <c r="L5518">
        <v>1154.68932492767</v>
      </c>
      <c r="M5518">
        <v>22.383162876123599</v>
      </c>
      <c r="N5518">
        <v>51.912423513559098</v>
      </c>
      <c r="O5518">
        <v>51.180935727519604</v>
      </c>
      <c r="P5518">
        <v>-0.10218733680195601</v>
      </c>
      <c r="Q5518">
        <v>6.5380646498476302E-2</v>
      </c>
      <c r="R5518">
        <v>0.991523069520998</v>
      </c>
      <c r="S5518" t="s">
        <v>11920</v>
      </c>
      <c r="T5518" t="s">
        <v>12802</v>
      </c>
      <c r="U5518" t="s">
        <v>12802</v>
      </c>
      <c r="V5518" t="s">
        <v>12802</v>
      </c>
      <c r="W5518" t="s">
        <v>18254</v>
      </c>
      <c r="X5518">
        <v>6</v>
      </c>
      <c r="Y5518" t="s">
        <v>24466</v>
      </c>
      <c r="Z5518" t="s">
        <v>30836</v>
      </c>
      <c r="AA5518">
        <v>0.52990509046382261</v>
      </c>
      <c r="AB5518" t="str">
        <f>HYPERLINK("Melting_Curves/meltCurve_Q9H6U8_ALG9.pdf", "Melting_Curves/meltCurve_Q9H6U8_ALG9.pdf")</f>
        <v>Melting_Curves/meltCurve_Q9H6U8_ALG9.pdf</v>
      </c>
    </row>
    <row r="5519" spans="1:28" x14ac:dyDescent="0.25">
      <c r="A5519" t="s">
        <v>5523</v>
      </c>
      <c r="B5519">
        <v>0.99542014353169495</v>
      </c>
      <c r="C5519">
        <v>0.99715917804462295</v>
      </c>
      <c r="D5519">
        <v>0.97647512748193599</v>
      </c>
      <c r="E5519">
        <v>0.90186453306760705</v>
      </c>
      <c r="F5519">
        <v>0.73036138493222902</v>
      </c>
      <c r="G5519">
        <v>0.52769955607985297</v>
      </c>
      <c r="H5519">
        <v>0.28102036349537801</v>
      </c>
      <c r="I5519">
        <v>0.12586000343842599</v>
      </c>
      <c r="J5519">
        <v>9.2228293845540696E-2</v>
      </c>
      <c r="K5519">
        <v>8.0560133799683395E-2</v>
      </c>
      <c r="L5519">
        <v>807.10892191945095</v>
      </c>
      <c r="M5519">
        <v>15.027382387082501</v>
      </c>
      <c r="N5519">
        <v>53.807409962899001</v>
      </c>
      <c r="O5519">
        <v>52.785025721742798</v>
      </c>
      <c r="P5519">
        <v>-7.0216956035950795E-2</v>
      </c>
      <c r="Q5519">
        <v>1.35255810065178E-2</v>
      </c>
      <c r="R5519">
        <v>0.99844731246179497</v>
      </c>
      <c r="S5519" t="s">
        <v>11921</v>
      </c>
      <c r="T5519" t="s">
        <v>12802</v>
      </c>
      <c r="U5519" t="s">
        <v>12802</v>
      </c>
      <c r="V5519" t="s">
        <v>12802</v>
      </c>
      <c r="W5519" t="s">
        <v>18255</v>
      </c>
      <c r="X5519">
        <v>10</v>
      </c>
      <c r="Y5519" t="s">
        <v>24467</v>
      </c>
      <c r="Z5519" t="s">
        <v>30837</v>
      </c>
      <c r="AA5519">
        <v>0.57943528707907987</v>
      </c>
      <c r="AB5519" t="str">
        <f>HYPERLINK("Melting_Curves/meltCurve_Q9H6Y2_WDR55.pdf", "Melting_Curves/meltCurve_Q9H6Y2_WDR55.pdf")</f>
        <v>Melting_Curves/meltCurve_Q9H6Y2_WDR55.pdf</v>
      </c>
    </row>
    <row r="5520" spans="1:28" x14ac:dyDescent="0.25">
      <c r="A5520" t="s">
        <v>5524</v>
      </c>
      <c r="B5520">
        <v>0.99542014353169495</v>
      </c>
      <c r="C5520">
        <v>1.0528917954263901</v>
      </c>
      <c r="D5520">
        <v>1.02454724659948</v>
      </c>
      <c r="E5520">
        <v>1.0020812259362799</v>
      </c>
      <c r="F5520">
        <v>0.84792924947751702</v>
      </c>
      <c r="G5520">
        <v>0.68589053651907606</v>
      </c>
      <c r="H5520">
        <v>0.52874334006007995</v>
      </c>
      <c r="I5520">
        <v>0.49596723260966502</v>
      </c>
      <c r="J5520">
        <v>0.72511654707927498</v>
      </c>
      <c r="K5520">
        <v>0.73567030029498104</v>
      </c>
      <c r="L5520">
        <v>2097.36654084881</v>
      </c>
      <c r="M5520">
        <v>41.332743619206703</v>
      </c>
      <c r="O5520">
        <v>50.625138068698</v>
      </c>
      <c r="P5520">
        <v>-7.6269240232926902E-2</v>
      </c>
      <c r="Q5520">
        <v>0.62633673082438901</v>
      </c>
      <c r="R5520">
        <v>0.86119328937641804</v>
      </c>
      <c r="S5520" t="s">
        <v>11922</v>
      </c>
      <c r="T5520" t="s">
        <v>12802</v>
      </c>
      <c r="U5520" t="s">
        <v>12802</v>
      </c>
      <c r="V5520" t="s">
        <v>12802</v>
      </c>
      <c r="W5520" t="s">
        <v>18256</v>
      </c>
      <c r="X5520">
        <v>14</v>
      </c>
      <c r="Y5520" t="s">
        <v>24468</v>
      </c>
      <c r="Z5520" t="s">
        <v>30838</v>
      </c>
      <c r="AA5520">
        <v>0.7987435204780553</v>
      </c>
      <c r="AB5520" t="str">
        <f>HYPERLINK("Melting_Curves/meltCurve_Q9H773_DCTPP1.pdf", "Melting_Curves/meltCurve_Q9H773_DCTPP1.pdf")</f>
        <v>Melting_Curves/meltCurve_Q9H773_DCTPP1.pdf</v>
      </c>
    </row>
    <row r="5521" spans="1:28" x14ac:dyDescent="0.25">
      <c r="A5521" t="s">
        <v>5525</v>
      </c>
      <c r="B5521">
        <v>0.99542014353169495</v>
      </c>
      <c r="C5521">
        <v>0.877846438915447</v>
      </c>
      <c r="D5521">
        <v>0.728675940275612</v>
      </c>
      <c r="E5521">
        <v>0.48799692435504499</v>
      </c>
      <c r="F5521">
        <v>0.125702631392621</v>
      </c>
      <c r="G5521">
        <v>7.4837018032300501E-2</v>
      </c>
      <c r="H5521">
        <v>4.38984267676929E-2</v>
      </c>
      <c r="I5521">
        <v>3.4334117406028902E-2</v>
      </c>
      <c r="J5521">
        <v>3.0377859764175001E-2</v>
      </c>
      <c r="K5521">
        <v>2.8491388426174099E-2</v>
      </c>
      <c r="L5521">
        <v>768.11950375423805</v>
      </c>
      <c r="M5521">
        <v>16.817313881647401</v>
      </c>
      <c r="N5521">
        <v>45.7406049404862</v>
      </c>
      <c r="O5521">
        <v>45.043172636269198</v>
      </c>
      <c r="P5521">
        <v>-9.2222397742154599E-2</v>
      </c>
      <c r="Q5521">
        <v>1.2036856023768401E-2</v>
      </c>
      <c r="R5521">
        <v>0.99218175162690403</v>
      </c>
      <c r="S5521" t="s">
        <v>11923</v>
      </c>
      <c r="T5521" t="s">
        <v>12802</v>
      </c>
      <c r="U5521" t="s">
        <v>12802</v>
      </c>
      <c r="V5521" t="s">
        <v>12802</v>
      </c>
      <c r="W5521" t="s">
        <v>18257</v>
      </c>
      <c r="X5521">
        <v>5</v>
      </c>
      <c r="Y5521" t="s">
        <v>24469</v>
      </c>
      <c r="Z5521" t="s">
        <v>30839</v>
      </c>
      <c r="AA5521">
        <v>0.31606944548346888</v>
      </c>
      <c r="AB5521" t="str">
        <f>HYPERLINK("Melting_Curves/meltCurve_Q9H7B4_SMYD3.pdf", "Melting_Curves/meltCurve_Q9H7B4_SMYD3.pdf")</f>
        <v>Melting_Curves/meltCurve_Q9H7B4_SMYD3.pdf</v>
      </c>
    </row>
    <row r="5522" spans="1:28" x14ac:dyDescent="0.25">
      <c r="A5522" t="s">
        <v>5526</v>
      </c>
      <c r="B5522">
        <v>0.99542014353169495</v>
      </c>
      <c r="C5522">
        <v>0.880449954473562</v>
      </c>
      <c r="D5522">
        <v>0.87938723009424402</v>
      </c>
      <c r="E5522">
        <v>0.68368547726690099</v>
      </c>
      <c r="F5522">
        <v>0.459077822914358</v>
      </c>
      <c r="G5522">
        <v>0.24783219880827401</v>
      </c>
      <c r="H5522">
        <v>0.13804705815438001</v>
      </c>
      <c r="I5522">
        <v>9.5454606358159402E-2</v>
      </c>
      <c r="J5522">
        <v>0.10555275624645501</v>
      </c>
      <c r="K5522">
        <v>0.10953792065668801</v>
      </c>
      <c r="L5522">
        <v>665.66681504538997</v>
      </c>
      <c r="M5522">
        <v>13.652263034335901</v>
      </c>
      <c r="N5522">
        <v>49.204866361853597</v>
      </c>
      <c r="O5522">
        <v>47.7482520127787</v>
      </c>
      <c r="P5522">
        <v>-6.7328932671192498E-2</v>
      </c>
      <c r="Q5522">
        <v>5.8216279197110699E-2</v>
      </c>
      <c r="R5522">
        <v>0.99271773482190595</v>
      </c>
      <c r="S5522" t="s">
        <v>11924</v>
      </c>
      <c r="T5522" t="s">
        <v>12802</v>
      </c>
      <c r="U5522" t="s">
        <v>12802</v>
      </c>
      <c r="V5522" t="s">
        <v>12802</v>
      </c>
      <c r="W5522" t="s">
        <v>18258</v>
      </c>
      <c r="X5522">
        <v>6</v>
      </c>
      <c r="Y5522" t="s">
        <v>24470</v>
      </c>
      <c r="Z5522" t="s">
        <v>30840</v>
      </c>
      <c r="AA5522">
        <v>0.45093745099870808</v>
      </c>
      <c r="AB5522" t="str">
        <f>HYPERLINK("Melting_Curves/meltCurve_Q9H7D7_2_WDR26.pdf", "Melting_Curves/meltCurve_Q9H7D7_2_WDR26.pdf")</f>
        <v>Melting_Curves/meltCurve_Q9H7D7_2_WDR26.pdf</v>
      </c>
    </row>
    <row r="5523" spans="1:28" x14ac:dyDescent="0.25">
      <c r="A5523" t="s">
        <v>5527</v>
      </c>
      <c r="B5523">
        <v>0.99542014353169495</v>
      </c>
      <c r="C5523">
        <v>0.97468247457991297</v>
      </c>
      <c r="D5523">
        <v>1.1824074974485801</v>
      </c>
      <c r="E5523">
        <v>0.88195387541316805</v>
      </c>
      <c r="F5523">
        <v>0.40487098016557699</v>
      </c>
      <c r="G5523">
        <v>0.22005104932307701</v>
      </c>
      <c r="H5523">
        <v>6.1542873976679E-2</v>
      </c>
      <c r="I5523">
        <v>0</v>
      </c>
      <c r="J5523">
        <v>0</v>
      </c>
      <c r="K5523">
        <v>0</v>
      </c>
      <c r="L5523">
        <v>1328.4983906445</v>
      </c>
      <c r="M5523">
        <v>26.6623632912655</v>
      </c>
      <c r="N5523">
        <v>49.892389172305499</v>
      </c>
      <c r="O5523">
        <v>49.548965795039798</v>
      </c>
      <c r="P5523">
        <v>-0.13220751897571001</v>
      </c>
      <c r="Q5523">
        <v>1.72397604276825E-2</v>
      </c>
      <c r="R5523">
        <v>0.975819391006576</v>
      </c>
      <c r="S5523" t="s">
        <v>11925</v>
      </c>
      <c r="T5523" t="s">
        <v>12802</v>
      </c>
      <c r="U5523" t="s">
        <v>12802</v>
      </c>
      <c r="V5523" t="s">
        <v>12802</v>
      </c>
      <c r="W5523" t="s">
        <v>18259</v>
      </c>
      <c r="X5523">
        <v>2</v>
      </c>
      <c r="Y5523" t="s">
        <v>24471</v>
      </c>
      <c r="Z5523" t="s">
        <v>30841</v>
      </c>
      <c r="AA5523">
        <v>0.44500386108265588</v>
      </c>
      <c r="AB5523" t="str">
        <f>HYPERLINK("Melting_Curves/meltCurve_Q9H7E2_3_TDRD3.pdf", "Melting_Curves/meltCurve_Q9H7E2_3_TDRD3.pdf")</f>
        <v>Melting_Curves/meltCurve_Q9H7E2_3_TDRD3.pdf</v>
      </c>
    </row>
    <row r="5524" spans="1:28" x14ac:dyDescent="0.25">
      <c r="A5524" t="s">
        <v>5528</v>
      </c>
      <c r="B5524">
        <v>0.99542014353169495</v>
      </c>
      <c r="C5524">
        <v>0.973428854209062</v>
      </c>
      <c r="D5524">
        <v>0.90983809024757401</v>
      </c>
      <c r="E5524">
        <v>0.74037192307747501</v>
      </c>
      <c r="F5524">
        <v>0.57015174459799001</v>
      </c>
      <c r="G5524">
        <v>0.40669112392693502</v>
      </c>
      <c r="H5524">
        <v>0.26804869337649101</v>
      </c>
      <c r="I5524">
        <v>0.232012956494975</v>
      </c>
      <c r="J5524">
        <v>0.116935168963133</v>
      </c>
      <c r="K5524">
        <v>0.17259422529780799</v>
      </c>
      <c r="L5524">
        <v>596.67522470706797</v>
      </c>
      <c r="M5524">
        <v>11.8015451893997</v>
      </c>
      <c r="N5524">
        <v>51.524368525660002</v>
      </c>
      <c r="O5524">
        <v>49.172911753774599</v>
      </c>
      <c r="P5524">
        <v>-5.4063252842715001E-2</v>
      </c>
      <c r="Q5524">
        <v>9.9180970611231101E-2</v>
      </c>
      <c r="R5524">
        <v>0.99551774026879503</v>
      </c>
      <c r="S5524" t="s">
        <v>11926</v>
      </c>
      <c r="T5524" t="s">
        <v>12802</v>
      </c>
      <c r="U5524" t="s">
        <v>12802</v>
      </c>
      <c r="V5524" t="s">
        <v>12802</v>
      </c>
      <c r="W5524" t="s">
        <v>18260</v>
      </c>
      <c r="X5524">
        <v>1</v>
      </c>
      <c r="Y5524" t="s">
        <v>24472</v>
      </c>
      <c r="Z5524" t="s">
        <v>30842</v>
      </c>
      <c r="AA5524">
        <v>0.53101715241467784</v>
      </c>
      <c r="AB5524" t="str">
        <f>HYPERLINK("Melting_Curves/meltCurve_Q9H7E9_C8orf33.pdf", "Melting_Curves/meltCurve_Q9H7E9_C8orf33.pdf")</f>
        <v>Melting_Curves/meltCurve_Q9H7E9_C8orf33.pdf</v>
      </c>
    </row>
    <row r="5525" spans="1:28" x14ac:dyDescent="0.25">
      <c r="A5525" t="s">
        <v>5529</v>
      </c>
      <c r="B5525">
        <v>0.99542014353169495</v>
      </c>
      <c r="C5525">
        <v>0.84009699813971295</v>
      </c>
      <c r="D5525">
        <v>1.00471022960178</v>
      </c>
      <c r="E5525">
        <v>0.752217074943477</v>
      </c>
      <c r="F5525">
        <v>0.704812547968793</v>
      </c>
      <c r="G5525">
        <v>0.38704231477685702</v>
      </c>
      <c r="H5525">
        <v>0.18760941142308299</v>
      </c>
      <c r="I5525">
        <v>6.1703720726682502E-2</v>
      </c>
      <c r="J5525">
        <v>7.2772337058250994E-2</v>
      </c>
      <c r="K5525">
        <v>7.0607694565230097E-2</v>
      </c>
      <c r="L5525">
        <v>733.83855491864301</v>
      </c>
      <c r="M5525">
        <v>14.101695065831001</v>
      </c>
      <c r="N5525">
        <v>52.039016900447301</v>
      </c>
      <c r="O5525">
        <v>51.026068661368903</v>
      </c>
      <c r="P5525">
        <v>-6.90995352174813E-2</v>
      </c>
      <c r="Q5525">
        <v>0</v>
      </c>
      <c r="R5525">
        <v>0.96986426006031001</v>
      </c>
      <c r="S5525" t="s">
        <v>11927</v>
      </c>
      <c r="T5525" t="s">
        <v>12802</v>
      </c>
      <c r="U5525" t="s">
        <v>12802</v>
      </c>
      <c r="V5525" t="s">
        <v>12802</v>
      </c>
      <c r="W5525" t="s">
        <v>18261</v>
      </c>
      <c r="X5525">
        <v>2</v>
      </c>
      <c r="Y5525" t="s">
        <v>24473</v>
      </c>
      <c r="Z5525" t="s">
        <v>30843</v>
      </c>
      <c r="AA5525">
        <v>0.52172761005946944</v>
      </c>
      <c r="AB5525" t="str">
        <f>HYPERLINK("Melting_Curves/meltCurve_Q9H7F0_ATP13A3.pdf", "Melting_Curves/meltCurve_Q9H7F0_ATP13A3.pdf")</f>
        <v>Melting_Curves/meltCurve_Q9H7F0_ATP13A3.pdf</v>
      </c>
    </row>
    <row r="5526" spans="1:28" x14ac:dyDescent="0.25">
      <c r="A5526" t="s">
        <v>5530</v>
      </c>
      <c r="B5526">
        <v>0.99542014353169495</v>
      </c>
      <c r="C5526">
        <v>0.86774910764351498</v>
      </c>
      <c r="D5526">
        <v>0.80083350354986804</v>
      </c>
      <c r="E5526">
        <v>0.50657566612478999</v>
      </c>
      <c r="F5526">
        <v>0.38953758307701197</v>
      </c>
      <c r="G5526">
        <v>0.23936298560066599</v>
      </c>
      <c r="H5526">
        <v>0.16694138384269</v>
      </c>
      <c r="I5526">
        <v>0.102365191009753</v>
      </c>
      <c r="J5526">
        <v>0.144106276397856</v>
      </c>
      <c r="K5526">
        <v>9.2528325701710296E-2</v>
      </c>
      <c r="L5526">
        <v>569.44374086823598</v>
      </c>
      <c r="M5526">
        <v>12.1754230789739</v>
      </c>
      <c r="N5526">
        <v>47.454746014323597</v>
      </c>
      <c r="O5526">
        <v>45.561923389662503</v>
      </c>
      <c r="P5526">
        <v>-6.1438671350740298E-2</v>
      </c>
      <c r="Q5526">
        <v>8.0565787911416206E-2</v>
      </c>
      <c r="R5526">
        <v>0.99249120262187696</v>
      </c>
      <c r="S5526" t="s">
        <v>11928</v>
      </c>
      <c r="T5526" t="s">
        <v>12802</v>
      </c>
      <c r="U5526" t="s">
        <v>12802</v>
      </c>
      <c r="V5526" t="s">
        <v>12802</v>
      </c>
      <c r="W5526" t="s">
        <v>18262</v>
      </c>
      <c r="X5526">
        <v>3</v>
      </c>
      <c r="Y5526" t="s">
        <v>24474</v>
      </c>
      <c r="Z5526" t="s">
        <v>30844</v>
      </c>
      <c r="AA5526">
        <v>0.40982821660938951</v>
      </c>
      <c r="AB5526" t="str">
        <f>HYPERLINK("Melting_Curves/meltCurve_Q9H7L9_SUDS3.pdf", "Melting_Curves/meltCurve_Q9H7L9_SUDS3.pdf")</f>
        <v>Melting_Curves/meltCurve_Q9H7L9_SUDS3.pdf</v>
      </c>
    </row>
    <row r="5527" spans="1:28" x14ac:dyDescent="0.25">
      <c r="A5527" t="s">
        <v>5531</v>
      </c>
      <c r="B5527">
        <v>0.99542014353169495</v>
      </c>
      <c r="C5527">
        <v>0.80773170996538501</v>
      </c>
      <c r="D5527">
        <v>0.80323058130295999</v>
      </c>
      <c r="E5527">
        <v>0.67988589526804299</v>
      </c>
      <c r="F5527">
        <v>0.65039262305191103</v>
      </c>
      <c r="G5527">
        <v>0.46967116183371099</v>
      </c>
      <c r="H5527">
        <v>0.38080371324610701</v>
      </c>
      <c r="I5527">
        <v>8.0897407228907994E-2</v>
      </c>
      <c r="J5527">
        <v>7.6006934432365798E-3</v>
      </c>
      <c r="K5527">
        <v>5.6221774655133101E-3</v>
      </c>
      <c r="L5527">
        <v>494.77641224830103</v>
      </c>
      <c r="M5527">
        <v>9.6149963963450809</v>
      </c>
      <c r="N5527">
        <v>51.458824384183401</v>
      </c>
      <c r="O5527">
        <v>49.380635138129101</v>
      </c>
      <c r="P5527">
        <v>-4.870547408097E-2</v>
      </c>
      <c r="Q5527">
        <v>0</v>
      </c>
      <c r="R5527">
        <v>0.92714522814620004</v>
      </c>
      <c r="S5527" t="s">
        <v>11929</v>
      </c>
      <c r="T5527" t="s">
        <v>12802</v>
      </c>
      <c r="U5527" t="s">
        <v>12802</v>
      </c>
      <c r="V5527" t="s">
        <v>12802</v>
      </c>
      <c r="W5527" t="s">
        <v>18263</v>
      </c>
      <c r="X5527">
        <v>3</v>
      </c>
      <c r="Y5527" t="s">
        <v>24475</v>
      </c>
      <c r="Z5527" t="s">
        <v>30845</v>
      </c>
      <c r="AA5527">
        <v>0.51142597990075878</v>
      </c>
      <c r="AB5527" t="str">
        <f>HYPERLINK("Melting_Curves/meltCurve_Q9H7N4_SCAF1.pdf", "Melting_Curves/meltCurve_Q9H7N4_SCAF1.pdf")</f>
        <v>Melting_Curves/meltCurve_Q9H7N4_SCAF1.pdf</v>
      </c>
    </row>
    <row r="5528" spans="1:28" x14ac:dyDescent="0.25">
      <c r="A5528" t="s">
        <v>5532</v>
      </c>
      <c r="B5528">
        <v>0.99542014353169495</v>
      </c>
      <c r="C5528">
        <v>0.96010154496701805</v>
      </c>
      <c r="D5528">
        <v>0.81492182482082298</v>
      </c>
      <c r="E5528">
        <v>0.56992730512119905</v>
      </c>
      <c r="F5528">
        <v>0.36549604432072702</v>
      </c>
      <c r="G5528">
        <v>0.208441770720803</v>
      </c>
      <c r="H5528">
        <v>0.131383096294202</v>
      </c>
      <c r="I5528">
        <v>0.10206125267166199</v>
      </c>
      <c r="J5528">
        <v>0.12566952728033601</v>
      </c>
      <c r="K5528">
        <v>0.17054161768635101</v>
      </c>
      <c r="L5528">
        <v>748.18903270956298</v>
      </c>
      <c r="M5528">
        <v>15.974630477571599</v>
      </c>
      <c r="N5528">
        <v>47.608616094652199</v>
      </c>
      <c r="O5528">
        <v>46.120540024160398</v>
      </c>
      <c r="P5528">
        <v>-7.6711381705739601E-2</v>
      </c>
      <c r="Q5528">
        <v>0.114172316225441</v>
      </c>
      <c r="R5528">
        <v>0.99545826022686001</v>
      </c>
      <c r="S5528" t="s">
        <v>11930</v>
      </c>
      <c r="T5528" t="s">
        <v>12802</v>
      </c>
      <c r="U5528" t="s">
        <v>12802</v>
      </c>
      <c r="V5528" t="s">
        <v>12802</v>
      </c>
      <c r="W5528" t="s">
        <v>18264</v>
      </c>
      <c r="X5528">
        <v>4</v>
      </c>
      <c r="Y5528" t="s">
        <v>24476</v>
      </c>
      <c r="Z5528" t="s">
        <v>30846</v>
      </c>
      <c r="AA5528">
        <v>0.42244381290717647</v>
      </c>
      <c r="AB5528" t="str">
        <f>HYPERLINK("Melting_Curves/meltCurve_Q9H7Z6_KAT8.pdf", "Melting_Curves/meltCurve_Q9H7Z6_KAT8.pdf")</f>
        <v>Melting_Curves/meltCurve_Q9H7Z6_KAT8.pdf</v>
      </c>
    </row>
    <row r="5529" spans="1:28" x14ac:dyDescent="0.25">
      <c r="A5529" t="s">
        <v>5533</v>
      </c>
      <c r="B5529">
        <v>0.99542014353169495</v>
      </c>
      <c r="C5529">
        <v>0.981556252566678</v>
      </c>
      <c r="D5529">
        <v>0.91665508931795103</v>
      </c>
      <c r="E5529">
        <v>0.92909286578466399</v>
      </c>
      <c r="F5529">
        <v>0.70200783686284796</v>
      </c>
      <c r="G5529">
        <v>0.60987093448107199</v>
      </c>
      <c r="H5529">
        <v>0.283990927408381</v>
      </c>
      <c r="I5529">
        <v>0.186723541072049</v>
      </c>
      <c r="J5529">
        <v>0.109111766142875</v>
      </c>
      <c r="K5529">
        <v>8.6791808354383507E-2</v>
      </c>
      <c r="L5529">
        <v>722.33932074714096</v>
      </c>
      <c r="M5529">
        <v>13.290749240894399</v>
      </c>
      <c r="N5529">
        <v>54.349029387733196</v>
      </c>
      <c r="O5529">
        <v>53.162828597886197</v>
      </c>
      <c r="P5529">
        <v>-6.2510308900021405E-2</v>
      </c>
      <c r="Q5529">
        <v>0</v>
      </c>
      <c r="R5529">
        <v>0.98894959785069103</v>
      </c>
      <c r="S5529" t="s">
        <v>11931</v>
      </c>
      <c r="T5529" t="s">
        <v>12802</v>
      </c>
      <c r="U5529" t="s">
        <v>12802</v>
      </c>
      <c r="V5529" t="s">
        <v>12802</v>
      </c>
      <c r="W5529" t="s">
        <v>18265</v>
      </c>
      <c r="X5529">
        <v>14</v>
      </c>
      <c r="Y5529" t="s">
        <v>24477</v>
      </c>
      <c r="Z5529" t="s">
        <v>30847</v>
      </c>
      <c r="AA5529">
        <v>0.59471681817749844</v>
      </c>
      <c r="AB5529" t="str">
        <f>HYPERLINK("Melting_Curves/meltCurve_Q9H7Z7_PTGES2.pdf", "Melting_Curves/meltCurve_Q9H7Z7_PTGES2.pdf")</f>
        <v>Melting_Curves/meltCurve_Q9H7Z7_PTGES2.pdf</v>
      </c>
    </row>
    <row r="5530" spans="1:28" x14ac:dyDescent="0.25">
      <c r="A5530" t="s">
        <v>5534</v>
      </c>
      <c r="B5530">
        <v>0.99542014353169495</v>
      </c>
      <c r="C5530">
        <v>0.94514754906484899</v>
      </c>
      <c r="D5530">
        <v>1.01360660302765</v>
      </c>
      <c r="E5530">
        <v>0.81622254032181096</v>
      </c>
      <c r="F5530">
        <v>0.723615362970918</v>
      </c>
      <c r="G5530">
        <v>0.41965734830648699</v>
      </c>
      <c r="H5530">
        <v>0.17234513806572899</v>
      </c>
      <c r="I5530">
        <v>9.8856617541063299E-2</v>
      </c>
      <c r="J5530">
        <v>0.115924124934541</v>
      </c>
      <c r="K5530">
        <v>0.15003489245990301</v>
      </c>
      <c r="L5530">
        <v>955.70032566109603</v>
      </c>
      <c r="M5530">
        <v>18.413880454089</v>
      </c>
      <c r="N5530">
        <v>52.4242128522218</v>
      </c>
      <c r="O5530">
        <v>51.300582094355001</v>
      </c>
      <c r="P5530">
        <v>-8.2207754105957001E-2</v>
      </c>
      <c r="Q5530">
        <v>8.3926871483778406E-2</v>
      </c>
      <c r="R5530">
        <v>0.98591496106397003</v>
      </c>
      <c r="S5530" t="s">
        <v>11932</v>
      </c>
      <c r="T5530" t="s">
        <v>12802</v>
      </c>
      <c r="U5530" t="s">
        <v>12802</v>
      </c>
      <c r="V5530" t="s">
        <v>12802</v>
      </c>
      <c r="W5530" t="s">
        <v>18266</v>
      </c>
      <c r="X5530">
        <v>1</v>
      </c>
      <c r="Y5530" t="s">
        <v>24478</v>
      </c>
      <c r="Z5530" t="s">
        <v>30848</v>
      </c>
      <c r="AA5530">
        <v>0.55238483278307993</v>
      </c>
      <c r="AB5530" t="str">
        <f>HYPERLINK("Melting_Curves/meltCurve_Q9H813_TMEM206.pdf", "Melting_Curves/meltCurve_Q9H813_TMEM206.pdf")</f>
        <v>Melting_Curves/meltCurve_Q9H813_TMEM206.pdf</v>
      </c>
    </row>
    <row r="5531" spans="1:28" x14ac:dyDescent="0.25">
      <c r="A5531" t="s">
        <v>5535</v>
      </c>
      <c r="B5531">
        <v>0.99542014353169495</v>
      </c>
      <c r="C5531">
        <v>0.88865606211252002</v>
      </c>
      <c r="D5531">
        <v>0.91838972280723496</v>
      </c>
      <c r="E5531">
        <v>0.70568796346454399</v>
      </c>
      <c r="F5531">
        <v>0.52129319104515803</v>
      </c>
      <c r="G5531">
        <v>0.27832864974744598</v>
      </c>
      <c r="H5531">
        <v>0.235529401343158</v>
      </c>
      <c r="I5531">
        <v>0.187607935578429</v>
      </c>
      <c r="J5531">
        <v>0.25479433952953101</v>
      </c>
      <c r="K5531">
        <v>0.263968266729593</v>
      </c>
      <c r="L5531">
        <v>810.06658748684401</v>
      </c>
      <c r="M5531">
        <v>16.826387795452298</v>
      </c>
      <c r="N5531">
        <v>49.756933145909102</v>
      </c>
      <c r="O5531">
        <v>47.478069523926301</v>
      </c>
      <c r="P5531">
        <v>-6.9968764948459494E-2</v>
      </c>
      <c r="Q5531">
        <v>0.21034314084359099</v>
      </c>
      <c r="R5531">
        <v>0.98073020457053595</v>
      </c>
      <c r="S5531" t="s">
        <v>11933</v>
      </c>
      <c r="T5531" t="s">
        <v>12802</v>
      </c>
      <c r="U5531" t="s">
        <v>12802</v>
      </c>
      <c r="V5531" t="s">
        <v>12802</v>
      </c>
      <c r="W5531" t="s">
        <v>18267</v>
      </c>
      <c r="X5531">
        <v>5</v>
      </c>
      <c r="Y5531" t="s">
        <v>24479</v>
      </c>
      <c r="Z5531" t="s">
        <v>30849</v>
      </c>
      <c r="AA5531">
        <v>0.51787082380283944</v>
      </c>
      <c r="AB5531" t="str">
        <f>HYPERLINK("Melting_Curves/meltCurve_Q9H814_PHAX.pdf", "Melting_Curves/meltCurve_Q9H814_PHAX.pdf")</f>
        <v>Melting_Curves/meltCurve_Q9H814_PHAX.pdf</v>
      </c>
    </row>
    <row r="5532" spans="1:28" x14ac:dyDescent="0.25">
      <c r="A5532" t="s">
        <v>5536</v>
      </c>
      <c r="B5532">
        <v>0.99542014353169495</v>
      </c>
      <c r="C5532">
        <v>1.0170549167404199</v>
      </c>
      <c r="D5532">
        <v>0.91959581521021705</v>
      </c>
      <c r="E5532">
        <v>0.86752518677607304</v>
      </c>
      <c r="F5532">
        <v>0.596520413257144</v>
      </c>
      <c r="G5532">
        <v>0.27086366422681901</v>
      </c>
      <c r="H5532">
        <v>9.9821506371705296E-2</v>
      </c>
      <c r="I5532">
        <v>6.7372992420388994E-2</v>
      </c>
      <c r="J5532">
        <v>7.3094245852608902E-2</v>
      </c>
      <c r="K5532">
        <v>6.3443335646812593E-2</v>
      </c>
      <c r="L5532">
        <v>1055.2042771133799</v>
      </c>
      <c r="M5532">
        <v>20.777749892914301</v>
      </c>
      <c r="N5532">
        <v>51.020325799549603</v>
      </c>
      <c r="O5532">
        <v>50.321898501398401</v>
      </c>
      <c r="P5532">
        <v>-9.8516098421532694E-2</v>
      </c>
      <c r="Q5532">
        <v>4.5637173781582899E-2</v>
      </c>
      <c r="R5532">
        <v>0.99674678020866003</v>
      </c>
      <c r="S5532" t="s">
        <v>11934</v>
      </c>
      <c r="T5532" t="s">
        <v>12802</v>
      </c>
      <c r="U5532" t="s">
        <v>12802</v>
      </c>
      <c r="V5532" t="s">
        <v>12802</v>
      </c>
      <c r="W5532" t="s">
        <v>18268</v>
      </c>
      <c r="X5532">
        <v>14</v>
      </c>
      <c r="Y5532" t="s">
        <v>24480</v>
      </c>
      <c r="Z5532" t="s">
        <v>30850</v>
      </c>
      <c r="AA5532">
        <v>0.49590653912237748</v>
      </c>
      <c r="AB5532" t="str">
        <f>HYPERLINK("Melting_Curves/meltCurve_Q9H832_UBE2Z.pdf", "Melting_Curves/meltCurve_Q9H832_UBE2Z.pdf")</f>
        <v>Melting_Curves/meltCurve_Q9H832_UBE2Z.pdf</v>
      </c>
    </row>
    <row r="5533" spans="1:28" x14ac:dyDescent="0.25">
      <c r="A5533" t="s">
        <v>5537</v>
      </c>
      <c r="B5533">
        <v>0.99542014353169495</v>
      </c>
      <c r="C5533">
        <v>1.2655743988214001</v>
      </c>
      <c r="D5533">
        <v>0.96224945788508198</v>
      </c>
      <c r="E5533">
        <v>0.92442172813136703</v>
      </c>
      <c r="F5533">
        <v>0.79146285734011601</v>
      </c>
      <c r="G5533">
        <v>0.51639009924290202</v>
      </c>
      <c r="H5533">
        <v>0.36301921076793198</v>
      </c>
      <c r="I5533">
        <v>0.30804047587242001</v>
      </c>
      <c r="J5533">
        <v>0.30317652227934</v>
      </c>
      <c r="K5533">
        <v>0.35513166523161099</v>
      </c>
      <c r="L5533">
        <v>1235.0090511538899</v>
      </c>
      <c r="M5533">
        <v>23.841870748747901</v>
      </c>
      <c r="N5533">
        <v>54.007774766492297</v>
      </c>
      <c r="O5533">
        <v>51.439693223540601</v>
      </c>
      <c r="P5533">
        <v>-7.9799221881182603E-2</v>
      </c>
      <c r="Q5533">
        <v>0.31133213410317201</v>
      </c>
      <c r="R5533">
        <v>0.93188026590926598</v>
      </c>
      <c r="S5533" t="s">
        <v>11935</v>
      </c>
      <c r="T5533" t="s">
        <v>12802</v>
      </c>
      <c r="U5533" t="s">
        <v>12802</v>
      </c>
      <c r="V5533" t="s">
        <v>12802</v>
      </c>
      <c r="W5533" t="s">
        <v>18269</v>
      </c>
      <c r="X5533">
        <v>1</v>
      </c>
      <c r="Y5533" t="s">
        <v>24481</v>
      </c>
      <c r="Z5533" t="s">
        <v>30851</v>
      </c>
      <c r="AA5533">
        <v>0.65771463791013807</v>
      </c>
      <c r="AB5533" t="str">
        <f>HYPERLINK("Melting_Curves/meltCurve_Q9H840_GEMIN7.pdf", "Melting_Curves/meltCurve_Q9H840_GEMIN7.pdf")</f>
        <v>Melting_Curves/meltCurve_Q9H840_GEMIN7.pdf</v>
      </c>
    </row>
    <row r="5534" spans="1:28" x14ac:dyDescent="0.25">
      <c r="A5534" t="s">
        <v>5538</v>
      </c>
      <c r="B5534">
        <v>0.99542014353169495</v>
      </c>
      <c r="C5534">
        <v>0.98453540484879698</v>
      </c>
      <c r="D5534">
        <v>1.0203557463177</v>
      </c>
      <c r="E5534">
        <v>0.79310763863233902</v>
      </c>
      <c r="F5534">
        <v>0.64510275680075702</v>
      </c>
      <c r="G5534">
        <v>0.40320923154952598</v>
      </c>
      <c r="H5534">
        <v>0.28288277681401103</v>
      </c>
      <c r="I5534">
        <v>0.16854055896522099</v>
      </c>
      <c r="J5534">
        <v>0.101374210176392</v>
      </c>
      <c r="K5534">
        <v>8.1974074975010899E-2</v>
      </c>
      <c r="L5534">
        <v>694.91957950082201</v>
      </c>
      <c r="M5534">
        <v>13.3428526471391</v>
      </c>
      <c r="N5534">
        <v>52.4181924665628</v>
      </c>
      <c r="O5534">
        <v>50.953627434850702</v>
      </c>
      <c r="P5534">
        <v>-6.2789389535361506E-2</v>
      </c>
      <c r="Q5534">
        <v>4.1033691911046402E-2</v>
      </c>
      <c r="R5534">
        <v>0.99361279644951594</v>
      </c>
      <c r="S5534" t="s">
        <v>11936</v>
      </c>
      <c r="T5534" t="s">
        <v>12802</v>
      </c>
      <c r="U5534" t="s">
        <v>12802</v>
      </c>
      <c r="V5534" t="s">
        <v>12802</v>
      </c>
      <c r="W5534" t="s">
        <v>18270</v>
      </c>
      <c r="X5534">
        <v>16</v>
      </c>
      <c r="Y5534" t="s">
        <v>24482</v>
      </c>
      <c r="Z5534" t="s">
        <v>30852</v>
      </c>
      <c r="AA5534">
        <v>0.54375964511616448</v>
      </c>
      <c r="AB5534" t="str">
        <f>HYPERLINK("Melting_Curves/meltCurve_Q9H845_ACAD9.pdf", "Melting_Curves/meltCurve_Q9H845_ACAD9.pdf")</f>
        <v>Melting_Curves/meltCurve_Q9H845_ACAD9.pdf</v>
      </c>
    </row>
    <row r="5535" spans="1:28" x14ac:dyDescent="0.25">
      <c r="A5535" t="s">
        <v>5539</v>
      </c>
      <c r="B5535">
        <v>0.99542014353169495</v>
      </c>
      <c r="C5535">
        <v>0.78387338998426304</v>
      </c>
      <c r="D5535">
        <v>0.76368391589345797</v>
      </c>
      <c r="E5535">
        <v>0.54345642217544299</v>
      </c>
      <c r="F5535">
        <v>0.34888183647454202</v>
      </c>
      <c r="G5535">
        <v>0.124086947076073</v>
      </c>
      <c r="H5535">
        <v>9.5606297229986897E-2</v>
      </c>
      <c r="I5535">
        <v>5.76493224581748E-2</v>
      </c>
      <c r="J5535">
        <v>3.5932678189927798E-2</v>
      </c>
      <c r="K5535">
        <v>4.9804417804021998E-2</v>
      </c>
      <c r="L5535">
        <v>542.02755604501499</v>
      </c>
      <c r="M5535">
        <v>11.5668767895654</v>
      </c>
      <c r="N5535">
        <v>46.8603206708556</v>
      </c>
      <c r="O5535">
        <v>45.5253574436504</v>
      </c>
      <c r="P5535">
        <v>-6.3536504371968297E-2</v>
      </c>
      <c r="Q5535">
        <v>0</v>
      </c>
      <c r="R5535">
        <v>0.98504078110433602</v>
      </c>
      <c r="S5535" t="s">
        <v>11937</v>
      </c>
      <c r="T5535" t="s">
        <v>12802</v>
      </c>
      <c r="U5535" t="s">
        <v>12802</v>
      </c>
      <c r="V5535" t="s">
        <v>12802</v>
      </c>
      <c r="W5535" t="s">
        <v>18271</v>
      </c>
      <c r="X5535">
        <v>2</v>
      </c>
      <c r="Y5535" t="s">
        <v>24483</v>
      </c>
      <c r="Z5535" t="s">
        <v>30853</v>
      </c>
      <c r="AA5535">
        <v>0.3637458784793573</v>
      </c>
      <c r="AB5535" t="str">
        <f>HYPERLINK("Melting_Curves/meltCurve_Q9H871_RMND5A.pdf", "Melting_Curves/meltCurve_Q9H871_RMND5A.pdf")</f>
        <v>Melting_Curves/meltCurve_Q9H871_RMND5A.pdf</v>
      </c>
    </row>
    <row r="5536" spans="1:28" x14ac:dyDescent="0.25">
      <c r="A5536" t="s">
        <v>5540</v>
      </c>
      <c r="B5536">
        <v>0.99542014353169495</v>
      </c>
      <c r="C5536">
        <v>1.0049050618533</v>
      </c>
      <c r="D5536">
        <v>0.97897603385054999</v>
      </c>
      <c r="E5536">
        <v>0.82576283651826798</v>
      </c>
      <c r="F5536">
        <v>0.63593955268013602</v>
      </c>
      <c r="G5536">
        <v>0.53912481912638499</v>
      </c>
      <c r="H5536">
        <v>0.55609747501371498</v>
      </c>
      <c r="I5536">
        <v>0.54754975724443899</v>
      </c>
      <c r="J5536">
        <v>0.91729449028069199</v>
      </c>
      <c r="K5536">
        <v>1.24650308986197</v>
      </c>
      <c r="L5536">
        <v>11616.740656693801</v>
      </c>
      <c r="M5536">
        <v>250</v>
      </c>
      <c r="O5536">
        <v>46.463975808448403</v>
      </c>
      <c r="P5536">
        <v>-0.34917067990661599</v>
      </c>
      <c r="Q5536">
        <v>0.74041819761369199</v>
      </c>
      <c r="R5536">
        <v>0.237066122390786</v>
      </c>
      <c r="S5536" t="s">
        <v>11938</v>
      </c>
      <c r="T5536" t="s">
        <v>12802</v>
      </c>
      <c r="U5536" t="s">
        <v>12802</v>
      </c>
      <c r="V5536" t="s">
        <v>12802</v>
      </c>
      <c r="W5536" t="s">
        <v>18272</v>
      </c>
      <c r="X5536">
        <v>8</v>
      </c>
      <c r="Y5536" t="s">
        <v>24484</v>
      </c>
      <c r="Z5536" t="s">
        <v>30854</v>
      </c>
      <c r="AA5536">
        <v>0.82235440692326944</v>
      </c>
      <c r="AB5536" t="str">
        <f>HYPERLINK("Melting_Curves/meltCurve_Q9H875_PRKRIP1.pdf", "Melting_Curves/meltCurve_Q9H875_PRKRIP1.pdf")</f>
        <v>Melting_Curves/meltCurve_Q9H875_PRKRIP1.pdf</v>
      </c>
    </row>
    <row r="5537" spans="1:28" x14ac:dyDescent="0.25">
      <c r="A5537" t="s">
        <v>5541</v>
      </c>
      <c r="B5537">
        <v>0.99542014353169495</v>
      </c>
      <c r="C5537">
        <v>0.96957077826289095</v>
      </c>
      <c r="D5537">
        <v>0.99391861726999997</v>
      </c>
      <c r="E5537">
        <v>0.69064232704056305</v>
      </c>
      <c r="F5537">
        <v>0.71900273137059301</v>
      </c>
      <c r="G5537">
        <v>0.482068280860668</v>
      </c>
      <c r="H5537">
        <v>0.34439405885226099</v>
      </c>
      <c r="I5537">
        <v>0.27939572813608698</v>
      </c>
      <c r="J5537">
        <v>0.41323915673759898</v>
      </c>
      <c r="K5537">
        <v>0.57087310100579503</v>
      </c>
      <c r="L5537">
        <v>832.99573917408497</v>
      </c>
      <c r="M5537">
        <v>17.236136058285499</v>
      </c>
      <c r="N5537">
        <v>53.223915656442898</v>
      </c>
      <c r="O5537">
        <v>47.6919811755767</v>
      </c>
      <c r="P5537">
        <v>-5.4434201876919198E-2</v>
      </c>
      <c r="Q5537">
        <v>0.39756265999872398</v>
      </c>
      <c r="R5537">
        <v>0.87797207476210004</v>
      </c>
      <c r="S5537" t="s">
        <v>11939</v>
      </c>
      <c r="T5537" t="s">
        <v>12802</v>
      </c>
      <c r="U5537" t="s">
        <v>12802</v>
      </c>
      <c r="V5537" t="s">
        <v>12802</v>
      </c>
      <c r="W5537" t="s">
        <v>18273</v>
      </c>
      <c r="X5537">
        <v>4</v>
      </c>
      <c r="Y5537" t="s">
        <v>24485</v>
      </c>
      <c r="Z5537" t="s">
        <v>30855</v>
      </c>
      <c r="AA5537">
        <v>0.63544004629431017</v>
      </c>
      <c r="AB5537" t="str">
        <f>HYPERLINK("Melting_Curves/meltCurve_Q9H8G2_CAAP1.pdf", "Melting_Curves/meltCurve_Q9H8G2_CAAP1.pdf")</f>
        <v>Melting_Curves/meltCurve_Q9H8G2_CAAP1.pdf</v>
      </c>
    </row>
    <row r="5538" spans="1:28" x14ac:dyDescent="0.25">
      <c r="A5538" t="s">
        <v>5542</v>
      </c>
      <c r="B5538">
        <v>0.99542014353169495</v>
      </c>
      <c r="C5538">
        <v>1.0052647819104801</v>
      </c>
      <c r="D5538">
        <v>0.99491869338443395</v>
      </c>
      <c r="E5538">
        <v>1.1412147705603499</v>
      </c>
      <c r="F5538">
        <v>1.28983357734841</v>
      </c>
      <c r="G5538">
        <v>0.76866913834803796</v>
      </c>
      <c r="H5538">
        <v>0.27076233263004701</v>
      </c>
      <c r="I5538">
        <v>0.13030787854002601</v>
      </c>
      <c r="J5538">
        <v>0.142098541851812</v>
      </c>
      <c r="K5538">
        <v>0.14247112902658199</v>
      </c>
      <c r="L5538">
        <v>2752.39328642276</v>
      </c>
      <c r="M5538">
        <v>49.989143947483001</v>
      </c>
      <c r="N5538">
        <v>55.433285665707501</v>
      </c>
      <c r="O5538">
        <v>54.971921872453599</v>
      </c>
      <c r="P5538">
        <v>-0.194837298747147</v>
      </c>
      <c r="Q5538">
        <v>0.142968204910987</v>
      </c>
      <c r="R5538">
        <v>0.94341440814949695</v>
      </c>
      <c r="S5538" t="s">
        <v>11940</v>
      </c>
      <c r="T5538" t="s">
        <v>12802</v>
      </c>
      <c r="U5538" t="s">
        <v>12802</v>
      </c>
      <c r="V5538" t="s">
        <v>12802</v>
      </c>
      <c r="W5538" t="s">
        <v>18274</v>
      </c>
      <c r="X5538">
        <v>16</v>
      </c>
      <c r="Y5538" t="s">
        <v>24486</v>
      </c>
      <c r="Z5538" t="s">
        <v>30856</v>
      </c>
      <c r="AA5538">
        <v>0.66097197672571972</v>
      </c>
      <c r="AB5538" t="str">
        <f>HYPERLINK("Melting_Curves/meltCurve_Q9H8H0_NOL11.pdf", "Melting_Curves/meltCurve_Q9H8H0_NOL11.pdf")</f>
        <v>Melting_Curves/meltCurve_Q9H8H0_NOL11.pdf</v>
      </c>
    </row>
    <row r="5539" spans="1:28" x14ac:dyDescent="0.25">
      <c r="A5539" t="s">
        <v>5543</v>
      </c>
      <c r="B5539">
        <v>0.99542014353169495</v>
      </c>
      <c r="C5539">
        <v>1.08429467154521</v>
      </c>
      <c r="D5539">
        <v>1.09190940798091</v>
      </c>
      <c r="E5539">
        <v>1.16855035819366</v>
      </c>
      <c r="F5539">
        <v>0.77627166414539095</v>
      </c>
      <c r="G5539">
        <v>0.48067652948629502</v>
      </c>
      <c r="H5539">
        <v>0.264791221830257</v>
      </c>
      <c r="I5539">
        <v>0.14200413508002199</v>
      </c>
      <c r="J5539">
        <v>0.10336540625038899</v>
      </c>
      <c r="K5539">
        <v>0.12531532370152601</v>
      </c>
      <c r="L5539">
        <v>1376.3833615738499</v>
      </c>
      <c r="M5539">
        <v>25.9462626141712</v>
      </c>
      <c r="N5539">
        <v>53.607599696963</v>
      </c>
      <c r="O5539">
        <v>52.7353519186737</v>
      </c>
      <c r="P5539">
        <v>-0.108399025202295</v>
      </c>
      <c r="Q5539">
        <v>0.11873322230436099</v>
      </c>
      <c r="R5539">
        <v>0.96728757695357404</v>
      </c>
      <c r="S5539" t="s">
        <v>11941</v>
      </c>
      <c r="T5539" t="s">
        <v>12802</v>
      </c>
      <c r="U5539" t="s">
        <v>12802</v>
      </c>
      <c r="V5539" t="s">
        <v>12802</v>
      </c>
      <c r="W5539" t="s">
        <v>18275</v>
      </c>
      <c r="X5539">
        <v>2</v>
      </c>
      <c r="Y5539" t="s">
        <v>24487</v>
      </c>
      <c r="Z5539" t="s">
        <v>30857</v>
      </c>
      <c r="AA5539">
        <v>0.59743611389111984</v>
      </c>
      <c r="AB5539" t="str">
        <f>HYPERLINK("Melting_Curves/meltCurve_Q9H8K7_C10orf88.pdf", "Melting_Curves/meltCurve_Q9H8K7_C10orf88.pdf")</f>
        <v>Melting_Curves/meltCurve_Q9H8K7_C10orf88.pdf</v>
      </c>
    </row>
    <row r="5540" spans="1:28" x14ac:dyDescent="0.25">
      <c r="A5540" t="s">
        <v>5544</v>
      </c>
      <c r="B5540">
        <v>0.99542014353169495</v>
      </c>
      <c r="C5540">
        <v>1.1544259314988199</v>
      </c>
      <c r="D5540">
        <v>0.91222376492861801</v>
      </c>
      <c r="E5540">
        <v>0.57178096894928299</v>
      </c>
      <c r="F5540">
        <v>0.49030975576022201</v>
      </c>
      <c r="G5540">
        <v>0.24176125186071701</v>
      </c>
      <c r="H5540">
        <v>0.16497654158769401</v>
      </c>
      <c r="I5540">
        <v>6.4457821890467101E-2</v>
      </c>
      <c r="J5540">
        <v>6.6235402404081406E-2</v>
      </c>
      <c r="K5540">
        <v>0.25957126053399399</v>
      </c>
      <c r="L5540">
        <v>842.29407810759506</v>
      </c>
      <c r="M5540">
        <v>17.563404212856501</v>
      </c>
      <c r="N5540">
        <v>48.7702400708216</v>
      </c>
      <c r="O5540">
        <v>47.348586017037299</v>
      </c>
      <c r="P5540">
        <v>-8.0971536645609701E-2</v>
      </c>
      <c r="Q5540">
        <v>0.12689383692424999</v>
      </c>
      <c r="R5540">
        <v>0.94638204037677298</v>
      </c>
      <c r="S5540" t="s">
        <v>11942</v>
      </c>
      <c r="T5540" t="s">
        <v>12802</v>
      </c>
      <c r="U5540" t="s">
        <v>12802</v>
      </c>
      <c r="V5540" t="s">
        <v>12802</v>
      </c>
      <c r="W5540" t="s">
        <v>18276</v>
      </c>
      <c r="X5540">
        <v>1</v>
      </c>
      <c r="Y5540" t="s">
        <v>24488</v>
      </c>
      <c r="Z5540" t="s">
        <v>30858</v>
      </c>
      <c r="AA5540">
        <v>0.46038806304100199</v>
      </c>
      <c r="AB5540" t="str">
        <f>HYPERLINK("Melting_Curves/meltCurve_Q9H8M5_2_CNNM2.pdf", "Melting_Curves/meltCurve_Q9H8M5_2_CNNM2.pdf")</f>
        <v>Melting_Curves/meltCurve_Q9H8M5_2_CNNM2.pdf</v>
      </c>
    </row>
    <row r="5541" spans="1:28" x14ac:dyDescent="0.25">
      <c r="A5541" t="s">
        <v>5545</v>
      </c>
      <c r="B5541">
        <v>0.99542014353169495</v>
      </c>
      <c r="C5541">
        <v>0.97845843393841803</v>
      </c>
      <c r="D5541">
        <v>0.89728684049931395</v>
      </c>
      <c r="E5541">
        <v>0.89814285318348697</v>
      </c>
      <c r="F5541">
        <v>0.73443349858581297</v>
      </c>
      <c r="G5541">
        <v>0.430658741463809</v>
      </c>
      <c r="H5541">
        <v>8.3154399575062599E-2</v>
      </c>
      <c r="I5541">
        <v>7.0022118080819803E-2</v>
      </c>
      <c r="J5541">
        <v>7.8085361244048496E-2</v>
      </c>
      <c r="K5541">
        <v>7.7254592944521097E-2</v>
      </c>
      <c r="L5541">
        <v>1136.7043099933101</v>
      </c>
      <c r="M5541">
        <v>21.710107315654099</v>
      </c>
      <c r="N5541">
        <v>52.5529088781309</v>
      </c>
      <c r="O5541">
        <v>51.920152703375201</v>
      </c>
      <c r="P5541">
        <v>-0.10050078848164801</v>
      </c>
      <c r="Q5541">
        <v>3.8624367865292199E-2</v>
      </c>
      <c r="R5541">
        <v>0.98646769464464601</v>
      </c>
      <c r="S5541" t="s">
        <v>11943</v>
      </c>
      <c r="T5541" t="s">
        <v>12802</v>
      </c>
      <c r="U5541" t="s">
        <v>12802</v>
      </c>
      <c r="V5541" t="s">
        <v>12802</v>
      </c>
      <c r="W5541" t="s">
        <v>18277</v>
      </c>
      <c r="X5541">
        <v>4</v>
      </c>
      <c r="Y5541" t="s">
        <v>24489</v>
      </c>
      <c r="Z5541" t="s">
        <v>30859</v>
      </c>
      <c r="AA5541">
        <v>0.54162287499847106</v>
      </c>
      <c r="AB5541" t="str">
        <f>HYPERLINK("Melting_Curves/meltCurve_Q9H8M7_FAM188A.pdf", "Melting_Curves/meltCurve_Q9H8M7_FAM188A.pdf")</f>
        <v>Melting_Curves/meltCurve_Q9H8M7_FAM188A.pdf</v>
      </c>
    </row>
    <row r="5542" spans="1:28" x14ac:dyDescent="0.25">
      <c r="A5542" t="s">
        <v>5546</v>
      </c>
      <c r="B5542">
        <v>0.99542014353169495</v>
      </c>
      <c r="C5542">
        <v>0.97431704306299605</v>
      </c>
      <c r="D5542">
        <v>1.02567113322523</v>
      </c>
      <c r="E5542">
        <v>1.0275576401903701</v>
      </c>
      <c r="F5542">
        <v>0.84552144778002303</v>
      </c>
      <c r="G5542">
        <v>0.563693260430294</v>
      </c>
      <c r="H5542">
        <v>0.191376495716231</v>
      </c>
      <c r="I5542">
        <v>9.4589953311622094E-2</v>
      </c>
      <c r="J5542">
        <v>8.5406011535844401E-2</v>
      </c>
      <c r="K5542">
        <v>9.6124215500566698E-2</v>
      </c>
      <c r="L5542">
        <v>1471.32745181733</v>
      </c>
      <c r="M5542">
        <v>27.3486805548017</v>
      </c>
      <c r="N5542">
        <v>54.107055395566299</v>
      </c>
      <c r="O5542">
        <v>53.513671366073702</v>
      </c>
      <c r="P5542">
        <v>-0.11855043258480399</v>
      </c>
      <c r="Q5542">
        <v>7.2129405844460107E-2</v>
      </c>
      <c r="R5542">
        <v>0.99609889926398798</v>
      </c>
      <c r="S5542" t="s">
        <v>11944</v>
      </c>
      <c r="T5542" t="s">
        <v>12802</v>
      </c>
      <c r="U5542" t="s">
        <v>12802</v>
      </c>
      <c r="V5542" t="s">
        <v>12802</v>
      </c>
      <c r="W5542" t="s">
        <v>18278</v>
      </c>
      <c r="X5542">
        <v>7</v>
      </c>
      <c r="Y5542" t="s">
        <v>24490</v>
      </c>
      <c r="Z5542" t="s">
        <v>30860</v>
      </c>
      <c r="AA5542">
        <v>0.59868559055621262</v>
      </c>
      <c r="AB5542" t="str">
        <f>HYPERLINK("Melting_Curves/meltCurve_Q9H8S9_MOB1A.pdf", "Melting_Curves/meltCurve_Q9H8S9_MOB1A.pdf")</f>
        <v>Melting_Curves/meltCurve_Q9H8S9_MOB1A.pdf</v>
      </c>
    </row>
    <row r="5543" spans="1:28" x14ac:dyDescent="0.25">
      <c r="A5543" t="s">
        <v>5547</v>
      </c>
      <c r="B5543">
        <v>0.99542014353169495</v>
      </c>
      <c r="C5543">
        <v>1.0372430700211901</v>
      </c>
      <c r="D5543">
        <v>1.0087523650930801</v>
      </c>
      <c r="E5543">
        <v>0.87126549506130802</v>
      </c>
      <c r="F5543">
        <v>0.69847384121159595</v>
      </c>
      <c r="G5543">
        <v>0.48610982037601302</v>
      </c>
      <c r="H5543">
        <v>0.34787487912510501</v>
      </c>
      <c r="I5543">
        <v>0.29845687723272502</v>
      </c>
      <c r="J5543">
        <v>0.410329647968112</v>
      </c>
      <c r="K5543">
        <v>0.56739166930949003</v>
      </c>
      <c r="L5543">
        <v>1292.2497980288599</v>
      </c>
      <c r="M5543">
        <v>25.9593550578807</v>
      </c>
      <c r="N5543">
        <v>53.166343259076299</v>
      </c>
      <c r="O5543">
        <v>49.487148722244001</v>
      </c>
      <c r="P5543">
        <v>-7.8119897481681203E-2</v>
      </c>
      <c r="Q5543">
        <v>0.404317085464311</v>
      </c>
      <c r="R5543">
        <v>0.935078766017856</v>
      </c>
      <c r="S5543" t="s">
        <v>11945</v>
      </c>
      <c r="T5543" t="s">
        <v>12802</v>
      </c>
      <c r="U5543" t="s">
        <v>12802</v>
      </c>
      <c r="V5543" t="s">
        <v>12802</v>
      </c>
      <c r="W5543" t="s">
        <v>18279</v>
      </c>
      <c r="X5543">
        <v>5</v>
      </c>
      <c r="Y5543" t="s">
        <v>24491</v>
      </c>
      <c r="Z5543" t="s">
        <v>30861</v>
      </c>
      <c r="AA5543">
        <v>0.66290657255153984</v>
      </c>
      <c r="AB5543" t="str">
        <f>HYPERLINK("Melting_Curves/meltCurve_Q9H8U3_ZFAND3.pdf", "Melting_Curves/meltCurve_Q9H8U3_ZFAND3.pdf")</f>
        <v>Melting_Curves/meltCurve_Q9H8U3_ZFAND3.pdf</v>
      </c>
    </row>
    <row r="5544" spans="1:28" x14ac:dyDescent="0.25">
      <c r="A5544" t="s">
        <v>5548</v>
      </c>
      <c r="B5544">
        <v>0.99542014353169495</v>
      </c>
      <c r="C5544">
        <v>1.1104506365742399</v>
      </c>
      <c r="D5544">
        <v>0.90136912046322903</v>
      </c>
      <c r="E5544">
        <v>0.50119267236387799</v>
      </c>
      <c r="F5544">
        <v>0.32009767452154297</v>
      </c>
      <c r="G5544">
        <v>0.110219171999815</v>
      </c>
      <c r="H5544">
        <v>8.2842750749530306E-2</v>
      </c>
      <c r="I5544">
        <v>6.7352768598708201E-2</v>
      </c>
      <c r="J5544">
        <v>2.1779279086828598E-2</v>
      </c>
      <c r="K5544">
        <v>2.8268916569244001E-2</v>
      </c>
      <c r="L5544">
        <v>953.046720504257</v>
      </c>
      <c r="M5544">
        <v>20.2506459189139</v>
      </c>
      <c r="N5544">
        <v>47.284056922833599</v>
      </c>
      <c r="O5544">
        <v>46.610812499290098</v>
      </c>
      <c r="P5544">
        <v>-0.103703339443137</v>
      </c>
      <c r="Q5544">
        <v>4.5255710118563497E-2</v>
      </c>
      <c r="R5544">
        <v>0.98277323862251897</v>
      </c>
      <c r="S5544" t="s">
        <v>11946</v>
      </c>
      <c r="T5544" t="s">
        <v>12802</v>
      </c>
      <c r="U5544" t="s">
        <v>12802</v>
      </c>
      <c r="V5544" t="s">
        <v>12802</v>
      </c>
      <c r="W5544" t="s">
        <v>18280</v>
      </c>
      <c r="X5544">
        <v>6</v>
      </c>
      <c r="Y5544" t="s">
        <v>24492</v>
      </c>
      <c r="Z5544" t="s">
        <v>30862</v>
      </c>
      <c r="AA5544">
        <v>0.37769476732184509</v>
      </c>
      <c r="AB5544" t="str">
        <f>HYPERLINK("Melting_Curves/meltCurve_Q9H8W4_PLEKHF2.pdf", "Melting_Curves/meltCurve_Q9H8W4_PLEKHF2.pdf")</f>
        <v>Melting_Curves/meltCurve_Q9H8W4_PLEKHF2.pdf</v>
      </c>
    </row>
    <row r="5545" spans="1:28" x14ac:dyDescent="0.25">
      <c r="A5545" t="s">
        <v>5549</v>
      </c>
      <c r="B5545">
        <v>0.99542014353169495</v>
      </c>
      <c r="C5545">
        <v>0.96079341441338395</v>
      </c>
      <c r="D5545">
        <v>0.82532432818346801</v>
      </c>
      <c r="E5545">
        <v>0.52328733157015705</v>
      </c>
      <c r="F5545">
        <v>0.25141176567127999</v>
      </c>
      <c r="G5545">
        <v>0.14490722765037001</v>
      </c>
      <c r="H5545">
        <v>0.10614296629655801</v>
      </c>
      <c r="I5545">
        <v>8.7935465243271602E-2</v>
      </c>
      <c r="J5545">
        <v>6.7914794786444896E-2</v>
      </c>
      <c r="K5545">
        <v>7.74627972695211E-2</v>
      </c>
      <c r="L5545">
        <v>862.35939252976004</v>
      </c>
      <c r="M5545">
        <v>18.5763704768504</v>
      </c>
      <c r="N5545">
        <v>46.823776324747399</v>
      </c>
      <c r="O5545">
        <v>45.8944685837333</v>
      </c>
      <c r="P5545">
        <v>-9.3746576228497705E-2</v>
      </c>
      <c r="Q5545">
        <v>7.3605885965319001E-2</v>
      </c>
      <c r="R5545">
        <v>0.99979919469276202</v>
      </c>
      <c r="S5545" t="s">
        <v>11947</v>
      </c>
      <c r="T5545" t="s">
        <v>12802</v>
      </c>
      <c r="U5545" t="s">
        <v>12802</v>
      </c>
      <c r="V5545" t="s">
        <v>12802</v>
      </c>
      <c r="W5545" t="s">
        <v>18281</v>
      </c>
      <c r="X5545">
        <v>9</v>
      </c>
      <c r="Y5545" t="s">
        <v>24493</v>
      </c>
      <c r="Z5545" t="s">
        <v>30863</v>
      </c>
      <c r="AA5545">
        <v>0.37859233209599308</v>
      </c>
      <c r="AB5545" t="str">
        <f>HYPERLINK("Melting_Curves/meltCurve_Q9H8Y5_ANKZF1.pdf", "Melting_Curves/meltCurve_Q9H8Y5_ANKZF1.pdf")</f>
        <v>Melting_Curves/meltCurve_Q9H8Y5_ANKZF1.pdf</v>
      </c>
    </row>
    <row r="5546" spans="1:28" x14ac:dyDescent="0.25">
      <c r="A5546" t="s">
        <v>5550</v>
      </c>
      <c r="B5546">
        <v>0.99542014353169495</v>
      </c>
      <c r="C5546">
        <v>0.95630983058567798</v>
      </c>
      <c r="D5546">
        <v>0.96191191955336397</v>
      </c>
      <c r="E5546">
        <v>0.67571002628116394</v>
      </c>
      <c r="F5546">
        <v>0.344188244048026</v>
      </c>
      <c r="G5546">
        <v>0.15830810159300901</v>
      </c>
      <c r="H5546">
        <v>6.4683164263176093E-2</v>
      </c>
      <c r="I5546">
        <v>4.2219054235921698E-2</v>
      </c>
      <c r="J5546">
        <v>4.6783988174964902E-2</v>
      </c>
      <c r="K5546">
        <v>5.4227325838887001E-2</v>
      </c>
      <c r="L5546">
        <v>992.19414287746201</v>
      </c>
      <c r="M5546">
        <v>20.548822964878699</v>
      </c>
      <c r="N5546">
        <v>48.484435259896401</v>
      </c>
      <c r="O5546">
        <v>47.834413905064601</v>
      </c>
      <c r="P5546">
        <v>-0.103040527404239</v>
      </c>
      <c r="Q5546">
        <v>4.0579811149401998E-2</v>
      </c>
      <c r="R5546">
        <v>0.99821031232886903</v>
      </c>
      <c r="S5546" t="s">
        <v>11948</v>
      </c>
      <c r="T5546" t="s">
        <v>12802</v>
      </c>
      <c r="U5546" t="s">
        <v>12802</v>
      </c>
      <c r="V5546" t="s">
        <v>12802</v>
      </c>
      <c r="W5546" t="s">
        <v>18282</v>
      </c>
      <c r="X5546">
        <v>10</v>
      </c>
      <c r="Y5546" t="s">
        <v>24494</v>
      </c>
      <c r="Z5546" t="s">
        <v>30864</v>
      </c>
      <c r="AA5546">
        <v>0.41346422323751209</v>
      </c>
      <c r="AB5546" t="str">
        <f>HYPERLINK("Melting_Curves/meltCurve_Q9H8Y8_GORASP2.pdf", "Melting_Curves/meltCurve_Q9H8Y8_GORASP2.pdf")</f>
        <v>Melting_Curves/meltCurve_Q9H8Y8_GORASP2.pdf</v>
      </c>
    </row>
    <row r="5547" spans="1:28" x14ac:dyDescent="0.25">
      <c r="A5547" t="s">
        <v>5551</v>
      </c>
      <c r="B5547">
        <v>0.99542014353169495</v>
      </c>
      <c r="C5547">
        <v>0.87867716753535796</v>
      </c>
      <c r="D5547">
        <v>0.90279177333336202</v>
      </c>
      <c r="E5547">
        <v>0.63762879216705803</v>
      </c>
      <c r="F5547">
        <v>0.27585857535766101</v>
      </c>
      <c r="G5547">
        <v>0.237397561085365</v>
      </c>
      <c r="H5547">
        <v>8.0712093684830899E-2</v>
      </c>
      <c r="I5547">
        <v>4.9013354348220198E-2</v>
      </c>
      <c r="J5547">
        <v>4.5842361339917301E-2</v>
      </c>
      <c r="K5547">
        <v>4.9538736893418901E-2</v>
      </c>
      <c r="L5547">
        <v>777.24088775571795</v>
      </c>
      <c r="M5547">
        <v>16.263028310546598</v>
      </c>
      <c r="N5547">
        <v>48.006988522013202</v>
      </c>
      <c r="O5547">
        <v>47.086802772960802</v>
      </c>
      <c r="P5547">
        <v>-8.3318242687022606E-2</v>
      </c>
      <c r="Q5547">
        <v>3.5136267446179599E-2</v>
      </c>
      <c r="R5547">
        <v>0.987288287963064</v>
      </c>
      <c r="S5547" t="s">
        <v>11949</v>
      </c>
      <c r="T5547" t="s">
        <v>12802</v>
      </c>
      <c r="U5547" t="s">
        <v>12802</v>
      </c>
      <c r="V5547" t="s">
        <v>12802</v>
      </c>
      <c r="W5547" t="s">
        <v>18283</v>
      </c>
      <c r="X5547">
        <v>4</v>
      </c>
      <c r="Y5547" t="s">
        <v>24495</v>
      </c>
      <c r="Z5547" t="s">
        <v>30865</v>
      </c>
      <c r="AA5547">
        <v>0.4007737078315039</v>
      </c>
      <c r="AB5547" t="str">
        <f>HYPERLINK("Melting_Curves/meltCurve_Q9H900_ZWILCH.pdf", "Melting_Curves/meltCurve_Q9H900_ZWILCH.pdf")</f>
        <v>Melting_Curves/meltCurve_Q9H900_ZWILCH.pdf</v>
      </c>
    </row>
    <row r="5548" spans="1:28" x14ac:dyDescent="0.25">
      <c r="A5548" t="s">
        <v>5552</v>
      </c>
      <c r="B5548">
        <v>0.99542014353169495</v>
      </c>
      <c r="C5548">
        <v>1.0624322643280499</v>
      </c>
      <c r="D5548">
        <v>0.95617035267211603</v>
      </c>
      <c r="E5548">
        <v>0.95005044236689995</v>
      </c>
      <c r="F5548">
        <v>0.82815672331318502</v>
      </c>
      <c r="G5548">
        <v>0.71138811212849495</v>
      </c>
      <c r="H5548">
        <v>0.58727027551011601</v>
      </c>
      <c r="I5548">
        <v>0.55175159587775102</v>
      </c>
      <c r="J5548">
        <v>0.88603855781430696</v>
      </c>
      <c r="K5548">
        <v>1.1126704772056899</v>
      </c>
      <c r="L5548">
        <v>1933.4628472485299</v>
      </c>
      <c r="M5548">
        <v>40.084586246576201</v>
      </c>
      <c r="O5548">
        <v>48.114992420531998</v>
      </c>
      <c r="P5548">
        <v>-4.7518460411553803E-2</v>
      </c>
      <c r="Q5548">
        <v>0.77184791059678304</v>
      </c>
      <c r="R5548">
        <v>0.33444067227331697</v>
      </c>
      <c r="S5548" t="s">
        <v>11950</v>
      </c>
      <c r="T5548" t="s">
        <v>12802</v>
      </c>
      <c r="U5548" t="s">
        <v>12802</v>
      </c>
      <c r="V5548" t="s">
        <v>12802</v>
      </c>
      <c r="W5548" t="s">
        <v>18284</v>
      </c>
      <c r="X5548">
        <v>19</v>
      </c>
      <c r="Y5548" t="s">
        <v>19167</v>
      </c>
      <c r="Z5548" t="s">
        <v>30866</v>
      </c>
      <c r="AA5548">
        <v>0.85804505153524302</v>
      </c>
      <c r="AB5548" t="str">
        <f>HYPERLINK("Melting_Curves/meltCurve_Q9H910_2_HN1L.pdf", "Melting_Curves/meltCurve_Q9H910_2_HN1L.pdf")</f>
        <v>Melting_Curves/meltCurve_Q9H910_2_HN1L.pdf</v>
      </c>
    </row>
    <row r="5549" spans="1:28" x14ac:dyDescent="0.25">
      <c r="A5549" t="s">
        <v>5553</v>
      </c>
      <c r="B5549">
        <v>0.99542014353169495</v>
      </c>
      <c r="C5549">
        <v>0.97329190323279902</v>
      </c>
      <c r="D5549">
        <v>0.89872308160023295</v>
      </c>
      <c r="E5549">
        <v>0.64546612148677296</v>
      </c>
      <c r="F5549">
        <v>0.40343031755327002</v>
      </c>
      <c r="G5549">
        <v>0.25784632043870798</v>
      </c>
      <c r="H5549">
        <v>0.17319223438435699</v>
      </c>
      <c r="I5549">
        <v>0.13221013499429801</v>
      </c>
      <c r="J5549">
        <v>0.19058979352834499</v>
      </c>
      <c r="K5549">
        <v>0.141948075195651</v>
      </c>
      <c r="L5549">
        <v>831.39052521637097</v>
      </c>
      <c r="M5549">
        <v>17.432720169941501</v>
      </c>
      <c r="N5549">
        <v>48.633207051769197</v>
      </c>
      <c r="O5549">
        <v>47.077088819742997</v>
      </c>
      <c r="P5549">
        <v>-7.9317697197208603E-2</v>
      </c>
      <c r="Q5549">
        <v>0.14325768255622001</v>
      </c>
      <c r="R5549">
        <v>0.99751864777058896</v>
      </c>
      <c r="S5549" t="s">
        <v>11951</v>
      </c>
      <c r="T5549" t="s">
        <v>12802</v>
      </c>
      <c r="U5549" t="s">
        <v>12802</v>
      </c>
      <c r="V5549" t="s">
        <v>12802</v>
      </c>
      <c r="W5549" t="s">
        <v>18285</v>
      </c>
      <c r="X5549">
        <v>8</v>
      </c>
      <c r="Y5549" t="s">
        <v>24496</v>
      </c>
      <c r="Z5549" t="s">
        <v>30867</v>
      </c>
      <c r="AA5549">
        <v>0.46312828756358498</v>
      </c>
      <c r="AB5549" t="str">
        <f>HYPERLINK("Melting_Curves/meltCurve_Q9H936_SLC25A22.pdf", "Melting_Curves/meltCurve_Q9H936_SLC25A22.pdf")</f>
        <v>Melting_Curves/meltCurve_Q9H936_SLC25A22.pdf</v>
      </c>
    </row>
    <row r="5550" spans="1:28" x14ac:dyDescent="0.25">
      <c r="A5550" t="s">
        <v>5554</v>
      </c>
      <c r="B5550">
        <v>0.99542014353169495</v>
      </c>
      <c r="C5550">
        <v>0.96557031055670195</v>
      </c>
      <c r="D5550">
        <v>0.916432622015523</v>
      </c>
      <c r="E5550">
        <v>0.50327393518509</v>
      </c>
      <c r="F5550">
        <v>0.27032450557888599</v>
      </c>
      <c r="G5550">
        <v>0.116623450736003</v>
      </c>
      <c r="H5550">
        <v>7.6594504170125796E-2</v>
      </c>
      <c r="I5550">
        <v>5.6475089241801502E-2</v>
      </c>
      <c r="J5550">
        <v>4.2104306249814802E-2</v>
      </c>
      <c r="K5550">
        <v>3.5138565479122898E-2</v>
      </c>
      <c r="L5550">
        <v>966.18429372958497</v>
      </c>
      <c r="M5550">
        <v>20.635352388585801</v>
      </c>
      <c r="N5550">
        <v>47.053845041412799</v>
      </c>
      <c r="O5550">
        <v>46.388732445536903</v>
      </c>
      <c r="P5550">
        <v>-0.105831783770822</v>
      </c>
      <c r="Q5550">
        <v>4.8378532049044999E-2</v>
      </c>
      <c r="R5550">
        <v>0.99625020621980298</v>
      </c>
      <c r="S5550" t="s">
        <v>11952</v>
      </c>
      <c r="T5550" t="s">
        <v>12802</v>
      </c>
      <c r="U5550" t="s">
        <v>12802</v>
      </c>
      <c r="V5550" t="s">
        <v>12802</v>
      </c>
      <c r="W5550" t="s">
        <v>18286</v>
      </c>
      <c r="X5550">
        <v>11</v>
      </c>
      <c r="Y5550" t="s">
        <v>24497</v>
      </c>
      <c r="Z5550" t="s">
        <v>30868</v>
      </c>
      <c r="AA5550">
        <v>0.37163904952418297</v>
      </c>
      <c r="AB5550" t="str">
        <f>HYPERLINK("Melting_Curves/meltCurve_Q9H939_PSTPIP2.pdf", "Melting_Curves/meltCurve_Q9H939_PSTPIP2.pdf")</f>
        <v>Melting_Curves/meltCurve_Q9H939_PSTPIP2.pdf</v>
      </c>
    </row>
    <row r="5551" spans="1:28" x14ac:dyDescent="0.25">
      <c r="A5551" t="s">
        <v>5555</v>
      </c>
      <c r="B5551">
        <v>0.99542014353169495</v>
      </c>
      <c r="C5551">
        <v>1.0016086730301099</v>
      </c>
      <c r="D5551">
        <v>0.90224680904702004</v>
      </c>
      <c r="E5551">
        <v>0.82927438720159197</v>
      </c>
      <c r="F5551">
        <v>0.59022870501565805</v>
      </c>
      <c r="G5551">
        <v>0.42665143223483198</v>
      </c>
      <c r="H5551">
        <v>0.22012112234120201</v>
      </c>
      <c r="I5551">
        <v>7.75392553377659E-2</v>
      </c>
      <c r="J5551">
        <v>4.5765297938227999E-2</v>
      </c>
      <c r="K5551">
        <v>4.8320293743042399E-2</v>
      </c>
      <c r="L5551">
        <v>701.79098809182597</v>
      </c>
      <c r="M5551">
        <v>13.525840115409</v>
      </c>
      <c r="N5551">
        <v>51.885212523934499</v>
      </c>
      <c r="O5551">
        <v>50.790437006364797</v>
      </c>
      <c r="P5551">
        <v>-6.6586755321391702E-2</v>
      </c>
      <c r="Q5551">
        <v>0</v>
      </c>
      <c r="R5551">
        <v>0.995382967426655</v>
      </c>
      <c r="S5551" t="s">
        <v>11953</v>
      </c>
      <c r="T5551" t="s">
        <v>12802</v>
      </c>
      <c r="U5551" t="s">
        <v>12802</v>
      </c>
      <c r="V5551" t="s">
        <v>12802</v>
      </c>
      <c r="W5551" t="s">
        <v>18287</v>
      </c>
      <c r="X5551">
        <v>7</v>
      </c>
      <c r="Y5551" t="s">
        <v>24498</v>
      </c>
      <c r="Z5551" t="s">
        <v>30869</v>
      </c>
      <c r="AA5551">
        <v>0.51773366268192822</v>
      </c>
      <c r="AB5551" t="str">
        <f>HYPERLINK("Melting_Curves/meltCurve_Q9H944_MED20.pdf", "Melting_Curves/meltCurve_Q9H944_MED20.pdf")</f>
        <v>Melting_Curves/meltCurve_Q9H944_MED20.pdf</v>
      </c>
    </row>
    <row r="5552" spans="1:28" x14ac:dyDescent="0.25">
      <c r="A5552" t="s">
        <v>5556</v>
      </c>
      <c r="B5552">
        <v>0.99542014353169495</v>
      </c>
      <c r="C5552">
        <v>0.95979222933916297</v>
      </c>
      <c r="D5552">
        <v>0.92254662261105302</v>
      </c>
      <c r="E5552">
        <v>0.81765923092272796</v>
      </c>
      <c r="F5552">
        <v>0.712931935251783</v>
      </c>
      <c r="G5552">
        <v>0.525878553410151</v>
      </c>
      <c r="H5552">
        <v>0.248145507756454</v>
      </c>
      <c r="I5552">
        <v>9.2920967835629698E-2</v>
      </c>
      <c r="J5552">
        <v>0.115901213682065</v>
      </c>
      <c r="K5552">
        <v>0.314519543810869</v>
      </c>
      <c r="L5552">
        <v>812.49235930398504</v>
      </c>
      <c r="M5552">
        <v>15.632029384389</v>
      </c>
      <c r="N5552">
        <v>53.013367247166599</v>
      </c>
      <c r="O5552">
        <v>51.147824337651201</v>
      </c>
      <c r="P5552">
        <v>-6.6345048717033894E-2</v>
      </c>
      <c r="Q5552">
        <v>0.13175362419734199</v>
      </c>
      <c r="R5552">
        <v>0.95033652602765495</v>
      </c>
      <c r="S5552" t="s">
        <v>11954</v>
      </c>
      <c r="T5552" t="s">
        <v>12802</v>
      </c>
      <c r="U5552" t="s">
        <v>12802</v>
      </c>
      <c r="V5552" t="s">
        <v>12802</v>
      </c>
      <c r="W5552" t="s">
        <v>18288</v>
      </c>
      <c r="X5552">
        <v>12</v>
      </c>
      <c r="Y5552" t="s">
        <v>24499</v>
      </c>
      <c r="Z5552" t="s">
        <v>30870</v>
      </c>
      <c r="AA5552">
        <v>0.58102746974616548</v>
      </c>
      <c r="AB5552" t="str">
        <f>HYPERLINK("Melting_Curves/meltCurve_Q9H974_QTRTD1.pdf", "Melting_Curves/meltCurve_Q9H974_QTRTD1.pdf")</f>
        <v>Melting_Curves/meltCurve_Q9H974_QTRTD1.pdf</v>
      </c>
    </row>
    <row r="5553" spans="1:28" x14ac:dyDescent="0.25">
      <c r="A5553" t="s">
        <v>5557</v>
      </c>
      <c r="B5553">
        <v>0.99542014353169495</v>
      </c>
      <c r="C5553">
        <v>0.92186968251915002</v>
      </c>
      <c r="D5553">
        <v>0.954664701636873</v>
      </c>
      <c r="E5553">
        <v>0.76497688444659395</v>
      </c>
      <c r="F5553">
        <v>0.58876107646370401</v>
      </c>
      <c r="G5553">
        <v>0.36064305292875798</v>
      </c>
      <c r="H5553">
        <v>0.198484788843482</v>
      </c>
      <c r="I5553">
        <v>0.17163023099566899</v>
      </c>
      <c r="J5553">
        <v>0.19015702425773801</v>
      </c>
      <c r="K5553">
        <v>0.13384657522538601</v>
      </c>
      <c r="L5553">
        <v>742.05127440240801</v>
      </c>
      <c r="M5553">
        <v>14.7772929275392</v>
      </c>
      <c r="N5553">
        <v>51.151856814449097</v>
      </c>
      <c r="O5553">
        <v>49.322940101315197</v>
      </c>
      <c r="P5553">
        <v>-6.6033028172476194E-2</v>
      </c>
      <c r="Q5553">
        <v>0.118486925045585</v>
      </c>
      <c r="R5553">
        <v>0.99268426885759797</v>
      </c>
      <c r="S5553" t="s">
        <v>11955</v>
      </c>
      <c r="T5553" t="s">
        <v>12802</v>
      </c>
      <c r="U5553" t="s">
        <v>12802</v>
      </c>
      <c r="V5553" t="s">
        <v>12802</v>
      </c>
      <c r="W5553" t="s">
        <v>18289</v>
      </c>
      <c r="X5553">
        <v>3</v>
      </c>
      <c r="Y5553" t="s">
        <v>24500</v>
      </c>
      <c r="Z5553" t="s">
        <v>30871</v>
      </c>
      <c r="AA5553">
        <v>0.52549552316901638</v>
      </c>
      <c r="AB5553" t="str">
        <f>HYPERLINK("Melting_Curves/meltCurve_Q9H981_ACTR8.pdf", "Melting_Curves/meltCurve_Q9H981_ACTR8.pdf")</f>
        <v>Melting_Curves/meltCurve_Q9H981_ACTR8.pdf</v>
      </c>
    </row>
    <row r="5554" spans="1:28" x14ac:dyDescent="0.25">
      <c r="A5554" t="s">
        <v>5558</v>
      </c>
      <c r="B5554">
        <v>0.99542014353169495</v>
      </c>
      <c r="C5554">
        <v>1.0996035226726999</v>
      </c>
      <c r="D5554">
        <v>0.90307787591292898</v>
      </c>
      <c r="E5554">
        <v>0.50454645968775502</v>
      </c>
      <c r="F5554">
        <v>7.3968420673402993E-2</v>
      </c>
      <c r="G5554">
        <v>6.7480052778694399E-2</v>
      </c>
      <c r="H5554">
        <v>2.9009215345054799E-2</v>
      </c>
      <c r="I5554">
        <v>2.1623741228764998E-2</v>
      </c>
      <c r="J5554">
        <v>3.04056899603974E-2</v>
      </c>
      <c r="K5554">
        <v>2.2356397848526399E-2</v>
      </c>
      <c r="L5554">
        <v>1551.43373050123</v>
      </c>
      <c r="M5554">
        <v>33.386426848358703</v>
      </c>
      <c r="N5554">
        <v>46.547701078684398</v>
      </c>
      <c r="O5554">
        <v>46.303229239553303</v>
      </c>
      <c r="P5554">
        <v>-0.17531344699186299</v>
      </c>
      <c r="Q5554">
        <v>2.74437830539895E-2</v>
      </c>
      <c r="R5554">
        <v>0.99257014062979099</v>
      </c>
      <c r="S5554" t="s">
        <v>11956</v>
      </c>
      <c r="T5554" t="s">
        <v>12802</v>
      </c>
      <c r="U5554" t="s">
        <v>12802</v>
      </c>
      <c r="V5554" t="s">
        <v>12802</v>
      </c>
      <c r="W5554" t="s">
        <v>18290</v>
      </c>
      <c r="X5554">
        <v>8</v>
      </c>
      <c r="Y5554" t="s">
        <v>24501</v>
      </c>
      <c r="Z5554" t="s">
        <v>30872</v>
      </c>
      <c r="AA5554">
        <v>0.33891942067902592</v>
      </c>
      <c r="AB5554" t="str">
        <f>HYPERLINK("Melting_Curves/meltCurve_Q9H993_C6orf211.pdf", "Melting_Curves/meltCurve_Q9H993_C6orf211.pdf")</f>
        <v>Melting_Curves/meltCurve_Q9H993_C6orf211.pdf</v>
      </c>
    </row>
    <row r="5555" spans="1:28" x14ac:dyDescent="0.25">
      <c r="A5555" t="s">
        <v>5559</v>
      </c>
      <c r="B5555">
        <v>0.99542014353169495</v>
      </c>
      <c r="C5555">
        <v>1.0828236280733901</v>
      </c>
      <c r="D5555">
        <v>0.84755894940065601</v>
      </c>
      <c r="E5555">
        <v>0.83418686759224703</v>
      </c>
      <c r="F5555">
        <v>0.58403218918362698</v>
      </c>
      <c r="G5555">
        <v>0.33981752685372402</v>
      </c>
      <c r="H5555">
        <v>9.1652545878211297E-2</v>
      </c>
      <c r="I5555">
        <v>8.3413650172589907E-2</v>
      </c>
      <c r="J5555">
        <v>2.7044639141302999E-2</v>
      </c>
      <c r="K5555">
        <v>5.67636178602033E-2</v>
      </c>
      <c r="L5555">
        <v>805.76942763848297</v>
      </c>
      <c r="M5555">
        <v>15.762990449067599</v>
      </c>
      <c r="N5555">
        <v>51.121988207175299</v>
      </c>
      <c r="O5555">
        <v>50.316305614531302</v>
      </c>
      <c r="P5555">
        <v>-7.8275495295016304E-2</v>
      </c>
      <c r="Q5555">
        <v>6.4489414515147398E-4</v>
      </c>
      <c r="R5555">
        <v>0.98402943967558698</v>
      </c>
      <c r="S5555" t="s">
        <v>11957</v>
      </c>
      <c r="T5555" t="s">
        <v>12802</v>
      </c>
      <c r="U5555" t="s">
        <v>12802</v>
      </c>
      <c r="V5555" t="s">
        <v>12802</v>
      </c>
      <c r="W5555" t="s">
        <v>18291</v>
      </c>
      <c r="X5555">
        <v>4</v>
      </c>
      <c r="Y5555" t="s">
        <v>24502</v>
      </c>
      <c r="Z5555" t="s">
        <v>30873</v>
      </c>
      <c r="AA5555">
        <v>0.48967423808580679</v>
      </c>
      <c r="AB5555" t="str">
        <f>HYPERLINK("Melting_Curves/meltCurve_Q9H999_PANK3.pdf", "Melting_Curves/meltCurve_Q9H999_PANK3.pdf")</f>
        <v>Melting_Curves/meltCurve_Q9H999_PANK3.pdf</v>
      </c>
    </row>
    <row r="5556" spans="1:28" x14ac:dyDescent="0.25">
      <c r="A5556" t="s">
        <v>5560</v>
      </c>
      <c r="B5556">
        <v>0.99542014353169495</v>
      </c>
      <c r="C5556">
        <v>0.79635708389357096</v>
      </c>
      <c r="D5556">
        <v>0.86242579260437602</v>
      </c>
      <c r="E5556">
        <v>0.56869028525283905</v>
      </c>
      <c r="F5556">
        <v>0.28691624539383898</v>
      </c>
      <c r="G5556">
        <v>8.8009655438937504E-2</v>
      </c>
      <c r="H5556">
        <v>4.9414404910802102E-2</v>
      </c>
      <c r="I5556">
        <v>4.0071824885489597E-2</v>
      </c>
      <c r="J5556">
        <v>4.03998364897604E-2</v>
      </c>
      <c r="K5556">
        <v>5.10191438275404E-2</v>
      </c>
      <c r="L5556">
        <v>727.92357926267198</v>
      </c>
      <c r="M5556">
        <v>15.459084900610099</v>
      </c>
      <c r="N5556">
        <v>47.149782414471602</v>
      </c>
      <c r="O5556">
        <v>46.320285324231399</v>
      </c>
      <c r="P5556">
        <v>-8.2594862674001901E-2</v>
      </c>
      <c r="Q5556">
        <v>1.0168009821139599E-2</v>
      </c>
      <c r="R5556">
        <v>0.979413338631695</v>
      </c>
      <c r="S5556" t="s">
        <v>11958</v>
      </c>
      <c r="T5556" t="s">
        <v>12802</v>
      </c>
      <c r="U5556" t="s">
        <v>12802</v>
      </c>
      <c r="V5556" t="s">
        <v>12802</v>
      </c>
      <c r="W5556" t="s">
        <v>18292</v>
      </c>
      <c r="X5556">
        <v>5</v>
      </c>
      <c r="Y5556" t="s">
        <v>24503</v>
      </c>
      <c r="Z5556" t="s">
        <v>30874</v>
      </c>
      <c r="AA5556">
        <v>0.36405560093087203</v>
      </c>
      <c r="AB5556" t="str">
        <f>HYPERLINK("Melting_Curves/meltCurve_Q9H9A5_2_CNOT10.pdf", "Melting_Curves/meltCurve_Q9H9A5_2_CNOT10.pdf")</f>
        <v>Melting_Curves/meltCurve_Q9H9A5_2_CNOT10.pdf</v>
      </c>
    </row>
    <row r="5557" spans="1:28" x14ac:dyDescent="0.25">
      <c r="A5557" t="s">
        <v>5561</v>
      </c>
      <c r="B5557">
        <v>0.99542014353169495</v>
      </c>
      <c r="C5557">
        <v>1.0180258474785899</v>
      </c>
      <c r="D5557">
        <v>0.91478795111955702</v>
      </c>
      <c r="E5557">
        <v>0.69863651945000305</v>
      </c>
      <c r="F5557">
        <v>0.15831538400769199</v>
      </c>
      <c r="G5557">
        <v>8.6815684693627895E-2</v>
      </c>
      <c r="H5557">
        <v>5.95433286067205E-2</v>
      </c>
      <c r="I5557">
        <v>3.5963203822777602E-2</v>
      </c>
      <c r="J5557">
        <v>4.1980749264551198E-2</v>
      </c>
      <c r="K5557">
        <v>5.5663672904443399E-2</v>
      </c>
      <c r="L5557">
        <v>1650.7612289763299</v>
      </c>
      <c r="M5557">
        <v>34.731866351305698</v>
      </c>
      <c r="N5557">
        <v>47.671130011825703</v>
      </c>
      <c r="O5557">
        <v>47.371986188138301</v>
      </c>
      <c r="P5557">
        <v>-0.17426034448053901</v>
      </c>
      <c r="Q5557">
        <v>4.9284761382331801E-2</v>
      </c>
      <c r="R5557">
        <v>0.99677947485124896</v>
      </c>
      <c r="S5557" t="s">
        <v>11959</v>
      </c>
      <c r="T5557" t="s">
        <v>12802</v>
      </c>
      <c r="U5557" t="s">
        <v>12802</v>
      </c>
      <c r="V5557" t="s">
        <v>12802</v>
      </c>
      <c r="W5557" t="s">
        <v>18293</v>
      </c>
      <c r="X5557">
        <v>22</v>
      </c>
      <c r="Y5557" t="s">
        <v>24504</v>
      </c>
      <c r="Z5557" t="s">
        <v>30875</v>
      </c>
      <c r="AA5557">
        <v>0.38709882335584977</v>
      </c>
      <c r="AB5557" t="str">
        <f>HYPERLINK("Melting_Curves/meltCurve_Q9H9A6_LRRC40.pdf", "Melting_Curves/meltCurve_Q9H9A6_LRRC40.pdf")</f>
        <v>Melting_Curves/meltCurve_Q9H9A6_LRRC40.pdf</v>
      </c>
    </row>
    <row r="5558" spans="1:28" x14ac:dyDescent="0.25">
      <c r="A5558" t="s">
        <v>5562</v>
      </c>
      <c r="B5558">
        <v>0.99542014353169495</v>
      </c>
      <c r="C5558">
        <v>0.86072920232184802</v>
      </c>
      <c r="D5558">
        <v>0.759287614606037</v>
      </c>
      <c r="E5558">
        <v>0.41943430426043399</v>
      </c>
      <c r="F5558">
        <v>0.121594548153748</v>
      </c>
      <c r="G5558">
        <v>8.5864622575728994E-2</v>
      </c>
      <c r="H5558">
        <v>4.01817976646296E-2</v>
      </c>
      <c r="I5558">
        <v>3.3493939345079903E-2</v>
      </c>
      <c r="J5558">
        <v>3.5829734771486398E-2</v>
      </c>
      <c r="K5558">
        <v>2.6337199390195E-2</v>
      </c>
      <c r="L5558">
        <v>817.90842434849901</v>
      </c>
      <c r="M5558">
        <v>18.020935944876001</v>
      </c>
      <c r="N5558">
        <v>45.491429188001</v>
      </c>
      <c r="O5558">
        <v>44.838752710200303</v>
      </c>
      <c r="P5558">
        <v>-9.8437046161226005E-2</v>
      </c>
      <c r="Q5558">
        <v>2.0344443697269898E-2</v>
      </c>
      <c r="R5558">
        <v>0.99447237895960905</v>
      </c>
      <c r="S5558" t="s">
        <v>11960</v>
      </c>
      <c r="T5558" t="s">
        <v>12802</v>
      </c>
      <c r="U5558" t="s">
        <v>12802</v>
      </c>
      <c r="V5558" t="s">
        <v>12802</v>
      </c>
      <c r="W5558" t="s">
        <v>18294</v>
      </c>
      <c r="X5558">
        <v>9</v>
      </c>
      <c r="Y5558" t="s">
        <v>24505</v>
      </c>
      <c r="Z5558" t="s">
        <v>30876</v>
      </c>
      <c r="AA5558">
        <v>0.31012127981198628</v>
      </c>
      <c r="AB5558" t="str">
        <f>HYPERLINK("Melting_Curves/meltCurve_Q9H9B1_EHMT1.pdf", "Melting_Curves/meltCurve_Q9H9B1_EHMT1.pdf")</f>
        <v>Melting_Curves/meltCurve_Q9H9B1_EHMT1.pdf</v>
      </c>
    </row>
    <row r="5559" spans="1:28" x14ac:dyDescent="0.25">
      <c r="A5559" t="s">
        <v>5563</v>
      </c>
      <c r="B5559">
        <v>0.99542014353169495</v>
      </c>
      <c r="C5559">
        <v>0.96243219753481402</v>
      </c>
      <c r="D5559">
        <v>0.935259801193425</v>
      </c>
      <c r="E5559">
        <v>0.77823950669896103</v>
      </c>
      <c r="F5559">
        <v>0.76882514431182103</v>
      </c>
      <c r="G5559">
        <v>0.47763105966757102</v>
      </c>
      <c r="H5559">
        <v>0.19940412228108301</v>
      </c>
      <c r="I5559">
        <v>8.9887534290642002E-2</v>
      </c>
      <c r="J5559">
        <v>8.67193485211772E-2</v>
      </c>
      <c r="K5559">
        <v>9.9738347287893298E-2</v>
      </c>
      <c r="L5559">
        <v>753.01769903206502</v>
      </c>
      <c r="M5559">
        <v>14.211237689324999</v>
      </c>
      <c r="N5559">
        <v>53.005591773988698</v>
      </c>
      <c r="O5559">
        <v>51.971380579968901</v>
      </c>
      <c r="P5559">
        <v>-6.8203863811676396E-2</v>
      </c>
      <c r="Q5559">
        <v>2.4212276541062398E-3</v>
      </c>
      <c r="R5559">
        <v>0.98114566747181198</v>
      </c>
      <c r="S5559" t="s">
        <v>11961</v>
      </c>
      <c r="T5559" t="s">
        <v>12802</v>
      </c>
      <c r="U5559" t="s">
        <v>12802</v>
      </c>
      <c r="V5559" t="s">
        <v>12802</v>
      </c>
      <c r="W5559" t="s">
        <v>18295</v>
      </c>
      <c r="X5559">
        <v>15</v>
      </c>
      <c r="Y5559" t="s">
        <v>24506</v>
      </c>
      <c r="Z5559" t="s">
        <v>30877</v>
      </c>
      <c r="AA5559">
        <v>0.55277105225115786</v>
      </c>
      <c r="AB5559" t="str">
        <f>HYPERLINK("Melting_Curves/meltCurve_Q9H9B4_SFXN1.pdf", "Melting_Curves/meltCurve_Q9H9B4_SFXN1.pdf")</f>
        <v>Melting_Curves/meltCurve_Q9H9B4_SFXN1.pdf</v>
      </c>
    </row>
    <row r="5560" spans="1:28" x14ac:dyDescent="0.25">
      <c r="A5560" t="s">
        <v>5564</v>
      </c>
      <c r="B5560">
        <v>0.99542014353169495</v>
      </c>
      <c r="C5560">
        <v>0.97421311911197295</v>
      </c>
      <c r="D5560">
        <v>0.86045407474890001</v>
      </c>
      <c r="E5560">
        <v>0.37099456269552999</v>
      </c>
      <c r="F5560">
        <v>0.18429975356436901</v>
      </c>
      <c r="G5560">
        <v>0.104964405318749</v>
      </c>
      <c r="H5560">
        <v>8.6139230178500795E-2</v>
      </c>
      <c r="I5560">
        <v>6.4898876369532801E-2</v>
      </c>
      <c r="J5560">
        <v>5.6189500859558802E-2</v>
      </c>
      <c r="K5560">
        <v>2.8869683222556501E-2</v>
      </c>
      <c r="L5560">
        <v>1191.60443784222</v>
      </c>
      <c r="M5560">
        <v>26.161248954344298</v>
      </c>
      <c r="N5560">
        <v>45.804624301687703</v>
      </c>
      <c r="O5560">
        <v>45.284792196831098</v>
      </c>
      <c r="P5560">
        <v>-0.1345986495016</v>
      </c>
      <c r="Q5560">
        <v>6.8055778278410195E-2</v>
      </c>
      <c r="R5560">
        <v>0.99637598382562897</v>
      </c>
      <c r="S5560" t="s">
        <v>11962</v>
      </c>
      <c r="T5560" t="s">
        <v>12802</v>
      </c>
      <c r="U5560" t="s">
        <v>12802</v>
      </c>
      <c r="V5560" t="s">
        <v>12802</v>
      </c>
      <c r="W5560" t="s">
        <v>18296</v>
      </c>
      <c r="X5560">
        <v>6</v>
      </c>
      <c r="Y5560" t="s">
        <v>24507</v>
      </c>
      <c r="Z5560" t="s">
        <v>30878</v>
      </c>
      <c r="AA5560">
        <v>0.340606576967599</v>
      </c>
      <c r="AB5560" t="str">
        <f>HYPERLINK("Melting_Curves/meltCurve_Q9H9F9_ACTR5.pdf", "Melting_Curves/meltCurve_Q9H9F9_ACTR5.pdf")</f>
        <v>Melting_Curves/meltCurve_Q9H9F9_ACTR5.pdf</v>
      </c>
    </row>
    <row r="5561" spans="1:28" x14ac:dyDescent="0.25">
      <c r="A5561" t="s">
        <v>5565</v>
      </c>
      <c r="B5561">
        <v>0.99542014353169495</v>
      </c>
      <c r="C5561">
        <v>1.0109251000513799</v>
      </c>
      <c r="D5561">
        <v>0.92860597207092399</v>
      </c>
      <c r="E5561">
        <v>0.75089065319842097</v>
      </c>
      <c r="F5561">
        <v>0.30703118055977802</v>
      </c>
      <c r="G5561">
        <v>0.15296410928322199</v>
      </c>
      <c r="H5561">
        <v>8.0480257211867398E-2</v>
      </c>
      <c r="I5561">
        <v>6.6877469479989599E-2</v>
      </c>
      <c r="J5561">
        <v>5.30866377213235E-2</v>
      </c>
      <c r="K5561">
        <v>5.0524696208412302E-2</v>
      </c>
      <c r="L5561">
        <v>1189.77580075018</v>
      </c>
      <c r="M5561">
        <v>24.610944051341502</v>
      </c>
      <c r="N5561">
        <v>48.588113129439002</v>
      </c>
      <c r="O5561">
        <v>48.027576513666197</v>
      </c>
      <c r="P5561">
        <v>-0.12064245021077501</v>
      </c>
      <c r="Q5561">
        <v>5.8291868933178101E-2</v>
      </c>
      <c r="R5561">
        <v>0.99839677639489799</v>
      </c>
      <c r="S5561" t="s">
        <v>11963</v>
      </c>
      <c r="T5561" t="s">
        <v>12802</v>
      </c>
      <c r="U5561" t="s">
        <v>12802</v>
      </c>
      <c r="V5561" t="s">
        <v>12802</v>
      </c>
      <c r="W5561" t="s">
        <v>18297</v>
      </c>
      <c r="X5561">
        <v>5</v>
      </c>
      <c r="Y5561" t="s">
        <v>24508</v>
      </c>
      <c r="Z5561" t="s">
        <v>30879</v>
      </c>
      <c r="AA5561">
        <v>0.42268005168864498</v>
      </c>
      <c r="AB5561" t="str">
        <f>HYPERLINK("Melting_Curves/meltCurve_Q9H9H4_VPS37B.pdf", "Melting_Curves/meltCurve_Q9H9H4_VPS37B.pdf")</f>
        <v>Melting_Curves/meltCurve_Q9H9H4_VPS37B.pdf</v>
      </c>
    </row>
    <row r="5562" spans="1:28" x14ac:dyDescent="0.25">
      <c r="A5562" t="s">
        <v>5566</v>
      </c>
      <c r="B5562">
        <v>0.99542014353169495</v>
      </c>
      <c r="C5562">
        <v>0.88000866949525802</v>
      </c>
      <c r="D5562">
        <v>0.92484952573253798</v>
      </c>
      <c r="E5562">
        <v>0.77117251865900005</v>
      </c>
      <c r="F5562">
        <v>0.632699157629938</v>
      </c>
      <c r="G5562">
        <v>0.34188965757469603</v>
      </c>
      <c r="H5562">
        <v>0.45488075950393903</v>
      </c>
      <c r="I5562">
        <v>0.39949019742008601</v>
      </c>
      <c r="J5562">
        <v>0.173573651857275</v>
      </c>
      <c r="K5562">
        <v>0.17777178328308499</v>
      </c>
      <c r="L5562">
        <v>442.01837397543801</v>
      </c>
      <c r="M5562">
        <v>8.4616023186116998</v>
      </c>
      <c r="N5562">
        <v>53.327041480204201</v>
      </c>
      <c r="O5562">
        <v>49.565331683474597</v>
      </c>
      <c r="P5562">
        <v>-3.9328952149769399E-2</v>
      </c>
      <c r="Q5562">
        <v>7.9338652541835697E-2</v>
      </c>
      <c r="R5562">
        <v>0.94047847125886996</v>
      </c>
      <c r="S5562" t="s">
        <v>11964</v>
      </c>
      <c r="T5562" t="s">
        <v>12802</v>
      </c>
      <c r="U5562" t="s">
        <v>12802</v>
      </c>
      <c r="V5562" t="s">
        <v>12802</v>
      </c>
      <c r="W5562" t="s">
        <v>16768</v>
      </c>
      <c r="X5562">
        <v>7</v>
      </c>
      <c r="Y5562" t="s">
        <v>22997</v>
      </c>
      <c r="Z5562" t="s">
        <v>30880</v>
      </c>
      <c r="AA5562">
        <v>0.57171573197535852</v>
      </c>
      <c r="AB5562" t="str">
        <f>HYPERLINK("Melting_Curves/meltCurve_Q9H9M6_DARS2.pdf", "Melting_Curves/meltCurve_Q9H9M6_DARS2.pdf")</f>
        <v>Melting_Curves/meltCurve_Q9H9M6_DARS2.pdf</v>
      </c>
    </row>
    <row r="5563" spans="1:28" x14ac:dyDescent="0.25">
      <c r="A5563" t="s">
        <v>5567</v>
      </c>
      <c r="B5563">
        <v>0.99542014353169495</v>
      </c>
      <c r="C5563">
        <v>0.95733420686594595</v>
      </c>
      <c r="D5563">
        <v>0.86663137754380104</v>
      </c>
      <c r="E5563">
        <v>0.78707207076249996</v>
      </c>
      <c r="F5563">
        <v>0.47346535775495502</v>
      </c>
      <c r="G5563">
        <v>0.28844097973632798</v>
      </c>
      <c r="H5563">
        <v>0.13052665222457399</v>
      </c>
      <c r="I5563">
        <v>7.7201559897044303E-2</v>
      </c>
      <c r="J5563">
        <v>6.4190197744352501E-2</v>
      </c>
      <c r="K5563">
        <v>4.9209055917233201E-2</v>
      </c>
      <c r="L5563">
        <v>717.25697281477301</v>
      </c>
      <c r="M5563">
        <v>14.352425389355099</v>
      </c>
      <c r="N5563">
        <v>50.0870001395025</v>
      </c>
      <c r="O5563">
        <v>49.034482055131697</v>
      </c>
      <c r="P5563">
        <v>-7.2024538944859301E-2</v>
      </c>
      <c r="Q5563">
        <v>1.58424977591957E-2</v>
      </c>
      <c r="R5563">
        <v>0.99620558095210199</v>
      </c>
      <c r="S5563" t="s">
        <v>11965</v>
      </c>
      <c r="T5563" t="s">
        <v>12802</v>
      </c>
      <c r="U5563" t="s">
        <v>12802</v>
      </c>
      <c r="V5563" t="s">
        <v>12802</v>
      </c>
      <c r="W5563" t="s">
        <v>18298</v>
      </c>
      <c r="X5563">
        <v>7</v>
      </c>
      <c r="Y5563" t="s">
        <v>24509</v>
      </c>
      <c r="Z5563" t="s">
        <v>30881</v>
      </c>
      <c r="AA5563">
        <v>0.46340112475491241</v>
      </c>
      <c r="AB5563" t="str">
        <f>HYPERLINK("Melting_Curves/meltCurve_Q9H9P8_L2HGDH.pdf", "Melting_Curves/meltCurve_Q9H9P8_L2HGDH.pdf")</f>
        <v>Melting_Curves/meltCurve_Q9H9P8_L2HGDH.pdf</v>
      </c>
    </row>
    <row r="5564" spans="1:28" x14ac:dyDescent="0.25">
      <c r="A5564" t="s">
        <v>5568</v>
      </c>
      <c r="B5564">
        <v>0.99542014353169495</v>
      </c>
      <c r="C5564">
        <v>0.85643781151593701</v>
      </c>
      <c r="D5564">
        <v>0.87948207995429695</v>
      </c>
      <c r="E5564">
        <v>0.65548421247214705</v>
      </c>
      <c r="F5564">
        <v>0.49036980619111697</v>
      </c>
      <c r="G5564">
        <v>0.247518356044064</v>
      </c>
      <c r="H5564">
        <v>0.16623823100663099</v>
      </c>
      <c r="I5564">
        <v>8.14012670313842E-2</v>
      </c>
      <c r="J5564">
        <v>7.4622560147123998E-2</v>
      </c>
      <c r="K5564">
        <v>8.7295954560589195E-2</v>
      </c>
      <c r="L5564">
        <v>576.24946448799403</v>
      </c>
      <c r="M5564">
        <v>11.7066727338209</v>
      </c>
      <c r="N5564">
        <v>49.339335103643897</v>
      </c>
      <c r="O5564">
        <v>47.8534981555812</v>
      </c>
      <c r="P5564">
        <v>-6.0349576604242103E-2</v>
      </c>
      <c r="Q5564">
        <v>1.3495145389025E-2</v>
      </c>
      <c r="R5564">
        <v>0.98969137616098701</v>
      </c>
      <c r="S5564" t="s">
        <v>11966</v>
      </c>
      <c r="T5564" t="s">
        <v>12802</v>
      </c>
      <c r="U5564" t="s">
        <v>12802</v>
      </c>
      <c r="V5564" t="s">
        <v>12802</v>
      </c>
      <c r="W5564" t="s">
        <v>18299</v>
      </c>
      <c r="X5564">
        <v>13</v>
      </c>
      <c r="Y5564" t="s">
        <v>24510</v>
      </c>
      <c r="Z5564" t="s">
        <v>30882</v>
      </c>
      <c r="AA5564">
        <v>0.44534489806869942</v>
      </c>
      <c r="AB5564" t="str">
        <f>HYPERLINK("Melting_Curves/meltCurve_Q9H9T3_2_ELP3.pdf", "Melting_Curves/meltCurve_Q9H9T3_2_ELP3.pdf")</f>
        <v>Melting_Curves/meltCurve_Q9H9T3_2_ELP3.pdf</v>
      </c>
    </row>
    <row r="5565" spans="1:28" x14ac:dyDescent="0.25">
      <c r="A5565" t="s">
        <v>5569</v>
      </c>
      <c r="B5565">
        <v>0.99542014353169495</v>
      </c>
      <c r="C5565">
        <v>0.97057759818832001</v>
      </c>
      <c r="D5565">
        <v>0.86866515494683505</v>
      </c>
      <c r="E5565">
        <v>0.55271090246226895</v>
      </c>
      <c r="F5565">
        <v>0.39781904381684502</v>
      </c>
      <c r="G5565">
        <v>0.30363101709465401</v>
      </c>
      <c r="H5565">
        <v>0.363436898713064</v>
      </c>
      <c r="I5565">
        <v>0.135347177183332</v>
      </c>
      <c r="J5565">
        <v>6.7672957082963794E-2</v>
      </c>
      <c r="K5565">
        <v>8.4714905518841102E-2</v>
      </c>
      <c r="L5565">
        <v>549.30079963099695</v>
      </c>
      <c r="M5565">
        <v>11.388811659521201</v>
      </c>
      <c r="N5565">
        <v>48.9511386759727</v>
      </c>
      <c r="O5565">
        <v>46.816387681486603</v>
      </c>
      <c r="P5565">
        <v>-5.6145821558019303E-2</v>
      </c>
      <c r="Q5565">
        <v>7.7069985019748294E-2</v>
      </c>
      <c r="R5565">
        <v>0.96279214953043402</v>
      </c>
      <c r="S5565" t="s">
        <v>11967</v>
      </c>
      <c r="T5565" t="s">
        <v>12802</v>
      </c>
      <c r="U5565" t="s">
        <v>12802</v>
      </c>
      <c r="V5565" t="s">
        <v>12802</v>
      </c>
      <c r="W5565" t="s">
        <v>18300</v>
      </c>
      <c r="X5565">
        <v>4</v>
      </c>
      <c r="Y5565" t="s">
        <v>24511</v>
      </c>
      <c r="Z5565" t="s">
        <v>30883</v>
      </c>
      <c r="AA5565">
        <v>0.45334059401951182</v>
      </c>
      <c r="AB5565" t="str">
        <f>HYPERLINK("Melting_Curves/meltCurve_Q9H9V9_2_JMJD4.pdf", "Melting_Curves/meltCurve_Q9H9V9_2_JMJD4.pdf")</f>
        <v>Melting_Curves/meltCurve_Q9H9V9_2_JMJD4.pdf</v>
      </c>
    </row>
    <row r="5566" spans="1:28" x14ac:dyDescent="0.25">
      <c r="A5566" t="s">
        <v>5570</v>
      </c>
      <c r="B5566">
        <v>0.99542014353169495</v>
      </c>
      <c r="C5566">
        <v>0.91614704683626402</v>
      </c>
      <c r="D5566">
        <v>0.806136015035403</v>
      </c>
      <c r="E5566">
        <v>0.79385814255215603</v>
      </c>
      <c r="F5566">
        <v>0.88467866093197001</v>
      </c>
      <c r="G5566">
        <v>0.77563025427668197</v>
      </c>
      <c r="H5566">
        <v>0.56784807184865704</v>
      </c>
      <c r="I5566">
        <v>0.47884761864117198</v>
      </c>
      <c r="J5566">
        <v>0.72121979734548503</v>
      </c>
      <c r="K5566">
        <v>0.36435336072476998</v>
      </c>
      <c r="L5566">
        <v>267.34049826523898</v>
      </c>
      <c r="M5566">
        <v>4.0812994710580597</v>
      </c>
      <c r="N5566">
        <v>65.503771035318906</v>
      </c>
      <c r="O5566">
        <v>54.115755179988703</v>
      </c>
      <c r="P5566">
        <v>-1.9081642533866398E-2</v>
      </c>
      <c r="Q5566">
        <v>0</v>
      </c>
      <c r="R5566">
        <v>0.74054266953537395</v>
      </c>
      <c r="S5566" t="s">
        <v>11968</v>
      </c>
      <c r="T5566" t="s">
        <v>12802</v>
      </c>
      <c r="U5566" t="s">
        <v>12802</v>
      </c>
      <c r="V5566" t="s">
        <v>12802</v>
      </c>
      <c r="W5566" t="s">
        <v>18301</v>
      </c>
      <c r="X5566">
        <v>1</v>
      </c>
      <c r="Y5566" t="s">
        <v>24512</v>
      </c>
      <c r="Z5566" t="s">
        <v>30884</v>
      </c>
      <c r="AA5566">
        <v>0.73486497039263521</v>
      </c>
      <c r="AB5566" t="str">
        <f>HYPERLINK("Melting_Curves/meltCurve_Q9H9Y4_GPN2.pdf", "Melting_Curves/meltCurve_Q9H9Y4_GPN2.pdf")</f>
        <v>Melting_Curves/meltCurve_Q9H9Y4_GPN2.pdf</v>
      </c>
    </row>
    <row r="5567" spans="1:28" x14ac:dyDescent="0.25">
      <c r="A5567" t="s">
        <v>5571</v>
      </c>
      <c r="B5567">
        <v>0.99542014353169495</v>
      </c>
      <c r="C5567">
        <v>0.81881148689765404</v>
      </c>
      <c r="D5567">
        <v>0.83926236685787403</v>
      </c>
      <c r="E5567">
        <v>0.30438247637065702</v>
      </c>
      <c r="F5567">
        <v>0.16662962844674201</v>
      </c>
      <c r="G5567">
        <v>7.3566785821172695E-2</v>
      </c>
      <c r="H5567">
        <v>5.3623417353016699E-2</v>
      </c>
      <c r="I5567">
        <v>3.8548844748405899E-2</v>
      </c>
      <c r="J5567">
        <v>4.0582887329476701E-2</v>
      </c>
      <c r="K5567">
        <v>3.2474336472582799E-2</v>
      </c>
      <c r="L5567">
        <v>985.51101095547097</v>
      </c>
      <c r="M5567">
        <v>21.845398326260899</v>
      </c>
      <c r="N5567">
        <v>45.288409415579899</v>
      </c>
      <c r="O5567">
        <v>44.740062834008398</v>
      </c>
      <c r="P5567">
        <v>-0.11711924062253</v>
      </c>
      <c r="Q5567">
        <v>4.0566787020397302E-2</v>
      </c>
      <c r="R5567">
        <v>0.97964808925225</v>
      </c>
      <c r="S5567" t="s">
        <v>11969</v>
      </c>
      <c r="T5567" t="s">
        <v>12802</v>
      </c>
      <c r="U5567" t="s">
        <v>12802</v>
      </c>
      <c r="V5567" t="s">
        <v>12802</v>
      </c>
      <c r="W5567" t="s">
        <v>18302</v>
      </c>
      <c r="X5567">
        <v>7</v>
      </c>
      <c r="Y5567" t="s">
        <v>24513</v>
      </c>
      <c r="Z5567" t="s">
        <v>30885</v>
      </c>
      <c r="AA5567">
        <v>0.31049118354807548</v>
      </c>
      <c r="AB5567" t="str">
        <f>HYPERLINK("Melting_Curves/meltCurve_Q9H9Y6_POLR1B.pdf", "Melting_Curves/meltCurve_Q9H9Y6_POLR1B.pdf")</f>
        <v>Melting_Curves/meltCurve_Q9H9Y6_POLR1B.pdf</v>
      </c>
    </row>
    <row r="5568" spans="1:28" x14ac:dyDescent="0.25">
      <c r="A5568" t="s">
        <v>5572</v>
      </c>
      <c r="B5568">
        <v>0.99542014353169495</v>
      </c>
      <c r="C5568">
        <v>1.0561076357837</v>
      </c>
      <c r="D5568">
        <v>0.94956215657360599</v>
      </c>
      <c r="E5568">
        <v>0.87503403928480294</v>
      </c>
      <c r="F5568">
        <v>0.75695339503455705</v>
      </c>
      <c r="G5568">
        <v>0.6154944709265</v>
      </c>
      <c r="H5568">
        <v>0.41679101557178999</v>
      </c>
      <c r="I5568">
        <v>0.32049461840478599</v>
      </c>
      <c r="J5568">
        <v>0.327067276147613</v>
      </c>
      <c r="K5568">
        <v>0.29920917199557001</v>
      </c>
      <c r="L5568">
        <v>729.52917179111705</v>
      </c>
      <c r="M5568">
        <v>13.795835960576101</v>
      </c>
      <c r="N5568">
        <v>55.653675638372597</v>
      </c>
      <c r="O5568">
        <v>51.806458732064399</v>
      </c>
      <c r="P5568">
        <v>-5.0032369168308999E-2</v>
      </c>
      <c r="Q5568">
        <v>0.24857447227223001</v>
      </c>
      <c r="R5568">
        <v>0.99002983363205999</v>
      </c>
      <c r="S5568" t="s">
        <v>11970</v>
      </c>
      <c r="T5568" t="s">
        <v>12802</v>
      </c>
      <c r="U5568" t="s">
        <v>12802</v>
      </c>
      <c r="V5568" t="s">
        <v>12802</v>
      </c>
      <c r="W5568" t="s">
        <v>18303</v>
      </c>
      <c r="X5568">
        <v>6</v>
      </c>
      <c r="Y5568" t="s">
        <v>24514</v>
      </c>
      <c r="Z5568" t="s">
        <v>30886</v>
      </c>
      <c r="AA5568">
        <v>0.66094893152127354</v>
      </c>
      <c r="AB5568" t="str">
        <f>HYPERLINK("Melting_Curves/meltCurve_Q9HA47_3_UCK1.pdf", "Melting_Curves/meltCurve_Q9HA47_3_UCK1.pdf")</f>
        <v>Melting_Curves/meltCurve_Q9HA47_3_UCK1.pdf</v>
      </c>
    </row>
    <row r="5569" spans="1:28" x14ac:dyDescent="0.25">
      <c r="A5569" t="s">
        <v>5573</v>
      </c>
      <c r="B5569">
        <v>0.99542014353169495</v>
      </c>
      <c r="C5569">
        <v>1.0783342213039699</v>
      </c>
      <c r="D5569">
        <v>0.98681487470081797</v>
      </c>
      <c r="E5569">
        <v>0.93382388572332298</v>
      </c>
      <c r="F5569">
        <v>0.80852482992661301</v>
      </c>
      <c r="G5569">
        <v>0.64977881797343295</v>
      </c>
      <c r="H5569">
        <v>0.47051504535847299</v>
      </c>
      <c r="I5569">
        <v>0.37353183539478302</v>
      </c>
      <c r="J5569">
        <v>0.53217475612843901</v>
      </c>
      <c r="K5569">
        <v>0.37693973663698199</v>
      </c>
      <c r="L5569">
        <v>1032.2843916623999</v>
      </c>
      <c r="M5569">
        <v>19.771405664364298</v>
      </c>
      <c r="N5569">
        <v>57.117104167898802</v>
      </c>
      <c r="O5569">
        <v>51.6856360298639</v>
      </c>
      <c r="P5569">
        <v>-5.6568681734820998E-2</v>
      </c>
      <c r="Q5569">
        <v>0.40850133128739802</v>
      </c>
      <c r="R5569">
        <v>0.961129402113297</v>
      </c>
      <c r="S5569" t="s">
        <v>11971</v>
      </c>
      <c r="T5569" t="s">
        <v>12802</v>
      </c>
      <c r="U5569" t="s">
        <v>12802</v>
      </c>
      <c r="V5569" t="s">
        <v>12802</v>
      </c>
      <c r="W5569" t="s">
        <v>18304</v>
      </c>
      <c r="X5569">
        <v>8</v>
      </c>
      <c r="Y5569" t="s">
        <v>24515</v>
      </c>
      <c r="Z5569" t="s">
        <v>30887</v>
      </c>
      <c r="AA5569">
        <v>0.71615252804020202</v>
      </c>
      <c r="AB5569" t="str">
        <f>HYPERLINK("Melting_Curves/meltCurve_Q9HA64_FN3KRP.pdf", "Melting_Curves/meltCurve_Q9HA64_FN3KRP.pdf")</f>
        <v>Melting_Curves/meltCurve_Q9HA64_FN3KRP.pdf</v>
      </c>
    </row>
    <row r="5570" spans="1:28" x14ac:dyDescent="0.25">
      <c r="A5570" t="s">
        <v>5574</v>
      </c>
      <c r="B5570">
        <v>0.99542014353169495</v>
      </c>
      <c r="C5570">
        <v>0.95970634137072097</v>
      </c>
      <c r="D5570">
        <v>0.91777251741170796</v>
      </c>
      <c r="E5570">
        <v>0.671501603350244</v>
      </c>
      <c r="F5570">
        <v>0.29710942705361898</v>
      </c>
      <c r="G5570">
        <v>0.120752132621648</v>
      </c>
      <c r="H5570">
        <v>6.60007734948833E-2</v>
      </c>
      <c r="I5570">
        <v>4.8259086422054197E-2</v>
      </c>
      <c r="J5570">
        <v>5.8584522390405902E-2</v>
      </c>
      <c r="K5570">
        <v>4.2105244383490399E-2</v>
      </c>
      <c r="L5570">
        <v>1038.0384073436301</v>
      </c>
      <c r="M5570">
        <v>21.668863735431799</v>
      </c>
      <c r="N5570">
        <v>48.101865624957398</v>
      </c>
      <c r="O5570">
        <v>47.502202218888698</v>
      </c>
      <c r="P5570">
        <v>-0.109195652189174</v>
      </c>
      <c r="Q5570">
        <v>4.2513368881071198E-2</v>
      </c>
      <c r="R5570">
        <v>0.99927474538341698</v>
      </c>
      <c r="S5570" t="s">
        <v>11972</v>
      </c>
      <c r="T5570" t="s">
        <v>12802</v>
      </c>
      <c r="U5570" t="s">
        <v>12802</v>
      </c>
      <c r="V5570" t="s">
        <v>12802</v>
      </c>
      <c r="W5570" t="s">
        <v>18305</v>
      </c>
      <c r="X5570">
        <v>4</v>
      </c>
      <c r="Y5570" t="s">
        <v>24516</v>
      </c>
      <c r="Z5570" t="s">
        <v>30888</v>
      </c>
      <c r="AA5570">
        <v>0.40133174887008199</v>
      </c>
      <c r="AB5570" t="str">
        <f>HYPERLINK("Melting_Curves/meltCurve_Q9HA65_TBC1D17.pdf", "Melting_Curves/meltCurve_Q9HA65_TBC1D17.pdf")</f>
        <v>Melting_Curves/meltCurve_Q9HA65_TBC1D17.pdf</v>
      </c>
    </row>
    <row r="5571" spans="1:28" x14ac:dyDescent="0.25">
      <c r="A5571" t="s">
        <v>5575</v>
      </c>
      <c r="B5571">
        <v>0.99542014353169495</v>
      </c>
      <c r="C5571">
        <v>1.0315232009617801</v>
      </c>
      <c r="D5571">
        <v>0.94932846989636999</v>
      </c>
      <c r="E5571">
        <v>0.84126969665782103</v>
      </c>
      <c r="F5571">
        <v>0.66607820761235903</v>
      </c>
      <c r="G5571">
        <v>0.48134870523673201</v>
      </c>
      <c r="H5571">
        <v>0.25833526489558101</v>
      </c>
      <c r="I5571">
        <v>0.14336610141095901</v>
      </c>
      <c r="J5571">
        <v>0.16110784814756601</v>
      </c>
      <c r="K5571">
        <v>0.18170705884279501</v>
      </c>
      <c r="L5571">
        <v>784.41687278852305</v>
      </c>
      <c r="M5571">
        <v>15.1156223106469</v>
      </c>
      <c r="N5571">
        <v>52.774809131055299</v>
      </c>
      <c r="O5571">
        <v>51.011587826718397</v>
      </c>
      <c r="P5571">
        <v>-6.5830783084891306E-2</v>
      </c>
      <c r="Q5571">
        <v>0.111434902001132</v>
      </c>
      <c r="R5571">
        <v>0.99255572982394003</v>
      </c>
      <c r="S5571" t="s">
        <v>11973</v>
      </c>
      <c r="T5571" t="s">
        <v>12802</v>
      </c>
      <c r="U5571" t="s">
        <v>12802</v>
      </c>
      <c r="V5571" t="s">
        <v>12802</v>
      </c>
      <c r="W5571" t="s">
        <v>18306</v>
      </c>
      <c r="X5571">
        <v>5</v>
      </c>
      <c r="Y5571" t="s">
        <v>24517</v>
      </c>
      <c r="Z5571" t="s">
        <v>30889</v>
      </c>
      <c r="AA5571">
        <v>0.56954512046476047</v>
      </c>
      <c r="AB5571" t="str">
        <f>HYPERLINK("Melting_Curves/meltCurve_Q9HA77_CARS2.pdf", "Melting_Curves/meltCurve_Q9HA77_CARS2.pdf")</f>
        <v>Melting_Curves/meltCurve_Q9HA77_CARS2.pdf</v>
      </c>
    </row>
    <row r="5572" spans="1:28" x14ac:dyDescent="0.25">
      <c r="A5572" t="s">
        <v>5576</v>
      </c>
      <c r="B5572">
        <v>0.99542014353169495</v>
      </c>
      <c r="C5572">
        <v>0.96744136796959002</v>
      </c>
      <c r="D5572">
        <v>0.86703193813422796</v>
      </c>
      <c r="E5572">
        <v>0.75029842629945298</v>
      </c>
      <c r="F5572">
        <v>0.66578038862762401</v>
      </c>
      <c r="G5572">
        <v>0.49846388099788702</v>
      </c>
      <c r="H5572">
        <v>0.207285289400989</v>
      </c>
      <c r="I5572">
        <v>7.4799144247574501E-2</v>
      </c>
      <c r="J5572">
        <v>4.2891803643230503E-2</v>
      </c>
      <c r="K5572">
        <v>4.2908760411625897E-2</v>
      </c>
      <c r="L5572">
        <v>660.70219675667295</v>
      </c>
      <c r="M5572">
        <v>12.6614748061378</v>
      </c>
      <c r="N5572">
        <v>52.182088330907497</v>
      </c>
      <c r="O5572">
        <v>50.931763486636598</v>
      </c>
      <c r="P5572">
        <v>-6.2161378056038399E-2</v>
      </c>
      <c r="Q5572">
        <v>0</v>
      </c>
      <c r="R5572">
        <v>0.97985573350883504</v>
      </c>
      <c r="S5572" t="s">
        <v>11974</v>
      </c>
      <c r="T5572" t="s">
        <v>12802</v>
      </c>
      <c r="U5572" t="s">
        <v>12802</v>
      </c>
      <c r="V5572" t="s">
        <v>12802</v>
      </c>
      <c r="W5572" t="s">
        <v>18307</v>
      </c>
      <c r="X5572">
        <v>6</v>
      </c>
      <c r="Y5572" t="s">
        <v>24518</v>
      </c>
      <c r="Z5572" t="s">
        <v>30890</v>
      </c>
      <c r="AA5572">
        <v>0.52840606975615279</v>
      </c>
      <c r="AB5572" t="str">
        <f>HYPERLINK("Melting_Curves/meltCurve_Q9HAB8_PPCS.pdf", "Melting_Curves/meltCurve_Q9HAB8_PPCS.pdf")</f>
        <v>Melting_Curves/meltCurve_Q9HAB8_PPCS.pdf</v>
      </c>
    </row>
    <row r="5573" spans="1:28" x14ac:dyDescent="0.25">
      <c r="A5573" t="s">
        <v>5577</v>
      </c>
      <c r="B5573">
        <v>0.99542014353169495</v>
      </c>
      <c r="C5573">
        <v>0.81739338966491604</v>
      </c>
      <c r="D5573">
        <v>0.79621847040922999</v>
      </c>
      <c r="E5573">
        <v>0.43092620693602002</v>
      </c>
      <c r="F5573">
        <v>0.23730373622199699</v>
      </c>
      <c r="G5573">
        <v>0.100296277355079</v>
      </c>
      <c r="H5573">
        <v>9.2339628594042794E-2</v>
      </c>
      <c r="I5573">
        <v>6.0600118167553202E-2</v>
      </c>
      <c r="J5573">
        <v>5.98189145391528E-2</v>
      </c>
      <c r="K5573">
        <v>8.2936801445270006E-2</v>
      </c>
      <c r="L5573">
        <v>718.04661616380099</v>
      </c>
      <c r="M5573">
        <v>15.7483952864145</v>
      </c>
      <c r="N5573">
        <v>45.907740925924102</v>
      </c>
      <c r="O5573">
        <v>44.878715057324897</v>
      </c>
      <c r="P5573">
        <v>-8.3270982524644599E-2</v>
      </c>
      <c r="Q5573">
        <v>5.08790969239898E-2</v>
      </c>
      <c r="R5573">
        <v>0.98818534179978001</v>
      </c>
      <c r="S5573" t="s">
        <v>11975</v>
      </c>
      <c r="T5573" t="s">
        <v>12802</v>
      </c>
      <c r="U5573" t="s">
        <v>12802</v>
      </c>
      <c r="V5573" t="s">
        <v>12802</v>
      </c>
      <c r="W5573" t="s">
        <v>18308</v>
      </c>
      <c r="X5573">
        <v>1</v>
      </c>
      <c r="Y5573" t="s">
        <v>24519</v>
      </c>
      <c r="Z5573" t="s">
        <v>30891</v>
      </c>
      <c r="AA5573">
        <v>0.34293252085405668</v>
      </c>
      <c r="AB5573" t="str">
        <f>HYPERLINK("Melting_Curves/meltCurve_Q9HAJ7_SAP30L.pdf", "Melting_Curves/meltCurve_Q9HAJ7_SAP30L.pdf")</f>
        <v>Melting_Curves/meltCurve_Q9HAJ7_SAP30L.pdf</v>
      </c>
    </row>
    <row r="5574" spans="1:28" x14ac:dyDescent="0.25">
      <c r="A5574" t="s">
        <v>5578</v>
      </c>
      <c r="B5574">
        <v>0.99542014353169495</v>
      </c>
      <c r="C5574">
        <v>0.94720609683504098</v>
      </c>
      <c r="D5574">
        <v>0.89148606104152295</v>
      </c>
      <c r="E5574">
        <v>0.79388178787062602</v>
      </c>
      <c r="F5574">
        <v>0.67090341988534496</v>
      </c>
      <c r="G5574">
        <v>0.40991143756548898</v>
      </c>
      <c r="H5574">
        <v>0.24169509593645999</v>
      </c>
      <c r="I5574">
        <v>0.194803774687798</v>
      </c>
      <c r="J5574">
        <v>0.23362795101666201</v>
      </c>
      <c r="K5574">
        <v>0.291691787157418</v>
      </c>
      <c r="L5574">
        <v>765.52557420086498</v>
      </c>
      <c r="M5574">
        <v>15.225152682471601</v>
      </c>
      <c r="N5574">
        <v>51.9932861796309</v>
      </c>
      <c r="O5574">
        <v>49.436833631150002</v>
      </c>
      <c r="P5574">
        <v>-6.1814181047153603E-2</v>
      </c>
      <c r="Q5574">
        <v>0.19722133531413499</v>
      </c>
      <c r="R5574">
        <v>0.97717086612549497</v>
      </c>
      <c r="S5574" t="s">
        <v>11976</v>
      </c>
      <c r="T5574" t="s">
        <v>12802</v>
      </c>
      <c r="U5574" t="s">
        <v>12802</v>
      </c>
      <c r="V5574" t="s">
        <v>12802</v>
      </c>
      <c r="W5574" t="s">
        <v>18309</v>
      </c>
      <c r="X5574">
        <v>6</v>
      </c>
      <c r="Y5574" t="s">
        <v>24520</v>
      </c>
      <c r="Z5574" t="s">
        <v>30892</v>
      </c>
      <c r="AA5574">
        <v>0.56886776715101395</v>
      </c>
      <c r="AB5574" t="str">
        <f>HYPERLINK("Melting_Curves/meltCurve_Q9HAN9_NMNAT1.pdf", "Melting_Curves/meltCurve_Q9HAN9_NMNAT1.pdf")</f>
        <v>Melting_Curves/meltCurve_Q9HAN9_NMNAT1.pdf</v>
      </c>
    </row>
    <row r="5575" spans="1:28" x14ac:dyDescent="0.25">
      <c r="A5575" t="s">
        <v>5579</v>
      </c>
      <c r="B5575">
        <v>0.99542014353169495</v>
      </c>
      <c r="C5575">
        <v>0.96173711774236903</v>
      </c>
      <c r="D5575">
        <v>0.93327194127217805</v>
      </c>
      <c r="E5575">
        <v>0.57437496178959002</v>
      </c>
      <c r="F5575">
        <v>0.17966684936089899</v>
      </c>
      <c r="G5575">
        <v>0.116205216815915</v>
      </c>
      <c r="H5575">
        <v>6.4012484070667397E-2</v>
      </c>
      <c r="I5575">
        <v>6.2579446027363206E-2</v>
      </c>
      <c r="J5575">
        <v>1.9862117113003602E-2</v>
      </c>
      <c r="K5575">
        <v>2.5600745640640001E-2</v>
      </c>
      <c r="L5575">
        <v>1226.37864715914</v>
      </c>
      <c r="M5575">
        <v>26.105005713045301</v>
      </c>
      <c r="N5575">
        <v>47.1518249397296</v>
      </c>
      <c r="O5575">
        <v>46.7055965472114</v>
      </c>
      <c r="P5575">
        <v>-0.13334652470897401</v>
      </c>
      <c r="Q5575">
        <v>4.57066306933935E-2</v>
      </c>
      <c r="R5575">
        <v>0.99749340254421204</v>
      </c>
      <c r="S5575" t="s">
        <v>11977</v>
      </c>
      <c r="T5575" t="s">
        <v>12802</v>
      </c>
      <c r="U5575" t="s">
        <v>12802</v>
      </c>
      <c r="V5575" t="s">
        <v>12802</v>
      </c>
      <c r="W5575" t="s">
        <v>18310</v>
      </c>
      <c r="X5575">
        <v>2</v>
      </c>
      <c r="Y5575" t="s">
        <v>24521</v>
      </c>
      <c r="Z5575" t="s">
        <v>30893</v>
      </c>
      <c r="AA5575">
        <v>0.3704694326165987</v>
      </c>
      <c r="AB5575" t="str">
        <f>HYPERLINK("Melting_Curves/meltCurve_Q9HAP2_MLXIP.pdf", "Melting_Curves/meltCurve_Q9HAP2_MLXIP.pdf")</f>
        <v>Melting_Curves/meltCurve_Q9HAP2_MLXIP.pdf</v>
      </c>
    </row>
    <row r="5576" spans="1:28" x14ac:dyDescent="0.25">
      <c r="A5576" t="s">
        <v>5580</v>
      </c>
      <c r="B5576">
        <v>0.99542014353169495</v>
      </c>
      <c r="C5576">
        <v>0.93882720216800797</v>
      </c>
      <c r="D5576">
        <v>0.58191624309085199</v>
      </c>
      <c r="E5576">
        <v>0.55727035321007701</v>
      </c>
      <c r="F5576">
        <v>0.43367612494538199</v>
      </c>
      <c r="G5576">
        <v>0.193491958820772</v>
      </c>
      <c r="H5576">
        <v>2.6855086370725301E-2</v>
      </c>
      <c r="I5576">
        <v>1.23949156256319E-2</v>
      </c>
      <c r="J5576">
        <v>8.2298392078777698E-3</v>
      </c>
      <c r="K5576">
        <v>4.77240739481136E-2</v>
      </c>
      <c r="L5576">
        <v>529.45379359808499</v>
      </c>
      <c r="M5576">
        <v>11.291247609241401</v>
      </c>
      <c r="N5576">
        <v>46.890637033488098</v>
      </c>
      <c r="O5576">
        <v>45.492039051031597</v>
      </c>
      <c r="P5576">
        <v>-6.20696016193025E-2</v>
      </c>
      <c r="Q5576">
        <v>0</v>
      </c>
      <c r="R5576">
        <v>0.95794071947282999</v>
      </c>
      <c r="S5576" t="s">
        <v>11978</v>
      </c>
      <c r="T5576" t="s">
        <v>12802</v>
      </c>
      <c r="U5576" t="s">
        <v>12802</v>
      </c>
      <c r="V5576" t="s">
        <v>12802</v>
      </c>
      <c r="W5576" t="s">
        <v>18311</v>
      </c>
      <c r="X5576">
        <v>2</v>
      </c>
      <c r="Y5576" t="s">
        <v>24522</v>
      </c>
      <c r="Z5576" t="s">
        <v>30894</v>
      </c>
      <c r="AA5576">
        <v>0.36603725021830541</v>
      </c>
      <c r="AB5576" t="str">
        <f>HYPERLINK("Melting_Curves/meltCurve_Q9HAP6_LIN7B.pdf", "Melting_Curves/meltCurve_Q9HAP6_LIN7B.pdf")</f>
        <v>Melting_Curves/meltCurve_Q9HAP6_LIN7B.pdf</v>
      </c>
    </row>
    <row r="5577" spans="1:28" x14ac:dyDescent="0.25">
      <c r="A5577" t="s">
        <v>5581</v>
      </c>
      <c r="B5577">
        <v>0.99542014353169495</v>
      </c>
      <c r="C5577">
        <v>0.97070737924016104</v>
      </c>
      <c r="D5577">
        <v>0.86435595899032702</v>
      </c>
      <c r="E5577">
        <v>0.78639508608318098</v>
      </c>
      <c r="F5577">
        <v>0.62850078367066597</v>
      </c>
      <c r="G5577">
        <v>0.47584757812123601</v>
      </c>
      <c r="H5577">
        <v>0.31482604929283498</v>
      </c>
      <c r="I5577">
        <v>0.33015230914760002</v>
      </c>
      <c r="J5577">
        <v>0.36302076628055702</v>
      </c>
      <c r="K5577">
        <v>0.288346457140776</v>
      </c>
      <c r="L5577">
        <v>626.18913347731097</v>
      </c>
      <c r="M5577">
        <v>12.649310589644299</v>
      </c>
      <c r="N5577">
        <v>52.783889880881098</v>
      </c>
      <c r="O5577">
        <v>48.315463762572001</v>
      </c>
      <c r="P5577">
        <v>-4.7646448260640697E-2</v>
      </c>
      <c r="Q5577">
        <v>0.27217908858269402</v>
      </c>
      <c r="R5577">
        <v>0.98633894067307104</v>
      </c>
      <c r="S5577" t="s">
        <v>11979</v>
      </c>
      <c r="T5577" t="s">
        <v>12802</v>
      </c>
      <c r="U5577" t="s">
        <v>12802</v>
      </c>
      <c r="V5577" t="s">
        <v>12802</v>
      </c>
      <c r="W5577" t="s">
        <v>18312</v>
      </c>
      <c r="X5577">
        <v>2</v>
      </c>
      <c r="Y5577" t="s">
        <v>24523</v>
      </c>
      <c r="Z5577" t="s">
        <v>30895</v>
      </c>
      <c r="AA5577">
        <v>0.59517436061929796</v>
      </c>
      <c r="AB5577" t="str">
        <f>HYPERLINK("Melting_Curves/meltCurve_Q9HAT2_2_SIAE.pdf", "Melting_Curves/meltCurve_Q9HAT2_2_SIAE.pdf")</f>
        <v>Melting_Curves/meltCurve_Q9HAT2_2_SIAE.pdf</v>
      </c>
    </row>
    <row r="5578" spans="1:28" x14ac:dyDescent="0.25">
      <c r="A5578" t="s">
        <v>5582</v>
      </c>
      <c r="B5578">
        <v>0.99542014353169495</v>
      </c>
      <c r="C5578">
        <v>1.08487272255842</v>
      </c>
      <c r="D5578">
        <v>0.89705654073468799</v>
      </c>
      <c r="E5578">
        <v>0.383056387755213</v>
      </c>
      <c r="F5578">
        <v>0.203890230129471</v>
      </c>
      <c r="G5578">
        <v>0.110723116766869</v>
      </c>
      <c r="H5578">
        <v>7.8507162671428696E-2</v>
      </c>
      <c r="I5578">
        <v>4.12421697047115E-2</v>
      </c>
      <c r="J5578">
        <v>2.5620729370724099E-2</v>
      </c>
      <c r="K5578">
        <v>3.63244742851919E-2</v>
      </c>
      <c r="L5578">
        <v>1324.81817154385</v>
      </c>
      <c r="M5578">
        <v>28.916732262710301</v>
      </c>
      <c r="N5578">
        <v>46.034017993340903</v>
      </c>
      <c r="O5578">
        <v>45.597497189170902</v>
      </c>
      <c r="P5578">
        <v>-0.14835271731580599</v>
      </c>
      <c r="Q5578">
        <v>6.4284004135326103E-2</v>
      </c>
      <c r="R5578">
        <v>0.987973712435394</v>
      </c>
      <c r="S5578" t="s">
        <v>11980</v>
      </c>
      <c r="T5578" t="s">
        <v>12802</v>
      </c>
      <c r="U5578" t="s">
        <v>12802</v>
      </c>
      <c r="V5578" t="s">
        <v>12802</v>
      </c>
      <c r="W5578" t="s">
        <v>18313</v>
      </c>
      <c r="X5578">
        <v>5</v>
      </c>
      <c r="Y5578" t="s">
        <v>24524</v>
      </c>
      <c r="Z5578" t="s">
        <v>30896</v>
      </c>
      <c r="AA5578">
        <v>0.34496383119626689</v>
      </c>
      <c r="AB5578" t="str">
        <f>HYPERLINK("Melting_Curves/meltCurve_Q9HAU0_PLEKHA5.pdf", "Melting_Curves/meltCurve_Q9HAU0_PLEKHA5.pdf")</f>
        <v>Melting_Curves/meltCurve_Q9HAU0_PLEKHA5.pdf</v>
      </c>
    </row>
    <row r="5579" spans="1:28" x14ac:dyDescent="0.25">
      <c r="A5579" t="s">
        <v>5583</v>
      </c>
      <c r="B5579">
        <v>0.99542014353169495</v>
      </c>
      <c r="C5579">
        <v>0.93745103531904395</v>
      </c>
      <c r="D5579">
        <v>1.0359198013042199</v>
      </c>
      <c r="E5579">
        <v>0.75716753709881401</v>
      </c>
      <c r="F5579">
        <v>0.26353267370933098</v>
      </c>
      <c r="G5579">
        <v>0.139948121472385</v>
      </c>
      <c r="H5579">
        <v>9.5976516686998206E-2</v>
      </c>
      <c r="I5579">
        <v>7.0869179550860403E-2</v>
      </c>
      <c r="J5579">
        <v>7.6385325381503194E-2</v>
      </c>
      <c r="K5579">
        <v>8.5349604539462096E-2</v>
      </c>
      <c r="L5579">
        <v>1601.8210906582301</v>
      </c>
      <c r="M5579">
        <v>33.319554755096803</v>
      </c>
      <c r="N5579">
        <v>48.351396564638399</v>
      </c>
      <c r="O5579">
        <v>47.902329679830601</v>
      </c>
      <c r="P5579">
        <v>-0.15879028456261701</v>
      </c>
      <c r="Q5579">
        <v>8.6855578464688901E-2</v>
      </c>
      <c r="R5579">
        <v>0.99519638655834197</v>
      </c>
      <c r="S5579" t="s">
        <v>11981</v>
      </c>
      <c r="T5579" t="s">
        <v>12802</v>
      </c>
      <c r="U5579" t="s">
        <v>12802</v>
      </c>
      <c r="V5579" t="s">
        <v>12802</v>
      </c>
      <c r="W5579" t="s">
        <v>18314</v>
      </c>
      <c r="X5579">
        <v>19</v>
      </c>
      <c r="Y5579" t="s">
        <v>24525</v>
      </c>
      <c r="Z5579" t="s">
        <v>30897</v>
      </c>
      <c r="AA5579">
        <v>0.42832830826196838</v>
      </c>
      <c r="AB5579" t="str">
        <f>HYPERLINK("Melting_Curves/meltCurve_Q9HAU5_UPF2.pdf", "Melting_Curves/meltCurve_Q9HAU5_UPF2.pdf")</f>
        <v>Melting_Curves/meltCurve_Q9HAU5_UPF2.pdf</v>
      </c>
    </row>
    <row r="5580" spans="1:28" x14ac:dyDescent="0.25">
      <c r="A5580" t="s">
        <v>5584</v>
      </c>
      <c r="B5580">
        <v>0.99542014353169495</v>
      </c>
      <c r="C5580">
        <v>1.0842718915171199</v>
      </c>
      <c r="D5580">
        <v>1.3085926045696401</v>
      </c>
      <c r="E5580">
        <v>1.1243229510983499</v>
      </c>
      <c r="F5580">
        <v>1.02771276980571</v>
      </c>
      <c r="G5580">
        <v>0.63527804652877096</v>
      </c>
      <c r="H5580">
        <v>0.15620705164839299</v>
      </c>
      <c r="I5580">
        <v>5.1384580529492102E-2</v>
      </c>
      <c r="J5580">
        <v>8.2866696093012296E-2</v>
      </c>
      <c r="K5580">
        <v>0.10654279725342</v>
      </c>
      <c r="L5580">
        <v>2780.4654408851702</v>
      </c>
      <c r="M5580">
        <v>51.238953257896902</v>
      </c>
      <c r="N5580">
        <v>54.461436115502899</v>
      </c>
      <c r="O5580">
        <v>54.1822151209537</v>
      </c>
      <c r="P5580">
        <v>-0.21644367305722301</v>
      </c>
      <c r="Q5580">
        <v>8.44942954506821E-2</v>
      </c>
      <c r="R5580">
        <v>0.94766896206543805</v>
      </c>
      <c r="S5580" t="s">
        <v>11982</v>
      </c>
      <c r="T5580" t="s">
        <v>12802</v>
      </c>
      <c r="U5580" t="s">
        <v>12802</v>
      </c>
      <c r="V5580" t="s">
        <v>12802</v>
      </c>
      <c r="W5580" t="s">
        <v>18315</v>
      </c>
      <c r="X5580">
        <v>9</v>
      </c>
      <c r="Y5580" t="s">
        <v>24526</v>
      </c>
      <c r="Z5580" t="s">
        <v>30898</v>
      </c>
      <c r="AA5580">
        <v>0.61344116733028009</v>
      </c>
      <c r="AB5580" t="str">
        <f>HYPERLINK("Melting_Curves/meltCurve_Q9HAV0_GNB4.pdf", "Melting_Curves/meltCurve_Q9HAV0_GNB4.pdf")</f>
        <v>Melting_Curves/meltCurve_Q9HAV0_GNB4.pdf</v>
      </c>
    </row>
    <row r="5581" spans="1:28" x14ac:dyDescent="0.25">
      <c r="A5581" t="s">
        <v>5585</v>
      </c>
      <c r="B5581">
        <v>0.99542014353169495</v>
      </c>
      <c r="C5581">
        <v>1.0224742626172101</v>
      </c>
      <c r="D5581">
        <v>1.0300194043433899</v>
      </c>
      <c r="E5581">
        <v>0.82775674054086501</v>
      </c>
      <c r="F5581">
        <v>0.15320771222795199</v>
      </c>
      <c r="G5581">
        <v>8.8183863590657302E-2</v>
      </c>
      <c r="H5581">
        <v>5.3043434541516797E-2</v>
      </c>
      <c r="I5581">
        <v>3.9075945479810602E-2</v>
      </c>
      <c r="J5581">
        <v>4.9101797607854401E-2</v>
      </c>
      <c r="K5581">
        <v>4.3383564106789299E-2</v>
      </c>
      <c r="L5581">
        <v>2355.7671872308301</v>
      </c>
      <c r="M5581">
        <v>49.044782000126197</v>
      </c>
      <c r="N5581">
        <v>48.143350205321497</v>
      </c>
      <c r="O5581">
        <v>47.9533263720704</v>
      </c>
      <c r="P5581">
        <v>-0.242095210176833</v>
      </c>
      <c r="Q5581">
        <v>5.3170596242004001E-2</v>
      </c>
      <c r="R5581">
        <v>0.99855864842551101</v>
      </c>
      <c r="S5581" t="s">
        <v>11983</v>
      </c>
      <c r="T5581" t="s">
        <v>12802</v>
      </c>
      <c r="U5581" t="s">
        <v>12802</v>
      </c>
      <c r="V5581" t="s">
        <v>12802</v>
      </c>
      <c r="W5581" t="s">
        <v>18316</v>
      </c>
      <c r="X5581">
        <v>40</v>
      </c>
      <c r="Y5581" t="s">
        <v>24527</v>
      </c>
      <c r="Z5581" t="s">
        <v>30899</v>
      </c>
      <c r="AA5581">
        <v>0.40346777419261859</v>
      </c>
      <c r="AB5581" t="str">
        <f>HYPERLINK("Melting_Curves/meltCurve_Q9HAV4_XPO5.pdf", "Melting_Curves/meltCurve_Q9HAV4_XPO5.pdf")</f>
        <v>Melting_Curves/meltCurve_Q9HAV4_XPO5.pdf</v>
      </c>
    </row>
    <row r="5582" spans="1:28" x14ac:dyDescent="0.25">
      <c r="A5582" t="s">
        <v>5586</v>
      </c>
      <c r="B5582">
        <v>0.99542014353169495</v>
      </c>
      <c r="C5582">
        <v>1.0205092730699099</v>
      </c>
      <c r="D5582">
        <v>0.96172216988784598</v>
      </c>
      <c r="E5582">
        <v>0.96135983785744705</v>
      </c>
      <c r="F5582">
        <v>0.73105191578418205</v>
      </c>
      <c r="G5582">
        <v>0.20459951256161599</v>
      </c>
      <c r="H5582">
        <v>6.9917643288357104E-2</v>
      </c>
      <c r="I5582">
        <v>4.07328525588413E-2</v>
      </c>
      <c r="J5582">
        <v>3.8484187010698001E-2</v>
      </c>
      <c r="K5582">
        <v>4.5152313160831001E-2</v>
      </c>
      <c r="L5582">
        <v>1846.0494739933599</v>
      </c>
      <c r="M5582">
        <v>35.856765027610699</v>
      </c>
      <c r="N5582">
        <v>51.606471193199802</v>
      </c>
      <c r="O5582">
        <v>51.324652439549801</v>
      </c>
      <c r="P5582">
        <v>-0.16753309799523899</v>
      </c>
      <c r="Q5582">
        <v>4.0789155933461899E-2</v>
      </c>
      <c r="R5582">
        <v>0.99881365357262697</v>
      </c>
      <c r="S5582" t="s">
        <v>11984</v>
      </c>
      <c r="T5582" t="s">
        <v>12802</v>
      </c>
      <c r="U5582" t="s">
        <v>12802</v>
      </c>
      <c r="V5582" t="s">
        <v>12802</v>
      </c>
      <c r="W5582" t="s">
        <v>18317</v>
      </c>
      <c r="X5582">
        <v>16</v>
      </c>
      <c r="Y5582" t="s">
        <v>24528</v>
      </c>
      <c r="Z5582" t="s">
        <v>30900</v>
      </c>
      <c r="AA5582">
        <v>0.50813369803384301</v>
      </c>
      <c r="AB5582" t="str">
        <f>HYPERLINK("Melting_Curves/meltCurve_Q9HAV7_GRPEL1.pdf", "Melting_Curves/meltCurve_Q9HAV7_GRPEL1.pdf")</f>
        <v>Melting_Curves/meltCurve_Q9HAV7_GRPEL1.pdf</v>
      </c>
    </row>
    <row r="5583" spans="1:28" x14ac:dyDescent="0.25">
      <c r="A5583" t="s">
        <v>5587</v>
      </c>
      <c r="B5583">
        <v>0.99542014353169495</v>
      </c>
      <c r="C5583">
        <v>0.97565295350251702</v>
      </c>
      <c r="D5583">
        <v>0.91211356021924705</v>
      </c>
      <c r="E5583">
        <v>0.82040233310805699</v>
      </c>
      <c r="F5583">
        <v>0.65682236271324301</v>
      </c>
      <c r="G5583">
        <v>0.473314420900805</v>
      </c>
      <c r="H5583">
        <v>0.341857414139975</v>
      </c>
      <c r="I5583">
        <v>0.32996644269070702</v>
      </c>
      <c r="J5583">
        <v>0.43925127902547401</v>
      </c>
      <c r="K5583">
        <v>0.60156784777086603</v>
      </c>
      <c r="L5583">
        <v>1014.40325279221</v>
      </c>
      <c r="M5583">
        <v>20.940161766213102</v>
      </c>
      <c r="N5583">
        <v>53.2360722275006</v>
      </c>
      <c r="O5583">
        <v>48.007654418483099</v>
      </c>
      <c r="P5583">
        <v>-6.2799932924545707E-2</v>
      </c>
      <c r="Q5583">
        <v>0.424112323560905</v>
      </c>
      <c r="R5583">
        <v>0.90437130695241896</v>
      </c>
      <c r="S5583" t="s">
        <v>11985</v>
      </c>
      <c r="T5583" t="s">
        <v>12802</v>
      </c>
      <c r="U5583" t="s">
        <v>12802</v>
      </c>
      <c r="V5583" t="s">
        <v>12802</v>
      </c>
      <c r="W5583" t="s">
        <v>18318</v>
      </c>
      <c r="X5583">
        <v>15</v>
      </c>
      <c r="Y5583" t="s">
        <v>24529</v>
      </c>
      <c r="Z5583" t="s">
        <v>30901</v>
      </c>
      <c r="AA5583">
        <v>0.65072611880454012</v>
      </c>
      <c r="AB5583" t="str">
        <f>HYPERLINK("Melting_Curves/meltCurve_Q9HAW4_CLSPN.pdf", "Melting_Curves/meltCurve_Q9HAW4_CLSPN.pdf")</f>
        <v>Melting_Curves/meltCurve_Q9HAW4_CLSPN.pdf</v>
      </c>
    </row>
    <row r="5584" spans="1:28" x14ac:dyDescent="0.25">
      <c r="A5584" t="s">
        <v>5588</v>
      </c>
      <c r="B5584">
        <v>0.99542014353169495</v>
      </c>
      <c r="C5584">
        <v>1.1049782885980299</v>
      </c>
      <c r="D5584">
        <v>1.0030241380980001</v>
      </c>
      <c r="E5584">
        <v>0.69992015809952701</v>
      </c>
      <c r="F5584">
        <v>0.41804959614294301</v>
      </c>
      <c r="G5584">
        <v>0.36850889938319498</v>
      </c>
      <c r="H5584">
        <v>0.20600606361026</v>
      </c>
      <c r="I5584">
        <v>0.120331460040787</v>
      </c>
      <c r="J5584">
        <v>0</v>
      </c>
      <c r="K5584">
        <v>0.10715926968495799</v>
      </c>
      <c r="L5584">
        <v>767.89471235686699</v>
      </c>
      <c r="M5584">
        <v>15.488938394240501</v>
      </c>
      <c r="N5584">
        <v>50.036834067820301</v>
      </c>
      <c r="O5584">
        <v>48.772632686889899</v>
      </c>
      <c r="P5584">
        <v>-7.4133147563692506E-2</v>
      </c>
      <c r="Q5584">
        <v>6.6341021388163501E-2</v>
      </c>
      <c r="R5584">
        <v>0.96883424683271802</v>
      </c>
      <c r="S5584" t="s">
        <v>11986</v>
      </c>
      <c r="T5584" t="s">
        <v>12802</v>
      </c>
      <c r="U5584" t="s">
        <v>12802</v>
      </c>
      <c r="V5584" t="s">
        <v>12802</v>
      </c>
      <c r="W5584" t="s">
        <v>18319</v>
      </c>
      <c r="X5584">
        <v>4</v>
      </c>
      <c r="Y5584" t="s">
        <v>24530</v>
      </c>
      <c r="Z5584" t="s">
        <v>30902</v>
      </c>
      <c r="AA5584">
        <v>0.47659378056212598</v>
      </c>
      <c r="AB5584" t="str">
        <f>HYPERLINK("Melting_Curves/meltCurve_Q9HB09_BCL2L12.pdf", "Melting_Curves/meltCurve_Q9HB09_BCL2L12.pdf")</f>
        <v>Melting_Curves/meltCurve_Q9HB09_BCL2L12.pdf</v>
      </c>
    </row>
    <row r="5585" spans="1:28" x14ac:dyDescent="0.25">
      <c r="A5585" t="s">
        <v>5589</v>
      </c>
      <c r="B5585">
        <v>0.99542014353169495</v>
      </c>
      <c r="C5585">
        <v>0.924569554242061</v>
      </c>
      <c r="D5585">
        <v>0.51885759812213506</v>
      </c>
      <c r="E5585">
        <v>0.349665993644179</v>
      </c>
      <c r="F5585">
        <v>0.23208748899414799</v>
      </c>
      <c r="G5585">
        <v>0.181681442676878</v>
      </c>
      <c r="H5585">
        <v>6.8964957949087302E-2</v>
      </c>
      <c r="I5585">
        <v>0.120545105380072</v>
      </c>
      <c r="J5585">
        <v>1.9161811994609399E-2</v>
      </c>
      <c r="K5585">
        <v>0.18101156462627499</v>
      </c>
      <c r="L5585">
        <v>783.88760527875195</v>
      </c>
      <c r="M5585">
        <v>18.025399304316998</v>
      </c>
      <c r="N5585">
        <v>44.115905746177198</v>
      </c>
      <c r="O5585">
        <v>42.963321242747703</v>
      </c>
      <c r="P5585">
        <v>-9.3024518222900199E-2</v>
      </c>
      <c r="Q5585">
        <v>0.113152651781275</v>
      </c>
      <c r="R5585">
        <v>0.96821117853898098</v>
      </c>
      <c r="S5585" t="s">
        <v>11987</v>
      </c>
      <c r="T5585" t="s">
        <v>12802</v>
      </c>
      <c r="U5585" t="s">
        <v>12802</v>
      </c>
      <c r="V5585" t="s">
        <v>12802</v>
      </c>
      <c r="W5585" t="s">
        <v>18320</v>
      </c>
      <c r="X5585">
        <v>1</v>
      </c>
      <c r="Y5585" t="s">
        <v>24531</v>
      </c>
      <c r="Z5585" t="s">
        <v>30903</v>
      </c>
      <c r="AA5585">
        <v>0.32017087616577411</v>
      </c>
      <c r="AB5585" t="str">
        <f>HYPERLINK("Melting_Curves/meltCurve_Q9HB19_PLEKHA2.pdf", "Melting_Curves/meltCurve_Q9HB19_PLEKHA2.pdf")</f>
        <v>Melting_Curves/meltCurve_Q9HB19_PLEKHA2.pdf</v>
      </c>
    </row>
    <row r="5586" spans="1:28" x14ac:dyDescent="0.25">
      <c r="A5586" t="s">
        <v>5590</v>
      </c>
      <c r="B5586">
        <v>0.99542014353169495</v>
      </c>
      <c r="C5586">
        <v>0.98923009597123301</v>
      </c>
      <c r="D5586">
        <v>0.89910101020697397</v>
      </c>
      <c r="E5586">
        <v>0.89855624232543196</v>
      </c>
      <c r="F5586">
        <v>0.729253762527864</v>
      </c>
      <c r="G5586">
        <v>0.56499541232874395</v>
      </c>
      <c r="H5586">
        <v>0.39051186460039899</v>
      </c>
      <c r="I5586">
        <v>0.31926160310407697</v>
      </c>
      <c r="J5586">
        <v>0.23364961573142201</v>
      </c>
      <c r="K5586">
        <v>0.23157126381315199</v>
      </c>
      <c r="L5586">
        <v>627.70425613320697</v>
      </c>
      <c r="M5586">
        <v>11.738240222974801</v>
      </c>
      <c r="N5586">
        <v>55.073002098122402</v>
      </c>
      <c r="O5586">
        <v>51.993909933207803</v>
      </c>
      <c r="P5586">
        <v>-4.8307907850603397E-2</v>
      </c>
      <c r="Q5586">
        <v>0.14431544450821199</v>
      </c>
      <c r="R5586">
        <v>0.99460762759845101</v>
      </c>
      <c r="S5586" t="s">
        <v>11988</v>
      </c>
      <c r="T5586" t="s">
        <v>12802</v>
      </c>
      <c r="U5586" t="s">
        <v>12802</v>
      </c>
      <c r="V5586" t="s">
        <v>12802</v>
      </c>
      <c r="W5586" t="s">
        <v>18321</v>
      </c>
      <c r="X5586">
        <v>1</v>
      </c>
      <c r="Y5586" t="s">
        <v>24532</v>
      </c>
      <c r="Z5586" t="s">
        <v>30904</v>
      </c>
      <c r="AA5586">
        <v>0.63116809087975789</v>
      </c>
      <c r="AB5586" t="str">
        <f>HYPERLINK("Melting_Curves/meltCurve_Q9HB40_SCPEP1.pdf", "Melting_Curves/meltCurve_Q9HB40_SCPEP1.pdf")</f>
        <v>Melting_Curves/meltCurve_Q9HB40_SCPEP1.pdf</v>
      </c>
    </row>
    <row r="5587" spans="1:28" x14ac:dyDescent="0.25">
      <c r="A5587" t="s">
        <v>5591</v>
      </c>
      <c r="B5587">
        <v>0.99542014353169495</v>
      </c>
      <c r="C5587">
        <v>0.96537183102586599</v>
      </c>
      <c r="D5587">
        <v>0.93587129884207798</v>
      </c>
      <c r="E5587">
        <v>0.85160572477560403</v>
      </c>
      <c r="F5587">
        <v>0.60174808752606102</v>
      </c>
      <c r="G5587">
        <v>0.30130553556592798</v>
      </c>
      <c r="H5587">
        <v>7.1643469271539403E-2</v>
      </c>
      <c r="I5587">
        <v>4.1349969270890997E-2</v>
      </c>
      <c r="J5587">
        <v>4.3709186446547497E-2</v>
      </c>
      <c r="K5587">
        <v>5.3810704987008601E-2</v>
      </c>
      <c r="L5587">
        <v>978.88773798874297</v>
      </c>
      <c r="M5587">
        <v>19.173323883854401</v>
      </c>
      <c r="N5587">
        <v>51.129549508133401</v>
      </c>
      <c r="O5587">
        <v>50.509035053705603</v>
      </c>
      <c r="P5587">
        <v>-9.3590273923203196E-2</v>
      </c>
      <c r="Q5587">
        <v>1.38442223680528E-2</v>
      </c>
      <c r="R5587">
        <v>0.99598197962982704</v>
      </c>
      <c r="S5587" t="s">
        <v>11989</v>
      </c>
      <c r="T5587" t="s">
        <v>12802</v>
      </c>
      <c r="U5587" t="s">
        <v>12802</v>
      </c>
      <c r="V5587" t="s">
        <v>12802</v>
      </c>
      <c r="W5587" t="s">
        <v>18322</v>
      </c>
      <c r="X5587">
        <v>25</v>
      </c>
      <c r="Y5587" t="s">
        <v>24533</v>
      </c>
      <c r="Z5587" t="s">
        <v>30905</v>
      </c>
      <c r="AA5587">
        <v>0.48967585582626399</v>
      </c>
      <c r="AB5587" t="str">
        <f>HYPERLINK("Melting_Curves/meltCurve_Q9HB71_CACYBP.pdf", "Melting_Curves/meltCurve_Q9HB71_CACYBP.pdf")</f>
        <v>Melting_Curves/meltCurve_Q9HB71_CACYBP.pdf</v>
      </c>
    </row>
    <row r="5588" spans="1:28" x14ac:dyDescent="0.25">
      <c r="A5588" t="s">
        <v>5592</v>
      </c>
      <c r="B5588">
        <v>0.99542014353169495</v>
      </c>
      <c r="C5588">
        <v>1.0053863942981101</v>
      </c>
      <c r="D5588">
        <v>0.96048413293535595</v>
      </c>
      <c r="E5588">
        <v>0.843207750757483</v>
      </c>
      <c r="F5588">
        <v>0.69447439701699198</v>
      </c>
      <c r="G5588">
        <v>0.53157376419331803</v>
      </c>
      <c r="H5588">
        <v>0.34366495696884702</v>
      </c>
      <c r="I5588">
        <v>0.26989854586887901</v>
      </c>
      <c r="J5588">
        <v>0.38314834485535099</v>
      </c>
      <c r="K5588">
        <v>0.32348411631180302</v>
      </c>
      <c r="L5588">
        <v>840.11384659008604</v>
      </c>
      <c r="M5588">
        <v>16.549821757978201</v>
      </c>
      <c r="N5588">
        <v>53.690337322782902</v>
      </c>
      <c r="O5588">
        <v>50.038917184807502</v>
      </c>
      <c r="P5588">
        <v>-5.8114153015707902E-2</v>
      </c>
      <c r="Q5588">
        <v>0.29720813960546799</v>
      </c>
      <c r="R5588">
        <v>0.98354864059680303</v>
      </c>
      <c r="S5588" t="s">
        <v>11990</v>
      </c>
      <c r="T5588" t="s">
        <v>12802</v>
      </c>
      <c r="U5588" t="s">
        <v>12802</v>
      </c>
      <c r="V5588" t="s">
        <v>12802</v>
      </c>
      <c r="W5588" t="s">
        <v>18323</v>
      </c>
      <c r="X5588">
        <v>5</v>
      </c>
      <c r="Y5588" t="s">
        <v>24534</v>
      </c>
      <c r="Z5588" t="s">
        <v>30906</v>
      </c>
      <c r="AA5588">
        <v>0.63206112394809322</v>
      </c>
      <c r="AB5588" t="str">
        <f>HYPERLINK("Melting_Curves/meltCurve_Q9HB90_RRAGC.pdf", "Melting_Curves/meltCurve_Q9HB90_RRAGC.pdf")</f>
        <v>Melting_Curves/meltCurve_Q9HB90_RRAGC.pdf</v>
      </c>
    </row>
    <row r="5589" spans="1:28" x14ac:dyDescent="0.25">
      <c r="A5589" t="s">
        <v>5593</v>
      </c>
      <c r="B5589">
        <v>0.99542014353169495</v>
      </c>
      <c r="C5589">
        <v>0.77664616423380906</v>
      </c>
      <c r="D5589">
        <v>0.70132867361290696</v>
      </c>
      <c r="E5589">
        <v>0.265542074733218</v>
      </c>
      <c r="F5589">
        <v>0.14971294182613501</v>
      </c>
      <c r="G5589">
        <v>9.3270644211768103E-2</v>
      </c>
      <c r="H5589">
        <v>6.2636540296355098E-2</v>
      </c>
      <c r="I5589">
        <v>4.6861377725037998E-2</v>
      </c>
      <c r="J5589">
        <v>4.8116301087650602E-2</v>
      </c>
      <c r="K5589">
        <v>5.0743553126477901E-2</v>
      </c>
      <c r="L5589">
        <v>755.17505834969597</v>
      </c>
      <c r="M5589">
        <v>17.133014545468299</v>
      </c>
      <c r="N5589">
        <v>44.3078220416226</v>
      </c>
      <c r="O5589">
        <v>43.4898502498989</v>
      </c>
      <c r="P5589">
        <v>-9.4292772823886706E-2</v>
      </c>
      <c r="Q5589">
        <v>4.2659351112938899E-2</v>
      </c>
      <c r="R5589">
        <v>0.985475026422726</v>
      </c>
      <c r="S5589" t="s">
        <v>11991</v>
      </c>
      <c r="T5589" t="s">
        <v>12802</v>
      </c>
      <c r="U5589" t="s">
        <v>12802</v>
      </c>
      <c r="V5589" t="s">
        <v>12802</v>
      </c>
      <c r="W5589" t="s">
        <v>18324</v>
      </c>
      <c r="X5589">
        <v>29</v>
      </c>
      <c r="Y5589" t="s">
        <v>24535</v>
      </c>
      <c r="Z5589" t="s">
        <v>30907</v>
      </c>
      <c r="AA5589">
        <v>0.28638907954273252</v>
      </c>
      <c r="AB5589" t="str">
        <f>HYPERLINK("Melting_Curves/meltCurve_Q9HBD4_SMARCA4.pdf", "Melting_Curves/meltCurve_Q9HBD4_SMARCA4.pdf")</f>
        <v>Melting_Curves/meltCurve_Q9HBD4_SMARCA4.pdf</v>
      </c>
    </row>
    <row r="5590" spans="1:28" x14ac:dyDescent="0.25">
      <c r="A5590" t="s">
        <v>5594</v>
      </c>
      <c r="B5590">
        <v>0.99542014353169495</v>
      </c>
      <c r="C5590">
        <v>1.0351128480615199</v>
      </c>
      <c r="D5590">
        <v>1.0430292604851501</v>
      </c>
      <c r="E5590">
        <v>0.64104001403581201</v>
      </c>
      <c r="F5590">
        <v>0.38277033639221197</v>
      </c>
      <c r="G5590">
        <v>0.22486757042588701</v>
      </c>
      <c r="H5590">
        <v>9.9148512211883005E-2</v>
      </c>
      <c r="I5590">
        <v>3.4538684797156202E-2</v>
      </c>
      <c r="J5590">
        <v>5.6242248072767301E-2</v>
      </c>
      <c r="K5590">
        <v>3.5847403104389601E-2</v>
      </c>
      <c r="L5590">
        <v>943.34420851296397</v>
      </c>
      <c r="M5590">
        <v>19.409193390329001</v>
      </c>
      <c r="N5590">
        <v>48.844650523022899</v>
      </c>
      <c r="O5590">
        <v>48.095839335912501</v>
      </c>
      <c r="P5590">
        <v>-9.6272368526889002E-2</v>
      </c>
      <c r="Q5590">
        <v>4.5786063754468503E-2</v>
      </c>
      <c r="R5590">
        <v>0.98590727247898302</v>
      </c>
      <c r="S5590" t="s">
        <v>11992</v>
      </c>
      <c r="T5590" t="s">
        <v>12802</v>
      </c>
      <c r="U5590" t="s">
        <v>12802</v>
      </c>
      <c r="V5590" t="s">
        <v>12802</v>
      </c>
      <c r="W5590" t="s">
        <v>18325</v>
      </c>
      <c r="X5590">
        <v>4</v>
      </c>
      <c r="Y5590" t="s">
        <v>24536</v>
      </c>
      <c r="Z5590" t="s">
        <v>30908</v>
      </c>
      <c r="AA5590">
        <v>0.42811683080794177</v>
      </c>
      <c r="AB5590" t="str">
        <f>HYPERLINK("Melting_Curves/meltCurve_Q9HBH1_PDF.pdf", "Melting_Curves/meltCurve_Q9HBH1_PDF.pdf")</f>
        <v>Melting_Curves/meltCurve_Q9HBH1_PDF.pdf</v>
      </c>
    </row>
    <row r="5591" spans="1:28" x14ac:dyDescent="0.25">
      <c r="A5591" t="s">
        <v>5595</v>
      </c>
      <c r="B5591">
        <v>0.99542014353169495</v>
      </c>
      <c r="C5591">
        <v>1.0084695380333899</v>
      </c>
      <c r="D5591">
        <v>0.99197543224640505</v>
      </c>
      <c r="E5591">
        <v>0.91198228690198302</v>
      </c>
      <c r="F5591">
        <v>0.55848144430478797</v>
      </c>
      <c r="G5591">
        <v>0.12451215430146</v>
      </c>
      <c r="H5591">
        <v>6.7686607124315901E-2</v>
      </c>
      <c r="I5591">
        <v>5.80805787249506E-2</v>
      </c>
      <c r="J5591">
        <v>5.0886233092372099E-2</v>
      </c>
      <c r="K5591">
        <v>4.6331156873587097E-2</v>
      </c>
      <c r="L5591">
        <v>1676.2723838921199</v>
      </c>
      <c r="M5591">
        <v>33.305584373758002</v>
      </c>
      <c r="N5591">
        <v>50.480359731603201</v>
      </c>
      <c r="O5591">
        <v>50.149662915667697</v>
      </c>
      <c r="P5591">
        <v>-0.15819479158660699</v>
      </c>
      <c r="Q5591">
        <v>4.72010630232177E-2</v>
      </c>
      <c r="R5591">
        <v>0.99913389597587698</v>
      </c>
      <c r="S5591" t="s">
        <v>11993</v>
      </c>
      <c r="T5591" t="s">
        <v>12802</v>
      </c>
      <c r="U5591" t="s">
        <v>12802</v>
      </c>
      <c r="V5591" t="s">
        <v>12802</v>
      </c>
      <c r="W5591" t="s">
        <v>18326</v>
      </c>
      <c r="X5591">
        <v>6</v>
      </c>
      <c r="Y5591" t="s">
        <v>24537</v>
      </c>
      <c r="Z5591" t="s">
        <v>30909</v>
      </c>
      <c r="AA5591">
        <v>0.47534199072998862</v>
      </c>
      <c r="AB5591" t="str">
        <f>HYPERLINK("Melting_Curves/meltCurve_Q9HBH5_RDH14.pdf", "Melting_Curves/meltCurve_Q9HBH5_RDH14.pdf")</f>
        <v>Melting_Curves/meltCurve_Q9HBH5_RDH14.pdf</v>
      </c>
    </row>
    <row r="5592" spans="1:28" x14ac:dyDescent="0.25">
      <c r="A5592" t="s">
        <v>5596</v>
      </c>
      <c r="B5592">
        <v>0.99542014353169495</v>
      </c>
      <c r="C5592">
        <v>0.96081632658076399</v>
      </c>
      <c r="D5592">
        <v>0.97603505980993499</v>
      </c>
      <c r="E5592">
        <v>0.73185047130761205</v>
      </c>
      <c r="F5592">
        <v>0.34394431515467</v>
      </c>
      <c r="G5592">
        <v>0.104478957532432</v>
      </c>
      <c r="H5592">
        <v>5.5828884111183398E-2</v>
      </c>
      <c r="I5592">
        <v>3.36580218899434E-2</v>
      </c>
      <c r="J5592">
        <v>2.2478346817720499E-2</v>
      </c>
      <c r="K5592">
        <v>2.1947901980903701E-2</v>
      </c>
      <c r="L5592">
        <v>1142.2078774278</v>
      </c>
      <c r="M5592">
        <v>23.497603843730499</v>
      </c>
      <c r="N5592">
        <v>48.704020312003003</v>
      </c>
      <c r="O5592">
        <v>48.261585497047903</v>
      </c>
      <c r="P5592">
        <v>-0.119010378639549</v>
      </c>
      <c r="Q5592">
        <v>2.2278048136825199E-2</v>
      </c>
      <c r="R5592">
        <v>0.99896405393843302</v>
      </c>
      <c r="S5592" t="s">
        <v>11994</v>
      </c>
      <c r="T5592" t="s">
        <v>12802</v>
      </c>
      <c r="U5592" t="s">
        <v>12802</v>
      </c>
      <c r="V5592" t="s">
        <v>12802</v>
      </c>
      <c r="W5592" t="s">
        <v>18327</v>
      </c>
      <c r="X5592">
        <v>3</v>
      </c>
      <c r="Y5592" t="s">
        <v>24538</v>
      </c>
      <c r="Z5592" t="s">
        <v>30910</v>
      </c>
      <c r="AA5592">
        <v>0.41012374984380889</v>
      </c>
      <c r="AB5592" t="str">
        <f>HYPERLINK("Melting_Curves/meltCurve_Q9HBI1_PARVB.pdf", "Melting_Curves/meltCurve_Q9HBI1_PARVB.pdf")</f>
        <v>Melting_Curves/meltCurve_Q9HBI1_PARVB.pdf</v>
      </c>
    </row>
    <row r="5593" spans="1:28" x14ac:dyDescent="0.25">
      <c r="A5593" t="s">
        <v>5597</v>
      </c>
      <c r="B5593">
        <v>0.99542014353169495</v>
      </c>
      <c r="C5593">
        <v>1.0523682540328201</v>
      </c>
      <c r="D5593">
        <v>0.94645098261757399</v>
      </c>
      <c r="E5593">
        <v>0.880078311140845</v>
      </c>
      <c r="F5593">
        <v>0.38091687150010001</v>
      </c>
      <c r="G5593">
        <v>0.14585202556002799</v>
      </c>
      <c r="H5593">
        <v>9.1816389502054702E-2</v>
      </c>
      <c r="I5593">
        <v>6.0855660742885197E-2</v>
      </c>
      <c r="J5593">
        <v>7.0991874649645501E-2</v>
      </c>
      <c r="K5593">
        <v>8.4944737368924397E-2</v>
      </c>
      <c r="L5593">
        <v>1593.0090158718201</v>
      </c>
      <c r="M5593">
        <v>32.399902626566202</v>
      </c>
      <c r="N5593">
        <v>49.421759815711397</v>
      </c>
      <c r="O5593">
        <v>48.9809268922575</v>
      </c>
      <c r="P5593">
        <v>-0.15265750447620499</v>
      </c>
      <c r="Q5593">
        <v>7.6877450987882803E-2</v>
      </c>
      <c r="R5593">
        <v>0.99668973056229504</v>
      </c>
      <c r="S5593" t="s">
        <v>11995</v>
      </c>
      <c r="T5593" t="s">
        <v>12802</v>
      </c>
      <c r="U5593" t="s">
        <v>12802</v>
      </c>
      <c r="V5593" t="s">
        <v>12802</v>
      </c>
      <c r="W5593" t="s">
        <v>18328</v>
      </c>
      <c r="X5593">
        <v>11</v>
      </c>
      <c r="Y5593" t="s">
        <v>24539</v>
      </c>
      <c r="Z5593" t="s">
        <v>30911</v>
      </c>
      <c r="AA5593">
        <v>0.45605727650814948</v>
      </c>
      <c r="AB5593" t="str">
        <f>HYPERLINK("Melting_Curves/meltCurve_Q9HBL8_NMRAL1.pdf", "Melting_Curves/meltCurve_Q9HBL8_NMRAL1.pdf")</f>
        <v>Melting_Curves/meltCurve_Q9HBL8_NMRAL1.pdf</v>
      </c>
    </row>
    <row r="5594" spans="1:28" x14ac:dyDescent="0.25">
      <c r="A5594" t="s">
        <v>5598</v>
      </c>
      <c r="B5594">
        <v>0.99542014353169495</v>
      </c>
      <c r="C5594">
        <v>0.93253250867586801</v>
      </c>
      <c r="D5594">
        <v>0.932859662286736</v>
      </c>
      <c r="E5594">
        <v>0.63914853803034599</v>
      </c>
      <c r="F5594">
        <v>0.239867313496199</v>
      </c>
      <c r="G5594">
        <v>0.119888946902202</v>
      </c>
      <c r="H5594">
        <v>7.3286617149366101E-2</v>
      </c>
      <c r="I5594">
        <v>4.72257288665986E-2</v>
      </c>
      <c r="J5594">
        <v>6.5396943071355407E-2</v>
      </c>
      <c r="K5594">
        <v>6.0688746743169902E-2</v>
      </c>
      <c r="L5594">
        <v>1157.67101618992</v>
      </c>
      <c r="M5594">
        <v>24.401978602451202</v>
      </c>
      <c r="N5594">
        <v>47.681098414849899</v>
      </c>
      <c r="O5594">
        <v>47.126517947409397</v>
      </c>
      <c r="P5594">
        <v>-0.12198730743459101</v>
      </c>
      <c r="Q5594">
        <v>5.76580664339214E-2</v>
      </c>
      <c r="R5594">
        <v>0.99736349369717703</v>
      </c>
      <c r="S5594" t="s">
        <v>11996</v>
      </c>
      <c r="T5594" t="s">
        <v>12802</v>
      </c>
      <c r="U5594" t="s">
        <v>12802</v>
      </c>
      <c r="V5594" t="s">
        <v>12802</v>
      </c>
      <c r="W5594" t="s">
        <v>18329</v>
      </c>
      <c r="X5594">
        <v>12</v>
      </c>
      <c r="Y5594" t="s">
        <v>24540</v>
      </c>
      <c r="Z5594" t="s">
        <v>30912</v>
      </c>
      <c r="AA5594">
        <v>0.39400513764150602</v>
      </c>
      <c r="AB5594" t="str">
        <f>HYPERLINK("Melting_Curves/meltCurve_Q9HBM1_SPC25.pdf", "Melting_Curves/meltCurve_Q9HBM1_SPC25.pdf")</f>
        <v>Melting_Curves/meltCurve_Q9HBM1_SPC25.pdf</v>
      </c>
    </row>
    <row r="5595" spans="1:28" x14ac:dyDescent="0.25">
      <c r="A5595" t="s">
        <v>5599</v>
      </c>
      <c r="B5595">
        <v>0.99542014353169495</v>
      </c>
      <c r="C5595">
        <v>1.0159978888522401</v>
      </c>
      <c r="D5595">
        <v>0.95135656338446695</v>
      </c>
      <c r="E5595">
        <v>0.68352771744561203</v>
      </c>
      <c r="F5595">
        <v>0.46113639878206403</v>
      </c>
      <c r="G5595">
        <v>0.34328760363519201</v>
      </c>
      <c r="H5595">
        <v>0.23355383988459699</v>
      </c>
      <c r="I5595">
        <v>0.17781864195376701</v>
      </c>
      <c r="J5595">
        <v>0.23371975327487199</v>
      </c>
      <c r="K5595">
        <v>0.30550179591139698</v>
      </c>
      <c r="L5595">
        <v>956.78434834684106</v>
      </c>
      <c r="M5595">
        <v>20.020891317763301</v>
      </c>
      <c r="N5595">
        <v>49.359623310062702</v>
      </c>
      <c r="O5595">
        <v>47.320190490845398</v>
      </c>
      <c r="P5595">
        <v>-8.0861555367603796E-2</v>
      </c>
      <c r="Q5595">
        <v>0.23554657804728499</v>
      </c>
      <c r="R5595">
        <v>0.98679384720101604</v>
      </c>
      <c r="S5595" t="s">
        <v>11997</v>
      </c>
      <c r="T5595" t="s">
        <v>12802</v>
      </c>
      <c r="U5595" t="s">
        <v>12802</v>
      </c>
      <c r="V5595" t="s">
        <v>12802</v>
      </c>
      <c r="W5595" t="s">
        <v>18330</v>
      </c>
      <c r="X5595">
        <v>7</v>
      </c>
      <c r="Y5595" t="s">
        <v>24541</v>
      </c>
      <c r="Z5595" t="s">
        <v>30913</v>
      </c>
      <c r="AA5595">
        <v>0.5204932261600248</v>
      </c>
      <c r="AB5595" t="str">
        <f>HYPERLINK("Melting_Curves/meltCurve_Q9HBM6_TAF9B.pdf", "Melting_Curves/meltCurve_Q9HBM6_TAF9B.pdf")</f>
        <v>Melting_Curves/meltCurve_Q9HBM6_TAF9B.pdf</v>
      </c>
    </row>
    <row r="5596" spans="1:28" x14ac:dyDescent="0.25">
      <c r="A5596" t="s">
        <v>5600</v>
      </c>
      <c r="B5596">
        <v>0.99542014353169495</v>
      </c>
      <c r="C5596">
        <v>0.97406008179444303</v>
      </c>
      <c r="D5596">
        <v>0.87305416638826205</v>
      </c>
      <c r="E5596">
        <v>0.79277662744287603</v>
      </c>
      <c r="F5596">
        <v>0.58160320113542097</v>
      </c>
      <c r="G5596">
        <v>0.21650561020144299</v>
      </c>
      <c r="H5596">
        <v>0.10563417389207801</v>
      </c>
      <c r="I5596">
        <v>5.4810747495678699E-2</v>
      </c>
      <c r="J5596">
        <v>5.4555283927184998E-2</v>
      </c>
      <c r="K5596">
        <v>2.8121068655731201E-2</v>
      </c>
      <c r="L5596">
        <v>831.83223408322704</v>
      </c>
      <c r="M5596">
        <v>16.4928027749243</v>
      </c>
      <c r="N5596">
        <v>50.458210564118303</v>
      </c>
      <c r="O5596">
        <v>49.712082007678397</v>
      </c>
      <c r="P5596">
        <v>-8.2648438351327E-2</v>
      </c>
      <c r="Q5596">
        <v>3.6041982097580602E-3</v>
      </c>
      <c r="R5596">
        <v>0.99200778879783602</v>
      </c>
      <c r="S5596" t="s">
        <v>11998</v>
      </c>
      <c r="T5596" t="s">
        <v>12802</v>
      </c>
      <c r="U5596" t="s">
        <v>12802</v>
      </c>
      <c r="V5596" t="s">
        <v>12802</v>
      </c>
      <c r="W5596" t="s">
        <v>18331</v>
      </c>
      <c r="X5596">
        <v>6</v>
      </c>
      <c r="Y5596" t="s">
        <v>24542</v>
      </c>
      <c r="Z5596" t="s">
        <v>30914</v>
      </c>
      <c r="AA5596">
        <v>0.46774166838655151</v>
      </c>
      <c r="AB5596" t="str">
        <f>HYPERLINK("Melting_Curves/meltCurve_Q9HBM8_AGPAT1.pdf", "Melting_Curves/meltCurve_Q9HBM8_AGPAT1.pdf")</f>
        <v>Melting_Curves/meltCurve_Q9HBM8_AGPAT1.pdf</v>
      </c>
    </row>
    <row r="5597" spans="1:28" x14ac:dyDescent="0.25">
      <c r="A5597" t="s">
        <v>5601</v>
      </c>
      <c r="B5597">
        <v>0.99542014353169495</v>
      </c>
      <c r="C5597">
        <v>0.92974785146946504</v>
      </c>
      <c r="D5597">
        <v>0.87575013816481095</v>
      </c>
      <c r="E5597">
        <v>0.49543421415466599</v>
      </c>
      <c r="F5597">
        <v>0.16081963299897301</v>
      </c>
      <c r="G5597">
        <v>8.8177335382194993E-2</v>
      </c>
      <c r="H5597">
        <v>6.7289864706833305E-2</v>
      </c>
      <c r="I5597">
        <v>5.5093885586537598E-2</v>
      </c>
      <c r="J5597">
        <v>5.8797163463444102E-2</v>
      </c>
      <c r="K5597">
        <v>5.1337230312723997E-2</v>
      </c>
      <c r="L5597">
        <v>1115.32882432157</v>
      </c>
      <c r="M5597">
        <v>24.101893768511498</v>
      </c>
      <c r="N5597">
        <v>46.491945475946402</v>
      </c>
      <c r="O5597">
        <v>45.960530653245598</v>
      </c>
      <c r="P5597">
        <v>-0.124147466195765</v>
      </c>
      <c r="Q5597">
        <v>5.3054542923935903E-2</v>
      </c>
      <c r="R5597">
        <v>0.99796155094712702</v>
      </c>
      <c r="S5597" t="s">
        <v>11999</v>
      </c>
      <c r="T5597" t="s">
        <v>12802</v>
      </c>
      <c r="U5597" t="s">
        <v>12802</v>
      </c>
      <c r="V5597" t="s">
        <v>12802</v>
      </c>
      <c r="W5597" t="s">
        <v>18332</v>
      </c>
      <c r="X5597">
        <v>22</v>
      </c>
      <c r="Y5597" t="s">
        <v>24543</v>
      </c>
      <c r="Z5597" t="s">
        <v>30915</v>
      </c>
      <c r="AA5597">
        <v>0.35431937621773157</v>
      </c>
      <c r="AB5597" t="str">
        <f>HYPERLINK("Melting_Curves/meltCurve_Q9HC35_EML4.pdf", "Melting_Curves/meltCurve_Q9HC35_EML4.pdf")</f>
        <v>Melting_Curves/meltCurve_Q9HC35_EML4.pdf</v>
      </c>
    </row>
    <row r="5598" spans="1:28" x14ac:dyDescent="0.25">
      <c r="A5598" t="s">
        <v>5602</v>
      </c>
      <c r="B5598">
        <v>0.99542014353169495</v>
      </c>
      <c r="C5598">
        <v>0.953869047819908</v>
      </c>
      <c r="D5598">
        <v>0.97876532396492399</v>
      </c>
      <c r="E5598">
        <v>0.85135034844620705</v>
      </c>
      <c r="F5598">
        <v>0.63142677305342598</v>
      </c>
      <c r="G5598">
        <v>0.429870275518829</v>
      </c>
      <c r="H5598">
        <v>0.200205689173552</v>
      </c>
      <c r="I5598">
        <v>0.123006243844934</v>
      </c>
      <c r="J5598">
        <v>0.15547009402227499</v>
      </c>
      <c r="K5598">
        <v>0.194224802040179</v>
      </c>
      <c r="L5598">
        <v>900.95745363605704</v>
      </c>
      <c r="M5598">
        <v>17.614572440840401</v>
      </c>
      <c r="N5598">
        <v>52.017406353883302</v>
      </c>
      <c r="O5598">
        <v>50.502839545733899</v>
      </c>
      <c r="P5598">
        <v>-7.6085835571627403E-2</v>
      </c>
      <c r="Q5598">
        <v>0.12746232835320301</v>
      </c>
      <c r="R5598">
        <v>0.99109106108063305</v>
      </c>
      <c r="S5598" t="s">
        <v>12000</v>
      </c>
      <c r="T5598" t="s">
        <v>12802</v>
      </c>
      <c r="U5598" t="s">
        <v>12802</v>
      </c>
      <c r="V5598" t="s">
        <v>12802</v>
      </c>
      <c r="W5598" t="s">
        <v>18333</v>
      </c>
      <c r="X5598">
        <v>3</v>
      </c>
      <c r="Y5598" t="s">
        <v>24544</v>
      </c>
      <c r="Z5598" t="s">
        <v>30916</v>
      </c>
      <c r="AA5598">
        <v>0.55290420700151899</v>
      </c>
      <c r="AB5598" t="str">
        <f>HYPERLINK("Melting_Curves/meltCurve_Q9HC36_RNMTL1.pdf", "Melting_Curves/meltCurve_Q9HC36_RNMTL1.pdf")</f>
        <v>Melting_Curves/meltCurve_Q9HC36_RNMTL1.pdf</v>
      </c>
    </row>
    <row r="5599" spans="1:28" x14ac:dyDescent="0.25">
      <c r="A5599" t="s">
        <v>5603</v>
      </c>
      <c r="B5599">
        <v>0.99542014353169495</v>
      </c>
      <c r="C5599">
        <v>1.0677151914984599</v>
      </c>
      <c r="D5599">
        <v>0.98735199104812299</v>
      </c>
      <c r="E5599">
        <v>0.90960633216860598</v>
      </c>
      <c r="F5599">
        <v>0.31596475878388403</v>
      </c>
      <c r="G5599">
        <v>0.12270305148708099</v>
      </c>
      <c r="H5599">
        <v>6.4995293465843901E-2</v>
      </c>
      <c r="I5599">
        <v>4.5010269220024497E-2</v>
      </c>
      <c r="J5599">
        <v>4.3192127938587802E-2</v>
      </c>
      <c r="K5599">
        <v>4.85174045582644E-2</v>
      </c>
      <c r="L5599">
        <v>1980.5310664938099</v>
      </c>
      <c r="M5599">
        <v>40.375112763787001</v>
      </c>
      <c r="N5599">
        <v>49.202583317638201</v>
      </c>
      <c r="O5599">
        <v>48.933364070936101</v>
      </c>
      <c r="P5599">
        <v>-0.19438246019279801</v>
      </c>
      <c r="Q5599">
        <v>5.7659741937384497E-2</v>
      </c>
      <c r="R5599">
        <v>0.99643885490087902</v>
      </c>
      <c r="S5599" t="s">
        <v>12001</v>
      </c>
      <c r="T5599" t="s">
        <v>12802</v>
      </c>
      <c r="U5599" t="s">
        <v>12802</v>
      </c>
      <c r="V5599" t="s">
        <v>12802</v>
      </c>
      <c r="W5599" t="s">
        <v>18334</v>
      </c>
      <c r="X5599">
        <v>25</v>
      </c>
      <c r="Y5599" t="s">
        <v>24545</v>
      </c>
      <c r="Z5599" t="s">
        <v>30917</v>
      </c>
      <c r="AA5599">
        <v>0.43940392847956389</v>
      </c>
      <c r="AB5599" t="str">
        <f>HYPERLINK("Melting_Curves/meltCurve_Q9HC38_2_GLOD4.pdf", "Melting_Curves/meltCurve_Q9HC38_2_GLOD4.pdf")</f>
        <v>Melting_Curves/meltCurve_Q9HC38_2_GLOD4.pdf</v>
      </c>
    </row>
    <row r="5600" spans="1:28" x14ac:dyDescent="0.25">
      <c r="A5600" t="s">
        <v>5604</v>
      </c>
      <c r="B5600">
        <v>0.99542014353169495</v>
      </c>
      <c r="C5600">
        <v>1.0039763679934399</v>
      </c>
      <c r="D5600">
        <v>0.91707122770342397</v>
      </c>
      <c r="E5600">
        <v>0.63148061657760701</v>
      </c>
      <c r="F5600">
        <v>0.52812434384764095</v>
      </c>
      <c r="G5600">
        <v>0.41229429022757802</v>
      </c>
      <c r="H5600">
        <v>0.228356178351766</v>
      </c>
      <c r="I5600">
        <v>0.181507074297272</v>
      </c>
      <c r="J5600">
        <v>0.30203149112799499</v>
      </c>
      <c r="K5600">
        <v>0.46835601944137301</v>
      </c>
      <c r="L5600">
        <v>865.04860057313397</v>
      </c>
      <c r="M5600">
        <v>18.3675394974974</v>
      </c>
      <c r="N5600">
        <v>49.592228591397898</v>
      </c>
      <c r="O5600">
        <v>46.548972003763197</v>
      </c>
      <c r="P5600">
        <v>-6.8897979735646805E-2</v>
      </c>
      <c r="Q5600">
        <v>0.30159729994419199</v>
      </c>
      <c r="R5600">
        <v>0.927599535697331</v>
      </c>
      <c r="S5600" t="s">
        <v>12002</v>
      </c>
      <c r="T5600" t="s">
        <v>12802</v>
      </c>
      <c r="U5600" t="s">
        <v>12802</v>
      </c>
      <c r="V5600" t="s">
        <v>12802</v>
      </c>
      <c r="W5600" t="s">
        <v>18335</v>
      </c>
      <c r="X5600">
        <v>2</v>
      </c>
      <c r="Y5600" t="s">
        <v>24546</v>
      </c>
      <c r="Z5600" t="s">
        <v>30918</v>
      </c>
      <c r="AA5600">
        <v>0.54742946464767639</v>
      </c>
      <c r="AB5600" t="str">
        <f>HYPERLINK("Melting_Curves/meltCurve_Q9HC44_GPBP1L1.pdf", "Melting_Curves/meltCurve_Q9HC44_GPBP1L1.pdf")</f>
        <v>Melting_Curves/meltCurve_Q9HC44_GPBP1L1.pdf</v>
      </c>
    </row>
    <row r="5601" spans="1:28" x14ac:dyDescent="0.25">
      <c r="A5601" t="s">
        <v>5605</v>
      </c>
      <c r="B5601">
        <v>0.99542014353169495</v>
      </c>
      <c r="C5601">
        <v>0.94464929012343202</v>
      </c>
      <c r="D5601">
        <v>0.90677440702954104</v>
      </c>
      <c r="E5601">
        <v>0.68295054445085102</v>
      </c>
      <c r="F5601">
        <v>0.51513739787316404</v>
      </c>
      <c r="G5601">
        <v>0.423017985909796</v>
      </c>
      <c r="H5601">
        <v>0.31580725308244301</v>
      </c>
      <c r="I5601">
        <v>0.32160995455340802</v>
      </c>
      <c r="J5601">
        <v>0.46562356225135998</v>
      </c>
      <c r="K5601">
        <v>0.37396638466865301</v>
      </c>
      <c r="L5601">
        <v>886.26602857821604</v>
      </c>
      <c r="M5601">
        <v>18.9803015452</v>
      </c>
      <c r="N5601">
        <v>50.185806808605697</v>
      </c>
      <c r="O5601">
        <v>46.184914332373197</v>
      </c>
      <c r="P5601">
        <v>-6.5087542923170594E-2</v>
      </c>
      <c r="Q5601">
        <v>0.36651311367871697</v>
      </c>
      <c r="R5601">
        <v>0.97191599679109997</v>
      </c>
      <c r="S5601" t="s">
        <v>12003</v>
      </c>
      <c r="T5601" t="s">
        <v>12802</v>
      </c>
      <c r="U5601" t="s">
        <v>12802</v>
      </c>
      <c r="V5601" t="s">
        <v>12802</v>
      </c>
      <c r="W5601" t="s">
        <v>18336</v>
      </c>
      <c r="X5601">
        <v>22</v>
      </c>
      <c r="Y5601" t="s">
        <v>24547</v>
      </c>
      <c r="Z5601" t="s">
        <v>30919</v>
      </c>
      <c r="AA5601">
        <v>0.58039990745431924</v>
      </c>
      <c r="AB5601" t="str">
        <f>HYPERLINK("Melting_Curves/meltCurve_Q9HCC0_MCCC2.pdf", "Melting_Curves/meltCurve_Q9HCC0_MCCC2.pdf")</f>
        <v>Melting_Curves/meltCurve_Q9HCC0_MCCC2.pdf</v>
      </c>
    </row>
    <row r="5602" spans="1:28" x14ac:dyDescent="0.25">
      <c r="A5602" t="s">
        <v>5606</v>
      </c>
      <c r="B5602">
        <v>0.99542014353169495</v>
      </c>
      <c r="C5602">
        <v>1.01850569623674</v>
      </c>
      <c r="D5602">
        <v>1.0208086400365199</v>
      </c>
      <c r="E5602">
        <v>0.89710652336761099</v>
      </c>
      <c r="F5602">
        <v>0.53407338820566597</v>
      </c>
      <c r="G5602">
        <v>0.203232206746845</v>
      </c>
      <c r="H5602">
        <v>0.103593347257112</v>
      </c>
      <c r="I5602">
        <v>7.6718746713191302E-2</v>
      </c>
      <c r="J5602">
        <v>0.100791159547202</v>
      </c>
      <c r="K5602">
        <v>0.14547642514482001</v>
      </c>
      <c r="L5602">
        <v>1487.1478839659201</v>
      </c>
      <c r="M5602">
        <v>29.7195845010692</v>
      </c>
      <c r="N5602">
        <v>50.422982641592498</v>
      </c>
      <c r="O5602">
        <v>49.814387124039399</v>
      </c>
      <c r="P5602">
        <v>-0.134059671807957</v>
      </c>
      <c r="Q5602">
        <v>0.101190984736883</v>
      </c>
      <c r="R5602">
        <v>0.99735273908875699</v>
      </c>
      <c r="S5602" t="s">
        <v>12004</v>
      </c>
      <c r="T5602" t="s">
        <v>12802</v>
      </c>
      <c r="U5602" t="s">
        <v>12802</v>
      </c>
      <c r="V5602" t="s">
        <v>12802</v>
      </c>
      <c r="W5602" t="s">
        <v>18337</v>
      </c>
      <c r="X5602">
        <v>12</v>
      </c>
      <c r="Y5602" t="s">
        <v>24548</v>
      </c>
      <c r="Z5602" t="s">
        <v>30920</v>
      </c>
      <c r="AA5602">
        <v>0.49747450220797418</v>
      </c>
      <c r="AB5602" t="str">
        <f>HYPERLINK("Melting_Curves/meltCurve_Q9HCD5_NCOA5.pdf", "Melting_Curves/meltCurve_Q9HCD5_NCOA5.pdf")</f>
        <v>Melting_Curves/meltCurve_Q9HCD5_NCOA5.pdf</v>
      </c>
    </row>
    <row r="5603" spans="1:28" x14ac:dyDescent="0.25">
      <c r="A5603" t="s">
        <v>5607</v>
      </c>
      <c r="B5603">
        <v>0.99542014353169495</v>
      </c>
      <c r="C5603">
        <v>0.92810875393141001</v>
      </c>
      <c r="D5603">
        <v>0.82953559974179203</v>
      </c>
      <c r="E5603">
        <v>0.62000051133605605</v>
      </c>
      <c r="F5603">
        <v>0.450477220758011</v>
      </c>
      <c r="G5603">
        <v>0.176633471174198</v>
      </c>
      <c r="H5603">
        <v>0.109132472032571</v>
      </c>
      <c r="I5603">
        <v>4.8000225944921898E-2</v>
      </c>
      <c r="J5603">
        <v>8.80974136587067E-2</v>
      </c>
      <c r="K5603">
        <v>0.122360718610661</v>
      </c>
      <c r="L5603">
        <v>674.34452766032996</v>
      </c>
      <c r="M5603">
        <v>14.027150990641699</v>
      </c>
      <c r="N5603">
        <v>48.415270042575202</v>
      </c>
      <c r="O5603">
        <v>47.128781147750701</v>
      </c>
      <c r="P5603">
        <v>-7.0917639392476903E-2</v>
      </c>
      <c r="Q5603">
        <v>4.7041304384738997E-2</v>
      </c>
      <c r="R5603">
        <v>0.98963652450160999</v>
      </c>
      <c r="S5603" t="s">
        <v>12005</v>
      </c>
      <c r="T5603" t="s">
        <v>12802</v>
      </c>
      <c r="U5603" t="s">
        <v>12802</v>
      </c>
      <c r="V5603" t="s">
        <v>12802</v>
      </c>
      <c r="W5603" t="s">
        <v>18338</v>
      </c>
      <c r="X5603">
        <v>4</v>
      </c>
      <c r="Y5603" t="s">
        <v>24549</v>
      </c>
      <c r="Z5603" t="s">
        <v>30921</v>
      </c>
      <c r="AA5603">
        <v>0.42221321993840388</v>
      </c>
      <c r="AB5603" t="str">
        <f>HYPERLINK("Melting_Curves/meltCurve_Q9HCE1_MOV10.pdf", "Melting_Curves/meltCurve_Q9HCE1_MOV10.pdf")</f>
        <v>Melting_Curves/meltCurve_Q9HCE1_MOV10.pdf</v>
      </c>
    </row>
    <row r="5604" spans="1:28" x14ac:dyDescent="0.25">
      <c r="A5604" t="s">
        <v>5608</v>
      </c>
      <c r="B5604">
        <v>0.99542014353169495</v>
      </c>
      <c r="C5604">
        <v>1.0132313149305401</v>
      </c>
      <c r="D5604">
        <v>0.940974964262282</v>
      </c>
      <c r="E5604">
        <v>0.88703530943056597</v>
      </c>
      <c r="F5604">
        <v>0.64983657252058802</v>
      </c>
      <c r="G5604">
        <v>0.27606846357619702</v>
      </c>
      <c r="H5604">
        <v>8.8823940318424902E-2</v>
      </c>
      <c r="I5604">
        <v>9.3292847012482097E-2</v>
      </c>
      <c r="J5604">
        <v>6.0970088741486003E-2</v>
      </c>
      <c r="K5604">
        <v>7.1190162559351094E-2</v>
      </c>
      <c r="L5604">
        <v>1197.0204897282199</v>
      </c>
      <c r="M5604">
        <v>23.4113799153812</v>
      </c>
      <c r="N5604">
        <v>51.383414663545203</v>
      </c>
      <c r="O5604">
        <v>50.761184988327003</v>
      </c>
      <c r="P5604">
        <v>-0.109013909516137</v>
      </c>
      <c r="Q5604">
        <v>5.45489106751414E-2</v>
      </c>
      <c r="R5604">
        <v>0.99679142425429601</v>
      </c>
      <c r="S5604" t="s">
        <v>12006</v>
      </c>
      <c r="T5604" t="s">
        <v>12802</v>
      </c>
      <c r="U5604" t="s">
        <v>12802</v>
      </c>
      <c r="V5604" t="s">
        <v>12802</v>
      </c>
      <c r="W5604" t="s">
        <v>18339</v>
      </c>
      <c r="X5604">
        <v>11</v>
      </c>
      <c r="Y5604" t="s">
        <v>24550</v>
      </c>
      <c r="Z5604" t="s">
        <v>30922</v>
      </c>
      <c r="AA5604">
        <v>0.50926402744437504</v>
      </c>
      <c r="AB5604" t="str">
        <f>HYPERLINK("Melting_Curves/meltCurve_Q9HCE5_METTL14.pdf", "Melting_Curves/meltCurve_Q9HCE5_METTL14.pdf")</f>
        <v>Melting_Curves/meltCurve_Q9HCE5_METTL14.pdf</v>
      </c>
    </row>
    <row r="5605" spans="1:28" x14ac:dyDescent="0.25">
      <c r="A5605" t="s">
        <v>5609</v>
      </c>
      <c r="B5605">
        <v>0.99542014353169495</v>
      </c>
      <c r="C5605">
        <v>0.74420867207500796</v>
      </c>
      <c r="D5605">
        <v>0.51692671997263695</v>
      </c>
      <c r="E5605">
        <v>0.20058520388117701</v>
      </c>
      <c r="F5605">
        <v>0.109808726043206</v>
      </c>
      <c r="G5605">
        <v>6.6578347357969803E-2</v>
      </c>
      <c r="H5605">
        <v>4.0270544917467802E-2</v>
      </c>
      <c r="I5605">
        <v>3.57141952092924E-2</v>
      </c>
      <c r="J5605">
        <v>3.01058919283771E-2</v>
      </c>
      <c r="K5605">
        <v>3.5334949127580402E-2</v>
      </c>
      <c r="L5605">
        <v>753.07900095124103</v>
      </c>
      <c r="M5605">
        <v>17.610677877426301</v>
      </c>
      <c r="N5605">
        <v>42.929460354843897</v>
      </c>
      <c r="O5605">
        <v>42.222671562842102</v>
      </c>
      <c r="P5605">
        <v>-0.10082941999791301</v>
      </c>
      <c r="Q5605">
        <v>3.3073334657553202E-2</v>
      </c>
      <c r="R5605">
        <v>0.994755927925697</v>
      </c>
      <c r="S5605" t="s">
        <v>12007</v>
      </c>
      <c r="T5605" t="s">
        <v>12802</v>
      </c>
      <c r="U5605" t="s">
        <v>12802</v>
      </c>
      <c r="V5605" t="s">
        <v>12802</v>
      </c>
      <c r="W5605" t="s">
        <v>18340</v>
      </c>
      <c r="X5605">
        <v>10</v>
      </c>
      <c r="Y5605" t="s">
        <v>24551</v>
      </c>
      <c r="Z5605" t="s">
        <v>30923</v>
      </c>
      <c r="AA5605">
        <v>0.23708682097157449</v>
      </c>
      <c r="AB5605" t="str">
        <f>HYPERLINK("Melting_Curves/meltCurve_Q9HCK8_2_CHD8.pdf", "Melting_Curves/meltCurve_Q9HCK8_2_CHD8.pdf")</f>
        <v>Melting_Curves/meltCurve_Q9HCK8_2_CHD8.pdf</v>
      </c>
    </row>
    <row r="5606" spans="1:28" x14ac:dyDescent="0.25">
      <c r="A5606" t="s">
        <v>5610</v>
      </c>
      <c r="B5606">
        <v>0.99542014353169495</v>
      </c>
      <c r="C5606">
        <v>0.96444698197595902</v>
      </c>
      <c r="D5606">
        <v>0.84835868920572099</v>
      </c>
      <c r="E5606">
        <v>0.71521615838062402</v>
      </c>
      <c r="F5606">
        <v>0.61895744322672996</v>
      </c>
      <c r="G5606">
        <v>0.40819062182653698</v>
      </c>
      <c r="H5606">
        <v>0.34869138089426999</v>
      </c>
      <c r="I5606">
        <v>0.303314595652519</v>
      </c>
      <c r="J5606">
        <v>0.31575770136221998</v>
      </c>
      <c r="K5606">
        <v>0.280787279842659</v>
      </c>
      <c r="L5606">
        <v>571.97886752416605</v>
      </c>
      <c r="M5606">
        <v>11.7039236192616</v>
      </c>
      <c r="N5606">
        <v>51.9247361713579</v>
      </c>
      <c r="O5606">
        <v>47.509401768305899</v>
      </c>
      <c r="P5606">
        <v>-4.62763180076423E-2</v>
      </c>
      <c r="Q5606">
        <v>0.24880695011529</v>
      </c>
      <c r="R5606">
        <v>0.992058914883853</v>
      </c>
      <c r="S5606" t="s">
        <v>12008</v>
      </c>
      <c r="T5606" t="s">
        <v>12802</v>
      </c>
      <c r="U5606" t="s">
        <v>12802</v>
      </c>
      <c r="V5606" t="s">
        <v>12802</v>
      </c>
      <c r="W5606" t="s">
        <v>18341</v>
      </c>
      <c r="X5606">
        <v>4</v>
      </c>
      <c r="Y5606" t="s">
        <v>24552</v>
      </c>
      <c r="Z5606" t="s">
        <v>30924</v>
      </c>
      <c r="AA5606">
        <v>0.5692890364186397</v>
      </c>
      <c r="AB5606" t="str">
        <f>HYPERLINK("Melting_Curves/meltCurve_Q9HCN3_TMEM8A.pdf", "Melting_Curves/meltCurve_Q9HCN3_TMEM8A.pdf")</f>
        <v>Melting_Curves/meltCurve_Q9HCN3_TMEM8A.pdf</v>
      </c>
    </row>
    <row r="5607" spans="1:28" x14ac:dyDescent="0.25">
      <c r="A5607" t="s">
        <v>5611</v>
      </c>
      <c r="B5607">
        <v>0.99542014353169495</v>
      </c>
      <c r="C5607">
        <v>0.87126128526837898</v>
      </c>
      <c r="D5607">
        <v>0.83869839477546304</v>
      </c>
      <c r="E5607">
        <v>0.768249919572637</v>
      </c>
      <c r="F5607">
        <v>0.81330232790836299</v>
      </c>
      <c r="G5607">
        <v>0.70146062623640004</v>
      </c>
      <c r="H5607">
        <v>0.55099617951834101</v>
      </c>
      <c r="I5607">
        <v>0.50112809552955195</v>
      </c>
      <c r="J5607">
        <v>0.64753945934458101</v>
      </c>
      <c r="K5607">
        <v>0.58297410588413501</v>
      </c>
      <c r="L5607">
        <v>339.81579605296901</v>
      </c>
      <c r="M5607">
        <v>6.9416763448721497</v>
      </c>
      <c r="O5607">
        <v>45.374966484358602</v>
      </c>
      <c r="P5607">
        <v>-1.9436565160874199E-2</v>
      </c>
      <c r="Q5607">
        <v>0.49277338698871898</v>
      </c>
      <c r="R5607">
        <v>0.848629098692539</v>
      </c>
      <c r="S5607" t="s">
        <v>12009</v>
      </c>
      <c r="T5607" t="s">
        <v>12802</v>
      </c>
      <c r="U5607" t="s">
        <v>12802</v>
      </c>
      <c r="V5607" t="s">
        <v>12802</v>
      </c>
      <c r="W5607" t="s">
        <v>18342</v>
      </c>
      <c r="X5607">
        <v>9</v>
      </c>
      <c r="Y5607" t="s">
        <v>24553</v>
      </c>
      <c r="Z5607" t="s">
        <v>30925</v>
      </c>
      <c r="AA5607">
        <v>0.72147863714335614</v>
      </c>
      <c r="AB5607" t="str">
        <f>HYPERLINK("Melting_Curves/meltCurve_Q9HCN4_4_GPN1.pdf", "Melting_Curves/meltCurve_Q9HCN4_4_GPN1.pdf")</f>
        <v>Melting_Curves/meltCurve_Q9HCN4_4_GPN1.pdf</v>
      </c>
    </row>
    <row r="5608" spans="1:28" x14ac:dyDescent="0.25">
      <c r="A5608" t="s">
        <v>5612</v>
      </c>
      <c r="B5608">
        <v>0.99542014353169495</v>
      </c>
      <c r="C5608">
        <v>0.99744437224712601</v>
      </c>
      <c r="D5608">
        <v>0.88783438586518404</v>
      </c>
      <c r="E5608">
        <v>0.59123802783208101</v>
      </c>
      <c r="F5608">
        <v>0.37555665209639399</v>
      </c>
      <c r="G5608">
        <v>0.187834166963121</v>
      </c>
      <c r="H5608">
        <v>0.106341576370882</v>
      </c>
      <c r="I5608">
        <v>6.8331382504864202E-2</v>
      </c>
      <c r="J5608">
        <v>6.9345352620447803E-2</v>
      </c>
      <c r="K5608">
        <v>6.10488129933459E-2</v>
      </c>
      <c r="L5608">
        <v>786.90216164717106</v>
      </c>
      <c r="M5608">
        <v>16.4527477423436</v>
      </c>
      <c r="N5608">
        <v>48.150995230403097</v>
      </c>
      <c r="O5608">
        <v>47.138169727811402</v>
      </c>
      <c r="P5608">
        <v>-8.2705096149378696E-2</v>
      </c>
      <c r="Q5608">
        <v>5.2244826251915302E-2</v>
      </c>
      <c r="R5608">
        <v>0.997646976424443</v>
      </c>
      <c r="S5608" t="s">
        <v>12010</v>
      </c>
      <c r="T5608" t="s">
        <v>12802</v>
      </c>
      <c r="U5608" t="s">
        <v>12802</v>
      </c>
      <c r="V5608" t="s">
        <v>12802</v>
      </c>
      <c r="W5608" t="s">
        <v>18343</v>
      </c>
      <c r="X5608">
        <v>5</v>
      </c>
      <c r="Y5608" t="s">
        <v>24554</v>
      </c>
      <c r="Z5608" t="s">
        <v>30926</v>
      </c>
      <c r="AA5608">
        <v>0.41216042329053731</v>
      </c>
      <c r="AB5608" t="str">
        <f>HYPERLINK("Melting_Curves/meltCurve_Q9HCN8_SDF2L1.pdf", "Melting_Curves/meltCurve_Q9HCN8_SDF2L1.pdf")</f>
        <v>Melting_Curves/meltCurve_Q9HCN8_SDF2L1.pdf</v>
      </c>
    </row>
    <row r="5609" spans="1:28" x14ac:dyDescent="0.25">
      <c r="A5609" t="s">
        <v>5613</v>
      </c>
      <c r="B5609">
        <v>0.99542014353169495</v>
      </c>
      <c r="C5609">
        <v>0.97755434745700598</v>
      </c>
      <c r="D5609">
        <v>0.87110252086529105</v>
      </c>
      <c r="E5609">
        <v>0.83514835817621702</v>
      </c>
      <c r="F5609">
        <v>0.65310133820970995</v>
      </c>
      <c r="G5609">
        <v>0.50094347070281797</v>
      </c>
      <c r="H5609">
        <v>0.25750671161632099</v>
      </c>
      <c r="I5609">
        <v>0.13289165228450101</v>
      </c>
      <c r="J5609">
        <v>0.151404933208867</v>
      </c>
      <c r="K5609">
        <v>9.7971011806001998E-2</v>
      </c>
      <c r="L5609">
        <v>599.82413189682302</v>
      </c>
      <c r="M5609">
        <v>11.3331838841638</v>
      </c>
      <c r="N5609">
        <v>52.926365220254901</v>
      </c>
      <c r="O5609">
        <v>51.358831114018002</v>
      </c>
      <c r="P5609">
        <v>-5.5183264926795997E-2</v>
      </c>
      <c r="Q5609">
        <v>0</v>
      </c>
      <c r="R5609">
        <v>0.99101941208090505</v>
      </c>
      <c r="S5609" t="s">
        <v>12011</v>
      </c>
      <c r="T5609" t="s">
        <v>12802</v>
      </c>
      <c r="U5609" t="s">
        <v>12802</v>
      </c>
      <c r="V5609" t="s">
        <v>12802</v>
      </c>
      <c r="W5609" t="s">
        <v>18344</v>
      </c>
      <c r="X5609">
        <v>7</v>
      </c>
      <c r="Y5609" t="s">
        <v>24555</v>
      </c>
      <c r="Z5609" t="s">
        <v>30927</v>
      </c>
      <c r="AA5609">
        <v>0.55277008646004799</v>
      </c>
      <c r="AB5609" t="str">
        <f>HYPERLINK("Melting_Curves/meltCurve_Q9HCP0_2_CSNK1G1.pdf", "Melting_Curves/meltCurve_Q9HCP0_2_CSNK1G1.pdf")</f>
        <v>Melting_Curves/meltCurve_Q9HCP0_2_CSNK1G1.pdf</v>
      </c>
    </row>
    <row r="5610" spans="1:28" x14ac:dyDescent="0.25">
      <c r="A5610" t="s">
        <v>5614</v>
      </c>
      <c r="B5610">
        <v>0.99542014353169495</v>
      </c>
      <c r="C5610">
        <v>0.96346825062331398</v>
      </c>
      <c r="D5610">
        <v>0.93719837661268701</v>
      </c>
      <c r="E5610">
        <v>0.76083174026950595</v>
      </c>
      <c r="F5610">
        <v>0.64873564742055301</v>
      </c>
      <c r="G5610">
        <v>0.39756080244018499</v>
      </c>
      <c r="H5610">
        <v>0.23109035085303201</v>
      </c>
      <c r="I5610">
        <v>9.6505312080407898E-2</v>
      </c>
      <c r="J5610">
        <v>4.1608754627985703E-2</v>
      </c>
      <c r="K5610">
        <v>4.41662592781535E-2</v>
      </c>
      <c r="L5610">
        <v>679.25118731670705</v>
      </c>
      <c r="M5610">
        <v>13.0914515770683</v>
      </c>
      <c r="N5610">
        <v>51.885093613799398</v>
      </c>
      <c r="O5610">
        <v>50.719231652692798</v>
      </c>
      <c r="P5610">
        <v>-6.4540125539269799E-2</v>
      </c>
      <c r="Q5610">
        <v>0</v>
      </c>
      <c r="R5610">
        <v>0.99492017981295999</v>
      </c>
      <c r="S5610" t="s">
        <v>12012</v>
      </c>
      <c r="T5610" t="s">
        <v>12802</v>
      </c>
      <c r="U5610" t="s">
        <v>12802</v>
      </c>
      <c r="V5610" t="s">
        <v>12802</v>
      </c>
      <c r="W5610" t="s">
        <v>18345</v>
      </c>
      <c r="X5610">
        <v>11</v>
      </c>
      <c r="Y5610" t="s">
        <v>24556</v>
      </c>
      <c r="Z5610" t="s">
        <v>30928</v>
      </c>
      <c r="AA5610">
        <v>0.51843051169317211</v>
      </c>
      <c r="AB5610" t="str">
        <f>HYPERLINK("Melting_Curves/meltCurve_Q9HCU5_PREB.pdf", "Melting_Curves/meltCurve_Q9HCU5_PREB.pdf")</f>
        <v>Melting_Curves/meltCurve_Q9HCU5_PREB.pdf</v>
      </c>
    </row>
    <row r="5611" spans="1:28" x14ac:dyDescent="0.25">
      <c r="A5611" t="s">
        <v>5615</v>
      </c>
      <c r="B5611">
        <v>0.99542014353169495</v>
      </c>
      <c r="C5611">
        <v>0.89797134039359505</v>
      </c>
      <c r="D5611">
        <v>0.88747417555034203</v>
      </c>
      <c r="E5611">
        <v>0.70153256611940495</v>
      </c>
      <c r="F5611">
        <v>0.573639175635559</v>
      </c>
      <c r="G5611">
        <v>0.39531373725570901</v>
      </c>
      <c r="H5611">
        <v>0.26569631484200701</v>
      </c>
      <c r="I5611">
        <v>0.191632330154103</v>
      </c>
      <c r="J5611">
        <v>0.122475558345914</v>
      </c>
      <c r="K5611">
        <v>0.121531500470781</v>
      </c>
      <c r="L5611">
        <v>483.02355615030302</v>
      </c>
      <c r="M5611">
        <v>9.4185716489135594</v>
      </c>
      <c r="N5611">
        <v>51.370307042399702</v>
      </c>
      <c r="O5611">
        <v>49.131717906259802</v>
      </c>
      <c r="P5611">
        <v>-4.7578668690296803E-2</v>
      </c>
      <c r="Q5611">
        <v>7.8351665434595302E-3</v>
      </c>
      <c r="R5611">
        <v>0.99611856077946703</v>
      </c>
      <c r="S5611" t="s">
        <v>12013</v>
      </c>
      <c r="T5611" t="s">
        <v>12802</v>
      </c>
      <c r="U5611" t="s">
        <v>12802</v>
      </c>
      <c r="V5611" t="s">
        <v>12802</v>
      </c>
      <c r="W5611" t="s">
        <v>18346</v>
      </c>
      <c r="X5611">
        <v>2</v>
      </c>
      <c r="Y5611" t="s">
        <v>24557</v>
      </c>
      <c r="Z5611" t="s">
        <v>30929</v>
      </c>
      <c r="AA5611">
        <v>0.51057307960366194</v>
      </c>
      <c r="AB5611" t="str">
        <f>HYPERLINK("Melting_Curves/meltCurve_Q9HCU8_POLD4.pdf", "Melting_Curves/meltCurve_Q9HCU8_POLD4.pdf")</f>
        <v>Melting_Curves/meltCurve_Q9HCU8_POLD4.pdf</v>
      </c>
    </row>
    <row r="5612" spans="1:28" x14ac:dyDescent="0.25">
      <c r="A5612" t="s">
        <v>5616</v>
      </c>
      <c r="B5612">
        <v>0.99542014353169495</v>
      </c>
      <c r="C5612">
        <v>1.03505762925862</v>
      </c>
      <c r="D5612">
        <v>0.9708841233319</v>
      </c>
      <c r="E5612">
        <v>0.93089646974572304</v>
      </c>
      <c r="F5612">
        <v>0.74896155538118703</v>
      </c>
      <c r="G5612">
        <v>0.46101255624404303</v>
      </c>
      <c r="H5612">
        <v>0.17803632348839801</v>
      </c>
      <c r="I5612">
        <v>9.9755295994628596E-2</v>
      </c>
      <c r="J5612">
        <v>9.6461511021086299E-2</v>
      </c>
      <c r="K5612">
        <v>0.105594297705542</v>
      </c>
      <c r="L5612">
        <v>1122.5730046910901</v>
      </c>
      <c r="M5612">
        <v>21.3204182478426</v>
      </c>
      <c r="N5612">
        <v>53.036359464006402</v>
      </c>
      <c r="O5612">
        <v>52.195852157101498</v>
      </c>
      <c r="P5612">
        <v>-9.4818275838833899E-2</v>
      </c>
      <c r="Q5612">
        <v>7.1501417006166704E-2</v>
      </c>
      <c r="R5612">
        <v>0.99691550456028</v>
      </c>
      <c r="S5612" t="s">
        <v>12014</v>
      </c>
      <c r="T5612" t="s">
        <v>12802</v>
      </c>
      <c r="U5612" t="s">
        <v>12802</v>
      </c>
      <c r="V5612" t="s">
        <v>12802</v>
      </c>
      <c r="W5612" t="s">
        <v>18347</v>
      </c>
      <c r="X5612">
        <v>15</v>
      </c>
      <c r="Y5612" t="s">
        <v>24558</v>
      </c>
      <c r="Z5612" t="s">
        <v>30930</v>
      </c>
      <c r="AA5612">
        <v>0.56665903710800403</v>
      </c>
      <c r="AB5612" t="str">
        <f>HYPERLINK("Melting_Curves/meltCurve_Q9HD15_SRA1.pdf", "Melting_Curves/meltCurve_Q9HD15_SRA1.pdf")</f>
        <v>Melting_Curves/meltCurve_Q9HD15_SRA1.pdf</v>
      </c>
    </row>
    <row r="5613" spans="1:28" x14ac:dyDescent="0.25">
      <c r="A5613" t="s">
        <v>5617</v>
      </c>
      <c r="B5613">
        <v>0.99542014353169495</v>
      </c>
      <c r="C5613">
        <v>0.92118192685365996</v>
      </c>
      <c r="D5613">
        <v>0.96616296235451704</v>
      </c>
      <c r="E5613">
        <v>0.68976856621638305</v>
      </c>
      <c r="F5613">
        <v>0.656466108252312</v>
      </c>
      <c r="G5613">
        <v>0.25338633093975899</v>
      </c>
      <c r="H5613">
        <v>0.100935086017375</v>
      </c>
      <c r="I5613">
        <v>6.4232934169389494E-2</v>
      </c>
      <c r="J5613">
        <v>6.9482182729283401E-2</v>
      </c>
      <c r="K5613">
        <v>6.0570079122714698E-2</v>
      </c>
      <c r="L5613">
        <v>755.76800744094703</v>
      </c>
      <c r="M5613">
        <v>14.9248423928282</v>
      </c>
      <c r="N5613">
        <v>50.675451021382003</v>
      </c>
      <c r="O5613">
        <v>49.755241230328402</v>
      </c>
      <c r="P5613">
        <v>-7.4590521936008999E-2</v>
      </c>
      <c r="Q5613">
        <v>5.4468882573382796E-3</v>
      </c>
      <c r="R5613">
        <v>0.97651142937572899</v>
      </c>
      <c r="S5613" t="s">
        <v>12015</v>
      </c>
      <c r="T5613" t="s">
        <v>12802</v>
      </c>
      <c r="U5613" t="s">
        <v>12802</v>
      </c>
      <c r="V5613" t="s">
        <v>12802</v>
      </c>
      <c r="W5613" t="s">
        <v>18348</v>
      </c>
      <c r="X5613">
        <v>19</v>
      </c>
      <c r="Y5613" t="s">
        <v>24559</v>
      </c>
      <c r="Z5613" t="s">
        <v>30931</v>
      </c>
      <c r="AA5613">
        <v>0.47804036196618971</v>
      </c>
      <c r="AB5613" t="str">
        <f>HYPERLINK("Melting_Curves/meltCurve_Q9HD20_2_ATP13A1.pdf", "Melting_Curves/meltCurve_Q9HD20_2_ATP13A1.pdf")</f>
        <v>Melting_Curves/meltCurve_Q9HD20_2_ATP13A1.pdf</v>
      </c>
    </row>
    <row r="5614" spans="1:28" x14ac:dyDescent="0.25">
      <c r="A5614" t="s">
        <v>5618</v>
      </c>
      <c r="B5614">
        <v>0.99542014353169495</v>
      </c>
      <c r="C5614">
        <v>0.89410117065347305</v>
      </c>
      <c r="D5614">
        <v>1.0205575539195899</v>
      </c>
      <c r="E5614">
        <v>0.66666283951360406</v>
      </c>
      <c r="F5614">
        <v>0.60673558236467395</v>
      </c>
      <c r="G5614">
        <v>0.25069755803955202</v>
      </c>
      <c r="H5614">
        <v>0.20329478313601801</v>
      </c>
      <c r="I5614">
        <v>6.9174639785327993E-2</v>
      </c>
      <c r="J5614">
        <v>4.9939142848132403E-2</v>
      </c>
      <c r="K5614">
        <v>4.6507787098781103E-2</v>
      </c>
      <c r="L5614">
        <v>683.16739777020598</v>
      </c>
      <c r="M5614">
        <v>13.504106777911399</v>
      </c>
      <c r="N5614">
        <v>50.589605067528304</v>
      </c>
      <c r="O5614">
        <v>49.518894602598401</v>
      </c>
      <c r="P5614">
        <v>-6.8186947915941196E-2</v>
      </c>
      <c r="Q5614">
        <v>0</v>
      </c>
      <c r="R5614">
        <v>0.97383331817935004</v>
      </c>
      <c r="S5614" t="s">
        <v>12016</v>
      </c>
      <c r="T5614" t="s">
        <v>12802</v>
      </c>
      <c r="U5614" t="s">
        <v>12802</v>
      </c>
      <c r="V5614" t="s">
        <v>12802</v>
      </c>
      <c r="W5614" t="s">
        <v>18349</v>
      </c>
      <c r="X5614">
        <v>5</v>
      </c>
      <c r="Y5614" t="s">
        <v>24560</v>
      </c>
      <c r="Z5614" t="s">
        <v>30932</v>
      </c>
      <c r="AA5614">
        <v>0.47645019504049441</v>
      </c>
      <c r="AB5614" t="str">
        <f>HYPERLINK("Melting_Curves/meltCurve_Q9HD23_MRS2.pdf", "Melting_Curves/meltCurve_Q9HD23_MRS2.pdf")</f>
        <v>Melting_Curves/meltCurve_Q9HD23_MRS2.pdf</v>
      </c>
    </row>
    <row r="5615" spans="1:28" x14ac:dyDescent="0.25">
      <c r="A5615" t="s">
        <v>5619</v>
      </c>
      <c r="B5615">
        <v>0.99542014353169495</v>
      </c>
      <c r="C5615">
        <v>0.96332363392724996</v>
      </c>
      <c r="D5615">
        <v>0.99654454740398002</v>
      </c>
      <c r="E5615">
        <v>0.73674877421732399</v>
      </c>
      <c r="F5615">
        <v>0.22857966391394099</v>
      </c>
      <c r="G5615">
        <v>0.121155121528564</v>
      </c>
      <c r="H5615">
        <v>7.4860666677040805E-2</v>
      </c>
      <c r="I5615">
        <v>5.1408902057947001E-2</v>
      </c>
      <c r="J5615">
        <v>6.2531222043297002E-2</v>
      </c>
      <c r="K5615">
        <v>6.7050126341337904E-2</v>
      </c>
      <c r="L5615">
        <v>1595.27690707138</v>
      </c>
      <c r="M5615">
        <v>33.3009394924918</v>
      </c>
      <c r="N5615">
        <v>48.117834689989699</v>
      </c>
      <c r="O5615">
        <v>47.733100497131197</v>
      </c>
      <c r="P5615">
        <v>-0.16246174628812701</v>
      </c>
      <c r="Q5615">
        <v>6.8522436634549502E-2</v>
      </c>
      <c r="R5615">
        <v>0.99833139089822998</v>
      </c>
      <c r="S5615" t="s">
        <v>12017</v>
      </c>
      <c r="T5615" t="s">
        <v>12802</v>
      </c>
      <c r="U5615" t="s">
        <v>12802</v>
      </c>
      <c r="V5615" t="s">
        <v>12802</v>
      </c>
      <c r="W5615" t="s">
        <v>18350</v>
      </c>
      <c r="X5615">
        <v>10</v>
      </c>
      <c r="Y5615" t="s">
        <v>24561</v>
      </c>
      <c r="Z5615" t="s">
        <v>30933</v>
      </c>
      <c r="AA5615">
        <v>0.41157362846525131</v>
      </c>
      <c r="AB5615" t="str">
        <f>HYPERLINK("Melting_Curves/meltCurve_Q9HD26_GOPC.pdf", "Melting_Curves/meltCurve_Q9HD26_GOPC.pdf")</f>
        <v>Melting_Curves/meltCurve_Q9HD26_GOPC.pdf</v>
      </c>
    </row>
    <row r="5616" spans="1:28" x14ac:dyDescent="0.25">
      <c r="A5616" t="s">
        <v>5620</v>
      </c>
      <c r="B5616">
        <v>0.99542014353169495</v>
      </c>
      <c r="C5616">
        <v>1.01969795361715</v>
      </c>
      <c r="D5616">
        <v>1.17455063867972</v>
      </c>
      <c r="E5616">
        <v>0.74840959695047704</v>
      </c>
      <c r="F5616">
        <v>0.738534916825206</v>
      </c>
      <c r="G5616">
        <v>0.39635981567497303</v>
      </c>
      <c r="H5616">
        <v>0.41963702947667902</v>
      </c>
      <c r="I5616">
        <v>0.39890586450411902</v>
      </c>
      <c r="J5616">
        <v>0.55075132016909301</v>
      </c>
      <c r="K5616">
        <v>0.58928948532435099</v>
      </c>
      <c r="L5616">
        <v>1283.9223808100101</v>
      </c>
      <c r="M5616">
        <v>26.5303470281149</v>
      </c>
      <c r="N5616">
        <v>54.636808513533197</v>
      </c>
      <c r="O5616">
        <v>48.122034408217203</v>
      </c>
      <c r="P5616">
        <v>-7.22408963366033E-2</v>
      </c>
      <c r="Q5616">
        <v>0.47586935418988602</v>
      </c>
      <c r="R5616">
        <v>0.85218521105267997</v>
      </c>
      <c r="S5616" t="s">
        <v>12018</v>
      </c>
      <c r="T5616" t="s">
        <v>12802</v>
      </c>
      <c r="U5616" t="s">
        <v>12802</v>
      </c>
      <c r="V5616" t="s">
        <v>12802</v>
      </c>
      <c r="W5616" t="s">
        <v>18351</v>
      </c>
      <c r="X5616">
        <v>1</v>
      </c>
      <c r="Y5616" t="s">
        <v>24562</v>
      </c>
      <c r="Z5616" t="s">
        <v>30934</v>
      </c>
      <c r="AA5616">
        <v>0.67893741501030047</v>
      </c>
      <c r="AB5616" t="str">
        <f>HYPERLINK("Melting_Curves/meltCurve_Q9HD40_3_SEPSECS.pdf", "Melting_Curves/meltCurve_Q9HD40_3_SEPSECS.pdf")</f>
        <v>Melting_Curves/meltCurve_Q9HD40_3_SEPSECS.pdf</v>
      </c>
    </row>
    <row r="5617" spans="1:28" x14ac:dyDescent="0.25">
      <c r="A5617" t="s">
        <v>5621</v>
      </c>
      <c r="B5617">
        <v>0.99542014353169495</v>
      </c>
      <c r="C5617">
        <v>1.0045729644622701</v>
      </c>
      <c r="D5617">
        <v>0.95990719648524303</v>
      </c>
      <c r="E5617">
        <v>0.78564464723416105</v>
      </c>
      <c r="F5617">
        <v>0.62507530606412498</v>
      </c>
      <c r="G5617">
        <v>0.44782427156739801</v>
      </c>
      <c r="H5617">
        <v>0.239187162108072</v>
      </c>
      <c r="I5617">
        <v>0.14467956173489099</v>
      </c>
      <c r="J5617">
        <v>0.15123609025179799</v>
      </c>
      <c r="K5617">
        <v>0.18529806127753801</v>
      </c>
      <c r="L5617">
        <v>730.76938590090401</v>
      </c>
      <c r="M5617">
        <v>14.279208109239899</v>
      </c>
      <c r="N5617">
        <v>52.081719147713102</v>
      </c>
      <c r="O5617">
        <v>50.204816150220097</v>
      </c>
      <c r="P5617">
        <v>-6.33037696082734E-2</v>
      </c>
      <c r="Q5617">
        <v>0.109820431606183</v>
      </c>
      <c r="R5617">
        <v>0.99251920609484401</v>
      </c>
      <c r="S5617" t="s">
        <v>12019</v>
      </c>
      <c r="T5617" t="s">
        <v>12802</v>
      </c>
      <c r="U5617" t="s">
        <v>12802</v>
      </c>
      <c r="V5617" t="s">
        <v>12802</v>
      </c>
      <c r="W5617" t="s">
        <v>12840</v>
      </c>
      <c r="X5617">
        <v>8</v>
      </c>
      <c r="Y5617" t="s">
        <v>19162</v>
      </c>
      <c r="Z5617" t="s">
        <v>30935</v>
      </c>
      <c r="AA5617">
        <v>0.54940166826776848</v>
      </c>
      <c r="AB5617" t="str">
        <f>HYPERLINK("Melting_Curves/meltCurve_Q9HD42_CHMP1A.pdf", "Melting_Curves/meltCurve_Q9HD42_CHMP1A.pdf")</f>
        <v>Melting_Curves/meltCurve_Q9HD42_CHMP1A.pdf</v>
      </c>
    </row>
    <row r="5618" spans="1:28" x14ac:dyDescent="0.25">
      <c r="A5618" t="s">
        <v>5622</v>
      </c>
      <c r="B5618">
        <v>0.99542014353169495</v>
      </c>
      <c r="C5618">
        <v>0.830558013496559</v>
      </c>
      <c r="D5618">
        <v>0.865263903239607</v>
      </c>
      <c r="E5618">
        <v>0.71482313688380705</v>
      </c>
      <c r="F5618">
        <v>0.553547367474026</v>
      </c>
      <c r="G5618">
        <v>0.15587709825527199</v>
      </c>
      <c r="H5618">
        <v>8.5906491286980899E-2</v>
      </c>
      <c r="I5618">
        <v>6.4277828678664703E-2</v>
      </c>
      <c r="J5618">
        <v>6.8428867948900601E-2</v>
      </c>
      <c r="K5618">
        <v>5.93218802100655E-2</v>
      </c>
      <c r="L5618">
        <v>686.16463517877003</v>
      </c>
      <c r="M5618">
        <v>13.8603344426853</v>
      </c>
      <c r="N5618">
        <v>49.5056553989306</v>
      </c>
      <c r="O5618">
        <v>48.509249773937299</v>
      </c>
      <c r="P5618">
        <v>-7.14412297695943E-2</v>
      </c>
      <c r="Q5618">
        <v>0</v>
      </c>
      <c r="R5618">
        <v>0.96936980111140103</v>
      </c>
      <c r="S5618" t="s">
        <v>12020</v>
      </c>
      <c r="T5618" t="s">
        <v>12802</v>
      </c>
      <c r="U5618" t="s">
        <v>12802</v>
      </c>
      <c r="V5618" t="s">
        <v>12802</v>
      </c>
      <c r="W5618" t="s">
        <v>18352</v>
      </c>
      <c r="X5618">
        <v>5</v>
      </c>
      <c r="Y5618" t="s">
        <v>24563</v>
      </c>
      <c r="Z5618" t="s">
        <v>30936</v>
      </c>
      <c r="AA5618">
        <v>0.44067658074747379</v>
      </c>
      <c r="AB5618" t="str">
        <f>HYPERLINK("Melting_Curves/meltCurve_Q9HD45_TM9SF3.pdf", "Melting_Curves/meltCurve_Q9HD45_TM9SF3.pdf")</f>
        <v>Melting_Curves/meltCurve_Q9HD45_TM9SF3.pdf</v>
      </c>
    </row>
    <row r="5619" spans="1:28" x14ac:dyDescent="0.25">
      <c r="A5619" t="s">
        <v>5623</v>
      </c>
      <c r="B5619">
        <v>0.99542014353169495</v>
      </c>
      <c r="C5619">
        <v>0.95777291484593297</v>
      </c>
      <c r="D5619">
        <v>0.904491814746469</v>
      </c>
      <c r="E5619">
        <v>0.80842103470072602</v>
      </c>
      <c r="F5619">
        <v>0.618453240691479</v>
      </c>
      <c r="G5619">
        <v>0.43289398205906898</v>
      </c>
      <c r="H5619">
        <v>0.34752969237320303</v>
      </c>
      <c r="I5619">
        <v>0.19116480407745201</v>
      </c>
      <c r="J5619">
        <v>0.120933755633103</v>
      </c>
      <c r="K5619">
        <v>0.165274564580699</v>
      </c>
      <c r="L5619">
        <v>565.18727416986098</v>
      </c>
      <c r="M5619">
        <v>10.838309148094</v>
      </c>
      <c r="N5619">
        <v>52.662433406034701</v>
      </c>
      <c r="O5619">
        <v>50.4661049594838</v>
      </c>
      <c r="P5619">
        <v>-5.1008219473315297E-2</v>
      </c>
      <c r="Q5619">
        <v>5.0306828449289097E-2</v>
      </c>
      <c r="R5619">
        <v>0.99472232613887202</v>
      </c>
      <c r="S5619" t="s">
        <v>12021</v>
      </c>
      <c r="T5619" t="s">
        <v>12802</v>
      </c>
      <c r="U5619" t="s">
        <v>12802</v>
      </c>
      <c r="V5619" t="s">
        <v>12802</v>
      </c>
      <c r="W5619" t="s">
        <v>18353</v>
      </c>
      <c r="X5619">
        <v>3</v>
      </c>
      <c r="Y5619" t="s">
        <v>24564</v>
      </c>
      <c r="Z5619" t="s">
        <v>30937</v>
      </c>
      <c r="AA5619">
        <v>0.55357495535913614</v>
      </c>
      <c r="AB5619" t="str">
        <f>HYPERLINK("Melting_Curves/meltCurve_Q9HD47_2_RANGRF.pdf", "Melting_Curves/meltCurve_Q9HD47_2_RANGRF.pdf")</f>
        <v>Melting_Curves/meltCurve_Q9HD47_2_RANGRF.pdf</v>
      </c>
    </row>
    <row r="5620" spans="1:28" x14ac:dyDescent="0.25">
      <c r="A5620" t="s">
        <v>5624</v>
      </c>
      <c r="B5620">
        <v>0.99542014353169495</v>
      </c>
      <c r="C5620">
        <v>0.95855716645669398</v>
      </c>
      <c r="D5620">
        <v>0.57753502312444704</v>
      </c>
      <c r="E5620">
        <v>0.31286301529760502</v>
      </c>
      <c r="F5620">
        <v>0.148000223281437</v>
      </c>
      <c r="G5620">
        <v>7.2566185207727493E-2</v>
      </c>
      <c r="H5620">
        <v>0.10415228781349201</v>
      </c>
      <c r="I5620">
        <v>8.4459081708562797E-2</v>
      </c>
      <c r="J5620">
        <v>0.103024867430491</v>
      </c>
      <c r="K5620">
        <v>4.4906548664498599E-2</v>
      </c>
      <c r="L5620">
        <v>943.69770008849002</v>
      </c>
      <c r="M5620">
        <v>21.559244669025301</v>
      </c>
      <c r="N5620">
        <v>44.138229308602</v>
      </c>
      <c r="O5620">
        <v>43.400921975932</v>
      </c>
      <c r="P5620">
        <v>-0.11402623864254501</v>
      </c>
      <c r="Q5620">
        <v>8.1837290364402501E-2</v>
      </c>
      <c r="R5620">
        <v>0.99157571040847603</v>
      </c>
      <c r="S5620" t="s">
        <v>12022</v>
      </c>
      <c r="T5620" t="s">
        <v>12802</v>
      </c>
      <c r="U5620" t="s">
        <v>12802</v>
      </c>
      <c r="V5620" t="s">
        <v>12802</v>
      </c>
      <c r="W5620" t="s">
        <v>18354</v>
      </c>
      <c r="X5620">
        <v>1</v>
      </c>
      <c r="Y5620" t="s">
        <v>24565</v>
      </c>
      <c r="Z5620" t="s">
        <v>30938</v>
      </c>
      <c r="AA5620">
        <v>0.29958423996255312</v>
      </c>
      <c r="AB5620" t="str">
        <f>HYPERLINK("Melting_Curves/meltCurve_Q9HD64_XAGE1A.pdf", "Melting_Curves/meltCurve_Q9HD64_XAGE1A.pdf")</f>
        <v>Melting_Curves/meltCurve_Q9HD64_XAGE1A.pdf</v>
      </c>
    </row>
    <row r="5621" spans="1:28" x14ac:dyDescent="0.25">
      <c r="A5621" t="s">
        <v>5625</v>
      </c>
      <c r="B5621">
        <v>0.99542014353169495</v>
      </c>
      <c r="C5621">
        <v>0.92583792277551602</v>
      </c>
      <c r="D5621">
        <v>1.0665631949718299</v>
      </c>
      <c r="E5621">
        <v>0.86305935604216899</v>
      </c>
      <c r="F5621">
        <v>0.82358721491190101</v>
      </c>
      <c r="G5621">
        <v>0.58697615694479299</v>
      </c>
      <c r="H5621">
        <v>0.49575675974036698</v>
      </c>
      <c r="I5621">
        <v>0.33308820860611199</v>
      </c>
      <c r="J5621">
        <v>0.35810055788992601</v>
      </c>
      <c r="K5621">
        <v>0.334688303428125</v>
      </c>
      <c r="L5621">
        <v>814.43071868789605</v>
      </c>
      <c r="M5621">
        <v>15.3706713698891</v>
      </c>
      <c r="N5621">
        <v>56.304202916025098</v>
      </c>
      <c r="O5621">
        <v>52.113458115798302</v>
      </c>
      <c r="P5621">
        <v>-5.1775268779584299E-2</v>
      </c>
      <c r="Q5621">
        <v>0.29789918779326302</v>
      </c>
      <c r="R5621">
        <v>0.97183263479562598</v>
      </c>
      <c r="S5621" t="s">
        <v>12023</v>
      </c>
      <c r="T5621" t="s">
        <v>12802</v>
      </c>
      <c r="U5621" t="s">
        <v>12802</v>
      </c>
      <c r="V5621" t="s">
        <v>12802</v>
      </c>
      <c r="W5621" t="s">
        <v>18355</v>
      </c>
      <c r="X5621">
        <v>2</v>
      </c>
      <c r="Y5621" t="s">
        <v>24566</v>
      </c>
      <c r="Z5621" t="s">
        <v>30939</v>
      </c>
      <c r="AA5621">
        <v>0.68427277248973717</v>
      </c>
      <c r="AB5621" t="str">
        <f>HYPERLINK("Melting_Curves/meltCurve_Q9HDC5_JPH1.pdf", "Melting_Curves/meltCurve_Q9HDC5_JPH1.pdf")</f>
        <v>Melting_Curves/meltCurve_Q9HDC5_JPH1.pdf</v>
      </c>
    </row>
    <row r="5622" spans="1:28" x14ac:dyDescent="0.25">
      <c r="A5622" t="s">
        <v>5626</v>
      </c>
      <c r="B5622">
        <v>0.99542014353169495</v>
      </c>
      <c r="C5622">
        <v>1.0339373315984199</v>
      </c>
      <c r="D5622">
        <v>0.99949820519146604</v>
      </c>
      <c r="E5622">
        <v>0.99975400507182999</v>
      </c>
      <c r="F5622">
        <v>0.90805577866965603</v>
      </c>
      <c r="G5622">
        <v>0.73608699822310397</v>
      </c>
      <c r="H5622">
        <v>0.528196658706515</v>
      </c>
      <c r="I5622">
        <v>0.25957404017348001</v>
      </c>
      <c r="J5622">
        <v>0.18283400370203401</v>
      </c>
      <c r="K5622">
        <v>0.21105964449037401</v>
      </c>
      <c r="L5622">
        <v>1093.6349037288401</v>
      </c>
      <c r="M5622">
        <v>19.432580473310001</v>
      </c>
      <c r="N5622">
        <v>57.2242344652688</v>
      </c>
      <c r="O5622">
        <v>55.692598649858198</v>
      </c>
      <c r="P5622">
        <v>-7.5252235359945394E-2</v>
      </c>
      <c r="Q5622">
        <v>0.13735799002058399</v>
      </c>
      <c r="R5622">
        <v>0.99402380501969301</v>
      </c>
      <c r="S5622" t="s">
        <v>12024</v>
      </c>
      <c r="T5622" t="s">
        <v>12802</v>
      </c>
      <c r="U5622" t="s">
        <v>12802</v>
      </c>
      <c r="V5622" t="s">
        <v>12802</v>
      </c>
      <c r="W5622" t="s">
        <v>18356</v>
      </c>
      <c r="X5622">
        <v>12</v>
      </c>
      <c r="Y5622" t="s">
        <v>24567</v>
      </c>
      <c r="Z5622" t="s">
        <v>30940</v>
      </c>
      <c r="AA5622">
        <v>0.70041874117178304</v>
      </c>
      <c r="AB5622" t="str">
        <f>HYPERLINK("Melting_Curves/meltCurve_Q9HDC9_APMAP.pdf", "Melting_Curves/meltCurve_Q9HDC9_APMAP.pdf")</f>
        <v>Melting_Curves/meltCurve_Q9HDC9_APMAP.pdf</v>
      </c>
    </row>
    <row r="5623" spans="1:28" x14ac:dyDescent="0.25">
      <c r="A5623" t="s">
        <v>5627</v>
      </c>
      <c r="B5623">
        <v>0.99542014353169495</v>
      </c>
      <c r="C5623">
        <v>0.98815329339171498</v>
      </c>
      <c r="D5623">
        <v>1.15522822893134</v>
      </c>
      <c r="E5623">
        <v>0.95498031392070104</v>
      </c>
      <c r="F5623">
        <v>0.74230865638173305</v>
      </c>
      <c r="G5623">
        <v>0.18306421203217399</v>
      </c>
      <c r="H5623">
        <v>9.5520625447709298E-3</v>
      </c>
      <c r="I5623">
        <v>0</v>
      </c>
      <c r="J5623">
        <v>0</v>
      </c>
      <c r="K5623">
        <v>2.49537597075358E-2</v>
      </c>
      <c r="L5623">
        <v>1928.0002837864599</v>
      </c>
      <c r="M5623">
        <v>37.362725732878602</v>
      </c>
      <c r="N5623">
        <v>51.609542700713497</v>
      </c>
      <c r="O5623">
        <v>51.455085164534701</v>
      </c>
      <c r="P5623">
        <v>-0.18105261931939701</v>
      </c>
      <c r="Q5623">
        <v>2.6368153944290101E-3</v>
      </c>
      <c r="R5623">
        <v>0.98843744576467296</v>
      </c>
      <c r="S5623" t="s">
        <v>12025</v>
      </c>
      <c r="T5623" t="s">
        <v>12802</v>
      </c>
      <c r="U5623" t="s">
        <v>12802</v>
      </c>
      <c r="V5623" t="s">
        <v>12802</v>
      </c>
      <c r="W5623" t="s">
        <v>18357</v>
      </c>
      <c r="X5623">
        <v>5</v>
      </c>
      <c r="Y5623" t="s">
        <v>24568</v>
      </c>
      <c r="Z5623" t="s">
        <v>30941</v>
      </c>
      <c r="AA5623">
        <v>0.4921630278602</v>
      </c>
      <c r="AB5623" t="str">
        <f>HYPERLINK("Melting_Curves/meltCurve_Q9NNW5_WDR6.pdf", "Melting_Curves/meltCurve_Q9NNW5_WDR6.pdf")</f>
        <v>Melting_Curves/meltCurve_Q9NNW5_WDR6.pdf</v>
      </c>
    </row>
    <row r="5624" spans="1:28" x14ac:dyDescent="0.25">
      <c r="A5624" t="s">
        <v>5628</v>
      </c>
      <c r="B5624">
        <v>0.99542014353169495</v>
      </c>
      <c r="C5624">
        <v>0.88290267279967205</v>
      </c>
      <c r="D5624">
        <v>0.79739483024414703</v>
      </c>
      <c r="E5624">
        <v>0.35714015022117201</v>
      </c>
      <c r="F5624">
        <v>0.186242050180634</v>
      </c>
      <c r="G5624">
        <v>0.109612926357774</v>
      </c>
      <c r="H5624">
        <v>7.7678849454357504E-2</v>
      </c>
      <c r="I5624">
        <v>5.2104474151827201E-2</v>
      </c>
      <c r="J5624">
        <v>7.6932921422635303E-2</v>
      </c>
      <c r="K5624">
        <v>7.0401815806895501E-2</v>
      </c>
      <c r="L5624">
        <v>933.89632251304704</v>
      </c>
      <c r="M5624">
        <v>20.691251600580401</v>
      </c>
      <c r="N5624">
        <v>45.453853595388402</v>
      </c>
      <c r="O5624">
        <v>44.719594729080498</v>
      </c>
      <c r="P5624">
        <v>-0.107858120596865</v>
      </c>
      <c r="Q5624">
        <v>6.7579986209215806E-2</v>
      </c>
      <c r="R5624">
        <v>0.99453915135589899</v>
      </c>
      <c r="S5624" t="s">
        <v>12026</v>
      </c>
      <c r="T5624" t="s">
        <v>12802</v>
      </c>
      <c r="U5624" t="s">
        <v>12802</v>
      </c>
      <c r="V5624" t="s">
        <v>12802</v>
      </c>
      <c r="W5624" t="s">
        <v>18358</v>
      </c>
      <c r="X5624">
        <v>3</v>
      </c>
      <c r="Y5624" t="s">
        <v>24569</v>
      </c>
      <c r="Z5624" t="s">
        <v>30942</v>
      </c>
      <c r="AA5624">
        <v>0.33181138949086297</v>
      </c>
      <c r="AB5624" t="str">
        <f>HYPERLINK("Melting_Curves/meltCurve_Q9NP31_3_SH2D2A.pdf", "Melting_Curves/meltCurve_Q9NP31_3_SH2D2A.pdf")</f>
        <v>Melting_Curves/meltCurve_Q9NP31_3_SH2D2A.pdf</v>
      </c>
    </row>
    <row r="5625" spans="1:28" x14ac:dyDescent="0.25">
      <c r="A5625" t="s">
        <v>5629</v>
      </c>
      <c r="B5625">
        <v>0.99542014353169495</v>
      </c>
      <c r="C5625">
        <v>0.89753192781896596</v>
      </c>
      <c r="D5625">
        <v>0.88477357144296997</v>
      </c>
      <c r="E5625">
        <v>0.80630737724451595</v>
      </c>
      <c r="F5625">
        <v>0.65122917346254205</v>
      </c>
      <c r="G5625">
        <v>0.28978919174918599</v>
      </c>
      <c r="H5625">
        <v>0.15352633808771901</v>
      </c>
      <c r="I5625">
        <v>0.12946167159657199</v>
      </c>
      <c r="J5625">
        <v>0.163794041257048</v>
      </c>
      <c r="K5625">
        <v>0.21794183360605099</v>
      </c>
      <c r="L5625">
        <v>929.16533729073296</v>
      </c>
      <c r="M5625">
        <v>18.4995636547388</v>
      </c>
      <c r="N5625">
        <v>51.089386612745002</v>
      </c>
      <c r="O5625">
        <v>49.6504628174008</v>
      </c>
      <c r="P5625">
        <v>-8.0652334631871297E-2</v>
      </c>
      <c r="Q5625">
        <v>0.134195813653843</v>
      </c>
      <c r="R5625">
        <v>0.96978372593997497</v>
      </c>
      <c r="S5625" t="s">
        <v>12027</v>
      </c>
      <c r="T5625" t="s">
        <v>12802</v>
      </c>
      <c r="U5625" t="s">
        <v>12802</v>
      </c>
      <c r="V5625" t="s">
        <v>12802</v>
      </c>
      <c r="W5625" t="s">
        <v>18359</v>
      </c>
      <c r="X5625">
        <v>6</v>
      </c>
      <c r="Y5625" t="s">
        <v>24570</v>
      </c>
      <c r="Z5625" t="s">
        <v>30943</v>
      </c>
      <c r="AA5625">
        <v>0.52891300392458929</v>
      </c>
      <c r="AB5625" t="str">
        <f>HYPERLINK("Melting_Curves/meltCurve_Q9NP58_4_ABCB6.pdf", "Melting_Curves/meltCurve_Q9NP58_4_ABCB6.pdf")</f>
        <v>Melting_Curves/meltCurve_Q9NP58_4_ABCB6.pdf</v>
      </c>
    </row>
    <row r="5626" spans="1:28" x14ac:dyDescent="0.25">
      <c r="A5626" t="s">
        <v>5630</v>
      </c>
      <c r="B5626">
        <v>0.99542014353169495</v>
      </c>
      <c r="C5626">
        <v>1.0751508340156399</v>
      </c>
      <c r="D5626">
        <v>1.10145054008037</v>
      </c>
      <c r="E5626">
        <v>1.01064372088655</v>
      </c>
      <c r="F5626">
        <v>0.94021839818875297</v>
      </c>
      <c r="G5626">
        <v>0.69860774486971799</v>
      </c>
      <c r="H5626">
        <v>0.63862979726096403</v>
      </c>
      <c r="I5626">
        <v>0.52478559159087601</v>
      </c>
      <c r="J5626">
        <v>0.85233046814021896</v>
      </c>
      <c r="K5626">
        <v>0.72115598429277605</v>
      </c>
      <c r="L5626">
        <v>3527.7597014236098</v>
      </c>
      <c r="M5626">
        <v>68.813995646244607</v>
      </c>
      <c r="O5626">
        <v>51.221926725055802</v>
      </c>
      <c r="P5626">
        <v>-0.10590798339547899</v>
      </c>
      <c r="Q5626">
        <v>0.684668367111117</v>
      </c>
      <c r="R5626">
        <v>0.79581229928274499</v>
      </c>
      <c r="S5626" t="s">
        <v>12028</v>
      </c>
      <c r="T5626" t="s">
        <v>12802</v>
      </c>
      <c r="U5626" t="s">
        <v>12802</v>
      </c>
      <c r="V5626" t="s">
        <v>12802</v>
      </c>
      <c r="W5626" t="s">
        <v>18360</v>
      </c>
      <c r="X5626">
        <v>1</v>
      </c>
      <c r="Y5626" t="s">
        <v>24571</v>
      </c>
      <c r="Z5626" t="s">
        <v>30944</v>
      </c>
      <c r="AA5626">
        <v>0.83498558056432948</v>
      </c>
      <c r="AB5626" t="str">
        <f>HYPERLINK("Melting_Curves/meltCurve_Q9NP59_SLC40A1.pdf", "Melting_Curves/meltCurve_Q9NP59_SLC40A1.pdf")</f>
        <v>Melting_Curves/meltCurve_Q9NP59_SLC40A1.pdf</v>
      </c>
    </row>
    <row r="5627" spans="1:28" x14ac:dyDescent="0.25">
      <c r="A5627" t="s">
        <v>5631</v>
      </c>
      <c r="B5627">
        <v>0.99542014353169495</v>
      </c>
      <c r="C5627">
        <v>0.85570361371288495</v>
      </c>
      <c r="D5627">
        <v>0.89167790272429703</v>
      </c>
      <c r="E5627">
        <v>0.69729467029811198</v>
      </c>
      <c r="F5627">
        <v>0.45504285723047999</v>
      </c>
      <c r="G5627">
        <v>0.31763536680391502</v>
      </c>
      <c r="H5627">
        <v>0.26438255498218599</v>
      </c>
      <c r="I5627">
        <v>0.223526186201464</v>
      </c>
      <c r="J5627">
        <v>0.22599412298173999</v>
      </c>
      <c r="K5627">
        <v>0.25931357718526998</v>
      </c>
      <c r="L5627">
        <v>701.08756034150804</v>
      </c>
      <c r="M5627">
        <v>14.713550361976001</v>
      </c>
      <c r="N5627">
        <v>49.493753051298498</v>
      </c>
      <c r="O5627">
        <v>46.794894086885797</v>
      </c>
      <c r="P5627">
        <v>-6.2022908265772003E-2</v>
      </c>
      <c r="Q5627">
        <v>0.21105670411131</v>
      </c>
      <c r="R5627">
        <v>0.98392817415397205</v>
      </c>
      <c r="S5627" t="s">
        <v>12029</v>
      </c>
      <c r="T5627" t="s">
        <v>12802</v>
      </c>
      <c r="U5627" t="s">
        <v>12802</v>
      </c>
      <c r="V5627" t="s">
        <v>12802</v>
      </c>
      <c r="W5627" t="s">
        <v>18361</v>
      </c>
      <c r="X5627">
        <v>9</v>
      </c>
      <c r="Y5627" t="s">
        <v>24572</v>
      </c>
      <c r="Z5627" t="s">
        <v>30945</v>
      </c>
      <c r="AA5627">
        <v>0.50920642642616876</v>
      </c>
      <c r="AB5627" t="str">
        <f>HYPERLINK("Melting_Curves/meltCurve_Q9NP66_HMG20A.pdf", "Melting_Curves/meltCurve_Q9NP66_HMG20A.pdf")</f>
        <v>Melting_Curves/meltCurve_Q9NP66_HMG20A.pdf</v>
      </c>
    </row>
    <row r="5628" spans="1:28" x14ac:dyDescent="0.25">
      <c r="A5628" t="s">
        <v>5632</v>
      </c>
      <c r="B5628">
        <v>0.99542014353169495</v>
      </c>
      <c r="C5628">
        <v>0.98395557218643204</v>
      </c>
      <c r="D5628">
        <v>0.91522119285817205</v>
      </c>
      <c r="E5628">
        <v>0.86751991050749699</v>
      </c>
      <c r="F5628">
        <v>0.75515670122586098</v>
      </c>
      <c r="G5628">
        <v>0.61924736594671204</v>
      </c>
      <c r="H5628">
        <v>0.44699897506270297</v>
      </c>
      <c r="I5628">
        <v>0.36177535725094601</v>
      </c>
      <c r="J5628">
        <v>0.39914309890132499</v>
      </c>
      <c r="K5628">
        <v>0.25403156266929899</v>
      </c>
      <c r="L5628">
        <v>539.59465609715198</v>
      </c>
      <c r="M5628">
        <v>9.9749462711080294</v>
      </c>
      <c r="N5628">
        <v>56.7391062833292</v>
      </c>
      <c r="O5628">
        <v>52.055631812214401</v>
      </c>
      <c r="P5628">
        <v>-3.9019576325696498E-2</v>
      </c>
      <c r="Q5628">
        <v>0.18588371429450101</v>
      </c>
      <c r="R5628">
        <v>0.98699816848087196</v>
      </c>
      <c r="S5628" t="s">
        <v>12030</v>
      </c>
      <c r="T5628" t="s">
        <v>12802</v>
      </c>
      <c r="U5628" t="s">
        <v>12802</v>
      </c>
      <c r="V5628" t="s">
        <v>12802</v>
      </c>
      <c r="W5628" t="s">
        <v>18362</v>
      </c>
      <c r="X5628">
        <v>14</v>
      </c>
      <c r="Y5628" t="s">
        <v>24573</v>
      </c>
      <c r="Z5628" t="s">
        <v>30946</v>
      </c>
      <c r="AA5628">
        <v>0.66370165313021723</v>
      </c>
      <c r="AB5628" t="str">
        <f>HYPERLINK("Melting_Curves/meltCurve_Q9NP72_RAB18.pdf", "Melting_Curves/meltCurve_Q9NP72_RAB18.pdf")</f>
        <v>Melting_Curves/meltCurve_Q9NP72_RAB18.pdf</v>
      </c>
    </row>
    <row r="5629" spans="1:28" x14ac:dyDescent="0.25">
      <c r="A5629" t="s">
        <v>5633</v>
      </c>
      <c r="B5629">
        <v>0.99542014353169495</v>
      </c>
      <c r="C5629">
        <v>0.98732643159217703</v>
      </c>
      <c r="D5629">
        <v>0.81991927193986003</v>
      </c>
      <c r="E5629">
        <v>0.79022914142173994</v>
      </c>
      <c r="F5629">
        <v>0.44362134490692001</v>
      </c>
      <c r="G5629">
        <v>0.24030628715226501</v>
      </c>
      <c r="H5629">
        <v>9.3007179560391007E-2</v>
      </c>
      <c r="I5629">
        <v>4.0543878354197899E-2</v>
      </c>
      <c r="J5629">
        <v>1.9560972951424099E-2</v>
      </c>
      <c r="K5629">
        <v>1.29816431297221E-2</v>
      </c>
      <c r="L5629">
        <v>767.24267759931695</v>
      </c>
      <c r="M5629">
        <v>15.459420862906301</v>
      </c>
      <c r="N5629">
        <v>49.629466016715199</v>
      </c>
      <c r="O5629">
        <v>48.821269635722402</v>
      </c>
      <c r="P5629">
        <v>-7.9170457377474704E-2</v>
      </c>
      <c r="Q5629">
        <v>0</v>
      </c>
      <c r="R5629">
        <v>0.991361135994278</v>
      </c>
      <c r="S5629" t="s">
        <v>12031</v>
      </c>
      <c r="T5629" t="s">
        <v>12802</v>
      </c>
      <c r="U5629" t="s">
        <v>12802</v>
      </c>
      <c r="V5629" t="s">
        <v>12802</v>
      </c>
      <c r="W5629" t="s">
        <v>18363</v>
      </c>
      <c r="X5629">
        <v>4</v>
      </c>
      <c r="Y5629" t="s">
        <v>24574</v>
      </c>
      <c r="Z5629" t="s">
        <v>30947</v>
      </c>
      <c r="AA5629">
        <v>0.44118453387786383</v>
      </c>
      <c r="AB5629" t="str">
        <f>HYPERLINK("Melting_Curves/meltCurve_Q9NP73_2_ALG13.pdf", "Melting_Curves/meltCurve_Q9NP73_2_ALG13.pdf")</f>
        <v>Melting_Curves/meltCurve_Q9NP73_2_ALG13.pdf</v>
      </c>
    </row>
    <row r="5630" spans="1:28" x14ac:dyDescent="0.25">
      <c r="A5630" t="s">
        <v>5634</v>
      </c>
      <c r="B5630">
        <v>0.99542014353169495</v>
      </c>
      <c r="C5630">
        <v>1.0163611130414001</v>
      </c>
      <c r="D5630">
        <v>1.10010987126353</v>
      </c>
      <c r="E5630">
        <v>0.85933662862478799</v>
      </c>
      <c r="F5630">
        <v>0.57830164223434299</v>
      </c>
      <c r="G5630">
        <v>0.39803344827884601</v>
      </c>
      <c r="H5630">
        <v>0.24700704593047901</v>
      </c>
      <c r="I5630">
        <v>0.19807582965128001</v>
      </c>
      <c r="J5630">
        <v>0.391127583225655</v>
      </c>
      <c r="K5630">
        <v>0.53323237785117505</v>
      </c>
      <c r="L5630">
        <v>1526.1363446855601</v>
      </c>
      <c r="M5630">
        <v>31.115342412524601</v>
      </c>
      <c r="N5630">
        <v>50.971242541237203</v>
      </c>
      <c r="O5630">
        <v>48.8464680139355</v>
      </c>
      <c r="P5630">
        <v>-0.104235058331713</v>
      </c>
      <c r="Q5630">
        <v>0.34546960971004498</v>
      </c>
      <c r="R5630">
        <v>0.91686589581961797</v>
      </c>
      <c r="S5630" t="s">
        <v>12032</v>
      </c>
      <c r="T5630" t="s">
        <v>12802</v>
      </c>
      <c r="U5630" t="s">
        <v>12802</v>
      </c>
      <c r="V5630" t="s">
        <v>12802</v>
      </c>
      <c r="W5630" t="s">
        <v>18364</v>
      </c>
      <c r="X5630">
        <v>2</v>
      </c>
      <c r="Y5630" t="s">
        <v>24575</v>
      </c>
      <c r="Z5630" t="s">
        <v>30948</v>
      </c>
      <c r="AA5630">
        <v>0.61199648891046243</v>
      </c>
      <c r="AB5630" t="str">
        <f>HYPERLINK("Melting_Curves/meltCurve_Q9NP74_3_PALMD.pdf", "Melting_Curves/meltCurve_Q9NP74_3_PALMD.pdf")</f>
        <v>Melting_Curves/meltCurve_Q9NP74_3_PALMD.pdf</v>
      </c>
    </row>
    <row r="5631" spans="1:28" x14ac:dyDescent="0.25">
      <c r="A5631" t="s">
        <v>5635</v>
      </c>
      <c r="B5631">
        <v>0.99542014353169495</v>
      </c>
      <c r="C5631">
        <v>1.00723837099659</v>
      </c>
      <c r="D5631">
        <v>0.98467662505630604</v>
      </c>
      <c r="E5631">
        <v>0.801096834156099</v>
      </c>
      <c r="F5631">
        <v>0.21480164198083301</v>
      </c>
      <c r="G5631">
        <v>0.124679679349412</v>
      </c>
      <c r="H5631">
        <v>6.16570682004852E-2</v>
      </c>
      <c r="I5631">
        <v>4.6701058965074503E-2</v>
      </c>
      <c r="J5631">
        <v>5.2753946009484097E-2</v>
      </c>
      <c r="K5631">
        <v>5.0649685172013001E-2</v>
      </c>
      <c r="L5631">
        <v>1843.64899505229</v>
      </c>
      <c r="M5631">
        <v>38.280020639556199</v>
      </c>
      <c r="N5631">
        <v>48.3285779981329</v>
      </c>
      <c r="O5631">
        <v>48.031299554935799</v>
      </c>
      <c r="P5631">
        <v>-0.18694338744594199</v>
      </c>
      <c r="Q5631">
        <v>6.1744313213129301E-2</v>
      </c>
      <c r="R5631">
        <v>0.99843122479767399</v>
      </c>
      <c r="S5631" t="s">
        <v>12033</v>
      </c>
      <c r="T5631" t="s">
        <v>12802</v>
      </c>
      <c r="U5631" t="s">
        <v>12802</v>
      </c>
      <c r="V5631" t="s">
        <v>12802</v>
      </c>
      <c r="W5631" t="s">
        <v>18365</v>
      </c>
      <c r="X5631">
        <v>7</v>
      </c>
      <c r="Y5631" t="s">
        <v>24576</v>
      </c>
      <c r="Z5631" t="s">
        <v>30949</v>
      </c>
      <c r="AA5631">
        <v>0.41425621106975741</v>
      </c>
      <c r="AB5631" t="str">
        <f>HYPERLINK("Melting_Curves/meltCurve_Q9NP77_SSU72.pdf", "Melting_Curves/meltCurve_Q9NP77_SSU72.pdf")</f>
        <v>Melting_Curves/meltCurve_Q9NP77_SSU72.pdf</v>
      </c>
    </row>
    <row r="5632" spans="1:28" x14ac:dyDescent="0.25">
      <c r="A5632" t="s">
        <v>5636</v>
      </c>
      <c r="B5632">
        <v>0.99542014353169495</v>
      </c>
      <c r="C5632">
        <v>0.95465645485083395</v>
      </c>
      <c r="D5632">
        <v>0.91395001740094794</v>
      </c>
      <c r="E5632">
        <v>0.821513743448961</v>
      </c>
      <c r="F5632">
        <v>0.45989459781818198</v>
      </c>
      <c r="G5632">
        <v>0.15712483671851199</v>
      </c>
      <c r="H5632">
        <v>9.6331461681438496E-2</v>
      </c>
      <c r="I5632">
        <v>5.8750280663912302E-2</v>
      </c>
      <c r="J5632">
        <v>7.0592421232521699E-2</v>
      </c>
      <c r="K5632">
        <v>6.2591518044656305E-2</v>
      </c>
      <c r="L5632">
        <v>1117.85702781391</v>
      </c>
      <c r="M5632">
        <v>22.607249242748701</v>
      </c>
      <c r="N5632">
        <v>49.6936498633778</v>
      </c>
      <c r="O5632">
        <v>49.064820185819002</v>
      </c>
      <c r="P5632">
        <v>-0.109076164713589</v>
      </c>
      <c r="Q5632">
        <v>5.3101052045413502E-2</v>
      </c>
      <c r="R5632">
        <v>0.99613424935433004</v>
      </c>
      <c r="S5632" t="s">
        <v>12034</v>
      </c>
      <c r="T5632" t="s">
        <v>12802</v>
      </c>
      <c r="U5632" t="s">
        <v>12802</v>
      </c>
      <c r="V5632" t="s">
        <v>12802</v>
      </c>
      <c r="W5632" t="s">
        <v>18366</v>
      </c>
      <c r="X5632">
        <v>10</v>
      </c>
      <c r="Y5632" t="s">
        <v>24577</v>
      </c>
      <c r="Z5632" t="s">
        <v>30950</v>
      </c>
      <c r="AA5632">
        <v>0.45592964414978998</v>
      </c>
      <c r="AB5632" t="str">
        <f>HYPERLINK("Melting_Curves/meltCurve_Q9NP79_VTA1.pdf", "Melting_Curves/meltCurve_Q9NP79_VTA1.pdf")</f>
        <v>Melting_Curves/meltCurve_Q9NP79_VTA1.pdf</v>
      </c>
    </row>
    <row r="5633" spans="1:28" x14ac:dyDescent="0.25">
      <c r="A5633" t="s">
        <v>5637</v>
      </c>
      <c r="B5633">
        <v>0.99542014353169495</v>
      </c>
      <c r="C5633">
        <v>1.01534772912771</v>
      </c>
      <c r="D5633">
        <v>0.89177144520817497</v>
      </c>
      <c r="E5633">
        <v>0.84286761616333905</v>
      </c>
      <c r="F5633">
        <v>0.74177269803275903</v>
      </c>
      <c r="G5633">
        <v>0.46355079766885399</v>
      </c>
      <c r="H5633">
        <v>0.33475469722170897</v>
      </c>
      <c r="I5633">
        <v>0.35871710961500097</v>
      </c>
      <c r="J5633">
        <v>0.42041943922231301</v>
      </c>
      <c r="K5633">
        <v>0.44710314695825298</v>
      </c>
      <c r="L5633">
        <v>998.04137560915206</v>
      </c>
      <c r="M5633">
        <v>20.0068456380416</v>
      </c>
      <c r="N5633">
        <v>53.610867497451302</v>
      </c>
      <c r="O5633">
        <v>49.394631423149903</v>
      </c>
      <c r="P5633">
        <v>-6.3237165997534803E-2</v>
      </c>
      <c r="Q5633">
        <v>0.37551874550747699</v>
      </c>
      <c r="R5633">
        <v>0.95677928900734999</v>
      </c>
      <c r="S5633" t="s">
        <v>12035</v>
      </c>
      <c r="T5633" t="s">
        <v>12802</v>
      </c>
      <c r="U5633" t="s">
        <v>12802</v>
      </c>
      <c r="V5633" t="s">
        <v>12802</v>
      </c>
      <c r="W5633" t="s">
        <v>18367</v>
      </c>
      <c r="X5633">
        <v>1</v>
      </c>
      <c r="Y5633" t="s">
        <v>24578</v>
      </c>
      <c r="Z5633" t="s">
        <v>30951</v>
      </c>
      <c r="AA5633">
        <v>0.65195448162083858</v>
      </c>
      <c r="AB5633" t="str">
        <f>HYPERLINK("Melting_Curves/meltCurve_Q9NP84_TNFRSF12A.pdf", "Melting_Curves/meltCurve_Q9NP84_TNFRSF12A.pdf")</f>
        <v>Melting_Curves/meltCurve_Q9NP84_TNFRSF12A.pdf</v>
      </c>
    </row>
    <row r="5634" spans="1:28" x14ac:dyDescent="0.25">
      <c r="A5634" t="s">
        <v>5638</v>
      </c>
      <c r="B5634">
        <v>0.99542014353169495</v>
      </c>
      <c r="C5634">
        <v>0.99938464123355897</v>
      </c>
      <c r="D5634">
        <v>1.0288260389444699</v>
      </c>
      <c r="E5634">
        <v>0.496415185820547</v>
      </c>
      <c r="F5634">
        <v>0.258593795431933</v>
      </c>
      <c r="G5634">
        <v>9.8085577208537306E-2</v>
      </c>
      <c r="H5634">
        <v>7.8348933543204602E-2</v>
      </c>
      <c r="I5634">
        <v>7.2462969306732905E-2</v>
      </c>
      <c r="J5634">
        <v>7.3076826441772699E-2</v>
      </c>
      <c r="K5634">
        <v>8.7152906379346404E-2</v>
      </c>
      <c r="L5634">
        <v>1447.3619841903901</v>
      </c>
      <c r="M5634">
        <v>31.045698160748799</v>
      </c>
      <c r="N5634">
        <v>46.916152489493598</v>
      </c>
      <c r="O5634">
        <v>46.428222063208899</v>
      </c>
      <c r="P5634">
        <v>-0.152312938383558</v>
      </c>
      <c r="Q5634">
        <v>8.8881366635766498E-2</v>
      </c>
      <c r="R5634">
        <v>0.98899097443552397</v>
      </c>
      <c r="S5634" t="s">
        <v>12036</v>
      </c>
      <c r="T5634" t="s">
        <v>12802</v>
      </c>
      <c r="U5634" t="s">
        <v>12802</v>
      </c>
      <c r="V5634" t="s">
        <v>12802</v>
      </c>
      <c r="W5634" t="s">
        <v>18368</v>
      </c>
      <c r="X5634">
        <v>2</v>
      </c>
      <c r="Y5634" t="s">
        <v>24579</v>
      </c>
      <c r="Z5634" t="s">
        <v>30952</v>
      </c>
      <c r="AA5634">
        <v>0.38596283534819081</v>
      </c>
      <c r="AB5634" t="str">
        <f>HYPERLINK("Melting_Curves/meltCurve_Q9NP92_MRPS30.pdf", "Melting_Curves/meltCurve_Q9NP92_MRPS30.pdf")</f>
        <v>Melting_Curves/meltCurve_Q9NP92_MRPS30.pdf</v>
      </c>
    </row>
    <row r="5635" spans="1:28" x14ac:dyDescent="0.25">
      <c r="A5635" t="s">
        <v>5639</v>
      </c>
      <c r="B5635">
        <v>0.99542014353169495</v>
      </c>
      <c r="C5635">
        <v>0.83908836071717596</v>
      </c>
      <c r="D5635">
        <v>1.0060841789248101</v>
      </c>
      <c r="E5635">
        <v>0.69511296402638001</v>
      </c>
      <c r="F5635">
        <v>0.72008424338360799</v>
      </c>
      <c r="G5635">
        <v>0.277630570775528</v>
      </c>
      <c r="H5635">
        <v>0.189368407327453</v>
      </c>
      <c r="I5635">
        <v>0.109489518138058</v>
      </c>
      <c r="J5635">
        <v>0.12427348759394601</v>
      </c>
      <c r="K5635">
        <v>0.13320306438447199</v>
      </c>
      <c r="L5635">
        <v>752.78138159617401</v>
      </c>
      <c r="M5635">
        <v>14.817046563429701</v>
      </c>
      <c r="N5635">
        <v>51.308832488289902</v>
      </c>
      <c r="O5635">
        <v>49.906606058523799</v>
      </c>
      <c r="P5635">
        <v>-6.9206614047608805E-2</v>
      </c>
      <c r="Q5635">
        <v>6.76951368706529E-2</v>
      </c>
      <c r="R5635">
        <v>0.94726112071538804</v>
      </c>
      <c r="S5635" t="s">
        <v>12037</v>
      </c>
      <c r="T5635" t="s">
        <v>12802</v>
      </c>
      <c r="U5635" t="s">
        <v>12802</v>
      </c>
      <c r="V5635" t="s">
        <v>12802</v>
      </c>
      <c r="W5635" t="s">
        <v>18369</v>
      </c>
      <c r="X5635">
        <v>5</v>
      </c>
      <c r="Y5635" t="s">
        <v>24580</v>
      </c>
      <c r="Z5635" t="s">
        <v>30953</v>
      </c>
      <c r="AA5635">
        <v>0.51594841770988586</v>
      </c>
      <c r="AB5635" t="str">
        <f>HYPERLINK("Melting_Curves/meltCurve_Q9NPA0_EMC7.pdf", "Melting_Curves/meltCurve_Q9NPA0_EMC7.pdf")</f>
        <v>Melting_Curves/meltCurve_Q9NPA0_EMC7.pdf</v>
      </c>
    </row>
    <row r="5636" spans="1:28" x14ac:dyDescent="0.25">
      <c r="A5636" t="s">
        <v>5640</v>
      </c>
      <c r="B5636">
        <v>0.99542014353169495</v>
      </c>
      <c r="C5636">
        <v>1.0206033295783901</v>
      </c>
      <c r="D5636">
        <v>1.0190768698356301</v>
      </c>
      <c r="E5636">
        <v>0.74085320334313098</v>
      </c>
      <c r="F5636">
        <v>0.512333725830588</v>
      </c>
      <c r="G5636">
        <v>0.25687403525435598</v>
      </c>
      <c r="H5636">
        <v>0.13517282400224501</v>
      </c>
      <c r="I5636">
        <v>8.4419906392084201E-2</v>
      </c>
      <c r="J5636">
        <v>5.2722534690047701E-2</v>
      </c>
      <c r="K5636">
        <v>5.9441975489732797E-2</v>
      </c>
      <c r="L5636">
        <v>887.79135933822204</v>
      </c>
      <c r="M5636">
        <v>17.790155638963299</v>
      </c>
      <c r="N5636">
        <v>50.179451545303102</v>
      </c>
      <c r="O5636">
        <v>49.285793803719102</v>
      </c>
      <c r="P5636">
        <v>-8.6039345955586793E-2</v>
      </c>
      <c r="Q5636">
        <v>4.6597010063704203E-2</v>
      </c>
      <c r="R5636">
        <v>0.99451861717335099</v>
      </c>
      <c r="S5636" t="s">
        <v>12038</v>
      </c>
      <c r="T5636" t="s">
        <v>12802</v>
      </c>
      <c r="U5636" t="s">
        <v>12802</v>
      </c>
      <c r="V5636" t="s">
        <v>12802</v>
      </c>
      <c r="W5636" t="s">
        <v>18370</v>
      </c>
      <c r="X5636">
        <v>4</v>
      </c>
      <c r="Y5636" t="s">
        <v>24581</v>
      </c>
      <c r="Z5636" t="s">
        <v>30954</v>
      </c>
      <c r="AA5636">
        <v>0.47200384605646672</v>
      </c>
      <c r="AB5636" t="str">
        <f>HYPERLINK("Melting_Curves/meltCurve_Q9NPA3_MID1IP1.pdf", "Melting_Curves/meltCurve_Q9NPA3_MID1IP1.pdf")</f>
        <v>Melting_Curves/meltCurve_Q9NPA3_MID1IP1.pdf</v>
      </c>
    </row>
    <row r="5637" spans="1:28" x14ac:dyDescent="0.25">
      <c r="A5637" t="s">
        <v>5641</v>
      </c>
      <c r="B5637">
        <v>0.99542014353169495</v>
      </c>
      <c r="C5637">
        <v>1.1623085766605601</v>
      </c>
      <c r="D5637">
        <v>1.10874661005874</v>
      </c>
      <c r="E5637">
        <v>1.0799949456361699</v>
      </c>
      <c r="F5637">
        <v>0.94645565718684199</v>
      </c>
      <c r="G5637">
        <v>0.79142538235832305</v>
      </c>
      <c r="H5637">
        <v>0.58597009355908702</v>
      </c>
      <c r="I5637">
        <v>0.54956094585079496</v>
      </c>
      <c r="J5637">
        <v>0.75598518832409201</v>
      </c>
      <c r="K5637">
        <v>0.86833353115987799</v>
      </c>
      <c r="L5637">
        <v>2584.9959123455701</v>
      </c>
      <c r="M5637">
        <v>49.124717054468199</v>
      </c>
      <c r="O5637">
        <v>52.534104504755597</v>
      </c>
      <c r="P5637">
        <v>-7.1903358564661402E-2</v>
      </c>
      <c r="Q5637">
        <v>0.69242570077477605</v>
      </c>
      <c r="R5637">
        <v>0.72152207532406298</v>
      </c>
      <c r="S5637" t="s">
        <v>12039</v>
      </c>
      <c r="T5637" t="s">
        <v>12802</v>
      </c>
      <c r="U5637" t="s">
        <v>12802</v>
      </c>
      <c r="V5637" t="s">
        <v>12802</v>
      </c>
      <c r="W5637" t="s">
        <v>18371</v>
      </c>
      <c r="X5637">
        <v>6</v>
      </c>
      <c r="Y5637" t="s">
        <v>24582</v>
      </c>
      <c r="Z5637" t="s">
        <v>30955</v>
      </c>
      <c r="AA5637">
        <v>0.85331975401017279</v>
      </c>
      <c r="AB5637" t="str">
        <f>HYPERLINK("Melting_Curves/meltCurve_Q9NPA8_2_ENY2.pdf", "Melting_Curves/meltCurve_Q9NPA8_2_ENY2.pdf")</f>
        <v>Melting_Curves/meltCurve_Q9NPA8_2_ENY2.pdf</v>
      </c>
    </row>
    <row r="5638" spans="1:28" x14ac:dyDescent="0.25">
      <c r="A5638" t="s">
        <v>5642</v>
      </c>
      <c r="B5638">
        <v>0.99542014353169495</v>
      </c>
      <c r="C5638">
        <v>1.07856063672693</v>
      </c>
      <c r="D5638">
        <v>0.97699143007617695</v>
      </c>
      <c r="E5638">
        <v>0.75250518417802503</v>
      </c>
      <c r="F5638">
        <v>0.297466690324029</v>
      </c>
      <c r="G5638">
        <v>0.11896251652302101</v>
      </c>
      <c r="H5638">
        <v>8.6538604329032501E-2</v>
      </c>
      <c r="I5638">
        <v>7.5726276410769996E-2</v>
      </c>
      <c r="J5638">
        <v>8.6206538672762997E-2</v>
      </c>
      <c r="K5638">
        <v>0.10478449403222501</v>
      </c>
      <c r="L5638">
        <v>1456.6006478434999</v>
      </c>
      <c r="M5638">
        <v>30.244499024495099</v>
      </c>
      <c r="N5638">
        <v>48.462557637543398</v>
      </c>
      <c r="O5638">
        <v>47.951766450346298</v>
      </c>
      <c r="P5638">
        <v>-0.14415150090009299</v>
      </c>
      <c r="Q5638">
        <v>8.5813856510472894E-2</v>
      </c>
      <c r="R5638">
        <v>0.99589735562107895</v>
      </c>
      <c r="S5638" t="s">
        <v>12040</v>
      </c>
      <c r="T5638" t="s">
        <v>12802</v>
      </c>
      <c r="U5638" t="s">
        <v>12802</v>
      </c>
      <c r="V5638" t="s">
        <v>12802</v>
      </c>
      <c r="W5638" t="s">
        <v>18372</v>
      </c>
      <c r="X5638">
        <v>7</v>
      </c>
      <c r="Y5638" t="s">
        <v>24583</v>
      </c>
      <c r="Z5638" t="s">
        <v>30956</v>
      </c>
      <c r="AA5638">
        <v>0.43125969947976422</v>
      </c>
      <c r="AB5638" t="str">
        <f>HYPERLINK("Melting_Curves/meltCurve_Q9NPB8_GPCPD1.pdf", "Melting_Curves/meltCurve_Q9NPB8_GPCPD1.pdf")</f>
        <v>Melting_Curves/meltCurve_Q9NPB8_GPCPD1.pdf</v>
      </c>
    </row>
    <row r="5639" spans="1:28" x14ac:dyDescent="0.25">
      <c r="A5639" t="s">
        <v>5643</v>
      </c>
      <c r="B5639">
        <v>0.99542014353169495</v>
      </c>
      <c r="C5639">
        <v>1.0066185532384599</v>
      </c>
      <c r="D5639">
        <v>1.19619227681213</v>
      </c>
      <c r="E5639">
        <v>1.28644429813712</v>
      </c>
      <c r="F5639">
        <v>1.19640079262882</v>
      </c>
      <c r="G5639">
        <v>0.87524063412506903</v>
      </c>
      <c r="H5639">
        <v>0.67550942457866803</v>
      </c>
      <c r="I5639">
        <v>0.51923344732218102</v>
      </c>
      <c r="J5639">
        <v>0.356052713964367</v>
      </c>
      <c r="K5639">
        <v>0.17816182383311299</v>
      </c>
      <c r="L5639">
        <v>1180.55713972283</v>
      </c>
      <c r="M5639">
        <v>19.6950404994605</v>
      </c>
      <c r="N5639">
        <v>60.795108415824103</v>
      </c>
      <c r="O5639">
        <v>59.334118347415099</v>
      </c>
      <c r="P5639">
        <v>-7.2965610091803607E-2</v>
      </c>
      <c r="Q5639">
        <v>0.120752845753588</v>
      </c>
      <c r="R5639">
        <v>0.86271274755401905</v>
      </c>
      <c r="S5639" t="s">
        <v>12041</v>
      </c>
      <c r="T5639" t="s">
        <v>12802</v>
      </c>
      <c r="U5639" t="s">
        <v>12802</v>
      </c>
      <c r="V5639" t="s">
        <v>12802</v>
      </c>
      <c r="W5639" t="s">
        <v>18373</v>
      </c>
      <c r="X5639">
        <v>11</v>
      </c>
      <c r="Y5639" t="s">
        <v>24584</v>
      </c>
      <c r="Z5639" t="s">
        <v>30957</v>
      </c>
      <c r="AA5639">
        <v>0.79353961689412222</v>
      </c>
      <c r="AB5639" t="str">
        <f>HYPERLINK("Melting_Curves/meltCurve_Q9NPD3_EXOSC4.pdf", "Melting_Curves/meltCurve_Q9NPD3_EXOSC4.pdf")</f>
        <v>Melting_Curves/meltCurve_Q9NPD3_EXOSC4.pdf</v>
      </c>
    </row>
    <row r="5640" spans="1:28" x14ac:dyDescent="0.25">
      <c r="A5640" t="s">
        <v>5644</v>
      </c>
      <c r="B5640">
        <v>0.99542014353169495</v>
      </c>
      <c r="C5640">
        <v>1.0352967383401701</v>
      </c>
      <c r="D5640">
        <v>1.02246297259365</v>
      </c>
      <c r="E5640">
        <v>0.87765404849138096</v>
      </c>
      <c r="F5640">
        <v>0.35024376399795198</v>
      </c>
      <c r="G5640">
        <v>0.13590130497335101</v>
      </c>
      <c r="H5640">
        <v>7.9844142783469699E-2</v>
      </c>
      <c r="I5640">
        <v>6.4663254048329802E-2</v>
      </c>
      <c r="J5640">
        <v>7.0941014158959703E-2</v>
      </c>
      <c r="K5640">
        <v>5.3044607897241899E-2</v>
      </c>
      <c r="L5640">
        <v>1723.2350911129299</v>
      </c>
      <c r="M5640">
        <v>35.128182226997801</v>
      </c>
      <c r="N5640">
        <v>49.268078973936802</v>
      </c>
      <c r="O5640">
        <v>48.897468668397103</v>
      </c>
      <c r="P5640">
        <v>-0.16698007553965999</v>
      </c>
      <c r="Q5640">
        <v>7.0276446705125103E-2</v>
      </c>
      <c r="R5640">
        <v>0.99825381549611902</v>
      </c>
      <c r="S5640" t="s">
        <v>12042</v>
      </c>
      <c r="T5640" t="s">
        <v>12802</v>
      </c>
      <c r="U5640" t="s">
        <v>12802</v>
      </c>
      <c r="V5640" t="s">
        <v>12802</v>
      </c>
      <c r="W5640" t="s">
        <v>18374</v>
      </c>
      <c r="X5640">
        <v>11</v>
      </c>
      <c r="Y5640" t="s">
        <v>24585</v>
      </c>
      <c r="Z5640" t="s">
        <v>30958</v>
      </c>
      <c r="AA5640">
        <v>0.44798261259277738</v>
      </c>
      <c r="AB5640" t="str">
        <f>HYPERLINK("Melting_Curves/meltCurve_Q9NPD8_UBE2T.pdf", "Melting_Curves/meltCurve_Q9NPD8_UBE2T.pdf")</f>
        <v>Melting_Curves/meltCurve_Q9NPD8_UBE2T.pdf</v>
      </c>
    </row>
    <row r="5641" spans="1:28" x14ac:dyDescent="0.25">
      <c r="A5641" t="s">
        <v>5645</v>
      </c>
      <c r="B5641">
        <v>0.99542014353169495</v>
      </c>
      <c r="C5641">
        <v>1.01163883770819</v>
      </c>
      <c r="D5641">
        <v>1.2058857606925899</v>
      </c>
      <c r="E5641">
        <v>1.07030663733508</v>
      </c>
      <c r="F5641">
        <v>0.89733221312169598</v>
      </c>
      <c r="G5641">
        <v>0.53895461060706795</v>
      </c>
      <c r="H5641">
        <v>0.37844863023772002</v>
      </c>
      <c r="I5641">
        <v>0.20039022944561599</v>
      </c>
      <c r="J5641">
        <v>0.38945146160719402</v>
      </c>
      <c r="K5641">
        <v>0.55629092196393803</v>
      </c>
      <c r="L5641">
        <v>2228.3200818811201</v>
      </c>
      <c r="M5641">
        <v>42.581454760485101</v>
      </c>
      <c r="N5641">
        <v>54.1366811220784</v>
      </c>
      <c r="O5641">
        <v>52.215727541876603</v>
      </c>
      <c r="P5641">
        <v>-0.126564832927099</v>
      </c>
      <c r="Q5641">
        <v>0.37919772558826198</v>
      </c>
      <c r="R5641">
        <v>0.89830854564366702</v>
      </c>
      <c r="S5641" t="s">
        <v>12043</v>
      </c>
      <c r="T5641" t="s">
        <v>12802</v>
      </c>
      <c r="U5641" t="s">
        <v>12802</v>
      </c>
      <c r="V5641" t="s">
        <v>12802</v>
      </c>
      <c r="W5641" t="s">
        <v>18375</v>
      </c>
      <c r="X5641">
        <v>7</v>
      </c>
      <c r="Y5641" t="s">
        <v>24586</v>
      </c>
      <c r="Z5641" t="s">
        <v>30959</v>
      </c>
      <c r="AA5641">
        <v>0.69841961377340012</v>
      </c>
      <c r="AB5641" t="str">
        <f>HYPERLINK("Melting_Curves/meltCurve_Q9NPE2_NGRN.pdf", "Melting_Curves/meltCurve_Q9NPE2_NGRN.pdf")</f>
        <v>Melting_Curves/meltCurve_Q9NPE2_NGRN.pdf</v>
      </c>
    </row>
    <row r="5642" spans="1:28" x14ac:dyDescent="0.25">
      <c r="A5642" t="s">
        <v>5646</v>
      </c>
      <c r="B5642">
        <v>0.99542014353169495</v>
      </c>
      <c r="C5642">
        <v>1.05358428873607</v>
      </c>
      <c r="D5642">
        <v>1.15162533646356</v>
      </c>
      <c r="E5642">
        <v>0.88754805850003704</v>
      </c>
      <c r="F5642">
        <v>0.63800905259291796</v>
      </c>
      <c r="G5642">
        <v>0.36475588756710298</v>
      </c>
      <c r="H5642">
        <v>0.30213854363527198</v>
      </c>
      <c r="I5642">
        <v>0.27255893749136201</v>
      </c>
      <c r="J5642">
        <v>0.35275809912591999</v>
      </c>
      <c r="K5642">
        <v>0.31521292591187999</v>
      </c>
      <c r="L5642">
        <v>1531.48145316502</v>
      </c>
      <c r="M5642">
        <v>30.684597682933099</v>
      </c>
      <c r="N5642">
        <v>51.499252018860098</v>
      </c>
      <c r="O5642">
        <v>49.699880848627899</v>
      </c>
      <c r="P5642">
        <v>-0.107121765199182</v>
      </c>
      <c r="Q5642">
        <v>0.30598308849823502</v>
      </c>
      <c r="R5642">
        <v>0.97060584305032105</v>
      </c>
      <c r="S5642" t="s">
        <v>12044</v>
      </c>
      <c r="T5642" t="s">
        <v>12802</v>
      </c>
      <c r="U5642" t="s">
        <v>12802</v>
      </c>
      <c r="V5642" t="s">
        <v>12802</v>
      </c>
      <c r="W5642" t="s">
        <v>18376</v>
      </c>
      <c r="X5642">
        <v>1</v>
      </c>
      <c r="Y5642" t="s">
        <v>24587</v>
      </c>
      <c r="Z5642" t="s">
        <v>30960</v>
      </c>
      <c r="AA5642">
        <v>0.608717973891713</v>
      </c>
      <c r="AB5642" t="str">
        <f>HYPERLINK("Melting_Curves/meltCurve_Q9NPE3_NOP10.pdf", "Melting_Curves/meltCurve_Q9NPE3_NOP10.pdf")</f>
        <v>Melting_Curves/meltCurve_Q9NPE3_NOP10.pdf</v>
      </c>
    </row>
    <row r="5643" spans="1:28" x14ac:dyDescent="0.25">
      <c r="A5643" t="s">
        <v>5647</v>
      </c>
      <c r="B5643">
        <v>0.99542014353169495</v>
      </c>
      <c r="C5643">
        <v>1.03898243861129</v>
      </c>
      <c r="D5643">
        <v>0.97996970359507996</v>
      </c>
      <c r="E5643">
        <v>1.0333428211111599</v>
      </c>
      <c r="F5643">
        <v>0.85295743107164201</v>
      </c>
      <c r="G5643">
        <v>0.65390975023273501</v>
      </c>
      <c r="H5643">
        <v>0.50268653528672702</v>
      </c>
      <c r="I5643">
        <v>0.51070582729704095</v>
      </c>
      <c r="J5643">
        <v>0.81151282177898898</v>
      </c>
      <c r="K5643">
        <v>1.0223729703720601</v>
      </c>
      <c r="L5643">
        <v>12551.9017244882</v>
      </c>
      <c r="M5643">
        <v>250</v>
      </c>
      <c r="O5643">
        <v>50.204397044138801</v>
      </c>
      <c r="P5643">
        <v>-0.37317752192861903</v>
      </c>
      <c r="Q5643">
        <v>0.70023757918162899</v>
      </c>
      <c r="R5643">
        <v>0.52331453444227904</v>
      </c>
      <c r="S5643" t="s">
        <v>12045</v>
      </c>
      <c r="T5643" t="s">
        <v>12802</v>
      </c>
      <c r="U5643" t="s">
        <v>12802</v>
      </c>
      <c r="V5643" t="s">
        <v>12802</v>
      </c>
      <c r="W5643" t="s">
        <v>18377</v>
      </c>
      <c r="X5643">
        <v>6</v>
      </c>
      <c r="Y5643" t="s">
        <v>24588</v>
      </c>
      <c r="Z5643" t="s">
        <v>30961</v>
      </c>
      <c r="AA5643">
        <v>0.83223546621654887</v>
      </c>
      <c r="AB5643" t="str">
        <f>HYPERLINK("Melting_Curves/meltCurve_Q9NPF0_CD320.pdf", "Melting_Curves/meltCurve_Q9NPF0_CD320.pdf")</f>
        <v>Melting_Curves/meltCurve_Q9NPF0_CD320.pdf</v>
      </c>
    </row>
    <row r="5644" spans="1:28" x14ac:dyDescent="0.25">
      <c r="A5644" t="s">
        <v>5648</v>
      </c>
      <c r="B5644">
        <v>0.99542014353169495</v>
      </c>
      <c r="C5644">
        <v>0.94397533817797097</v>
      </c>
      <c r="D5644">
        <v>0.91998826650719001</v>
      </c>
      <c r="E5644">
        <v>0.85058542784825097</v>
      </c>
      <c r="F5644">
        <v>0.70669521682148195</v>
      </c>
      <c r="G5644">
        <v>0.57606962387285499</v>
      </c>
      <c r="H5644">
        <v>0.36788444792522601</v>
      </c>
      <c r="I5644">
        <v>0.208828895407843</v>
      </c>
      <c r="J5644">
        <v>9.3220930804443103E-2</v>
      </c>
      <c r="K5644">
        <v>6.6119821617669397E-2</v>
      </c>
      <c r="L5644">
        <v>640.64010581469802</v>
      </c>
      <c r="M5644">
        <v>11.8011029411203</v>
      </c>
      <c r="N5644">
        <v>54.28645003858</v>
      </c>
      <c r="O5644">
        <v>52.797996456564398</v>
      </c>
      <c r="P5644">
        <v>-5.5892925965819698E-2</v>
      </c>
      <c r="Q5644">
        <v>0</v>
      </c>
      <c r="R5644">
        <v>0.99147088875503098</v>
      </c>
      <c r="S5644" t="s">
        <v>12046</v>
      </c>
      <c r="T5644" t="s">
        <v>12802</v>
      </c>
      <c r="U5644" t="s">
        <v>12802</v>
      </c>
      <c r="V5644" t="s">
        <v>12802</v>
      </c>
      <c r="W5644" t="s">
        <v>18378</v>
      </c>
      <c r="X5644">
        <v>14</v>
      </c>
      <c r="Y5644" t="s">
        <v>24589</v>
      </c>
      <c r="Z5644" t="s">
        <v>30962</v>
      </c>
      <c r="AA5644">
        <v>0.59312747649327002</v>
      </c>
      <c r="AB5644" t="str">
        <f>HYPERLINK("Melting_Curves/meltCurve_Q9NPF4_OSGEP.pdf", "Melting_Curves/meltCurve_Q9NPF4_OSGEP.pdf")</f>
        <v>Melting_Curves/meltCurve_Q9NPF4_OSGEP.pdf</v>
      </c>
    </row>
    <row r="5645" spans="1:28" x14ac:dyDescent="0.25">
      <c r="A5645" t="s">
        <v>5649</v>
      </c>
      <c r="B5645">
        <v>0.99542014353169495</v>
      </c>
      <c r="C5645">
        <v>0.91769847622262501</v>
      </c>
      <c r="D5645">
        <v>0.937389692168204</v>
      </c>
      <c r="E5645">
        <v>0.85935129884370198</v>
      </c>
      <c r="F5645">
        <v>0.71289164082997203</v>
      </c>
      <c r="G5645">
        <v>0.47425038602460701</v>
      </c>
      <c r="H5645">
        <v>0.43863074417192699</v>
      </c>
      <c r="I5645">
        <v>0.48704506700368799</v>
      </c>
      <c r="J5645">
        <v>0.62345732878271398</v>
      </c>
      <c r="K5645">
        <v>0.84585550966890599</v>
      </c>
      <c r="L5645">
        <v>1394.64934346582</v>
      </c>
      <c r="M5645">
        <v>29.198313512096298</v>
      </c>
      <c r="O5645">
        <v>47.542355583378203</v>
      </c>
      <c r="P5645">
        <v>-6.46801118828296E-2</v>
      </c>
      <c r="Q5645">
        <v>0.57873971331768703</v>
      </c>
      <c r="R5645">
        <v>0.679458951398344</v>
      </c>
      <c r="S5645" t="s">
        <v>12047</v>
      </c>
      <c r="T5645" t="s">
        <v>12802</v>
      </c>
      <c r="U5645" t="s">
        <v>12802</v>
      </c>
      <c r="V5645" t="s">
        <v>12802</v>
      </c>
      <c r="W5645" t="s">
        <v>18379</v>
      </c>
      <c r="X5645">
        <v>17</v>
      </c>
      <c r="Y5645" t="s">
        <v>24590</v>
      </c>
      <c r="Z5645" t="s">
        <v>30963</v>
      </c>
      <c r="AA5645">
        <v>0.73252102485606019</v>
      </c>
      <c r="AB5645" t="str">
        <f>HYPERLINK("Melting_Curves/meltCurve_Q9NPH2_ISYNA1.pdf", "Melting_Curves/meltCurve_Q9NPH2_ISYNA1.pdf")</f>
        <v>Melting_Curves/meltCurve_Q9NPH2_ISYNA1.pdf</v>
      </c>
    </row>
    <row r="5646" spans="1:28" x14ac:dyDescent="0.25">
      <c r="A5646" t="s">
        <v>5650</v>
      </c>
      <c r="B5646">
        <v>0.99542014353169495</v>
      </c>
      <c r="C5646">
        <v>1.08904964217303</v>
      </c>
      <c r="D5646">
        <v>1.02153084778509</v>
      </c>
      <c r="E5646">
        <v>0.87510062945777101</v>
      </c>
      <c r="F5646">
        <v>0.51253533102652704</v>
      </c>
      <c r="G5646">
        <v>0.32432310346948601</v>
      </c>
      <c r="H5646">
        <v>0.160754171674411</v>
      </c>
      <c r="I5646">
        <v>7.7147652274803899E-2</v>
      </c>
      <c r="J5646">
        <v>7.3973593834709001E-2</v>
      </c>
      <c r="K5646">
        <v>5.4123474533151798E-2</v>
      </c>
      <c r="L5646">
        <v>999.50240225988796</v>
      </c>
      <c r="M5646">
        <v>19.7595712524219</v>
      </c>
      <c r="N5646">
        <v>50.9181273700407</v>
      </c>
      <c r="O5646">
        <v>50.073664313094199</v>
      </c>
      <c r="P5646">
        <v>-9.26437649432134E-2</v>
      </c>
      <c r="Q5646">
        <v>6.0940273781995E-2</v>
      </c>
      <c r="R5646">
        <v>0.98996113531399799</v>
      </c>
      <c r="S5646" t="s">
        <v>12048</v>
      </c>
      <c r="T5646" t="s">
        <v>12802</v>
      </c>
      <c r="U5646" t="s">
        <v>12802</v>
      </c>
      <c r="V5646" t="s">
        <v>12802</v>
      </c>
      <c r="W5646" t="s">
        <v>18380</v>
      </c>
      <c r="X5646">
        <v>3</v>
      </c>
      <c r="Y5646" t="s">
        <v>24591</v>
      </c>
      <c r="Z5646" t="s">
        <v>30964</v>
      </c>
      <c r="AA5646">
        <v>0.49871183380409811</v>
      </c>
      <c r="AB5646" t="str">
        <f>HYPERLINK("Melting_Curves/meltCurve_Q9NPI6_DCP1A.pdf", "Melting_Curves/meltCurve_Q9NPI6_DCP1A.pdf")</f>
        <v>Melting_Curves/meltCurve_Q9NPI6_DCP1A.pdf</v>
      </c>
    </row>
    <row r="5647" spans="1:28" x14ac:dyDescent="0.25">
      <c r="A5647" t="s">
        <v>5651</v>
      </c>
      <c r="B5647">
        <v>0.99542014353169495</v>
      </c>
      <c r="C5647">
        <v>1.02282710070815</v>
      </c>
      <c r="D5647">
        <v>0.96236888283037803</v>
      </c>
      <c r="E5647">
        <v>0.98512702450578404</v>
      </c>
      <c r="F5647">
        <v>0.83567120569722098</v>
      </c>
      <c r="G5647">
        <v>0.72880655722751997</v>
      </c>
      <c r="H5647">
        <v>0.52754095383472899</v>
      </c>
      <c r="I5647">
        <v>0.52891158706837105</v>
      </c>
      <c r="J5647">
        <v>0.79811715345708201</v>
      </c>
      <c r="K5647">
        <v>0.82145486626832998</v>
      </c>
      <c r="L5647">
        <v>2007.9984025764199</v>
      </c>
      <c r="M5647">
        <v>39.988877443019703</v>
      </c>
      <c r="O5647">
        <v>50.088839400090897</v>
      </c>
      <c r="P5647">
        <v>-6.4721772283641996E-2</v>
      </c>
      <c r="Q5647">
        <v>0.67572665867253201</v>
      </c>
      <c r="R5647">
        <v>0.72083956788666603</v>
      </c>
      <c r="S5647" t="s">
        <v>12049</v>
      </c>
      <c r="T5647" t="s">
        <v>12802</v>
      </c>
      <c r="U5647" t="s">
        <v>12802</v>
      </c>
      <c r="V5647" t="s">
        <v>12802</v>
      </c>
      <c r="W5647" t="s">
        <v>18381</v>
      </c>
      <c r="X5647">
        <v>5</v>
      </c>
      <c r="Y5647" t="s">
        <v>24592</v>
      </c>
      <c r="Z5647" t="s">
        <v>30965</v>
      </c>
      <c r="AA5647">
        <v>0.81968275563195969</v>
      </c>
      <c r="AB5647" t="str">
        <f>HYPERLINK("Melting_Curves/meltCurve_Q9NPJ3_ACOT13.pdf", "Melting_Curves/meltCurve_Q9NPJ3_ACOT13.pdf")</f>
        <v>Melting_Curves/meltCurve_Q9NPJ3_ACOT13.pdf</v>
      </c>
    </row>
    <row r="5648" spans="1:28" x14ac:dyDescent="0.25">
      <c r="A5648" t="s">
        <v>5652</v>
      </c>
      <c r="B5648">
        <v>0.99542014353169495</v>
      </c>
      <c r="C5648">
        <v>1.0065685289709501</v>
      </c>
      <c r="D5648">
        <v>0.94846129134901103</v>
      </c>
      <c r="E5648">
        <v>0.779992024865094</v>
      </c>
      <c r="F5648">
        <v>0.89587652739315604</v>
      </c>
      <c r="G5648">
        <v>0.48156381524463199</v>
      </c>
      <c r="H5648">
        <v>0.24308562465623401</v>
      </c>
      <c r="I5648">
        <v>0.15203364404707301</v>
      </c>
      <c r="J5648">
        <v>0.16851213957864999</v>
      </c>
      <c r="K5648">
        <v>0.14558918798429099</v>
      </c>
      <c r="L5648">
        <v>1198.10135582922</v>
      </c>
      <c r="M5648">
        <v>22.576286966039799</v>
      </c>
      <c r="N5648">
        <v>53.7698646351718</v>
      </c>
      <c r="O5648">
        <v>52.657884417917302</v>
      </c>
      <c r="P5648">
        <v>-9.3523991755749103E-2</v>
      </c>
      <c r="Q5648">
        <v>0.12746007152619801</v>
      </c>
      <c r="R5648">
        <v>0.96544972944723795</v>
      </c>
      <c r="S5648" t="s">
        <v>12050</v>
      </c>
      <c r="T5648" t="s">
        <v>12802</v>
      </c>
      <c r="U5648" t="s">
        <v>12802</v>
      </c>
      <c r="V5648" t="s">
        <v>12802</v>
      </c>
      <c r="W5648" t="s">
        <v>18382</v>
      </c>
      <c r="X5648">
        <v>9</v>
      </c>
      <c r="Y5648" t="s">
        <v>24593</v>
      </c>
      <c r="Z5648" t="s">
        <v>30966</v>
      </c>
      <c r="AA5648">
        <v>0.60394704864810178</v>
      </c>
      <c r="AB5648" t="str">
        <f>HYPERLINK("Melting_Curves/meltCurve_Q9NPJ6_MED4.pdf", "Melting_Curves/meltCurve_Q9NPJ6_MED4.pdf")</f>
        <v>Melting_Curves/meltCurve_Q9NPJ6_MED4.pdf</v>
      </c>
    </row>
    <row r="5649" spans="1:28" x14ac:dyDescent="0.25">
      <c r="A5649" t="s">
        <v>5653</v>
      </c>
      <c r="B5649">
        <v>0.99542014353169495</v>
      </c>
      <c r="C5649">
        <v>1.02796442137202</v>
      </c>
      <c r="D5649">
        <v>0.98945842407710205</v>
      </c>
      <c r="E5649">
        <v>0.85565785155425</v>
      </c>
      <c r="F5649">
        <v>0.78885815123522296</v>
      </c>
      <c r="G5649">
        <v>0.58241260036200804</v>
      </c>
      <c r="H5649">
        <v>0.46237532975685502</v>
      </c>
      <c r="I5649">
        <v>0.36844127615229999</v>
      </c>
      <c r="J5649">
        <v>0.559011946962373</v>
      </c>
      <c r="K5649">
        <v>0.69422524338518998</v>
      </c>
      <c r="L5649">
        <v>1162.83919560757</v>
      </c>
      <c r="M5649">
        <v>23.385076202119802</v>
      </c>
      <c r="O5649">
        <v>49.366357698953898</v>
      </c>
      <c r="P5649">
        <v>-5.7024692433471198E-2</v>
      </c>
      <c r="Q5649">
        <v>0.518487485497937</v>
      </c>
      <c r="R5649">
        <v>0.86004320439469695</v>
      </c>
      <c r="S5649" t="s">
        <v>12051</v>
      </c>
      <c r="T5649" t="s">
        <v>12802</v>
      </c>
      <c r="U5649" t="s">
        <v>12802</v>
      </c>
      <c r="V5649" t="s">
        <v>12802</v>
      </c>
      <c r="W5649" t="s">
        <v>18383</v>
      </c>
      <c r="X5649">
        <v>11</v>
      </c>
      <c r="Y5649" t="s">
        <v>24594</v>
      </c>
      <c r="Z5649" t="s">
        <v>30967</v>
      </c>
      <c r="AA5649">
        <v>0.72750633063622483</v>
      </c>
      <c r="AB5649" t="str">
        <f>HYPERLINK("Melting_Curves/meltCurve_Q9NPL8_TIMMDC1.pdf", "Melting_Curves/meltCurve_Q9NPL8_TIMMDC1.pdf")</f>
        <v>Melting_Curves/meltCurve_Q9NPL8_TIMMDC1.pdf</v>
      </c>
    </row>
    <row r="5650" spans="1:28" x14ac:dyDescent="0.25">
      <c r="A5650" t="s">
        <v>5654</v>
      </c>
      <c r="B5650">
        <v>0.99542014353169495</v>
      </c>
      <c r="C5650">
        <v>1.0399311500139199</v>
      </c>
      <c r="D5650">
        <v>0.93236948415389798</v>
      </c>
      <c r="E5650">
        <v>0.495366271568637</v>
      </c>
      <c r="F5650">
        <v>0.18326799933274199</v>
      </c>
      <c r="G5650">
        <v>0.102804291380379</v>
      </c>
      <c r="H5650">
        <v>6.4238192768052899E-2</v>
      </c>
      <c r="I5650">
        <v>4.5306872968306697E-2</v>
      </c>
      <c r="J5650">
        <v>5.0768979405708597E-2</v>
      </c>
      <c r="K5650">
        <v>5.1500346665707901E-2</v>
      </c>
      <c r="L5650">
        <v>1317.92859000356</v>
      </c>
      <c r="M5650">
        <v>28.353773862101299</v>
      </c>
      <c r="N5650">
        <v>46.692254596750701</v>
      </c>
      <c r="O5650">
        <v>46.252223005509499</v>
      </c>
      <c r="P5650">
        <v>-0.14405623445166699</v>
      </c>
      <c r="Q5650">
        <v>6.00381021364828E-2</v>
      </c>
      <c r="R5650">
        <v>0.99735897476481605</v>
      </c>
      <c r="S5650" t="s">
        <v>12052</v>
      </c>
      <c r="T5650" t="s">
        <v>12802</v>
      </c>
      <c r="U5650" t="s">
        <v>12802</v>
      </c>
      <c r="V5650" t="s">
        <v>12802</v>
      </c>
      <c r="W5650" t="s">
        <v>18384</v>
      </c>
      <c r="X5650">
        <v>13</v>
      </c>
      <c r="Y5650" t="s">
        <v>24595</v>
      </c>
      <c r="Z5650" t="s">
        <v>30968</v>
      </c>
      <c r="AA5650">
        <v>0.36318373384027042</v>
      </c>
      <c r="AB5650" t="str">
        <f>HYPERLINK("Melting_Curves/meltCurve_Q9NPQ8_4_RIC8A.pdf", "Melting_Curves/meltCurve_Q9NPQ8_4_RIC8A.pdf")</f>
        <v>Melting_Curves/meltCurve_Q9NPQ8_4_RIC8A.pdf</v>
      </c>
    </row>
    <row r="5651" spans="1:28" x14ac:dyDescent="0.25">
      <c r="A5651" t="s">
        <v>5655</v>
      </c>
      <c r="B5651">
        <v>0.99542014353169495</v>
      </c>
      <c r="C5651">
        <v>0.983232132536485</v>
      </c>
      <c r="D5651">
        <v>0.966390143723031</v>
      </c>
      <c r="E5651">
        <v>0.86090502663163704</v>
      </c>
      <c r="F5651">
        <v>0.55274772629601299</v>
      </c>
      <c r="G5651">
        <v>0.191576852497891</v>
      </c>
      <c r="H5651">
        <v>8.4580093310611101E-2</v>
      </c>
      <c r="I5651">
        <v>6.4640695264242001E-2</v>
      </c>
      <c r="J5651">
        <v>6.7133102896893698E-2</v>
      </c>
      <c r="K5651">
        <v>4.9819027822011801E-2</v>
      </c>
      <c r="L5651">
        <v>1217.8029330147599</v>
      </c>
      <c r="M5651">
        <v>24.223018027312499</v>
      </c>
      <c r="N5651">
        <v>50.486385791683603</v>
      </c>
      <c r="O5651">
        <v>49.935730532590902</v>
      </c>
      <c r="P5651">
        <v>-0.115414477019123</v>
      </c>
      <c r="Q5651">
        <v>4.8307143648074702E-2</v>
      </c>
      <c r="R5651">
        <v>0.99889645073695499</v>
      </c>
      <c r="S5651" t="s">
        <v>12053</v>
      </c>
      <c r="T5651" t="s">
        <v>12802</v>
      </c>
      <c r="U5651" t="s">
        <v>12802</v>
      </c>
      <c r="V5651" t="s">
        <v>12802</v>
      </c>
      <c r="W5651" t="s">
        <v>18385</v>
      </c>
      <c r="X5651">
        <v>2</v>
      </c>
      <c r="Y5651" t="s">
        <v>24596</v>
      </c>
      <c r="Z5651" t="s">
        <v>30969</v>
      </c>
      <c r="AA5651">
        <v>0.47827676183911888</v>
      </c>
      <c r="AB5651" t="str">
        <f>HYPERLINK("Melting_Curves/meltCurve_Q9NPR9_GPR108.pdf", "Melting_Curves/meltCurve_Q9NPR9_GPR108.pdf")</f>
        <v>Melting_Curves/meltCurve_Q9NPR9_GPR108.pdf</v>
      </c>
    </row>
    <row r="5652" spans="1:28" x14ac:dyDescent="0.25">
      <c r="A5652" t="s">
        <v>5656</v>
      </c>
      <c r="B5652">
        <v>0.99542014353169495</v>
      </c>
      <c r="C5652">
        <v>0.84920172444064201</v>
      </c>
      <c r="D5652">
        <v>0.84395814228458998</v>
      </c>
      <c r="E5652">
        <v>0.64088452917155303</v>
      </c>
      <c r="F5652">
        <v>0.47917516536251598</v>
      </c>
      <c r="G5652">
        <v>0.190302504253821</v>
      </c>
      <c r="H5652">
        <v>0.103340966659849</v>
      </c>
      <c r="I5652">
        <v>7.2042433299223996E-2</v>
      </c>
      <c r="J5652">
        <v>4.4987836164948697E-2</v>
      </c>
      <c r="K5652">
        <v>1.50814158169497E-2</v>
      </c>
      <c r="L5652">
        <v>609.38842961695298</v>
      </c>
      <c r="M5652">
        <v>12.5017936431321</v>
      </c>
      <c r="N5652">
        <v>48.744080035859298</v>
      </c>
      <c r="O5652">
        <v>47.547315878269004</v>
      </c>
      <c r="P5652">
        <v>-6.57469530819242E-2</v>
      </c>
      <c r="Q5652">
        <v>0</v>
      </c>
      <c r="R5652">
        <v>0.987491383210922</v>
      </c>
      <c r="S5652" t="s">
        <v>12054</v>
      </c>
      <c r="T5652" t="s">
        <v>12802</v>
      </c>
      <c r="U5652" t="s">
        <v>12802</v>
      </c>
      <c r="V5652" t="s">
        <v>12802</v>
      </c>
      <c r="W5652" t="s">
        <v>18386</v>
      </c>
      <c r="X5652">
        <v>3</v>
      </c>
      <c r="Y5652" t="s">
        <v>24597</v>
      </c>
      <c r="Z5652" t="s">
        <v>30970</v>
      </c>
      <c r="AA5652">
        <v>0.41994407389605498</v>
      </c>
      <c r="AB5652" t="str">
        <f>HYPERLINK("Melting_Curves/meltCurve_Q9NQ11_3_ATP13A2.pdf", "Melting_Curves/meltCurve_Q9NQ11_3_ATP13A2.pdf")</f>
        <v>Melting_Curves/meltCurve_Q9NQ11_3_ATP13A2.pdf</v>
      </c>
    </row>
    <row r="5653" spans="1:28" x14ac:dyDescent="0.25">
      <c r="A5653" t="s">
        <v>5657</v>
      </c>
      <c r="B5653">
        <v>0.99542014353169495</v>
      </c>
      <c r="C5653">
        <v>0.98567159503398105</v>
      </c>
      <c r="D5653">
        <v>0.95224315013740302</v>
      </c>
      <c r="E5653">
        <v>0.90084528876498304</v>
      </c>
      <c r="F5653">
        <v>0.66300938121155795</v>
      </c>
      <c r="G5653">
        <v>0.33775503853716898</v>
      </c>
      <c r="H5653">
        <v>0.119968558502352</v>
      </c>
      <c r="I5653">
        <v>7.0764016566598101E-2</v>
      </c>
      <c r="J5653">
        <v>6.9766001145849396E-2</v>
      </c>
      <c r="K5653">
        <v>7.6209878586343496E-2</v>
      </c>
      <c r="L5653">
        <v>1099.2248165187</v>
      </c>
      <c r="M5653">
        <v>21.324806349227199</v>
      </c>
      <c r="N5653">
        <v>51.798784728888798</v>
      </c>
      <c r="O5653">
        <v>51.099893313428502</v>
      </c>
      <c r="P5653">
        <v>-9.9190656262260604E-2</v>
      </c>
      <c r="Q5653">
        <v>4.9275504855273503E-2</v>
      </c>
      <c r="R5653">
        <v>0.998171503064475</v>
      </c>
      <c r="S5653" t="s">
        <v>12055</v>
      </c>
      <c r="T5653" t="s">
        <v>12802</v>
      </c>
      <c r="U5653" t="s">
        <v>12802</v>
      </c>
      <c r="V5653" t="s">
        <v>12802</v>
      </c>
      <c r="W5653" t="s">
        <v>18387</v>
      </c>
      <c r="X5653">
        <v>29</v>
      </c>
      <c r="Y5653" t="s">
        <v>24598</v>
      </c>
      <c r="Z5653" t="s">
        <v>30971</v>
      </c>
      <c r="AA5653">
        <v>0.52140192334682278</v>
      </c>
      <c r="AB5653" t="str">
        <f>HYPERLINK("Melting_Curves/meltCurve_Q9NQ29_LUC7L.pdf", "Melting_Curves/meltCurve_Q9NQ29_LUC7L.pdf")</f>
        <v>Melting_Curves/meltCurve_Q9NQ29_LUC7L.pdf</v>
      </c>
    </row>
    <row r="5654" spans="1:28" x14ac:dyDescent="0.25">
      <c r="A5654" t="s">
        <v>5658</v>
      </c>
      <c r="B5654">
        <v>0.99542014353169495</v>
      </c>
      <c r="C5654">
        <v>1.2095073275708901</v>
      </c>
      <c r="D5654">
        <v>1.1553193968287701</v>
      </c>
      <c r="E5654">
        <v>1.1339083816387601</v>
      </c>
      <c r="F5654">
        <v>0.71923107136337705</v>
      </c>
      <c r="G5654">
        <v>0.152484898886034</v>
      </c>
      <c r="H5654">
        <v>0.10371834025174401</v>
      </c>
      <c r="I5654">
        <v>3.6367648568354297E-2</v>
      </c>
      <c r="J5654">
        <v>3.3563677264805601E-2</v>
      </c>
      <c r="K5654">
        <v>4.0684993717673902E-2</v>
      </c>
      <c r="L5654">
        <v>2440.09693916175</v>
      </c>
      <c r="M5654">
        <v>47.678592547737701</v>
      </c>
      <c r="N5654">
        <v>51.302350567494997</v>
      </c>
      <c r="O5654">
        <v>51.088251038799001</v>
      </c>
      <c r="P5654">
        <v>-0.22058520153084499</v>
      </c>
      <c r="Q5654">
        <v>5.4560971550876497E-2</v>
      </c>
      <c r="R5654">
        <v>0.96356800662717002</v>
      </c>
      <c r="S5654" t="s">
        <v>12056</v>
      </c>
      <c r="T5654" t="s">
        <v>12802</v>
      </c>
      <c r="U5654" t="s">
        <v>12802</v>
      </c>
      <c r="V5654" t="s">
        <v>12802</v>
      </c>
      <c r="W5654" t="s">
        <v>18388</v>
      </c>
      <c r="X5654">
        <v>1</v>
      </c>
      <c r="Y5654" t="s">
        <v>24599</v>
      </c>
      <c r="Z5654" t="s">
        <v>30972</v>
      </c>
      <c r="AA5654">
        <v>0.50372447113920837</v>
      </c>
      <c r="AB5654" t="str">
        <f>HYPERLINK("Melting_Curves/meltCurve_Q9NQ88_TIGAR.pdf", "Melting_Curves/meltCurve_Q9NQ88_TIGAR.pdf")</f>
        <v>Melting_Curves/meltCurve_Q9NQ88_TIGAR.pdf</v>
      </c>
    </row>
    <row r="5655" spans="1:28" x14ac:dyDescent="0.25">
      <c r="A5655" t="s">
        <v>5659</v>
      </c>
      <c r="B5655">
        <v>0.99542014353169495</v>
      </c>
      <c r="C5655">
        <v>0.98434077473534698</v>
      </c>
      <c r="D5655">
        <v>0.95427386800030201</v>
      </c>
      <c r="E5655">
        <v>0.96527875277152897</v>
      </c>
      <c r="F5655">
        <v>0.79976107056016799</v>
      </c>
      <c r="G5655">
        <v>0.67735659532105297</v>
      </c>
      <c r="H5655">
        <v>0.48914952413462698</v>
      </c>
      <c r="I5655">
        <v>0.36422617937101698</v>
      </c>
      <c r="J5655">
        <v>0.31319492874442401</v>
      </c>
      <c r="K5655">
        <v>0.26616216612265597</v>
      </c>
      <c r="L5655">
        <v>724.37192193016494</v>
      </c>
      <c r="M5655">
        <v>13.152586398670399</v>
      </c>
      <c r="N5655">
        <v>57.252616084599602</v>
      </c>
      <c r="O5655">
        <v>53.8480131305732</v>
      </c>
      <c r="P5655">
        <v>-4.9051451622450601E-2</v>
      </c>
      <c r="Q5655">
        <v>0.19684925931066699</v>
      </c>
      <c r="R5655">
        <v>0.99637404205425295</v>
      </c>
      <c r="S5655" t="s">
        <v>12057</v>
      </c>
      <c r="T5655" t="s">
        <v>12802</v>
      </c>
      <c r="U5655" t="s">
        <v>12802</v>
      </c>
      <c r="V5655" t="s">
        <v>12802</v>
      </c>
      <c r="W5655" t="s">
        <v>18389</v>
      </c>
      <c r="X5655">
        <v>14</v>
      </c>
      <c r="Y5655" t="s">
        <v>24600</v>
      </c>
      <c r="Z5655" t="s">
        <v>30973</v>
      </c>
      <c r="AA5655">
        <v>0.69214049091757102</v>
      </c>
      <c r="AB5655" t="str">
        <f>HYPERLINK("Melting_Curves/meltCurve_Q9NQC3_RTN4.pdf", "Melting_Curves/meltCurve_Q9NQC3_RTN4.pdf")</f>
        <v>Melting_Curves/meltCurve_Q9NQC3_RTN4.pdf</v>
      </c>
    </row>
    <row r="5656" spans="1:28" x14ac:dyDescent="0.25">
      <c r="A5656" t="s">
        <v>5660</v>
      </c>
      <c r="B5656">
        <v>0.99542014353169495</v>
      </c>
      <c r="C5656">
        <v>0.979363945601467</v>
      </c>
      <c r="D5656">
        <v>0.87935952888916602</v>
      </c>
      <c r="E5656">
        <v>0.82756701605694705</v>
      </c>
      <c r="F5656">
        <v>0.70195182606022699</v>
      </c>
      <c r="G5656">
        <v>0.49523998747269798</v>
      </c>
      <c r="H5656">
        <v>0.21240179973874501</v>
      </c>
      <c r="I5656">
        <v>8.9151258420992294E-2</v>
      </c>
      <c r="J5656">
        <v>8.55759075670917E-2</v>
      </c>
      <c r="K5656">
        <v>7.9180951570696295E-2</v>
      </c>
      <c r="L5656">
        <v>716.53809491010202</v>
      </c>
      <c r="M5656">
        <v>13.557342865512</v>
      </c>
      <c r="N5656">
        <v>52.852381174716001</v>
      </c>
      <c r="O5656">
        <v>51.742240888475997</v>
      </c>
      <c r="P5656">
        <v>-6.5514054275458602E-2</v>
      </c>
      <c r="Q5656">
        <v>0</v>
      </c>
      <c r="R5656">
        <v>0.98807870478486504</v>
      </c>
      <c r="S5656" t="s">
        <v>12058</v>
      </c>
      <c r="T5656" t="s">
        <v>12802</v>
      </c>
      <c r="U5656" t="s">
        <v>12802</v>
      </c>
      <c r="V5656" t="s">
        <v>12802</v>
      </c>
      <c r="W5656" t="s">
        <v>18390</v>
      </c>
      <c r="X5656">
        <v>5</v>
      </c>
      <c r="Y5656" t="s">
        <v>24601</v>
      </c>
      <c r="Z5656" t="s">
        <v>30974</v>
      </c>
      <c r="AA5656">
        <v>0.54818983978621394</v>
      </c>
      <c r="AB5656" t="str">
        <f>HYPERLINK("Melting_Curves/meltCurve_Q9NQE9_HINT3.pdf", "Melting_Curves/meltCurve_Q9NQE9_HINT3.pdf")</f>
        <v>Melting_Curves/meltCurve_Q9NQE9_HINT3.pdf</v>
      </c>
    </row>
    <row r="5657" spans="1:28" x14ac:dyDescent="0.25">
      <c r="A5657" t="s">
        <v>5661</v>
      </c>
      <c r="B5657">
        <v>0.99542014353169495</v>
      </c>
      <c r="C5657">
        <v>1.3486576465345901</v>
      </c>
      <c r="D5657">
        <v>0.83798579571956699</v>
      </c>
      <c r="E5657">
        <v>0.75223690956626799</v>
      </c>
      <c r="F5657">
        <v>0.46490296375122098</v>
      </c>
      <c r="G5657">
        <v>0.280029594166541</v>
      </c>
      <c r="H5657">
        <v>0.177752943638189</v>
      </c>
      <c r="I5657">
        <v>9.3236089710895004E-2</v>
      </c>
      <c r="J5657">
        <v>0.249960463403714</v>
      </c>
      <c r="K5657">
        <v>0.17234576545688801</v>
      </c>
      <c r="L5657">
        <v>994.32353801958402</v>
      </c>
      <c r="M5657">
        <v>20.455942993174599</v>
      </c>
      <c r="N5657">
        <v>49.571096836593497</v>
      </c>
      <c r="O5657">
        <v>48.150669415365698</v>
      </c>
      <c r="P5657">
        <v>-8.8795664285939699E-2</v>
      </c>
      <c r="Q5657">
        <v>0.16397044174599601</v>
      </c>
      <c r="R5657">
        <v>0.90472713616030398</v>
      </c>
      <c r="S5657" t="s">
        <v>12059</v>
      </c>
      <c r="T5657" t="s">
        <v>12802</v>
      </c>
      <c r="U5657" t="s">
        <v>12802</v>
      </c>
      <c r="V5657" t="s">
        <v>12802</v>
      </c>
      <c r="W5657" t="s">
        <v>18391</v>
      </c>
      <c r="X5657">
        <v>1</v>
      </c>
      <c r="Y5657" t="s">
        <v>24602</v>
      </c>
      <c r="Z5657" t="s">
        <v>30975</v>
      </c>
      <c r="AA5657">
        <v>0.49801360527863769</v>
      </c>
      <c r="AB5657" t="str">
        <f>HYPERLINK("Melting_Curves/meltCurve_Q9NQG1_MANBAL.pdf", "Melting_Curves/meltCurve_Q9NQG1_MANBAL.pdf")</f>
        <v>Melting_Curves/meltCurve_Q9NQG1_MANBAL.pdf</v>
      </c>
    </row>
    <row r="5658" spans="1:28" x14ac:dyDescent="0.25">
      <c r="A5658" t="s">
        <v>5662</v>
      </c>
      <c r="B5658">
        <v>0.99542014353169495</v>
      </c>
      <c r="C5658">
        <v>1.0202152874201</v>
      </c>
      <c r="D5658">
        <v>0.88872019027125204</v>
      </c>
      <c r="E5658">
        <v>0.867173368447549</v>
      </c>
      <c r="F5658">
        <v>0.465979604867929</v>
      </c>
      <c r="G5658">
        <v>0.15350569311551099</v>
      </c>
      <c r="H5658">
        <v>7.4979805311762501E-2</v>
      </c>
      <c r="I5658">
        <v>5.08207826968749E-2</v>
      </c>
      <c r="J5658">
        <v>5.5039752390687501E-2</v>
      </c>
      <c r="K5658">
        <v>4.7541887073649002E-2</v>
      </c>
      <c r="L5658">
        <v>1247.8224995711701</v>
      </c>
      <c r="M5658">
        <v>25.104524431319199</v>
      </c>
      <c r="N5658">
        <v>49.885799859767097</v>
      </c>
      <c r="O5658">
        <v>49.392914353921803</v>
      </c>
      <c r="P5658">
        <v>-0.12154409221254101</v>
      </c>
      <c r="Q5658">
        <v>4.3465290089115899E-2</v>
      </c>
      <c r="R5658">
        <v>0.99428421815492796</v>
      </c>
      <c r="S5658" t="s">
        <v>12060</v>
      </c>
      <c r="T5658" t="s">
        <v>12802</v>
      </c>
      <c r="U5658" t="s">
        <v>12802</v>
      </c>
      <c r="V5658" t="s">
        <v>12802</v>
      </c>
      <c r="W5658" t="s">
        <v>18392</v>
      </c>
      <c r="X5658">
        <v>12</v>
      </c>
      <c r="Y5658" t="s">
        <v>24603</v>
      </c>
      <c r="Z5658" t="s">
        <v>30976</v>
      </c>
      <c r="AA5658">
        <v>0.45683195797810289</v>
      </c>
      <c r="AB5658" t="str">
        <f>HYPERLINK("Melting_Curves/meltCurve_Q9NQG5_RPRD1B.pdf", "Melting_Curves/meltCurve_Q9NQG5_RPRD1B.pdf")</f>
        <v>Melting_Curves/meltCurve_Q9NQG5_RPRD1B.pdf</v>
      </c>
    </row>
    <row r="5659" spans="1:28" x14ac:dyDescent="0.25">
      <c r="A5659" t="s">
        <v>5663</v>
      </c>
      <c r="B5659">
        <v>0.99542014353169495</v>
      </c>
      <c r="C5659">
        <v>0.79770854355592302</v>
      </c>
      <c r="D5659">
        <v>0.81636322787445004</v>
      </c>
      <c r="E5659">
        <v>0.61412191178701703</v>
      </c>
      <c r="F5659">
        <v>0.44314753294223203</v>
      </c>
      <c r="G5659">
        <v>0.23814280345234501</v>
      </c>
      <c r="H5659">
        <v>8.3876476468562097E-2</v>
      </c>
      <c r="I5659">
        <v>3.5077007665094903E-2</v>
      </c>
      <c r="J5659">
        <v>3.03290727203861E-2</v>
      </c>
      <c r="K5659">
        <v>5.8542434977169502E-2</v>
      </c>
      <c r="L5659">
        <v>555.24254711319998</v>
      </c>
      <c r="M5659">
        <v>11.5081563765085</v>
      </c>
      <c r="N5659">
        <v>48.247740951541203</v>
      </c>
      <c r="O5659">
        <v>46.859868618013103</v>
      </c>
      <c r="P5659">
        <v>-6.1414056646232298E-2</v>
      </c>
      <c r="Q5659">
        <v>0</v>
      </c>
      <c r="R5659">
        <v>0.98045322967356097</v>
      </c>
      <c r="S5659" t="s">
        <v>12061</v>
      </c>
      <c r="T5659" t="s">
        <v>12802</v>
      </c>
      <c r="U5659" t="s">
        <v>12802</v>
      </c>
      <c r="V5659" t="s">
        <v>12802</v>
      </c>
      <c r="W5659" t="s">
        <v>18393</v>
      </c>
      <c r="X5659">
        <v>1</v>
      </c>
      <c r="Y5659" t="s">
        <v>24604</v>
      </c>
      <c r="Z5659" t="s">
        <v>30977</v>
      </c>
      <c r="AA5659">
        <v>0.40772276804390278</v>
      </c>
      <c r="AB5659" t="str">
        <f>HYPERLINK("Melting_Curves/meltCurve_Q9NQG7_3_HPS4.pdf", "Melting_Curves/meltCurve_Q9NQG7_3_HPS4.pdf")</f>
        <v>Melting_Curves/meltCurve_Q9NQG7_3_HPS4.pdf</v>
      </c>
    </row>
    <row r="5660" spans="1:28" x14ac:dyDescent="0.25">
      <c r="A5660" t="s">
        <v>5664</v>
      </c>
      <c r="B5660">
        <v>0.99542014353169495</v>
      </c>
      <c r="C5660">
        <v>0.982050976037394</v>
      </c>
      <c r="D5660">
        <v>0.98724573779208902</v>
      </c>
      <c r="E5660">
        <v>0.95630632644265401</v>
      </c>
      <c r="F5660">
        <v>0.78473438520418104</v>
      </c>
      <c r="G5660">
        <v>0.73513498769494501</v>
      </c>
      <c r="H5660">
        <v>0.39999169663141398</v>
      </c>
      <c r="I5660">
        <v>0.12554277172415099</v>
      </c>
      <c r="J5660">
        <v>8.7140482759541199E-2</v>
      </c>
      <c r="K5660">
        <v>7.0489173903857505E-2</v>
      </c>
      <c r="L5660">
        <v>981.31167877107703</v>
      </c>
      <c r="M5660">
        <v>17.561877315759901</v>
      </c>
      <c r="N5660">
        <v>55.877380302955601</v>
      </c>
      <c r="O5660">
        <v>55.167971217162801</v>
      </c>
      <c r="P5660">
        <v>-7.9587992562745694E-2</v>
      </c>
      <c r="Q5660">
        <v>0</v>
      </c>
      <c r="R5660">
        <v>0.98679560283666701</v>
      </c>
      <c r="S5660" t="s">
        <v>12062</v>
      </c>
      <c r="T5660" t="s">
        <v>12802</v>
      </c>
      <c r="U5660" t="s">
        <v>12802</v>
      </c>
      <c r="V5660" t="s">
        <v>12802</v>
      </c>
      <c r="W5660" t="s">
        <v>18394</v>
      </c>
      <c r="X5660">
        <v>4</v>
      </c>
      <c r="Y5660" t="s">
        <v>24605</v>
      </c>
      <c r="Z5660" t="s">
        <v>30978</v>
      </c>
      <c r="AA5660">
        <v>0.64063267027033743</v>
      </c>
      <c r="AB5660" t="str">
        <f>HYPERLINK("Melting_Curves/meltCurve_Q9NQH7_2_XPNPEP3.pdf", "Melting_Curves/meltCurve_Q9NQH7_2_XPNPEP3.pdf")</f>
        <v>Melting_Curves/meltCurve_Q9NQH7_2_XPNPEP3.pdf</v>
      </c>
    </row>
    <row r="5661" spans="1:28" x14ac:dyDescent="0.25">
      <c r="A5661" t="s">
        <v>5665</v>
      </c>
      <c r="B5661">
        <v>0.99542014353169495</v>
      </c>
      <c r="C5661">
        <v>1.0017215252595599</v>
      </c>
      <c r="D5661">
        <v>0.99200167490151203</v>
      </c>
      <c r="E5661">
        <v>0.97141798871929097</v>
      </c>
      <c r="F5661">
        <v>0.84703237007310095</v>
      </c>
      <c r="G5661">
        <v>0.63857582047323103</v>
      </c>
      <c r="H5661">
        <v>0.49398895984798102</v>
      </c>
      <c r="I5661">
        <v>0.43271485095754297</v>
      </c>
      <c r="J5661">
        <v>0.48188552559397901</v>
      </c>
      <c r="K5661">
        <v>0.48854415812698099</v>
      </c>
      <c r="L5661">
        <v>1357.59855530652</v>
      </c>
      <c r="M5661">
        <v>26.064202500465701</v>
      </c>
      <c r="N5661">
        <v>57.7511546088204</v>
      </c>
      <c r="O5661">
        <v>51.782997077950697</v>
      </c>
      <c r="P5661">
        <v>-6.7798597198586705E-2</v>
      </c>
      <c r="Q5661">
        <v>0.46121128306058501</v>
      </c>
      <c r="R5661">
        <v>0.99463277981739195</v>
      </c>
      <c r="S5661" t="s">
        <v>12063</v>
      </c>
      <c r="T5661" t="s">
        <v>12802</v>
      </c>
      <c r="U5661" t="s">
        <v>12802</v>
      </c>
      <c r="V5661" t="s">
        <v>12802</v>
      </c>
      <c r="W5661" t="s">
        <v>18395</v>
      </c>
      <c r="X5661">
        <v>7</v>
      </c>
      <c r="Y5661" t="s">
        <v>24606</v>
      </c>
      <c r="Z5661" t="s">
        <v>30979</v>
      </c>
      <c r="AA5661">
        <v>0.73659000855793244</v>
      </c>
      <c r="AB5661" t="str">
        <f>HYPERLINK("Melting_Curves/meltCurve_Q9NQP4_PFDN4.pdf", "Melting_Curves/meltCurve_Q9NQP4_PFDN4.pdf")</f>
        <v>Melting_Curves/meltCurve_Q9NQP4_PFDN4.pdf</v>
      </c>
    </row>
    <row r="5662" spans="1:28" x14ac:dyDescent="0.25">
      <c r="A5662" t="s">
        <v>5666</v>
      </c>
      <c r="B5662">
        <v>0.99542014353169495</v>
      </c>
      <c r="C5662">
        <v>0.98021981906332301</v>
      </c>
      <c r="D5662">
        <v>0.95780614780072304</v>
      </c>
      <c r="E5662">
        <v>0.94848316543250899</v>
      </c>
      <c r="F5662">
        <v>0.77748362564798801</v>
      </c>
      <c r="G5662">
        <v>0.61337629147782302</v>
      </c>
      <c r="H5662">
        <v>0.241414250549954</v>
      </c>
      <c r="I5662">
        <v>7.7674433780750299E-2</v>
      </c>
      <c r="J5662">
        <v>6.0400260389784598E-2</v>
      </c>
      <c r="K5662">
        <v>6.5535513853881705E-2</v>
      </c>
      <c r="L5662">
        <v>1021.71513576205</v>
      </c>
      <c r="M5662">
        <v>18.8054363974932</v>
      </c>
      <c r="N5662">
        <v>54.353677857839699</v>
      </c>
      <c r="O5662">
        <v>53.727654045208801</v>
      </c>
      <c r="P5662">
        <v>-8.7162824722856802E-2</v>
      </c>
      <c r="Q5662">
        <v>3.9349351721066099E-3</v>
      </c>
      <c r="R5662">
        <v>0.99239336417505997</v>
      </c>
      <c r="S5662" t="s">
        <v>12064</v>
      </c>
      <c r="T5662" t="s">
        <v>12802</v>
      </c>
      <c r="U5662" t="s">
        <v>12802</v>
      </c>
      <c r="V5662" t="s">
        <v>12802</v>
      </c>
      <c r="W5662" t="s">
        <v>18396</v>
      </c>
      <c r="X5662">
        <v>14</v>
      </c>
      <c r="Y5662" t="s">
        <v>24607</v>
      </c>
      <c r="Z5662" t="s">
        <v>30980</v>
      </c>
      <c r="AA5662">
        <v>0.59206910786546163</v>
      </c>
      <c r="AB5662" t="str">
        <f>HYPERLINK("Melting_Curves/meltCurve_Q9NQR4_NIT2.pdf", "Melting_Curves/meltCurve_Q9NQR4_NIT2.pdf")</f>
        <v>Melting_Curves/meltCurve_Q9NQR4_NIT2.pdf</v>
      </c>
    </row>
    <row r="5663" spans="1:28" x14ac:dyDescent="0.25">
      <c r="A5663" t="s">
        <v>5667</v>
      </c>
      <c r="B5663">
        <v>0.99542014353169495</v>
      </c>
      <c r="C5663">
        <v>0.98897822436230698</v>
      </c>
      <c r="D5663">
        <v>0.84276212423950403</v>
      </c>
      <c r="E5663">
        <v>0.74808709040783505</v>
      </c>
      <c r="F5663">
        <v>0.49670477409061098</v>
      </c>
      <c r="G5663">
        <v>0.38107398174579998</v>
      </c>
      <c r="H5663">
        <v>0.23500375221547101</v>
      </c>
      <c r="I5663">
        <v>0.13467576179813401</v>
      </c>
      <c r="J5663">
        <v>0.22575032105996301</v>
      </c>
      <c r="K5663">
        <v>0.23686522028528401</v>
      </c>
      <c r="L5663">
        <v>691.53401566464299</v>
      </c>
      <c r="M5663">
        <v>14.162468634327199</v>
      </c>
      <c r="N5663">
        <v>50.310108635524202</v>
      </c>
      <c r="O5663">
        <v>47.886038608334097</v>
      </c>
      <c r="P5663">
        <v>-6.1339463497160497E-2</v>
      </c>
      <c r="Q5663">
        <v>0.17050266897968799</v>
      </c>
      <c r="R5663">
        <v>0.98458365831013495</v>
      </c>
      <c r="S5663" t="s">
        <v>12065</v>
      </c>
      <c r="T5663" t="s">
        <v>12802</v>
      </c>
      <c r="U5663" t="s">
        <v>12802</v>
      </c>
      <c r="V5663" t="s">
        <v>12802</v>
      </c>
      <c r="W5663" t="s">
        <v>18397</v>
      </c>
      <c r="X5663">
        <v>1</v>
      </c>
      <c r="Y5663" t="s">
        <v>24608</v>
      </c>
      <c r="Z5663" t="s">
        <v>30981</v>
      </c>
      <c r="AA5663">
        <v>0.51716480839140144</v>
      </c>
      <c r="AB5663" t="str">
        <f>HYPERLINK("Melting_Curves/meltCurve_Q9NQS1_AVEN.pdf", "Melting_Curves/meltCurve_Q9NQS1_AVEN.pdf")</f>
        <v>Melting_Curves/meltCurve_Q9NQS1_AVEN.pdf</v>
      </c>
    </row>
    <row r="5664" spans="1:28" x14ac:dyDescent="0.25">
      <c r="A5664" t="s">
        <v>5668</v>
      </c>
      <c r="B5664">
        <v>0.99542014353169495</v>
      </c>
      <c r="C5664">
        <v>1.00800334670582</v>
      </c>
      <c r="D5664">
        <v>1.1457630641271801</v>
      </c>
      <c r="E5664">
        <v>1.3372105974683</v>
      </c>
      <c r="F5664">
        <v>1.4287747340060899</v>
      </c>
      <c r="G5664">
        <v>1.1634428410270801</v>
      </c>
      <c r="H5664">
        <v>0.54358827461577597</v>
      </c>
      <c r="I5664">
        <v>0.162421692709599</v>
      </c>
      <c r="J5664">
        <v>0.102665790520844</v>
      </c>
      <c r="K5664">
        <v>7.9216743849399598E-2</v>
      </c>
      <c r="L5664">
        <v>10812.5076463111</v>
      </c>
      <c r="M5664">
        <v>188.43353579911701</v>
      </c>
      <c r="N5664">
        <v>57.4605165470903</v>
      </c>
      <c r="O5664">
        <v>57.374572472154</v>
      </c>
      <c r="P5664">
        <v>-0.72683935162838398</v>
      </c>
      <c r="Q5664">
        <v>0.11476304252295701</v>
      </c>
      <c r="R5664">
        <v>0.86000558082187795</v>
      </c>
      <c r="S5664" t="s">
        <v>12066</v>
      </c>
      <c r="T5664" t="s">
        <v>12802</v>
      </c>
      <c r="U5664" t="s">
        <v>12802</v>
      </c>
      <c r="V5664" t="s">
        <v>12802</v>
      </c>
      <c r="W5664" t="s">
        <v>18398</v>
      </c>
      <c r="X5664">
        <v>8</v>
      </c>
      <c r="Y5664" t="s">
        <v>24609</v>
      </c>
      <c r="Z5664" t="s">
        <v>30982</v>
      </c>
      <c r="AA5664">
        <v>0.71632092361829924</v>
      </c>
      <c r="AB5664" t="str">
        <f>HYPERLINK("Melting_Curves/meltCurve_Q9NQT4_EXOSC5.pdf", "Melting_Curves/meltCurve_Q9NQT4_EXOSC5.pdf")</f>
        <v>Melting_Curves/meltCurve_Q9NQT4_EXOSC5.pdf</v>
      </c>
    </row>
    <row r="5665" spans="1:28" x14ac:dyDescent="0.25">
      <c r="A5665" t="s">
        <v>5669</v>
      </c>
      <c r="B5665">
        <v>0.99542014353169495</v>
      </c>
      <c r="C5665">
        <v>0.85676155868549198</v>
      </c>
      <c r="D5665">
        <v>0.83444543781497704</v>
      </c>
      <c r="E5665">
        <v>0.62675259037446995</v>
      </c>
      <c r="F5665">
        <v>0.29961687440525803</v>
      </c>
      <c r="G5665">
        <v>0.16849073984333501</v>
      </c>
      <c r="H5665">
        <v>9.8007612199901506E-2</v>
      </c>
      <c r="I5665">
        <v>6.9223404157017096E-2</v>
      </c>
      <c r="J5665">
        <v>8.6665458038201595E-2</v>
      </c>
      <c r="K5665">
        <v>0.100432808760338</v>
      </c>
      <c r="L5665">
        <v>731.35735087281</v>
      </c>
      <c r="M5665">
        <v>15.4863728056767</v>
      </c>
      <c r="N5665">
        <v>47.605212291855899</v>
      </c>
      <c r="O5665">
        <v>46.459419537961999</v>
      </c>
      <c r="P5665">
        <v>-7.8502564463139898E-2</v>
      </c>
      <c r="Q5665">
        <v>5.8047102688953398E-2</v>
      </c>
      <c r="R5665">
        <v>0.98920069717677395</v>
      </c>
      <c r="S5665" t="s">
        <v>12067</v>
      </c>
      <c r="T5665" t="s">
        <v>12802</v>
      </c>
      <c r="U5665" t="s">
        <v>12802</v>
      </c>
      <c r="V5665" t="s">
        <v>12802</v>
      </c>
      <c r="W5665" t="s">
        <v>18399</v>
      </c>
      <c r="X5665">
        <v>8</v>
      </c>
      <c r="Y5665" t="s">
        <v>24610</v>
      </c>
      <c r="Z5665" t="s">
        <v>30983</v>
      </c>
      <c r="AA5665">
        <v>0.39905813760915049</v>
      </c>
      <c r="AB5665" t="str">
        <f>HYPERLINK("Melting_Curves/meltCurve_Q9NQT8_KIF13B.pdf", "Melting_Curves/meltCurve_Q9NQT8_KIF13B.pdf")</f>
        <v>Melting_Curves/meltCurve_Q9NQT8_KIF13B.pdf</v>
      </c>
    </row>
    <row r="5666" spans="1:28" x14ac:dyDescent="0.25">
      <c r="A5666" t="s">
        <v>5670</v>
      </c>
      <c r="B5666">
        <v>0.99542014353169495</v>
      </c>
      <c r="C5666">
        <v>0.87626172654317003</v>
      </c>
      <c r="D5666">
        <v>0.951390794895426</v>
      </c>
      <c r="E5666">
        <v>0.70303310067053204</v>
      </c>
      <c r="F5666">
        <v>0.43479554263166897</v>
      </c>
      <c r="G5666">
        <v>0.18925240609426799</v>
      </c>
      <c r="H5666">
        <v>0.17358984150812901</v>
      </c>
      <c r="I5666">
        <v>0.16256670578841301</v>
      </c>
      <c r="J5666">
        <v>4.6725510594306803E-2</v>
      </c>
      <c r="K5666">
        <v>4.2815619049209899E-2</v>
      </c>
      <c r="L5666">
        <v>782.85928642634997</v>
      </c>
      <c r="M5666">
        <v>16.027624603334399</v>
      </c>
      <c r="N5666">
        <v>49.2386137646468</v>
      </c>
      <c r="O5666">
        <v>48.1029703110677</v>
      </c>
      <c r="P5666">
        <v>-7.8288556657866507E-2</v>
      </c>
      <c r="Q5666">
        <v>6.02177814954677E-2</v>
      </c>
      <c r="R5666">
        <v>0.98407138773696701</v>
      </c>
      <c r="S5666" t="s">
        <v>12068</v>
      </c>
      <c r="T5666" t="s">
        <v>12802</v>
      </c>
      <c r="U5666" t="s">
        <v>12802</v>
      </c>
      <c r="V5666" t="s">
        <v>12802</v>
      </c>
      <c r="W5666" t="s">
        <v>18400</v>
      </c>
      <c r="X5666">
        <v>22</v>
      </c>
      <c r="Y5666" t="s">
        <v>24611</v>
      </c>
      <c r="Z5666" t="s">
        <v>30984</v>
      </c>
      <c r="AA5666">
        <v>0.44948570698739648</v>
      </c>
      <c r="AB5666" t="str">
        <f>HYPERLINK("Melting_Curves/meltCurve_Q9NQW6_ANLN.pdf", "Melting_Curves/meltCurve_Q9NQW6_ANLN.pdf")</f>
        <v>Melting_Curves/meltCurve_Q9NQW6_ANLN.pdf</v>
      </c>
    </row>
    <row r="5667" spans="1:28" x14ac:dyDescent="0.25">
      <c r="A5667" t="s">
        <v>5671</v>
      </c>
      <c r="B5667">
        <v>0.99542014353169495</v>
      </c>
      <c r="C5667">
        <v>0.93043552582228894</v>
      </c>
      <c r="D5667">
        <v>0.90221735709592199</v>
      </c>
      <c r="E5667">
        <v>0.77166606300638596</v>
      </c>
      <c r="F5667">
        <v>0.462181271194892</v>
      </c>
      <c r="G5667">
        <v>0.21276449709447301</v>
      </c>
      <c r="H5667">
        <v>8.7219811276771905E-2</v>
      </c>
      <c r="I5667">
        <v>4.9961061165293003E-2</v>
      </c>
      <c r="J5667">
        <v>5.2467195652135097E-2</v>
      </c>
      <c r="K5667">
        <v>5.0612855626126399E-2</v>
      </c>
      <c r="L5667">
        <v>851.34597474867803</v>
      </c>
      <c r="M5667">
        <v>17.1918631349956</v>
      </c>
      <c r="N5667">
        <v>49.653648646688097</v>
      </c>
      <c r="O5667">
        <v>48.864830494105703</v>
      </c>
      <c r="P5667">
        <v>-8.5976791866043595E-2</v>
      </c>
      <c r="Q5667">
        <v>2.2562474330015601E-2</v>
      </c>
      <c r="R5667">
        <v>0.99646966844817297</v>
      </c>
      <c r="S5667" t="s">
        <v>12069</v>
      </c>
      <c r="T5667" t="s">
        <v>12802</v>
      </c>
      <c r="U5667" t="s">
        <v>12802</v>
      </c>
      <c r="V5667" t="s">
        <v>12802</v>
      </c>
      <c r="W5667" t="s">
        <v>18401</v>
      </c>
      <c r="X5667">
        <v>24</v>
      </c>
      <c r="Y5667" t="s">
        <v>24612</v>
      </c>
      <c r="Z5667" t="s">
        <v>30985</v>
      </c>
      <c r="AA5667">
        <v>0.44720238524855488</v>
      </c>
      <c r="AB5667" t="str">
        <f>HYPERLINK("Melting_Curves/meltCurve_Q9NQW7_3_XPNPEP1.pdf", "Melting_Curves/meltCurve_Q9NQW7_3_XPNPEP1.pdf")</f>
        <v>Melting_Curves/meltCurve_Q9NQW7_3_XPNPEP1.pdf</v>
      </c>
    </row>
    <row r="5668" spans="1:28" x14ac:dyDescent="0.25">
      <c r="A5668" t="s">
        <v>5672</v>
      </c>
      <c r="B5668">
        <v>0.99542014353169495</v>
      </c>
      <c r="C5668">
        <v>0.88810040414402303</v>
      </c>
      <c r="D5668">
        <v>0.90959125191564505</v>
      </c>
      <c r="E5668">
        <v>0.57613490761070896</v>
      </c>
      <c r="F5668">
        <v>0.29817591341677502</v>
      </c>
      <c r="G5668">
        <v>0.19985174806158201</v>
      </c>
      <c r="H5668">
        <v>0.16157310292156599</v>
      </c>
      <c r="I5668">
        <v>0.12400986073049</v>
      </c>
      <c r="J5668">
        <v>0.12086721344066401</v>
      </c>
      <c r="K5668">
        <v>0.154330567804699</v>
      </c>
      <c r="L5668">
        <v>936.87039489595998</v>
      </c>
      <c r="M5668">
        <v>20.033752938399498</v>
      </c>
      <c r="N5668">
        <v>47.490404351596098</v>
      </c>
      <c r="O5668">
        <v>46.306120069464399</v>
      </c>
      <c r="P5668">
        <v>-9.3899291824090902E-2</v>
      </c>
      <c r="Q5668">
        <v>0.13187078933632199</v>
      </c>
      <c r="R5668">
        <v>0.99171683892266704</v>
      </c>
      <c r="S5668" t="s">
        <v>12070</v>
      </c>
      <c r="T5668" t="s">
        <v>12802</v>
      </c>
      <c r="U5668" t="s">
        <v>12802</v>
      </c>
      <c r="V5668" t="s">
        <v>12802</v>
      </c>
      <c r="W5668" t="s">
        <v>18402</v>
      </c>
      <c r="X5668">
        <v>2</v>
      </c>
      <c r="Y5668" t="s">
        <v>24613</v>
      </c>
      <c r="Z5668" t="s">
        <v>30986</v>
      </c>
      <c r="AA5668">
        <v>0.42575530499753061</v>
      </c>
      <c r="AB5668" t="str">
        <f>HYPERLINK("Melting_Curves/meltCurve_Q9NQX4_MYO5C.pdf", "Melting_Curves/meltCurve_Q9NQX4_MYO5C.pdf")</f>
        <v>Melting_Curves/meltCurve_Q9NQX4_MYO5C.pdf</v>
      </c>
    </row>
    <row r="5669" spans="1:28" x14ac:dyDescent="0.25">
      <c r="A5669" t="s">
        <v>5673</v>
      </c>
      <c r="B5669">
        <v>0.99542014353169495</v>
      </c>
      <c r="C5669">
        <v>0.94549560255947496</v>
      </c>
      <c r="D5669">
        <v>0.93978653728050199</v>
      </c>
      <c r="E5669">
        <v>0.63839405772827396</v>
      </c>
      <c r="F5669">
        <v>0.36913981018588199</v>
      </c>
      <c r="G5669">
        <v>0.18657697293949799</v>
      </c>
      <c r="H5669">
        <v>0.140441402071078</v>
      </c>
      <c r="I5669">
        <v>0.10812408389243899</v>
      </c>
      <c r="J5669">
        <v>0.137338602591693</v>
      </c>
      <c r="K5669">
        <v>9.2950905277552801E-2</v>
      </c>
      <c r="L5669">
        <v>933.22230781498001</v>
      </c>
      <c r="M5669">
        <v>19.546992560249301</v>
      </c>
      <c r="N5669">
        <v>48.330505699865597</v>
      </c>
      <c r="O5669">
        <v>47.251216157760297</v>
      </c>
      <c r="P5669">
        <v>-9.2479317359092497E-2</v>
      </c>
      <c r="Q5669">
        <v>0.10582527667798999</v>
      </c>
      <c r="R5669">
        <v>0.996961579984458</v>
      </c>
      <c r="S5669" t="s">
        <v>12071</v>
      </c>
      <c r="T5669" t="s">
        <v>12802</v>
      </c>
      <c r="U5669" t="s">
        <v>12802</v>
      </c>
      <c r="V5669" t="s">
        <v>12802</v>
      </c>
      <c r="W5669" t="s">
        <v>18403</v>
      </c>
      <c r="X5669">
        <v>2</v>
      </c>
      <c r="Y5669" t="s">
        <v>24614</v>
      </c>
      <c r="Z5669" t="s">
        <v>30987</v>
      </c>
      <c r="AA5669">
        <v>0.43827436849715917</v>
      </c>
      <c r="AB5669" t="str">
        <f>HYPERLINK("Melting_Curves/meltCurve_Q9NQY0_BIN3.pdf", "Melting_Curves/meltCurve_Q9NQY0_BIN3.pdf")</f>
        <v>Melting_Curves/meltCurve_Q9NQY0_BIN3.pdf</v>
      </c>
    </row>
    <row r="5670" spans="1:28" x14ac:dyDescent="0.25">
      <c r="A5670" t="s">
        <v>5674</v>
      </c>
      <c r="B5670">
        <v>0.99542014353169495</v>
      </c>
      <c r="C5670">
        <v>1.0884838124510401</v>
      </c>
      <c r="D5670">
        <v>1.2262518755443199</v>
      </c>
      <c r="E5670">
        <v>1.26042728343371</v>
      </c>
      <c r="F5670">
        <v>0.85698204961727298</v>
      </c>
      <c r="G5670">
        <v>0.28736358060422101</v>
      </c>
      <c r="H5670">
        <v>0.14293673273671301</v>
      </c>
      <c r="I5670">
        <v>0.115082535809211</v>
      </c>
      <c r="J5670">
        <v>0.12881639087244101</v>
      </c>
      <c r="K5670">
        <v>3.3532036515736698E-2</v>
      </c>
      <c r="L5670">
        <v>2379.8486022627199</v>
      </c>
      <c r="M5670">
        <v>45.597155286475697</v>
      </c>
      <c r="N5670">
        <v>52.453439808162599</v>
      </c>
      <c r="O5670">
        <v>52.092835041942998</v>
      </c>
      <c r="P5670">
        <v>-0.19665353683140499</v>
      </c>
      <c r="Q5670">
        <v>0.101327652724577</v>
      </c>
      <c r="R5670">
        <v>0.94292223979798795</v>
      </c>
      <c r="S5670" t="s">
        <v>12072</v>
      </c>
      <c r="T5670" t="s">
        <v>12802</v>
      </c>
      <c r="U5670" t="s">
        <v>12802</v>
      </c>
      <c r="V5670" t="s">
        <v>12802</v>
      </c>
      <c r="W5670" t="s">
        <v>18404</v>
      </c>
      <c r="X5670">
        <v>1</v>
      </c>
      <c r="Y5670" t="s">
        <v>24615</v>
      </c>
      <c r="Z5670" t="s">
        <v>30988</v>
      </c>
      <c r="AA5670">
        <v>0.55893098456862167</v>
      </c>
      <c r="AB5670" t="str">
        <f>HYPERLINK("Melting_Curves/meltCurve_Q9NQZ2_UTP3.pdf", "Melting_Curves/meltCurve_Q9NQZ2_UTP3.pdf")</f>
        <v>Melting_Curves/meltCurve_Q9NQZ2_UTP3.pdf</v>
      </c>
    </row>
    <row r="5671" spans="1:28" x14ac:dyDescent="0.25">
      <c r="A5671" t="s">
        <v>5675</v>
      </c>
      <c r="B5671">
        <v>0.99542014353169495</v>
      </c>
      <c r="C5671">
        <v>1.00250882004146</v>
      </c>
      <c r="D5671">
        <v>0.88992573214867499</v>
      </c>
      <c r="E5671">
        <v>0.729300597438575</v>
      </c>
      <c r="F5671">
        <v>0.435593963453283</v>
      </c>
      <c r="G5671">
        <v>0.22324095400763599</v>
      </c>
      <c r="H5671">
        <v>0.117667108607083</v>
      </c>
      <c r="I5671">
        <v>8.3461031999465599E-2</v>
      </c>
      <c r="J5671">
        <v>7.7705323043382304E-2</v>
      </c>
      <c r="K5671">
        <v>7.1093665361955299E-2</v>
      </c>
      <c r="L5671">
        <v>826.78856132649901</v>
      </c>
      <c r="M5671">
        <v>16.877493613785401</v>
      </c>
      <c r="N5671">
        <v>49.324773940657003</v>
      </c>
      <c r="O5671">
        <v>48.315386407669202</v>
      </c>
      <c r="P5671">
        <v>-8.25776184616E-2</v>
      </c>
      <c r="Q5671">
        <v>5.4476265971716002E-2</v>
      </c>
      <c r="R5671">
        <v>0.99891370610444197</v>
      </c>
      <c r="S5671" t="s">
        <v>12073</v>
      </c>
      <c r="T5671" t="s">
        <v>12802</v>
      </c>
      <c r="U5671" t="s">
        <v>12802</v>
      </c>
      <c r="V5671" t="s">
        <v>12802</v>
      </c>
      <c r="W5671" t="s">
        <v>18405</v>
      </c>
      <c r="X5671">
        <v>6</v>
      </c>
      <c r="Y5671" t="s">
        <v>24616</v>
      </c>
      <c r="Z5671" t="s">
        <v>30989</v>
      </c>
      <c r="AA5671">
        <v>0.44908587883816448</v>
      </c>
      <c r="AB5671" t="str">
        <f>HYPERLINK("Melting_Curves/meltCurve_Q9NQZ5_STARD7.pdf", "Melting_Curves/meltCurve_Q9NQZ5_STARD7.pdf")</f>
        <v>Melting_Curves/meltCurve_Q9NQZ5_STARD7.pdf</v>
      </c>
    </row>
    <row r="5672" spans="1:28" x14ac:dyDescent="0.25">
      <c r="A5672" t="s">
        <v>5676</v>
      </c>
      <c r="B5672">
        <v>0.99542014353169495</v>
      </c>
      <c r="C5672">
        <v>0.87630368314500195</v>
      </c>
      <c r="D5672">
        <v>0.89530059649233895</v>
      </c>
      <c r="E5672">
        <v>0.66183407866260602</v>
      </c>
      <c r="F5672">
        <v>0.27724602034325702</v>
      </c>
      <c r="G5672">
        <v>9.8706393859078201E-2</v>
      </c>
      <c r="H5672">
        <v>7.0398652741406095E-2</v>
      </c>
      <c r="I5672">
        <v>5.06943147297459E-2</v>
      </c>
      <c r="J5672">
        <v>5.4351820824681298E-2</v>
      </c>
      <c r="K5672">
        <v>5.6093519775428903E-2</v>
      </c>
      <c r="L5672">
        <v>986.85377938844204</v>
      </c>
      <c r="M5672">
        <v>20.705575221024301</v>
      </c>
      <c r="N5672">
        <v>47.857706818419103</v>
      </c>
      <c r="O5672">
        <v>47.2233618216259</v>
      </c>
      <c r="P5672">
        <v>-0.10515228966453</v>
      </c>
      <c r="Q5672">
        <v>4.0740597605546602E-2</v>
      </c>
      <c r="R5672">
        <v>0.99078638494974802</v>
      </c>
      <c r="S5672" t="s">
        <v>12074</v>
      </c>
      <c r="T5672" t="s">
        <v>12802</v>
      </c>
      <c r="U5672" t="s">
        <v>12802</v>
      </c>
      <c r="V5672" t="s">
        <v>12802</v>
      </c>
      <c r="W5672" t="s">
        <v>18406</v>
      </c>
      <c r="X5672">
        <v>17</v>
      </c>
      <c r="Y5672" t="s">
        <v>24617</v>
      </c>
      <c r="Z5672" t="s">
        <v>30990</v>
      </c>
      <c r="AA5672">
        <v>0.393413821172791</v>
      </c>
      <c r="AB5672" t="str">
        <f>HYPERLINK("Melting_Curves/meltCurve_Q9NR09_BIRC6.pdf", "Melting_Curves/meltCurve_Q9NR09_BIRC6.pdf")</f>
        <v>Melting_Curves/meltCurve_Q9NR09_BIRC6.pdf</v>
      </c>
    </row>
    <row r="5673" spans="1:28" x14ac:dyDescent="0.25">
      <c r="A5673" t="s">
        <v>5677</v>
      </c>
      <c r="B5673">
        <v>0.99542014353169495</v>
      </c>
      <c r="C5673">
        <v>0.97463859973849398</v>
      </c>
      <c r="D5673">
        <v>0.93777886809911404</v>
      </c>
      <c r="E5673">
        <v>0.80599550501153605</v>
      </c>
      <c r="F5673">
        <v>0.37813203289390102</v>
      </c>
      <c r="G5673">
        <v>0.17779267549166999</v>
      </c>
      <c r="H5673">
        <v>8.8987648741123901E-2</v>
      </c>
      <c r="I5673">
        <v>6.1358758660539699E-2</v>
      </c>
      <c r="J5673">
        <v>6.8258197029429896E-2</v>
      </c>
      <c r="K5673">
        <v>7.4643940822047394E-2</v>
      </c>
      <c r="L5673">
        <v>1183.89924196467</v>
      </c>
      <c r="M5673">
        <v>24.192263034939</v>
      </c>
      <c r="N5673">
        <v>49.224961512007901</v>
      </c>
      <c r="O5673">
        <v>48.606418362121801</v>
      </c>
      <c r="P5673">
        <v>-0.116223901955385</v>
      </c>
      <c r="Q5673">
        <v>6.5959375788229496E-2</v>
      </c>
      <c r="R5673">
        <v>0.99835653299906602</v>
      </c>
      <c r="S5673" t="s">
        <v>12075</v>
      </c>
      <c r="T5673" t="s">
        <v>12802</v>
      </c>
      <c r="U5673" t="s">
        <v>12802</v>
      </c>
      <c r="V5673" t="s">
        <v>12802</v>
      </c>
      <c r="W5673" t="s">
        <v>18407</v>
      </c>
      <c r="X5673">
        <v>16</v>
      </c>
      <c r="Y5673" t="s">
        <v>24618</v>
      </c>
      <c r="Z5673" t="s">
        <v>30991</v>
      </c>
      <c r="AA5673">
        <v>0.44621246574799428</v>
      </c>
      <c r="AB5673" t="str">
        <f>HYPERLINK("Melting_Curves/meltCurve_Q9NR12_PDLIM7.pdf", "Melting_Curves/meltCurve_Q9NR12_PDLIM7.pdf")</f>
        <v>Melting_Curves/meltCurve_Q9NR12_PDLIM7.pdf</v>
      </c>
    </row>
    <row r="5674" spans="1:28" x14ac:dyDescent="0.25">
      <c r="A5674" t="s">
        <v>5678</v>
      </c>
      <c r="B5674">
        <v>0.99542014353169495</v>
      </c>
      <c r="C5674">
        <v>1.00560081201638</v>
      </c>
      <c r="D5674">
        <v>0.98723258921224899</v>
      </c>
      <c r="E5674">
        <v>0.93398648523864403</v>
      </c>
      <c r="F5674">
        <v>0.68299924675607504</v>
      </c>
      <c r="G5674">
        <v>0.198034455249744</v>
      </c>
      <c r="H5674">
        <v>8.1708306128046707E-2</v>
      </c>
      <c r="I5674">
        <v>5.6642170816612103E-2</v>
      </c>
      <c r="J5674">
        <v>5.6047888247274899E-2</v>
      </c>
      <c r="K5674">
        <v>5.0414349674822001E-2</v>
      </c>
      <c r="L5674">
        <v>1686.8518061044699</v>
      </c>
      <c r="M5674">
        <v>32.966299187383797</v>
      </c>
      <c r="N5674">
        <v>51.338302366131501</v>
      </c>
      <c r="O5674">
        <v>50.981799527059799</v>
      </c>
      <c r="P5674">
        <v>-0.15333026927024701</v>
      </c>
      <c r="Q5674">
        <v>5.1514184249944001E-2</v>
      </c>
      <c r="R5674">
        <v>0.99925439862280596</v>
      </c>
      <c r="S5674" t="s">
        <v>12076</v>
      </c>
      <c r="T5674" t="s">
        <v>12802</v>
      </c>
      <c r="U5674" t="s">
        <v>12802</v>
      </c>
      <c r="V5674" t="s">
        <v>12802</v>
      </c>
      <c r="W5674" t="s">
        <v>18408</v>
      </c>
      <c r="X5674">
        <v>18</v>
      </c>
      <c r="Y5674" t="s">
        <v>24619</v>
      </c>
      <c r="Z5674" t="s">
        <v>30992</v>
      </c>
      <c r="AA5674">
        <v>0.50440682271369108</v>
      </c>
      <c r="AB5674" t="str">
        <f>HYPERLINK("Melting_Curves/meltCurve_Q9NR19_ACSS2.pdf", "Melting_Curves/meltCurve_Q9NR19_ACSS2.pdf")</f>
        <v>Melting_Curves/meltCurve_Q9NR19_ACSS2.pdf</v>
      </c>
    </row>
    <row r="5675" spans="1:28" x14ac:dyDescent="0.25">
      <c r="A5675" t="s">
        <v>5679</v>
      </c>
      <c r="B5675">
        <v>0.99542014353169495</v>
      </c>
      <c r="C5675">
        <v>1.13500207911053</v>
      </c>
      <c r="D5675">
        <v>0.94724290121327404</v>
      </c>
      <c r="E5675">
        <v>0.93260009078170003</v>
      </c>
      <c r="F5675">
        <v>0.89710620713517397</v>
      </c>
      <c r="G5675">
        <v>0.87491211114022904</v>
      </c>
      <c r="H5675">
        <v>0.70661153039856395</v>
      </c>
      <c r="I5675">
        <v>0.69329837519238102</v>
      </c>
      <c r="J5675">
        <v>1.01233907470588</v>
      </c>
      <c r="K5675">
        <v>1.0036712243652199</v>
      </c>
      <c r="L5675">
        <v>1241.25217790583</v>
      </c>
      <c r="M5675">
        <v>26.648592727535</v>
      </c>
      <c r="O5675">
        <v>46.318603300512002</v>
      </c>
      <c r="P5675">
        <v>-2.0073531096388899E-2</v>
      </c>
      <c r="Q5675">
        <v>0.86044017706682596</v>
      </c>
      <c r="R5675">
        <v>0.30764937023148597</v>
      </c>
      <c r="S5675" t="s">
        <v>12077</v>
      </c>
      <c r="T5675" t="s">
        <v>12802</v>
      </c>
      <c r="U5675" t="s">
        <v>12802</v>
      </c>
      <c r="V5675" t="s">
        <v>12802</v>
      </c>
      <c r="W5675" t="s">
        <v>18409</v>
      </c>
      <c r="X5675">
        <v>11</v>
      </c>
      <c r="Y5675" t="s">
        <v>24620</v>
      </c>
      <c r="Z5675" t="s">
        <v>30993</v>
      </c>
      <c r="AA5675">
        <v>0.90602295706332481</v>
      </c>
      <c r="AB5675" t="str">
        <f>HYPERLINK("Melting_Curves/meltCurve_Q9NR28_2_DIABLO.pdf", "Melting_Curves/meltCurve_Q9NR28_2_DIABLO.pdf")</f>
        <v>Melting_Curves/meltCurve_Q9NR28_2_DIABLO.pdf</v>
      </c>
    </row>
    <row r="5676" spans="1:28" x14ac:dyDescent="0.25">
      <c r="A5676" t="s">
        <v>5680</v>
      </c>
      <c r="B5676">
        <v>0.99542014353169495</v>
      </c>
      <c r="C5676">
        <v>1.01960370851483</v>
      </c>
      <c r="D5676">
        <v>1.0260601463932399</v>
      </c>
      <c r="E5676">
        <v>0.784159168735861</v>
      </c>
      <c r="F5676">
        <v>0.349985362064821</v>
      </c>
      <c r="G5676">
        <v>0.206944706588257</v>
      </c>
      <c r="H5676">
        <v>0.14043702551682899</v>
      </c>
      <c r="I5676">
        <v>0.11413672040015301</v>
      </c>
      <c r="J5676">
        <v>0.14550758404137601</v>
      </c>
      <c r="K5676">
        <v>0.17453317187373901</v>
      </c>
      <c r="L5676">
        <v>1489.1948386489701</v>
      </c>
      <c r="M5676">
        <v>30.820760057276399</v>
      </c>
      <c r="N5676">
        <v>48.869760174834397</v>
      </c>
      <c r="O5676">
        <v>48.115869395546603</v>
      </c>
      <c r="P5676">
        <v>-0.136604249160939</v>
      </c>
      <c r="Q5676">
        <v>0.14696538932058001</v>
      </c>
      <c r="R5676">
        <v>0.996503278737225</v>
      </c>
      <c r="S5676" t="s">
        <v>12078</v>
      </c>
      <c r="T5676" t="s">
        <v>12802</v>
      </c>
      <c r="U5676" t="s">
        <v>12802</v>
      </c>
      <c r="V5676" t="s">
        <v>12802</v>
      </c>
      <c r="W5676" t="s">
        <v>18410</v>
      </c>
      <c r="X5676">
        <v>27</v>
      </c>
      <c r="Y5676" t="s">
        <v>24621</v>
      </c>
      <c r="Z5676" t="s">
        <v>30994</v>
      </c>
      <c r="AA5676">
        <v>0.47359880482958272</v>
      </c>
      <c r="AB5676" t="str">
        <f>HYPERLINK("Melting_Curves/meltCurve_Q9NR30_DDX21.pdf", "Melting_Curves/meltCurve_Q9NR30_DDX21.pdf")</f>
        <v>Melting_Curves/meltCurve_Q9NR30_DDX21.pdf</v>
      </c>
    </row>
    <row r="5677" spans="1:28" x14ac:dyDescent="0.25">
      <c r="A5677" t="s">
        <v>5681</v>
      </c>
      <c r="B5677">
        <v>0.99542014353169495</v>
      </c>
      <c r="C5677">
        <v>1.0624924009727901</v>
      </c>
      <c r="D5677">
        <v>0.96847803432583102</v>
      </c>
      <c r="E5677">
        <v>0.98301721403568199</v>
      </c>
      <c r="F5677">
        <v>0.76447998992736899</v>
      </c>
      <c r="G5677">
        <v>0.52413533208454499</v>
      </c>
      <c r="H5677">
        <v>0.146718041881336</v>
      </c>
      <c r="I5677">
        <v>7.6917289984105394E-2</v>
      </c>
      <c r="J5677">
        <v>6.8577195033618504E-2</v>
      </c>
      <c r="K5677">
        <v>8.0596186177878101E-2</v>
      </c>
      <c r="L5677">
        <v>1221.27556079601</v>
      </c>
      <c r="M5677">
        <v>22.928156524769602</v>
      </c>
      <c r="N5677">
        <v>53.476106062591903</v>
      </c>
      <c r="O5677">
        <v>52.865093949551898</v>
      </c>
      <c r="P5677">
        <v>-0.10374487822310501</v>
      </c>
      <c r="Q5677">
        <v>4.32063232771948E-2</v>
      </c>
      <c r="R5677">
        <v>0.99174852273843295</v>
      </c>
      <c r="S5677" t="s">
        <v>12079</v>
      </c>
      <c r="T5677" t="s">
        <v>12802</v>
      </c>
      <c r="U5677" t="s">
        <v>12802</v>
      </c>
      <c r="V5677" t="s">
        <v>12802</v>
      </c>
      <c r="W5677" t="s">
        <v>18411</v>
      </c>
      <c r="X5677">
        <v>12</v>
      </c>
      <c r="Y5677" t="s">
        <v>24622</v>
      </c>
      <c r="Z5677" t="s">
        <v>30995</v>
      </c>
      <c r="AA5677">
        <v>0.57168575012507317</v>
      </c>
      <c r="AB5677" t="str">
        <f>HYPERLINK("Melting_Curves/meltCurve_Q9NR31_SAR1A.pdf", "Melting_Curves/meltCurve_Q9NR31_SAR1A.pdf")</f>
        <v>Melting_Curves/meltCurve_Q9NR31_SAR1A.pdf</v>
      </c>
    </row>
    <row r="5678" spans="1:28" x14ac:dyDescent="0.25">
      <c r="A5678" t="s">
        <v>5682</v>
      </c>
      <c r="B5678">
        <v>0.99542014353169495</v>
      </c>
      <c r="C5678">
        <v>0.97138080770924295</v>
      </c>
      <c r="D5678">
        <v>0.86940539576281795</v>
      </c>
      <c r="E5678">
        <v>0.78190455176281703</v>
      </c>
      <c r="F5678">
        <v>0.461733440593598</v>
      </c>
      <c r="G5678">
        <v>0.28195894446929998</v>
      </c>
      <c r="H5678">
        <v>0.15693617041768901</v>
      </c>
      <c r="I5678">
        <v>0.106645266904495</v>
      </c>
      <c r="J5678">
        <v>0.124246845006379</v>
      </c>
      <c r="K5678">
        <v>0.12969194507023399</v>
      </c>
      <c r="L5678">
        <v>808.63579828852096</v>
      </c>
      <c r="M5678">
        <v>16.430736733714799</v>
      </c>
      <c r="N5678">
        <v>49.851113060223803</v>
      </c>
      <c r="O5678">
        <v>48.503140620695902</v>
      </c>
      <c r="P5678">
        <v>-7.6683424974722594E-2</v>
      </c>
      <c r="Q5678">
        <v>9.4593451935237105E-2</v>
      </c>
      <c r="R5678">
        <v>0.99508080575941305</v>
      </c>
      <c r="S5678" t="s">
        <v>12080</v>
      </c>
      <c r="T5678" t="s">
        <v>12802</v>
      </c>
      <c r="U5678" t="s">
        <v>12802</v>
      </c>
      <c r="V5678" t="s">
        <v>12802</v>
      </c>
      <c r="W5678" t="s">
        <v>18412</v>
      </c>
      <c r="X5678">
        <v>4</v>
      </c>
      <c r="Y5678" t="s">
        <v>24623</v>
      </c>
      <c r="Z5678" t="s">
        <v>30996</v>
      </c>
      <c r="AA5678">
        <v>0.47999427877306883</v>
      </c>
      <c r="AB5678" t="str">
        <f>HYPERLINK("Melting_Curves/meltCurve_Q9NR33_POLE4.pdf", "Melting_Curves/meltCurve_Q9NR33_POLE4.pdf")</f>
        <v>Melting_Curves/meltCurve_Q9NR33_POLE4.pdf</v>
      </c>
    </row>
    <row r="5679" spans="1:28" x14ac:dyDescent="0.25">
      <c r="A5679" t="s">
        <v>5683</v>
      </c>
      <c r="B5679">
        <v>0.99542014353169495</v>
      </c>
      <c r="C5679">
        <v>1.0102701386970701</v>
      </c>
      <c r="D5679">
        <v>0.97984952602254205</v>
      </c>
      <c r="E5679">
        <v>1.00531653934507</v>
      </c>
      <c r="F5679">
        <v>0.85079403678784604</v>
      </c>
      <c r="G5679">
        <v>0.572199049897122</v>
      </c>
      <c r="H5679">
        <v>0.107400634011033</v>
      </c>
      <c r="I5679">
        <v>8.05624205813147E-2</v>
      </c>
      <c r="J5679">
        <v>6.5344798408514398E-2</v>
      </c>
      <c r="K5679">
        <v>7.4297189646187894E-2</v>
      </c>
      <c r="L5679">
        <v>1709.1567191070801</v>
      </c>
      <c r="M5679">
        <v>31.760557878180499</v>
      </c>
      <c r="N5679">
        <v>53.999382692652098</v>
      </c>
      <c r="O5679">
        <v>53.601828320511402</v>
      </c>
      <c r="P5679">
        <v>-0.14047380834140799</v>
      </c>
      <c r="Q5679">
        <v>5.1702700716250397E-2</v>
      </c>
      <c r="R5679">
        <v>0.99407190325021499</v>
      </c>
      <c r="S5679" t="s">
        <v>12081</v>
      </c>
      <c r="T5679" t="s">
        <v>12802</v>
      </c>
      <c r="U5679" t="s">
        <v>12802</v>
      </c>
      <c r="V5679" t="s">
        <v>12802</v>
      </c>
      <c r="W5679" t="s">
        <v>18413</v>
      </c>
      <c r="X5679">
        <v>23</v>
      </c>
      <c r="Y5679" t="s">
        <v>24624</v>
      </c>
      <c r="Z5679" t="s">
        <v>30997</v>
      </c>
      <c r="AA5679">
        <v>0.58863778456742299</v>
      </c>
      <c r="AB5679" t="str">
        <f>HYPERLINK("Melting_Curves/meltCurve_Q9NR45_NANS.pdf", "Melting_Curves/meltCurve_Q9NR45_NANS.pdf")</f>
        <v>Melting_Curves/meltCurve_Q9NR45_NANS.pdf</v>
      </c>
    </row>
    <row r="5680" spans="1:28" x14ac:dyDescent="0.25">
      <c r="A5680" t="s">
        <v>5684</v>
      </c>
      <c r="B5680">
        <v>0.99542014353169495</v>
      </c>
      <c r="C5680">
        <v>0.918893819112786</v>
      </c>
      <c r="D5680">
        <v>0.89406477694680297</v>
      </c>
      <c r="E5680">
        <v>0.59088066587958699</v>
      </c>
      <c r="F5680">
        <v>0.286089620286616</v>
      </c>
      <c r="G5680">
        <v>0.12600361463072901</v>
      </c>
      <c r="H5680">
        <v>7.7405069519856595E-2</v>
      </c>
      <c r="I5680">
        <v>5.0706723957123702E-2</v>
      </c>
      <c r="J5680">
        <v>5.1155346573112097E-2</v>
      </c>
      <c r="K5680">
        <v>5.30866951185116E-2</v>
      </c>
      <c r="L5680">
        <v>890.52405309844005</v>
      </c>
      <c r="M5680">
        <v>18.813839234426201</v>
      </c>
      <c r="N5680">
        <v>47.555866336811199</v>
      </c>
      <c r="O5680">
        <v>46.808416801009699</v>
      </c>
      <c r="P5680">
        <v>-9.6255413814911095E-2</v>
      </c>
      <c r="Q5680">
        <v>4.2114309310163099E-2</v>
      </c>
      <c r="R5680">
        <v>0.99772572590459596</v>
      </c>
      <c r="S5680" t="s">
        <v>12082</v>
      </c>
      <c r="T5680" t="s">
        <v>12802</v>
      </c>
      <c r="U5680" t="s">
        <v>12802</v>
      </c>
      <c r="V5680" t="s">
        <v>12802</v>
      </c>
      <c r="W5680" t="s">
        <v>18414</v>
      </c>
      <c r="X5680">
        <v>26</v>
      </c>
      <c r="Y5680" t="s">
        <v>24625</v>
      </c>
      <c r="Z5680" t="s">
        <v>30998</v>
      </c>
      <c r="AA5680">
        <v>0.38617616035989022</v>
      </c>
      <c r="AB5680" t="str">
        <f>HYPERLINK("Melting_Curves/meltCurve_Q9NR50_EIF2B3.pdf", "Melting_Curves/meltCurve_Q9NR50_EIF2B3.pdf")</f>
        <v>Melting_Curves/meltCurve_Q9NR50_EIF2B3.pdf</v>
      </c>
    </row>
    <row r="5681" spans="1:28" x14ac:dyDescent="0.25">
      <c r="A5681" t="s">
        <v>5685</v>
      </c>
      <c r="B5681">
        <v>0.99542014353169495</v>
      </c>
      <c r="C5681">
        <v>1.0227349885989601</v>
      </c>
      <c r="D5681">
        <v>0.97919943584353697</v>
      </c>
      <c r="E5681">
        <v>0.781897580618931</v>
      </c>
      <c r="F5681">
        <v>0.50095752600440502</v>
      </c>
      <c r="G5681">
        <v>0.22189604324845699</v>
      </c>
      <c r="H5681">
        <v>0.20505275764660999</v>
      </c>
      <c r="I5681">
        <v>0.13131978613290601</v>
      </c>
      <c r="J5681">
        <v>3.3740257882031603E-2</v>
      </c>
      <c r="K5681">
        <v>6.6192156270234698E-2</v>
      </c>
      <c r="L5681">
        <v>916.84794400943201</v>
      </c>
      <c r="M5681">
        <v>18.427150862471901</v>
      </c>
      <c r="N5681">
        <v>50.164375092353701</v>
      </c>
      <c r="O5681">
        <v>49.1804126720303</v>
      </c>
      <c r="P5681">
        <v>-8.7140110321098099E-2</v>
      </c>
      <c r="Q5681">
        <v>6.9765295188508797E-2</v>
      </c>
      <c r="R5681">
        <v>0.99306026292942096</v>
      </c>
      <c r="S5681" t="s">
        <v>12083</v>
      </c>
      <c r="T5681" t="s">
        <v>12802</v>
      </c>
      <c r="U5681" t="s">
        <v>12802</v>
      </c>
      <c r="V5681" t="s">
        <v>12802</v>
      </c>
      <c r="W5681" t="s">
        <v>18415</v>
      </c>
      <c r="X5681">
        <v>3</v>
      </c>
      <c r="Y5681" t="s">
        <v>24626</v>
      </c>
      <c r="Z5681" t="s">
        <v>30999</v>
      </c>
      <c r="AA5681">
        <v>0.47940479897153709</v>
      </c>
      <c r="AB5681" t="str">
        <f>HYPERLINK("Melting_Curves/meltCurve_Q9NRF2_3_SH2B1.pdf", "Melting_Curves/meltCurve_Q9NRF2_3_SH2B1.pdf")</f>
        <v>Melting_Curves/meltCurve_Q9NRF2_3_SH2B1.pdf</v>
      </c>
    </row>
    <row r="5682" spans="1:28" x14ac:dyDescent="0.25">
      <c r="A5682" t="s">
        <v>5686</v>
      </c>
      <c r="B5682">
        <v>0.99542014353169495</v>
      </c>
      <c r="C5682">
        <v>0.98411131481749803</v>
      </c>
      <c r="D5682">
        <v>0.98984189790041499</v>
      </c>
      <c r="E5682">
        <v>0.87584949497281395</v>
      </c>
      <c r="F5682">
        <v>0.706120905217267</v>
      </c>
      <c r="G5682">
        <v>0.52887307474464595</v>
      </c>
      <c r="H5682">
        <v>0.40330887339652999</v>
      </c>
      <c r="I5682">
        <v>0.37975245513065697</v>
      </c>
      <c r="J5682">
        <v>0.290619881434591</v>
      </c>
      <c r="K5682">
        <v>7.4445467150304007E-2</v>
      </c>
      <c r="L5682">
        <v>517.81732670359099</v>
      </c>
      <c r="M5682">
        <v>9.3264505435682707</v>
      </c>
      <c r="N5682">
        <v>55.521370355780803</v>
      </c>
      <c r="O5682">
        <v>53.1480522561396</v>
      </c>
      <c r="P5682">
        <v>-4.3897976166390199E-2</v>
      </c>
      <c r="Q5682">
        <v>0</v>
      </c>
      <c r="R5682">
        <v>0.97446097149581901</v>
      </c>
      <c r="S5682" t="s">
        <v>12084</v>
      </c>
      <c r="T5682" t="s">
        <v>12802</v>
      </c>
      <c r="U5682" t="s">
        <v>12802</v>
      </c>
      <c r="V5682" t="s">
        <v>12802</v>
      </c>
      <c r="W5682" t="s">
        <v>18416</v>
      </c>
      <c r="X5682">
        <v>19</v>
      </c>
      <c r="Y5682" t="s">
        <v>24627</v>
      </c>
      <c r="Z5682" t="s">
        <v>31000</v>
      </c>
      <c r="AA5682">
        <v>0.62474204812987011</v>
      </c>
      <c r="AB5682" t="str">
        <f>HYPERLINK("Melting_Curves/meltCurve_Q9NRF8_CTPS2.pdf", "Melting_Curves/meltCurve_Q9NRF8_CTPS2.pdf")</f>
        <v>Melting_Curves/meltCurve_Q9NRF8_CTPS2.pdf</v>
      </c>
    </row>
    <row r="5683" spans="1:28" x14ac:dyDescent="0.25">
      <c r="A5683" t="s">
        <v>5687</v>
      </c>
      <c r="B5683">
        <v>0.99542014353169495</v>
      </c>
      <c r="C5683">
        <v>1.0199414502870401</v>
      </c>
      <c r="D5683">
        <v>0.90441833462164301</v>
      </c>
      <c r="E5683">
        <v>0.88134820538661596</v>
      </c>
      <c r="F5683">
        <v>0.62209892144102497</v>
      </c>
      <c r="G5683">
        <v>0.40830747153347002</v>
      </c>
      <c r="H5683">
        <v>0.204721593674038</v>
      </c>
      <c r="I5683">
        <v>0.15911988967701099</v>
      </c>
      <c r="J5683">
        <v>0.17651491475311901</v>
      </c>
      <c r="K5683">
        <v>0.204653939557047</v>
      </c>
      <c r="L5683">
        <v>941.65488805482096</v>
      </c>
      <c r="M5683">
        <v>18.5221648117932</v>
      </c>
      <c r="N5683">
        <v>51.868140592945302</v>
      </c>
      <c r="O5683">
        <v>50.257852069838798</v>
      </c>
      <c r="P5683">
        <v>-7.7975376688320303E-2</v>
      </c>
      <c r="Q5683">
        <v>0.15372675578675099</v>
      </c>
      <c r="R5683">
        <v>0.99118538228323205</v>
      </c>
      <c r="S5683" t="s">
        <v>12085</v>
      </c>
      <c r="T5683" t="s">
        <v>12802</v>
      </c>
      <c r="U5683" t="s">
        <v>12802</v>
      </c>
      <c r="V5683" t="s">
        <v>12802</v>
      </c>
      <c r="W5683" t="s">
        <v>18417</v>
      </c>
      <c r="X5683">
        <v>6</v>
      </c>
      <c r="Y5683" t="s">
        <v>24628</v>
      </c>
      <c r="Z5683" t="s">
        <v>31001</v>
      </c>
      <c r="AA5683">
        <v>0.55670614985122013</v>
      </c>
      <c r="AB5683" t="str">
        <f>HYPERLINK("Melting_Curves/meltCurve_Q9NRF9_POLE3.pdf", "Melting_Curves/meltCurve_Q9NRF9_POLE3.pdf")</f>
        <v>Melting_Curves/meltCurve_Q9NRF9_POLE3.pdf</v>
      </c>
    </row>
    <row r="5684" spans="1:28" x14ac:dyDescent="0.25">
      <c r="A5684" t="s">
        <v>5688</v>
      </c>
      <c r="B5684">
        <v>0.99542014353169495</v>
      </c>
      <c r="C5684">
        <v>1.0111059079753399</v>
      </c>
      <c r="D5684">
        <v>0.84729991157239704</v>
      </c>
      <c r="E5684">
        <v>0.896718576447181</v>
      </c>
      <c r="F5684">
        <v>0.634560716247205</v>
      </c>
      <c r="G5684">
        <v>0.35656869036764299</v>
      </c>
      <c r="H5684">
        <v>0.14409087035566501</v>
      </c>
      <c r="I5684">
        <v>8.7495315298099202E-2</v>
      </c>
      <c r="J5684">
        <v>0.1096624219008</v>
      </c>
      <c r="K5684">
        <v>0.11216197227640801</v>
      </c>
      <c r="L5684">
        <v>956.76844185779498</v>
      </c>
      <c r="M5684">
        <v>18.6688101699133</v>
      </c>
      <c r="N5684">
        <v>51.672823312061503</v>
      </c>
      <c r="O5684">
        <v>50.672384798648103</v>
      </c>
      <c r="P5684">
        <v>-8.5579018314652894E-2</v>
      </c>
      <c r="Q5684">
        <v>7.0897863353014706E-2</v>
      </c>
      <c r="R5684">
        <v>0.98542935564052503</v>
      </c>
      <c r="S5684" t="s">
        <v>12086</v>
      </c>
      <c r="T5684" t="s">
        <v>12802</v>
      </c>
      <c r="U5684" t="s">
        <v>12802</v>
      </c>
      <c r="V5684" t="s">
        <v>12802</v>
      </c>
      <c r="W5684" t="s">
        <v>18418</v>
      </c>
      <c r="X5684">
        <v>3</v>
      </c>
      <c r="Y5684" t="s">
        <v>24629</v>
      </c>
      <c r="Z5684" t="s">
        <v>31002</v>
      </c>
      <c r="AA5684">
        <v>0.52575792574807001</v>
      </c>
      <c r="AB5684" t="str">
        <f>HYPERLINK("Melting_Curves/meltCurve_Q9NRG0_CHRAC1.pdf", "Melting_Curves/meltCurve_Q9NRG0_CHRAC1.pdf")</f>
        <v>Melting_Curves/meltCurve_Q9NRG0_CHRAC1.pdf</v>
      </c>
    </row>
    <row r="5685" spans="1:28" x14ac:dyDescent="0.25">
      <c r="A5685" t="s">
        <v>5689</v>
      </c>
      <c r="B5685">
        <v>0.99542014353169495</v>
      </c>
      <c r="C5685">
        <v>1.04156654498169</v>
      </c>
      <c r="D5685">
        <v>1.02365707587508</v>
      </c>
      <c r="E5685">
        <v>0.90972098665130596</v>
      </c>
      <c r="F5685">
        <v>0.78849061118050601</v>
      </c>
      <c r="G5685">
        <v>0.68305657516763896</v>
      </c>
      <c r="H5685">
        <v>0.47745423948068</v>
      </c>
      <c r="I5685">
        <v>0.44696901512153497</v>
      </c>
      <c r="J5685">
        <v>0.67263964071476601</v>
      </c>
      <c r="K5685">
        <v>0.78667636252477902</v>
      </c>
      <c r="L5685">
        <v>1374.1184401328001</v>
      </c>
      <c r="M5685">
        <v>27.6691441032286</v>
      </c>
      <c r="O5685">
        <v>49.405249323409002</v>
      </c>
      <c r="P5685">
        <v>-5.5543935938504201E-2</v>
      </c>
      <c r="Q5685">
        <v>0.60329280418070497</v>
      </c>
      <c r="R5685">
        <v>0.78970117387038297</v>
      </c>
      <c r="S5685" t="s">
        <v>12087</v>
      </c>
      <c r="T5685" t="s">
        <v>12802</v>
      </c>
      <c r="U5685" t="s">
        <v>12802</v>
      </c>
      <c r="V5685" t="s">
        <v>12802</v>
      </c>
      <c r="W5685" t="s">
        <v>18419</v>
      </c>
      <c r="X5685">
        <v>8</v>
      </c>
      <c r="Y5685" t="s">
        <v>24630</v>
      </c>
      <c r="Z5685" t="s">
        <v>31003</v>
      </c>
      <c r="AA5685">
        <v>0.77357485788292146</v>
      </c>
      <c r="AB5685" t="str">
        <f>HYPERLINK("Melting_Curves/meltCurve_Q9NRG1_PRTFDC1.pdf", "Melting_Curves/meltCurve_Q9NRG1_PRTFDC1.pdf")</f>
        <v>Melting_Curves/meltCurve_Q9NRG1_PRTFDC1.pdf</v>
      </c>
    </row>
    <row r="5686" spans="1:28" x14ac:dyDescent="0.25">
      <c r="A5686" t="s">
        <v>5690</v>
      </c>
      <c r="B5686">
        <v>0.99542014353169495</v>
      </c>
      <c r="C5686">
        <v>1.02745053004788</v>
      </c>
      <c r="D5686">
        <v>0.93869012289433396</v>
      </c>
      <c r="E5686">
        <v>0.611506141934959</v>
      </c>
      <c r="F5686">
        <v>0.13199505847322299</v>
      </c>
      <c r="G5686">
        <v>6.6573962510882295E-2</v>
      </c>
      <c r="H5686">
        <v>4.5892857690819203E-2</v>
      </c>
      <c r="I5686">
        <v>3.21365729965725E-2</v>
      </c>
      <c r="J5686">
        <v>5.1174246574717301E-2</v>
      </c>
      <c r="K5686">
        <v>6.5643644931311806E-2</v>
      </c>
      <c r="L5686">
        <v>1640.0559569991401</v>
      </c>
      <c r="M5686">
        <v>34.855859029862899</v>
      </c>
      <c r="N5686">
        <v>47.188431346678001</v>
      </c>
      <c r="O5686">
        <v>46.898450099205803</v>
      </c>
      <c r="P5686">
        <v>-0.176931964696976</v>
      </c>
      <c r="Q5686">
        <v>4.7757796452498003E-2</v>
      </c>
      <c r="R5686">
        <v>0.998605376282102</v>
      </c>
      <c r="S5686" t="s">
        <v>12088</v>
      </c>
      <c r="T5686" t="s">
        <v>12802</v>
      </c>
      <c r="U5686" t="s">
        <v>12802</v>
      </c>
      <c r="V5686" t="s">
        <v>12802</v>
      </c>
      <c r="W5686" t="s">
        <v>18420</v>
      </c>
      <c r="X5686">
        <v>6</v>
      </c>
      <c r="Y5686" t="s">
        <v>24631</v>
      </c>
      <c r="Z5686" t="s">
        <v>31004</v>
      </c>
      <c r="AA5686">
        <v>0.37092934700932217</v>
      </c>
      <c r="AB5686" t="str">
        <f>HYPERLINK("Melting_Curves/meltCurve_Q9NRG4_SMYD2.pdf", "Melting_Curves/meltCurve_Q9NRG4_SMYD2.pdf")</f>
        <v>Melting_Curves/meltCurve_Q9NRG4_SMYD2.pdf</v>
      </c>
    </row>
    <row r="5687" spans="1:28" x14ac:dyDescent="0.25">
      <c r="A5687" t="s">
        <v>5691</v>
      </c>
      <c r="B5687">
        <v>0.99542014353169495</v>
      </c>
      <c r="C5687">
        <v>1.05079115221278</v>
      </c>
      <c r="D5687">
        <v>1.0779356863396901</v>
      </c>
      <c r="E5687">
        <v>0.94338254989991799</v>
      </c>
      <c r="F5687">
        <v>0.79321763253368205</v>
      </c>
      <c r="G5687">
        <v>0.56835027932726701</v>
      </c>
      <c r="H5687">
        <v>0.32747656374552198</v>
      </c>
      <c r="I5687">
        <v>0.165122102868484</v>
      </c>
      <c r="J5687">
        <v>0.14050192939925399</v>
      </c>
      <c r="K5687">
        <v>0.18613063287011999</v>
      </c>
      <c r="L5687">
        <v>1048.6462429174601</v>
      </c>
      <c r="M5687">
        <v>19.560152221207101</v>
      </c>
      <c r="N5687">
        <v>54.432322895463102</v>
      </c>
      <c r="O5687">
        <v>53.060433152516502</v>
      </c>
      <c r="P5687">
        <v>-8.0390213911995995E-2</v>
      </c>
      <c r="Q5687">
        <v>0.12773931643238401</v>
      </c>
      <c r="R5687">
        <v>0.98936284506505001</v>
      </c>
      <c r="S5687" t="s">
        <v>12089</v>
      </c>
      <c r="T5687" t="s">
        <v>12802</v>
      </c>
      <c r="U5687" t="s">
        <v>12802</v>
      </c>
      <c r="V5687" t="s">
        <v>12802</v>
      </c>
      <c r="W5687" t="s">
        <v>18421</v>
      </c>
      <c r="X5687">
        <v>5</v>
      </c>
      <c r="Y5687" t="s">
        <v>24632</v>
      </c>
      <c r="Z5687" t="s">
        <v>31005</v>
      </c>
      <c r="AA5687">
        <v>0.62178498423367223</v>
      </c>
      <c r="AB5687" t="str">
        <f>HYPERLINK("Melting_Curves/meltCurve_Q9NRH1_YAE1D1.pdf", "Melting_Curves/meltCurve_Q9NRH1_YAE1D1.pdf")</f>
        <v>Melting_Curves/meltCurve_Q9NRH1_YAE1D1.pdf</v>
      </c>
    </row>
    <row r="5688" spans="1:28" x14ac:dyDescent="0.25">
      <c r="A5688" t="s">
        <v>5692</v>
      </c>
      <c r="B5688">
        <v>0.99542014353169495</v>
      </c>
      <c r="C5688">
        <v>1.0062913844650501</v>
      </c>
      <c r="D5688">
        <v>0.96003987001570501</v>
      </c>
      <c r="E5688">
        <v>0.82133432472321399</v>
      </c>
      <c r="F5688">
        <v>0.73160506762248001</v>
      </c>
      <c r="G5688">
        <v>0.53751768047653703</v>
      </c>
      <c r="H5688">
        <v>0.38340802976941801</v>
      </c>
      <c r="I5688">
        <v>0.27022105075868602</v>
      </c>
      <c r="J5688">
        <v>0.192083834828118</v>
      </c>
      <c r="K5688">
        <v>0.118248037387485</v>
      </c>
      <c r="L5688">
        <v>558.13831375654104</v>
      </c>
      <c r="M5688">
        <v>10.1955626103535</v>
      </c>
      <c r="N5688">
        <v>54.743256647240202</v>
      </c>
      <c r="O5688">
        <v>52.7625735771473</v>
      </c>
      <c r="P5688">
        <v>-4.8330506698694403E-2</v>
      </c>
      <c r="Q5688">
        <v>0</v>
      </c>
      <c r="R5688">
        <v>0.99715331067831503</v>
      </c>
      <c r="S5688" t="s">
        <v>12090</v>
      </c>
      <c r="T5688" t="s">
        <v>12802</v>
      </c>
      <c r="U5688" t="s">
        <v>12802</v>
      </c>
      <c r="V5688" t="s">
        <v>12802</v>
      </c>
      <c r="W5688" t="s">
        <v>18422</v>
      </c>
      <c r="X5688">
        <v>17</v>
      </c>
      <c r="Y5688" t="s">
        <v>24633</v>
      </c>
      <c r="Z5688" t="s">
        <v>31006</v>
      </c>
      <c r="AA5688">
        <v>0.60533167752413986</v>
      </c>
      <c r="AB5688" t="str">
        <f>HYPERLINK("Melting_Curves/meltCurve_Q9NRK6_ABCB10.pdf", "Melting_Curves/meltCurve_Q9NRK6_ABCB10.pdf")</f>
        <v>Melting_Curves/meltCurve_Q9NRK6_ABCB10.pdf</v>
      </c>
    </row>
    <row r="5689" spans="1:28" x14ac:dyDescent="0.25">
      <c r="A5689" t="s">
        <v>5693</v>
      </c>
      <c r="B5689">
        <v>0.99542014353169495</v>
      </c>
      <c r="C5689">
        <v>0.88643900737992698</v>
      </c>
      <c r="D5689">
        <v>0.66363818992017498</v>
      </c>
      <c r="E5689">
        <v>0.467749676728557</v>
      </c>
      <c r="F5689">
        <v>0.30722765593697898</v>
      </c>
      <c r="G5689">
        <v>0.25096321875514899</v>
      </c>
      <c r="H5689">
        <v>0.27966518789820999</v>
      </c>
      <c r="I5689">
        <v>0.20340655912312899</v>
      </c>
      <c r="J5689">
        <v>0.3184645651197</v>
      </c>
      <c r="K5689">
        <v>0.40609770712745002</v>
      </c>
      <c r="L5689">
        <v>868.55338533566101</v>
      </c>
      <c r="M5689">
        <v>20.0213691915386</v>
      </c>
      <c r="N5689">
        <v>45.317728643463603</v>
      </c>
      <c r="O5689">
        <v>42.955498266223998</v>
      </c>
      <c r="P5689">
        <v>-8.3029862619803399E-2</v>
      </c>
      <c r="Q5689">
        <v>0.28746666939682203</v>
      </c>
      <c r="R5689">
        <v>0.96042356706597398</v>
      </c>
      <c r="S5689" t="s">
        <v>12091</v>
      </c>
      <c r="T5689" t="s">
        <v>12802</v>
      </c>
      <c r="U5689" t="s">
        <v>12802</v>
      </c>
      <c r="V5689" t="s">
        <v>12802</v>
      </c>
      <c r="W5689" t="s">
        <v>18423</v>
      </c>
      <c r="X5689">
        <v>7</v>
      </c>
      <c r="Y5689" t="s">
        <v>24634</v>
      </c>
      <c r="Z5689" t="s">
        <v>31007</v>
      </c>
      <c r="AA5689">
        <v>0.44875441925351323</v>
      </c>
      <c r="AB5689" t="str">
        <f>HYPERLINK("Melting_Curves/meltCurve_Q9NRL2_2_BAZ1A.pdf", "Melting_Curves/meltCurve_Q9NRL2_2_BAZ1A.pdf")</f>
        <v>Melting_Curves/meltCurve_Q9NRL2_2_BAZ1A.pdf</v>
      </c>
    </row>
    <row r="5690" spans="1:28" x14ac:dyDescent="0.25">
      <c r="A5690" t="s">
        <v>5694</v>
      </c>
      <c r="B5690">
        <v>0.99542014353169495</v>
      </c>
      <c r="C5690">
        <v>0.90091070517057303</v>
      </c>
      <c r="D5690">
        <v>0.91214645791478799</v>
      </c>
      <c r="E5690">
        <v>0.73137381493238296</v>
      </c>
      <c r="F5690">
        <v>0.50068460342407906</v>
      </c>
      <c r="G5690">
        <v>0.163061142444998</v>
      </c>
      <c r="H5690">
        <v>0.10447073976861</v>
      </c>
      <c r="I5690">
        <v>6.1722316287859097E-2</v>
      </c>
      <c r="J5690">
        <v>6.1046457947629598E-2</v>
      </c>
      <c r="K5690">
        <v>8.0929982287175295E-2</v>
      </c>
      <c r="L5690">
        <v>845.35034300728103</v>
      </c>
      <c r="M5690">
        <v>17.151187534090301</v>
      </c>
      <c r="N5690">
        <v>49.510752127635897</v>
      </c>
      <c r="O5690">
        <v>48.632740342418799</v>
      </c>
      <c r="P5690">
        <v>-8.4900361033890703E-2</v>
      </c>
      <c r="Q5690">
        <v>3.7106714330053303E-2</v>
      </c>
      <c r="R5690">
        <v>0.98948062121720703</v>
      </c>
      <c r="S5690" t="s">
        <v>12092</v>
      </c>
      <c r="T5690" t="s">
        <v>12802</v>
      </c>
      <c r="U5690" t="s">
        <v>12802</v>
      </c>
      <c r="V5690" t="s">
        <v>12802</v>
      </c>
      <c r="W5690" t="s">
        <v>18424</v>
      </c>
      <c r="X5690">
        <v>12</v>
      </c>
      <c r="Y5690" t="s">
        <v>24635</v>
      </c>
      <c r="Z5690" t="s">
        <v>31008</v>
      </c>
      <c r="AA5690">
        <v>0.44809229585674998</v>
      </c>
      <c r="AB5690" t="str">
        <f>HYPERLINK("Melting_Curves/meltCurve_Q9NRL3_STRN4.pdf", "Melting_Curves/meltCurve_Q9NRL3_STRN4.pdf")</f>
        <v>Melting_Curves/meltCurve_Q9NRL3_STRN4.pdf</v>
      </c>
    </row>
    <row r="5691" spans="1:28" x14ac:dyDescent="0.25">
      <c r="A5691" t="s">
        <v>5695</v>
      </c>
      <c r="B5691">
        <v>0.99542014353169495</v>
      </c>
      <c r="C5691">
        <v>1.0489458901436799</v>
      </c>
      <c r="D5691">
        <v>0.96410115601197</v>
      </c>
      <c r="E5691">
        <v>0.980453510479257</v>
      </c>
      <c r="F5691">
        <v>0.65425818555737703</v>
      </c>
      <c r="G5691">
        <v>0.35971491899012098</v>
      </c>
      <c r="H5691">
        <v>0.109731943612335</v>
      </c>
      <c r="I5691">
        <v>8.3761916544312101E-2</v>
      </c>
      <c r="J5691">
        <v>8.5559161318330301E-2</v>
      </c>
      <c r="K5691">
        <v>0.106762950803415</v>
      </c>
      <c r="L5691">
        <v>1278.4782834054599</v>
      </c>
      <c r="M5691">
        <v>24.798303419471502</v>
      </c>
      <c r="N5691">
        <v>51.909686015506203</v>
      </c>
      <c r="O5691">
        <v>51.223321898189397</v>
      </c>
      <c r="P5691">
        <v>-0.111601730239833</v>
      </c>
      <c r="Q5691">
        <v>7.7915675450886596E-2</v>
      </c>
      <c r="R5691">
        <v>0.99401178415381197</v>
      </c>
      <c r="S5691" t="s">
        <v>12093</v>
      </c>
      <c r="T5691" t="s">
        <v>12802</v>
      </c>
      <c r="U5691" t="s">
        <v>12802</v>
      </c>
      <c r="V5691" t="s">
        <v>12802</v>
      </c>
      <c r="W5691" t="s">
        <v>18425</v>
      </c>
      <c r="X5691">
        <v>13</v>
      </c>
      <c r="Y5691" t="s">
        <v>24636</v>
      </c>
      <c r="Z5691" t="s">
        <v>31009</v>
      </c>
      <c r="AA5691">
        <v>0.53356333610382956</v>
      </c>
      <c r="AB5691" t="str">
        <f>HYPERLINK("Melting_Curves/meltCurve_Q9NRN7_AASDHPPT.pdf", "Melting_Curves/meltCurve_Q9NRN7_AASDHPPT.pdf")</f>
        <v>Melting_Curves/meltCurve_Q9NRN7_AASDHPPT.pdf</v>
      </c>
    </row>
    <row r="5692" spans="1:28" x14ac:dyDescent="0.25">
      <c r="A5692" t="s">
        <v>5696</v>
      </c>
      <c r="B5692">
        <v>0.99542014353169495</v>
      </c>
      <c r="C5692">
        <v>1.02789171179799</v>
      </c>
      <c r="D5692">
        <v>0.95067392604697198</v>
      </c>
      <c r="E5692">
        <v>0.95920510334196496</v>
      </c>
      <c r="F5692">
        <v>0.77124641833711605</v>
      </c>
      <c r="G5692">
        <v>0.68472398315678296</v>
      </c>
      <c r="H5692">
        <v>0.53656018742665101</v>
      </c>
      <c r="I5692">
        <v>0.53622432199754499</v>
      </c>
      <c r="J5692">
        <v>0.83256133793467302</v>
      </c>
      <c r="K5692">
        <v>0.97283244393952994</v>
      </c>
      <c r="L5692">
        <v>2201.3595242230199</v>
      </c>
      <c r="M5692">
        <v>45.366343206952401</v>
      </c>
      <c r="O5692">
        <v>48.430065713895303</v>
      </c>
      <c r="P5692">
        <v>-6.7224092242149605E-2</v>
      </c>
      <c r="Q5692">
        <v>0.71294463790680696</v>
      </c>
      <c r="R5692">
        <v>0.52869497746831795</v>
      </c>
      <c r="S5692" t="s">
        <v>12094</v>
      </c>
      <c r="T5692" t="s">
        <v>12802</v>
      </c>
      <c r="U5692" t="s">
        <v>12802</v>
      </c>
      <c r="V5692" t="s">
        <v>12802</v>
      </c>
      <c r="W5692" t="s">
        <v>18426</v>
      </c>
      <c r="X5692">
        <v>10</v>
      </c>
      <c r="Y5692" t="s">
        <v>24637</v>
      </c>
      <c r="Z5692" t="s">
        <v>31010</v>
      </c>
      <c r="AA5692">
        <v>0.82395999558224298</v>
      </c>
      <c r="AB5692" t="str">
        <f>HYPERLINK("Melting_Curves/meltCurve_Q9NRN9_METTL5.pdf", "Melting_Curves/meltCurve_Q9NRN9_METTL5.pdf")</f>
        <v>Melting_Curves/meltCurve_Q9NRN9_METTL5.pdf</v>
      </c>
    </row>
    <row r="5693" spans="1:28" x14ac:dyDescent="0.25">
      <c r="A5693" t="s">
        <v>5697</v>
      </c>
      <c r="B5693">
        <v>0.99542014353169495</v>
      </c>
      <c r="C5693">
        <v>0.90472883523417702</v>
      </c>
      <c r="D5693">
        <v>0.89669895524919296</v>
      </c>
      <c r="E5693">
        <v>0.78827882623128498</v>
      </c>
      <c r="F5693">
        <v>0.64709686787408205</v>
      </c>
      <c r="G5693">
        <v>0.40081891949901399</v>
      </c>
      <c r="H5693">
        <v>0.269869684617209</v>
      </c>
      <c r="I5693">
        <v>0.207255178499308</v>
      </c>
      <c r="J5693">
        <v>0.295096023835762</v>
      </c>
      <c r="K5693">
        <v>0.54129377562104197</v>
      </c>
      <c r="L5693">
        <v>886.05103794127899</v>
      </c>
      <c r="M5693">
        <v>18.150233445297001</v>
      </c>
      <c r="N5693">
        <v>51.667532562538597</v>
      </c>
      <c r="O5693">
        <v>48.236582983477199</v>
      </c>
      <c r="P5693">
        <v>-6.4320611181093196E-2</v>
      </c>
      <c r="Q5693">
        <v>0.31627141524932501</v>
      </c>
      <c r="R5693">
        <v>0.88548506911886904</v>
      </c>
      <c r="S5693" t="s">
        <v>12095</v>
      </c>
      <c r="T5693" t="s">
        <v>12802</v>
      </c>
      <c r="U5693" t="s">
        <v>12802</v>
      </c>
      <c r="V5693" t="s">
        <v>12802</v>
      </c>
      <c r="W5693" t="s">
        <v>18427</v>
      </c>
      <c r="X5693">
        <v>6</v>
      </c>
      <c r="Y5693" t="s">
        <v>24638</v>
      </c>
      <c r="Z5693" t="s">
        <v>31011</v>
      </c>
      <c r="AA5693">
        <v>0.59633137526067759</v>
      </c>
      <c r="AB5693" t="str">
        <f>HYPERLINK("Melting_Curves/meltCurve_Q9NRP2_CMC2.pdf", "Melting_Curves/meltCurve_Q9NRP2_CMC2.pdf")</f>
        <v>Melting_Curves/meltCurve_Q9NRP2_CMC2.pdf</v>
      </c>
    </row>
    <row r="5694" spans="1:28" x14ac:dyDescent="0.25">
      <c r="A5694" t="s">
        <v>5698</v>
      </c>
      <c r="B5694">
        <v>0.99542014353169495</v>
      </c>
      <c r="C5694">
        <v>1.0950449505208599</v>
      </c>
      <c r="D5694">
        <v>1.01277691785742</v>
      </c>
      <c r="E5694">
        <v>0.91976103523633501</v>
      </c>
      <c r="F5694">
        <v>0.69713266278828101</v>
      </c>
      <c r="G5694">
        <v>0.37466541382496499</v>
      </c>
      <c r="H5694">
        <v>0.12800199605203399</v>
      </c>
      <c r="I5694">
        <v>7.0933027719285502E-2</v>
      </c>
      <c r="J5694">
        <v>6.3142995165141894E-2</v>
      </c>
      <c r="K5694">
        <v>6.82698137468912E-2</v>
      </c>
      <c r="L5694">
        <v>1156.5801411286</v>
      </c>
      <c r="M5694">
        <v>22.238742342993699</v>
      </c>
      <c r="N5694">
        <v>52.233945017464102</v>
      </c>
      <c r="O5694">
        <v>51.592390750101103</v>
      </c>
      <c r="P5694">
        <v>-0.102810678289129</v>
      </c>
      <c r="Q5694">
        <v>4.5964858401809597E-2</v>
      </c>
      <c r="R5694">
        <v>0.99364688824180203</v>
      </c>
      <c r="S5694" t="s">
        <v>12096</v>
      </c>
      <c r="T5694" t="s">
        <v>12802</v>
      </c>
      <c r="U5694" t="s">
        <v>12802</v>
      </c>
      <c r="V5694" t="s">
        <v>12802</v>
      </c>
      <c r="W5694" t="s">
        <v>18428</v>
      </c>
      <c r="X5694">
        <v>4</v>
      </c>
      <c r="Y5694" t="s">
        <v>24639</v>
      </c>
      <c r="Z5694" t="s">
        <v>31012</v>
      </c>
      <c r="AA5694">
        <v>0.53358478166412548</v>
      </c>
      <c r="AB5694" t="str">
        <f>HYPERLINK("Melting_Curves/meltCurve_Q9NRP4_ACN9.pdf", "Melting_Curves/meltCurve_Q9NRP4_ACN9.pdf")</f>
        <v>Melting_Curves/meltCurve_Q9NRP4_ACN9.pdf</v>
      </c>
    </row>
    <row r="5695" spans="1:28" x14ac:dyDescent="0.25">
      <c r="A5695" t="s">
        <v>5699</v>
      </c>
      <c r="B5695">
        <v>0.99542014353169495</v>
      </c>
      <c r="C5695">
        <v>0.99083381898481904</v>
      </c>
      <c r="D5695">
        <v>0.90183294655518498</v>
      </c>
      <c r="E5695">
        <v>0.82431158958279305</v>
      </c>
      <c r="F5695">
        <v>0.69145802374110299</v>
      </c>
      <c r="G5695">
        <v>0.57226372816999005</v>
      </c>
      <c r="H5695">
        <v>0.41107091294900699</v>
      </c>
      <c r="I5695">
        <v>0.36498792734903901</v>
      </c>
      <c r="J5695">
        <v>0.51749162376680402</v>
      </c>
      <c r="K5695">
        <v>0.553733600936129</v>
      </c>
      <c r="L5695">
        <v>814.62081948539503</v>
      </c>
      <c r="M5695">
        <v>16.7365787926827</v>
      </c>
      <c r="N5695">
        <v>56.834686157128601</v>
      </c>
      <c r="O5695">
        <v>47.9941312475136</v>
      </c>
      <c r="P5695">
        <v>-4.7534220422326398E-2</v>
      </c>
      <c r="Q5695">
        <v>0.45479569433947697</v>
      </c>
      <c r="R5695">
        <v>0.93135419714120304</v>
      </c>
      <c r="S5695" t="s">
        <v>12097</v>
      </c>
      <c r="T5695" t="s">
        <v>12802</v>
      </c>
      <c r="U5695" t="s">
        <v>12802</v>
      </c>
      <c r="V5695" t="s">
        <v>12802</v>
      </c>
      <c r="W5695" t="s">
        <v>18429</v>
      </c>
      <c r="X5695">
        <v>15</v>
      </c>
      <c r="Y5695" t="s">
        <v>24640</v>
      </c>
      <c r="Z5695" t="s">
        <v>31013</v>
      </c>
      <c r="AA5695">
        <v>0.67679489582675023</v>
      </c>
      <c r="AB5695" t="str">
        <f>HYPERLINK("Melting_Curves/meltCurve_Q9NRR5_UBQLN4.pdf", "Melting_Curves/meltCurve_Q9NRR5_UBQLN4.pdf")</f>
        <v>Melting_Curves/meltCurve_Q9NRR5_UBQLN4.pdf</v>
      </c>
    </row>
    <row r="5696" spans="1:28" x14ac:dyDescent="0.25">
      <c r="A5696" t="s">
        <v>5700</v>
      </c>
      <c r="B5696">
        <v>0.99542014353169495</v>
      </c>
      <c r="C5696">
        <v>0.98270580332593904</v>
      </c>
      <c r="D5696">
        <v>1.1351377532459801</v>
      </c>
      <c r="E5696">
        <v>1.0248475976006901</v>
      </c>
      <c r="F5696">
        <v>0.76857812920870305</v>
      </c>
      <c r="G5696">
        <v>0.54192091214285598</v>
      </c>
      <c r="H5696">
        <v>0.35040756570224002</v>
      </c>
      <c r="I5696">
        <v>0.282725877735924</v>
      </c>
      <c r="J5696">
        <v>0.34611151756432101</v>
      </c>
      <c r="K5696">
        <v>0.31756386176060297</v>
      </c>
      <c r="L5696">
        <v>1393.5279661637601</v>
      </c>
      <c r="M5696">
        <v>26.803386807984399</v>
      </c>
      <c r="N5696">
        <v>53.945631789018798</v>
      </c>
      <c r="O5696">
        <v>51.7039276334513</v>
      </c>
      <c r="P5696">
        <v>-8.9333463197037902E-2</v>
      </c>
      <c r="Q5696">
        <v>0.31070743366283299</v>
      </c>
      <c r="R5696">
        <v>0.97372441454344105</v>
      </c>
      <c r="S5696" t="s">
        <v>12098</v>
      </c>
      <c r="T5696" t="s">
        <v>12802</v>
      </c>
      <c r="U5696" t="s">
        <v>12802</v>
      </c>
      <c r="V5696" t="s">
        <v>12802</v>
      </c>
      <c r="W5696" t="s">
        <v>18430</v>
      </c>
      <c r="X5696">
        <v>1</v>
      </c>
      <c r="Y5696" t="s">
        <v>24641</v>
      </c>
      <c r="Z5696" t="s">
        <v>31014</v>
      </c>
      <c r="AA5696">
        <v>0.6605187007364195</v>
      </c>
      <c r="AB5696" t="str">
        <f>HYPERLINK("Melting_Curves/meltCurve_Q9NRR8_CDC42SE1.pdf", "Melting_Curves/meltCurve_Q9NRR8_CDC42SE1.pdf")</f>
        <v>Melting_Curves/meltCurve_Q9NRR8_CDC42SE1.pdf</v>
      </c>
    </row>
    <row r="5697" spans="1:28" x14ac:dyDescent="0.25">
      <c r="A5697" t="s">
        <v>5701</v>
      </c>
      <c r="B5697">
        <v>0.99542014353169495</v>
      </c>
      <c r="C5697">
        <v>1.0478639336390101</v>
      </c>
      <c r="D5697">
        <v>0.80862361402712002</v>
      </c>
      <c r="E5697">
        <v>0.354739963449476</v>
      </c>
      <c r="F5697">
        <v>0.162855928271846</v>
      </c>
      <c r="G5697">
        <v>0.101607785324742</v>
      </c>
      <c r="H5697">
        <v>5.5183346516923699E-2</v>
      </c>
      <c r="I5697">
        <v>4.70855745507738E-2</v>
      </c>
      <c r="J5697">
        <v>5.1546544547449703E-2</v>
      </c>
      <c r="K5697">
        <v>4.9727554280613102E-2</v>
      </c>
      <c r="L5697">
        <v>1193.6454574402701</v>
      </c>
      <c r="M5697">
        <v>26.334956559453499</v>
      </c>
      <c r="N5697">
        <v>45.552255947780601</v>
      </c>
      <c r="O5697">
        <v>45.066583518345404</v>
      </c>
      <c r="P5697">
        <v>-0.13711662967554</v>
      </c>
      <c r="Q5697">
        <v>6.1428474821009098E-2</v>
      </c>
      <c r="R5697">
        <v>0.99486176746183597</v>
      </c>
      <c r="S5697" t="s">
        <v>12099</v>
      </c>
      <c r="T5697" t="s">
        <v>12802</v>
      </c>
      <c r="U5697" t="s">
        <v>12802</v>
      </c>
      <c r="V5697" t="s">
        <v>12802</v>
      </c>
      <c r="W5697" t="s">
        <v>18431</v>
      </c>
      <c r="X5697">
        <v>8</v>
      </c>
      <c r="Y5697" t="s">
        <v>24642</v>
      </c>
      <c r="Z5697" t="s">
        <v>31015</v>
      </c>
      <c r="AA5697">
        <v>0.32882902509138001</v>
      </c>
      <c r="AB5697" t="str">
        <f>HYPERLINK("Melting_Curves/meltCurve_Q9NRS6_2_SNX15.pdf", "Melting_Curves/meltCurve_Q9NRS6_2_SNX15.pdf")</f>
        <v>Melting_Curves/meltCurve_Q9NRS6_2_SNX15.pdf</v>
      </c>
    </row>
    <row r="5698" spans="1:28" x14ac:dyDescent="0.25">
      <c r="A5698" t="s">
        <v>5702</v>
      </c>
      <c r="B5698">
        <v>0.99542014353169495</v>
      </c>
      <c r="C5698">
        <v>1.0935518177028301</v>
      </c>
      <c r="D5698">
        <v>1.066690560174</v>
      </c>
      <c r="E5698">
        <v>1.01872458020785</v>
      </c>
      <c r="F5698">
        <v>0.79216528240526995</v>
      </c>
      <c r="G5698">
        <v>0.41565121265412402</v>
      </c>
      <c r="H5698">
        <v>0.11501846269018499</v>
      </c>
      <c r="I5698">
        <v>4.6406157648448597E-2</v>
      </c>
      <c r="J5698">
        <v>2.7000907708351601E-2</v>
      </c>
      <c r="K5698">
        <v>5.6923255024394298E-2</v>
      </c>
      <c r="L5698">
        <v>1465.51618886804</v>
      </c>
      <c r="M5698">
        <v>27.733653323205999</v>
      </c>
      <c r="N5698">
        <v>52.9649086759295</v>
      </c>
      <c r="O5698">
        <v>52.5700705535954</v>
      </c>
      <c r="P5698">
        <v>-0.12779666674565299</v>
      </c>
      <c r="Q5698">
        <v>3.1037110427904802E-2</v>
      </c>
      <c r="R5698">
        <v>0.99154702739835998</v>
      </c>
      <c r="S5698" t="s">
        <v>12100</v>
      </c>
      <c r="T5698" t="s">
        <v>12802</v>
      </c>
      <c r="U5698" t="s">
        <v>12802</v>
      </c>
      <c r="V5698" t="s">
        <v>12802</v>
      </c>
      <c r="W5698" t="s">
        <v>18432</v>
      </c>
      <c r="X5698">
        <v>4</v>
      </c>
      <c r="Y5698" t="s">
        <v>24643</v>
      </c>
      <c r="Z5698" t="s">
        <v>31016</v>
      </c>
      <c r="AA5698">
        <v>0.54985651171146399</v>
      </c>
      <c r="AB5698" t="str">
        <f>HYPERLINK("Melting_Curves/meltCurve_Q9NRV9_HEBP1.pdf", "Melting_Curves/meltCurve_Q9NRV9_HEBP1.pdf")</f>
        <v>Melting_Curves/meltCurve_Q9NRV9_HEBP1.pdf</v>
      </c>
    </row>
    <row r="5699" spans="1:28" x14ac:dyDescent="0.25">
      <c r="A5699" t="s">
        <v>5703</v>
      </c>
      <c r="B5699">
        <v>0.99542014353169495</v>
      </c>
      <c r="C5699">
        <v>1.09538474404466</v>
      </c>
      <c r="D5699">
        <v>1.0014572542519899</v>
      </c>
      <c r="E5699">
        <v>0.892469122444429</v>
      </c>
      <c r="F5699">
        <v>0.79743602448504702</v>
      </c>
      <c r="G5699">
        <v>0.57522169990181804</v>
      </c>
      <c r="H5699">
        <v>0.487733035142215</v>
      </c>
      <c r="I5699">
        <v>0.46033251924248197</v>
      </c>
      <c r="J5699">
        <v>0.55513889279432005</v>
      </c>
      <c r="K5699">
        <v>0.62801825024401203</v>
      </c>
      <c r="L5699">
        <v>1372.1004978844301</v>
      </c>
      <c r="M5699">
        <v>27.3614571339203</v>
      </c>
      <c r="O5699">
        <v>49.881629615597298</v>
      </c>
      <c r="P5699">
        <v>-6.4726962381449496E-2</v>
      </c>
      <c r="Q5699">
        <v>0.52799941070294298</v>
      </c>
      <c r="R5699">
        <v>0.93504124537550304</v>
      </c>
      <c r="S5699" t="s">
        <v>12101</v>
      </c>
      <c r="T5699" t="s">
        <v>12802</v>
      </c>
      <c r="U5699" t="s">
        <v>12802</v>
      </c>
      <c r="V5699" t="s">
        <v>12802</v>
      </c>
      <c r="W5699" t="s">
        <v>18433</v>
      </c>
      <c r="X5699">
        <v>13</v>
      </c>
      <c r="Y5699" t="s">
        <v>24644</v>
      </c>
      <c r="Z5699" t="s">
        <v>31017</v>
      </c>
      <c r="AA5699">
        <v>0.73832498524834012</v>
      </c>
      <c r="AB5699" t="str">
        <f>HYPERLINK("Melting_Curves/meltCurve_Q9NRW1_RAB6B.pdf", "Melting_Curves/meltCurve_Q9NRW1_RAB6B.pdf")</f>
        <v>Melting_Curves/meltCurve_Q9NRW1_RAB6B.pdf</v>
      </c>
    </row>
    <row r="5700" spans="1:28" x14ac:dyDescent="0.25">
      <c r="A5700" t="s">
        <v>5704</v>
      </c>
      <c r="B5700">
        <v>0.99542014353169495</v>
      </c>
      <c r="C5700">
        <v>0.89221011220574498</v>
      </c>
      <c r="D5700">
        <v>0.77109047082705595</v>
      </c>
      <c r="E5700">
        <v>0.738142622601621</v>
      </c>
      <c r="F5700">
        <v>0.58058541624304605</v>
      </c>
      <c r="G5700">
        <v>0.30945432610057899</v>
      </c>
      <c r="H5700">
        <v>9.3869263988781398E-2</v>
      </c>
      <c r="I5700">
        <v>6.5874671788947806E-2</v>
      </c>
      <c r="J5700">
        <v>6.5816261684763497E-2</v>
      </c>
      <c r="K5700">
        <v>8.10293781604213E-2</v>
      </c>
      <c r="L5700">
        <v>588.54925908991504</v>
      </c>
      <c r="M5700">
        <v>11.7579933962911</v>
      </c>
      <c r="N5700">
        <v>50.055254273567897</v>
      </c>
      <c r="O5700">
        <v>48.6731723420774</v>
      </c>
      <c r="P5700">
        <v>-6.0408331522236597E-2</v>
      </c>
      <c r="Q5700">
        <v>0</v>
      </c>
      <c r="R5700">
        <v>0.97348401207083102</v>
      </c>
      <c r="S5700" t="s">
        <v>12102</v>
      </c>
      <c r="T5700" t="s">
        <v>12802</v>
      </c>
      <c r="U5700" t="s">
        <v>12802</v>
      </c>
      <c r="V5700" t="s">
        <v>12802</v>
      </c>
      <c r="W5700" t="s">
        <v>18434</v>
      </c>
      <c r="X5700">
        <v>3</v>
      </c>
      <c r="Y5700" t="s">
        <v>24645</v>
      </c>
      <c r="Z5700" t="s">
        <v>31018</v>
      </c>
      <c r="AA5700">
        <v>0.46372527507905109</v>
      </c>
      <c r="AB5700" t="str">
        <f>HYPERLINK("Melting_Curves/meltCurve_Q9NRW3_APOBEC3C.pdf", "Melting_Curves/meltCurve_Q9NRW3_APOBEC3C.pdf")</f>
        <v>Melting_Curves/meltCurve_Q9NRW3_APOBEC3C.pdf</v>
      </c>
    </row>
    <row r="5701" spans="1:28" x14ac:dyDescent="0.25">
      <c r="A5701" t="s">
        <v>5705</v>
      </c>
      <c r="B5701">
        <v>0.99542014353169495</v>
      </c>
      <c r="C5701">
        <v>1.09097590378892</v>
      </c>
      <c r="D5701">
        <v>1.05935962248664</v>
      </c>
      <c r="E5701">
        <v>0.79108096648812198</v>
      </c>
      <c r="F5701">
        <v>0.50457350831549697</v>
      </c>
      <c r="G5701">
        <v>0.24405509457056901</v>
      </c>
      <c r="H5701">
        <v>0.20163817730592901</v>
      </c>
      <c r="I5701">
        <v>0.236899733826404</v>
      </c>
      <c r="J5701">
        <v>0.170140929271964</v>
      </c>
      <c r="K5701">
        <v>0.141107990005539</v>
      </c>
      <c r="L5701">
        <v>1223.2752006314099</v>
      </c>
      <c r="M5701">
        <v>24.899115375111698</v>
      </c>
      <c r="N5701">
        <v>50.009331442099203</v>
      </c>
      <c r="O5701">
        <v>48.815650922842501</v>
      </c>
      <c r="P5701">
        <v>-0.104896820991551</v>
      </c>
      <c r="Q5701">
        <v>0.17739462515934001</v>
      </c>
      <c r="R5701">
        <v>0.98446302622137805</v>
      </c>
      <c r="S5701" t="s">
        <v>12103</v>
      </c>
      <c r="T5701" t="s">
        <v>12802</v>
      </c>
      <c r="U5701" t="s">
        <v>12802</v>
      </c>
      <c r="V5701" t="s">
        <v>12802</v>
      </c>
      <c r="W5701" t="s">
        <v>18435</v>
      </c>
      <c r="X5701">
        <v>2</v>
      </c>
      <c r="Y5701" t="s">
        <v>24646</v>
      </c>
      <c r="Z5701" t="s">
        <v>31019</v>
      </c>
      <c r="AA5701">
        <v>0.51715753965304112</v>
      </c>
      <c r="AB5701" t="str">
        <f>HYPERLINK("Melting_Curves/meltCurve_Q9NRW4_DUSP22.pdf", "Melting_Curves/meltCurve_Q9NRW4_DUSP22.pdf")</f>
        <v>Melting_Curves/meltCurve_Q9NRW4_DUSP22.pdf</v>
      </c>
    </row>
    <row r="5702" spans="1:28" x14ac:dyDescent="0.25">
      <c r="A5702" t="s">
        <v>5706</v>
      </c>
      <c r="B5702">
        <v>0.99542014353169495</v>
      </c>
      <c r="C5702">
        <v>0.943598357984751</v>
      </c>
      <c r="D5702">
        <v>1.0078063720812001</v>
      </c>
      <c r="E5702">
        <v>0.69201231517853801</v>
      </c>
      <c r="F5702">
        <v>0.22130840792536999</v>
      </c>
      <c r="G5702">
        <v>0.12383825526273801</v>
      </c>
      <c r="H5702">
        <v>8.1464787246384507E-2</v>
      </c>
      <c r="I5702">
        <v>5.6975010461409903E-2</v>
      </c>
      <c r="J5702">
        <v>5.7936215017165602E-2</v>
      </c>
      <c r="K5702">
        <v>6.0611632190764798E-2</v>
      </c>
      <c r="L5702">
        <v>1520.1090446615101</v>
      </c>
      <c r="M5702">
        <v>31.888495547776301</v>
      </c>
      <c r="N5702">
        <v>47.8939075191239</v>
      </c>
      <c r="O5702">
        <v>47.483218330309001</v>
      </c>
      <c r="P5702">
        <v>-0.156244657974387</v>
      </c>
      <c r="Q5702">
        <v>6.9387084178951702E-2</v>
      </c>
      <c r="R5702">
        <v>0.99654718437763001</v>
      </c>
      <c r="S5702" t="s">
        <v>12104</v>
      </c>
      <c r="T5702" t="s">
        <v>12802</v>
      </c>
      <c r="U5702" t="s">
        <v>12802</v>
      </c>
      <c r="V5702" t="s">
        <v>12802</v>
      </c>
      <c r="W5702" t="s">
        <v>18436</v>
      </c>
      <c r="X5702">
        <v>14</v>
      </c>
      <c r="Y5702" t="s">
        <v>24647</v>
      </c>
      <c r="Z5702" t="s">
        <v>31020</v>
      </c>
      <c r="AA5702">
        <v>0.40520367929017481</v>
      </c>
      <c r="AB5702" t="str">
        <f>HYPERLINK("Melting_Curves/meltCurve_Q9NRW7_VPS45.pdf", "Melting_Curves/meltCurve_Q9NRW7_VPS45.pdf")</f>
        <v>Melting_Curves/meltCurve_Q9NRW7_VPS45.pdf</v>
      </c>
    </row>
    <row r="5703" spans="1:28" x14ac:dyDescent="0.25">
      <c r="A5703" t="s">
        <v>5707</v>
      </c>
      <c r="B5703">
        <v>0.99542014353169495</v>
      </c>
      <c r="C5703">
        <v>1.1088171030731</v>
      </c>
      <c r="D5703">
        <v>1.15628742733626</v>
      </c>
      <c r="E5703">
        <v>0.75349670416521697</v>
      </c>
      <c r="F5703">
        <v>0.23527590801440701</v>
      </c>
      <c r="G5703">
        <v>0.14082542419974201</v>
      </c>
      <c r="H5703">
        <v>7.74797644881772E-2</v>
      </c>
      <c r="I5703">
        <v>6.01332190492819E-2</v>
      </c>
      <c r="J5703">
        <v>7.6590720553896194E-2</v>
      </c>
      <c r="K5703">
        <v>6.1898702305303303E-2</v>
      </c>
      <c r="L5703">
        <v>1816.1813295408399</v>
      </c>
      <c r="M5703">
        <v>37.847207847941597</v>
      </c>
      <c r="N5703">
        <v>48.211162635815597</v>
      </c>
      <c r="O5703">
        <v>47.853811070560901</v>
      </c>
      <c r="P5703">
        <v>-0.18178373248848201</v>
      </c>
      <c r="Q5703">
        <v>8.06167836833179E-2</v>
      </c>
      <c r="R5703">
        <v>0.97873800840715797</v>
      </c>
      <c r="S5703" t="s">
        <v>12105</v>
      </c>
      <c r="T5703" t="s">
        <v>12802</v>
      </c>
      <c r="U5703" t="s">
        <v>12802</v>
      </c>
      <c r="V5703" t="s">
        <v>12802</v>
      </c>
      <c r="W5703" t="s">
        <v>18437</v>
      </c>
      <c r="X5703">
        <v>9</v>
      </c>
      <c r="Y5703" t="s">
        <v>24648</v>
      </c>
      <c r="Z5703" t="s">
        <v>31021</v>
      </c>
      <c r="AA5703">
        <v>0.42074099017929217</v>
      </c>
      <c r="AB5703" t="str">
        <f>HYPERLINK("Melting_Curves/meltCurve_Q9NRX1_PNO1.pdf", "Melting_Curves/meltCurve_Q9NRX1_PNO1.pdf")</f>
        <v>Melting_Curves/meltCurve_Q9NRX1_PNO1.pdf</v>
      </c>
    </row>
    <row r="5704" spans="1:28" x14ac:dyDescent="0.25">
      <c r="A5704" t="s">
        <v>5708</v>
      </c>
      <c r="B5704">
        <v>0.99542014353169495</v>
      </c>
      <c r="C5704">
        <v>0.92277903499267</v>
      </c>
      <c r="D5704">
        <v>0.91299651035187401</v>
      </c>
      <c r="E5704">
        <v>0.88427668024233297</v>
      </c>
      <c r="F5704">
        <v>0.74352108553015595</v>
      </c>
      <c r="G5704">
        <v>0.58772769711763795</v>
      </c>
      <c r="H5704">
        <v>0.28453175191546598</v>
      </c>
      <c r="I5704">
        <v>0.123271519372954</v>
      </c>
      <c r="J5704">
        <v>0.15558232414162099</v>
      </c>
      <c r="K5704">
        <v>0.17085808000029101</v>
      </c>
      <c r="L5704">
        <v>796.26841818668504</v>
      </c>
      <c r="M5704">
        <v>14.884164554567301</v>
      </c>
      <c r="N5704">
        <v>54.067571924329798</v>
      </c>
      <c r="O5704">
        <v>52.559839033943199</v>
      </c>
      <c r="P5704">
        <v>-6.5663477873929996E-2</v>
      </c>
      <c r="Q5704">
        <v>7.2597339255846605E-2</v>
      </c>
      <c r="R5704">
        <v>0.97854315331522002</v>
      </c>
      <c r="S5704" t="s">
        <v>12106</v>
      </c>
      <c r="T5704" t="s">
        <v>12802</v>
      </c>
      <c r="U5704" t="s">
        <v>12802</v>
      </c>
      <c r="V5704" t="s">
        <v>12802</v>
      </c>
      <c r="W5704" t="s">
        <v>18438</v>
      </c>
      <c r="X5704">
        <v>9</v>
      </c>
      <c r="Y5704" t="s">
        <v>24649</v>
      </c>
      <c r="Z5704" t="s">
        <v>31022</v>
      </c>
      <c r="AA5704">
        <v>0.59853800392789558</v>
      </c>
      <c r="AB5704" t="str">
        <f>HYPERLINK("Melting_Curves/meltCurve_Q9NRX4_PHPT1.pdf", "Melting_Curves/meltCurve_Q9NRX4_PHPT1.pdf")</f>
        <v>Melting_Curves/meltCurve_Q9NRX4_PHPT1.pdf</v>
      </c>
    </row>
    <row r="5705" spans="1:28" x14ac:dyDescent="0.25">
      <c r="A5705" t="s">
        <v>5709</v>
      </c>
      <c r="B5705">
        <v>0.99542014353169495</v>
      </c>
      <c r="C5705">
        <v>0.90840228018690194</v>
      </c>
      <c r="D5705">
        <v>0.77697728321804904</v>
      </c>
      <c r="E5705">
        <v>0.606377921592825</v>
      </c>
      <c r="F5705">
        <v>0.55833883308557197</v>
      </c>
      <c r="G5705">
        <v>0.39040371622207498</v>
      </c>
      <c r="H5705">
        <v>0.33580199674535799</v>
      </c>
      <c r="I5705">
        <v>0.225985625058721</v>
      </c>
      <c r="J5705">
        <v>0.34712710994875801</v>
      </c>
      <c r="K5705">
        <v>0.32448484088507101</v>
      </c>
      <c r="L5705">
        <v>530.74154704864304</v>
      </c>
      <c r="M5705">
        <v>11.397994954866601</v>
      </c>
      <c r="N5705">
        <v>49.983955144634898</v>
      </c>
      <c r="O5705">
        <v>45.200252379653001</v>
      </c>
      <c r="P5705">
        <v>-4.5987209826238599E-2</v>
      </c>
      <c r="Q5705">
        <v>0.270741210527706</v>
      </c>
      <c r="R5705">
        <v>0.97236591467908995</v>
      </c>
      <c r="S5705" t="s">
        <v>12107</v>
      </c>
      <c r="T5705" t="s">
        <v>12802</v>
      </c>
      <c r="U5705" t="s">
        <v>12802</v>
      </c>
      <c r="V5705" t="s">
        <v>12802</v>
      </c>
      <c r="W5705" t="s">
        <v>18439</v>
      </c>
      <c r="X5705">
        <v>3</v>
      </c>
      <c r="Y5705" t="s">
        <v>24650</v>
      </c>
      <c r="Z5705" t="s">
        <v>31023</v>
      </c>
      <c r="AA5705">
        <v>0.52983073052860397</v>
      </c>
      <c r="AB5705" t="str">
        <f>HYPERLINK("Melting_Curves/meltCurve_Q9NRX5_SERINC1.pdf", "Melting_Curves/meltCurve_Q9NRX5_SERINC1.pdf")</f>
        <v>Melting_Curves/meltCurve_Q9NRX5_SERINC1.pdf</v>
      </c>
    </row>
    <row r="5706" spans="1:28" x14ac:dyDescent="0.25">
      <c r="A5706" t="s">
        <v>5710</v>
      </c>
      <c r="B5706">
        <v>0.99542014353169495</v>
      </c>
      <c r="C5706">
        <v>0.92461006450734995</v>
      </c>
      <c r="D5706">
        <v>0.82870931662740999</v>
      </c>
      <c r="E5706">
        <v>0.34472968502198398</v>
      </c>
      <c r="F5706">
        <v>0.22899959235659001</v>
      </c>
      <c r="G5706">
        <v>0.13676519542756399</v>
      </c>
      <c r="H5706">
        <v>0.11281851381423499</v>
      </c>
      <c r="I5706">
        <v>9.3210601303450602E-2</v>
      </c>
      <c r="J5706">
        <v>0.104275328824286</v>
      </c>
      <c r="K5706">
        <v>0.12676693852808801</v>
      </c>
      <c r="L5706">
        <v>1140.63966888707</v>
      </c>
      <c r="M5706">
        <v>25.325522031606202</v>
      </c>
      <c r="N5706">
        <v>45.515952129466498</v>
      </c>
      <c r="O5706">
        <v>44.761144844558302</v>
      </c>
      <c r="P5706">
        <v>-0.124969131051194</v>
      </c>
      <c r="Q5706">
        <v>0.11651358939583099</v>
      </c>
      <c r="R5706">
        <v>0.993704666159963</v>
      </c>
      <c r="S5706" t="s">
        <v>12108</v>
      </c>
      <c r="T5706" t="s">
        <v>12802</v>
      </c>
      <c r="U5706" t="s">
        <v>12802</v>
      </c>
      <c r="V5706" t="s">
        <v>12802</v>
      </c>
      <c r="W5706" t="s">
        <v>18440</v>
      </c>
      <c r="X5706">
        <v>12</v>
      </c>
      <c r="Y5706" t="s">
        <v>24651</v>
      </c>
      <c r="Z5706" t="s">
        <v>31024</v>
      </c>
      <c r="AA5706">
        <v>0.36032276485348091</v>
      </c>
      <c r="AB5706" t="str">
        <f>HYPERLINK("Melting_Curves/meltCurve_Q9NRY4_ARHGAP35.pdf", "Melting_Curves/meltCurve_Q9NRY4_ARHGAP35.pdf")</f>
        <v>Melting_Curves/meltCurve_Q9NRY4_ARHGAP35.pdf</v>
      </c>
    </row>
    <row r="5707" spans="1:28" x14ac:dyDescent="0.25">
      <c r="A5707" t="s">
        <v>5711</v>
      </c>
      <c r="B5707">
        <v>0.99542014353169495</v>
      </c>
      <c r="C5707">
        <v>1.06131142370904</v>
      </c>
      <c r="D5707">
        <v>0.94075584504764498</v>
      </c>
      <c r="E5707">
        <v>0.84485800469241601</v>
      </c>
      <c r="F5707">
        <v>0.37825905722170899</v>
      </c>
      <c r="G5707">
        <v>0.12777724081573399</v>
      </c>
      <c r="H5707">
        <v>8.8982056447745594E-2</v>
      </c>
      <c r="I5707">
        <v>6.7425297549745397E-2</v>
      </c>
      <c r="J5707">
        <v>7.3796599901365501E-2</v>
      </c>
      <c r="K5707">
        <v>9.0251015325779699E-2</v>
      </c>
      <c r="L5707">
        <v>1477.71802308427</v>
      </c>
      <c r="M5707">
        <v>30.156512633517998</v>
      </c>
      <c r="N5707">
        <v>49.267856283986397</v>
      </c>
      <c r="O5707">
        <v>48.787646183278497</v>
      </c>
      <c r="P5707">
        <v>-0.14291251305331201</v>
      </c>
      <c r="Q5707">
        <v>7.5181877692463497E-2</v>
      </c>
      <c r="R5707">
        <v>0.99628393565547402</v>
      </c>
      <c r="S5707" t="s">
        <v>12109</v>
      </c>
      <c r="T5707" t="s">
        <v>12802</v>
      </c>
      <c r="U5707" t="s">
        <v>12802</v>
      </c>
      <c r="V5707" t="s">
        <v>12802</v>
      </c>
      <c r="W5707" t="s">
        <v>18441</v>
      </c>
      <c r="X5707">
        <v>16</v>
      </c>
      <c r="Y5707" t="s">
        <v>24652</v>
      </c>
      <c r="Z5707" t="s">
        <v>31025</v>
      </c>
      <c r="AA5707">
        <v>0.45067997478449678</v>
      </c>
      <c r="AB5707" t="str">
        <f>HYPERLINK("Melting_Curves/meltCurve_Q9NRY5_FAM114A2.pdf", "Melting_Curves/meltCurve_Q9NRY5_FAM114A2.pdf")</f>
        <v>Melting_Curves/meltCurve_Q9NRY5_FAM114A2.pdf</v>
      </c>
    </row>
    <row r="5708" spans="1:28" x14ac:dyDescent="0.25">
      <c r="A5708" t="s">
        <v>5712</v>
      </c>
      <c r="B5708">
        <v>0.99542014353169495</v>
      </c>
      <c r="C5708">
        <v>0.83954381372049103</v>
      </c>
      <c r="D5708">
        <v>1.121021609122</v>
      </c>
      <c r="E5708">
        <v>0.70323159972424099</v>
      </c>
      <c r="F5708">
        <v>0.50062216335843601</v>
      </c>
      <c r="G5708">
        <v>0.15779216459298501</v>
      </c>
      <c r="H5708">
        <v>4.1921609727768198E-2</v>
      </c>
      <c r="I5708">
        <v>4.1950844274603501E-2</v>
      </c>
      <c r="J5708">
        <v>4.8413999313124199E-2</v>
      </c>
      <c r="K5708">
        <v>1.6825514242790902E-2</v>
      </c>
      <c r="L5708">
        <v>1017.5439929535401</v>
      </c>
      <c r="M5708">
        <v>20.5220327310793</v>
      </c>
      <c r="N5708">
        <v>49.655616040745102</v>
      </c>
      <c r="O5708">
        <v>49.119397806481302</v>
      </c>
      <c r="P5708">
        <v>-0.102908756747491</v>
      </c>
      <c r="Q5708">
        <v>1.4782278258345201E-2</v>
      </c>
      <c r="R5708">
        <v>0.96389684558151401</v>
      </c>
      <c r="S5708" t="s">
        <v>12110</v>
      </c>
      <c r="T5708" t="s">
        <v>12802</v>
      </c>
      <c r="U5708" t="s">
        <v>12802</v>
      </c>
      <c r="V5708" t="s">
        <v>12802</v>
      </c>
      <c r="W5708" t="s">
        <v>18442</v>
      </c>
      <c r="X5708">
        <v>6</v>
      </c>
      <c r="Y5708" t="s">
        <v>24653</v>
      </c>
      <c r="Z5708" t="s">
        <v>31026</v>
      </c>
      <c r="AA5708">
        <v>0.44041310917730342</v>
      </c>
      <c r="AB5708" t="str">
        <f>HYPERLINK("Melting_Curves/meltCurve_Q9NRZ7_2_AGPAT3.pdf", "Melting_Curves/meltCurve_Q9NRZ7_2_AGPAT3.pdf")</f>
        <v>Melting_Curves/meltCurve_Q9NRZ7_2_AGPAT3.pdf</v>
      </c>
    </row>
    <row r="5709" spans="1:28" x14ac:dyDescent="0.25">
      <c r="A5709" t="s">
        <v>5713</v>
      </c>
      <c r="B5709">
        <v>0.99542014353169495</v>
      </c>
      <c r="C5709">
        <v>0.94545442315509798</v>
      </c>
      <c r="D5709">
        <v>0.86278085247929703</v>
      </c>
      <c r="E5709">
        <v>0.42019882863131502</v>
      </c>
      <c r="F5709">
        <v>0.23764810832793901</v>
      </c>
      <c r="G5709">
        <v>0.141667671162852</v>
      </c>
      <c r="H5709">
        <v>8.8525434676209699E-2</v>
      </c>
      <c r="I5709">
        <v>6.6198295295166701E-2</v>
      </c>
      <c r="J5709">
        <v>5.8150393776861702E-2</v>
      </c>
      <c r="K5709">
        <v>6.8664675789109106E-2</v>
      </c>
      <c r="L5709">
        <v>975.67995915478002</v>
      </c>
      <c r="M5709">
        <v>21.2552771150241</v>
      </c>
      <c r="N5709">
        <v>46.254331499453798</v>
      </c>
      <c r="O5709">
        <v>45.502450615034803</v>
      </c>
      <c r="P5709">
        <v>-0.108077295339449</v>
      </c>
      <c r="Q5709">
        <v>7.45536950670459E-2</v>
      </c>
      <c r="R5709">
        <v>0.99537078513639199</v>
      </c>
      <c r="S5709" t="s">
        <v>12111</v>
      </c>
      <c r="T5709" t="s">
        <v>12802</v>
      </c>
      <c r="U5709" t="s">
        <v>12802</v>
      </c>
      <c r="V5709" t="s">
        <v>12802</v>
      </c>
      <c r="W5709" t="s">
        <v>18443</v>
      </c>
      <c r="X5709">
        <v>5</v>
      </c>
      <c r="Y5709" t="s">
        <v>24654</v>
      </c>
      <c r="Z5709" t="s">
        <v>31027</v>
      </c>
      <c r="AA5709">
        <v>0.35988023307341432</v>
      </c>
      <c r="AB5709" t="str">
        <f>HYPERLINK("Melting_Curves/meltCurve_Q9NRZ9_4_HELLS.pdf", "Melting_Curves/meltCurve_Q9NRZ9_4_HELLS.pdf")</f>
        <v>Melting_Curves/meltCurve_Q9NRZ9_4_HELLS.pdf</v>
      </c>
    </row>
    <row r="5710" spans="1:28" x14ac:dyDescent="0.25">
      <c r="A5710" t="s">
        <v>5714</v>
      </c>
      <c r="B5710">
        <v>0.99542014353169495</v>
      </c>
      <c r="C5710">
        <v>0.93992537679718902</v>
      </c>
      <c r="D5710">
        <v>0.89407339525719898</v>
      </c>
      <c r="E5710">
        <v>0.80041805986152403</v>
      </c>
      <c r="F5710">
        <v>0.35232012701785798</v>
      </c>
      <c r="G5710">
        <v>0.24400897729736401</v>
      </c>
      <c r="H5710">
        <v>0.15270605790619801</v>
      </c>
      <c r="I5710">
        <v>0.22238644250234599</v>
      </c>
      <c r="J5710">
        <v>0.67492283032118205</v>
      </c>
      <c r="K5710">
        <v>0.89863816633947702</v>
      </c>
      <c r="L5710">
        <v>11679.5462771691</v>
      </c>
      <c r="M5710">
        <v>250</v>
      </c>
      <c r="N5710">
        <v>47.073315212461097</v>
      </c>
      <c r="O5710">
        <v>46.715195863427503</v>
      </c>
      <c r="P5710">
        <v>-0.77040809481903405</v>
      </c>
      <c r="Q5710">
        <v>0.42416376500457698</v>
      </c>
      <c r="R5710">
        <v>0.55449357092526097</v>
      </c>
      <c r="S5710" t="s">
        <v>12112</v>
      </c>
      <c r="T5710" t="s">
        <v>12802</v>
      </c>
      <c r="U5710" t="s">
        <v>12802</v>
      </c>
      <c r="V5710" t="s">
        <v>12802</v>
      </c>
      <c r="W5710" t="s">
        <v>18444</v>
      </c>
      <c r="X5710">
        <v>1</v>
      </c>
      <c r="Y5710" t="s">
        <v>24655</v>
      </c>
      <c r="Z5710" t="s">
        <v>31028</v>
      </c>
      <c r="AA5710">
        <v>0.61074708176998449</v>
      </c>
      <c r="AB5710" t="str">
        <f>HYPERLINK("Melting_Curves/meltCurve_Q9NS18_GLRX2.pdf", "Melting_Curves/meltCurve_Q9NS18_GLRX2.pdf")</f>
        <v>Melting_Curves/meltCurve_Q9NS18_GLRX2.pdf</v>
      </c>
    </row>
    <row r="5711" spans="1:28" x14ac:dyDescent="0.25">
      <c r="A5711" t="s">
        <v>5715</v>
      </c>
      <c r="B5711">
        <v>0.99542014353169495</v>
      </c>
      <c r="C5711">
        <v>1.09508123181231</v>
      </c>
      <c r="D5711">
        <v>0.92240569140474404</v>
      </c>
      <c r="E5711">
        <v>0.70756879521837301</v>
      </c>
      <c r="F5711">
        <v>0.491541272975622</v>
      </c>
      <c r="G5711">
        <v>0.314844302102258</v>
      </c>
      <c r="H5711">
        <v>0.22819108460086299</v>
      </c>
      <c r="I5711">
        <v>0.19134058734502901</v>
      </c>
      <c r="J5711">
        <v>0.29320496077242902</v>
      </c>
      <c r="K5711">
        <v>0.42113849711143703</v>
      </c>
      <c r="L5711">
        <v>1085.6752899651401</v>
      </c>
      <c r="M5711">
        <v>22.806603591631099</v>
      </c>
      <c r="N5711">
        <v>49.391023512259103</v>
      </c>
      <c r="O5711">
        <v>47.242091931346003</v>
      </c>
      <c r="P5711">
        <v>-8.6781905364987699E-2</v>
      </c>
      <c r="Q5711">
        <v>0.28096625493415001</v>
      </c>
      <c r="R5711">
        <v>0.954948538385473</v>
      </c>
      <c r="S5711" t="s">
        <v>12113</v>
      </c>
      <c r="T5711" t="s">
        <v>12802</v>
      </c>
      <c r="U5711" t="s">
        <v>12802</v>
      </c>
      <c r="V5711" t="s">
        <v>12802</v>
      </c>
      <c r="W5711" t="s">
        <v>18445</v>
      </c>
      <c r="X5711">
        <v>4</v>
      </c>
      <c r="Y5711" t="s">
        <v>24656</v>
      </c>
      <c r="Z5711" t="s">
        <v>31029</v>
      </c>
      <c r="AA5711">
        <v>0.54241703351393189</v>
      </c>
      <c r="AB5711" t="str">
        <f>HYPERLINK("Melting_Curves/meltCurve_Q9NS23_4_RASSF1.pdf", "Melting_Curves/meltCurve_Q9NS23_4_RASSF1.pdf")</f>
        <v>Melting_Curves/meltCurve_Q9NS23_4_RASSF1.pdf</v>
      </c>
    </row>
    <row r="5712" spans="1:28" x14ac:dyDescent="0.25">
      <c r="A5712" t="s">
        <v>5716</v>
      </c>
      <c r="B5712">
        <v>0.99542014353169495</v>
      </c>
      <c r="C5712">
        <v>0.95864743076432102</v>
      </c>
      <c r="D5712">
        <v>0.91010705667131897</v>
      </c>
      <c r="E5712">
        <v>0.78176688826406504</v>
      </c>
      <c r="F5712">
        <v>0.67905665607409105</v>
      </c>
      <c r="G5712">
        <v>0.48131153765539098</v>
      </c>
      <c r="H5712">
        <v>0.35577146267195903</v>
      </c>
      <c r="I5712">
        <v>0.30881884499738699</v>
      </c>
      <c r="J5712">
        <v>0.34470710718608899</v>
      </c>
      <c r="K5712">
        <v>0.43055427158444598</v>
      </c>
      <c r="L5712">
        <v>726.54635930752704</v>
      </c>
      <c r="M5712">
        <v>14.722001182472701</v>
      </c>
      <c r="N5712">
        <v>53.250465954390201</v>
      </c>
      <c r="O5712">
        <v>48.467333904701597</v>
      </c>
      <c r="P5712">
        <v>-5.0893554436816903E-2</v>
      </c>
      <c r="Q5712">
        <v>0.32987207472418301</v>
      </c>
      <c r="R5712">
        <v>0.97299208711662999</v>
      </c>
      <c r="S5712" t="s">
        <v>12114</v>
      </c>
      <c r="T5712" t="s">
        <v>12802</v>
      </c>
      <c r="U5712" t="s">
        <v>12802</v>
      </c>
      <c r="V5712" t="s">
        <v>12802</v>
      </c>
      <c r="W5712" t="s">
        <v>18446</v>
      </c>
      <c r="X5712">
        <v>3</v>
      </c>
      <c r="Y5712" t="s">
        <v>24657</v>
      </c>
      <c r="Z5712" t="s">
        <v>31030</v>
      </c>
      <c r="AA5712">
        <v>0.62045850655696955</v>
      </c>
      <c r="AB5712" t="str">
        <f>HYPERLINK("Melting_Curves/meltCurve_Q9NS69_TOMM22.pdf", "Melting_Curves/meltCurve_Q9NS69_TOMM22.pdf")</f>
        <v>Melting_Curves/meltCurve_Q9NS69_TOMM22.pdf</v>
      </c>
    </row>
    <row r="5713" spans="1:28" x14ac:dyDescent="0.25">
      <c r="A5713" t="s">
        <v>5717</v>
      </c>
      <c r="B5713">
        <v>0.99542014353169495</v>
      </c>
      <c r="C5713">
        <v>0.97906006938229795</v>
      </c>
      <c r="D5713">
        <v>0.88136084549164195</v>
      </c>
      <c r="E5713">
        <v>0.77422932921834497</v>
      </c>
      <c r="F5713">
        <v>0.64353448579835604</v>
      </c>
      <c r="G5713">
        <v>0.62120881121515803</v>
      </c>
      <c r="H5713">
        <v>0.42776823056728902</v>
      </c>
      <c r="I5713">
        <v>0.325525679510626</v>
      </c>
      <c r="J5713">
        <v>0.204355326476692</v>
      </c>
      <c r="K5713">
        <v>0.101893741640393</v>
      </c>
      <c r="L5713">
        <v>462.17438318252198</v>
      </c>
      <c r="M5713">
        <v>8.4330994701050308</v>
      </c>
      <c r="N5713">
        <v>54.8048066927973</v>
      </c>
      <c r="O5713">
        <v>51.983271568864602</v>
      </c>
      <c r="P5713">
        <v>-4.0594440792009301E-2</v>
      </c>
      <c r="Q5713">
        <v>0</v>
      </c>
      <c r="R5713">
        <v>0.97949374815457202</v>
      </c>
      <c r="S5713" t="s">
        <v>12115</v>
      </c>
      <c r="T5713" t="s">
        <v>12802</v>
      </c>
      <c r="U5713" t="s">
        <v>12802</v>
      </c>
      <c r="V5713" t="s">
        <v>12802</v>
      </c>
      <c r="W5713" t="s">
        <v>18447</v>
      </c>
      <c r="X5713">
        <v>8</v>
      </c>
      <c r="Y5713" t="s">
        <v>24658</v>
      </c>
      <c r="Z5713" t="s">
        <v>31031</v>
      </c>
      <c r="AA5713">
        <v>0.60329392189885911</v>
      </c>
      <c r="AB5713" t="str">
        <f>HYPERLINK("Melting_Curves/meltCurve_Q9NS86_LANCL2.pdf", "Melting_Curves/meltCurve_Q9NS86_LANCL2.pdf")</f>
        <v>Melting_Curves/meltCurve_Q9NS86_LANCL2.pdf</v>
      </c>
    </row>
    <row r="5714" spans="1:28" x14ac:dyDescent="0.25">
      <c r="A5714" t="s">
        <v>5718</v>
      </c>
      <c r="B5714">
        <v>0.99542014353169495</v>
      </c>
      <c r="C5714">
        <v>0.89835465549346605</v>
      </c>
      <c r="D5714">
        <v>0.79990501593714303</v>
      </c>
      <c r="E5714">
        <v>0.19896102949059599</v>
      </c>
      <c r="F5714">
        <v>0.117239763482565</v>
      </c>
      <c r="G5714">
        <v>6.7608939172585203E-2</v>
      </c>
      <c r="H5714">
        <v>5.6512949314669401E-2</v>
      </c>
      <c r="I5714">
        <v>3.8682493504915698E-2</v>
      </c>
      <c r="J5714">
        <v>4.0681932723859802E-2</v>
      </c>
      <c r="K5714">
        <v>4.3442974059598398E-2</v>
      </c>
      <c r="L5714">
        <v>1511.44104722975</v>
      </c>
      <c r="M5714">
        <v>33.970464760463898</v>
      </c>
      <c r="N5714">
        <v>44.643701734629097</v>
      </c>
      <c r="O5714">
        <v>44.339438548782603</v>
      </c>
      <c r="P5714">
        <v>-0.181149021019189</v>
      </c>
      <c r="Q5714">
        <v>5.4235118297967497E-2</v>
      </c>
      <c r="R5714">
        <v>0.992731667033664</v>
      </c>
      <c r="S5714" t="s">
        <v>12116</v>
      </c>
      <c r="T5714" t="s">
        <v>12802</v>
      </c>
      <c r="U5714" t="s">
        <v>12802</v>
      </c>
      <c r="V5714" t="s">
        <v>12802</v>
      </c>
      <c r="W5714" t="s">
        <v>18448</v>
      </c>
      <c r="X5714">
        <v>30</v>
      </c>
      <c r="Y5714" t="s">
        <v>24659</v>
      </c>
      <c r="Z5714" t="s">
        <v>31032</v>
      </c>
      <c r="AA5714">
        <v>0.29452421152336278</v>
      </c>
      <c r="AB5714" t="str">
        <f>HYPERLINK("Melting_Curves/meltCurve_Q9NS87_KIF15.pdf", "Melting_Curves/meltCurve_Q9NS87_KIF15.pdf")</f>
        <v>Melting_Curves/meltCurve_Q9NS87_KIF15.pdf</v>
      </c>
    </row>
    <row r="5715" spans="1:28" x14ac:dyDescent="0.25">
      <c r="A5715" t="s">
        <v>5719</v>
      </c>
      <c r="B5715">
        <v>0.99542014353169495</v>
      </c>
      <c r="C5715">
        <v>0.93421957123408295</v>
      </c>
      <c r="D5715">
        <v>0.82083750630058205</v>
      </c>
      <c r="E5715">
        <v>0.390101235218479</v>
      </c>
      <c r="F5715">
        <v>0.16371712812662201</v>
      </c>
      <c r="G5715">
        <v>9.4700902314688903E-2</v>
      </c>
      <c r="H5715">
        <v>6.5835505152616602E-2</v>
      </c>
      <c r="I5715">
        <v>5.0828340426804799E-2</v>
      </c>
      <c r="J5715">
        <v>5.6453997094337301E-2</v>
      </c>
      <c r="K5715">
        <v>7.0480785626310397E-2</v>
      </c>
      <c r="L5715">
        <v>1049.18124279478</v>
      </c>
      <c r="M5715">
        <v>23.0744501510253</v>
      </c>
      <c r="N5715">
        <v>45.724618280711098</v>
      </c>
      <c r="O5715">
        <v>45.132010641463403</v>
      </c>
      <c r="P5715">
        <v>-0.120095516068912</v>
      </c>
      <c r="Q5715">
        <v>6.0423644588430199E-2</v>
      </c>
      <c r="R5715">
        <v>0.99875948968952499</v>
      </c>
      <c r="S5715" t="s">
        <v>12117</v>
      </c>
      <c r="T5715" t="s">
        <v>12802</v>
      </c>
      <c r="U5715" t="s">
        <v>12802</v>
      </c>
      <c r="V5715" t="s">
        <v>12802</v>
      </c>
      <c r="W5715" t="s">
        <v>18449</v>
      </c>
      <c r="X5715">
        <v>17</v>
      </c>
      <c r="Y5715" t="s">
        <v>24660</v>
      </c>
      <c r="Z5715" t="s">
        <v>31033</v>
      </c>
      <c r="AA5715">
        <v>0.33482132485630173</v>
      </c>
      <c r="AB5715" t="str">
        <f>HYPERLINK("Melting_Curves/meltCurve_Q9NS91_RAD18.pdf", "Melting_Curves/meltCurve_Q9NS91_RAD18.pdf")</f>
        <v>Melting_Curves/meltCurve_Q9NS91_RAD18.pdf</v>
      </c>
    </row>
    <row r="5716" spans="1:28" x14ac:dyDescent="0.25">
      <c r="A5716" t="s">
        <v>5720</v>
      </c>
      <c r="B5716">
        <v>0.99542014353169495</v>
      </c>
      <c r="C5716">
        <v>1.0677228503737699</v>
      </c>
      <c r="D5716">
        <v>1.04230811264859</v>
      </c>
      <c r="E5716">
        <v>0.96642383734745296</v>
      </c>
      <c r="F5716">
        <v>0.77461483924124497</v>
      </c>
      <c r="G5716">
        <v>0.54828573708577499</v>
      </c>
      <c r="H5716">
        <v>0.41421802377664202</v>
      </c>
      <c r="I5716">
        <v>0.33323222743790898</v>
      </c>
      <c r="J5716">
        <v>0.246014069178152</v>
      </c>
      <c r="K5716">
        <v>0.17689210969064201</v>
      </c>
      <c r="L5716">
        <v>858.41390179396001</v>
      </c>
      <c r="M5716">
        <v>16.027885937044399</v>
      </c>
      <c r="N5716">
        <v>55.179975013485901</v>
      </c>
      <c r="O5716">
        <v>52.744612445346803</v>
      </c>
      <c r="P5716">
        <v>-6.16999302841938E-2</v>
      </c>
      <c r="Q5716">
        <v>0.18789404015358799</v>
      </c>
      <c r="R5716">
        <v>0.98649710159418103</v>
      </c>
      <c r="S5716" t="s">
        <v>12118</v>
      </c>
      <c r="T5716" t="s">
        <v>12802</v>
      </c>
      <c r="U5716" t="s">
        <v>12802</v>
      </c>
      <c r="V5716" t="s">
        <v>12802</v>
      </c>
      <c r="W5716" t="s">
        <v>18450</v>
      </c>
      <c r="X5716">
        <v>2</v>
      </c>
      <c r="Y5716" t="s">
        <v>24661</v>
      </c>
      <c r="Z5716" t="s">
        <v>31034</v>
      </c>
      <c r="AA5716">
        <v>0.64909777978389083</v>
      </c>
      <c r="AB5716" t="str">
        <f>HYPERLINK("Melting_Curves/meltCurve_Q9NS93_TM7SF3.pdf", "Melting_Curves/meltCurve_Q9NS93_TM7SF3.pdf")</f>
        <v>Melting_Curves/meltCurve_Q9NS93_TM7SF3.pdf</v>
      </c>
    </row>
    <row r="5717" spans="1:28" x14ac:dyDescent="0.25">
      <c r="A5717" t="s">
        <v>5721</v>
      </c>
      <c r="B5717">
        <v>0.99542014353169495</v>
      </c>
      <c r="C5717">
        <v>1.05096813132816</v>
      </c>
      <c r="D5717">
        <v>0.99410150872957403</v>
      </c>
      <c r="E5717">
        <v>0.86031797213394801</v>
      </c>
      <c r="F5717">
        <v>0.69778109414848</v>
      </c>
      <c r="G5717">
        <v>0.45848280974584199</v>
      </c>
      <c r="H5717">
        <v>0.34701587302748099</v>
      </c>
      <c r="I5717">
        <v>0.264935844875332</v>
      </c>
      <c r="J5717">
        <v>0.34087196562983402</v>
      </c>
      <c r="K5717">
        <v>0.41388499820257701</v>
      </c>
      <c r="L5717">
        <v>1114.5904947299</v>
      </c>
      <c r="M5717">
        <v>22.168092868633899</v>
      </c>
      <c r="N5717">
        <v>52.839024408020897</v>
      </c>
      <c r="O5717">
        <v>49.875259535931598</v>
      </c>
      <c r="P5717">
        <v>-7.4541257997359001E-2</v>
      </c>
      <c r="Q5717">
        <v>0.329182898937461</v>
      </c>
      <c r="R5717">
        <v>0.97867665341370802</v>
      </c>
      <c r="S5717" t="s">
        <v>12119</v>
      </c>
      <c r="T5717" t="s">
        <v>12802</v>
      </c>
      <c r="U5717" t="s">
        <v>12802</v>
      </c>
      <c r="V5717" t="s">
        <v>12802</v>
      </c>
      <c r="W5717" t="s">
        <v>18451</v>
      </c>
      <c r="X5717">
        <v>3</v>
      </c>
      <c r="Y5717" t="s">
        <v>24662</v>
      </c>
      <c r="Z5717" t="s">
        <v>31035</v>
      </c>
      <c r="AA5717">
        <v>0.63346350348977321</v>
      </c>
      <c r="AB5717" t="str">
        <f>HYPERLINK("Melting_Curves/meltCurve_Q9NSA3_CTNNBIP1.pdf", "Melting_Curves/meltCurve_Q9NSA3_CTNNBIP1.pdf")</f>
        <v>Melting_Curves/meltCurve_Q9NSA3_CTNNBIP1.pdf</v>
      </c>
    </row>
    <row r="5718" spans="1:28" x14ac:dyDescent="0.25">
      <c r="A5718" t="s">
        <v>5722</v>
      </c>
      <c r="B5718">
        <v>0.99542014353169495</v>
      </c>
      <c r="C5718">
        <v>0.89865133662085495</v>
      </c>
      <c r="D5718">
        <v>0.92199015542810503</v>
      </c>
      <c r="E5718">
        <v>0.73739894076011203</v>
      </c>
      <c r="F5718">
        <v>0.34750230959595502</v>
      </c>
      <c r="G5718">
        <v>0.18705810155195601</v>
      </c>
      <c r="H5718">
        <v>7.2504953299810396E-2</v>
      </c>
      <c r="I5718">
        <v>4.9455384610391298E-2</v>
      </c>
      <c r="J5718">
        <v>4.8789352429632997E-2</v>
      </c>
      <c r="K5718">
        <v>4.7788492526451599E-2</v>
      </c>
      <c r="L5718">
        <v>937.060011707699</v>
      </c>
      <c r="M5718">
        <v>19.2768256197376</v>
      </c>
      <c r="N5718">
        <v>48.802115848775202</v>
      </c>
      <c r="O5718">
        <v>48.096634966442501</v>
      </c>
      <c r="P5718">
        <v>-9.6553781327358701E-2</v>
      </c>
      <c r="Q5718">
        <v>3.6410403158964502E-2</v>
      </c>
      <c r="R5718">
        <v>0.99337625723813205</v>
      </c>
      <c r="S5718" t="s">
        <v>12120</v>
      </c>
      <c r="T5718" t="s">
        <v>12802</v>
      </c>
      <c r="U5718" t="s">
        <v>12802</v>
      </c>
      <c r="V5718" t="s">
        <v>12802</v>
      </c>
      <c r="W5718" t="s">
        <v>18452</v>
      </c>
      <c r="X5718">
        <v>27</v>
      </c>
      <c r="Y5718" t="s">
        <v>24663</v>
      </c>
      <c r="Z5718" t="s">
        <v>31036</v>
      </c>
      <c r="AA5718">
        <v>0.42291531450428482</v>
      </c>
      <c r="AB5718" t="str">
        <f>HYPERLINK("Melting_Curves/meltCurve_Q9NSD9_FARSB.pdf", "Melting_Curves/meltCurve_Q9NSD9_FARSB.pdf")</f>
        <v>Melting_Curves/meltCurve_Q9NSD9_FARSB.pdf</v>
      </c>
    </row>
    <row r="5719" spans="1:28" x14ac:dyDescent="0.25">
      <c r="A5719" t="s">
        <v>5723</v>
      </c>
      <c r="B5719">
        <v>0.99542014353169495</v>
      </c>
      <c r="C5719">
        <v>0.99956061564417398</v>
      </c>
      <c r="D5719">
        <v>0.98622353160044296</v>
      </c>
      <c r="E5719">
        <v>0.92206704557670005</v>
      </c>
      <c r="F5719">
        <v>0.76465635173397095</v>
      </c>
      <c r="G5719">
        <v>0.60748055445164595</v>
      </c>
      <c r="H5719">
        <v>0.35068939845932801</v>
      </c>
      <c r="I5719">
        <v>0.14725849386467399</v>
      </c>
      <c r="J5719">
        <v>6.9428788452716605E-2</v>
      </c>
      <c r="K5719">
        <v>6.8868878797495606E-2</v>
      </c>
      <c r="L5719">
        <v>835.82214036998596</v>
      </c>
      <c r="M5719">
        <v>15.251771847620599</v>
      </c>
      <c r="N5719">
        <v>54.8016424120027</v>
      </c>
      <c r="O5719">
        <v>53.885436376811803</v>
      </c>
      <c r="P5719">
        <v>-7.0766873319852597E-2</v>
      </c>
      <c r="Q5719">
        <v>0</v>
      </c>
      <c r="R5719">
        <v>0.99650100325481805</v>
      </c>
      <c r="S5719" t="s">
        <v>12121</v>
      </c>
      <c r="T5719" t="s">
        <v>12802</v>
      </c>
      <c r="U5719" t="s">
        <v>12802</v>
      </c>
      <c r="V5719" t="s">
        <v>12802</v>
      </c>
      <c r="W5719" t="s">
        <v>18453</v>
      </c>
      <c r="X5719">
        <v>37</v>
      </c>
      <c r="Y5719" t="s">
        <v>24664</v>
      </c>
      <c r="Z5719" t="s">
        <v>31037</v>
      </c>
      <c r="AA5719">
        <v>0.60782756940036109</v>
      </c>
      <c r="AB5719" t="str">
        <f>HYPERLINK("Melting_Curves/meltCurve_Q9NSE4_IARS2.pdf", "Melting_Curves/meltCurve_Q9NSE4_IARS2.pdf")</f>
        <v>Melting_Curves/meltCurve_Q9NSE4_IARS2.pdf</v>
      </c>
    </row>
    <row r="5720" spans="1:28" x14ac:dyDescent="0.25">
      <c r="A5720" t="s">
        <v>5724</v>
      </c>
      <c r="B5720">
        <v>0.99542014353169495</v>
      </c>
      <c r="C5720">
        <v>0.88480364468478201</v>
      </c>
      <c r="D5720">
        <v>0.74577076488571303</v>
      </c>
      <c r="E5720">
        <v>0.27287942636993101</v>
      </c>
      <c r="F5720">
        <v>0.12626685468860999</v>
      </c>
      <c r="G5720">
        <v>8.2241933899097494E-2</v>
      </c>
      <c r="H5720">
        <v>5.4870820333812603E-2</v>
      </c>
      <c r="I5720">
        <v>4.8346878511776603E-2</v>
      </c>
      <c r="J5720">
        <v>5.7867011702916998E-2</v>
      </c>
      <c r="K5720">
        <v>4.8390290599169397E-2</v>
      </c>
      <c r="L5720">
        <v>1042.4920670705001</v>
      </c>
      <c r="M5720">
        <v>23.420759711711501</v>
      </c>
      <c r="N5720">
        <v>44.726025049180699</v>
      </c>
      <c r="O5720">
        <v>44.190737682877902</v>
      </c>
      <c r="P5720">
        <v>-0.12545944960951499</v>
      </c>
      <c r="Q5720">
        <v>5.3138887577956498E-2</v>
      </c>
      <c r="R5720">
        <v>0.99597730183356203</v>
      </c>
      <c r="S5720" t="s">
        <v>12122</v>
      </c>
      <c r="T5720" t="s">
        <v>12802</v>
      </c>
      <c r="U5720" t="s">
        <v>12802</v>
      </c>
      <c r="V5720" t="s">
        <v>12802</v>
      </c>
      <c r="W5720" t="s">
        <v>18454</v>
      </c>
      <c r="X5720">
        <v>3</v>
      </c>
      <c r="Y5720" t="s">
        <v>19622</v>
      </c>
      <c r="Z5720" t="s">
        <v>31038</v>
      </c>
      <c r="AA5720">
        <v>0.29913891504573331</v>
      </c>
      <c r="AB5720" t="str">
        <f>HYPERLINK("Melting_Curves/meltCurve_Q9NSG2_3_C1orf112.pdf", "Melting_Curves/meltCurve_Q9NSG2_3_C1orf112.pdf")</f>
        <v>Melting_Curves/meltCurve_Q9NSG2_3_C1orf112.pdf</v>
      </c>
    </row>
    <row r="5721" spans="1:28" x14ac:dyDescent="0.25">
      <c r="A5721" t="s">
        <v>5725</v>
      </c>
      <c r="B5721">
        <v>0.99542014353169495</v>
      </c>
      <c r="C5721">
        <v>0.93033994257889796</v>
      </c>
      <c r="D5721">
        <v>0.80947792274803099</v>
      </c>
      <c r="E5721">
        <v>0.55212898805991495</v>
      </c>
      <c r="F5721">
        <v>0.15179401778284499</v>
      </c>
      <c r="G5721">
        <v>8.8183318828346194E-2</v>
      </c>
      <c r="H5721">
        <v>4.4170679229550501E-2</v>
      </c>
      <c r="I5721">
        <v>3.0629726865489398E-2</v>
      </c>
      <c r="J5721">
        <v>2.9456771082903298E-2</v>
      </c>
      <c r="K5721">
        <v>3.24879589805133E-2</v>
      </c>
      <c r="L5721">
        <v>921.11973279437598</v>
      </c>
      <c r="M5721">
        <v>19.805359259620499</v>
      </c>
      <c r="N5721">
        <v>46.605740561478299</v>
      </c>
      <c r="O5721">
        <v>46.042220567660003</v>
      </c>
      <c r="P5721">
        <v>-0.105368414232428</v>
      </c>
      <c r="Q5721">
        <v>2.0217908646698899E-2</v>
      </c>
      <c r="R5721">
        <v>0.99493354662098099</v>
      </c>
      <c r="S5721" t="s">
        <v>12123</v>
      </c>
      <c r="T5721" t="s">
        <v>12802</v>
      </c>
      <c r="U5721" t="s">
        <v>12802</v>
      </c>
      <c r="V5721" t="s">
        <v>12802</v>
      </c>
      <c r="W5721" t="s">
        <v>18455</v>
      </c>
      <c r="X5721">
        <v>5</v>
      </c>
      <c r="Y5721" t="s">
        <v>24665</v>
      </c>
      <c r="Z5721" t="s">
        <v>31039</v>
      </c>
      <c r="AA5721">
        <v>0.34382709007100132</v>
      </c>
      <c r="AB5721" t="str">
        <f>HYPERLINK("Melting_Curves/meltCurve_Q9NSI2_2_FAM207A.pdf", "Melting_Curves/meltCurve_Q9NSI2_2_FAM207A.pdf")</f>
        <v>Melting_Curves/meltCurve_Q9NSI2_2_FAM207A.pdf</v>
      </c>
    </row>
    <row r="5722" spans="1:28" x14ac:dyDescent="0.25">
      <c r="A5722" t="s">
        <v>5726</v>
      </c>
      <c r="B5722">
        <v>0.99542014353169495</v>
      </c>
      <c r="C5722">
        <v>1.0061823310412901</v>
      </c>
      <c r="D5722">
        <v>0.88192590950893601</v>
      </c>
      <c r="E5722">
        <v>0.74505523773683002</v>
      </c>
      <c r="F5722">
        <v>0.36445377972592902</v>
      </c>
      <c r="G5722">
        <v>0.195818774908848</v>
      </c>
      <c r="H5722">
        <v>0.101394500493935</v>
      </c>
      <c r="I5722">
        <v>7.25604565433592E-2</v>
      </c>
      <c r="J5722">
        <v>8.4502179802300306E-2</v>
      </c>
      <c r="K5722">
        <v>8.4223974775241003E-2</v>
      </c>
      <c r="L5722">
        <v>963.37747665933398</v>
      </c>
      <c r="M5722">
        <v>19.864611583243001</v>
      </c>
      <c r="N5722">
        <v>48.866516964725498</v>
      </c>
      <c r="O5722">
        <v>48.013714486833599</v>
      </c>
      <c r="P5722">
        <v>-9.6225437551394497E-2</v>
      </c>
      <c r="Q5722">
        <v>6.9705215326743397E-2</v>
      </c>
      <c r="R5722">
        <v>0.99677341505863404</v>
      </c>
      <c r="S5722" t="s">
        <v>12124</v>
      </c>
      <c r="T5722" t="s">
        <v>12802</v>
      </c>
      <c r="U5722" t="s">
        <v>12802</v>
      </c>
      <c r="V5722" t="s">
        <v>12802</v>
      </c>
      <c r="W5722" t="s">
        <v>18456</v>
      </c>
      <c r="X5722">
        <v>20</v>
      </c>
      <c r="Y5722" t="s">
        <v>24666</v>
      </c>
      <c r="Z5722" t="s">
        <v>31040</v>
      </c>
      <c r="AA5722">
        <v>0.43862837836867108</v>
      </c>
      <c r="AB5722" t="str">
        <f>HYPERLINK("Melting_Curves/meltCurve_Q9NSI8_SAMSN1.pdf", "Melting_Curves/meltCurve_Q9NSI8_SAMSN1.pdf")</f>
        <v>Melting_Curves/meltCurve_Q9NSI8_SAMSN1.pdf</v>
      </c>
    </row>
    <row r="5723" spans="1:28" x14ac:dyDescent="0.25">
      <c r="A5723" t="s">
        <v>5727</v>
      </c>
      <c r="B5723">
        <v>0.99542014353169495</v>
      </c>
      <c r="C5723">
        <v>0.87042006398947203</v>
      </c>
      <c r="D5723">
        <v>0.91130542925540003</v>
      </c>
      <c r="E5723">
        <v>0.66222090382256504</v>
      </c>
      <c r="F5723">
        <v>0.31101785070340099</v>
      </c>
      <c r="G5723">
        <v>0.19142780322517999</v>
      </c>
      <c r="H5723">
        <v>0.121598868157934</v>
      </c>
      <c r="I5723">
        <v>0.12301311782718399</v>
      </c>
      <c r="J5723">
        <v>9.8017391908930496E-2</v>
      </c>
      <c r="K5723">
        <v>0.101596470537232</v>
      </c>
      <c r="L5723">
        <v>915.47580845157302</v>
      </c>
      <c r="M5723">
        <v>19.242364456686101</v>
      </c>
      <c r="N5723">
        <v>48.110176471098903</v>
      </c>
      <c r="O5723">
        <v>47.071159355399999</v>
      </c>
      <c r="P5723">
        <v>-9.2372775905965904E-2</v>
      </c>
      <c r="Q5723">
        <v>9.6175771819403802E-2</v>
      </c>
      <c r="R5723">
        <v>0.98944024634265204</v>
      </c>
      <c r="S5723" t="s">
        <v>12125</v>
      </c>
      <c r="T5723" t="s">
        <v>12802</v>
      </c>
      <c r="U5723" t="s">
        <v>12802</v>
      </c>
      <c r="V5723" t="s">
        <v>12802</v>
      </c>
      <c r="W5723" t="s">
        <v>18457</v>
      </c>
      <c r="X5723">
        <v>9</v>
      </c>
      <c r="Y5723" t="s">
        <v>24667</v>
      </c>
      <c r="Z5723" t="s">
        <v>31041</v>
      </c>
      <c r="AA5723">
        <v>0.42756961551215122</v>
      </c>
      <c r="AB5723" t="str">
        <f>HYPERLINK("Melting_Curves/meltCurve_Q9NSK0_KLC4.pdf", "Melting_Curves/meltCurve_Q9NSK0_KLC4.pdf")</f>
        <v>Melting_Curves/meltCurve_Q9NSK0_KLC4.pdf</v>
      </c>
    </row>
    <row r="5724" spans="1:28" x14ac:dyDescent="0.25">
      <c r="A5724" t="s">
        <v>5728</v>
      </c>
      <c r="B5724">
        <v>0.99542014353169495</v>
      </c>
      <c r="C5724">
        <v>0.95110609889792197</v>
      </c>
      <c r="D5724">
        <v>0.90703556074238201</v>
      </c>
      <c r="E5724">
        <v>0.74946921491570095</v>
      </c>
      <c r="F5724">
        <v>0.68665875880313298</v>
      </c>
      <c r="G5724">
        <v>0.40721431631566801</v>
      </c>
      <c r="H5724">
        <v>0.18627213762643299</v>
      </c>
      <c r="I5724">
        <v>9.3894607625170504E-2</v>
      </c>
      <c r="J5724">
        <v>9.5663132547899501E-2</v>
      </c>
      <c r="K5724">
        <v>0.109822221247676</v>
      </c>
      <c r="L5724">
        <v>648.35954570233503</v>
      </c>
      <c r="M5724">
        <v>12.491140158911501</v>
      </c>
      <c r="N5724">
        <v>51.947800438448702</v>
      </c>
      <c r="O5724">
        <v>50.629089221389201</v>
      </c>
      <c r="P5724">
        <v>-6.1380630900566002E-2</v>
      </c>
      <c r="Q5724">
        <v>5.0535287843921101E-3</v>
      </c>
      <c r="R5724">
        <v>0.98613478958938605</v>
      </c>
      <c r="S5724" t="s">
        <v>12126</v>
      </c>
      <c r="T5724" t="s">
        <v>12802</v>
      </c>
      <c r="U5724" t="s">
        <v>12802</v>
      </c>
      <c r="V5724" t="s">
        <v>12802</v>
      </c>
      <c r="W5724" t="s">
        <v>18458</v>
      </c>
      <c r="X5724">
        <v>9</v>
      </c>
      <c r="Y5724" t="s">
        <v>24668</v>
      </c>
      <c r="Z5724" t="s">
        <v>31042</v>
      </c>
      <c r="AA5724">
        <v>0.52247061094702318</v>
      </c>
      <c r="AB5724" t="str">
        <f>HYPERLINK("Melting_Curves/meltCurve_Q9NSY1_BMP2K.pdf", "Melting_Curves/meltCurve_Q9NSY1_BMP2K.pdf")</f>
        <v>Melting_Curves/meltCurve_Q9NSY1_BMP2K.pdf</v>
      </c>
    </row>
    <row r="5725" spans="1:28" x14ac:dyDescent="0.25">
      <c r="A5725" t="s">
        <v>5729</v>
      </c>
      <c r="B5725">
        <v>0.99542014353169495</v>
      </c>
      <c r="C5725">
        <v>0.96710061266554503</v>
      </c>
      <c r="D5725">
        <v>0.96014437828260901</v>
      </c>
      <c r="E5725">
        <v>0.969056862476118</v>
      </c>
      <c r="F5725">
        <v>0.70970042795871102</v>
      </c>
      <c r="G5725">
        <v>0.49547279428223601</v>
      </c>
      <c r="H5725">
        <v>0.211137149991099</v>
      </c>
      <c r="I5725">
        <v>9.9491928116295494E-2</v>
      </c>
      <c r="J5725">
        <v>7.4896262761943305E-2</v>
      </c>
      <c r="K5725">
        <v>8.6323084237211994E-2</v>
      </c>
      <c r="L5725">
        <v>987.16315331484702</v>
      </c>
      <c r="M5725">
        <v>18.624227960318699</v>
      </c>
      <c r="N5725">
        <v>53.262869222207797</v>
      </c>
      <c r="O5725">
        <v>52.404495512151797</v>
      </c>
      <c r="P5725">
        <v>-8.5011305432961801E-2</v>
      </c>
      <c r="Q5725">
        <v>4.3228529558237597E-2</v>
      </c>
      <c r="R5725">
        <v>0.99491069505985996</v>
      </c>
      <c r="S5725" t="s">
        <v>12127</v>
      </c>
      <c r="T5725" t="s">
        <v>12802</v>
      </c>
      <c r="U5725" t="s">
        <v>12802</v>
      </c>
      <c r="V5725" t="s">
        <v>12802</v>
      </c>
      <c r="W5725" t="s">
        <v>18459</v>
      </c>
      <c r="X5725">
        <v>11</v>
      </c>
      <c r="Y5725" t="s">
        <v>24669</v>
      </c>
      <c r="Z5725" t="s">
        <v>31043</v>
      </c>
      <c r="AA5725">
        <v>0.56694570915731624</v>
      </c>
      <c r="AB5725" t="str">
        <f>HYPERLINK("Melting_Curves/meltCurve_Q9NT62_ATG3.pdf", "Melting_Curves/meltCurve_Q9NT62_ATG3.pdf")</f>
        <v>Melting_Curves/meltCurve_Q9NT62_ATG3.pdf</v>
      </c>
    </row>
    <row r="5726" spans="1:28" x14ac:dyDescent="0.25">
      <c r="A5726" t="s">
        <v>5730</v>
      </c>
      <c r="B5726">
        <v>0.99542014353169495</v>
      </c>
      <c r="C5726">
        <v>1.06584770072307</v>
      </c>
      <c r="D5726">
        <v>0.90166694599535502</v>
      </c>
      <c r="E5726">
        <v>0.70669913222261105</v>
      </c>
      <c r="F5726">
        <v>0.53889246714599504</v>
      </c>
      <c r="G5726">
        <v>0.199333624727355</v>
      </c>
      <c r="H5726">
        <v>8.9711294597396005E-2</v>
      </c>
      <c r="I5726">
        <v>7.2624698794387002E-2</v>
      </c>
      <c r="J5726">
        <v>5.6933037560555698E-2</v>
      </c>
      <c r="K5726">
        <v>5.2557662459540001E-2</v>
      </c>
      <c r="L5726">
        <v>819.09545780861299</v>
      </c>
      <c r="M5726">
        <v>16.497016907554698</v>
      </c>
      <c r="N5726">
        <v>49.799019069984901</v>
      </c>
      <c r="O5726">
        <v>48.938762255575703</v>
      </c>
      <c r="P5726">
        <v>-8.2264858090234497E-2</v>
      </c>
      <c r="Q5726">
        <v>2.3906009895664201E-2</v>
      </c>
      <c r="R5726">
        <v>0.98909596805269595</v>
      </c>
      <c r="S5726" t="s">
        <v>12128</v>
      </c>
      <c r="T5726" t="s">
        <v>12802</v>
      </c>
      <c r="U5726" t="s">
        <v>12802</v>
      </c>
      <c r="V5726" t="s">
        <v>12802</v>
      </c>
      <c r="W5726" t="s">
        <v>18460</v>
      </c>
      <c r="X5726">
        <v>3</v>
      </c>
      <c r="Y5726" t="s">
        <v>24670</v>
      </c>
      <c r="Z5726" t="s">
        <v>31044</v>
      </c>
      <c r="AA5726">
        <v>0.45333802827217168</v>
      </c>
      <c r="AB5726" t="str">
        <f>HYPERLINK("Melting_Curves/meltCurve_Q9NTG7_SIRT3.pdf", "Melting_Curves/meltCurve_Q9NTG7_SIRT3.pdf")</f>
        <v>Melting_Curves/meltCurve_Q9NTG7_SIRT3.pdf</v>
      </c>
    </row>
    <row r="5727" spans="1:28" x14ac:dyDescent="0.25">
      <c r="A5727" t="s">
        <v>5731</v>
      </c>
      <c r="B5727">
        <v>0.99542014353169495</v>
      </c>
      <c r="C5727">
        <v>0.89681309773126305</v>
      </c>
      <c r="D5727">
        <v>0.87655989472528995</v>
      </c>
      <c r="E5727">
        <v>0.46212279452895799</v>
      </c>
      <c r="F5727">
        <v>0.12682792512133301</v>
      </c>
      <c r="G5727">
        <v>8.4028876028436505E-2</v>
      </c>
      <c r="H5727">
        <v>5.0579017182367403E-2</v>
      </c>
      <c r="I5727">
        <v>4.0003201031071398E-2</v>
      </c>
      <c r="J5727">
        <v>3.68710923615733E-2</v>
      </c>
      <c r="K5727">
        <v>4.5096069843155097E-2</v>
      </c>
      <c r="L5727">
        <v>1137.71079421487</v>
      </c>
      <c r="M5727">
        <v>24.688593782236499</v>
      </c>
      <c r="N5727">
        <v>46.239136394021699</v>
      </c>
      <c r="O5727">
        <v>45.783298100049997</v>
      </c>
      <c r="P5727">
        <v>-0.12940420481428</v>
      </c>
      <c r="Q5727">
        <v>4.0128797254912502E-2</v>
      </c>
      <c r="R5727">
        <v>0.99457830019459104</v>
      </c>
      <c r="S5727" t="s">
        <v>12129</v>
      </c>
      <c r="T5727" t="s">
        <v>12802</v>
      </c>
      <c r="U5727" t="s">
        <v>12802</v>
      </c>
      <c r="V5727" t="s">
        <v>12802</v>
      </c>
      <c r="W5727" t="s">
        <v>18461</v>
      </c>
      <c r="X5727">
        <v>18</v>
      </c>
      <c r="Y5727" t="s">
        <v>24671</v>
      </c>
      <c r="Z5727" t="s">
        <v>31045</v>
      </c>
      <c r="AA5727">
        <v>0.33889634372360999</v>
      </c>
      <c r="AB5727" t="str">
        <f>HYPERLINK("Melting_Curves/meltCurve_Q9NTI5_2_PDS5B.pdf", "Melting_Curves/meltCurve_Q9NTI5_2_PDS5B.pdf")</f>
        <v>Melting_Curves/meltCurve_Q9NTI5_2_PDS5B.pdf</v>
      </c>
    </row>
    <row r="5728" spans="1:28" x14ac:dyDescent="0.25">
      <c r="A5728" t="s">
        <v>5732</v>
      </c>
      <c r="B5728">
        <v>0.99542014353169495</v>
      </c>
      <c r="C5728">
        <v>0.85351452719148502</v>
      </c>
      <c r="D5728">
        <v>0.91607369413066397</v>
      </c>
      <c r="E5728">
        <v>0.56680176267488602</v>
      </c>
      <c r="F5728">
        <v>0.20820111435152</v>
      </c>
      <c r="G5728">
        <v>7.5512021890515493E-2</v>
      </c>
      <c r="H5728">
        <v>4.58536043584079E-2</v>
      </c>
      <c r="I5728">
        <v>3.03975324496953E-2</v>
      </c>
      <c r="J5728">
        <v>3.2922729383806699E-2</v>
      </c>
      <c r="K5728">
        <v>3.7547041053143E-2</v>
      </c>
      <c r="L5728">
        <v>1032.01868821742</v>
      </c>
      <c r="M5728">
        <v>21.956057504056201</v>
      </c>
      <c r="N5728">
        <v>47.120404961934497</v>
      </c>
      <c r="O5728">
        <v>46.619116462879397</v>
      </c>
      <c r="P5728">
        <v>-0.114631663588592</v>
      </c>
      <c r="Q5728">
        <v>2.6436028608374702E-2</v>
      </c>
      <c r="R5728">
        <v>0.98857981093979097</v>
      </c>
      <c r="S5728" t="s">
        <v>12130</v>
      </c>
      <c r="T5728" t="s">
        <v>12802</v>
      </c>
      <c r="U5728" t="s">
        <v>12802</v>
      </c>
      <c r="V5728" t="s">
        <v>12802</v>
      </c>
      <c r="W5728" t="s">
        <v>18462</v>
      </c>
      <c r="X5728">
        <v>49</v>
      </c>
      <c r="Y5728" t="s">
        <v>24672</v>
      </c>
      <c r="Z5728" t="s">
        <v>31046</v>
      </c>
      <c r="AA5728">
        <v>0.36168368363305942</v>
      </c>
      <c r="AB5728" t="str">
        <f>HYPERLINK("Melting_Curves/meltCurve_Q9NTJ3_SMC4.pdf", "Melting_Curves/meltCurve_Q9NTJ3_SMC4.pdf")</f>
        <v>Melting_Curves/meltCurve_Q9NTJ3_SMC4.pdf</v>
      </c>
    </row>
    <row r="5729" spans="1:28" x14ac:dyDescent="0.25">
      <c r="A5729" t="s">
        <v>5733</v>
      </c>
      <c r="B5729">
        <v>0.99542014353169495</v>
      </c>
      <c r="C5729">
        <v>0.940205112444639</v>
      </c>
      <c r="D5729">
        <v>1.1243590433434101</v>
      </c>
      <c r="E5729">
        <v>0.78474636193595004</v>
      </c>
      <c r="F5729">
        <v>0.81371788409825596</v>
      </c>
      <c r="G5729">
        <v>0.50839921189982795</v>
      </c>
      <c r="H5729">
        <v>0.71057850738823003</v>
      </c>
      <c r="I5729">
        <v>0.83391226116303596</v>
      </c>
      <c r="J5729">
        <v>1.1279734844770499</v>
      </c>
      <c r="K5729">
        <v>0.92383518694343203</v>
      </c>
      <c r="L5729">
        <v>11215.5347469724</v>
      </c>
      <c r="M5729">
        <v>250</v>
      </c>
      <c r="O5729">
        <v>44.859268126924299</v>
      </c>
      <c r="P5729">
        <v>-0.258118443276529</v>
      </c>
      <c r="Q5729">
        <v>0.814735929005866</v>
      </c>
      <c r="R5729">
        <v>0.27076802849625398</v>
      </c>
      <c r="S5729" t="s">
        <v>12131</v>
      </c>
      <c r="T5729" t="s">
        <v>12802</v>
      </c>
      <c r="U5729" t="s">
        <v>12802</v>
      </c>
      <c r="V5729" t="s">
        <v>12802</v>
      </c>
      <c r="W5729" t="s">
        <v>18463</v>
      </c>
      <c r="X5729">
        <v>1</v>
      </c>
      <c r="Y5729" t="s">
        <v>24673</v>
      </c>
      <c r="Z5729" t="s">
        <v>31047</v>
      </c>
      <c r="AA5729">
        <v>0.86330291113654511</v>
      </c>
      <c r="AB5729" t="str">
        <f>HYPERLINK("Melting_Curves/meltCurve_Q9NTJ4_3_MAN2C1.pdf", "Melting_Curves/meltCurve_Q9NTJ4_3_MAN2C1.pdf")</f>
        <v>Melting_Curves/meltCurve_Q9NTJ4_3_MAN2C1.pdf</v>
      </c>
    </row>
    <row r="5730" spans="1:28" x14ac:dyDescent="0.25">
      <c r="A5730" t="s">
        <v>5734</v>
      </c>
      <c r="B5730">
        <v>0.99542014353169495</v>
      </c>
      <c r="C5730">
        <v>1.01761132746032</v>
      </c>
      <c r="D5730">
        <v>1.0291692715525</v>
      </c>
      <c r="E5730">
        <v>0.87876433803995602</v>
      </c>
      <c r="F5730">
        <v>0.31274607302846003</v>
      </c>
      <c r="G5730">
        <v>9.8298507329207502E-2</v>
      </c>
      <c r="H5730">
        <v>6.6790647278651694E-2</v>
      </c>
      <c r="I5730">
        <v>4.2591765557915398E-2</v>
      </c>
      <c r="J5730">
        <v>3.8035566078216898E-2</v>
      </c>
      <c r="K5730">
        <v>4.4225383910303499E-2</v>
      </c>
      <c r="L5730">
        <v>1851.9952330374899</v>
      </c>
      <c r="M5730">
        <v>37.8317764092224</v>
      </c>
      <c r="N5730">
        <v>49.091140512090803</v>
      </c>
      <c r="O5730">
        <v>48.817255859398003</v>
      </c>
      <c r="P5730">
        <v>-0.183988625419125</v>
      </c>
      <c r="Q5730">
        <v>5.0343764135171901E-2</v>
      </c>
      <c r="R5730">
        <v>0.99882797966485504</v>
      </c>
      <c r="S5730" t="s">
        <v>12132</v>
      </c>
      <c r="T5730" t="s">
        <v>12802</v>
      </c>
      <c r="U5730" t="s">
        <v>12802</v>
      </c>
      <c r="V5730" t="s">
        <v>12802</v>
      </c>
      <c r="W5730" t="s">
        <v>18464</v>
      </c>
      <c r="X5730">
        <v>18</v>
      </c>
      <c r="Y5730" t="s">
        <v>24674</v>
      </c>
      <c r="Z5730" t="s">
        <v>31048</v>
      </c>
      <c r="AA5730">
        <v>0.43232624814681342</v>
      </c>
      <c r="AB5730" t="str">
        <f>HYPERLINK("Melting_Curves/meltCurve_Q9NTJ5_SACM1L.pdf", "Melting_Curves/meltCurve_Q9NTJ5_SACM1L.pdf")</f>
        <v>Melting_Curves/meltCurve_Q9NTJ5_SACM1L.pdf</v>
      </c>
    </row>
    <row r="5731" spans="1:28" x14ac:dyDescent="0.25">
      <c r="A5731" t="s">
        <v>5735</v>
      </c>
      <c r="B5731">
        <v>0.99542014353169495</v>
      </c>
      <c r="C5731">
        <v>1.0703991650506299</v>
      </c>
      <c r="D5731">
        <v>1.05077405018309</v>
      </c>
      <c r="E5731">
        <v>1.05851280853856</v>
      </c>
      <c r="F5731">
        <v>0.852614268624451</v>
      </c>
      <c r="G5731">
        <v>0.66791913031919303</v>
      </c>
      <c r="H5731">
        <v>0.28185989650561399</v>
      </c>
      <c r="I5731">
        <v>0.12618163896828199</v>
      </c>
      <c r="J5731">
        <v>0.128149521989423</v>
      </c>
      <c r="K5731">
        <v>0.109748180559761</v>
      </c>
      <c r="L5731">
        <v>1409.82376793565</v>
      </c>
      <c r="M5731">
        <v>25.807221272906101</v>
      </c>
      <c r="N5731">
        <v>55.066514889699299</v>
      </c>
      <c r="O5731">
        <v>54.304191892219698</v>
      </c>
      <c r="P5731">
        <v>-0.107797551161999</v>
      </c>
      <c r="Q5731">
        <v>9.2689675726585305E-2</v>
      </c>
      <c r="R5731">
        <v>0.98867639627287796</v>
      </c>
      <c r="S5731" t="s">
        <v>12133</v>
      </c>
      <c r="T5731" t="s">
        <v>12802</v>
      </c>
      <c r="U5731" t="s">
        <v>12802</v>
      </c>
      <c r="V5731" t="s">
        <v>12802</v>
      </c>
      <c r="W5731" t="s">
        <v>18465</v>
      </c>
      <c r="X5731">
        <v>6</v>
      </c>
      <c r="Y5731" t="s">
        <v>24675</v>
      </c>
      <c r="Z5731" t="s">
        <v>31049</v>
      </c>
      <c r="AA5731">
        <v>0.63328711527797499</v>
      </c>
      <c r="AB5731" t="str">
        <f>HYPERLINK("Melting_Curves/meltCurve_Q9NTM9_CUTC.pdf", "Melting_Curves/meltCurve_Q9NTM9_CUTC.pdf")</f>
        <v>Melting_Curves/meltCurve_Q9NTM9_CUTC.pdf</v>
      </c>
    </row>
    <row r="5732" spans="1:28" x14ac:dyDescent="0.25">
      <c r="A5732" t="s">
        <v>5736</v>
      </c>
      <c r="B5732">
        <v>0.99542014353169495</v>
      </c>
      <c r="C5732">
        <v>1.02058213377896</v>
      </c>
      <c r="D5732">
        <v>0.939916551499695</v>
      </c>
      <c r="E5732">
        <v>0.92573673565036996</v>
      </c>
      <c r="F5732">
        <v>0.81067803158905505</v>
      </c>
      <c r="G5732">
        <v>0.63854920074949695</v>
      </c>
      <c r="H5732">
        <v>0.454616832107057</v>
      </c>
      <c r="I5732">
        <v>0.41664550758128799</v>
      </c>
      <c r="J5732">
        <v>0.56733967433301502</v>
      </c>
      <c r="K5732">
        <v>0.61976498071859498</v>
      </c>
      <c r="L5732">
        <v>1345.8418076323101</v>
      </c>
      <c r="M5732">
        <v>26.459277349387001</v>
      </c>
      <c r="O5732">
        <v>50.5767641894886</v>
      </c>
      <c r="P5732">
        <v>-6.3488502770029195E-2</v>
      </c>
      <c r="Q5732">
        <v>0.51457346618427902</v>
      </c>
      <c r="R5732">
        <v>0.92021350536712498</v>
      </c>
      <c r="S5732" t="s">
        <v>12134</v>
      </c>
      <c r="T5732" t="s">
        <v>12802</v>
      </c>
      <c r="U5732" t="s">
        <v>12802</v>
      </c>
      <c r="V5732" t="s">
        <v>12802</v>
      </c>
      <c r="W5732" t="s">
        <v>18466</v>
      </c>
      <c r="X5732">
        <v>11</v>
      </c>
      <c r="Y5732" t="s">
        <v>24676</v>
      </c>
      <c r="Z5732" t="s">
        <v>31050</v>
      </c>
      <c r="AA5732">
        <v>0.74276108630738114</v>
      </c>
      <c r="AB5732" t="str">
        <f>HYPERLINK("Melting_Curves/meltCurve_Q9NTX5_2_ECHDC1.pdf", "Melting_Curves/meltCurve_Q9NTX5_2_ECHDC1.pdf")</f>
        <v>Melting_Curves/meltCurve_Q9NTX5_2_ECHDC1.pdf</v>
      </c>
    </row>
    <row r="5733" spans="1:28" x14ac:dyDescent="0.25">
      <c r="A5733" t="s">
        <v>5737</v>
      </c>
      <c r="B5733">
        <v>0.99542014353169495</v>
      </c>
      <c r="C5733">
        <v>1.0936184299471501</v>
      </c>
      <c r="D5733">
        <v>0.985912795959352</v>
      </c>
      <c r="E5733">
        <v>0.94540946621907596</v>
      </c>
      <c r="F5733">
        <v>0.56235702837414603</v>
      </c>
      <c r="G5733">
        <v>0.421471744107695</v>
      </c>
      <c r="H5733">
        <v>0.204253357397158</v>
      </c>
      <c r="I5733">
        <v>0.122683422547089</v>
      </c>
      <c r="J5733">
        <v>0.145116570016046</v>
      </c>
      <c r="K5733">
        <v>0.21454218632386499</v>
      </c>
      <c r="L5733">
        <v>1101.9334863839499</v>
      </c>
      <c r="M5733">
        <v>21.706827965484202</v>
      </c>
      <c r="N5733">
        <v>51.655833686228497</v>
      </c>
      <c r="O5733">
        <v>50.339419664403302</v>
      </c>
      <c r="P5733">
        <v>-9.0963527955050499E-2</v>
      </c>
      <c r="Q5733">
        <v>0.15622058795350599</v>
      </c>
      <c r="R5733">
        <v>0.98018939750489698</v>
      </c>
      <c r="S5733" t="s">
        <v>12135</v>
      </c>
      <c r="T5733" t="s">
        <v>12802</v>
      </c>
      <c r="U5733" t="s">
        <v>12802</v>
      </c>
      <c r="V5733" t="s">
        <v>12802</v>
      </c>
      <c r="W5733" t="s">
        <v>18467</v>
      </c>
      <c r="X5733">
        <v>2</v>
      </c>
      <c r="Y5733" t="s">
        <v>24677</v>
      </c>
      <c r="Z5733" t="s">
        <v>31051</v>
      </c>
      <c r="AA5733">
        <v>0.55296691234908024</v>
      </c>
      <c r="AB5733" t="str">
        <f>HYPERLINK("Melting_Curves/meltCurve_Q9NTX7_2_RNF146.pdf", "Melting_Curves/meltCurve_Q9NTX7_2_RNF146.pdf")</f>
        <v>Melting_Curves/meltCurve_Q9NTX7_2_RNF146.pdf</v>
      </c>
    </row>
    <row r="5734" spans="1:28" x14ac:dyDescent="0.25">
      <c r="A5734" t="s">
        <v>5738</v>
      </c>
      <c r="B5734">
        <v>0.99542014353169495</v>
      </c>
      <c r="C5734">
        <v>1.0122581134866799</v>
      </c>
      <c r="D5734">
        <v>0.99739645349981798</v>
      </c>
      <c r="E5734">
        <v>0.75101044526249905</v>
      </c>
      <c r="F5734">
        <v>0.19196688329021699</v>
      </c>
      <c r="G5734">
        <v>9.8085107200056407E-2</v>
      </c>
      <c r="H5734">
        <v>6.22534428766153E-2</v>
      </c>
      <c r="I5734">
        <v>4.6026989149409503E-2</v>
      </c>
      <c r="J5734">
        <v>5.2324246478647703E-2</v>
      </c>
      <c r="K5734">
        <v>4.8655389554579299E-2</v>
      </c>
      <c r="L5734">
        <v>1805.21054592265</v>
      </c>
      <c r="M5734">
        <v>37.714210386106799</v>
      </c>
      <c r="N5734">
        <v>48.020595315976898</v>
      </c>
      <c r="O5734">
        <v>47.731546596757099</v>
      </c>
      <c r="P5734">
        <v>-0.186208541225654</v>
      </c>
      <c r="Q5734">
        <v>5.7331639529940297E-2</v>
      </c>
      <c r="R5734">
        <v>0.999314749010491</v>
      </c>
      <c r="S5734" t="s">
        <v>12136</v>
      </c>
      <c r="T5734" t="s">
        <v>12802</v>
      </c>
      <c r="U5734" t="s">
        <v>12802</v>
      </c>
      <c r="V5734" t="s">
        <v>12802</v>
      </c>
      <c r="W5734" t="s">
        <v>18468</v>
      </c>
      <c r="X5734">
        <v>22</v>
      </c>
      <c r="Y5734" t="s">
        <v>24678</v>
      </c>
      <c r="Z5734" t="s">
        <v>31052</v>
      </c>
      <c r="AA5734">
        <v>0.40226318868769673</v>
      </c>
      <c r="AB5734" t="str">
        <f>HYPERLINK("Melting_Curves/meltCurve_Q9NTZ6_RBM12.pdf", "Melting_Curves/meltCurve_Q9NTZ6_RBM12.pdf")</f>
        <v>Melting_Curves/meltCurve_Q9NTZ6_RBM12.pdf</v>
      </c>
    </row>
    <row r="5735" spans="1:28" x14ac:dyDescent="0.25">
      <c r="A5735" t="s">
        <v>5739</v>
      </c>
      <c r="B5735">
        <v>0.99542014353169495</v>
      </c>
      <c r="C5735">
        <v>0.98181929317183103</v>
      </c>
      <c r="D5735">
        <v>1.0199203563175201</v>
      </c>
      <c r="E5735">
        <v>0.913087128811639</v>
      </c>
      <c r="F5735">
        <v>0.704835142100389</v>
      </c>
      <c r="G5735">
        <v>0.324048316622291</v>
      </c>
      <c r="H5735">
        <v>0.17153009378057499</v>
      </c>
      <c r="I5735">
        <v>8.7709640234599304E-2</v>
      </c>
      <c r="J5735">
        <v>9.8914091618034106E-2</v>
      </c>
      <c r="K5735">
        <v>6.2737421829896597E-2</v>
      </c>
      <c r="L5735">
        <v>1204.0750669105</v>
      </c>
      <c r="M5735">
        <v>23.288604353812101</v>
      </c>
      <c r="N5735">
        <v>52.050036762313901</v>
      </c>
      <c r="O5735">
        <v>51.325647481231798</v>
      </c>
      <c r="P5735">
        <v>-0.105265736835364</v>
      </c>
      <c r="Q5735">
        <v>7.2038063345609096E-2</v>
      </c>
      <c r="R5735">
        <v>0.99830878194226802</v>
      </c>
      <c r="S5735" t="s">
        <v>12137</v>
      </c>
      <c r="T5735" t="s">
        <v>12802</v>
      </c>
      <c r="U5735" t="s">
        <v>12802</v>
      </c>
      <c r="V5735" t="s">
        <v>12802</v>
      </c>
      <c r="W5735" t="s">
        <v>18469</v>
      </c>
      <c r="X5735">
        <v>9</v>
      </c>
      <c r="Y5735" t="s">
        <v>24679</v>
      </c>
      <c r="Z5735" t="s">
        <v>31053</v>
      </c>
      <c r="AA5735">
        <v>0.53613755574059874</v>
      </c>
      <c r="AB5735" t="str">
        <f>HYPERLINK("Melting_Curves/meltCurve_Q9NU19_TBC1D22B.pdf", "Melting_Curves/meltCurve_Q9NU19_TBC1D22B.pdf")</f>
        <v>Melting_Curves/meltCurve_Q9NU19_TBC1D22B.pdf</v>
      </c>
    </row>
    <row r="5736" spans="1:28" x14ac:dyDescent="0.25">
      <c r="A5736" t="s">
        <v>5740</v>
      </c>
      <c r="B5736">
        <v>0.99542014353169495</v>
      </c>
      <c r="C5736">
        <v>0.96272328781400396</v>
      </c>
      <c r="D5736">
        <v>0.99488621594545601</v>
      </c>
      <c r="E5736">
        <v>0.53979675148465101</v>
      </c>
      <c r="F5736">
        <v>0.23800360428183501</v>
      </c>
      <c r="G5736">
        <v>0.115338754861955</v>
      </c>
      <c r="H5736">
        <v>7.1392759065194503E-2</v>
      </c>
      <c r="I5736">
        <v>5.0643260080227098E-2</v>
      </c>
      <c r="J5736">
        <v>4.9439828110882302E-2</v>
      </c>
      <c r="K5736">
        <v>5.6672927596864403E-2</v>
      </c>
      <c r="L5736">
        <v>1251.1064823382101</v>
      </c>
      <c r="M5736">
        <v>26.646159317091801</v>
      </c>
      <c r="N5736">
        <v>47.193115815149298</v>
      </c>
      <c r="O5736">
        <v>46.690550892418401</v>
      </c>
      <c r="P5736">
        <v>-0.133617178015695</v>
      </c>
      <c r="Q5736">
        <v>6.3490781600149898E-2</v>
      </c>
      <c r="R5736">
        <v>0.99433057707897499</v>
      </c>
      <c r="S5736" t="s">
        <v>12138</v>
      </c>
      <c r="T5736" t="s">
        <v>12802</v>
      </c>
      <c r="U5736" t="s">
        <v>12802</v>
      </c>
      <c r="V5736" t="s">
        <v>12802</v>
      </c>
      <c r="W5736" t="s">
        <v>18470</v>
      </c>
      <c r="X5736">
        <v>51</v>
      </c>
      <c r="Y5736" t="s">
        <v>24680</v>
      </c>
      <c r="Z5736" t="s">
        <v>31054</v>
      </c>
      <c r="AA5736">
        <v>0.38109208462032912</v>
      </c>
      <c r="AB5736" t="str">
        <f>HYPERLINK("Melting_Curves/meltCurve_Q9NU22_MDN1.pdf", "Melting_Curves/meltCurve_Q9NU22_MDN1.pdf")</f>
        <v>Melting_Curves/meltCurve_Q9NU22_MDN1.pdf</v>
      </c>
    </row>
    <row r="5737" spans="1:28" x14ac:dyDescent="0.25">
      <c r="A5737" t="s">
        <v>5741</v>
      </c>
      <c r="B5737">
        <v>0.99542014353169495</v>
      </c>
      <c r="C5737">
        <v>0.967599788879145</v>
      </c>
      <c r="D5737">
        <v>0.87065597990047305</v>
      </c>
      <c r="E5737">
        <v>0.85962191239824304</v>
      </c>
      <c r="F5737">
        <v>0.63780969021249301</v>
      </c>
      <c r="G5737">
        <v>0.39765760213187801</v>
      </c>
      <c r="H5737">
        <v>0.19548168925302101</v>
      </c>
      <c r="I5737">
        <v>0.105577678937228</v>
      </c>
      <c r="J5737">
        <v>0.107236595941088</v>
      </c>
      <c r="K5737">
        <v>0.14698435356710299</v>
      </c>
      <c r="L5737">
        <v>792.54445407482297</v>
      </c>
      <c r="M5737">
        <v>15.4161191037738</v>
      </c>
      <c r="N5737">
        <v>51.9195927394724</v>
      </c>
      <c r="O5737">
        <v>50.568353334282598</v>
      </c>
      <c r="P5737">
        <v>-7.0870938764942798E-2</v>
      </c>
      <c r="Q5737">
        <v>7.0193763691909605E-2</v>
      </c>
      <c r="R5737">
        <v>0.98913745062663105</v>
      </c>
      <c r="S5737" t="s">
        <v>12139</v>
      </c>
      <c r="T5737" t="s">
        <v>12802</v>
      </c>
      <c r="U5737" t="s">
        <v>12802</v>
      </c>
      <c r="V5737" t="s">
        <v>12802</v>
      </c>
      <c r="W5737" t="s">
        <v>18471</v>
      </c>
      <c r="X5737">
        <v>2</v>
      </c>
      <c r="Y5737" t="s">
        <v>24681</v>
      </c>
      <c r="Z5737" t="s">
        <v>31055</v>
      </c>
      <c r="AA5737">
        <v>0.53455545999023457</v>
      </c>
      <c r="AB5737" t="str">
        <f>HYPERLINK("Melting_Curves/meltCurve_Q9NU23_LYRM2.pdf", "Melting_Curves/meltCurve_Q9NU23_LYRM2.pdf")</f>
        <v>Melting_Curves/meltCurve_Q9NU23_LYRM2.pdf</v>
      </c>
    </row>
    <row r="5738" spans="1:28" x14ac:dyDescent="0.25">
      <c r="A5738" t="s">
        <v>5742</v>
      </c>
      <c r="B5738">
        <v>0.99542014353169495</v>
      </c>
      <c r="C5738">
        <v>0.88996326276946203</v>
      </c>
      <c r="D5738">
        <v>0.86532502320159699</v>
      </c>
      <c r="E5738">
        <v>0.82339966374257401</v>
      </c>
      <c r="F5738">
        <v>0.74739768009321395</v>
      </c>
      <c r="G5738">
        <v>0.34107303622440299</v>
      </c>
      <c r="H5738">
        <v>0.123016115351767</v>
      </c>
      <c r="I5738">
        <v>0.11098342076501901</v>
      </c>
      <c r="J5738">
        <v>4.1999228914411303E-2</v>
      </c>
      <c r="K5738">
        <v>4.5924992492029498E-2</v>
      </c>
      <c r="L5738">
        <v>846.39423513426095</v>
      </c>
      <c r="M5738">
        <v>16.253122960348598</v>
      </c>
      <c r="N5738">
        <v>52.075788399417</v>
      </c>
      <c r="O5738">
        <v>51.306596330640197</v>
      </c>
      <c r="P5738">
        <v>-7.9201914439437998E-2</v>
      </c>
      <c r="Q5738">
        <v>0</v>
      </c>
      <c r="R5738">
        <v>0.97270640411501397</v>
      </c>
      <c r="S5738" t="s">
        <v>12140</v>
      </c>
      <c r="T5738" t="s">
        <v>12802</v>
      </c>
      <c r="U5738" t="s">
        <v>12802</v>
      </c>
      <c r="V5738" t="s">
        <v>12802</v>
      </c>
      <c r="W5738" t="s">
        <v>18472</v>
      </c>
      <c r="X5738">
        <v>1</v>
      </c>
      <c r="Y5738" t="s">
        <v>24682</v>
      </c>
      <c r="Z5738" t="s">
        <v>31056</v>
      </c>
      <c r="AA5738">
        <v>0.51982398876891589</v>
      </c>
      <c r="AB5738" t="str">
        <f>HYPERLINK("Melting_Curves/meltCurve_Q9NUD5_ZCCHC3.pdf", "Melting_Curves/meltCurve_Q9NUD5_ZCCHC3.pdf")</f>
        <v>Melting_Curves/meltCurve_Q9NUD5_ZCCHC3.pdf</v>
      </c>
    </row>
    <row r="5739" spans="1:28" x14ac:dyDescent="0.25">
      <c r="A5739" t="s">
        <v>5743</v>
      </c>
      <c r="B5739">
        <v>0.99542014353169495</v>
      </c>
      <c r="C5739">
        <v>1.0980379774651801</v>
      </c>
      <c r="D5739">
        <v>0.86338868646714795</v>
      </c>
      <c r="E5739">
        <v>0.65610494563176702</v>
      </c>
      <c r="F5739">
        <v>0.68519487457320405</v>
      </c>
      <c r="G5739">
        <v>0.35870700055449201</v>
      </c>
      <c r="H5739">
        <v>0.252659154504775</v>
      </c>
      <c r="I5739">
        <v>0.16678304304748001</v>
      </c>
      <c r="J5739">
        <v>9.0910306199893196E-2</v>
      </c>
      <c r="K5739">
        <v>0.17744355437867501</v>
      </c>
      <c r="L5739">
        <v>599.12258138030097</v>
      </c>
      <c r="M5739">
        <v>11.7800024628272</v>
      </c>
      <c r="N5739">
        <v>51.478999241193399</v>
      </c>
      <c r="O5739">
        <v>49.460022198013696</v>
      </c>
      <c r="P5739">
        <v>-5.5621364181440397E-2</v>
      </c>
      <c r="Q5739">
        <v>6.6104897228006401E-2</v>
      </c>
      <c r="R5739">
        <v>0.95869363044098899</v>
      </c>
      <c r="S5739" t="s">
        <v>12141</v>
      </c>
      <c r="T5739" t="s">
        <v>12802</v>
      </c>
      <c r="U5739" t="s">
        <v>12802</v>
      </c>
      <c r="V5739" t="s">
        <v>12802</v>
      </c>
      <c r="W5739" t="s">
        <v>18473</v>
      </c>
      <c r="X5739">
        <v>2</v>
      </c>
      <c r="Y5739" t="s">
        <v>24683</v>
      </c>
      <c r="Z5739" t="s">
        <v>31057</v>
      </c>
      <c r="AA5739">
        <v>0.5225901702396889</v>
      </c>
      <c r="AB5739" t="str">
        <f>HYPERLINK("Melting_Curves/meltCurve_Q9NUE0_ZDHHC18.pdf", "Melting_Curves/meltCurve_Q9NUE0_ZDHHC18.pdf")</f>
        <v>Melting_Curves/meltCurve_Q9NUE0_ZDHHC18.pdf</v>
      </c>
    </row>
    <row r="5740" spans="1:28" x14ac:dyDescent="0.25">
      <c r="A5740" t="s">
        <v>5744</v>
      </c>
      <c r="B5740">
        <v>0.99542014353169495</v>
      </c>
      <c r="C5740">
        <v>0.92315598948806699</v>
      </c>
      <c r="D5740">
        <v>0.97734362011220599</v>
      </c>
      <c r="E5740">
        <v>0.810181125508461</v>
      </c>
      <c r="F5740">
        <v>0.58187502155799897</v>
      </c>
      <c r="G5740">
        <v>0.41832575777970099</v>
      </c>
      <c r="H5740">
        <v>0.27759619346401898</v>
      </c>
      <c r="I5740">
        <v>0.143973139152063</v>
      </c>
      <c r="J5740">
        <v>0.13862689618747001</v>
      </c>
      <c r="K5740">
        <v>0.180993497619405</v>
      </c>
      <c r="L5740">
        <v>723.07566842923302</v>
      </c>
      <c r="M5740">
        <v>14.1999663460184</v>
      </c>
      <c r="N5740">
        <v>51.851463596779702</v>
      </c>
      <c r="O5740">
        <v>49.942977162244098</v>
      </c>
      <c r="P5740">
        <v>-6.3093876428507306E-2</v>
      </c>
      <c r="Q5740">
        <v>0.11247632741267299</v>
      </c>
      <c r="R5740">
        <v>0.991079486626122</v>
      </c>
      <c r="S5740" t="s">
        <v>12142</v>
      </c>
      <c r="T5740" t="s">
        <v>12802</v>
      </c>
      <c r="U5740" t="s">
        <v>12802</v>
      </c>
      <c r="V5740" t="s">
        <v>12802</v>
      </c>
      <c r="W5740" t="s">
        <v>18474</v>
      </c>
      <c r="X5740">
        <v>4</v>
      </c>
      <c r="Y5740" t="s">
        <v>24684</v>
      </c>
      <c r="Z5740" t="s">
        <v>31058</v>
      </c>
      <c r="AA5740">
        <v>0.54354959285040216</v>
      </c>
      <c r="AB5740" t="str">
        <f>HYPERLINK("Melting_Curves/meltCurve_Q9NUG6_PDRG1.pdf", "Melting_Curves/meltCurve_Q9NUG6_PDRG1.pdf")</f>
        <v>Melting_Curves/meltCurve_Q9NUG6_PDRG1.pdf</v>
      </c>
    </row>
    <row r="5741" spans="1:28" x14ac:dyDescent="0.25">
      <c r="A5741" t="s">
        <v>5745</v>
      </c>
      <c r="B5741">
        <v>0.99542014353169495</v>
      </c>
      <c r="C5741">
        <v>0.92161615015776899</v>
      </c>
      <c r="D5741">
        <v>0.815778462648027</v>
      </c>
      <c r="E5741">
        <v>0.81267399477049596</v>
      </c>
      <c r="F5741">
        <v>0.73442200601181196</v>
      </c>
      <c r="G5741">
        <v>0.97979532376058998</v>
      </c>
      <c r="H5741">
        <v>0.72671795500009195</v>
      </c>
      <c r="I5741">
        <v>0.68391612873573004</v>
      </c>
      <c r="J5741">
        <v>0.74024014621237</v>
      </c>
      <c r="K5741">
        <v>0.36520479286191998</v>
      </c>
      <c r="L5741">
        <v>254.170780403724</v>
      </c>
      <c r="M5741">
        <v>3.5194775162324099</v>
      </c>
      <c r="O5741">
        <v>56.735162930197497</v>
      </c>
      <c r="P5741">
        <v>-1.5806267829835598E-2</v>
      </c>
      <c r="Q5741">
        <v>0</v>
      </c>
      <c r="R5741">
        <v>0.57257471063853005</v>
      </c>
      <c r="S5741" t="s">
        <v>12143</v>
      </c>
      <c r="T5741" t="s">
        <v>12802</v>
      </c>
      <c r="U5741" t="s">
        <v>12802</v>
      </c>
      <c r="V5741" t="s">
        <v>12802</v>
      </c>
      <c r="W5741" t="s">
        <v>18475</v>
      </c>
      <c r="X5741">
        <v>3</v>
      </c>
      <c r="Y5741" t="s">
        <v>24685</v>
      </c>
      <c r="Z5741" t="s">
        <v>31059</v>
      </c>
      <c r="AA5741">
        <v>0.78709070382873947</v>
      </c>
      <c r="AB5741" t="str">
        <f>HYPERLINK("Melting_Curves/meltCurve_Q9NUJ1_ABHD10.pdf", "Melting_Curves/meltCurve_Q9NUJ1_ABHD10.pdf")</f>
        <v>Melting_Curves/meltCurve_Q9NUJ1_ABHD10.pdf</v>
      </c>
    </row>
    <row r="5742" spans="1:28" x14ac:dyDescent="0.25">
      <c r="A5742" t="s">
        <v>5746</v>
      </c>
      <c r="B5742">
        <v>0.99542014353169495</v>
      </c>
      <c r="C5742">
        <v>1.00269596998745</v>
      </c>
      <c r="D5742">
        <v>1.06288795058748</v>
      </c>
      <c r="E5742">
        <v>1.00340771302711</v>
      </c>
      <c r="F5742">
        <v>0.83990279266260803</v>
      </c>
      <c r="G5742">
        <v>0.62947497078377301</v>
      </c>
      <c r="H5742">
        <v>0.52955153304717695</v>
      </c>
      <c r="I5742">
        <v>0.48342536893211802</v>
      </c>
      <c r="J5742">
        <v>0.63681088640776495</v>
      </c>
      <c r="K5742">
        <v>0.72066437194798905</v>
      </c>
      <c r="L5742">
        <v>2476.3969288632502</v>
      </c>
      <c r="M5742">
        <v>48.882594238937699</v>
      </c>
      <c r="O5742">
        <v>50.575528353944797</v>
      </c>
      <c r="P5742">
        <v>-9.7848350805757794E-2</v>
      </c>
      <c r="Q5742">
        <v>0.59505198401863302</v>
      </c>
      <c r="R5742">
        <v>0.90912047025851805</v>
      </c>
      <c r="S5742" t="s">
        <v>12144</v>
      </c>
      <c r="T5742" t="s">
        <v>12802</v>
      </c>
      <c r="U5742" t="s">
        <v>12802</v>
      </c>
      <c r="V5742" t="s">
        <v>12802</v>
      </c>
      <c r="W5742" t="s">
        <v>18476</v>
      </c>
      <c r="X5742">
        <v>8</v>
      </c>
      <c r="Y5742" t="s">
        <v>24686</v>
      </c>
      <c r="Z5742" t="s">
        <v>31060</v>
      </c>
      <c r="AA5742">
        <v>0.78038644441091742</v>
      </c>
      <c r="AB5742" t="str">
        <f>HYPERLINK("Melting_Curves/meltCurve_Q9NUM4_TMEM106B.pdf", "Melting_Curves/meltCurve_Q9NUM4_TMEM106B.pdf")</f>
        <v>Melting_Curves/meltCurve_Q9NUM4_TMEM106B.pdf</v>
      </c>
    </row>
    <row r="5743" spans="1:28" x14ac:dyDescent="0.25">
      <c r="A5743" t="s">
        <v>5747</v>
      </c>
      <c r="B5743">
        <v>0.99542014353169495</v>
      </c>
      <c r="C5743">
        <v>1.01998053128286</v>
      </c>
      <c r="D5743">
        <v>0.977819086490053</v>
      </c>
      <c r="E5743">
        <v>1.0040165807914401</v>
      </c>
      <c r="F5743">
        <v>0.903129980764102</v>
      </c>
      <c r="G5743">
        <v>0.67961877923730596</v>
      </c>
      <c r="H5743">
        <v>0.58069942839977995</v>
      </c>
      <c r="I5743">
        <v>0.51165443119393095</v>
      </c>
      <c r="J5743">
        <v>0.77278722419330403</v>
      </c>
      <c r="K5743">
        <v>0.90103405365412104</v>
      </c>
      <c r="L5743">
        <v>12589.782059401499</v>
      </c>
      <c r="M5743">
        <v>250</v>
      </c>
      <c r="O5743">
        <v>50.355905788522399</v>
      </c>
      <c r="P5743">
        <v>-0.38580532406773599</v>
      </c>
      <c r="Q5743">
        <v>0.68915877678219395</v>
      </c>
      <c r="R5743">
        <v>0.69482842695348301</v>
      </c>
      <c r="S5743" t="s">
        <v>12145</v>
      </c>
      <c r="T5743" t="s">
        <v>12802</v>
      </c>
      <c r="U5743" t="s">
        <v>12802</v>
      </c>
      <c r="V5743" t="s">
        <v>12802</v>
      </c>
      <c r="W5743" t="s">
        <v>18477</v>
      </c>
      <c r="X5743">
        <v>4</v>
      </c>
      <c r="Y5743" t="s">
        <v>24687</v>
      </c>
      <c r="Z5743" t="s">
        <v>31061</v>
      </c>
      <c r="AA5743">
        <v>0.82760517418651924</v>
      </c>
      <c r="AB5743" t="str">
        <f>HYPERLINK("Melting_Curves/meltCurve_Q9NUN5_3_LMBRD1.pdf", "Melting_Curves/meltCurve_Q9NUN5_3_LMBRD1.pdf")</f>
        <v>Melting_Curves/meltCurve_Q9NUN5_3_LMBRD1.pdf</v>
      </c>
    </row>
    <row r="5744" spans="1:28" x14ac:dyDescent="0.25">
      <c r="A5744" t="s">
        <v>5748</v>
      </c>
      <c r="B5744">
        <v>0.99542014353169495</v>
      </c>
      <c r="C5744">
        <v>0.95446728478064102</v>
      </c>
      <c r="D5744">
        <v>0.88075374696611997</v>
      </c>
      <c r="E5744">
        <v>0.82509221634976604</v>
      </c>
      <c r="F5744">
        <v>0.65472848581395704</v>
      </c>
      <c r="G5744">
        <v>0.45349230277596703</v>
      </c>
      <c r="H5744">
        <v>0.21165614175313799</v>
      </c>
      <c r="I5744">
        <v>8.1187253143575E-2</v>
      </c>
      <c r="J5744">
        <v>5.1002887948878202E-2</v>
      </c>
      <c r="K5744">
        <v>4.5407968646071502E-2</v>
      </c>
      <c r="L5744">
        <v>713.45525953307902</v>
      </c>
      <c r="M5744">
        <v>13.6443912235243</v>
      </c>
      <c r="N5744">
        <v>52.289266658480898</v>
      </c>
      <c r="O5744">
        <v>51.204437492597897</v>
      </c>
      <c r="P5744">
        <v>-6.6626980847522999E-2</v>
      </c>
      <c r="Q5744">
        <v>0</v>
      </c>
      <c r="R5744">
        <v>0.99181605293261199</v>
      </c>
      <c r="S5744" t="s">
        <v>12146</v>
      </c>
      <c r="T5744" t="s">
        <v>12802</v>
      </c>
      <c r="U5744" t="s">
        <v>12802</v>
      </c>
      <c r="V5744" t="s">
        <v>12802</v>
      </c>
      <c r="W5744" t="s">
        <v>18478</v>
      </c>
      <c r="X5744">
        <v>5</v>
      </c>
      <c r="Y5744" t="s">
        <v>24688</v>
      </c>
      <c r="Z5744" t="s">
        <v>31062</v>
      </c>
      <c r="AA5744">
        <v>0.53034604414284481</v>
      </c>
      <c r="AB5744" t="str">
        <f>HYPERLINK("Melting_Curves/meltCurve_Q9NUP1_BLOC1S4.pdf", "Melting_Curves/meltCurve_Q9NUP1_BLOC1S4.pdf")</f>
        <v>Melting_Curves/meltCurve_Q9NUP1_BLOC1S4.pdf</v>
      </c>
    </row>
    <row r="5745" spans="1:28" x14ac:dyDescent="0.25">
      <c r="A5745" t="s">
        <v>5749</v>
      </c>
      <c r="B5745">
        <v>0.99542014353169495</v>
      </c>
      <c r="C5745">
        <v>0.98403315149755999</v>
      </c>
      <c r="D5745">
        <v>0.96230099290701798</v>
      </c>
      <c r="E5745">
        <v>0.68921045530550495</v>
      </c>
      <c r="F5745">
        <v>0.367946562749349</v>
      </c>
      <c r="G5745">
        <v>0.11976160016250099</v>
      </c>
      <c r="H5745">
        <v>8.5388317463710797E-2</v>
      </c>
      <c r="I5745">
        <v>5.7017172893786001E-2</v>
      </c>
      <c r="J5745">
        <v>3.6419855453121701E-2</v>
      </c>
      <c r="K5745">
        <v>5.9092856722335399E-2</v>
      </c>
      <c r="L5745">
        <v>1038.8307839004899</v>
      </c>
      <c r="M5745">
        <v>21.467143024194499</v>
      </c>
      <c r="N5745">
        <v>48.601071512413199</v>
      </c>
      <c r="O5745">
        <v>47.977622448209999</v>
      </c>
      <c r="P5745">
        <v>-0.106921709041991</v>
      </c>
      <c r="Q5745">
        <v>4.4172421414004501E-2</v>
      </c>
      <c r="R5745">
        <v>0.99852566384903596</v>
      </c>
      <c r="S5745" t="s">
        <v>12147</v>
      </c>
      <c r="T5745" t="s">
        <v>12802</v>
      </c>
      <c r="U5745" t="s">
        <v>12802</v>
      </c>
      <c r="V5745" t="s">
        <v>12802</v>
      </c>
      <c r="W5745" t="s">
        <v>18479</v>
      </c>
      <c r="X5745">
        <v>5</v>
      </c>
      <c r="Y5745" t="s">
        <v>24689</v>
      </c>
      <c r="Z5745" t="s">
        <v>31063</v>
      </c>
      <c r="AA5745">
        <v>0.41812480583338718</v>
      </c>
      <c r="AB5745" t="str">
        <f>HYPERLINK("Melting_Curves/meltCurve_Q9NUP7_TRMT13.pdf", "Melting_Curves/meltCurve_Q9NUP7_TRMT13.pdf")</f>
        <v>Melting_Curves/meltCurve_Q9NUP7_TRMT13.pdf</v>
      </c>
    </row>
    <row r="5746" spans="1:28" x14ac:dyDescent="0.25">
      <c r="A5746" t="s">
        <v>5750</v>
      </c>
      <c r="B5746">
        <v>0.99542014353169495</v>
      </c>
      <c r="C5746">
        <v>0.98434990718152404</v>
      </c>
      <c r="D5746">
        <v>0.91506725886338303</v>
      </c>
      <c r="E5746">
        <v>0.79316174179427001</v>
      </c>
      <c r="F5746">
        <v>0.51043342851050499</v>
      </c>
      <c r="G5746">
        <v>0.27394916488658799</v>
      </c>
      <c r="H5746">
        <v>0.152080573913531</v>
      </c>
      <c r="I5746">
        <v>9.5781083857657698E-2</v>
      </c>
      <c r="J5746">
        <v>9.0953936775352504E-2</v>
      </c>
      <c r="K5746">
        <v>8.1170637645801597E-2</v>
      </c>
      <c r="L5746">
        <v>837.08288359824803</v>
      </c>
      <c r="M5746">
        <v>16.772148522320599</v>
      </c>
      <c r="N5746">
        <v>50.3067694601936</v>
      </c>
      <c r="O5746">
        <v>49.2158150800866</v>
      </c>
      <c r="P5746">
        <v>-7.9912676213324693E-2</v>
      </c>
      <c r="Q5746">
        <v>6.2085660281313702E-2</v>
      </c>
      <c r="R5746">
        <v>0.99929852770378702</v>
      </c>
      <c r="S5746" t="s">
        <v>12148</v>
      </c>
      <c r="T5746" t="s">
        <v>12802</v>
      </c>
      <c r="U5746" t="s">
        <v>12802</v>
      </c>
      <c r="V5746" t="s">
        <v>12802</v>
      </c>
      <c r="W5746" t="s">
        <v>18480</v>
      </c>
      <c r="X5746">
        <v>8</v>
      </c>
      <c r="Y5746" t="s">
        <v>24690</v>
      </c>
      <c r="Z5746" t="s">
        <v>31064</v>
      </c>
      <c r="AA5746">
        <v>0.48226205106663389</v>
      </c>
      <c r="AB5746" t="str">
        <f>HYPERLINK("Melting_Curves/meltCurve_Q9NUP9_LIN7C.pdf", "Melting_Curves/meltCurve_Q9NUP9_LIN7C.pdf")</f>
        <v>Melting_Curves/meltCurve_Q9NUP9_LIN7C.pdf</v>
      </c>
    </row>
    <row r="5747" spans="1:28" x14ac:dyDescent="0.25">
      <c r="A5747" t="s">
        <v>5751</v>
      </c>
      <c r="B5747">
        <v>0.99542014353169495</v>
      </c>
      <c r="C5747">
        <v>0.85180206309599005</v>
      </c>
      <c r="D5747">
        <v>0.86529889266549898</v>
      </c>
      <c r="E5747">
        <v>0.681342143486111</v>
      </c>
      <c r="F5747">
        <v>0.48103460618312999</v>
      </c>
      <c r="G5747">
        <v>0.16620641842151401</v>
      </c>
      <c r="H5747">
        <v>7.7945084559538705E-2</v>
      </c>
      <c r="I5747">
        <v>5.3158607933275703E-2</v>
      </c>
      <c r="J5747">
        <v>4.6399576952280502E-2</v>
      </c>
      <c r="K5747">
        <v>5.2585675335735001E-2</v>
      </c>
      <c r="L5747">
        <v>678.39997969538399</v>
      </c>
      <c r="M5747">
        <v>13.8519058026683</v>
      </c>
      <c r="N5747">
        <v>48.975199059898003</v>
      </c>
      <c r="O5747">
        <v>47.988340671675303</v>
      </c>
      <c r="P5747">
        <v>-7.2172825261307402E-2</v>
      </c>
      <c r="Q5747">
        <v>0</v>
      </c>
      <c r="R5747">
        <v>0.98426234830516002</v>
      </c>
      <c r="S5747" t="s">
        <v>12149</v>
      </c>
      <c r="T5747" t="s">
        <v>12802</v>
      </c>
      <c r="U5747" t="s">
        <v>12802</v>
      </c>
      <c r="V5747" t="s">
        <v>12802</v>
      </c>
      <c r="W5747" t="s">
        <v>18481</v>
      </c>
      <c r="X5747">
        <v>12</v>
      </c>
      <c r="Y5747" t="s">
        <v>24691</v>
      </c>
      <c r="Z5747" t="s">
        <v>31065</v>
      </c>
      <c r="AA5747">
        <v>0.42348857616696789</v>
      </c>
      <c r="AB5747" t="str">
        <f>HYPERLINK("Melting_Curves/meltCurve_Q9NUQ2_AGPAT5.pdf", "Melting_Curves/meltCurve_Q9NUQ2_AGPAT5.pdf")</f>
        <v>Melting_Curves/meltCurve_Q9NUQ2_AGPAT5.pdf</v>
      </c>
    </row>
    <row r="5748" spans="1:28" x14ac:dyDescent="0.25">
      <c r="A5748" t="s">
        <v>5752</v>
      </c>
      <c r="B5748">
        <v>0.99542014353169495</v>
      </c>
      <c r="C5748">
        <v>1.0284417122996301</v>
      </c>
      <c r="D5748">
        <v>0.99721546905188396</v>
      </c>
      <c r="E5748">
        <v>0.95503352123309004</v>
      </c>
      <c r="F5748">
        <v>0.73399299729761103</v>
      </c>
      <c r="G5748">
        <v>0.410805402061307</v>
      </c>
      <c r="H5748">
        <v>9.0129257856363998E-2</v>
      </c>
      <c r="I5748">
        <v>6.0859434419104498E-2</v>
      </c>
      <c r="J5748">
        <v>6.9846051104811499E-2</v>
      </c>
      <c r="K5748">
        <v>9.09352434809758E-2</v>
      </c>
      <c r="L5748">
        <v>1311.7162248803299</v>
      </c>
      <c r="M5748">
        <v>25.070659458390399</v>
      </c>
      <c r="N5748">
        <v>52.550194205368797</v>
      </c>
      <c r="O5748">
        <v>51.991291656805899</v>
      </c>
      <c r="P5748">
        <v>-0.114304913476348</v>
      </c>
      <c r="Q5748">
        <v>5.18349008095495E-2</v>
      </c>
      <c r="R5748">
        <v>0.99555646129226305</v>
      </c>
      <c r="S5748" t="s">
        <v>12150</v>
      </c>
      <c r="T5748" t="s">
        <v>12802</v>
      </c>
      <c r="U5748" t="s">
        <v>12802</v>
      </c>
      <c r="V5748" t="s">
        <v>12802</v>
      </c>
      <c r="W5748" t="s">
        <v>18482</v>
      </c>
      <c r="X5748">
        <v>30</v>
      </c>
      <c r="Y5748" t="s">
        <v>24692</v>
      </c>
      <c r="Z5748" t="s">
        <v>31066</v>
      </c>
      <c r="AA5748">
        <v>0.54441392820646795</v>
      </c>
      <c r="AB5748" t="str">
        <f>HYPERLINK("Melting_Curves/meltCurve_Q9NUQ3_TXLNG.pdf", "Melting_Curves/meltCurve_Q9NUQ3_TXLNG.pdf")</f>
        <v>Melting_Curves/meltCurve_Q9NUQ3_TXLNG.pdf</v>
      </c>
    </row>
    <row r="5749" spans="1:28" x14ac:dyDescent="0.25">
      <c r="A5749" t="s">
        <v>5753</v>
      </c>
      <c r="B5749">
        <v>0.99542014353169495</v>
      </c>
      <c r="C5749">
        <v>0.96707382679074805</v>
      </c>
      <c r="D5749">
        <v>1.01387218377446</v>
      </c>
      <c r="E5749">
        <v>0.80750777469188295</v>
      </c>
      <c r="F5749">
        <v>0.34871424333769002</v>
      </c>
      <c r="G5749">
        <v>0.13228733405317999</v>
      </c>
      <c r="H5749">
        <v>9.5827173855659503E-2</v>
      </c>
      <c r="I5749">
        <v>5.1524476693391698E-2</v>
      </c>
      <c r="J5749">
        <v>6.6046473098066397E-2</v>
      </c>
      <c r="K5749">
        <v>4.9792990058408398E-2</v>
      </c>
      <c r="L5749">
        <v>1410.5253466249001</v>
      </c>
      <c r="M5749">
        <v>28.899970098775501</v>
      </c>
      <c r="N5749">
        <v>49.035877924603902</v>
      </c>
      <c r="O5749">
        <v>48.575257360786402</v>
      </c>
      <c r="P5749">
        <v>-0.139361064174813</v>
      </c>
      <c r="Q5749">
        <v>6.3051177182471996E-2</v>
      </c>
      <c r="R5749">
        <v>0.99825456464075202</v>
      </c>
      <c r="S5749" t="s">
        <v>12151</v>
      </c>
      <c r="T5749" t="s">
        <v>12802</v>
      </c>
      <c r="U5749" t="s">
        <v>12802</v>
      </c>
      <c r="V5749" t="s">
        <v>12802</v>
      </c>
      <c r="W5749" t="s">
        <v>18483</v>
      </c>
      <c r="X5749">
        <v>9</v>
      </c>
      <c r="Y5749" t="s">
        <v>24693</v>
      </c>
      <c r="Z5749" t="s">
        <v>31067</v>
      </c>
      <c r="AA5749">
        <v>0.43787515985277281</v>
      </c>
      <c r="AB5749" t="str">
        <f>HYPERLINK("Melting_Curves/meltCurve_Q9NUQ7_UFSP2.pdf", "Melting_Curves/meltCurve_Q9NUQ7_UFSP2.pdf")</f>
        <v>Melting_Curves/meltCurve_Q9NUQ7_UFSP2.pdf</v>
      </c>
    </row>
    <row r="5750" spans="1:28" x14ac:dyDescent="0.25">
      <c r="A5750" t="s">
        <v>5754</v>
      </c>
      <c r="B5750">
        <v>0.99542014353169495</v>
      </c>
      <c r="C5750">
        <v>0.99881254183190005</v>
      </c>
      <c r="D5750">
        <v>0.75739809097913002</v>
      </c>
      <c r="E5750">
        <v>0.26474471637014102</v>
      </c>
      <c r="F5750">
        <v>0.16651785102025601</v>
      </c>
      <c r="G5750">
        <v>9.5628852090667502E-2</v>
      </c>
      <c r="H5750">
        <v>6.0266522942691102E-2</v>
      </c>
      <c r="I5750">
        <v>4.4240997560752303E-2</v>
      </c>
      <c r="J5750">
        <v>4.2255854041995097E-2</v>
      </c>
      <c r="K5750">
        <v>4.23714960899308E-2</v>
      </c>
      <c r="L5750">
        <v>1224.74332814117</v>
      </c>
      <c r="M5750">
        <v>27.435438738770699</v>
      </c>
      <c r="N5750">
        <v>44.860967726694803</v>
      </c>
      <c r="O5750">
        <v>44.405784468715801</v>
      </c>
      <c r="P5750">
        <v>-0.14473614165052701</v>
      </c>
      <c r="Q5750">
        <v>6.2954933659649395E-2</v>
      </c>
      <c r="R5750">
        <v>0.99514009534012304</v>
      </c>
      <c r="S5750" t="s">
        <v>12152</v>
      </c>
      <c r="T5750" t="s">
        <v>12802</v>
      </c>
      <c r="U5750" t="s">
        <v>12802</v>
      </c>
      <c r="V5750" t="s">
        <v>12802</v>
      </c>
      <c r="W5750" t="s">
        <v>18484</v>
      </c>
      <c r="X5750">
        <v>24</v>
      </c>
      <c r="Y5750" t="s">
        <v>24694</v>
      </c>
      <c r="Z5750" t="s">
        <v>31068</v>
      </c>
      <c r="AA5750">
        <v>0.30792947006612409</v>
      </c>
      <c r="AB5750" t="str">
        <f>HYPERLINK("Melting_Curves/meltCurve_Q9NUQ8_ABCF3.pdf", "Melting_Curves/meltCurve_Q9NUQ8_ABCF3.pdf")</f>
        <v>Melting_Curves/meltCurve_Q9NUQ8_ABCF3.pdf</v>
      </c>
    </row>
    <row r="5751" spans="1:28" x14ac:dyDescent="0.25">
      <c r="A5751" t="s">
        <v>5755</v>
      </c>
      <c r="B5751">
        <v>0.99542014353169495</v>
      </c>
      <c r="C5751">
        <v>1.0286831679113699</v>
      </c>
      <c r="D5751">
        <v>0.87054821656397596</v>
      </c>
      <c r="E5751">
        <v>0.90312250484725398</v>
      </c>
      <c r="F5751">
        <v>0.77251244697704402</v>
      </c>
      <c r="G5751">
        <v>0.45929225140467</v>
      </c>
      <c r="H5751">
        <v>0.102055362108183</v>
      </c>
      <c r="I5751">
        <v>6.3739033367108094E-2</v>
      </c>
      <c r="J5751">
        <v>5.3843695299170498E-2</v>
      </c>
      <c r="K5751">
        <v>5.6778051796912199E-2</v>
      </c>
      <c r="L5751">
        <v>1160.6949625699899</v>
      </c>
      <c r="M5751">
        <v>21.9590738624238</v>
      </c>
      <c r="N5751">
        <v>52.959837566505001</v>
      </c>
      <c r="O5751">
        <v>52.424693955689001</v>
      </c>
      <c r="P5751">
        <v>-0.102537857278162</v>
      </c>
      <c r="Q5751">
        <v>2.0833986991859399E-2</v>
      </c>
      <c r="R5751">
        <v>0.98452057579871799</v>
      </c>
      <c r="S5751" t="s">
        <v>12153</v>
      </c>
      <c r="T5751" t="s">
        <v>12802</v>
      </c>
      <c r="U5751" t="s">
        <v>12802</v>
      </c>
      <c r="V5751" t="s">
        <v>12802</v>
      </c>
      <c r="W5751" t="s">
        <v>18485</v>
      </c>
      <c r="X5751">
        <v>16</v>
      </c>
      <c r="Y5751" t="s">
        <v>24695</v>
      </c>
      <c r="Z5751" t="s">
        <v>31069</v>
      </c>
      <c r="AA5751">
        <v>0.54913761264279615</v>
      </c>
      <c r="AB5751" t="str">
        <f>HYPERLINK("Melting_Curves/meltCurve_Q9NUQ9_FAM49B.pdf", "Melting_Curves/meltCurve_Q9NUQ9_FAM49B.pdf")</f>
        <v>Melting_Curves/meltCurve_Q9NUQ9_FAM49B.pdf</v>
      </c>
    </row>
    <row r="5752" spans="1:28" x14ac:dyDescent="0.25">
      <c r="A5752" t="s">
        <v>5756</v>
      </c>
      <c r="B5752">
        <v>0.99542014353169495</v>
      </c>
      <c r="C5752">
        <v>1.1412687910524799</v>
      </c>
      <c r="D5752">
        <v>1.2009287753662601</v>
      </c>
      <c r="E5752">
        <v>0.89045802211855996</v>
      </c>
      <c r="F5752">
        <v>1.0175732749651301</v>
      </c>
      <c r="G5752">
        <v>0.38214673065002802</v>
      </c>
      <c r="H5752">
        <v>0.15443380322911299</v>
      </c>
      <c r="I5752">
        <v>0</v>
      </c>
      <c r="J5752">
        <v>7.6504699305130694E-2</v>
      </c>
      <c r="K5752">
        <v>0</v>
      </c>
      <c r="L5752">
        <v>3164.7227706857602</v>
      </c>
      <c r="M5752">
        <v>59.408567825985898</v>
      </c>
      <c r="N5752">
        <v>53.370679473436098</v>
      </c>
      <c r="O5752">
        <v>53.210218576270201</v>
      </c>
      <c r="P5752">
        <v>-0.26439247465413002</v>
      </c>
      <c r="Q5752">
        <v>5.2771304283266401E-2</v>
      </c>
      <c r="R5752">
        <v>0.96177013718146398</v>
      </c>
      <c r="S5752" t="s">
        <v>12154</v>
      </c>
      <c r="T5752" t="s">
        <v>12802</v>
      </c>
      <c r="U5752" t="s">
        <v>12802</v>
      </c>
      <c r="V5752" t="s">
        <v>12802</v>
      </c>
      <c r="W5752" t="s">
        <v>18486</v>
      </c>
      <c r="X5752">
        <v>1</v>
      </c>
      <c r="Y5752" t="s">
        <v>24696</v>
      </c>
      <c r="Z5752" t="s">
        <v>31070</v>
      </c>
      <c r="AA5752">
        <v>0.5680738613798425</v>
      </c>
      <c r="AB5752" t="str">
        <f>HYPERLINK("Melting_Curves/meltCurve_Q9NUS5_AP5S1.pdf", "Melting_Curves/meltCurve_Q9NUS5_AP5S1.pdf")</f>
        <v>Melting_Curves/meltCurve_Q9NUS5_AP5S1.pdf</v>
      </c>
    </row>
    <row r="5753" spans="1:28" x14ac:dyDescent="0.25">
      <c r="A5753" t="s">
        <v>5757</v>
      </c>
      <c r="B5753">
        <v>0.99542014353169495</v>
      </c>
      <c r="C5753">
        <v>1.0019077712157201</v>
      </c>
      <c r="D5753">
        <v>0.94959261289878805</v>
      </c>
      <c r="E5753">
        <v>0.86445984523767205</v>
      </c>
      <c r="F5753">
        <v>0.43633449891145898</v>
      </c>
      <c r="G5753">
        <v>0.120918125235594</v>
      </c>
      <c r="H5753">
        <v>6.5396862524942603E-2</v>
      </c>
      <c r="I5753">
        <v>4.5415988821285502E-2</v>
      </c>
      <c r="J5753">
        <v>4.9398382488903603E-2</v>
      </c>
      <c r="K5753">
        <v>4.7676316512952399E-2</v>
      </c>
      <c r="L5753">
        <v>1410.3405501145801</v>
      </c>
      <c r="M5753">
        <v>28.478689406573402</v>
      </c>
      <c r="N5753">
        <v>49.681447069031798</v>
      </c>
      <c r="O5753">
        <v>49.280412701832702</v>
      </c>
      <c r="P5753">
        <v>-0.13818925045476499</v>
      </c>
      <c r="Q5753">
        <v>4.3499789213301499E-2</v>
      </c>
      <c r="R5753">
        <v>0.99903623266086405</v>
      </c>
      <c r="S5753" t="s">
        <v>12155</v>
      </c>
      <c r="T5753" t="s">
        <v>12802</v>
      </c>
      <c r="U5753" t="s">
        <v>12802</v>
      </c>
      <c r="V5753" t="s">
        <v>12802</v>
      </c>
      <c r="W5753" t="s">
        <v>18487</v>
      </c>
      <c r="X5753">
        <v>28</v>
      </c>
      <c r="Y5753" t="s">
        <v>24697</v>
      </c>
      <c r="Z5753" t="s">
        <v>31071</v>
      </c>
      <c r="AA5753">
        <v>0.44921750874092048</v>
      </c>
      <c r="AB5753" t="str">
        <f>HYPERLINK("Melting_Curves/meltCurve_Q9NUU7_DDX19A.pdf", "Melting_Curves/meltCurve_Q9NUU7_DDX19A.pdf")</f>
        <v>Melting_Curves/meltCurve_Q9NUU7_DDX19A.pdf</v>
      </c>
    </row>
    <row r="5754" spans="1:28" x14ac:dyDescent="0.25">
      <c r="A5754" t="s">
        <v>5758</v>
      </c>
      <c r="B5754">
        <v>0.99542014353169495</v>
      </c>
      <c r="C5754">
        <v>1.036620262627</v>
      </c>
      <c r="D5754">
        <v>1.0538663367902701</v>
      </c>
      <c r="E5754">
        <v>0.708351077403235</v>
      </c>
      <c r="F5754">
        <v>0.265968072035075</v>
      </c>
      <c r="G5754">
        <v>0.15235468845321001</v>
      </c>
      <c r="H5754">
        <v>9.6744007657027203E-2</v>
      </c>
      <c r="I5754">
        <v>6.2316213456078899E-2</v>
      </c>
      <c r="J5754">
        <v>4.4275143534931498E-2</v>
      </c>
      <c r="K5754">
        <v>6.8762462548246694E-2</v>
      </c>
      <c r="L5754">
        <v>1446.25337561739</v>
      </c>
      <c r="M5754">
        <v>30.160514291715501</v>
      </c>
      <c r="N5754">
        <v>48.213705267174099</v>
      </c>
      <c r="O5754">
        <v>47.742555785882701</v>
      </c>
      <c r="P5754">
        <v>-0.14600448719888601</v>
      </c>
      <c r="Q5754">
        <v>7.5535271178907806E-2</v>
      </c>
      <c r="R5754">
        <v>0.99329659842120299</v>
      </c>
      <c r="S5754" t="s">
        <v>12156</v>
      </c>
      <c r="T5754" t="s">
        <v>12802</v>
      </c>
      <c r="U5754" t="s">
        <v>12802</v>
      </c>
      <c r="V5754" t="s">
        <v>12802</v>
      </c>
      <c r="W5754" t="s">
        <v>18488</v>
      </c>
      <c r="X5754">
        <v>4</v>
      </c>
      <c r="Y5754" t="s">
        <v>24698</v>
      </c>
      <c r="Z5754" t="s">
        <v>31072</v>
      </c>
      <c r="AA5754">
        <v>0.41843477717438288</v>
      </c>
      <c r="AB5754" t="str">
        <f>HYPERLINK("Melting_Curves/meltCurve_Q9NUW8_TDP1.pdf", "Melting_Curves/meltCurve_Q9NUW8_TDP1.pdf")</f>
        <v>Melting_Curves/meltCurve_Q9NUW8_TDP1.pdf</v>
      </c>
    </row>
    <row r="5755" spans="1:28" x14ac:dyDescent="0.25">
      <c r="A5755" t="s">
        <v>5759</v>
      </c>
      <c r="B5755">
        <v>0.99542014353169495</v>
      </c>
      <c r="C5755">
        <v>1.0469736925208899</v>
      </c>
      <c r="D5755">
        <v>0.97639501118546101</v>
      </c>
      <c r="E5755">
        <v>0.77897127372350605</v>
      </c>
      <c r="F5755">
        <v>0.32493948368021702</v>
      </c>
      <c r="G5755">
        <v>0.12879238499634699</v>
      </c>
      <c r="H5755">
        <v>7.4465168206220594E-2</v>
      </c>
      <c r="I5755">
        <v>4.7665489744254302E-2</v>
      </c>
      <c r="J5755">
        <v>4.6384906467399997E-2</v>
      </c>
      <c r="K5755">
        <v>3.2802286470028502E-2</v>
      </c>
      <c r="L5755">
        <v>1316.2223951572</v>
      </c>
      <c r="M5755">
        <v>27.063761388046199</v>
      </c>
      <c r="N5755">
        <v>48.813518435738402</v>
      </c>
      <c r="O5755">
        <v>48.3709191113659</v>
      </c>
      <c r="P5755">
        <v>-0.13325635059948901</v>
      </c>
      <c r="Q5755">
        <v>4.73358005965328E-2</v>
      </c>
      <c r="R5755">
        <v>0.99822056250829305</v>
      </c>
      <c r="S5755" t="s">
        <v>12157</v>
      </c>
      <c r="T5755" t="s">
        <v>12802</v>
      </c>
      <c r="U5755" t="s">
        <v>12802</v>
      </c>
      <c r="V5755" t="s">
        <v>12802</v>
      </c>
      <c r="W5755" t="s">
        <v>18489</v>
      </c>
      <c r="X5755">
        <v>6</v>
      </c>
      <c r="Y5755" t="s">
        <v>24699</v>
      </c>
      <c r="Z5755" t="s">
        <v>31073</v>
      </c>
      <c r="AA5755">
        <v>0.42379021742625578</v>
      </c>
      <c r="AB5755" t="str">
        <f>HYPERLINK("Melting_Curves/meltCurve_Q9NUY8_TBC1D23.pdf", "Melting_Curves/meltCurve_Q9NUY8_TBC1D23.pdf")</f>
        <v>Melting_Curves/meltCurve_Q9NUY8_TBC1D23.pdf</v>
      </c>
    </row>
    <row r="5756" spans="1:28" x14ac:dyDescent="0.25">
      <c r="A5756" t="s">
        <v>5760</v>
      </c>
      <c r="B5756">
        <v>0.99542014353169495</v>
      </c>
      <c r="C5756">
        <v>0.99893200562870799</v>
      </c>
      <c r="D5756">
        <v>1.184899925129</v>
      </c>
      <c r="E5756">
        <v>1.6161098543041801</v>
      </c>
      <c r="F5756">
        <v>1.08082996421487</v>
      </c>
      <c r="G5756">
        <v>0.66493391552186998</v>
      </c>
      <c r="H5756">
        <v>0.26186598899285002</v>
      </c>
      <c r="I5756">
        <v>9.3427521304151495E-2</v>
      </c>
      <c r="J5756">
        <v>7.4029104668023496E-2</v>
      </c>
      <c r="K5756">
        <v>8.6410099130392798E-2</v>
      </c>
      <c r="L5756">
        <v>2142.66297301346</v>
      </c>
      <c r="M5756">
        <v>39.095828955748303</v>
      </c>
      <c r="N5756">
        <v>55.073748711291003</v>
      </c>
      <c r="O5756">
        <v>54.662624808815302</v>
      </c>
      <c r="P5756">
        <v>-0.163299176915575</v>
      </c>
      <c r="Q5756">
        <v>8.6722131576206299E-2</v>
      </c>
      <c r="R5756">
        <v>0.84234108637365701</v>
      </c>
      <c r="S5756" t="s">
        <v>12158</v>
      </c>
      <c r="T5756" t="s">
        <v>12802</v>
      </c>
      <c r="U5756" t="s">
        <v>12802</v>
      </c>
      <c r="V5756" t="s">
        <v>12802</v>
      </c>
      <c r="W5756" t="s">
        <v>18490</v>
      </c>
      <c r="X5756">
        <v>5</v>
      </c>
      <c r="Y5756" t="s">
        <v>24700</v>
      </c>
      <c r="Z5756" t="s">
        <v>31074</v>
      </c>
      <c r="AA5756">
        <v>0.63233390328782191</v>
      </c>
      <c r="AB5756" t="str">
        <f>HYPERLINK("Melting_Curves/meltCurve_Q9NV06_DCAF13.pdf", "Melting_Curves/meltCurve_Q9NV06_DCAF13.pdf")</f>
        <v>Melting_Curves/meltCurve_Q9NV06_DCAF13.pdf</v>
      </c>
    </row>
    <row r="5757" spans="1:28" x14ac:dyDescent="0.25">
      <c r="A5757" t="s">
        <v>5761</v>
      </c>
      <c r="B5757">
        <v>0.99542014353169495</v>
      </c>
      <c r="C5757">
        <v>0.977122117221361</v>
      </c>
      <c r="D5757">
        <v>0.89556027367569102</v>
      </c>
      <c r="E5757">
        <v>0.83699885576377497</v>
      </c>
      <c r="F5757">
        <v>0.63411326231029197</v>
      </c>
      <c r="G5757">
        <v>0.398678505168852</v>
      </c>
      <c r="H5757">
        <v>0.226912767913071</v>
      </c>
      <c r="I5757">
        <v>0.104279462295032</v>
      </c>
      <c r="J5757">
        <v>3.6117810630694802E-2</v>
      </c>
      <c r="K5757">
        <v>5.91353155667605E-2</v>
      </c>
      <c r="L5757">
        <v>708.69187449930303</v>
      </c>
      <c r="M5757">
        <v>13.612792567027601</v>
      </c>
      <c r="N5757">
        <v>52.060709781697803</v>
      </c>
      <c r="O5757">
        <v>50.975785382862398</v>
      </c>
      <c r="P5757">
        <v>-6.6770930175752904E-2</v>
      </c>
      <c r="Q5757">
        <v>0</v>
      </c>
      <c r="R5757">
        <v>0.99675919820457604</v>
      </c>
      <c r="S5757" t="s">
        <v>12159</v>
      </c>
      <c r="T5757" t="s">
        <v>12802</v>
      </c>
      <c r="U5757" t="s">
        <v>12802</v>
      </c>
      <c r="V5757" t="s">
        <v>12802</v>
      </c>
      <c r="W5757" t="s">
        <v>18491</v>
      </c>
      <c r="X5757">
        <v>2</v>
      </c>
      <c r="Y5757" t="s">
        <v>24701</v>
      </c>
      <c r="Z5757" t="s">
        <v>31075</v>
      </c>
      <c r="AA5757">
        <v>0.52316017049540442</v>
      </c>
      <c r="AB5757" t="str">
        <f>HYPERLINK("Melting_Curves/meltCurve_Q9NV35_NUDT15.pdf", "Melting_Curves/meltCurve_Q9NV35_NUDT15.pdf")</f>
        <v>Melting_Curves/meltCurve_Q9NV35_NUDT15.pdf</v>
      </c>
    </row>
    <row r="5758" spans="1:28" x14ac:dyDescent="0.25">
      <c r="A5758" t="s">
        <v>5762</v>
      </c>
      <c r="B5758">
        <v>0.99542014353169495</v>
      </c>
      <c r="C5758">
        <v>0.97110345628264305</v>
      </c>
      <c r="D5758">
        <v>0.91192240397236302</v>
      </c>
      <c r="E5758">
        <v>0.66841914977821204</v>
      </c>
      <c r="F5758">
        <v>0.48008334082829801</v>
      </c>
      <c r="G5758">
        <v>0.20249387540223601</v>
      </c>
      <c r="H5758">
        <v>9.4103874438386498E-2</v>
      </c>
      <c r="I5758">
        <v>5.5833027657413603E-2</v>
      </c>
      <c r="J5758">
        <v>4.5528774832456598E-2</v>
      </c>
      <c r="K5758">
        <v>6.4016530466165303E-2</v>
      </c>
      <c r="L5758">
        <v>758.20839992277195</v>
      </c>
      <c r="M5758">
        <v>15.432405759477801</v>
      </c>
      <c r="N5758">
        <v>49.261783747789302</v>
      </c>
      <c r="O5758">
        <v>48.328128958803298</v>
      </c>
      <c r="P5758">
        <v>-7.8235240550487903E-2</v>
      </c>
      <c r="Q5758">
        <v>2.00825303441357E-2</v>
      </c>
      <c r="R5758">
        <v>0.99617875231512898</v>
      </c>
      <c r="S5758" t="s">
        <v>12160</v>
      </c>
      <c r="T5758" t="s">
        <v>12802</v>
      </c>
      <c r="U5758" t="s">
        <v>12802</v>
      </c>
      <c r="V5758" t="s">
        <v>12802</v>
      </c>
      <c r="W5758" t="s">
        <v>18492</v>
      </c>
      <c r="X5758">
        <v>4</v>
      </c>
      <c r="Y5758" t="s">
        <v>24702</v>
      </c>
      <c r="Z5758" t="s">
        <v>31076</v>
      </c>
      <c r="AA5758">
        <v>0.43641915984654511</v>
      </c>
      <c r="AB5758" t="str">
        <f>HYPERLINK("Melting_Curves/meltCurve_Q9NV56_MRGBP.pdf", "Melting_Curves/meltCurve_Q9NV56_MRGBP.pdf")</f>
        <v>Melting_Curves/meltCurve_Q9NV56_MRGBP.pdf</v>
      </c>
    </row>
    <row r="5759" spans="1:28" x14ac:dyDescent="0.25">
      <c r="A5759" t="s">
        <v>5763</v>
      </c>
      <c r="B5759">
        <v>0.99542014353169495</v>
      </c>
      <c r="C5759">
        <v>0.99097356430097305</v>
      </c>
      <c r="D5759">
        <v>0.91077877186359701</v>
      </c>
      <c r="E5759">
        <v>0.76627672929074897</v>
      </c>
      <c r="F5759">
        <v>0.52017273231921601</v>
      </c>
      <c r="G5759">
        <v>0.21443579159829601</v>
      </c>
      <c r="H5759">
        <v>0.124477302266384</v>
      </c>
      <c r="I5759">
        <v>9.3737463946014593E-2</v>
      </c>
      <c r="J5759">
        <v>0.108155429732029</v>
      </c>
      <c r="K5759">
        <v>0.13746270835760699</v>
      </c>
      <c r="L5759">
        <v>936.46342451381599</v>
      </c>
      <c r="M5759">
        <v>18.958399975078301</v>
      </c>
      <c r="N5759">
        <v>49.911316943518401</v>
      </c>
      <c r="O5759">
        <v>48.855938321283602</v>
      </c>
      <c r="P5759">
        <v>-8.8387710816281495E-2</v>
      </c>
      <c r="Q5759">
        <v>8.8933113341011893E-2</v>
      </c>
      <c r="R5759">
        <v>0.994592112142756</v>
      </c>
      <c r="S5759" t="s">
        <v>12161</v>
      </c>
      <c r="T5759" t="s">
        <v>12802</v>
      </c>
      <c r="U5759" t="s">
        <v>12802</v>
      </c>
      <c r="V5759" t="s">
        <v>12802</v>
      </c>
      <c r="W5759" t="s">
        <v>18493</v>
      </c>
      <c r="X5759">
        <v>9</v>
      </c>
      <c r="Y5759" t="s">
        <v>24703</v>
      </c>
      <c r="Z5759" t="s">
        <v>31077</v>
      </c>
      <c r="AA5759">
        <v>0.47857904341177232</v>
      </c>
      <c r="AB5759" t="str">
        <f>HYPERLINK("Melting_Curves/meltCurve_Q9NV66_TYW1.pdf", "Melting_Curves/meltCurve_Q9NV66_TYW1.pdf")</f>
        <v>Melting_Curves/meltCurve_Q9NV66_TYW1.pdf</v>
      </c>
    </row>
    <row r="5760" spans="1:28" x14ac:dyDescent="0.25">
      <c r="A5760" t="s">
        <v>5764</v>
      </c>
      <c r="B5760">
        <v>0.99542014353169495</v>
      </c>
      <c r="C5760">
        <v>0.87054834656289104</v>
      </c>
      <c r="D5760">
        <v>0.912059531825959</v>
      </c>
      <c r="E5760">
        <v>0.48384042611600703</v>
      </c>
      <c r="F5760">
        <v>0.185479235858969</v>
      </c>
      <c r="G5760">
        <v>0.113488732548678</v>
      </c>
      <c r="H5760">
        <v>7.4129317637734296E-2</v>
      </c>
      <c r="I5760">
        <v>5.2094962212260003E-2</v>
      </c>
      <c r="J5760">
        <v>6.9796329627643497E-2</v>
      </c>
      <c r="K5760">
        <v>6.3962334106063598E-2</v>
      </c>
      <c r="L5760">
        <v>1106.36133483758</v>
      </c>
      <c r="M5760">
        <v>23.901605957681099</v>
      </c>
      <c r="N5760">
        <v>46.555579142583198</v>
      </c>
      <c r="O5760">
        <v>45.967793371894103</v>
      </c>
      <c r="P5760">
        <v>-0.12165508132410401</v>
      </c>
      <c r="Q5760">
        <v>6.4142254954169503E-2</v>
      </c>
      <c r="R5760">
        <v>0.98984382032975504</v>
      </c>
      <c r="S5760" t="s">
        <v>12162</v>
      </c>
      <c r="T5760" t="s">
        <v>12802</v>
      </c>
      <c r="U5760" t="s">
        <v>12802</v>
      </c>
      <c r="V5760" t="s">
        <v>12802</v>
      </c>
      <c r="W5760" t="s">
        <v>18494</v>
      </c>
      <c r="X5760">
        <v>12</v>
      </c>
      <c r="Y5760" t="s">
        <v>24704</v>
      </c>
      <c r="Z5760" t="s">
        <v>31078</v>
      </c>
      <c r="AA5760">
        <v>0.3624172822461868</v>
      </c>
      <c r="AB5760" t="str">
        <f>HYPERLINK("Melting_Curves/meltCurve_Q9NV70_2_EXOC1.pdf", "Melting_Curves/meltCurve_Q9NV70_2_EXOC1.pdf")</f>
        <v>Melting_Curves/meltCurve_Q9NV70_2_EXOC1.pdf</v>
      </c>
    </row>
    <row r="5761" spans="1:28" x14ac:dyDescent="0.25">
      <c r="A5761" t="s">
        <v>5765</v>
      </c>
      <c r="B5761">
        <v>0.99542014353169495</v>
      </c>
      <c r="C5761">
        <v>1.01033169145107</v>
      </c>
      <c r="D5761">
        <v>0.98517092311947896</v>
      </c>
      <c r="E5761">
        <v>0.77798881128928998</v>
      </c>
      <c r="F5761">
        <v>0.63508766480182899</v>
      </c>
      <c r="G5761">
        <v>0.39202450910374298</v>
      </c>
      <c r="H5761">
        <v>0.24432154787610999</v>
      </c>
      <c r="I5761">
        <v>0.18884159203990999</v>
      </c>
      <c r="J5761">
        <v>0.21143854478902999</v>
      </c>
      <c r="K5761">
        <v>0.25571833335417099</v>
      </c>
      <c r="L5761">
        <v>871.382091803202</v>
      </c>
      <c r="M5761">
        <v>17.365521984443799</v>
      </c>
      <c r="N5761">
        <v>51.636664520064699</v>
      </c>
      <c r="O5761">
        <v>49.527619503989897</v>
      </c>
      <c r="P5761">
        <v>-7.0674941002266706E-2</v>
      </c>
      <c r="Q5761">
        <v>0.19376732380446501</v>
      </c>
      <c r="R5761">
        <v>0.99011556350739605</v>
      </c>
      <c r="S5761" t="s">
        <v>12163</v>
      </c>
      <c r="T5761" t="s">
        <v>12802</v>
      </c>
      <c r="U5761" t="s">
        <v>12802</v>
      </c>
      <c r="V5761" t="s">
        <v>12802</v>
      </c>
      <c r="W5761" t="s">
        <v>18495</v>
      </c>
      <c r="X5761">
        <v>6</v>
      </c>
      <c r="Y5761" t="s">
        <v>24705</v>
      </c>
      <c r="Z5761" t="s">
        <v>31079</v>
      </c>
      <c r="AA5761">
        <v>0.56137038999212241</v>
      </c>
      <c r="AB5761" t="str">
        <f>HYPERLINK("Melting_Curves/meltCurve_Q9NV96_2_TMEM30A.pdf", "Melting_Curves/meltCurve_Q9NV96_2_TMEM30A.pdf")</f>
        <v>Melting_Curves/meltCurve_Q9NV96_2_TMEM30A.pdf</v>
      </c>
    </row>
    <row r="5762" spans="1:28" x14ac:dyDescent="0.25">
      <c r="A5762" t="s">
        <v>5766</v>
      </c>
      <c r="B5762">
        <v>0.99542014353169495</v>
      </c>
      <c r="C5762">
        <v>1.0225372425622601</v>
      </c>
      <c r="D5762">
        <v>0.89165953056638902</v>
      </c>
      <c r="E5762">
        <v>0.82819844854731695</v>
      </c>
      <c r="F5762">
        <v>0.64962281422921397</v>
      </c>
      <c r="G5762">
        <v>0.53349311461701898</v>
      </c>
      <c r="H5762">
        <v>0.27126043125073801</v>
      </c>
      <c r="I5762">
        <v>0.12813490644764799</v>
      </c>
      <c r="J5762">
        <v>0.123580266270223</v>
      </c>
      <c r="K5762">
        <v>0.128882291150207</v>
      </c>
      <c r="L5762">
        <v>618.98185684470002</v>
      </c>
      <c r="M5762">
        <v>11.6619584544174</v>
      </c>
      <c r="N5762">
        <v>53.138611273647797</v>
      </c>
      <c r="O5762">
        <v>51.588380601332403</v>
      </c>
      <c r="P5762">
        <v>-5.6150131570862301E-2</v>
      </c>
      <c r="Q5762">
        <v>6.7141448659147401E-3</v>
      </c>
      <c r="R5762">
        <v>0.98797966668899695</v>
      </c>
      <c r="S5762" t="s">
        <v>12164</v>
      </c>
      <c r="T5762" t="s">
        <v>12802</v>
      </c>
      <c r="U5762" t="s">
        <v>12802</v>
      </c>
      <c r="V5762" t="s">
        <v>12802</v>
      </c>
      <c r="W5762" t="s">
        <v>18496</v>
      </c>
      <c r="X5762">
        <v>4</v>
      </c>
      <c r="Y5762" t="s">
        <v>24706</v>
      </c>
      <c r="Z5762" t="s">
        <v>31080</v>
      </c>
      <c r="AA5762">
        <v>0.56000909145476063</v>
      </c>
      <c r="AB5762" t="str">
        <f>HYPERLINK("Melting_Curves/meltCurve_Q9NVA1_2_UQCC.pdf", "Melting_Curves/meltCurve_Q9NVA1_2_UQCC.pdf")</f>
        <v>Melting_Curves/meltCurve_Q9NVA1_2_UQCC.pdf</v>
      </c>
    </row>
    <row r="5763" spans="1:28" x14ac:dyDescent="0.25">
      <c r="A5763" t="s">
        <v>5767</v>
      </c>
      <c r="B5763">
        <v>0.99542014353169495</v>
      </c>
      <c r="C5763">
        <v>0.81933411388073396</v>
      </c>
      <c r="D5763">
        <v>0.73439008759734703</v>
      </c>
      <c r="E5763">
        <v>0.51898470039401701</v>
      </c>
      <c r="F5763">
        <v>0.26504722430917299</v>
      </c>
      <c r="G5763">
        <v>0.155893692947524</v>
      </c>
      <c r="H5763">
        <v>9.1790932006541107E-2</v>
      </c>
      <c r="I5763">
        <v>9.6600989732311404E-2</v>
      </c>
      <c r="J5763">
        <v>0.14077426288091499</v>
      </c>
      <c r="K5763">
        <v>0.105693648226296</v>
      </c>
      <c r="L5763">
        <v>626.39720696669201</v>
      </c>
      <c r="M5763">
        <v>13.721743906985299</v>
      </c>
      <c r="N5763">
        <v>46.220095802161502</v>
      </c>
      <c r="O5763">
        <v>44.713178679821198</v>
      </c>
      <c r="P5763">
        <v>-7.0757999980070596E-2</v>
      </c>
      <c r="Q5763">
        <v>7.7854376328683098E-2</v>
      </c>
      <c r="R5763">
        <v>0.98824672829424498</v>
      </c>
      <c r="S5763" t="s">
        <v>12165</v>
      </c>
      <c r="T5763" t="s">
        <v>12802</v>
      </c>
      <c r="U5763" t="s">
        <v>12802</v>
      </c>
      <c r="V5763" t="s">
        <v>12802</v>
      </c>
      <c r="W5763" t="s">
        <v>18497</v>
      </c>
      <c r="X5763">
        <v>3</v>
      </c>
      <c r="Y5763" t="s">
        <v>24707</v>
      </c>
      <c r="Z5763" t="s">
        <v>31081</v>
      </c>
      <c r="AA5763">
        <v>0.36916877484811639</v>
      </c>
      <c r="AB5763" t="str">
        <f>HYPERLINK("Melting_Curves/meltCurve_Q9NVC6_MED17.pdf", "Melting_Curves/meltCurve_Q9NVC6_MED17.pdf")</f>
        <v>Melting_Curves/meltCurve_Q9NVC6_MED17.pdf</v>
      </c>
    </row>
    <row r="5764" spans="1:28" x14ac:dyDescent="0.25">
      <c r="A5764" t="s">
        <v>5768</v>
      </c>
      <c r="B5764">
        <v>0.99542014353169495</v>
      </c>
      <c r="C5764">
        <v>0.95259972272975202</v>
      </c>
      <c r="D5764">
        <v>0.97137590615755398</v>
      </c>
      <c r="E5764">
        <v>0.84687765675204096</v>
      </c>
      <c r="F5764">
        <v>0.62233945311468397</v>
      </c>
      <c r="G5764">
        <v>0.27898143615563797</v>
      </c>
      <c r="H5764">
        <v>7.5892854266002799E-2</v>
      </c>
      <c r="I5764">
        <v>4.9868360698357699E-2</v>
      </c>
      <c r="J5764">
        <v>5.5329597759194001E-2</v>
      </c>
      <c r="K5764">
        <v>5.2666923184683002E-2</v>
      </c>
      <c r="L5764">
        <v>1052.6506868495101</v>
      </c>
      <c r="M5764">
        <v>20.626987581785201</v>
      </c>
      <c r="N5764">
        <v>51.163378041960001</v>
      </c>
      <c r="O5764">
        <v>50.5603188021148</v>
      </c>
      <c r="P5764">
        <v>-9.9377576242739907E-2</v>
      </c>
      <c r="Q5764">
        <v>2.5661807445163699E-2</v>
      </c>
      <c r="R5764">
        <v>0.996246855018735</v>
      </c>
      <c r="S5764" t="s">
        <v>12166</v>
      </c>
      <c r="T5764" t="s">
        <v>12802</v>
      </c>
      <c r="U5764" t="s">
        <v>12802</v>
      </c>
      <c r="V5764" t="s">
        <v>12802</v>
      </c>
      <c r="W5764" t="s">
        <v>18498</v>
      </c>
      <c r="X5764">
        <v>20</v>
      </c>
      <c r="Y5764" t="s">
        <v>24708</v>
      </c>
      <c r="Z5764" t="s">
        <v>31082</v>
      </c>
      <c r="AA5764">
        <v>0.49352343422111178</v>
      </c>
      <c r="AB5764" t="str">
        <f>HYPERLINK("Melting_Curves/meltCurve_Q9NVE7_PANK4.pdf", "Melting_Curves/meltCurve_Q9NVE7_PANK4.pdf")</f>
        <v>Melting_Curves/meltCurve_Q9NVE7_PANK4.pdf</v>
      </c>
    </row>
    <row r="5765" spans="1:28" x14ac:dyDescent="0.25">
      <c r="A5765" t="s">
        <v>5769</v>
      </c>
      <c r="B5765">
        <v>0.99542014353169495</v>
      </c>
      <c r="C5765">
        <v>0.82210061331609197</v>
      </c>
      <c r="D5765">
        <v>1.1874796414003499</v>
      </c>
      <c r="E5765">
        <v>1.00007418690672</v>
      </c>
      <c r="F5765">
        <v>0.28541951578374097</v>
      </c>
      <c r="G5765">
        <v>0.175000666694304</v>
      </c>
      <c r="H5765">
        <v>0.121449205386154</v>
      </c>
      <c r="I5765">
        <v>0</v>
      </c>
      <c r="J5765">
        <v>0.28738617118350901</v>
      </c>
      <c r="K5765">
        <v>0</v>
      </c>
      <c r="L5765">
        <v>4134.0626729039204</v>
      </c>
      <c r="M5765">
        <v>83.789229544717301</v>
      </c>
      <c r="N5765">
        <v>49.495510961441198</v>
      </c>
      <c r="O5765">
        <v>49.310757664803901</v>
      </c>
      <c r="P5765">
        <v>-0.375317741586149</v>
      </c>
      <c r="Q5765">
        <v>0.116488052981951</v>
      </c>
      <c r="R5765">
        <v>0.93375717829412797</v>
      </c>
      <c r="S5765" t="s">
        <v>12167</v>
      </c>
      <c r="T5765" t="s">
        <v>12802</v>
      </c>
      <c r="U5765" t="s">
        <v>12802</v>
      </c>
      <c r="V5765" t="s">
        <v>12802</v>
      </c>
      <c r="W5765" t="s">
        <v>18499</v>
      </c>
      <c r="X5765">
        <v>1</v>
      </c>
      <c r="Y5765" t="s">
        <v>24709</v>
      </c>
      <c r="Z5765" t="s">
        <v>31083</v>
      </c>
      <c r="AA5765">
        <v>0.48055379679605431</v>
      </c>
      <c r="AB5765" t="str">
        <f>HYPERLINK("Melting_Curves/meltCurve_Q9NVF7_FBXO28.pdf", "Melting_Curves/meltCurve_Q9NVF7_FBXO28.pdf")</f>
        <v>Melting_Curves/meltCurve_Q9NVF7_FBXO28.pdf</v>
      </c>
    </row>
    <row r="5766" spans="1:28" x14ac:dyDescent="0.25">
      <c r="A5766" t="s">
        <v>5770</v>
      </c>
      <c r="B5766">
        <v>0.99542014353169495</v>
      </c>
      <c r="C5766">
        <v>1.0070489050003999</v>
      </c>
      <c r="D5766">
        <v>0.925586512800184</v>
      </c>
      <c r="E5766">
        <v>0.89275012840612999</v>
      </c>
      <c r="F5766">
        <v>0.64790829109485104</v>
      </c>
      <c r="G5766">
        <v>0.46624719944369097</v>
      </c>
      <c r="H5766">
        <v>0.20922072603005801</v>
      </c>
      <c r="I5766">
        <v>0.113523293315163</v>
      </c>
      <c r="J5766">
        <v>0.110272746603191</v>
      </c>
      <c r="K5766">
        <v>0.11534630781126</v>
      </c>
      <c r="L5766">
        <v>825.69003596043206</v>
      </c>
      <c r="M5766">
        <v>15.825609025295099</v>
      </c>
      <c r="N5766">
        <v>52.5923174646082</v>
      </c>
      <c r="O5766">
        <v>51.362530562150098</v>
      </c>
      <c r="P5766">
        <v>-7.2482592129762893E-2</v>
      </c>
      <c r="Q5766">
        <v>5.9098561450146997E-2</v>
      </c>
      <c r="R5766">
        <v>0.99425014236134701</v>
      </c>
      <c r="S5766" t="s">
        <v>12168</v>
      </c>
      <c r="T5766" t="s">
        <v>12802</v>
      </c>
      <c r="U5766" t="s">
        <v>12802</v>
      </c>
      <c r="V5766" t="s">
        <v>12802</v>
      </c>
      <c r="W5766" t="s">
        <v>18500</v>
      </c>
      <c r="X5766">
        <v>14</v>
      </c>
      <c r="Y5766" t="s">
        <v>24710</v>
      </c>
      <c r="Z5766" t="s">
        <v>31084</v>
      </c>
      <c r="AA5766">
        <v>0.55175343120881282</v>
      </c>
      <c r="AB5766" t="str">
        <f>HYPERLINK("Melting_Curves/meltCurve_Q9NVG8_TBC1D13.pdf", "Melting_Curves/meltCurve_Q9NVG8_TBC1D13.pdf")</f>
        <v>Melting_Curves/meltCurve_Q9NVG8_TBC1D13.pdf</v>
      </c>
    </row>
    <row r="5767" spans="1:28" x14ac:dyDescent="0.25">
      <c r="A5767" t="s">
        <v>5771</v>
      </c>
      <c r="B5767">
        <v>0.99542014353169495</v>
      </c>
      <c r="C5767">
        <v>0.899631896521638</v>
      </c>
      <c r="D5767">
        <v>0.99900122160749505</v>
      </c>
      <c r="E5767">
        <v>0.74860032072939597</v>
      </c>
      <c r="F5767">
        <v>0.69695720084451795</v>
      </c>
      <c r="G5767">
        <v>0.233513573634199</v>
      </c>
      <c r="H5767">
        <v>0.10969348975223001</v>
      </c>
      <c r="I5767">
        <v>6.8234734283282597E-2</v>
      </c>
      <c r="J5767">
        <v>8.0636171708592302E-2</v>
      </c>
      <c r="K5767">
        <v>9.6350493355012307E-2</v>
      </c>
      <c r="L5767">
        <v>981.02045733615205</v>
      </c>
      <c r="M5767">
        <v>19.290890310293101</v>
      </c>
      <c r="N5767">
        <v>51.117314507834898</v>
      </c>
      <c r="O5767">
        <v>50.3170588590012</v>
      </c>
      <c r="P5767">
        <v>-9.1318224796208297E-2</v>
      </c>
      <c r="Q5767">
        <v>4.7282541210204497E-2</v>
      </c>
      <c r="R5767">
        <v>0.97205637638186304</v>
      </c>
      <c r="S5767" t="s">
        <v>12169</v>
      </c>
      <c r="T5767" t="s">
        <v>12802</v>
      </c>
      <c r="U5767" t="s">
        <v>12802</v>
      </c>
      <c r="V5767" t="s">
        <v>12802</v>
      </c>
      <c r="W5767" t="s">
        <v>18501</v>
      </c>
      <c r="X5767">
        <v>5</v>
      </c>
      <c r="Y5767" t="s">
        <v>24711</v>
      </c>
      <c r="Z5767" t="s">
        <v>31085</v>
      </c>
      <c r="AA5767">
        <v>0.50051086536330347</v>
      </c>
      <c r="AB5767" t="str">
        <f>HYPERLINK("Melting_Curves/meltCurve_Q9NVH0_2_EXD2.pdf", "Melting_Curves/meltCurve_Q9NVH0_2_EXD2.pdf")</f>
        <v>Melting_Curves/meltCurve_Q9NVH0_2_EXD2.pdf</v>
      </c>
    </row>
    <row r="5768" spans="1:28" x14ac:dyDescent="0.25">
      <c r="A5768" t="s">
        <v>5772</v>
      </c>
      <c r="B5768">
        <v>0.99542014353169495</v>
      </c>
      <c r="C5768">
        <v>0.75795445044227905</v>
      </c>
      <c r="D5768">
        <v>0.88896859196910805</v>
      </c>
      <c r="E5768">
        <v>0.61021023699313204</v>
      </c>
      <c r="F5768">
        <v>0.50764829804157696</v>
      </c>
      <c r="G5768">
        <v>0.222681107935186</v>
      </c>
      <c r="H5768">
        <v>0.11217351261488299</v>
      </c>
      <c r="I5768">
        <v>6.9816866237516498E-2</v>
      </c>
      <c r="J5768">
        <v>7.2259044200415096E-2</v>
      </c>
      <c r="K5768">
        <v>7.1969658829952696E-2</v>
      </c>
      <c r="L5768">
        <v>543.02959491532704</v>
      </c>
      <c r="M5768">
        <v>11.122299201595499</v>
      </c>
      <c r="N5768">
        <v>48.823501798976999</v>
      </c>
      <c r="O5768">
        <v>47.324932016564603</v>
      </c>
      <c r="P5768">
        <v>-5.87739706616675E-2</v>
      </c>
      <c r="Q5768">
        <v>0</v>
      </c>
      <c r="R5768">
        <v>0.96227133849651003</v>
      </c>
      <c r="S5768" t="s">
        <v>12170</v>
      </c>
      <c r="T5768" t="s">
        <v>12802</v>
      </c>
      <c r="U5768" t="s">
        <v>12802</v>
      </c>
      <c r="V5768" t="s">
        <v>12802</v>
      </c>
      <c r="W5768" t="s">
        <v>18502</v>
      </c>
      <c r="X5768">
        <v>25</v>
      </c>
      <c r="Y5768" t="s">
        <v>24712</v>
      </c>
      <c r="Z5768" t="s">
        <v>31086</v>
      </c>
      <c r="AA5768">
        <v>0.42725606644966518</v>
      </c>
      <c r="AB5768" t="str">
        <f>HYPERLINK("Melting_Curves/meltCurve_Q9NVH1_3_DNAJC11.pdf", "Melting_Curves/meltCurve_Q9NVH1_3_DNAJC11.pdf")</f>
        <v>Melting_Curves/meltCurve_Q9NVH1_3_DNAJC11.pdf</v>
      </c>
    </row>
    <row r="5769" spans="1:28" x14ac:dyDescent="0.25">
      <c r="A5769" t="s">
        <v>5773</v>
      </c>
      <c r="B5769">
        <v>0.99542014353169495</v>
      </c>
      <c r="C5769">
        <v>1.0726553851313101</v>
      </c>
      <c r="D5769">
        <v>0.93549512865837903</v>
      </c>
      <c r="E5769">
        <v>0.60542669455525699</v>
      </c>
      <c r="F5769">
        <v>0.386213592943011</v>
      </c>
      <c r="G5769">
        <v>0.13950797548886201</v>
      </c>
      <c r="H5769">
        <v>7.6357359974264002E-2</v>
      </c>
      <c r="I5769">
        <v>7.0757357115247999E-2</v>
      </c>
      <c r="J5769">
        <v>4.62611635456033E-2</v>
      </c>
      <c r="K5769">
        <v>4.8459206509611802E-2</v>
      </c>
      <c r="L5769">
        <v>917.575812321944</v>
      </c>
      <c r="M5769">
        <v>19.093598944922899</v>
      </c>
      <c r="N5769">
        <v>48.292145359150297</v>
      </c>
      <c r="O5769">
        <v>47.538890281441702</v>
      </c>
      <c r="P5769">
        <v>-9.5951950329716901E-2</v>
      </c>
      <c r="Q5769">
        <v>4.4439771441715702E-2</v>
      </c>
      <c r="R5769">
        <v>0.99093162407467295</v>
      </c>
      <c r="S5769" t="s">
        <v>12171</v>
      </c>
      <c r="T5769" t="s">
        <v>12802</v>
      </c>
      <c r="U5769" t="s">
        <v>12802</v>
      </c>
      <c r="V5769" t="s">
        <v>12802</v>
      </c>
      <c r="W5769" t="s">
        <v>18503</v>
      </c>
      <c r="X5769">
        <v>5</v>
      </c>
      <c r="Y5769" t="s">
        <v>24713</v>
      </c>
      <c r="Z5769" t="s">
        <v>31087</v>
      </c>
      <c r="AA5769">
        <v>0.41031634494142322</v>
      </c>
      <c r="AB5769" t="str">
        <f>HYPERLINK("Melting_Curves/meltCurve_Q9NVH2_4_INTS7.pdf", "Melting_Curves/meltCurve_Q9NVH2_4_INTS7.pdf")</f>
        <v>Melting_Curves/meltCurve_Q9NVH2_4_INTS7.pdf</v>
      </c>
    </row>
    <row r="5770" spans="1:28" x14ac:dyDescent="0.25">
      <c r="A5770" t="s">
        <v>5774</v>
      </c>
      <c r="B5770">
        <v>0.99542014353169495</v>
      </c>
      <c r="C5770">
        <v>0.92883059141870705</v>
      </c>
      <c r="D5770">
        <v>0.94867630711846196</v>
      </c>
      <c r="E5770">
        <v>0.48464673879271403</v>
      </c>
      <c r="F5770">
        <v>0.23511695781018799</v>
      </c>
      <c r="G5770">
        <v>0.11899755516390501</v>
      </c>
      <c r="H5770">
        <v>7.37427582887831E-2</v>
      </c>
      <c r="I5770">
        <v>4.6070755103588601E-2</v>
      </c>
      <c r="J5770">
        <v>5.3054353703843898E-2</v>
      </c>
      <c r="K5770">
        <v>6.2091415566463498E-2</v>
      </c>
      <c r="L5770">
        <v>1122.59474421139</v>
      </c>
      <c r="M5770">
        <v>24.114409719467801</v>
      </c>
      <c r="N5770">
        <v>46.8163824706768</v>
      </c>
      <c r="O5770">
        <v>46.236261639868701</v>
      </c>
      <c r="P5770">
        <v>-0.12211403832284499</v>
      </c>
      <c r="Q5770">
        <v>6.3463064805671293E-2</v>
      </c>
      <c r="R5770">
        <v>0.99305299385010803</v>
      </c>
      <c r="S5770" t="s">
        <v>12172</v>
      </c>
      <c r="T5770" t="s">
        <v>12802</v>
      </c>
      <c r="U5770" t="s">
        <v>12802</v>
      </c>
      <c r="V5770" t="s">
        <v>12802</v>
      </c>
      <c r="W5770" t="s">
        <v>18504</v>
      </c>
      <c r="X5770">
        <v>14</v>
      </c>
      <c r="Y5770" t="s">
        <v>24714</v>
      </c>
      <c r="Z5770" t="s">
        <v>31088</v>
      </c>
      <c r="AA5770">
        <v>0.3700917617400154</v>
      </c>
      <c r="AB5770" t="str">
        <f>HYPERLINK("Melting_Curves/meltCurve_Q9NVI1_FANCI.pdf", "Melting_Curves/meltCurve_Q9NVI1_FANCI.pdf")</f>
        <v>Melting_Curves/meltCurve_Q9NVI1_FANCI.pdf</v>
      </c>
    </row>
    <row r="5771" spans="1:28" x14ac:dyDescent="0.25">
      <c r="A5771" t="s">
        <v>5775</v>
      </c>
      <c r="B5771">
        <v>0.99542014353169495</v>
      </c>
      <c r="C5771">
        <v>0.85721528407096304</v>
      </c>
      <c r="D5771">
        <v>0.89295179789889301</v>
      </c>
      <c r="E5771">
        <v>0.60906656669405901</v>
      </c>
      <c r="F5771">
        <v>0.22229525772748601</v>
      </c>
      <c r="G5771">
        <v>9.6709395564236397E-2</v>
      </c>
      <c r="H5771">
        <v>5.7281835701820903E-2</v>
      </c>
      <c r="I5771">
        <v>4.06892307841474E-2</v>
      </c>
      <c r="J5771">
        <v>4.5933491232336303E-2</v>
      </c>
      <c r="K5771">
        <v>4.7215419165326199E-2</v>
      </c>
      <c r="L5771">
        <v>980.47872646899998</v>
      </c>
      <c r="M5771">
        <v>20.778692265268301</v>
      </c>
      <c r="N5771">
        <v>47.347220649293</v>
      </c>
      <c r="O5771">
        <v>46.756207380067302</v>
      </c>
      <c r="P5771">
        <v>-0.10732648906324101</v>
      </c>
      <c r="Q5771">
        <v>3.4002880932189998E-2</v>
      </c>
      <c r="R5771">
        <v>0.98866329084035898</v>
      </c>
      <c r="S5771" t="s">
        <v>12173</v>
      </c>
      <c r="T5771" t="s">
        <v>12802</v>
      </c>
      <c r="U5771" t="s">
        <v>12802</v>
      </c>
      <c r="V5771" t="s">
        <v>12802</v>
      </c>
      <c r="W5771" t="s">
        <v>18505</v>
      </c>
      <c r="X5771">
        <v>41</v>
      </c>
      <c r="Y5771" t="s">
        <v>24715</v>
      </c>
      <c r="Z5771" t="s">
        <v>31089</v>
      </c>
      <c r="AA5771">
        <v>0.37375959587692908</v>
      </c>
      <c r="AB5771" t="str">
        <f>HYPERLINK("Melting_Curves/meltCurve_Q9NVI7_2_ATAD3A.pdf", "Melting_Curves/meltCurve_Q9NVI7_2_ATAD3A.pdf")</f>
        <v>Melting_Curves/meltCurve_Q9NVI7_2_ATAD3A.pdf</v>
      </c>
    </row>
    <row r="5772" spans="1:28" x14ac:dyDescent="0.25">
      <c r="A5772" t="s">
        <v>5776</v>
      </c>
      <c r="B5772">
        <v>0.99542014353169495</v>
      </c>
      <c r="C5772">
        <v>0.999696657176673</v>
      </c>
      <c r="D5772">
        <v>0.95388241345175695</v>
      </c>
      <c r="E5772">
        <v>0.94782632369818798</v>
      </c>
      <c r="F5772">
        <v>0.75086211051270801</v>
      </c>
      <c r="G5772">
        <v>0.60713953404643795</v>
      </c>
      <c r="H5772">
        <v>0.44639449870487402</v>
      </c>
      <c r="I5772">
        <v>0.45422340007609102</v>
      </c>
      <c r="J5772">
        <v>0.709839498674395</v>
      </c>
      <c r="K5772">
        <v>0.75790991153614795</v>
      </c>
      <c r="L5772">
        <v>1862.3487552812001</v>
      </c>
      <c r="M5772">
        <v>37.659326159052299</v>
      </c>
      <c r="O5772">
        <v>49.313699452418</v>
      </c>
      <c r="P5772">
        <v>-7.7874171785356494E-2</v>
      </c>
      <c r="Q5772">
        <v>0.592105989682018</v>
      </c>
      <c r="R5772">
        <v>0.79013885186295496</v>
      </c>
      <c r="S5772" t="s">
        <v>12174</v>
      </c>
      <c r="T5772" t="s">
        <v>12802</v>
      </c>
      <c r="U5772" t="s">
        <v>12802</v>
      </c>
      <c r="V5772" t="s">
        <v>12802</v>
      </c>
      <c r="W5772" t="s">
        <v>18506</v>
      </c>
      <c r="X5772">
        <v>10</v>
      </c>
      <c r="Y5772" t="s">
        <v>24716</v>
      </c>
      <c r="Z5772" t="s">
        <v>31090</v>
      </c>
      <c r="AA5772">
        <v>0.76298978542209173</v>
      </c>
      <c r="AB5772" t="str">
        <f>HYPERLINK("Melting_Curves/meltCurve_Q9NVJ2_ARL8B.pdf", "Melting_Curves/meltCurve_Q9NVJ2_ARL8B.pdf")</f>
        <v>Melting_Curves/meltCurve_Q9NVJ2_ARL8B.pdf</v>
      </c>
    </row>
    <row r="5773" spans="1:28" x14ac:dyDescent="0.25">
      <c r="A5773" t="s">
        <v>5777</v>
      </c>
      <c r="B5773">
        <v>0.99542014353169495</v>
      </c>
      <c r="C5773">
        <v>0.86053551954439</v>
      </c>
      <c r="D5773">
        <v>0.84870617297880002</v>
      </c>
      <c r="E5773">
        <v>0.48780424275641399</v>
      </c>
      <c r="F5773">
        <v>0.28821050558719502</v>
      </c>
      <c r="G5773">
        <v>0.17499843200984799</v>
      </c>
      <c r="H5773">
        <v>0.115455088236456</v>
      </c>
      <c r="I5773">
        <v>8.6195330791636604E-2</v>
      </c>
      <c r="J5773">
        <v>0.10017706430616199</v>
      </c>
      <c r="K5773">
        <v>0.118681807792824</v>
      </c>
      <c r="L5773">
        <v>763.54989315482999</v>
      </c>
      <c r="M5773">
        <v>16.532616320814501</v>
      </c>
      <c r="N5773">
        <v>46.746567348398102</v>
      </c>
      <c r="O5773">
        <v>45.524609050827401</v>
      </c>
      <c r="P5773">
        <v>-8.2611153229112194E-2</v>
      </c>
      <c r="Q5773">
        <v>9.0142570377098205E-2</v>
      </c>
      <c r="R5773">
        <v>0.99095473598661599</v>
      </c>
      <c r="S5773" t="s">
        <v>12175</v>
      </c>
      <c r="T5773" t="s">
        <v>12802</v>
      </c>
      <c r="U5773" t="s">
        <v>12802</v>
      </c>
      <c r="V5773" t="s">
        <v>12802</v>
      </c>
      <c r="W5773" t="s">
        <v>18507</v>
      </c>
      <c r="X5773">
        <v>7</v>
      </c>
      <c r="Y5773" t="s">
        <v>24717</v>
      </c>
      <c r="Z5773" t="s">
        <v>31091</v>
      </c>
      <c r="AA5773">
        <v>0.38603801844857349</v>
      </c>
      <c r="AB5773" t="str">
        <f>HYPERLINK("Melting_Curves/meltCurve_Q9NVK5_FGFR1OP2.pdf", "Melting_Curves/meltCurve_Q9NVK5_FGFR1OP2.pdf")</f>
        <v>Melting_Curves/meltCurve_Q9NVK5_FGFR1OP2.pdf</v>
      </c>
    </row>
    <row r="5774" spans="1:28" x14ac:dyDescent="0.25">
      <c r="A5774" t="s">
        <v>5778</v>
      </c>
      <c r="B5774">
        <v>0.99542014353169495</v>
      </c>
      <c r="C5774">
        <v>0.85997386359157502</v>
      </c>
      <c r="D5774">
        <v>0.87985214964090697</v>
      </c>
      <c r="E5774">
        <v>0.77150765342670102</v>
      </c>
      <c r="F5774">
        <v>0.76297571096848704</v>
      </c>
      <c r="G5774">
        <v>0.621199285413915</v>
      </c>
      <c r="H5774">
        <v>0.47810630245508601</v>
      </c>
      <c r="I5774">
        <v>0.418133298125135</v>
      </c>
      <c r="J5774">
        <v>0.56690711287644602</v>
      </c>
      <c r="K5774">
        <v>0.515396326058012</v>
      </c>
      <c r="L5774">
        <v>427.92911575701203</v>
      </c>
      <c r="M5774">
        <v>8.7177019348500195</v>
      </c>
      <c r="N5774">
        <v>63.040254740946203</v>
      </c>
      <c r="O5774">
        <v>46.7097328498092</v>
      </c>
      <c r="P5774">
        <v>-2.67392200296384E-2</v>
      </c>
      <c r="Q5774">
        <v>0.42739059835270898</v>
      </c>
      <c r="R5774">
        <v>0.89930833827251</v>
      </c>
      <c r="S5774" t="s">
        <v>12176</v>
      </c>
      <c r="T5774" t="s">
        <v>12802</v>
      </c>
      <c r="U5774" t="s">
        <v>12802</v>
      </c>
      <c r="V5774" t="s">
        <v>12802</v>
      </c>
      <c r="W5774" t="s">
        <v>18508</v>
      </c>
      <c r="X5774">
        <v>2</v>
      </c>
      <c r="Y5774" t="s">
        <v>24718</v>
      </c>
      <c r="Z5774" t="s">
        <v>31092</v>
      </c>
      <c r="AA5774">
        <v>0.68241065024039393</v>
      </c>
      <c r="AB5774" t="str">
        <f>HYPERLINK("Melting_Curves/meltCurve_Q9NVM1_EVA1B.pdf", "Melting_Curves/meltCurve_Q9NVM1_EVA1B.pdf")</f>
        <v>Melting_Curves/meltCurve_Q9NVM1_EVA1B.pdf</v>
      </c>
    </row>
    <row r="5775" spans="1:28" x14ac:dyDescent="0.25">
      <c r="A5775" t="s">
        <v>5779</v>
      </c>
      <c r="B5775">
        <v>0.99542014353169495</v>
      </c>
      <c r="C5775">
        <v>0.98221391629393395</v>
      </c>
      <c r="D5775">
        <v>0.89625407950951197</v>
      </c>
      <c r="E5775">
        <v>0.59015662056927098</v>
      </c>
      <c r="F5775">
        <v>0.25257255594082401</v>
      </c>
      <c r="G5775">
        <v>0.140915053639215</v>
      </c>
      <c r="H5775">
        <v>0.102239487605607</v>
      </c>
      <c r="I5775">
        <v>8.7983366538079297E-2</v>
      </c>
      <c r="J5775">
        <v>0.117005734158909</v>
      </c>
      <c r="K5775">
        <v>0.100132806993854</v>
      </c>
      <c r="L5775">
        <v>1095.8218751018401</v>
      </c>
      <c r="M5775">
        <v>23.358427526118799</v>
      </c>
      <c r="N5775">
        <v>47.349445158202997</v>
      </c>
      <c r="O5775">
        <v>46.573541850013697</v>
      </c>
      <c r="P5775">
        <v>-0.11325147454748601</v>
      </c>
      <c r="Q5775">
        <v>9.6783205865529506E-2</v>
      </c>
      <c r="R5775">
        <v>0.99950143040633699</v>
      </c>
      <c r="S5775" t="s">
        <v>12177</v>
      </c>
      <c r="T5775" t="s">
        <v>12802</v>
      </c>
      <c r="U5775" t="s">
        <v>12802</v>
      </c>
      <c r="V5775" t="s">
        <v>12802</v>
      </c>
      <c r="W5775" t="s">
        <v>18509</v>
      </c>
      <c r="X5775">
        <v>12</v>
      </c>
      <c r="Y5775" t="s">
        <v>24719</v>
      </c>
      <c r="Z5775" t="s">
        <v>31093</v>
      </c>
      <c r="AA5775">
        <v>0.4039307002692441</v>
      </c>
      <c r="AB5775" t="str">
        <f>HYPERLINK("Melting_Curves/meltCurve_Q9NVM4_3_PRMT7.pdf", "Melting_Curves/meltCurve_Q9NVM4_3_PRMT7.pdf")</f>
        <v>Melting_Curves/meltCurve_Q9NVM4_3_PRMT7.pdf</v>
      </c>
    </row>
    <row r="5776" spans="1:28" x14ac:dyDescent="0.25">
      <c r="A5776" t="s">
        <v>5780</v>
      </c>
      <c r="B5776">
        <v>0.99542014353169495</v>
      </c>
      <c r="C5776">
        <v>1.1064652387240099</v>
      </c>
      <c r="D5776">
        <v>0.951067015881773</v>
      </c>
      <c r="E5776">
        <v>0.90101259429862601</v>
      </c>
      <c r="F5776">
        <v>0.65130585019579201</v>
      </c>
      <c r="G5776">
        <v>0.26504729435472701</v>
      </c>
      <c r="H5776">
        <v>0.13388185392820201</v>
      </c>
      <c r="I5776">
        <v>9.5929507176223894E-2</v>
      </c>
      <c r="J5776">
        <v>8.4883780942527701E-2</v>
      </c>
      <c r="K5776">
        <v>8.1835747021737501E-2</v>
      </c>
      <c r="L5776">
        <v>1264.1609233520601</v>
      </c>
      <c r="M5776">
        <v>24.7658328620014</v>
      </c>
      <c r="N5776">
        <v>51.393713493332598</v>
      </c>
      <c r="O5776">
        <v>50.715236673090203</v>
      </c>
      <c r="P5776">
        <v>-0.11263144697168299</v>
      </c>
      <c r="Q5776">
        <v>7.7430459380584404E-2</v>
      </c>
      <c r="R5776">
        <v>0.99167713067449803</v>
      </c>
      <c r="S5776" t="s">
        <v>12178</v>
      </c>
      <c r="T5776" t="s">
        <v>12802</v>
      </c>
      <c r="U5776" t="s">
        <v>12802</v>
      </c>
      <c r="V5776" t="s">
        <v>12802</v>
      </c>
      <c r="W5776" t="s">
        <v>18510</v>
      </c>
      <c r="X5776">
        <v>7</v>
      </c>
      <c r="Y5776" t="s">
        <v>24720</v>
      </c>
      <c r="Z5776" t="s">
        <v>31094</v>
      </c>
      <c r="AA5776">
        <v>0.51761812788535499</v>
      </c>
      <c r="AB5776" t="str">
        <f>HYPERLINK("Melting_Curves/meltCurve_Q9NVM6_DNAJC17.pdf", "Melting_Curves/meltCurve_Q9NVM6_DNAJC17.pdf")</f>
        <v>Melting_Curves/meltCurve_Q9NVM6_DNAJC17.pdf</v>
      </c>
    </row>
    <row r="5777" spans="1:28" x14ac:dyDescent="0.25">
      <c r="A5777" t="s">
        <v>5781</v>
      </c>
      <c r="B5777">
        <v>0.99542014353169495</v>
      </c>
      <c r="C5777">
        <v>0.96936114251356498</v>
      </c>
      <c r="D5777">
        <v>0.90833429033617796</v>
      </c>
      <c r="E5777">
        <v>0.73709788456274195</v>
      </c>
      <c r="F5777">
        <v>0.339172009072084</v>
      </c>
      <c r="G5777">
        <v>0.16891095244969601</v>
      </c>
      <c r="H5777">
        <v>0.102360017555556</v>
      </c>
      <c r="I5777">
        <v>6.88181704825538E-2</v>
      </c>
      <c r="J5777">
        <v>7.0951977033301403E-2</v>
      </c>
      <c r="K5777">
        <v>8.0822894025272304E-2</v>
      </c>
      <c r="L5777">
        <v>1042.6827969194901</v>
      </c>
      <c r="M5777">
        <v>21.571695397485598</v>
      </c>
      <c r="N5777">
        <v>48.669055707460601</v>
      </c>
      <c r="O5777">
        <v>47.926078782323202</v>
      </c>
      <c r="P5777">
        <v>-0.10480063125896701</v>
      </c>
      <c r="Q5777">
        <v>6.8675906764927894E-2</v>
      </c>
      <c r="R5777">
        <v>0.99820816257502398</v>
      </c>
      <c r="S5777" t="s">
        <v>12179</v>
      </c>
      <c r="T5777" t="s">
        <v>12802</v>
      </c>
      <c r="U5777" t="s">
        <v>12802</v>
      </c>
      <c r="V5777" t="s">
        <v>12802</v>
      </c>
      <c r="W5777" t="s">
        <v>18511</v>
      </c>
      <c r="X5777">
        <v>22</v>
      </c>
      <c r="Y5777" t="s">
        <v>24721</v>
      </c>
      <c r="Z5777" t="s">
        <v>31095</v>
      </c>
      <c r="AA5777">
        <v>0.43120064851705447</v>
      </c>
      <c r="AB5777" t="str">
        <f>HYPERLINK("Melting_Curves/meltCurve_Q9NVM9_ASUN.pdf", "Melting_Curves/meltCurve_Q9NVM9_ASUN.pdf")</f>
        <v>Melting_Curves/meltCurve_Q9NVM9_ASUN.pdf</v>
      </c>
    </row>
    <row r="5778" spans="1:28" x14ac:dyDescent="0.25">
      <c r="A5778" t="s">
        <v>5782</v>
      </c>
      <c r="B5778">
        <v>0.99542014353169495</v>
      </c>
      <c r="C5778">
        <v>1.0231213633840499</v>
      </c>
      <c r="D5778">
        <v>0.87045001235762398</v>
      </c>
      <c r="E5778">
        <v>0.44390294965035199</v>
      </c>
      <c r="F5778">
        <v>0.11057660122704401</v>
      </c>
      <c r="G5778">
        <v>6.4971890516475103E-2</v>
      </c>
      <c r="H5778">
        <v>4.2065926614880698E-2</v>
      </c>
      <c r="I5778">
        <v>3.14409234770303E-2</v>
      </c>
      <c r="J5778">
        <v>2.6974752339585201E-2</v>
      </c>
      <c r="K5778">
        <v>2.9318405679125199E-2</v>
      </c>
      <c r="L5778">
        <v>1281.4103715912699</v>
      </c>
      <c r="M5778">
        <v>27.824460500272501</v>
      </c>
      <c r="N5778">
        <v>46.1662529535743</v>
      </c>
      <c r="O5778">
        <v>45.817463336984098</v>
      </c>
      <c r="P5778">
        <v>-0.14683116169909299</v>
      </c>
      <c r="Q5778">
        <v>3.2883663743368402E-2</v>
      </c>
      <c r="R5778">
        <v>0.99886908531805096</v>
      </c>
      <c r="S5778" t="s">
        <v>12180</v>
      </c>
      <c r="T5778" t="s">
        <v>12802</v>
      </c>
      <c r="U5778" t="s">
        <v>12802</v>
      </c>
      <c r="V5778" t="s">
        <v>12802</v>
      </c>
      <c r="W5778" t="s">
        <v>18512</v>
      </c>
      <c r="X5778">
        <v>9</v>
      </c>
      <c r="Y5778" t="s">
        <v>24722</v>
      </c>
      <c r="Z5778" t="s">
        <v>31096</v>
      </c>
      <c r="AA5778">
        <v>0.33118036430617698</v>
      </c>
      <c r="AB5778" t="str">
        <f>HYPERLINK("Melting_Curves/meltCurve_Q9NVN8_GNL3L.pdf", "Melting_Curves/meltCurve_Q9NVN8_GNL3L.pdf")</f>
        <v>Melting_Curves/meltCurve_Q9NVN8_GNL3L.pdf</v>
      </c>
    </row>
    <row r="5779" spans="1:28" x14ac:dyDescent="0.25">
      <c r="A5779" t="s">
        <v>5783</v>
      </c>
      <c r="B5779">
        <v>0.99542014353169495</v>
      </c>
      <c r="C5779">
        <v>0.96594812599059698</v>
      </c>
      <c r="D5779">
        <v>0.95264905575580205</v>
      </c>
      <c r="E5779">
        <v>0.93690299813615796</v>
      </c>
      <c r="F5779">
        <v>0.56572728196667899</v>
      </c>
      <c r="G5779">
        <v>0.24692857323755801</v>
      </c>
      <c r="H5779">
        <v>0.204077437454315</v>
      </c>
      <c r="I5779">
        <v>0.183117385136807</v>
      </c>
      <c r="J5779">
        <v>0.35648358822903797</v>
      </c>
      <c r="K5779">
        <v>0.25590178833412303</v>
      </c>
      <c r="L5779">
        <v>2086.3332839617001</v>
      </c>
      <c r="M5779">
        <v>41.914977833232101</v>
      </c>
      <c r="N5779">
        <v>50.581171819605103</v>
      </c>
      <c r="O5779">
        <v>49.662464696278199</v>
      </c>
      <c r="P5779">
        <v>-0.15960680968815499</v>
      </c>
      <c r="Q5779">
        <v>0.243568354063042</v>
      </c>
      <c r="R5779">
        <v>0.97994208736772803</v>
      </c>
      <c r="S5779" t="s">
        <v>12181</v>
      </c>
      <c r="T5779" t="s">
        <v>12802</v>
      </c>
      <c r="U5779" t="s">
        <v>12802</v>
      </c>
      <c r="V5779" t="s">
        <v>12802</v>
      </c>
      <c r="W5779" t="s">
        <v>18513</v>
      </c>
      <c r="X5779">
        <v>4</v>
      </c>
      <c r="Y5779" t="s">
        <v>24723</v>
      </c>
      <c r="Z5779" t="s">
        <v>31097</v>
      </c>
      <c r="AA5779">
        <v>0.56805915092321746</v>
      </c>
      <c r="AB5779" t="str">
        <f>HYPERLINK("Melting_Curves/meltCurve_Q9NVP1_DDX18.pdf", "Melting_Curves/meltCurve_Q9NVP1_DDX18.pdf")</f>
        <v>Melting_Curves/meltCurve_Q9NVP1_DDX18.pdf</v>
      </c>
    </row>
    <row r="5780" spans="1:28" x14ac:dyDescent="0.25">
      <c r="A5780" t="s">
        <v>5784</v>
      </c>
      <c r="B5780">
        <v>0.99542014353169495</v>
      </c>
      <c r="C5780">
        <v>1.03226867993005</v>
      </c>
      <c r="D5780">
        <v>0.94443393406906995</v>
      </c>
      <c r="E5780">
        <v>0.74669519461130296</v>
      </c>
      <c r="F5780">
        <v>0.27629286798026897</v>
      </c>
      <c r="G5780">
        <v>0.12349376946588</v>
      </c>
      <c r="H5780">
        <v>7.9946820220554798E-2</v>
      </c>
      <c r="I5780">
        <v>5.6204073727509199E-2</v>
      </c>
      <c r="J5780">
        <v>8.2375955375431797E-2</v>
      </c>
      <c r="K5780">
        <v>7.1382669844444593E-2</v>
      </c>
      <c r="L5780">
        <v>1391.1254560575701</v>
      </c>
      <c r="M5780">
        <v>28.918819161694199</v>
      </c>
      <c r="N5780">
        <v>48.360643253041701</v>
      </c>
      <c r="O5780">
        <v>47.876239155556597</v>
      </c>
      <c r="P5780">
        <v>-0.14028667054041</v>
      </c>
      <c r="Q5780">
        <v>7.1006678141226603E-2</v>
      </c>
      <c r="R5780">
        <v>0.99845096405510603</v>
      </c>
      <c r="S5780" t="s">
        <v>12182</v>
      </c>
      <c r="T5780" t="s">
        <v>12802</v>
      </c>
      <c r="U5780" t="s">
        <v>12802</v>
      </c>
      <c r="V5780" t="s">
        <v>12802</v>
      </c>
      <c r="W5780" t="s">
        <v>18514</v>
      </c>
      <c r="X5780">
        <v>5</v>
      </c>
      <c r="Y5780" t="s">
        <v>24724</v>
      </c>
      <c r="Z5780" t="s">
        <v>31098</v>
      </c>
      <c r="AA5780">
        <v>0.42080733056973663</v>
      </c>
      <c r="AB5780" t="str">
        <f>HYPERLINK("Melting_Curves/meltCurve_Q9NVP2_ASF1B.pdf", "Melting_Curves/meltCurve_Q9NVP2_ASF1B.pdf")</f>
        <v>Melting_Curves/meltCurve_Q9NVP2_ASF1B.pdf</v>
      </c>
    </row>
    <row r="5781" spans="1:28" x14ac:dyDescent="0.25">
      <c r="A5781" t="s">
        <v>5785</v>
      </c>
      <c r="B5781">
        <v>0.99542014353169495</v>
      </c>
      <c r="C5781">
        <v>0.844146167735634</v>
      </c>
      <c r="D5781">
        <v>0.81807254944611596</v>
      </c>
      <c r="E5781">
        <v>0.64484262796024105</v>
      </c>
      <c r="F5781">
        <v>0.377151966842316</v>
      </c>
      <c r="G5781">
        <v>0.16277322034643399</v>
      </c>
      <c r="H5781">
        <v>8.0301712813846599E-2</v>
      </c>
      <c r="I5781">
        <v>5.65887570732755E-2</v>
      </c>
      <c r="J5781">
        <v>5.7814776519950803E-2</v>
      </c>
      <c r="K5781">
        <v>5.7762046205980397E-2</v>
      </c>
      <c r="L5781">
        <v>623.82113495330498</v>
      </c>
      <c r="M5781">
        <v>12.991879575165999</v>
      </c>
      <c r="N5781">
        <v>48.047665846863701</v>
      </c>
      <c r="O5781">
        <v>46.921327797604903</v>
      </c>
      <c r="P5781">
        <v>-6.8940910776339806E-2</v>
      </c>
      <c r="Q5781">
        <v>4.2314408334597903E-3</v>
      </c>
      <c r="R5781">
        <v>0.98909625879192997</v>
      </c>
      <c r="S5781" t="s">
        <v>12183</v>
      </c>
      <c r="T5781" t="s">
        <v>12802</v>
      </c>
      <c r="U5781" t="s">
        <v>12802</v>
      </c>
      <c r="V5781" t="s">
        <v>12802</v>
      </c>
      <c r="W5781" t="s">
        <v>18515</v>
      </c>
      <c r="X5781">
        <v>5</v>
      </c>
      <c r="Y5781" t="s">
        <v>24725</v>
      </c>
      <c r="Z5781" t="s">
        <v>31099</v>
      </c>
      <c r="AA5781">
        <v>0.397531430188303</v>
      </c>
      <c r="AB5781" t="str">
        <f>HYPERLINK("Melting_Curves/meltCurve_Q9NVR0_KLHL11.pdf", "Melting_Curves/meltCurve_Q9NVR0_KLHL11.pdf")</f>
        <v>Melting_Curves/meltCurve_Q9NVR0_KLHL11.pdf</v>
      </c>
    </row>
    <row r="5782" spans="1:28" x14ac:dyDescent="0.25">
      <c r="A5782" t="s">
        <v>5786</v>
      </c>
      <c r="B5782">
        <v>0.99542014353169495</v>
      </c>
      <c r="C5782">
        <v>0.960299306540359</v>
      </c>
      <c r="D5782">
        <v>0.90528194632070602</v>
      </c>
      <c r="E5782">
        <v>0.65592362900587098</v>
      </c>
      <c r="F5782">
        <v>0.35905521668332602</v>
      </c>
      <c r="G5782">
        <v>0.13239191911863599</v>
      </c>
      <c r="H5782">
        <v>8.4368723190948805E-2</v>
      </c>
      <c r="I5782">
        <v>6.3172324034567004E-2</v>
      </c>
      <c r="J5782">
        <v>6.3515022568321297E-2</v>
      </c>
      <c r="K5782">
        <v>8.5234473927386797E-2</v>
      </c>
      <c r="L5782">
        <v>925.567833688223</v>
      </c>
      <c r="M5782">
        <v>19.289836355741599</v>
      </c>
      <c r="N5782">
        <v>48.274978372802103</v>
      </c>
      <c r="O5782">
        <v>47.475403791233397</v>
      </c>
      <c r="P5782">
        <v>-9.5973398077090599E-2</v>
      </c>
      <c r="Q5782">
        <v>5.5211322368603002E-2</v>
      </c>
      <c r="R5782">
        <v>0.99832164970888904</v>
      </c>
      <c r="S5782" t="s">
        <v>12184</v>
      </c>
      <c r="T5782" t="s">
        <v>12802</v>
      </c>
      <c r="U5782" t="s">
        <v>12802</v>
      </c>
      <c r="V5782" t="s">
        <v>12802</v>
      </c>
      <c r="W5782" t="s">
        <v>18516</v>
      </c>
      <c r="X5782">
        <v>7</v>
      </c>
      <c r="Y5782" t="s">
        <v>24726</v>
      </c>
      <c r="Z5782" t="s">
        <v>31100</v>
      </c>
      <c r="AA5782">
        <v>0.41435829568329952</v>
      </c>
      <c r="AB5782" t="str">
        <f>HYPERLINK("Melting_Curves/meltCurve_Q9NVR2_INTS10.pdf", "Melting_Curves/meltCurve_Q9NVR2_INTS10.pdf")</f>
        <v>Melting_Curves/meltCurve_Q9NVR2_INTS10.pdf</v>
      </c>
    </row>
    <row r="5783" spans="1:28" x14ac:dyDescent="0.25">
      <c r="A5783" t="s">
        <v>5787</v>
      </c>
      <c r="B5783">
        <v>0.99542014353169495</v>
      </c>
      <c r="C5783">
        <v>0.901041079039409</v>
      </c>
      <c r="D5783">
        <v>0.85168556773839899</v>
      </c>
      <c r="E5783">
        <v>0.62637149378269796</v>
      </c>
      <c r="F5783">
        <v>0.399087306214925</v>
      </c>
      <c r="G5783">
        <v>0.18606635497337801</v>
      </c>
      <c r="H5783">
        <v>7.9509958853225496E-2</v>
      </c>
      <c r="I5783">
        <v>3.9098591050835199E-2</v>
      </c>
      <c r="J5783">
        <v>4.0696473965613003E-2</v>
      </c>
      <c r="K5783">
        <v>3.5754136094311897E-2</v>
      </c>
      <c r="L5783">
        <v>664.25392107089999</v>
      </c>
      <c r="M5783">
        <v>13.7419617568187</v>
      </c>
      <c r="N5783">
        <v>48.337634299923003</v>
      </c>
      <c r="O5783">
        <v>47.348494581795698</v>
      </c>
      <c r="P5783">
        <v>-7.2567869064790902E-2</v>
      </c>
      <c r="Q5783">
        <v>0</v>
      </c>
      <c r="R5783">
        <v>0.99706094153706903</v>
      </c>
      <c r="S5783" t="s">
        <v>12185</v>
      </c>
      <c r="T5783" t="s">
        <v>12802</v>
      </c>
      <c r="U5783" t="s">
        <v>12802</v>
      </c>
      <c r="V5783" t="s">
        <v>12802</v>
      </c>
      <c r="W5783" t="s">
        <v>18517</v>
      </c>
      <c r="X5783">
        <v>2</v>
      </c>
      <c r="Y5783" t="s">
        <v>24727</v>
      </c>
      <c r="Z5783" t="s">
        <v>31101</v>
      </c>
      <c r="AA5783">
        <v>0.40307455959330002</v>
      </c>
      <c r="AB5783" t="str">
        <f>HYPERLINK("Melting_Curves/meltCurve_Q9NVR5_DNAAF2.pdf", "Melting_Curves/meltCurve_Q9NVR5_DNAAF2.pdf")</f>
        <v>Melting_Curves/meltCurve_Q9NVR5_DNAAF2.pdf</v>
      </c>
    </row>
    <row r="5784" spans="1:28" x14ac:dyDescent="0.25">
      <c r="A5784" t="s">
        <v>5788</v>
      </c>
      <c r="B5784">
        <v>0.99542014353169495</v>
      </c>
      <c r="C5784">
        <v>0.89073625033994597</v>
      </c>
      <c r="D5784">
        <v>0.88726846602590503</v>
      </c>
      <c r="E5784">
        <v>0.51536682356005403</v>
      </c>
      <c r="F5784">
        <v>0.23910578518158901</v>
      </c>
      <c r="G5784">
        <v>0.12601038652478699</v>
      </c>
      <c r="H5784">
        <v>9.0568069038741095E-2</v>
      </c>
      <c r="I5784">
        <v>8.8477247194643699E-2</v>
      </c>
      <c r="J5784">
        <v>0.11350817580542499</v>
      </c>
      <c r="K5784">
        <v>0.15974302929208001</v>
      </c>
      <c r="L5784">
        <v>1045.82208396086</v>
      </c>
      <c r="M5784">
        <v>22.6059297382604</v>
      </c>
      <c r="N5784">
        <v>46.755452610452203</v>
      </c>
      <c r="O5784">
        <v>45.905710736420701</v>
      </c>
      <c r="P5784">
        <v>-0.110075155104322</v>
      </c>
      <c r="Q5784">
        <v>0.10590238982934</v>
      </c>
      <c r="R5784">
        <v>0.99050017402138701</v>
      </c>
      <c r="S5784" t="s">
        <v>12186</v>
      </c>
      <c r="T5784" t="s">
        <v>12802</v>
      </c>
      <c r="U5784" t="s">
        <v>12802</v>
      </c>
      <c r="V5784" t="s">
        <v>12802</v>
      </c>
      <c r="W5784" t="s">
        <v>18518</v>
      </c>
      <c r="X5784">
        <v>7</v>
      </c>
      <c r="Y5784" t="s">
        <v>24728</v>
      </c>
      <c r="Z5784" t="s">
        <v>31102</v>
      </c>
      <c r="AA5784">
        <v>0.39109911415107312</v>
      </c>
      <c r="AB5784" t="str">
        <f>HYPERLINK("Melting_Curves/meltCurve_Q9NVU0_5_POLR3E.pdf", "Melting_Curves/meltCurve_Q9NVU0_5_POLR3E.pdf")</f>
        <v>Melting_Curves/meltCurve_Q9NVU0_5_POLR3E.pdf</v>
      </c>
    </row>
    <row r="5785" spans="1:28" x14ac:dyDescent="0.25">
      <c r="A5785" t="s">
        <v>5789</v>
      </c>
      <c r="B5785">
        <v>0.99542014353169495</v>
      </c>
      <c r="C5785">
        <v>0.95149723640096595</v>
      </c>
      <c r="D5785">
        <v>1.00785392742639</v>
      </c>
      <c r="E5785">
        <v>0.93391486238976895</v>
      </c>
      <c r="F5785">
        <v>0.75816384366080403</v>
      </c>
      <c r="G5785">
        <v>0.49179528783137999</v>
      </c>
      <c r="H5785">
        <v>0.435885048946764</v>
      </c>
      <c r="I5785">
        <v>0.37187990721473102</v>
      </c>
      <c r="J5785">
        <v>0.40895927801258403</v>
      </c>
      <c r="K5785">
        <v>0.47466867443569299</v>
      </c>
      <c r="L5785">
        <v>1512.19768252619</v>
      </c>
      <c r="M5785">
        <v>29.864826831127701</v>
      </c>
      <c r="N5785">
        <v>53.854884153636696</v>
      </c>
      <c r="O5785">
        <v>50.409336119371503</v>
      </c>
      <c r="P5785">
        <v>-8.6473951295747503E-2</v>
      </c>
      <c r="Q5785">
        <v>0.41616061403035798</v>
      </c>
      <c r="R5785">
        <v>0.98611740202016096</v>
      </c>
      <c r="S5785" t="s">
        <v>12187</v>
      </c>
      <c r="T5785" t="s">
        <v>12802</v>
      </c>
      <c r="U5785" t="s">
        <v>12802</v>
      </c>
      <c r="V5785" t="s">
        <v>12802</v>
      </c>
      <c r="W5785" t="s">
        <v>18519</v>
      </c>
      <c r="X5785">
        <v>3</v>
      </c>
      <c r="Y5785" t="s">
        <v>24729</v>
      </c>
      <c r="Z5785" t="s">
        <v>31103</v>
      </c>
      <c r="AA5785">
        <v>0.68516074022698836</v>
      </c>
      <c r="AB5785" t="str">
        <f>HYPERLINK("Melting_Curves/meltCurve_Q9NVV0_TMEM38B.pdf", "Melting_Curves/meltCurve_Q9NVV0_TMEM38B.pdf")</f>
        <v>Melting_Curves/meltCurve_Q9NVV0_TMEM38B.pdf</v>
      </c>
    </row>
    <row r="5786" spans="1:28" x14ac:dyDescent="0.25">
      <c r="A5786" t="s">
        <v>5790</v>
      </c>
      <c r="B5786">
        <v>0.99542014353169495</v>
      </c>
      <c r="C5786">
        <v>0.99836122304524999</v>
      </c>
      <c r="D5786">
        <v>1.0351757753870201</v>
      </c>
      <c r="E5786">
        <v>0.86525260008326399</v>
      </c>
      <c r="F5786">
        <v>0.58269315095573404</v>
      </c>
      <c r="G5786">
        <v>0.14452215836423299</v>
      </c>
      <c r="H5786">
        <v>7.8130767053710207E-2</v>
      </c>
      <c r="I5786">
        <v>5.6904744701913E-2</v>
      </c>
      <c r="J5786">
        <v>5.8497205242710501E-2</v>
      </c>
      <c r="K5786">
        <v>8.8945427451522105E-2</v>
      </c>
      <c r="L5786">
        <v>1490.5917388791599</v>
      </c>
      <c r="M5786">
        <v>29.603970247149</v>
      </c>
      <c r="N5786">
        <v>50.560482423262201</v>
      </c>
      <c r="O5786">
        <v>50.122973714218503</v>
      </c>
      <c r="P5786">
        <v>-0.13913829049549001</v>
      </c>
      <c r="Q5786">
        <v>5.76966049166657E-2</v>
      </c>
      <c r="R5786">
        <v>0.99544750302948304</v>
      </c>
      <c r="S5786" t="s">
        <v>12188</v>
      </c>
      <c r="T5786" t="s">
        <v>12802</v>
      </c>
      <c r="U5786" t="s">
        <v>12802</v>
      </c>
      <c r="V5786" t="s">
        <v>12802</v>
      </c>
      <c r="W5786" t="s">
        <v>18520</v>
      </c>
      <c r="X5786">
        <v>9</v>
      </c>
      <c r="Y5786" t="s">
        <v>24730</v>
      </c>
      <c r="Z5786" t="s">
        <v>31104</v>
      </c>
      <c r="AA5786">
        <v>0.48302334836494321</v>
      </c>
      <c r="AB5786" t="str">
        <f>HYPERLINK("Melting_Curves/meltCurve_Q9NVV4_MTPAP.pdf", "Melting_Curves/meltCurve_Q9NVV4_MTPAP.pdf")</f>
        <v>Melting_Curves/meltCurve_Q9NVV4_MTPAP.pdf</v>
      </c>
    </row>
    <row r="5787" spans="1:28" x14ac:dyDescent="0.25">
      <c r="A5787" t="s">
        <v>5791</v>
      </c>
      <c r="B5787">
        <v>0.99542014353169495</v>
      </c>
      <c r="C5787">
        <v>0.93771831604368605</v>
      </c>
      <c r="D5787">
        <v>0.66524931229820705</v>
      </c>
      <c r="E5787">
        <v>0.478505714290065</v>
      </c>
      <c r="F5787">
        <v>0.260626504116238</v>
      </c>
      <c r="G5787">
        <v>0.145040926647133</v>
      </c>
      <c r="H5787">
        <v>7.6695834413191194E-2</v>
      </c>
      <c r="I5787">
        <v>7.2060866317181796E-2</v>
      </c>
      <c r="J5787">
        <v>3.9452985297025102E-2</v>
      </c>
      <c r="K5787">
        <v>3.3287475408630599E-2</v>
      </c>
      <c r="L5787">
        <v>632.95117044741505</v>
      </c>
      <c r="M5787">
        <v>13.804053467635301</v>
      </c>
      <c r="N5787">
        <v>46.046401056216297</v>
      </c>
      <c r="O5787">
        <v>44.9224213792698</v>
      </c>
      <c r="P5787">
        <v>-7.4663597723387695E-2</v>
      </c>
      <c r="Q5787">
        <v>2.82274881746153E-2</v>
      </c>
      <c r="R5787">
        <v>0.99437378968636903</v>
      </c>
      <c r="S5787" t="s">
        <v>12189</v>
      </c>
      <c r="T5787" t="s">
        <v>12802</v>
      </c>
      <c r="U5787" t="s">
        <v>12802</v>
      </c>
      <c r="V5787" t="s">
        <v>12802</v>
      </c>
      <c r="W5787" t="s">
        <v>18521</v>
      </c>
      <c r="X5787">
        <v>1</v>
      </c>
      <c r="Y5787" t="s">
        <v>24731</v>
      </c>
      <c r="Z5787" t="s">
        <v>31105</v>
      </c>
      <c r="AA5787">
        <v>0.34128700077542018</v>
      </c>
      <c r="AB5787" t="str">
        <f>HYPERLINK("Melting_Curves/meltCurve_Q9NVW2_RLIM.pdf", "Melting_Curves/meltCurve_Q9NVW2_RLIM.pdf")</f>
        <v>Melting_Curves/meltCurve_Q9NVW2_RLIM.pdf</v>
      </c>
    </row>
    <row r="5788" spans="1:28" x14ac:dyDescent="0.25">
      <c r="A5788" t="s">
        <v>5792</v>
      </c>
      <c r="B5788">
        <v>0.99542014353169495</v>
      </c>
      <c r="C5788">
        <v>0.98231384432216096</v>
      </c>
      <c r="D5788">
        <v>0.91611226202358298</v>
      </c>
      <c r="E5788">
        <v>0.83835444142239302</v>
      </c>
      <c r="F5788">
        <v>0.69722971731356198</v>
      </c>
      <c r="G5788">
        <v>0.489143932482004</v>
      </c>
      <c r="H5788">
        <v>0.27836682577342597</v>
      </c>
      <c r="I5788">
        <v>0.20093272814277</v>
      </c>
      <c r="J5788">
        <v>0.20116041824001599</v>
      </c>
      <c r="K5788">
        <v>0.192078604180771</v>
      </c>
      <c r="L5788">
        <v>719.43712933144195</v>
      </c>
      <c r="M5788">
        <v>13.8325037871895</v>
      </c>
      <c r="N5788">
        <v>53.159225226187402</v>
      </c>
      <c r="O5788">
        <v>50.959746008522501</v>
      </c>
      <c r="P5788">
        <v>-5.9102462825181702E-2</v>
      </c>
      <c r="Q5788">
        <v>0.12917318976676001</v>
      </c>
      <c r="R5788">
        <v>0.99438179801030901</v>
      </c>
      <c r="S5788" t="s">
        <v>12190</v>
      </c>
      <c r="T5788" t="s">
        <v>12802</v>
      </c>
      <c r="U5788" t="s">
        <v>12802</v>
      </c>
      <c r="V5788" t="s">
        <v>12802</v>
      </c>
      <c r="W5788" t="s">
        <v>18522</v>
      </c>
      <c r="X5788">
        <v>10</v>
      </c>
      <c r="Y5788" t="s">
        <v>24732</v>
      </c>
      <c r="Z5788" t="s">
        <v>31106</v>
      </c>
      <c r="AA5788">
        <v>0.58307747810936017</v>
      </c>
      <c r="AB5788" t="str">
        <f>HYPERLINK("Melting_Curves/meltCurve_Q9NVX2_NLE1.pdf", "Melting_Curves/meltCurve_Q9NVX2_NLE1.pdf")</f>
        <v>Melting_Curves/meltCurve_Q9NVX2_NLE1.pdf</v>
      </c>
    </row>
    <row r="5789" spans="1:28" x14ac:dyDescent="0.25">
      <c r="A5789" t="s">
        <v>5793</v>
      </c>
      <c r="B5789">
        <v>0.99542014353169495</v>
      </c>
      <c r="C5789">
        <v>0.83518020002142601</v>
      </c>
      <c r="D5789">
        <v>0.80974371934107903</v>
      </c>
      <c r="E5789">
        <v>0.69450305534597101</v>
      </c>
      <c r="F5789">
        <v>0.57572737164045795</v>
      </c>
      <c r="G5789">
        <v>0.36979776566852901</v>
      </c>
      <c r="H5789">
        <v>0.17939666247104499</v>
      </c>
      <c r="I5789">
        <v>0.12535708548320301</v>
      </c>
      <c r="J5789">
        <v>0.13956209651876</v>
      </c>
      <c r="K5789">
        <v>0.105571918922793</v>
      </c>
      <c r="L5789">
        <v>467.87254761309703</v>
      </c>
      <c r="M5789">
        <v>9.2841544646591405</v>
      </c>
      <c r="N5789">
        <v>50.394738543734803</v>
      </c>
      <c r="O5789">
        <v>48.222259548419501</v>
      </c>
      <c r="P5789">
        <v>-4.8163154566776598E-2</v>
      </c>
      <c r="Q5789">
        <v>0</v>
      </c>
      <c r="R5789">
        <v>0.98110586362500896</v>
      </c>
      <c r="S5789" t="s">
        <v>12191</v>
      </c>
      <c r="T5789" t="s">
        <v>12802</v>
      </c>
      <c r="U5789" t="s">
        <v>12802</v>
      </c>
      <c r="V5789" t="s">
        <v>12802</v>
      </c>
      <c r="W5789" t="s">
        <v>18523</v>
      </c>
      <c r="X5789">
        <v>4</v>
      </c>
      <c r="Y5789" t="s">
        <v>24733</v>
      </c>
      <c r="Z5789" t="s">
        <v>31107</v>
      </c>
      <c r="AA5789">
        <v>0.48115712151698581</v>
      </c>
      <c r="AB5789" t="str">
        <f>HYPERLINK("Melting_Curves/meltCurve_Q9NVX7_KBTBD4.pdf", "Melting_Curves/meltCurve_Q9NVX7_KBTBD4.pdf")</f>
        <v>Melting_Curves/meltCurve_Q9NVX7_KBTBD4.pdf</v>
      </c>
    </row>
    <row r="5790" spans="1:28" x14ac:dyDescent="0.25">
      <c r="A5790" t="s">
        <v>5794</v>
      </c>
      <c r="B5790">
        <v>0.99542014353169495</v>
      </c>
      <c r="C5790">
        <v>0.92931880162839398</v>
      </c>
      <c r="D5790">
        <v>0.91869621139459301</v>
      </c>
      <c r="E5790">
        <v>0.84788047709993397</v>
      </c>
      <c r="F5790">
        <v>0.59666152065129596</v>
      </c>
      <c r="G5790">
        <v>0.30258887791261502</v>
      </c>
      <c r="H5790">
        <v>0.119960390543195</v>
      </c>
      <c r="I5790">
        <v>7.3189383528197594E-2</v>
      </c>
      <c r="J5790">
        <v>6.9874786515102899E-2</v>
      </c>
      <c r="K5790">
        <v>7.6873921136315998E-2</v>
      </c>
      <c r="L5790">
        <v>914.78931072637295</v>
      </c>
      <c r="M5790">
        <v>17.981738572480499</v>
      </c>
      <c r="N5790">
        <v>51.108473819918601</v>
      </c>
      <c r="O5790">
        <v>50.256570988284501</v>
      </c>
      <c r="P5790">
        <v>-8.5901476899884296E-2</v>
      </c>
      <c r="Q5790">
        <v>3.9714627642240603E-2</v>
      </c>
      <c r="R5790">
        <v>0.99427861628208103</v>
      </c>
      <c r="S5790" t="s">
        <v>12192</v>
      </c>
      <c r="T5790" t="s">
        <v>12802</v>
      </c>
      <c r="U5790" t="s">
        <v>12802</v>
      </c>
      <c r="V5790" t="s">
        <v>12802</v>
      </c>
      <c r="W5790" t="s">
        <v>18524</v>
      </c>
      <c r="X5790">
        <v>8</v>
      </c>
      <c r="Y5790" t="s">
        <v>24734</v>
      </c>
      <c r="Z5790" t="s">
        <v>31108</v>
      </c>
      <c r="AA5790">
        <v>0.49874374886729328</v>
      </c>
      <c r="AB5790" t="str">
        <f>HYPERLINK("Melting_Curves/meltCurve_Q9NVZ3_NECAP2.pdf", "Melting_Curves/meltCurve_Q9NVZ3_NECAP2.pdf")</f>
        <v>Melting_Curves/meltCurve_Q9NVZ3_NECAP2.pdf</v>
      </c>
    </row>
    <row r="5791" spans="1:28" x14ac:dyDescent="0.25">
      <c r="A5791" t="s">
        <v>5795</v>
      </c>
      <c r="B5791">
        <v>0.99542014353169495</v>
      </c>
      <c r="C5791">
        <v>0.86565081435293301</v>
      </c>
      <c r="D5791">
        <v>0.93345681009793002</v>
      </c>
      <c r="E5791">
        <v>0.482239704838554</v>
      </c>
      <c r="F5791">
        <v>0.16015100411943001</v>
      </c>
      <c r="G5791">
        <v>8.3005250885282295E-2</v>
      </c>
      <c r="H5791">
        <v>5.4840832822557598E-2</v>
      </c>
      <c r="I5791">
        <v>3.6818901934594202E-2</v>
      </c>
      <c r="J5791">
        <v>5.1135743322275301E-2</v>
      </c>
      <c r="K5791">
        <v>5.5846486298860097E-2</v>
      </c>
      <c r="L5791">
        <v>1245.68730636706</v>
      </c>
      <c r="M5791">
        <v>26.869465446919001</v>
      </c>
      <c r="N5791">
        <v>46.543402563639802</v>
      </c>
      <c r="O5791">
        <v>46.106192508135003</v>
      </c>
      <c r="P5791">
        <v>-0.13840285198826299</v>
      </c>
      <c r="Q5791">
        <v>5.0049712881062303E-2</v>
      </c>
      <c r="R5791">
        <v>0.98883165815096197</v>
      </c>
      <c r="S5791" t="s">
        <v>12193</v>
      </c>
      <c r="T5791" t="s">
        <v>12802</v>
      </c>
      <c r="U5791" t="s">
        <v>12802</v>
      </c>
      <c r="V5791" t="s">
        <v>12802</v>
      </c>
      <c r="W5791" t="s">
        <v>18525</v>
      </c>
      <c r="X5791">
        <v>8</v>
      </c>
      <c r="Y5791" t="s">
        <v>24735</v>
      </c>
      <c r="Z5791" t="s">
        <v>31109</v>
      </c>
      <c r="AA5791">
        <v>0.35328388413628631</v>
      </c>
      <c r="AB5791" t="str">
        <f>HYPERLINK("Melting_Curves/meltCurve_Q9NW08_2_POLR3B.pdf", "Melting_Curves/meltCurve_Q9NW08_2_POLR3B.pdf")</f>
        <v>Melting_Curves/meltCurve_Q9NW08_2_POLR3B.pdf</v>
      </c>
    </row>
    <row r="5792" spans="1:28" x14ac:dyDescent="0.25">
      <c r="A5792" t="s">
        <v>5796</v>
      </c>
      <c r="B5792">
        <v>0.99542014353169495</v>
      </c>
      <c r="C5792">
        <v>0.90779420562652102</v>
      </c>
      <c r="D5792">
        <v>0.86661347250210996</v>
      </c>
      <c r="E5792">
        <v>0.70117284527244295</v>
      </c>
      <c r="F5792">
        <v>0.58613101178720595</v>
      </c>
      <c r="G5792">
        <v>0.25731069084345998</v>
      </c>
      <c r="H5792">
        <v>0.13231974650058601</v>
      </c>
      <c r="I5792">
        <v>0.103461208522312</v>
      </c>
      <c r="J5792">
        <v>0.12581381556673299</v>
      </c>
      <c r="K5792">
        <v>0.12611285782041901</v>
      </c>
      <c r="L5792">
        <v>657.70584003029103</v>
      </c>
      <c r="M5792">
        <v>13.2539203200151</v>
      </c>
      <c r="N5792">
        <v>50.0616791417483</v>
      </c>
      <c r="O5792">
        <v>48.534655893170203</v>
      </c>
      <c r="P5792">
        <v>-6.4542032583982806E-2</v>
      </c>
      <c r="Q5792">
        <v>5.4766929216686001E-2</v>
      </c>
      <c r="R5792">
        <v>0.98237179863789803</v>
      </c>
      <c r="S5792" t="s">
        <v>12194</v>
      </c>
      <c r="T5792" t="s">
        <v>12802</v>
      </c>
      <c r="U5792" t="s">
        <v>12802</v>
      </c>
      <c r="V5792" t="s">
        <v>12802</v>
      </c>
      <c r="W5792" t="s">
        <v>18526</v>
      </c>
      <c r="X5792">
        <v>5</v>
      </c>
      <c r="Y5792" t="s">
        <v>24736</v>
      </c>
      <c r="Z5792" t="s">
        <v>31110</v>
      </c>
      <c r="AA5792">
        <v>0.47634129083108229</v>
      </c>
      <c r="AB5792" t="str">
        <f>HYPERLINK("Melting_Curves/meltCurve_Q9NW15_ANO10.pdf", "Melting_Curves/meltCurve_Q9NW15_ANO10.pdf")</f>
        <v>Melting_Curves/meltCurve_Q9NW15_ANO10.pdf</v>
      </c>
    </row>
    <row r="5793" spans="1:28" x14ac:dyDescent="0.25">
      <c r="A5793" t="s">
        <v>5797</v>
      </c>
      <c r="B5793">
        <v>0.99542014353169495</v>
      </c>
      <c r="C5793">
        <v>1.0094241297278701</v>
      </c>
      <c r="D5793">
        <v>1.0559619527233199</v>
      </c>
      <c r="E5793">
        <v>1.008075757616</v>
      </c>
      <c r="F5793">
        <v>0.54530269228391703</v>
      </c>
      <c r="G5793">
        <v>0.21638951083013699</v>
      </c>
      <c r="H5793">
        <v>0.108251041265246</v>
      </c>
      <c r="I5793">
        <v>6.0917346655677197E-2</v>
      </c>
      <c r="J5793">
        <v>6.12482204132326E-2</v>
      </c>
      <c r="K5793">
        <v>5.9119176749997199E-2</v>
      </c>
      <c r="L5793">
        <v>1695.0906926945399</v>
      </c>
      <c r="M5793">
        <v>33.5942712238624</v>
      </c>
      <c r="N5793">
        <v>50.698757089937601</v>
      </c>
      <c r="O5793">
        <v>50.279950541427503</v>
      </c>
      <c r="P5793">
        <v>-0.15470846769090801</v>
      </c>
      <c r="Q5793">
        <v>7.3806292407057897E-2</v>
      </c>
      <c r="R5793">
        <v>0.99415249021798902</v>
      </c>
      <c r="S5793" t="s">
        <v>12195</v>
      </c>
      <c r="T5793" t="s">
        <v>12802</v>
      </c>
      <c r="U5793" t="s">
        <v>12802</v>
      </c>
      <c r="V5793" t="s">
        <v>12802</v>
      </c>
      <c r="W5793" t="s">
        <v>18527</v>
      </c>
      <c r="X5793">
        <v>14</v>
      </c>
      <c r="Y5793" t="s">
        <v>24737</v>
      </c>
      <c r="Z5793" t="s">
        <v>31111</v>
      </c>
      <c r="AA5793">
        <v>0.49386459068736482</v>
      </c>
      <c r="AB5793" t="str">
        <f>HYPERLINK("Melting_Curves/meltCurve_Q9NW64_RBM22.pdf", "Melting_Curves/meltCurve_Q9NW64_RBM22.pdf")</f>
        <v>Melting_Curves/meltCurve_Q9NW64_RBM22.pdf</v>
      </c>
    </row>
    <row r="5794" spans="1:28" x14ac:dyDescent="0.25">
      <c r="A5794" t="s">
        <v>5798</v>
      </c>
      <c r="B5794">
        <v>0.99542014353169495</v>
      </c>
      <c r="C5794">
        <v>0.94682130249748198</v>
      </c>
      <c r="D5794">
        <v>0.92869925567825296</v>
      </c>
      <c r="E5794">
        <v>0.83462211937584896</v>
      </c>
      <c r="F5794">
        <v>0.68720287006343905</v>
      </c>
      <c r="G5794">
        <v>0.48891772554783902</v>
      </c>
      <c r="H5794">
        <v>0.20902152477258701</v>
      </c>
      <c r="I5794">
        <v>6.3634946809219398E-2</v>
      </c>
      <c r="J5794">
        <v>5.6144118125636501E-2</v>
      </c>
      <c r="K5794">
        <v>6.2523010095447404E-2</v>
      </c>
      <c r="L5794">
        <v>773.64689151513198</v>
      </c>
      <c r="M5794">
        <v>14.6650255364858</v>
      </c>
      <c r="N5794">
        <v>52.754555364502998</v>
      </c>
      <c r="O5794">
        <v>51.802731402578701</v>
      </c>
      <c r="P5794">
        <v>-7.0781229747284499E-2</v>
      </c>
      <c r="Q5794">
        <v>0</v>
      </c>
      <c r="R5794">
        <v>0.99091719015127</v>
      </c>
      <c r="S5794" t="s">
        <v>12196</v>
      </c>
      <c r="T5794" t="s">
        <v>12802</v>
      </c>
      <c r="U5794" t="s">
        <v>12802</v>
      </c>
      <c r="V5794" t="s">
        <v>12802</v>
      </c>
      <c r="W5794" t="s">
        <v>18528</v>
      </c>
      <c r="X5794">
        <v>24</v>
      </c>
      <c r="Y5794" t="s">
        <v>24738</v>
      </c>
      <c r="Z5794" t="s">
        <v>31112</v>
      </c>
      <c r="AA5794">
        <v>0.54375862273177822</v>
      </c>
      <c r="AB5794" t="str">
        <f>HYPERLINK("Melting_Curves/meltCurve_Q9NW82_WDR70.pdf", "Melting_Curves/meltCurve_Q9NW82_WDR70.pdf")</f>
        <v>Melting_Curves/meltCurve_Q9NW82_WDR70.pdf</v>
      </c>
    </row>
    <row r="5795" spans="1:28" x14ac:dyDescent="0.25">
      <c r="A5795" t="s">
        <v>5799</v>
      </c>
      <c r="B5795">
        <v>0.99542014353169495</v>
      </c>
      <c r="C5795">
        <v>1.0299922884741901</v>
      </c>
      <c r="D5795">
        <v>0.91302583893645495</v>
      </c>
      <c r="E5795">
        <v>0.85114512098564099</v>
      </c>
      <c r="F5795">
        <v>0.68341707268830099</v>
      </c>
      <c r="G5795">
        <v>0.54463108046526698</v>
      </c>
      <c r="H5795">
        <v>0.28477571499899801</v>
      </c>
      <c r="I5795">
        <v>0.24043610582292299</v>
      </c>
      <c r="J5795">
        <v>0.53460409236363005</v>
      </c>
      <c r="K5795">
        <v>1.02430247341623</v>
      </c>
      <c r="L5795">
        <v>1290.42715636393</v>
      </c>
      <c r="M5795">
        <v>26.846443622786602</v>
      </c>
      <c r="O5795">
        <v>47.802642745120998</v>
      </c>
      <c r="P5795">
        <v>-6.6636158884223307E-2</v>
      </c>
      <c r="Q5795">
        <v>0.52539677357280801</v>
      </c>
      <c r="R5795">
        <v>0.50340325719067103</v>
      </c>
      <c r="S5795" t="s">
        <v>12197</v>
      </c>
      <c r="T5795" t="s">
        <v>12802</v>
      </c>
      <c r="U5795" t="s">
        <v>12802</v>
      </c>
      <c r="V5795" t="s">
        <v>12802</v>
      </c>
      <c r="W5795" t="s">
        <v>18529</v>
      </c>
      <c r="X5795">
        <v>13</v>
      </c>
      <c r="Y5795" t="s">
        <v>24739</v>
      </c>
      <c r="Z5795" t="s">
        <v>31113</v>
      </c>
      <c r="AA5795">
        <v>0.7039919243791789</v>
      </c>
      <c r="AB5795" t="str">
        <f>HYPERLINK("Melting_Curves/meltCurve_Q9NWB6_ARGLU1.pdf", "Melting_Curves/meltCurve_Q9NWB6_ARGLU1.pdf")</f>
        <v>Melting_Curves/meltCurve_Q9NWB6_ARGLU1.pdf</v>
      </c>
    </row>
    <row r="5796" spans="1:28" x14ac:dyDescent="0.25">
      <c r="A5796" t="s">
        <v>5800</v>
      </c>
      <c r="B5796">
        <v>0.99542014353169495</v>
      </c>
      <c r="C5796">
        <v>0.918302808046355</v>
      </c>
      <c r="D5796">
        <v>0.94345216866322201</v>
      </c>
      <c r="E5796">
        <v>0.80032550630903698</v>
      </c>
      <c r="F5796">
        <v>0.71694516876430403</v>
      </c>
      <c r="G5796">
        <v>0.44063948166317002</v>
      </c>
      <c r="H5796">
        <v>0.37123635855825599</v>
      </c>
      <c r="I5796">
        <v>0.26354568695851799</v>
      </c>
      <c r="J5796">
        <v>0.33896811744003702</v>
      </c>
      <c r="K5796">
        <v>0.33228229244362001</v>
      </c>
      <c r="L5796">
        <v>753.74593940320597</v>
      </c>
      <c r="M5796">
        <v>14.9750652272596</v>
      </c>
      <c r="N5796">
        <v>53.232300388909898</v>
      </c>
      <c r="O5796">
        <v>49.461387746039499</v>
      </c>
      <c r="P5796">
        <v>-5.4594241648922397E-2</v>
      </c>
      <c r="Q5796">
        <v>0.27879217139239798</v>
      </c>
      <c r="R5796">
        <v>0.97556426378065197</v>
      </c>
      <c r="S5796" t="s">
        <v>12198</v>
      </c>
      <c r="T5796" t="s">
        <v>12802</v>
      </c>
      <c r="U5796" t="s">
        <v>12802</v>
      </c>
      <c r="V5796" t="s">
        <v>12802</v>
      </c>
      <c r="W5796" t="s">
        <v>18530</v>
      </c>
      <c r="X5796">
        <v>2</v>
      </c>
      <c r="Y5796" t="s">
        <v>24740</v>
      </c>
      <c r="Z5796" t="s">
        <v>31114</v>
      </c>
      <c r="AA5796">
        <v>0.61427048918773364</v>
      </c>
      <c r="AB5796" t="str">
        <f>HYPERLINK("Melting_Curves/meltCurve_Q9NWD8_TMEM248.pdf", "Melting_Curves/meltCurve_Q9NWD8_TMEM248.pdf")</f>
        <v>Melting_Curves/meltCurve_Q9NWD8_TMEM248.pdf</v>
      </c>
    </row>
    <row r="5797" spans="1:28" x14ac:dyDescent="0.25">
      <c r="A5797" t="s">
        <v>5801</v>
      </c>
      <c r="B5797">
        <v>0.99542014353169495</v>
      </c>
      <c r="C5797">
        <v>1.0899549077009101</v>
      </c>
      <c r="D5797">
        <v>0.933204966777334</v>
      </c>
      <c r="E5797">
        <v>0.77162360710377598</v>
      </c>
      <c r="F5797">
        <v>0.60944879642212002</v>
      </c>
      <c r="G5797">
        <v>0.42437202376717398</v>
      </c>
      <c r="H5797">
        <v>0.30741099440005698</v>
      </c>
      <c r="I5797">
        <v>0.21749130403729999</v>
      </c>
      <c r="J5797">
        <v>0.285407554702024</v>
      </c>
      <c r="K5797">
        <v>0.37086527233656802</v>
      </c>
      <c r="L5797">
        <v>877.32051819289302</v>
      </c>
      <c r="M5797">
        <v>17.8192398122155</v>
      </c>
      <c r="N5797">
        <v>51.590925601927303</v>
      </c>
      <c r="O5797">
        <v>48.626939765837598</v>
      </c>
      <c r="P5797">
        <v>-6.6107001315654307E-2</v>
      </c>
      <c r="Q5797">
        <v>0.278439211049619</v>
      </c>
      <c r="R5797">
        <v>0.97065952316028004</v>
      </c>
      <c r="S5797" t="s">
        <v>12199</v>
      </c>
      <c r="T5797" t="s">
        <v>12802</v>
      </c>
      <c r="U5797" t="s">
        <v>12802</v>
      </c>
      <c r="V5797" t="s">
        <v>12802</v>
      </c>
      <c r="W5797" t="s">
        <v>18531</v>
      </c>
      <c r="X5797">
        <v>2</v>
      </c>
      <c r="Y5797" t="s">
        <v>24741</v>
      </c>
      <c r="Z5797" t="s">
        <v>31115</v>
      </c>
      <c r="AA5797">
        <v>0.58435549705946621</v>
      </c>
      <c r="AB5797" t="str">
        <f>HYPERLINK("Melting_Curves/meltCurve_Q9NWD9_BEX4.pdf", "Melting_Curves/meltCurve_Q9NWD9_BEX4.pdf")</f>
        <v>Melting_Curves/meltCurve_Q9NWD9_BEX4.pdf</v>
      </c>
    </row>
    <row r="5798" spans="1:28" x14ac:dyDescent="0.25">
      <c r="A5798" t="s">
        <v>5802</v>
      </c>
      <c r="B5798">
        <v>0.99542014353169495</v>
      </c>
      <c r="C5798">
        <v>1.0319987537363799</v>
      </c>
      <c r="D5798">
        <v>0.85577365986987997</v>
      </c>
      <c r="E5798">
        <v>0.93427571597776904</v>
      </c>
      <c r="F5798">
        <v>0.78082556572835804</v>
      </c>
      <c r="G5798">
        <v>0.69036180265976299</v>
      </c>
      <c r="H5798">
        <v>0.531787471254482</v>
      </c>
      <c r="I5798">
        <v>0.52516294329902502</v>
      </c>
      <c r="J5798">
        <v>0.833276360216329</v>
      </c>
      <c r="K5798">
        <v>0.906106513362539</v>
      </c>
      <c r="L5798">
        <v>1239.7188701130899</v>
      </c>
      <c r="M5798">
        <v>25.8803015334184</v>
      </c>
      <c r="O5798">
        <v>47.618770212528702</v>
      </c>
      <c r="P5798">
        <v>-4.1232800425149402E-2</v>
      </c>
      <c r="Q5798">
        <v>0.69653642829377704</v>
      </c>
      <c r="R5798">
        <v>0.50691820988894498</v>
      </c>
      <c r="S5798" t="s">
        <v>12200</v>
      </c>
      <c r="T5798" t="s">
        <v>12802</v>
      </c>
      <c r="U5798" t="s">
        <v>12802</v>
      </c>
      <c r="V5798" t="s">
        <v>12802</v>
      </c>
      <c r="W5798" t="s">
        <v>18532</v>
      </c>
      <c r="X5798">
        <v>2</v>
      </c>
      <c r="Y5798" t="s">
        <v>24742</v>
      </c>
      <c r="Z5798" t="s">
        <v>31116</v>
      </c>
      <c r="AA5798">
        <v>0.80922622172251768</v>
      </c>
      <c r="AB5798" t="str">
        <f>HYPERLINK("Melting_Curves/meltCurve_Q9NWH2_TMEM242.pdf", "Melting_Curves/meltCurve_Q9NWH2_TMEM242.pdf")</f>
        <v>Melting_Curves/meltCurve_Q9NWH2_TMEM242.pdf</v>
      </c>
    </row>
    <row r="5799" spans="1:28" x14ac:dyDescent="0.25">
      <c r="A5799" t="s">
        <v>5803</v>
      </c>
      <c r="B5799">
        <v>0.99542014353169495</v>
      </c>
      <c r="C5799">
        <v>0.761507818414774</v>
      </c>
      <c r="D5799">
        <v>0.90251921056387696</v>
      </c>
      <c r="E5799">
        <v>0.623442757354296</v>
      </c>
      <c r="F5799">
        <v>0.550706837064035</v>
      </c>
      <c r="G5799">
        <v>0.11647552761673099</v>
      </c>
      <c r="H5799">
        <v>4.6617219167449597E-2</v>
      </c>
      <c r="I5799">
        <v>2.2723159092602099E-2</v>
      </c>
      <c r="J5799">
        <v>2.3241738789517099E-2</v>
      </c>
      <c r="K5799">
        <v>2.7325866000574999E-2</v>
      </c>
      <c r="L5799">
        <v>695.85580080600903</v>
      </c>
      <c r="M5799">
        <v>14.259138517721601</v>
      </c>
      <c r="N5799">
        <v>48.8006901827344</v>
      </c>
      <c r="O5799">
        <v>47.870964052260099</v>
      </c>
      <c r="P5799">
        <v>-7.4475703752898303E-2</v>
      </c>
      <c r="Q5799">
        <v>0</v>
      </c>
      <c r="R5799">
        <v>0.94619402366027605</v>
      </c>
      <c r="S5799" t="s">
        <v>12201</v>
      </c>
      <c r="T5799" t="s">
        <v>12802</v>
      </c>
      <c r="U5799" t="s">
        <v>12802</v>
      </c>
      <c r="V5799" t="s">
        <v>12802</v>
      </c>
      <c r="W5799" t="s">
        <v>18533</v>
      </c>
      <c r="X5799">
        <v>6</v>
      </c>
      <c r="Y5799" t="s">
        <v>24743</v>
      </c>
      <c r="Z5799" t="s">
        <v>31117</v>
      </c>
      <c r="AA5799">
        <v>0.41676171368642612</v>
      </c>
      <c r="AB5799" t="str">
        <f>HYPERLINK("Melting_Curves/meltCurve_Q9NWH9_SLTM.pdf", "Melting_Curves/meltCurve_Q9NWH9_SLTM.pdf")</f>
        <v>Melting_Curves/meltCurve_Q9NWH9_SLTM.pdf</v>
      </c>
    </row>
    <row r="5800" spans="1:28" x14ac:dyDescent="0.25">
      <c r="A5800" t="s">
        <v>5804</v>
      </c>
      <c r="B5800">
        <v>0.99542014353169495</v>
      </c>
      <c r="C5800">
        <v>0.76187378813857198</v>
      </c>
      <c r="D5800">
        <v>0.61808426986312304</v>
      </c>
      <c r="E5800">
        <v>0.26837877890595602</v>
      </c>
      <c r="F5800">
        <v>0.1793450286004</v>
      </c>
      <c r="G5800">
        <v>0.15419603428956599</v>
      </c>
      <c r="H5800">
        <v>0.131433454796414</v>
      </c>
      <c r="I5800">
        <v>9.9718811393703394E-2</v>
      </c>
      <c r="J5800">
        <v>0.174458359988822</v>
      </c>
      <c r="K5800">
        <v>0.20993803678102199</v>
      </c>
      <c r="L5800">
        <v>804.49832080265799</v>
      </c>
      <c r="M5800">
        <v>18.770834244596301</v>
      </c>
      <c r="N5800">
        <v>43.6456396369502</v>
      </c>
      <c r="O5800">
        <v>42.3814113829376</v>
      </c>
      <c r="P5800">
        <v>-9.4838161693387699E-2</v>
      </c>
      <c r="Q5800">
        <v>0.14352094875573301</v>
      </c>
      <c r="R5800">
        <v>0.97931417798780496</v>
      </c>
      <c r="S5800" t="s">
        <v>12202</v>
      </c>
      <c r="T5800" t="s">
        <v>12802</v>
      </c>
      <c r="U5800" t="s">
        <v>12802</v>
      </c>
      <c r="V5800" t="s">
        <v>12802</v>
      </c>
      <c r="W5800" t="s">
        <v>18534</v>
      </c>
      <c r="X5800">
        <v>3</v>
      </c>
      <c r="Y5800" t="s">
        <v>24744</v>
      </c>
      <c r="Z5800" t="s">
        <v>31118</v>
      </c>
      <c r="AA5800">
        <v>0.32471025193983227</v>
      </c>
      <c r="AB5800" t="str">
        <f>HYPERLINK("Melting_Curves/meltCurve_Q9NWK9_ZNHIT6.pdf", "Melting_Curves/meltCurve_Q9NWK9_ZNHIT6.pdf")</f>
        <v>Melting_Curves/meltCurve_Q9NWK9_ZNHIT6.pdf</v>
      </c>
    </row>
    <row r="5801" spans="1:28" x14ac:dyDescent="0.25">
      <c r="A5801" t="s">
        <v>5805</v>
      </c>
      <c r="B5801">
        <v>0.99542014353169495</v>
      </c>
      <c r="C5801">
        <v>1.00351364672231</v>
      </c>
      <c r="D5801">
        <v>0.99377743583144396</v>
      </c>
      <c r="E5801">
        <v>0.91822232394851599</v>
      </c>
      <c r="F5801">
        <v>0.59960306045283396</v>
      </c>
      <c r="G5801">
        <v>0.28535223265083798</v>
      </c>
      <c r="H5801">
        <v>0.15635658610726899</v>
      </c>
      <c r="I5801">
        <v>0.10441330268156</v>
      </c>
      <c r="J5801">
        <v>0.11595507526155401</v>
      </c>
      <c r="K5801">
        <v>0.10320725096147799</v>
      </c>
      <c r="L5801">
        <v>1251.1223952601299</v>
      </c>
      <c r="M5801">
        <v>24.669973733559502</v>
      </c>
      <c r="N5801">
        <v>51.194953056835701</v>
      </c>
      <c r="O5801">
        <v>50.384680834370997</v>
      </c>
      <c r="P5801">
        <v>-0.109757512774816</v>
      </c>
      <c r="Q5801">
        <v>0.10336058258257599</v>
      </c>
      <c r="R5801">
        <v>0.99966696012006595</v>
      </c>
      <c r="S5801" t="s">
        <v>12203</v>
      </c>
      <c r="T5801" t="s">
        <v>12802</v>
      </c>
      <c r="U5801" t="s">
        <v>12802</v>
      </c>
      <c r="V5801" t="s">
        <v>12802</v>
      </c>
      <c r="W5801" t="s">
        <v>18535</v>
      </c>
      <c r="X5801">
        <v>2</v>
      </c>
      <c r="Y5801" t="s">
        <v>24745</v>
      </c>
      <c r="Z5801" t="s">
        <v>31119</v>
      </c>
      <c r="AA5801">
        <v>0.52134814239045812</v>
      </c>
      <c r="AB5801" t="str">
        <f>HYPERLINK("Melting_Curves/meltCurve_Q9NWM8_FKBP14.pdf", "Melting_Curves/meltCurve_Q9NWM8_FKBP14.pdf")</f>
        <v>Melting_Curves/meltCurve_Q9NWM8_FKBP14.pdf</v>
      </c>
    </row>
    <row r="5802" spans="1:28" x14ac:dyDescent="0.25">
      <c r="A5802" t="s">
        <v>5806</v>
      </c>
      <c r="B5802">
        <v>0.99542014353169495</v>
      </c>
      <c r="C5802">
        <v>1.0151861650543701</v>
      </c>
      <c r="D5802">
        <v>0.79482857246201699</v>
      </c>
      <c r="E5802">
        <v>0.53423333337465795</v>
      </c>
      <c r="F5802">
        <v>0.26390866550776998</v>
      </c>
      <c r="G5802">
        <v>0.20689164178821101</v>
      </c>
      <c r="H5802">
        <v>0.123354066294676</v>
      </c>
      <c r="I5802">
        <v>8.4514438552531504E-2</v>
      </c>
      <c r="J5802">
        <v>0.13486845319906801</v>
      </c>
      <c r="K5802">
        <v>0.127400167984278</v>
      </c>
      <c r="L5802">
        <v>872.142742774932</v>
      </c>
      <c r="M5802">
        <v>18.8686220454919</v>
      </c>
      <c r="N5802">
        <v>46.866425488513102</v>
      </c>
      <c r="O5802">
        <v>45.7120478396156</v>
      </c>
      <c r="P5802">
        <v>-9.1403315005744307E-2</v>
      </c>
      <c r="Q5802">
        <v>0.11428335766834299</v>
      </c>
      <c r="R5802">
        <v>0.99383547947700601</v>
      </c>
      <c r="S5802" t="s">
        <v>12204</v>
      </c>
      <c r="T5802" t="s">
        <v>12802</v>
      </c>
      <c r="U5802" t="s">
        <v>12802</v>
      </c>
      <c r="V5802" t="s">
        <v>12802</v>
      </c>
      <c r="W5802" t="s">
        <v>18536</v>
      </c>
      <c r="X5802">
        <v>3</v>
      </c>
      <c r="Y5802" t="s">
        <v>24746</v>
      </c>
      <c r="Z5802" t="s">
        <v>31120</v>
      </c>
      <c r="AA5802">
        <v>0.39955986848176889</v>
      </c>
      <c r="AB5802" t="str">
        <f>HYPERLINK("Melting_Curves/meltCurve_Q9NWQ9_C14orf119.pdf", "Melting_Curves/meltCurve_Q9NWQ9_C14orf119.pdf")</f>
        <v>Melting_Curves/meltCurve_Q9NWQ9_C14orf119.pdf</v>
      </c>
    </row>
    <row r="5803" spans="1:28" x14ac:dyDescent="0.25">
      <c r="A5803" t="s">
        <v>5807</v>
      </c>
      <c r="B5803">
        <v>0.99542014353169495</v>
      </c>
      <c r="C5803">
        <v>0.83885514439964604</v>
      </c>
      <c r="D5803">
        <v>0.87270867267458196</v>
      </c>
      <c r="E5803">
        <v>0.64780747745439005</v>
      </c>
      <c r="F5803">
        <v>0.25797129762354598</v>
      </c>
      <c r="G5803">
        <v>9.1976426342313594E-2</v>
      </c>
      <c r="H5803">
        <v>6.0141528031898803E-2</v>
      </c>
      <c r="I5803">
        <v>3.9502009744313601E-2</v>
      </c>
      <c r="J5803">
        <v>4.5181388173123102E-2</v>
      </c>
      <c r="K5803">
        <v>4.4674561140268201E-2</v>
      </c>
      <c r="L5803">
        <v>893.36182269685105</v>
      </c>
      <c r="M5803">
        <v>18.811031296073899</v>
      </c>
      <c r="N5803">
        <v>47.617029628752</v>
      </c>
      <c r="O5803">
        <v>46.964434463537103</v>
      </c>
      <c r="P5803">
        <v>-9.7713943756879196E-2</v>
      </c>
      <c r="Q5803">
        <v>2.4213053625614701E-2</v>
      </c>
      <c r="R5803">
        <v>0.98438738669130998</v>
      </c>
      <c r="S5803" t="s">
        <v>12205</v>
      </c>
      <c r="T5803" t="s">
        <v>12802</v>
      </c>
      <c r="U5803" t="s">
        <v>12802</v>
      </c>
      <c r="V5803" t="s">
        <v>12802</v>
      </c>
      <c r="W5803" t="s">
        <v>18537</v>
      </c>
      <c r="X5803">
        <v>6</v>
      </c>
      <c r="Y5803" t="s">
        <v>24747</v>
      </c>
      <c r="Z5803" t="s">
        <v>31121</v>
      </c>
      <c r="AA5803">
        <v>0.37984386023610422</v>
      </c>
      <c r="AB5803" t="str">
        <f>HYPERLINK("Melting_Curves/meltCurve_Q9NWS0_PIH1D1.pdf", "Melting_Curves/meltCurve_Q9NWS0_PIH1D1.pdf")</f>
        <v>Melting_Curves/meltCurve_Q9NWS0_PIH1D1.pdf</v>
      </c>
    </row>
    <row r="5804" spans="1:28" x14ac:dyDescent="0.25">
      <c r="A5804" t="s">
        <v>5808</v>
      </c>
      <c r="B5804">
        <v>0.99542014353169495</v>
      </c>
      <c r="C5804">
        <v>0.99783024970091405</v>
      </c>
      <c r="D5804">
        <v>0.92999117520486496</v>
      </c>
      <c r="E5804">
        <v>0.72079825750701199</v>
      </c>
      <c r="F5804">
        <v>0.156271362292734</v>
      </c>
      <c r="G5804">
        <v>3.5762524815693503E-2</v>
      </c>
      <c r="H5804">
        <v>2.7366907077328199E-2</v>
      </c>
      <c r="I5804">
        <v>2.6938864662236599E-2</v>
      </c>
      <c r="J5804">
        <v>2.0337613395188098E-2</v>
      </c>
      <c r="K5804">
        <v>2.0608683926241499E-2</v>
      </c>
      <c r="L5804">
        <v>1708.1457404769801</v>
      </c>
      <c r="M5804">
        <v>35.786252013346598</v>
      </c>
      <c r="N5804">
        <v>47.789633813695097</v>
      </c>
      <c r="O5804">
        <v>47.583593502829402</v>
      </c>
      <c r="P5804">
        <v>-0.18404178749313299</v>
      </c>
      <c r="Q5804">
        <v>2.1150404408928399E-2</v>
      </c>
      <c r="R5804">
        <v>0.99844692573498295</v>
      </c>
      <c r="S5804" t="s">
        <v>12206</v>
      </c>
      <c r="T5804" t="s">
        <v>12802</v>
      </c>
      <c r="U5804" t="s">
        <v>12802</v>
      </c>
      <c r="V5804" t="s">
        <v>12802</v>
      </c>
      <c r="W5804" t="s">
        <v>18538</v>
      </c>
      <c r="X5804">
        <v>8</v>
      </c>
      <c r="Y5804" t="s">
        <v>24748</v>
      </c>
      <c r="Z5804" t="s">
        <v>31122</v>
      </c>
      <c r="AA5804">
        <v>0.37535691700629648</v>
      </c>
      <c r="AB5804" t="str">
        <f>HYPERLINK("Melting_Curves/meltCurve_Q9NWS6_FAM118A.pdf", "Melting_Curves/meltCurve_Q9NWS6_FAM118A.pdf")</f>
        <v>Melting_Curves/meltCurve_Q9NWS6_FAM118A.pdf</v>
      </c>
    </row>
    <row r="5805" spans="1:28" x14ac:dyDescent="0.25">
      <c r="A5805" t="s">
        <v>5809</v>
      </c>
      <c r="B5805">
        <v>0.99542014353169495</v>
      </c>
      <c r="C5805">
        <v>0.81899324005239105</v>
      </c>
      <c r="D5805">
        <v>0.82458021061832498</v>
      </c>
      <c r="E5805">
        <v>0.59805844953029796</v>
      </c>
      <c r="F5805">
        <v>0.49682656228173999</v>
      </c>
      <c r="G5805">
        <v>0.15857671298611101</v>
      </c>
      <c r="H5805">
        <v>7.4654330915456299E-2</v>
      </c>
      <c r="I5805">
        <v>5.7392476113672999E-2</v>
      </c>
      <c r="J5805">
        <v>4.7860297667074399E-2</v>
      </c>
      <c r="K5805">
        <v>4.35179096007038E-2</v>
      </c>
      <c r="L5805">
        <v>583.06680105092596</v>
      </c>
      <c r="M5805">
        <v>12.0754115399364</v>
      </c>
      <c r="N5805">
        <v>48.285460066336199</v>
      </c>
      <c r="O5805">
        <v>47.018415386744699</v>
      </c>
      <c r="P5805">
        <v>-6.4220833753110704E-2</v>
      </c>
      <c r="Q5805">
        <v>0</v>
      </c>
      <c r="R5805">
        <v>0.97524740123740195</v>
      </c>
      <c r="S5805" t="s">
        <v>12207</v>
      </c>
      <c r="T5805" t="s">
        <v>12802</v>
      </c>
      <c r="U5805" t="s">
        <v>12802</v>
      </c>
      <c r="V5805" t="s">
        <v>12802</v>
      </c>
      <c r="W5805" t="s">
        <v>18539</v>
      </c>
      <c r="X5805">
        <v>6</v>
      </c>
      <c r="Y5805" t="s">
        <v>24749</v>
      </c>
      <c r="Z5805" t="s">
        <v>31123</v>
      </c>
      <c r="AA5805">
        <v>0.4067696965201914</v>
      </c>
      <c r="AB5805" t="str">
        <f>HYPERLINK("Melting_Curves/meltCurve_Q9NWS8_RMND1.pdf", "Melting_Curves/meltCurve_Q9NWS8_RMND1.pdf")</f>
        <v>Melting_Curves/meltCurve_Q9NWS8_RMND1.pdf</v>
      </c>
    </row>
    <row r="5806" spans="1:28" x14ac:dyDescent="0.25">
      <c r="A5806" t="s">
        <v>5810</v>
      </c>
      <c r="B5806">
        <v>0.99542014353169495</v>
      </c>
      <c r="C5806">
        <v>1.0357886239612799</v>
      </c>
      <c r="D5806">
        <v>1.0514637292717799</v>
      </c>
      <c r="E5806">
        <v>1.0073684346331799</v>
      </c>
      <c r="F5806">
        <v>0.76072833431155995</v>
      </c>
      <c r="G5806">
        <v>0.37368890049176501</v>
      </c>
      <c r="H5806">
        <v>0.18325608589840101</v>
      </c>
      <c r="I5806">
        <v>9.8715857937463097E-2</v>
      </c>
      <c r="J5806">
        <v>0.124722283675213</v>
      </c>
      <c r="K5806">
        <v>0.16105091753079201</v>
      </c>
      <c r="L5806">
        <v>1543.3148539982401</v>
      </c>
      <c r="M5806">
        <v>29.674825408672699</v>
      </c>
      <c r="N5806">
        <v>52.524465539039703</v>
      </c>
      <c r="O5806">
        <v>51.773081195061899</v>
      </c>
      <c r="P5806">
        <v>-0.125147999734986</v>
      </c>
      <c r="Q5806">
        <v>0.126632980121758</v>
      </c>
      <c r="R5806">
        <v>0.99488033256727204</v>
      </c>
      <c r="S5806" t="s">
        <v>12208</v>
      </c>
      <c r="T5806" t="s">
        <v>12802</v>
      </c>
      <c r="U5806" t="s">
        <v>12802</v>
      </c>
      <c r="V5806" t="s">
        <v>12802</v>
      </c>
      <c r="W5806" t="s">
        <v>18540</v>
      </c>
      <c r="X5806">
        <v>4</v>
      </c>
      <c r="Y5806" t="s">
        <v>24750</v>
      </c>
      <c r="Z5806" t="s">
        <v>31124</v>
      </c>
      <c r="AA5806">
        <v>0.56916319269215776</v>
      </c>
      <c r="AB5806" t="str">
        <f>HYPERLINK("Melting_Curves/meltCurve_Q9NWT6_HIF1AN.pdf", "Melting_Curves/meltCurve_Q9NWT6_HIF1AN.pdf")</f>
        <v>Melting_Curves/meltCurve_Q9NWT6_HIF1AN.pdf</v>
      </c>
    </row>
    <row r="5807" spans="1:28" x14ac:dyDescent="0.25">
      <c r="A5807" t="s">
        <v>5811</v>
      </c>
      <c r="B5807">
        <v>0.99542014353169495</v>
      </c>
      <c r="C5807">
        <v>1.0865183023874001</v>
      </c>
      <c r="D5807">
        <v>1.05479238152218</v>
      </c>
      <c r="E5807">
        <v>0.82882967069562397</v>
      </c>
      <c r="F5807">
        <v>0.67840869757591205</v>
      </c>
      <c r="G5807">
        <v>0.35679575505347699</v>
      </c>
      <c r="H5807">
        <v>0.16871849658379001</v>
      </c>
      <c r="I5807">
        <v>0.13768043914723899</v>
      </c>
      <c r="J5807">
        <v>0.11008765988291599</v>
      </c>
      <c r="K5807">
        <v>0.13701639109981301</v>
      </c>
      <c r="L5807">
        <v>1045.6802154715101</v>
      </c>
      <c r="M5807">
        <v>20.391067857896001</v>
      </c>
      <c r="N5807">
        <v>51.8758386136262</v>
      </c>
      <c r="O5807">
        <v>50.795719013892302</v>
      </c>
      <c r="P5807">
        <v>-8.9903078227458105E-2</v>
      </c>
      <c r="Q5807">
        <v>0.104205006076297</v>
      </c>
      <c r="R5807">
        <v>0.98695193884632004</v>
      </c>
      <c r="S5807" t="s">
        <v>12209</v>
      </c>
      <c r="T5807" t="s">
        <v>12802</v>
      </c>
      <c r="U5807" t="s">
        <v>12802</v>
      </c>
      <c r="V5807" t="s">
        <v>12802</v>
      </c>
      <c r="W5807" t="s">
        <v>18541</v>
      </c>
      <c r="X5807">
        <v>1</v>
      </c>
      <c r="Y5807" t="s">
        <v>24751</v>
      </c>
      <c r="Z5807" t="s">
        <v>31125</v>
      </c>
      <c r="AA5807">
        <v>0.54196810061407574</v>
      </c>
      <c r="AB5807" t="str">
        <f>HYPERLINK("Melting_Curves/meltCurve_Q9NWT8_AURKAIP1.pdf", "Melting_Curves/meltCurve_Q9NWT8_AURKAIP1.pdf")</f>
        <v>Melting_Curves/meltCurve_Q9NWT8_AURKAIP1.pdf</v>
      </c>
    </row>
    <row r="5808" spans="1:28" x14ac:dyDescent="0.25">
      <c r="A5808" t="s">
        <v>5812</v>
      </c>
      <c r="B5808">
        <v>0.99542014353169495</v>
      </c>
      <c r="C5808">
        <v>0.97047646066464499</v>
      </c>
      <c r="D5808">
        <v>0.93873027127348296</v>
      </c>
      <c r="E5808">
        <v>0.93544393318042796</v>
      </c>
      <c r="F5808">
        <v>0.734387150050682</v>
      </c>
      <c r="G5808">
        <v>0.63489926972461097</v>
      </c>
      <c r="H5808">
        <v>0.421851167569261</v>
      </c>
      <c r="I5808">
        <v>0.44758606273471802</v>
      </c>
      <c r="J5808">
        <v>0.69996194168295101</v>
      </c>
      <c r="K5808">
        <v>0.91661199369904101</v>
      </c>
      <c r="L5808">
        <v>1749.6619732640299</v>
      </c>
      <c r="M5808">
        <v>35.869187029918798</v>
      </c>
      <c r="O5808">
        <v>48.628098061148499</v>
      </c>
      <c r="P5808">
        <v>-6.9556771810988099E-2</v>
      </c>
      <c r="Q5808">
        <v>0.62280687389418898</v>
      </c>
      <c r="R5808">
        <v>0.59666801304047301</v>
      </c>
      <c r="S5808" t="s">
        <v>12210</v>
      </c>
      <c r="T5808" t="s">
        <v>12802</v>
      </c>
      <c r="U5808" t="s">
        <v>12802</v>
      </c>
      <c r="V5808" t="s">
        <v>12802</v>
      </c>
      <c r="W5808" t="s">
        <v>18542</v>
      </c>
      <c r="X5808">
        <v>13</v>
      </c>
      <c r="Y5808" t="s">
        <v>24752</v>
      </c>
      <c r="Z5808" t="s">
        <v>31126</v>
      </c>
      <c r="AA5808">
        <v>0.77248865491389596</v>
      </c>
      <c r="AB5808" t="str">
        <f>HYPERLINK("Melting_Curves/meltCurve_Q9NWU1_OXSM.pdf", "Melting_Curves/meltCurve_Q9NWU1_OXSM.pdf")</f>
        <v>Melting_Curves/meltCurve_Q9NWU1_OXSM.pdf</v>
      </c>
    </row>
    <row r="5809" spans="1:28" x14ac:dyDescent="0.25">
      <c r="A5809" t="s">
        <v>5813</v>
      </c>
      <c r="B5809">
        <v>0.99542014353169495</v>
      </c>
      <c r="C5809">
        <v>1.00755478691536</v>
      </c>
      <c r="D5809">
        <v>0.97534282356848701</v>
      </c>
      <c r="E5809">
        <v>0.85793882493904605</v>
      </c>
      <c r="F5809">
        <v>0.63164310449558003</v>
      </c>
      <c r="G5809">
        <v>0.37079183178783398</v>
      </c>
      <c r="H5809">
        <v>0.231464415909126</v>
      </c>
      <c r="I5809">
        <v>0.169549874070825</v>
      </c>
      <c r="J5809">
        <v>0.18950522770475101</v>
      </c>
      <c r="K5809">
        <v>0.20605573159875901</v>
      </c>
      <c r="L5809">
        <v>1010.91382537706</v>
      </c>
      <c r="M5809">
        <v>19.972362853508901</v>
      </c>
      <c r="N5809">
        <v>51.706954707580699</v>
      </c>
      <c r="O5809">
        <v>50.1163993981408</v>
      </c>
      <c r="P5809">
        <v>-8.2497972578618003E-2</v>
      </c>
      <c r="Q5809">
        <v>0.17198259198396401</v>
      </c>
      <c r="R5809">
        <v>0.99805123988904398</v>
      </c>
      <c r="S5809" t="s">
        <v>12211</v>
      </c>
      <c r="T5809" t="s">
        <v>12802</v>
      </c>
      <c r="U5809" t="s">
        <v>12802</v>
      </c>
      <c r="V5809" t="s">
        <v>12802</v>
      </c>
      <c r="W5809" t="s">
        <v>18543</v>
      </c>
      <c r="X5809">
        <v>4</v>
      </c>
      <c r="Y5809" t="s">
        <v>24753</v>
      </c>
      <c r="Z5809" t="s">
        <v>31127</v>
      </c>
      <c r="AA5809">
        <v>0.55868135907059346</v>
      </c>
      <c r="AB5809" t="str">
        <f>HYPERLINK("Melting_Curves/meltCurve_Q9NWU2_GID8.pdf", "Melting_Curves/meltCurve_Q9NWU2_GID8.pdf")</f>
        <v>Melting_Curves/meltCurve_Q9NWU2_GID8.pdf</v>
      </c>
    </row>
    <row r="5810" spans="1:28" x14ac:dyDescent="0.25">
      <c r="A5810" t="s">
        <v>5814</v>
      </c>
      <c r="B5810">
        <v>0.99542014353169495</v>
      </c>
      <c r="C5810">
        <v>1.0132869402660001</v>
      </c>
      <c r="D5810">
        <v>0.98772587066807205</v>
      </c>
      <c r="E5810">
        <v>1.0206142367095601</v>
      </c>
      <c r="F5810">
        <v>0.76972910211981505</v>
      </c>
      <c r="G5810">
        <v>0.41330344223925602</v>
      </c>
      <c r="H5810">
        <v>0.117502184665144</v>
      </c>
      <c r="I5810">
        <v>7.9826403449537495E-2</v>
      </c>
      <c r="J5810">
        <v>9.4103732390709696E-2</v>
      </c>
      <c r="K5810">
        <v>8.8555953735859505E-2</v>
      </c>
      <c r="L5810">
        <v>1472.7542837942599</v>
      </c>
      <c r="M5810">
        <v>28.054834369799799</v>
      </c>
      <c r="N5810">
        <v>52.7940423577354</v>
      </c>
      <c r="O5810">
        <v>52.230997926376297</v>
      </c>
      <c r="P5810">
        <v>-0.124435672853717</v>
      </c>
      <c r="Q5810">
        <v>7.33367914744779E-2</v>
      </c>
      <c r="R5810">
        <v>0.99665485854798797</v>
      </c>
      <c r="S5810" t="s">
        <v>12212</v>
      </c>
      <c r="T5810" t="s">
        <v>12802</v>
      </c>
      <c r="U5810" t="s">
        <v>12802</v>
      </c>
      <c r="V5810" t="s">
        <v>12802</v>
      </c>
      <c r="W5810" t="s">
        <v>18544</v>
      </c>
      <c r="X5810">
        <v>9</v>
      </c>
      <c r="Y5810" t="s">
        <v>24754</v>
      </c>
      <c r="Z5810" t="s">
        <v>31128</v>
      </c>
      <c r="AA5810">
        <v>0.55863809339376902</v>
      </c>
      <c r="AB5810" t="str">
        <f>HYPERLINK("Melting_Curves/meltCurve_Q9NWV4_C1orf123.pdf", "Melting_Curves/meltCurve_Q9NWV4_C1orf123.pdf")</f>
        <v>Melting_Curves/meltCurve_Q9NWV4_C1orf123.pdf</v>
      </c>
    </row>
    <row r="5811" spans="1:28" x14ac:dyDescent="0.25">
      <c r="A5811" t="s">
        <v>5815</v>
      </c>
      <c r="B5811">
        <v>0.99542014353169495</v>
      </c>
      <c r="C5811">
        <v>0.93791993762296499</v>
      </c>
      <c r="D5811">
        <v>0.93073941732491305</v>
      </c>
      <c r="E5811">
        <v>0.86226778481822997</v>
      </c>
      <c r="F5811">
        <v>0.65195669375458498</v>
      </c>
      <c r="G5811">
        <v>0.45592450269975598</v>
      </c>
      <c r="H5811">
        <v>0.28202063409871297</v>
      </c>
      <c r="I5811">
        <v>0.16752915631773799</v>
      </c>
      <c r="J5811">
        <v>7.9260622587627796E-2</v>
      </c>
      <c r="K5811">
        <v>7.5060927272781103E-2</v>
      </c>
      <c r="L5811">
        <v>652.17506215612104</v>
      </c>
      <c r="M5811">
        <v>12.3219925543244</v>
      </c>
      <c r="N5811">
        <v>52.927727880689503</v>
      </c>
      <c r="O5811">
        <v>51.591642452981603</v>
      </c>
      <c r="P5811">
        <v>-5.9722247578817299E-2</v>
      </c>
      <c r="Q5811">
        <v>0</v>
      </c>
      <c r="R5811">
        <v>0.99731494186452496</v>
      </c>
      <c r="S5811" t="s">
        <v>12213</v>
      </c>
      <c r="T5811" t="s">
        <v>12802</v>
      </c>
      <c r="U5811" t="s">
        <v>12802</v>
      </c>
      <c r="V5811" t="s">
        <v>12802</v>
      </c>
      <c r="W5811" t="s">
        <v>18545</v>
      </c>
      <c r="X5811">
        <v>8</v>
      </c>
      <c r="Y5811" t="s">
        <v>24755</v>
      </c>
      <c r="Z5811" t="s">
        <v>31129</v>
      </c>
      <c r="AA5811">
        <v>0.55189194319076784</v>
      </c>
      <c r="AB5811" t="str">
        <f>HYPERLINK("Melting_Curves/meltCurve_Q9NWX6_THG1L.pdf", "Melting_Curves/meltCurve_Q9NWX6_THG1L.pdf")</f>
        <v>Melting_Curves/meltCurve_Q9NWX6_THG1L.pdf</v>
      </c>
    </row>
    <row r="5812" spans="1:28" x14ac:dyDescent="0.25">
      <c r="A5812" t="s">
        <v>5816</v>
      </c>
      <c r="B5812">
        <v>0.99542014353169495</v>
      </c>
      <c r="C5812">
        <v>1.02288265798789</v>
      </c>
      <c r="D5812">
        <v>0.83616810082990101</v>
      </c>
      <c r="E5812">
        <v>0.384441445418096</v>
      </c>
      <c r="F5812">
        <v>0.19330758338423701</v>
      </c>
      <c r="G5812">
        <v>0.14418388602115101</v>
      </c>
      <c r="H5812">
        <v>8.8248174261282994E-2</v>
      </c>
      <c r="I5812">
        <v>7.2859800751808507E-2</v>
      </c>
      <c r="J5812">
        <v>5.1295752960486302E-2</v>
      </c>
      <c r="K5812">
        <v>6.7933034857164898E-2</v>
      </c>
      <c r="L5812">
        <v>1160.3569334480401</v>
      </c>
      <c r="M5812">
        <v>25.500763697911399</v>
      </c>
      <c r="N5812">
        <v>45.830268831423702</v>
      </c>
      <c r="O5812">
        <v>45.225773633884103</v>
      </c>
      <c r="P5812">
        <v>-0.129225885912051</v>
      </c>
      <c r="Q5812">
        <v>8.3279528057633001E-2</v>
      </c>
      <c r="R5812">
        <v>0.99507751977747905</v>
      </c>
      <c r="S5812" t="s">
        <v>12214</v>
      </c>
      <c r="T5812" t="s">
        <v>12802</v>
      </c>
      <c r="U5812" t="s">
        <v>12802</v>
      </c>
      <c r="V5812" t="s">
        <v>12802</v>
      </c>
      <c r="W5812" t="s">
        <v>18546</v>
      </c>
      <c r="X5812">
        <v>8</v>
      </c>
      <c r="Y5812" t="s">
        <v>24756</v>
      </c>
      <c r="Z5812" t="s">
        <v>31130</v>
      </c>
      <c r="AA5812">
        <v>0.35035413505061452</v>
      </c>
      <c r="AB5812" t="str">
        <f>HYPERLINK("Melting_Curves/meltCurve_Q9NWY4_C4orf27.pdf", "Melting_Curves/meltCurve_Q9NWY4_C4orf27.pdf")</f>
        <v>Melting_Curves/meltCurve_Q9NWY4_C4orf27.pdf</v>
      </c>
    </row>
    <row r="5813" spans="1:28" x14ac:dyDescent="0.25">
      <c r="A5813" t="s">
        <v>5817</v>
      </c>
      <c r="B5813">
        <v>0.99542014353169495</v>
      </c>
      <c r="C5813">
        <v>1.03472413306095</v>
      </c>
      <c r="D5813">
        <v>0.89976348699130004</v>
      </c>
      <c r="E5813">
        <v>0.55566750782809804</v>
      </c>
      <c r="F5813">
        <v>0.13588961968414301</v>
      </c>
      <c r="G5813">
        <v>8.2267138326599695E-2</v>
      </c>
      <c r="H5813">
        <v>4.8156934644429203E-2</v>
      </c>
      <c r="I5813">
        <v>3.5262439988982597E-2</v>
      </c>
      <c r="J5813">
        <v>4.1611876939662201E-2</v>
      </c>
      <c r="K5813">
        <v>5.4938330714883798E-2</v>
      </c>
      <c r="L5813">
        <v>1353.67043264063</v>
      </c>
      <c r="M5813">
        <v>28.9690764244923</v>
      </c>
      <c r="N5813">
        <v>46.877887690944704</v>
      </c>
      <c r="O5813">
        <v>46.507146722768098</v>
      </c>
      <c r="P5813">
        <v>-0.14884201206106801</v>
      </c>
      <c r="Q5813">
        <v>4.4199358449953402E-2</v>
      </c>
      <c r="R5813">
        <v>0.99779755035788298</v>
      </c>
      <c r="S5813" t="s">
        <v>12215</v>
      </c>
      <c r="T5813" t="s">
        <v>12802</v>
      </c>
      <c r="U5813" t="s">
        <v>12802</v>
      </c>
      <c r="V5813" t="s">
        <v>12802</v>
      </c>
      <c r="W5813" t="s">
        <v>18547</v>
      </c>
      <c r="X5813">
        <v>9</v>
      </c>
      <c r="Y5813" t="s">
        <v>24757</v>
      </c>
      <c r="Z5813" t="s">
        <v>31131</v>
      </c>
      <c r="AA5813">
        <v>0.36007022559499852</v>
      </c>
      <c r="AB5813" t="str">
        <f>HYPERLINK("Melting_Curves/meltCurve_Q9NWZ3_IRAK4.pdf", "Melting_Curves/meltCurve_Q9NWZ3_IRAK4.pdf")</f>
        <v>Melting_Curves/meltCurve_Q9NWZ3_IRAK4.pdf</v>
      </c>
    </row>
    <row r="5814" spans="1:28" x14ac:dyDescent="0.25">
      <c r="A5814" t="s">
        <v>5818</v>
      </c>
      <c r="B5814">
        <v>0.99542014353169495</v>
      </c>
      <c r="C5814">
        <v>0.95355475270946</v>
      </c>
      <c r="D5814">
        <v>0.94002541147984997</v>
      </c>
      <c r="E5814">
        <v>0.82559074599275095</v>
      </c>
      <c r="F5814">
        <v>0.69937472385640398</v>
      </c>
      <c r="G5814">
        <v>0.363034684935995</v>
      </c>
      <c r="H5814">
        <v>0.306174689198001</v>
      </c>
      <c r="I5814">
        <v>0.24948081809532499</v>
      </c>
      <c r="J5814">
        <v>0.28259562443873099</v>
      </c>
      <c r="K5814">
        <v>0.45857385455419902</v>
      </c>
      <c r="L5814">
        <v>1118.84277995872</v>
      </c>
      <c r="M5814">
        <v>22.462831322774498</v>
      </c>
      <c r="N5814">
        <v>52.025799666717099</v>
      </c>
      <c r="O5814">
        <v>49.418893947217597</v>
      </c>
      <c r="P5814">
        <v>-7.8632940773677204E-2</v>
      </c>
      <c r="Q5814">
        <v>0.30803477525357398</v>
      </c>
      <c r="R5814">
        <v>0.94762945133755006</v>
      </c>
      <c r="S5814" t="s">
        <v>12216</v>
      </c>
      <c r="T5814" t="s">
        <v>12802</v>
      </c>
      <c r="U5814" t="s">
        <v>12802</v>
      </c>
      <c r="V5814" t="s">
        <v>12802</v>
      </c>
      <c r="W5814" t="s">
        <v>18548</v>
      </c>
      <c r="X5814">
        <v>3</v>
      </c>
      <c r="Y5814" t="s">
        <v>24758</v>
      </c>
      <c r="Z5814" t="s">
        <v>31132</v>
      </c>
      <c r="AA5814">
        <v>0.61086023318246141</v>
      </c>
      <c r="AB5814" t="str">
        <f>HYPERLINK("Melting_Curves/meltCurve_Q9NX00_TMEM160.pdf", "Melting_Curves/meltCurve_Q9NX00_TMEM160.pdf")</f>
        <v>Melting_Curves/meltCurve_Q9NX00_TMEM160.pdf</v>
      </c>
    </row>
    <row r="5815" spans="1:28" x14ac:dyDescent="0.25">
      <c r="A5815" t="s">
        <v>5819</v>
      </c>
      <c r="B5815">
        <v>0.99542014353169495</v>
      </c>
      <c r="C5815">
        <v>0.97827054736418395</v>
      </c>
      <c r="D5815">
        <v>0.85819263100848597</v>
      </c>
      <c r="E5815">
        <v>0.77184034635236898</v>
      </c>
      <c r="F5815">
        <v>0.50500949115232896</v>
      </c>
      <c r="G5815">
        <v>0.22856348062128801</v>
      </c>
      <c r="H5815">
        <v>0.13164602915134399</v>
      </c>
      <c r="I5815">
        <v>8.5033113628489906E-2</v>
      </c>
      <c r="J5815">
        <v>0.10165490473795501</v>
      </c>
      <c r="K5815">
        <v>9.4636765205945397E-2</v>
      </c>
      <c r="L5815">
        <v>808.40128072342804</v>
      </c>
      <c r="M5815">
        <v>16.337862702044202</v>
      </c>
      <c r="N5815">
        <v>49.873687738282399</v>
      </c>
      <c r="O5815">
        <v>48.7567580371866</v>
      </c>
      <c r="P5815">
        <v>-7.8712757047624607E-2</v>
      </c>
      <c r="Q5815">
        <v>6.0464317042665597E-2</v>
      </c>
      <c r="R5815">
        <v>0.99387671941375499</v>
      </c>
      <c r="S5815" t="s">
        <v>12217</v>
      </c>
      <c r="T5815" t="s">
        <v>12802</v>
      </c>
      <c r="U5815" t="s">
        <v>12802</v>
      </c>
      <c r="V5815" t="s">
        <v>12802</v>
      </c>
      <c r="W5815" t="s">
        <v>18549</v>
      </c>
      <c r="X5815">
        <v>6</v>
      </c>
      <c r="Y5815" t="s">
        <v>24759</v>
      </c>
      <c r="Z5815" t="s">
        <v>31133</v>
      </c>
      <c r="AA5815">
        <v>0.46878385371132431</v>
      </c>
      <c r="AB5815" t="str">
        <f>HYPERLINK("Melting_Curves/meltCurve_Q9NX01_TXNL4B.pdf", "Melting_Curves/meltCurve_Q9NX01_TXNL4B.pdf")</f>
        <v>Melting_Curves/meltCurve_Q9NX01_TXNL4B.pdf</v>
      </c>
    </row>
    <row r="5816" spans="1:28" x14ac:dyDescent="0.25">
      <c r="A5816" t="s">
        <v>5820</v>
      </c>
      <c r="B5816">
        <v>0.99542014353169495</v>
      </c>
      <c r="C5816">
        <v>0.92788847166781396</v>
      </c>
      <c r="D5816">
        <v>0.77671443530842199</v>
      </c>
      <c r="E5816">
        <v>0.38923842718257101</v>
      </c>
      <c r="F5816">
        <v>0.13948822704101499</v>
      </c>
      <c r="G5816">
        <v>8.4557854272202193E-2</v>
      </c>
      <c r="H5816">
        <v>5.19347657590482E-2</v>
      </c>
      <c r="I5816">
        <v>3.29523138105439E-2</v>
      </c>
      <c r="J5816">
        <v>3.27296731534183E-2</v>
      </c>
      <c r="K5816">
        <v>2.8166721189852799E-2</v>
      </c>
      <c r="L5816">
        <v>935.43867080207303</v>
      </c>
      <c r="M5816">
        <v>20.606235405484298</v>
      </c>
      <c r="N5816">
        <v>45.5439599965692</v>
      </c>
      <c r="O5816">
        <v>44.974852897465603</v>
      </c>
      <c r="P5816">
        <v>-0.11083547266139999</v>
      </c>
      <c r="Q5816">
        <v>3.2396691567168297E-2</v>
      </c>
      <c r="R5816">
        <v>0.99937102902122799</v>
      </c>
      <c r="S5816" t="s">
        <v>12218</v>
      </c>
      <c r="T5816" t="s">
        <v>12802</v>
      </c>
      <c r="U5816" t="s">
        <v>12802</v>
      </c>
      <c r="V5816" t="s">
        <v>12802</v>
      </c>
      <c r="W5816" t="s">
        <v>18550</v>
      </c>
      <c r="X5816">
        <v>21</v>
      </c>
      <c r="Y5816" t="s">
        <v>24760</v>
      </c>
      <c r="Z5816" t="s">
        <v>31134</v>
      </c>
      <c r="AA5816">
        <v>0.31510608822690872</v>
      </c>
      <c r="AB5816" t="str">
        <f>HYPERLINK("Melting_Curves/meltCurve_Q9NX02_5_NLRP2.pdf", "Melting_Curves/meltCurve_Q9NX02_5_NLRP2.pdf")</f>
        <v>Melting_Curves/meltCurve_Q9NX02_5_NLRP2.pdf</v>
      </c>
    </row>
    <row r="5817" spans="1:28" x14ac:dyDescent="0.25">
      <c r="A5817" t="s">
        <v>5821</v>
      </c>
      <c r="B5817">
        <v>0.99542014353169495</v>
      </c>
      <c r="C5817">
        <v>0.94087417520359395</v>
      </c>
      <c r="D5817">
        <v>0.66348442363506299</v>
      </c>
      <c r="E5817">
        <v>0.23750715474055401</v>
      </c>
      <c r="F5817">
        <v>0.107278108654036</v>
      </c>
      <c r="G5817">
        <v>6.5698778273020703E-2</v>
      </c>
      <c r="H5817">
        <v>4.5704883998451601E-2</v>
      </c>
      <c r="I5817">
        <v>3.86057759238101E-2</v>
      </c>
      <c r="J5817">
        <v>4.7042592993357502E-2</v>
      </c>
      <c r="K5817">
        <v>5.89553885342705E-2</v>
      </c>
      <c r="L5817">
        <v>1103.8525039625799</v>
      </c>
      <c r="M5817">
        <v>25.063731299986401</v>
      </c>
      <c r="N5817">
        <v>44.2296041601262</v>
      </c>
      <c r="O5817">
        <v>43.764330573706197</v>
      </c>
      <c r="P5817">
        <v>-0.135950026142937</v>
      </c>
      <c r="Q5817">
        <v>5.0471357478228597E-2</v>
      </c>
      <c r="R5817">
        <v>0.99954339031779404</v>
      </c>
      <c r="S5817" t="s">
        <v>12219</v>
      </c>
      <c r="T5817" t="s">
        <v>12802</v>
      </c>
      <c r="U5817" t="s">
        <v>12802</v>
      </c>
      <c r="V5817" t="s">
        <v>12802</v>
      </c>
      <c r="W5817" t="s">
        <v>18551</v>
      </c>
      <c r="X5817">
        <v>1</v>
      </c>
      <c r="Y5817" t="s">
        <v>24761</v>
      </c>
      <c r="Z5817" t="s">
        <v>31135</v>
      </c>
      <c r="AA5817">
        <v>0.28110512154881229</v>
      </c>
      <c r="AB5817" t="str">
        <f>HYPERLINK("Melting_Curves/meltCurve_Q9NX07_2_TRNAU1AP.pdf", "Melting_Curves/meltCurve_Q9NX07_2_TRNAU1AP.pdf")</f>
        <v>Melting_Curves/meltCurve_Q9NX07_2_TRNAU1AP.pdf</v>
      </c>
    </row>
    <row r="5818" spans="1:28" x14ac:dyDescent="0.25">
      <c r="A5818" t="s">
        <v>5822</v>
      </c>
      <c r="B5818">
        <v>0.99542014353169495</v>
      </c>
      <c r="C5818">
        <v>0.99333312469471102</v>
      </c>
      <c r="D5818">
        <v>0.89079179105436801</v>
      </c>
      <c r="E5818">
        <v>0.52928978513872305</v>
      </c>
      <c r="F5818">
        <v>0.32056263872374902</v>
      </c>
      <c r="G5818">
        <v>0.18065636197145499</v>
      </c>
      <c r="H5818">
        <v>9.3449950427752199E-2</v>
      </c>
      <c r="I5818">
        <v>6.2062816361387198E-2</v>
      </c>
      <c r="J5818">
        <v>6.2636776449040699E-2</v>
      </c>
      <c r="K5818">
        <v>8.8058436485526095E-2</v>
      </c>
      <c r="L5818">
        <v>861.125685520292</v>
      </c>
      <c r="M5818">
        <v>18.302802264185001</v>
      </c>
      <c r="N5818">
        <v>47.436472300370902</v>
      </c>
      <c r="O5818">
        <v>46.4979841285936</v>
      </c>
      <c r="P5818">
        <v>-9.1575613905655606E-2</v>
      </c>
      <c r="Q5818">
        <v>6.9457307159535506E-2</v>
      </c>
      <c r="R5818">
        <v>0.99563455995763805</v>
      </c>
      <c r="S5818" t="s">
        <v>12220</v>
      </c>
      <c r="T5818" t="s">
        <v>12802</v>
      </c>
      <c r="U5818" t="s">
        <v>12802</v>
      </c>
      <c r="V5818" t="s">
        <v>12802</v>
      </c>
      <c r="W5818" t="s">
        <v>18552</v>
      </c>
      <c r="X5818">
        <v>4</v>
      </c>
      <c r="Y5818" t="s">
        <v>24762</v>
      </c>
      <c r="Z5818" t="s">
        <v>31136</v>
      </c>
      <c r="AA5818">
        <v>0.39561933890520551</v>
      </c>
      <c r="AB5818" t="str">
        <f>HYPERLINK("Melting_Curves/meltCurve_Q9NX08_COMMD8.pdf", "Melting_Curves/meltCurve_Q9NX08_COMMD8.pdf")</f>
        <v>Melting_Curves/meltCurve_Q9NX08_COMMD8.pdf</v>
      </c>
    </row>
    <row r="5819" spans="1:28" x14ac:dyDescent="0.25">
      <c r="A5819" t="s">
        <v>5823</v>
      </c>
      <c r="B5819">
        <v>0.99542014353169495</v>
      </c>
      <c r="C5819">
        <v>0.96923572373243605</v>
      </c>
      <c r="D5819">
        <v>0.59492664683805796</v>
      </c>
      <c r="E5819">
        <v>0.26195337288708098</v>
      </c>
      <c r="F5819">
        <v>0.17901112714894299</v>
      </c>
      <c r="G5819">
        <v>0.123088450560335</v>
      </c>
      <c r="H5819">
        <v>0.10334973539025499</v>
      </c>
      <c r="I5819">
        <v>9.0483165676141994E-2</v>
      </c>
      <c r="J5819">
        <v>0.127221127960158</v>
      </c>
      <c r="K5819">
        <v>0.14150271999563599</v>
      </c>
      <c r="L5819">
        <v>1172.20706593197</v>
      </c>
      <c r="M5819">
        <v>26.992877501179098</v>
      </c>
      <c r="N5819">
        <v>43.8892652464028</v>
      </c>
      <c r="O5819">
        <v>43.190280229943198</v>
      </c>
      <c r="P5819">
        <v>-0.13689617564342499</v>
      </c>
      <c r="Q5819">
        <v>0.12383905985334601</v>
      </c>
      <c r="R5819">
        <v>0.99498683582630398</v>
      </c>
      <c r="S5819" t="s">
        <v>12221</v>
      </c>
      <c r="T5819" t="s">
        <v>12802</v>
      </c>
      <c r="U5819" t="s">
        <v>12802</v>
      </c>
      <c r="V5819" t="s">
        <v>12802</v>
      </c>
      <c r="W5819" t="s">
        <v>18553</v>
      </c>
      <c r="X5819">
        <v>3</v>
      </c>
      <c r="Y5819" t="s">
        <v>24763</v>
      </c>
      <c r="Z5819" t="s">
        <v>31137</v>
      </c>
      <c r="AA5819">
        <v>0.31765330234998129</v>
      </c>
      <c r="AB5819" t="str">
        <f>HYPERLINK("Melting_Curves/meltCurve_Q9NX09_DDIT4.pdf", "Melting_Curves/meltCurve_Q9NX09_DDIT4.pdf")</f>
        <v>Melting_Curves/meltCurve_Q9NX09_DDIT4.pdf</v>
      </c>
    </row>
    <row r="5820" spans="1:28" x14ac:dyDescent="0.25">
      <c r="A5820" t="s">
        <v>5824</v>
      </c>
      <c r="B5820">
        <v>0.99542014353169495</v>
      </c>
      <c r="C5820">
        <v>0.91751966598309498</v>
      </c>
      <c r="D5820">
        <v>1.1534267185187099</v>
      </c>
      <c r="E5820">
        <v>0.88427456494743994</v>
      </c>
      <c r="F5820">
        <v>0.86663034695546604</v>
      </c>
      <c r="G5820">
        <v>0.599516814212114</v>
      </c>
      <c r="H5820">
        <v>0.57790530779108995</v>
      </c>
      <c r="I5820">
        <v>0.529162190208047</v>
      </c>
      <c r="J5820">
        <v>0.87879155225779104</v>
      </c>
      <c r="K5820">
        <v>1.1155479340797401</v>
      </c>
      <c r="L5820">
        <v>1690.9728394992801</v>
      </c>
      <c r="M5820">
        <v>35.318115886503897</v>
      </c>
      <c r="O5820">
        <v>47.725624959489998</v>
      </c>
      <c r="P5820">
        <v>-4.6188441745304301E-2</v>
      </c>
      <c r="Q5820">
        <v>0.75034175531733305</v>
      </c>
      <c r="R5820">
        <v>0.31962623140816299</v>
      </c>
      <c r="S5820" t="s">
        <v>12222</v>
      </c>
      <c r="T5820" t="s">
        <v>12802</v>
      </c>
      <c r="U5820" t="s">
        <v>12802</v>
      </c>
      <c r="V5820" t="s">
        <v>12802</v>
      </c>
      <c r="W5820" t="s">
        <v>18554</v>
      </c>
      <c r="X5820">
        <v>4</v>
      </c>
      <c r="Y5820" t="s">
        <v>24764</v>
      </c>
      <c r="Z5820" t="s">
        <v>31138</v>
      </c>
      <c r="AA5820">
        <v>0.84193268475429606</v>
      </c>
      <c r="AB5820" t="str">
        <f>HYPERLINK("Melting_Curves/meltCurve_Q9NX14_NDUFB11.pdf", "Melting_Curves/meltCurve_Q9NX14_NDUFB11.pdf")</f>
        <v>Melting_Curves/meltCurve_Q9NX14_NDUFB11.pdf</v>
      </c>
    </row>
    <row r="5821" spans="1:28" x14ac:dyDescent="0.25">
      <c r="A5821" t="s">
        <v>5825</v>
      </c>
      <c r="B5821">
        <v>0.99542014353169495</v>
      </c>
      <c r="C5821">
        <v>1.0629670644614899</v>
      </c>
      <c r="D5821">
        <v>0.88116624537644905</v>
      </c>
      <c r="E5821">
        <v>0.55916053722919101</v>
      </c>
      <c r="F5821">
        <v>0.24207025684036701</v>
      </c>
      <c r="G5821">
        <v>0.104043696873053</v>
      </c>
      <c r="H5821">
        <v>6.3778399511542502E-2</v>
      </c>
      <c r="I5821">
        <v>3.46918297490139E-2</v>
      </c>
      <c r="J5821">
        <v>2.2157563949479101E-2</v>
      </c>
      <c r="K5821">
        <v>4.0398119246380503E-2</v>
      </c>
      <c r="L5821">
        <v>1023.50112083416</v>
      </c>
      <c r="M5821">
        <v>21.745614305914199</v>
      </c>
      <c r="N5821">
        <v>47.227224471115797</v>
      </c>
      <c r="O5821">
        <v>46.674398874384103</v>
      </c>
      <c r="P5821">
        <v>-0.112336219582018</v>
      </c>
      <c r="Q5821">
        <v>3.5556701953770302E-2</v>
      </c>
      <c r="R5821">
        <v>0.99552747256218899</v>
      </c>
      <c r="S5821" t="s">
        <v>12223</v>
      </c>
      <c r="T5821" t="s">
        <v>12802</v>
      </c>
      <c r="U5821" t="s">
        <v>12802</v>
      </c>
      <c r="V5821" t="s">
        <v>12802</v>
      </c>
      <c r="W5821" t="s">
        <v>18555</v>
      </c>
      <c r="X5821">
        <v>2</v>
      </c>
      <c r="Y5821" t="s">
        <v>24765</v>
      </c>
      <c r="Z5821" t="s">
        <v>31139</v>
      </c>
      <c r="AA5821">
        <v>0.36990342876857979</v>
      </c>
      <c r="AB5821" t="str">
        <f>HYPERLINK("Melting_Curves/meltCurve_Q9NX20_MRPL16.pdf", "Melting_Curves/meltCurve_Q9NX20_MRPL16.pdf")</f>
        <v>Melting_Curves/meltCurve_Q9NX20_MRPL16.pdf</v>
      </c>
    </row>
    <row r="5822" spans="1:28" x14ac:dyDescent="0.25">
      <c r="A5822" t="s">
        <v>5826</v>
      </c>
      <c r="B5822">
        <v>0.99542014353169495</v>
      </c>
      <c r="C5822">
        <v>0.94025130254893297</v>
      </c>
      <c r="D5822">
        <v>1.0066532223115601</v>
      </c>
      <c r="E5822">
        <v>0.80606845442479502</v>
      </c>
      <c r="F5822">
        <v>0.58274555822644802</v>
      </c>
      <c r="G5822">
        <v>0.34564998253872398</v>
      </c>
      <c r="H5822">
        <v>0.31953842001982802</v>
      </c>
      <c r="I5822">
        <v>0.27886266466132598</v>
      </c>
      <c r="J5822">
        <v>0.48503476710048299</v>
      </c>
      <c r="K5822">
        <v>0.518353177479145</v>
      </c>
      <c r="L5822">
        <v>1390.0032615166799</v>
      </c>
      <c r="M5822">
        <v>28.853608386560801</v>
      </c>
      <c r="N5822">
        <v>50.826849163666097</v>
      </c>
      <c r="O5822">
        <v>47.944707339840001</v>
      </c>
      <c r="P5822">
        <v>-9.1915243181213094E-2</v>
      </c>
      <c r="Q5822">
        <v>0.38907940600500501</v>
      </c>
      <c r="R5822">
        <v>0.92396143876695203</v>
      </c>
      <c r="S5822" t="s">
        <v>12224</v>
      </c>
      <c r="T5822" t="s">
        <v>12802</v>
      </c>
      <c r="U5822" t="s">
        <v>12802</v>
      </c>
      <c r="V5822" t="s">
        <v>12802</v>
      </c>
      <c r="W5822" t="s">
        <v>18556</v>
      </c>
      <c r="X5822">
        <v>7</v>
      </c>
      <c r="Y5822" t="s">
        <v>24766</v>
      </c>
      <c r="Z5822" t="s">
        <v>31140</v>
      </c>
      <c r="AA5822">
        <v>0.6205583449763179</v>
      </c>
      <c r="AB5822" t="str">
        <f>HYPERLINK("Melting_Curves/meltCurve_Q9NX24_NHP2.pdf", "Melting_Curves/meltCurve_Q9NX24_NHP2.pdf")</f>
        <v>Melting_Curves/meltCurve_Q9NX24_NHP2.pdf</v>
      </c>
    </row>
    <row r="5823" spans="1:28" x14ac:dyDescent="0.25">
      <c r="A5823" t="s">
        <v>5827</v>
      </c>
      <c r="B5823">
        <v>0.99542014353169495</v>
      </c>
      <c r="C5823">
        <v>1.0328105270313599</v>
      </c>
      <c r="D5823">
        <v>0.93564575741451494</v>
      </c>
      <c r="E5823">
        <v>0.72747165365701905</v>
      </c>
      <c r="F5823">
        <v>0.38833876245363402</v>
      </c>
      <c r="G5823">
        <v>0.200504688732458</v>
      </c>
      <c r="H5823">
        <v>0.120123824530216</v>
      </c>
      <c r="I5823">
        <v>8.1507802000975793E-2</v>
      </c>
      <c r="J5823">
        <v>9.1864046525566304E-2</v>
      </c>
      <c r="K5823">
        <v>8.8579634318445899E-2</v>
      </c>
      <c r="L5823">
        <v>1003.52480047873</v>
      </c>
      <c r="M5823">
        <v>20.665800075279201</v>
      </c>
      <c r="N5823">
        <v>48.986216839810801</v>
      </c>
      <c r="O5823">
        <v>48.111853993668397</v>
      </c>
      <c r="P5823">
        <v>-9.8545415544245299E-2</v>
      </c>
      <c r="Q5823">
        <v>8.2335700143449903E-2</v>
      </c>
      <c r="R5823">
        <v>0.99853159343811004</v>
      </c>
      <c r="S5823" t="s">
        <v>12225</v>
      </c>
      <c r="T5823" t="s">
        <v>12802</v>
      </c>
      <c r="U5823" t="s">
        <v>12802</v>
      </c>
      <c r="V5823" t="s">
        <v>12802</v>
      </c>
      <c r="W5823" t="s">
        <v>18557</v>
      </c>
      <c r="X5823">
        <v>5</v>
      </c>
      <c r="Y5823" t="s">
        <v>24767</v>
      </c>
      <c r="Z5823" t="s">
        <v>31141</v>
      </c>
      <c r="AA5823">
        <v>0.44729597872679577</v>
      </c>
      <c r="AB5823" t="str">
        <f>HYPERLINK("Melting_Curves/meltCurve_Q9NX38_FAM206A.pdf", "Melting_Curves/meltCurve_Q9NX38_FAM206A.pdf")</f>
        <v>Melting_Curves/meltCurve_Q9NX38_FAM206A.pdf</v>
      </c>
    </row>
    <row r="5824" spans="1:28" x14ac:dyDescent="0.25">
      <c r="A5824" t="s">
        <v>5828</v>
      </c>
      <c r="B5824">
        <v>0.99542014353169495</v>
      </c>
      <c r="C5824">
        <v>0.81469857414768598</v>
      </c>
      <c r="D5824">
        <v>0.86697935889673705</v>
      </c>
      <c r="E5824">
        <v>0.65517923972497605</v>
      </c>
      <c r="F5824">
        <v>0.58821495791721701</v>
      </c>
      <c r="G5824">
        <v>0.35153473750030101</v>
      </c>
      <c r="H5824">
        <v>0.28885952864078601</v>
      </c>
      <c r="I5824">
        <v>0.24755000125427101</v>
      </c>
      <c r="J5824">
        <v>0.362808532501041</v>
      </c>
      <c r="K5824">
        <v>0.42865965150282598</v>
      </c>
      <c r="L5824">
        <v>592.07563841325702</v>
      </c>
      <c r="M5824">
        <v>12.6752011693883</v>
      </c>
      <c r="N5824">
        <v>50.401154426049303</v>
      </c>
      <c r="O5824">
        <v>45.594422088033703</v>
      </c>
      <c r="P5824">
        <v>-4.8498313507295603E-2</v>
      </c>
      <c r="Q5824">
        <v>0.30231587760161199</v>
      </c>
      <c r="R5824">
        <v>0.91627018165525598</v>
      </c>
      <c r="S5824" t="s">
        <v>12226</v>
      </c>
      <c r="T5824" t="s">
        <v>12802</v>
      </c>
      <c r="U5824" t="s">
        <v>12802</v>
      </c>
      <c r="V5824" t="s">
        <v>12802</v>
      </c>
      <c r="W5824" t="s">
        <v>18558</v>
      </c>
      <c r="X5824">
        <v>12</v>
      </c>
      <c r="Y5824" t="s">
        <v>19516</v>
      </c>
      <c r="Z5824" t="s">
        <v>31142</v>
      </c>
      <c r="AA5824">
        <v>0.54940059072916159</v>
      </c>
      <c r="AB5824" t="str">
        <f>HYPERLINK("Melting_Curves/meltCurve_Q9NX40_OCIAD1.pdf", "Melting_Curves/meltCurve_Q9NX40_OCIAD1.pdf")</f>
        <v>Melting_Curves/meltCurve_Q9NX40_OCIAD1.pdf</v>
      </c>
    </row>
    <row r="5825" spans="1:28" x14ac:dyDescent="0.25">
      <c r="A5825" t="s">
        <v>5829</v>
      </c>
      <c r="B5825">
        <v>0.99542014353169495</v>
      </c>
      <c r="C5825">
        <v>0.99106690571286504</v>
      </c>
      <c r="D5825">
        <v>0.94272787971638805</v>
      </c>
      <c r="E5825">
        <v>0.91705639521468796</v>
      </c>
      <c r="F5825">
        <v>0.70770878712354801</v>
      </c>
      <c r="G5825">
        <v>0.53282039254957003</v>
      </c>
      <c r="H5825">
        <v>0.30181413246321198</v>
      </c>
      <c r="I5825">
        <v>0.17920057092754499</v>
      </c>
      <c r="J5825">
        <v>0.111799716038202</v>
      </c>
      <c r="K5825">
        <v>0.142614374792567</v>
      </c>
      <c r="L5825">
        <v>777.94288041484504</v>
      </c>
      <c r="M5825">
        <v>14.585387408127</v>
      </c>
      <c r="N5825">
        <v>53.841115894305503</v>
      </c>
      <c r="O5825">
        <v>52.3645875444019</v>
      </c>
      <c r="P5825">
        <v>-6.5198131958416103E-2</v>
      </c>
      <c r="Q5825">
        <v>6.3805909514341994E-2</v>
      </c>
      <c r="R5825">
        <v>0.99617273030581999</v>
      </c>
      <c r="S5825" t="s">
        <v>12227</v>
      </c>
      <c r="T5825" t="s">
        <v>12802</v>
      </c>
      <c r="U5825" t="s">
        <v>12802</v>
      </c>
      <c r="V5825" t="s">
        <v>12802</v>
      </c>
      <c r="W5825" t="s">
        <v>18559</v>
      </c>
      <c r="X5825">
        <v>14</v>
      </c>
      <c r="Y5825" t="s">
        <v>24768</v>
      </c>
      <c r="Z5825" t="s">
        <v>31143</v>
      </c>
      <c r="AA5825">
        <v>0.59025566364224968</v>
      </c>
      <c r="AB5825" t="str">
        <f>HYPERLINK("Melting_Curves/meltCurve_Q9NX46_ADPRHL2.pdf", "Melting_Curves/meltCurve_Q9NX46_ADPRHL2.pdf")</f>
        <v>Melting_Curves/meltCurve_Q9NX46_ADPRHL2.pdf</v>
      </c>
    </row>
    <row r="5826" spans="1:28" x14ac:dyDescent="0.25">
      <c r="A5826" t="s">
        <v>5830</v>
      </c>
      <c r="B5826">
        <v>0.99542014353169495</v>
      </c>
      <c r="C5826">
        <v>0.95821535140541503</v>
      </c>
      <c r="D5826">
        <v>0.93036933394653798</v>
      </c>
      <c r="E5826">
        <v>0.84542436415285405</v>
      </c>
      <c r="F5826">
        <v>0.67251681369408101</v>
      </c>
      <c r="G5826">
        <v>0.45977233679168</v>
      </c>
      <c r="H5826">
        <v>0.34557718312225899</v>
      </c>
      <c r="I5826">
        <v>0.30903490640204201</v>
      </c>
      <c r="J5826">
        <v>0.30131021447766398</v>
      </c>
      <c r="K5826">
        <v>0.21746260239474</v>
      </c>
      <c r="L5826">
        <v>705.957352345152</v>
      </c>
      <c r="M5826">
        <v>13.8285518465048</v>
      </c>
      <c r="N5826">
        <v>53.300693953575802</v>
      </c>
      <c r="O5826">
        <v>50.018655779522398</v>
      </c>
      <c r="P5826">
        <v>-5.3842782841180797E-2</v>
      </c>
      <c r="Q5826">
        <v>0.22109856514603499</v>
      </c>
      <c r="R5826">
        <v>0.99500641406958101</v>
      </c>
      <c r="S5826" t="s">
        <v>12228</v>
      </c>
      <c r="T5826" t="s">
        <v>12802</v>
      </c>
      <c r="U5826" t="s">
        <v>12802</v>
      </c>
      <c r="V5826" t="s">
        <v>12802</v>
      </c>
      <c r="W5826" t="s">
        <v>18560</v>
      </c>
      <c r="X5826">
        <v>4</v>
      </c>
      <c r="Y5826" t="s">
        <v>24769</v>
      </c>
      <c r="Z5826" t="s">
        <v>31144</v>
      </c>
      <c r="AA5826">
        <v>0.6032151322435112</v>
      </c>
      <c r="AB5826" t="str">
        <f>HYPERLINK("Melting_Curves/meltCurve_Q9NX47_MARCH5.pdf", "Melting_Curves/meltCurve_Q9NX47_MARCH5.pdf")</f>
        <v>Melting_Curves/meltCurve_Q9NX47_MARCH5.pdf</v>
      </c>
    </row>
    <row r="5827" spans="1:28" x14ac:dyDescent="0.25">
      <c r="A5827" t="s">
        <v>5831</v>
      </c>
      <c r="B5827">
        <v>0.99542014353169495</v>
      </c>
      <c r="C5827">
        <v>1.0109302096838699</v>
      </c>
      <c r="D5827">
        <v>1.0067535386115101</v>
      </c>
      <c r="E5827">
        <v>1.0267227442659601</v>
      </c>
      <c r="F5827">
        <v>0.85783959800536702</v>
      </c>
      <c r="G5827">
        <v>0.64550447357352003</v>
      </c>
      <c r="H5827">
        <v>0.50709380778424296</v>
      </c>
      <c r="I5827">
        <v>0.40985859102738798</v>
      </c>
      <c r="J5827">
        <v>0.64593087966815299</v>
      </c>
      <c r="K5827">
        <v>0.89097752160392596</v>
      </c>
      <c r="L5827">
        <v>2895.0682034531801</v>
      </c>
      <c r="M5827">
        <v>57.115857706289603</v>
      </c>
      <c r="O5827">
        <v>50.625619719772899</v>
      </c>
      <c r="P5827">
        <v>-0.108069501190239</v>
      </c>
      <c r="Q5827">
        <v>0.61684317903932095</v>
      </c>
      <c r="R5827">
        <v>0.72097620961605702</v>
      </c>
      <c r="S5827" t="s">
        <v>12229</v>
      </c>
      <c r="T5827" t="s">
        <v>12802</v>
      </c>
      <c r="U5827" t="s">
        <v>12802</v>
      </c>
      <c r="V5827" t="s">
        <v>12802</v>
      </c>
      <c r="W5827" t="s">
        <v>14030</v>
      </c>
      <c r="X5827">
        <v>10</v>
      </c>
      <c r="Y5827" t="s">
        <v>20345</v>
      </c>
      <c r="Z5827" t="s">
        <v>31145</v>
      </c>
      <c r="AA5827">
        <v>0.79231594148609641</v>
      </c>
      <c r="AB5827" t="str">
        <f>HYPERLINK("Melting_Curves/meltCurve_Q9NX55_HYPK.pdf", "Melting_Curves/meltCurve_Q9NX55_HYPK.pdf")</f>
        <v>Melting_Curves/meltCurve_Q9NX55_HYPK.pdf</v>
      </c>
    </row>
    <row r="5828" spans="1:28" x14ac:dyDescent="0.25">
      <c r="A5828" t="s">
        <v>5832</v>
      </c>
      <c r="B5828">
        <v>0.99542014353169495</v>
      </c>
      <c r="C5828">
        <v>0.92379152577205503</v>
      </c>
      <c r="D5828">
        <v>0.92234021221869</v>
      </c>
      <c r="E5828">
        <v>0.76116972899452595</v>
      </c>
      <c r="F5828">
        <v>0.47329959437111202</v>
      </c>
      <c r="G5828">
        <v>0.33320714722236999</v>
      </c>
      <c r="H5828">
        <v>0.13747098193754401</v>
      </c>
      <c r="I5828">
        <v>0.114182337581378</v>
      </c>
      <c r="J5828">
        <v>0.122475493471789</v>
      </c>
      <c r="K5828">
        <v>0.139569744893591</v>
      </c>
      <c r="L5828">
        <v>775.38015641734</v>
      </c>
      <c r="M5828">
        <v>15.689754168047701</v>
      </c>
      <c r="N5828">
        <v>50.073197562534602</v>
      </c>
      <c r="O5828">
        <v>48.637593358392401</v>
      </c>
      <c r="P5828">
        <v>-7.3184353342157907E-2</v>
      </c>
      <c r="Q5828">
        <v>9.2602906187549905E-2</v>
      </c>
      <c r="R5828">
        <v>0.99263720209631501</v>
      </c>
      <c r="S5828" t="s">
        <v>12230</v>
      </c>
      <c r="T5828" t="s">
        <v>12802</v>
      </c>
      <c r="U5828" t="s">
        <v>12802</v>
      </c>
      <c r="V5828" t="s">
        <v>12802</v>
      </c>
      <c r="W5828" t="s">
        <v>18561</v>
      </c>
      <c r="X5828">
        <v>8</v>
      </c>
      <c r="Y5828" t="s">
        <v>24770</v>
      </c>
      <c r="Z5828" t="s">
        <v>31146</v>
      </c>
      <c r="AA5828">
        <v>0.48625939740127821</v>
      </c>
      <c r="AB5828" t="str">
        <f>HYPERLINK("Melting_Curves/meltCurve_Q9NX58_LYAR.pdf", "Melting_Curves/meltCurve_Q9NX58_LYAR.pdf")</f>
        <v>Melting_Curves/meltCurve_Q9NX58_LYAR.pdf</v>
      </c>
    </row>
    <row r="5829" spans="1:28" x14ac:dyDescent="0.25">
      <c r="A5829" t="s">
        <v>5833</v>
      </c>
      <c r="B5829">
        <v>0.99542014353169495</v>
      </c>
      <c r="C5829">
        <v>0.95108029813227901</v>
      </c>
      <c r="D5829">
        <v>0.96766099632178504</v>
      </c>
      <c r="E5829">
        <v>0.88096367378967499</v>
      </c>
      <c r="F5829">
        <v>0.71898118393661004</v>
      </c>
      <c r="G5829">
        <v>0.50079777705927797</v>
      </c>
      <c r="H5829">
        <v>0.39012658300619002</v>
      </c>
      <c r="I5829">
        <v>0.32677855413148599</v>
      </c>
      <c r="J5829">
        <v>0.30506180542535699</v>
      </c>
      <c r="K5829">
        <v>0.197946761366118</v>
      </c>
      <c r="L5829">
        <v>699.17174791976799</v>
      </c>
      <c r="M5829">
        <v>13.369619036168601</v>
      </c>
      <c r="N5829">
        <v>54.420624414228897</v>
      </c>
      <c r="O5829">
        <v>51.167146367427499</v>
      </c>
      <c r="P5829">
        <v>-5.2047768458297401E-2</v>
      </c>
      <c r="Q5829">
        <v>0.203353829202811</v>
      </c>
      <c r="R5829">
        <v>0.99270999099886403</v>
      </c>
      <c r="S5829" t="s">
        <v>12231</v>
      </c>
      <c r="T5829" t="s">
        <v>12802</v>
      </c>
      <c r="U5829" t="s">
        <v>12802</v>
      </c>
      <c r="V5829" t="s">
        <v>12802</v>
      </c>
      <c r="W5829" t="s">
        <v>18562</v>
      </c>
      <c r="X5829">
        <v>7</v>
      </c>
      <c r="Y5829" t="s">
        <v>24771</v>
      </c>
      <c r="Z5829" t="s">
        <v>31147</v>
      </c>
      <c r="AA5829">
        <v>0.62632215715080164</v>
      </c>
      <c r="AB5829" t="str">
        <f>HYPERLINK("Melting_Curves/meltCurve_Q9NX62_IMPAD1.pdf", "Melting_Curves/meltCurve_Q9NX62_IMPAD1.pdf")</f>
        <v>Melting_Curves/meltCurve_Q9NX62_IMPAD1.pdf</v>
      </c>
    </row>
    <row r="5830" spans="1:28" x14ac:dyDescent="0.25">
      <c r="A5830" t="s">
        <v>5834</v>
      </c>
      <c r="B5830">
        <v>0.99542014353169495</v>
      </c>
      <c r="C5830">
        <v>0.961959623417176</v>
      </c>
      <c r="D5830">
        <v>0.99773809357218102</v>
      </c>
      <c r="E5830">
        <v>0.76565826185819796</v>
      </c>
      <c r="F5830">
        <v>0.42298492993930098</v>
      </c>
      <c r="G5830">
        <v>0.33547226712320299</v>
      </c>
      <c r="H5830">
        <v>0.227696096164477</v>
      </c>
      <c r="I5830">
        <v>0.137596136779009</v>
      </c>
      <c r="J5830">
        <v>0.135739145998136</v>
      </c>
      <c r="K5830">
        <v>0.14734939605553499</v>
      </c>
      <c r="L5830">
        <v>924.14523983657898</v>
      </c>
      <c r="M5830">
        <v>18.878004690219999</v>
      </c>
      <c r="N5830">
        <v>49.865173958767102</v>
      </c>
      <c r="O5830">
        <v>48.414151556437702</v>
      </c>
      <c r="P5830">
        <v>-8.3259311058638596E-2</v>
      </c>
      <c r="Q5830">
        <v>0.145934297309806</v>
      </c>
      <c r="R5830">
        <v>0.99049394617692998</v>
      </c>
      <c r="S5830" t="s">
        <v>12232</v>
      </c>
      <c r="T5830" t="s">
        <v>12802</v>
      </c>
      <c r="U5830" t="s">
        <v>12802</v>
      </c>
      <c r="V5830" t="s">
        <v>12802</v>
      </c>
      <c r="W5830" t="s">
        <v>18563</v>
      </c>
      <c r="X5830">
        <v>3</v>
      </c>
      <c r="Y5830" t="s">
        <v>24772</v>
      </c>
      <c r="Z5830" t="s">
        <v>31148</v>
      </c>
      <c r="AA5830">
        <v>0.49872578190787159</v>
      </c>
      <c r="AB5830" t="str">
        <f>HYPERLINK("Melting_Curves/meltCurve_Q9NX70_MED29.pdf", "Melting_Curves/meltCurve_Q9NX70_MED29.pdf")</f>
        <v>Melting_Curves/meltCurve_Q9NX70_MED29.pdf</v>
      </c>
    </row>
    <row r="5831" spans="1:28" x14ac:dyDescent="0.25">
      <c r="A5831" t="s">
        <v>5835</v>
      </c>
      <c r="B5831">
        <v>0.99542014353169495</v>
      </c>
      <c r="C5831">
        <v>1.00872286775713</v>
      </c>
      <c r="D5831">
        <v>0.96160481176193102</v>
      </c>
      <c r="E5831">
        <v>0.79322054852719803</v>
      </c>
      <c r="F5831">
        <v>0.47915821832758099</v>
      </c>
      <c r="G5831">
        <v>0.17468919024874399</v>
      </c>
      <c r="H5831">
        <v>7.7352263995340106E-2</v>
      </c>
      <c r="I5831">
        <v>5.5861555416335001E-2</v>
      </c>
      <c r="J5831">
        <v>5.31744705632025E-2</v>
      </c>
      <c r="K5831">
        <v>4.8383425669507103E-2</v>
      </c>
      <c r="L5831">
        <v>1063.9362886640999</v>
      </c>
      <c r="M5831">
        <v>21.444094621006101</v>
      </c>
      <c r="N5831">
        <v>49.797836368234101</v>
      </c>
      <c r="O5831">
        <v>49.189015505976499</v>
      </c>
      <c r="P5831">
        <v>-0.104851816920508</v>
      </c>
      <c r="Q5831">
        <v>3.7976868188232003E-2</v>
      </c>
      <c r="R5831">
        <v>0.99922296831832103</v>
      </c>
      <c r="S5831" t="s">
        <v>12233</v>
      </c>
      <c r="T5831" t="s">
        <v>12802</v>
      </c>
      <c r="U5831" t="s">
        <v>12802</v>
      </c>
      <c r="V5831" t="s">
        <v>12802</v>
      </c>
      <c r="W5831" t="s">
        <v>18564</v>
      </c>
      <c r="X5831">
        <v>12</v>
      </c>
      <c r="Y5831" t="s">
        <v>24773</v>
      </c>
      <c r="Z5831" t="s">
        <v>31149</v>
      </c>
      <c r="AA5831">
        <v>0.45366632214723313</v>
      </c>
      <c r="AB5831" t="str">
        <f>HYPERLINK("Melting_Curves/meltCurve_Q9NX74_DUS2L.pdf", "Melting_Curves/meltCurve_Q9NX74_DUS2L.pdf")</f>
        <v>Melting_Curves/meltCurve_Q9NX74_DUS2L.pdf</v>
      </c>
    </row>
    <row r="5832" spans="1:28" x14ac:dyDescent="0.25">
      <c r="A5832" t="s">
        <v>5836</v>
      </c>
      <c r="B5832">
        <v>0.99542014353169495</v>
      </c>
      <c r="C5832">
        <v>1.10405509865082</v>
      </c>
      <c r="D5832">
        <v>1.04931809540203</v>
      </c>
      <c r="E5832">
        <v>0.95685132613781099</v>
      </c>
      <c r="F5832">
        <v>0.55659136504987194</v>
      </c>
      <c r="G5832">
        <v>0.18290672325190199</v>
      </c>
      <c r="H5832">
        <v>9.2315557508037896E-2</v>
      </c>
      <c r="I5832">
        <v>4.1233165518813397E-2</v>
      </c>
      <c r="J5832">
        <v>3.74680164081286E-2</v>
      </c>
      <c r="K5832">
        <v>3.4898925126330201E-2</v>
      </c>
      <c r="L5832">
        <v>1570.73251541225</v>
      </c>
      <c r="M5832">
        <v>31.087687612255898</v>
      </c>
      <c r="N5832">
        <v>50.681880910141103</v>
      </c>
      <c r="O5832">
        <v>50.318183472782401</v>
      </c>
      <c r="P5832">
        <v>-0.14740861881661199</v>
      </c>
      <c r="Q5832">
        <v>4.5629653241395701E-2</v>
      </c>
      <c r="R5832">
        <v>0.99239107297026097</v>
      </c>
      <c r="S5832" t="s">
        <v>12234</v>
      </c>
      <c r="T5832" t="s">
        <v>12802</v>
      </c>
      <c r="U5832" t="s">
        <v>12802</v>
      </c>
      <c r="V5832" t="s">
        <v>12802</v>
      </c>
      <c r="W5832" t="s">
        <v>18565</v>
      </c>
      <c r="X5832">
        <v>8</v>
      </c>
      <c r="Y5832" t="s">
        <v>24774</v>
      </c>
      <c r="Z5832" t="s">
        <v>31150</v>
      </c>
      <c r="AA5832">
        <v>0.48142430641951439</v>
      </c>
      <c r="AB5832" t="str">
        <f>HYPERLINK("Melting_Curves/meltCurve_Q9NXA8_4_SIRT5.pdf", "Melting_Curves/meltCurve_Q9NXA8_4_SIRT5.pdf")</f>
        <v>Melting_Curves/meltCurve_Q9NXA8_4_SIRT5.pdf</v>
      </c>
    </row>
    <row r="5833" spans="1:28" x14ac:dyDescent="0.25">
      <c r="A5833" t="s">
        <v>5837</v>
      </c>
      <c r="B5833">
        <v>0.99542014353169495</v>
      </c>
      <c r="C5833">
        <v>0.83823252926922198</v>
      </c>
      <c r="D5833">
        <v>0.88050118578967196</v>
      </c>
      <c r="E5833">
        <v>0.64684029375419405</v>
      </c>
      <c r="F5833">
        <v>0.43209625554527797</v>
      </c>
      <c r="G5833">
        <v>0.32288969196861</v>
      </c>
      <c r="H5833">
        <v>0.22100824544762601</v>
      </c>
      <c r="I5833">
        <v>7.7696380745509996E-2</v>
      </c>
      <c r="J5833">
        <v>6.3200278251358294E-2</v>
      </c>
      <c r="K5833">
        <v>6.1524514828674097E-2</v>
      </c>
      <c r="L5833">
        <v>517.79897806331905</v>
      </c>
      <c r="M5833">
        <v>10.4861631155254</v>
      </c>
      <c r="N5833">
        <v>49.379251808293098</v>
      </c>
      <c r="O5833">
        <v>47.684816930298503</v>
      </c>
      <c r="P5833">
        <v>-5.49987190442629E-2</v>
      </c>
      <c r="Q5833">
        <v>0</v>
      </c>
      <c r="R5833">
        <v>0.98692392212094204</v>
      </c>
      <c r="S5833" t="s">
        <v>12235</v>
      </c>
      <c r="T5833" t="s">
        <v>12802</v>
      </c>
      <c r="U5833" t="s">
        <v>12802</v>
      </c>
      <c r="V5833" t="s">
        <v>12802</v>
      </c>
      <c r="W5833" t="s">
        <v>18566</v>
      </c>
      <c r="X5833">
        <v>9</v>
      </c>
      <c r="Y5833" t="s">
        <v>24775</v>
      </c>
      <c r="Z5833" t="s">
        <v>31151</v>
      </c>
      <c r="AA5833">
        <v>0.44678358494173692</v>
      </c>
      <c r="AB5833" t="str">
        <f>HYPERLINK("Melting_Curves/meltCurve_Q9NXC5_MIOS.pdf", "Melting_Curves/meltCurve_Q9NXC5_MIOS.pdf")</f>
        <v>Melting_Curves/meltCurve_Q9NXC5_MIOS.pdf</v>
      </c>
    </row>
    <row r="5834" spans="1:28" x14ac:dyDescent="0.25">
      <c r="A5834" t="s">
        <v>5838</v>
      </c>
      <c r="B5834">
        <v>0.99542014353169495</v>
      </c>
      <c r="C5834">
        <v>0.99992842968801299</v>
      </c>
      <c r="D5834">
        <v>0.99626703177228604</v>
      </c>
      <c r="E5834">
        <v>0.79027294161369399</v>
      </c>
      <c r="F5834">
        <v>0.57805386650730795</v>
      </c>
      <c r="G5834">
        <v>0.38502649340718098</v>
      </c>
      <c r="H5834">
        <v>0.24112171618881501</v>
      </c>
      <c r="I5834">
        <v>0.17379331279804899</v>
      </c>
      <c r="J5834">
        <v>0.291523082596304</v>
      </c>
      <c r="K5834">
        <v>0.41660359152568999</v>
      </c>
      <c r="L5834">
        <v>1083.1937760967501</v>
      </c>
      <c r="M5834">
        <v>22.089562714985199</v>
      </c>
      <c r="N5834">
        <v>50.902864058794101</v>
      </c>
      <c r="O5834">
        <v>48.639870304589898</v>
      </c>
      <c r="P5834">
        <v>-8.2025094558006995E-2</v>
      </c>
      <c r="Q5834">
        <v>0.27755871944577798</v>
      </c>
      <c r="R5834">
        <v>0.96059075377288505</v>
      </c>
      <c r="S5834" t="s">
        <v>12236</v>
      </c>
      <c r="T5834" t="s">
        <v>12802</v>
      </c>
      <c r="U5834" t="s">
        <v>12802</v>
      </c>
      <c r="V5834" t="s">
        <v>12802</v>
      </c>
      <c r="W5834" t="s">
        <v>18567</v>
      </c>
      <c r="X5834">
        <v>8</v>
      </c>
      <c r="Y5834" t="s">
        <v>24776</v>
      </c>
      <c r="Z5834" t="s">
        <v>31152</v>
      </c>
      <c r="AA5834">
        <v>0.57532985927468283</v>
      </c>
      <c r="AB5834" t="str">
        <f>HYPERLINK("Melting_Curves/meltCurve_Q9NXE8_CWC25.pdf", "Melting_Curves/meltCurve_Q9NXE8_CWC25.pdf")</f>
        <v>Melting_Curves/meltCurve_Q9NXE8_CWC25.pdf</v>
      </c>
    </row>
    <row r="5835" spans="1:28" x14ac:dyDescent="0.25">
      <c r="A5835" t="s">
        <v>5839</v>
      </c>
      <c r="B5835">
        <v>0.99542014353169495</v>
      </c>
      <c r="C5835">
        <v>1.01330569356531</v>
      </c>
      <c r="D5835">
        <v>0.81321296334472204</v>
      </c>
      <c r="E5835">
        <v>0.96814838255019497</v>
      </c>
      <c r="F5835">
        <v>0.82443823368873603</v>
      </c>
      <c r="G5835">
        <v>0.33222339531197098</v>
      </c>
      <c r="H5835">
        <v>0.139995085777223</v>
      </c>
      <c r="I5835">
        <v>0.11803712890930899</v>
      </c>
      <c r="J5835">
        <v>4.32553246286176E-2</v>
      </c>
      <c r="K5835">
        <v>3.7013438194669603E-2</v>
      </c>
      <c r="L5835">
        <v>1625.57252588039</v>
      </c>
      <c r="M5835">
        <v>31.031845026812299</v>
      </c>
      <c r="N5835">
        <v>52.613393792057103</v>
      </c>
      <c r="O5835">
        <v>52.167909990983901</v>
      </c>
      <c r="P5835">
        <v>-0.13930326331394199</v>
      </c>
      <c r="Q5835">
        <v>6.3269461340434499E-2</v>
      </c>
      <c r="R5835">
        <v>0.97638647808954804</v>
      </c>
      <c r="S5835" t="s">
        <v>12237</v>
      </c>
      <c r="T5835" t="s">
        <v>12802</v>
      </c>
      <c r="U5835" t="s">
        <v>12802</v>
      </c>
      <c r="V5835" t="s">
        <v>12802</v>
      </c>
      <c r="W5835" t="s">
        <v>18568</v>
      </c>
      <c r="X5835">
        <v>3</v>
      </c>
      <c r="Y5835" t="s">
        <v>24777</v>
      </c>
      <c r="Z5835" t="s">
        <v>31153</v>
      </c>
      <c r="AA5835">
        <v>0.54918791274156753</v>
      </c>
      <c r="AB5835" t="str">
        <f>HYPERLINK("Melting_Curves/meltCurve_Q9NXF1_2_TEX10.pdf", "Melting_Curves/meltCurve_Q9NXF1_2_TEX10.pdf")</f>
        <v>Melting_Curves/meltCurve_Q9NXF1_2_TEX10.pdf</v>
      </c>
    </row>
    <row r="5836" spans="1:28" x14ac:dyDescent="0.25">
      <c r="A5836" t="s">
        <v>5840</v>
      </c>
      <c r="B5836">
        <v>0.99542014353169495</v>
      </c>
      <c r="C5836">
        <v>0.80713288987348897</v>
      </c>
      <c r="D5836">
        <v>0.85723081015060099</v>
      </c>
      <c r="E5836">
        <v>0.65134690593196298</v>
      </c>
      <c r="F5836">
        <v>0.238076380474156</v>
      </c>
      <c r="G5836">
        <v>9.1173509250827706E-2</v>
      </c>
      <c r="H5836">
        <v>4.5262457040349001E-2</v>
      </c>
      <c r="I5836">
        <v>3.1449683713105997E-2</v>
      </c>
      <c r="J5836">
        <v>3.1125994161461001E-2</v>
      </c>
      <c r="K5836">
        <v>3.2433591861758197E-2</v>
      </c>
      <c r="L5836">
        <v>833.52841491920003</v>
      </c>
      <c r="M5836">
        <v>17.568442464144201</v>
      </c>
      <c r="N5836">
        <v>47.482706275388097</v>
      </c>
      <c r="O5836">
        <v>46.842732806295601</v>
      </c>
      <c r="P5836">
        <v>-9.31122788088702E-2</v>
      </c>
      <c r="Q5836">
        <v>6.9929691312310199E-3</v>
      </c>
      <c r="R5836">
        <v>0.977047983052724</v>
      </c>
      <c r="S5836" t="s">
        <v>12238</v>
      </c>
      <c r="T5836" t="s">
        <v>12802</v>
      </c>
      <c r="U5836" t="s">
        <v>12802</v>
      </c>
      <c r="V5836" t="s">
        <v>12802</v>
      </c>
      <c r="W5836" t="s">
        <v>18569</v>
      </c>
      <c r="X5836">
        <v>5</v>
      </c>
      <c r="Y5836" t="s">
        <v>24778</v>
      </c>
      <c r="Z5836" t="s">
        <v>31154</v>
      </c>
      <c r="AA5836">
        <v>0.36935905452667861</v>
      </c>
      <c r="AB5836" t="str">
        <f>HYPERLINK("Melting_Curves/meltCurve_Q9NXF7_DCAF16.pdf", "Melting_Curves/meltCurve_Q9NXF7_DCAF16.pdf")</f>
        <v>Melting_Curves/meltCurve_Q9NXF7_DCAF16.pdf</v>
      </c>
    </row>
    <row r="5837" spans="1:28" x14ac:dyDescent="0.25">
      <c r="A5837" t="s">
        <v>5841</v>
      </c>
      <c r="B5837">
        <v>0.99542014353169495</v>
      </c>
      <c r="C5837">
        <v>0.96136449365832699</v>
      </c>
      <c r="D5837">
        <v>0.92703589878917902</v>
      </c>
      <c r="E5837">
        <v>1.0026975994923</v>
      </c>
      <c r="F5837">
        <v>0.66940060966438797</v>
      </c>
      <c r="G5837">
        <v>0.44870544737831702</v>
      </c>
      <c r="H5837">
        <v>0.24853959522853</v>
      </c>
      <c r="I5837">
        <v>0.138807022929409</v>
      </c>
      <c r="J5837">
        <v>0.10658070896248099</v>
      </c>
      <c r="K5837">
        <v>9.3265574742271803E-2</v>
      </c>
      <c r="L5837">
        <v>965.48915639944801</v>
      </c>
      <c r="M5837">
        <v>18.408113403212202</v>
      </c>
      <c r="N5837">
        <v>52.944215874454699</v>
      </c>
      <c r="O5837">
        <v>51.841884820140002</v>
      </c>
      <c r="P5837">
        <v>-8.1755013526360706E-2</v>
      </c>
      <c r="Q5837">
        <v>7.9070575853488007E-2</v>
      </c>
      <c r="R5837">
        <v>0.98943383135692498</v>
      </c>
      <c r="S5837" t="s">
        <v>12239</v>
      </c>
      <c r="T5837" t="s">
        <v>12802</v>
      </c>
      <c r="U5837" t="s">
        <v>12802</v>
      </c>
      <c r="V5837" t="s">
        <v>12802</v>
      </c>
      <c r="W5837" t="s">
        <v>18570</v>
      </c>
      <c r="X5837">
        <v>1</v>
      </c>
      <c r="Y5837" t="s">
        <v>24779</v>
      </c>
      <c r="Z5837" t="s">
        <v>31155</v>
      </c>
      <c r="AA5837">
        <v>0.5666139563015975</v>
      </c>
      <c r="AB5837" t="str">
        <f>HYPERLINK("Melting_Curves/meltCurve_Q9NXF8_ZDHHC7.pdf", "Melting_Curves/meltCurve_Q9NXF8_ZDHHC7.pdf")</f>
        <v>Melting_Curves/meltCurve_Q9NXF8_ZDHHC7.pdf</v>
      </c>
    </row>
    <row r="5838" spans="1:28" x14ac:dyDescent="0.25">
      <c r="A5838" t="s">
        <v>5842</v>
      </c>
      <c r="B5838">
        <v>0.99542014353169495</v>
      </c>
      <c r="C5838">
        <v>0.86572711105051203</v>
      </c>
      <c r="D5838">
        <v>0.78313573350266996</v>
      </c>
      <c r="E5838">
        <v>0.50227243582673597</v>
      </c>
      <c r="F5838">
        <v>0.28497890335682302</v>
      </c>
      <c r="G5838">
        <v>0.131619780074509</v>
      </c>
      <c r="H5838">
        <v>9.2860600507719507E-2</v>
      </c>
      <c r="I5838">
        <v>6.3141241255522298E-2</v>
      </c>
      <c r="J5838">
        <v>7.7336340148559904E-2</v>
      </c>
      <c r="K5838">
        <v>9.4257058084625298E-2</v>
      </c>
      <c r="L5838">
        <v>687.23322728578</v>
      </c>
      <c r="M5838">
        <v>14.8791389548852</v>
      </c>
      <c r="N5838">
        <v>46.550204142126603</v>
      </c>
      <c r="O5838">
        <v>45.377479598466103</v>
      </c>
      <c r="P5838">
        <v>-7.7497999492792805E-2</v>
      </c>
      <c r="Q5838">
        <v>5.47040683702558E-2</v>
      </c>
      <c r="R5838">
        <v>0.99547792385852496</v>
      </c>
      <c r="S5838" t="s">
        <v>12240</v>
      </c>
      <c r="T5838" t="s">
        <v>12802</v>
      </c>
      <c r="U5838" t="s">
        <v>12802</v>
      </c>
      <c r="V5838" t="s">
        <v>12802</v>
      </c>
      <c r="W5838" t="s">
        <v>18571</v>
      </c>
      <c r="X5838">
        <v>7</v>
      </c>
      <c r="Y5838" t="s">
        <v>24780</v>
      </c>
      <c r="Z5838" t="s">
        <v>31156</v>
      </c>
      <c r="AA5838">
        <v>0.36623236027760259</v>
      </c>
      <c r="AB5838" t="str">
        <f>HYPERLINK("Melting_Curves/meltCurve_Q9NXH8_TOR4A.pdf", "Melting_Curves/meltCurve_Q9NXH8_TOR4A.pdf")</f>
        <v>Melting_Curves/meltCurve_Q9NXH8_TOR4A.pdf</v>
      </c>
    </row>
    <row r="5839" spans="1:28" x14ac:dyDescent="0.25">
      <c r="A5839" t="s">
        <v>5843</v>
      </c>
      <c r="B5839">
        <v>0.99542014353169495</v>
      </c>
      <c r="C5839">
        <v>0.96706196837414904</v>
      </c>
      <c r="D5839">
        <v>0.93264485424718302</v>
      </c>
      <c r="E5839">
        <v>0.77973941908671096</v>
      </c>
      <c r="F5839">
        <v>0.69632321540748898</v>
      </c>
      <c r="G5839">
        <v>0.49609017497091801</v>
      </c>
      <c r="H5839">
        <v>0.41524584378444201</v>
      </c>
      <c r="I5839">
        <v>0.25114481283093298</v>
      </c>
      <c r="J5839">
        <v>6.6498485262271007E-2</v>
      </c>
      <c r="K5839">
        <v>7.0248794445521096E-2</v>
      </c>
      <c r="L5839">
        <v>568.18225322531805</v>
      </c>
      <c r="M5839">
        <v>10.559036796016899</v>
      </c>
      <c r="N5839">
        <v>53.810033682649703</v>
      </c>
      <c r="O5839">
        <v>51.987561856223998</v>
      </c>
      <c r="P5839">
        <v>-5.0796806958571E-2</v>
      </c>
      <c r="Q5839">
        <v>0</v>
      </c>
      <c r="R5839">
        <v>0.98331729327499995</v>
      </c>
      <c r="S5839" t="s">
        <v>12241</v>
      </c>
      <c r="T5839" t="s">
        <v>12802</v>
      </c>
      <c r="U5839" t="s">
        <v>12802</v>
      </c>
      <c r="V5839" t="s">
        <v>12802</v>
      </c>
      <c r="W5839" t="s">
        <v>18572</v>
      </c>
      <c r="X5839">
        <v>25</v>
      </c>
      <c r="Y5839" t="s">
        <v>24781</v>
      </c>
      <c r="Z5839" t="s">
        <v>31157</v>
      </c>
      <c r="AA5839">
        <v>0.57906955620852785</v>
      </c>
      <c r="AB5839" t="str">
        <f>HYPERLINK("Melting_Curves/meltCurve_Q9NXH9_TRMT1.pdf", "Melting_Curves/meltCurve_Q9NXH9_TRMT1.pdf")</f>
        <v>Melting_Curves/meltCurve_Q9NXH9_TRMT1.pdf</v>
      </c>
    </row>
    <row r="5840" spans="1:28" x14ac:dyDescent="0.25">
      <c r="A5840" t="s">
        <v>5844</v>
      </c>
      <c r="B5840">
        <v>0.99542014353169495</v>
      </c>
      <c r="C5840">
        <v>0.92828219494477704</v>
      </c>
      <c r="D5840">
        <v>0.80713599269317704</v>
      </c>
      <c r="E5840">
        <v>0.64348027026681898</v>
      </c>
      <c r="F5840">
        <v>0.27030778278901602</v>
      </c>
      <c r="G5840">
        <v>0.114399016636005</v>
      </c>
      <c r="H5840">
        <v>9.2507557724380199E-2</v>
      </c>
      <c r="I5840">
        <v>5.4927346104577897E-2</v>
      </c>
      <c r="J5840">
        <v>4.1903545359509603E-2</v>
      </c>
      <c r="K5840">
        <v>1.17060620773125E-2</v>
      </c>
      <c r="L5840">
        <v>772.54600452888701</v>
      </c>
      <c r="M5840">
        <v>16.275059744653301</v>
      </c>
      <c r="N5840">
        <v>47.565767207219501</v>
      </c>
      <c r="O5840">
        <v>46.768798495569698</v>
      </c>
      <c r="P5840">
        <v>-8.5573610000967304E-2</v>
      </c>
      <c r="Q5840">
        <v>1.64383905734393E-2</v>
      </c>
      <c r="R5840">
        <v>0.99379985133558901</v>
      </c>
      <c r="S5840" t="s">
        <v>12242</v>
      </c>
      <c r="T5840" t="s">
        <v>12802</v>
      </c>
      <c r="U5840" t="s">
        <v>12802</v>
      </c>
      <c r="V5840" t="s">
        <v>12802</v>
      </c>
      <c r="W5840" t="s">
        <v>18573</v>
      </c>
      <c r="X5840">
        <v>2</v>
      </c>
      <c r="Y5840" t="s">
        <v>24782</v>
      </c>
      <c r="Z5840" t="s">
        <v>31158</v>
      </c>
      <c r="AA5840">
        <v>0.37860220857346882</v>
      </c>
      <c r="AB5840" t="str">
        <f>HYPERLINK("Melting_Curves/meltCurve_Q9NXK8_2_FBXL12.pdf", "Melting_Curves/meltCurve_Q9NXK8_2_FBXL12.pdf")</f>
        <v>Melting_Curves/meltCurve_Q9NXK8_2_FBXL12.pdf</v>
      </c>
    </row>
    <row r="5841" spans="1:28" x14ac:dyDescent="0.25">
      <c r="A5841" t="s">
        <v>5845</v>
      </c>
      <c r="B5841">
        <v>0.99542014353169495</v>
      </c>
      <c r="C5841">
        <v>0.97673105279611805</v>
      </c>
      <c r="D5841">
        <v>0.83688201178294697</v>
      </c>
      <c r="E5841">
        <v>0.44356462227930399</v>
      </c>
      <c r="F5841">
        <v>0.236728092727859</v>
      </c>
      <c r="G5841">
        <v>0.14432993666409699</v>
      </c>
      <c r="H5841">
        <v>9.0701429445950998E-2</v>
      </c>
      <c r="I5841">
        <v>6.7381476300002394E-2</v>
      </c>
      <c r="J5841">
        <v>6.7994163909945504E-2</v>
      </c>
      <c r="K5841">
        <v>7.0018263062814307E-2</v>
      </c>
      <c r="L5841">
        <v>946.62253812346501</v>
      </c>
      <c r="M5841">
        <v>20.595402492799799</v>
      </c>
      <c r="N5841">
        <v>46.330902717094297</v>
      </c>
      <c r="O5841">
        <v>45.536073838808299</v>
      </c>
      <c r="P5841">
        <v>-0.104541299459656</v>
      </c>
      <c r="Q5841">
        <v>7.5471103582263097E-2</v>
      </c>
      <c r="R5841">
        <v>0.99792391407710701</v>
      </c>
      <c r="S5841" t="s">
        <v>12243</v>
      </c>
      <c r="T5841" t="s">
        <v>12802</v>
      </c>
      <c r="U5841" t="s">
        <v>12802</v>
      </c>
      <c r="V5841" t="s">
        <v>12802</v>
      </c>
      <c r="W5841" t="s">
        <v>18574</v>
      </c>
      <c r="X5841">
        <v>5</v>
      </c>
      <c r="Y5841" t="s">
        <v>24783</v>
      </c>
      <c r="Z5841" t="s">
        <v>31159</v>
      </c>
      <c r="AA5841">
        <v>0.36307071943822983</v>
      </c>
      <c r="AB5841" t="str">
        <f>HYPERLINK("Melting_Curves/meltCurve_Q9NXN4_2_GDAP2.pdf", "Melting_Curves/meltCurve_Q9NXN4_2_GDAP2.pdf")</f>
        <v>Melting_Curves/meltCurve_Q9NXN4_2_GDAP2.pdf</v>
      </c>
    </row>
    <row r="5842" spans="1:28" x14ac:dyDescent="0.25">
      <c r="A5842" t="s">
        <v>5846</v>
      </c>
      <c r="B5842">
        <v>0.99542014353169495</v>
      </c>
      <c r="C5842">
        <v>1.0996022562718499</v>
      </c>
      <c r="D5842">
        <v>0.97593393660193795</v>
      </c>
      <c r="E5842">
        <v>0.90171081560830102</v>
      </c>
      <c r="F5842">
        <v>0.67471034075316405</v>
      </c>
      <c r="G5842">
        <v>0.44825948587658099</v>
      </c>
      <c r="H5842">
        <v>0.267925899883865</v>
      </c>
      <c r="I5842">
        <v>0.25959385321335099</v>
      </c>
      <c r="J5842">
        <v>0.33963306052204301</v>
      </c>
      <c r="K5842">
        <v>0.51316366791692203</v>
      </c>
      <c r="L5842">
        <v>1419.0807101356199</v>
      </c>
      <c r="M5842">
        <v>28.337646543878598</v>
      </c>
      <c r="N5842">
        <v>52.2458188165824</v>
      </c>
      <c r="O5842">
        <v>49.830184240324499</v>
      </c>
      <c r="P5842">
        <v>-9.3016435394231198E-2</v>
      </c>
      <c r="Q5842">
        <v>0.34574832187104099</v>
      </c>
      <c r="R5842">
        <v>0.93988535663705797</v>
      </c>
      <c r="S5842" t="s">
        <v>12244</v>
      </c>
      <c r="T5842" t="s">
        <v>12802</v>
      </c>
      <c r="U5842" t="s">
        <v>12802</v>
      </c>
      <c r="V5842" t="s">
        <v>12802</v>
      </c>
      <c r="W5842" t="s">
        <v>18575</v>
      </c>
      <c r="X5842">
        <v>12</v>
      </c>
      <c r="Y5842" t="s">
        <v>24784</v>
      </c>
      <c r="Z5842" t="s">
        <v>31160</v>
      </c>
      <c r="AA5842">
        <v>0.63544487362491586</v>
      </c>
      <c r="AB5842" t="str">
        <f>HYPERLINK("Melting_Curves/meltCurve_Q9NXR1_2_NDE1.pdf", "Melting_Curves/meltCurve_Q9NXR1_2_NDE1.pdf")</f>
        <v>Melting_Curves/meltCurve_Q9NXR1_2_NDE1.pdf</v>
      </c>
    </row>
    <row r="5843" spans="1:28" x14ac:dyDescent="0.25">
      <c r="A5843" t="s">
        <v>5847</v>
      </c>
      <c r="B5843">
        <v>0.99542014353169495</v>
      </c>
      <c r="C5843">
        <v>0.91299939419301201</v>
      </c>
      <c r="D5843">
        <v>0.88647228223626195</v>
      </c>
      <c r="E5843">
        <v>0.66883748869345705</v>
      </c>
      <c r="F5843">
        <v>0.56259198877526895</v>
      </c>
      <c r="G5843">
        <v>0.38422768266455098</v>
      </c>
      <c r="H5843">
        <v>0.315154001990468</v>
      </c>
      <c r="I5843">
        <v>0.229637918730354</v>
      </c>
      <c r="J5843">
        <v>0.16191383730343201</v>
      </c>
      <c r="K5843">
        <v>0.11272539967958101</v>
      </c>
      <c r="L5843">
        <v>458.55706673047598</v>
      </c>
      <c r="M5843">
        <v>8.9878375319494506</v>
      </c>
      <c r="N5843">
        <v>51.376826532864001</v>
      </c>
      <c r="O5843">
        <v>48.6839053503694</v>
      </c>
      <c r="P5843">
        <v>-4.4789201963242299E-2</v>
      </c>
      <c r="Q5843">
        <v>3.0279374409704199E-2</v>
      </c>
      <c r="R5843">
        <v>0.99388724720524002</v>
      </c>
      <c r="S5843" t="s">
        <v>12245</v>
      </c>
      <c r="T5843" t="s">
        <v>12802</v>
      </c>
      <c r="U5843" t="s">
        <v>12802</v>
      </c>
      <c r="V5843" t="s">
        <v>12802</v>
      </c>
      <c r="W5843" t="s">
        <v>18576</v>
      </c>
      <c r="X5843">
        <v>8</v>
      </c>
      <c r="Y5843" t="s">
        <v>24785</v>
      </c>
      <c r="Z5843" t="s">
        <v>31161</v>
      </c>
      <c r="AA5843">
        <v>0.51510884803947132</v>
      </c>
      <c r="AB5843" t="str">
        <f>HYPERLINK("Melting_Curves/meltCurve_Q9NXR7_BRE.pdf", "Melting_Curves/meltCurve_Q9NXR7_BRE.pdf")</f>
        <v>Melting_Curves/meltCurve_Q9NXR7_BRE.pdf</v>
      </c>
    </row>
    <row r="5844" spans="1:28" x14ac:dyDescent="0.25">
      <c r="A5844" t="s">
        <v>5848</v>
      </c>
      <c r="B5844">
        <v>0.99542014353169495</v>
      </c>
      <c r="C5844">
        <v>0.96309227994465896</v>
      </c>
      <c r="D5844">
        <v>0.846744141750292</v>
      </c>
      <c r="E5844">
        <v>0.63551937724374996</v>
      </c>
      <c r="F5844">
        <v>0.475937076334216</v>
      </c>
      <c r="G5844">
        <v>0.216671018091011</v>
      </c>
      <c r="H5844">
        <v>0.14766113360373301</v>
      </c>
      <c r="I5844">
        <v>0.11624750104292</v>
      </c>
      <c r="J5844">
        <v>0.14669637318263501</v>
      </c>
      <c r="K5844">
        <v>0.156702929897022</v>
      </c>
      <c r="L5844">
        <v>712.16833965503599</v>
      </c>
      <c r="M5844">
        <v>14.8324080729162</v>
      </c>
      <c r="N5844">
        <v>48.800255897779401</v>
      </c>
      <c r="O5844">
        <v>47.166920867286699</v>
      </c>
      <c r="P5844">
        <v>-7.0271643916787599E-2</v>
      </c>
      <c r="Q5844">
        <v>0.106241641470163</v>
      </c>
      <c r="R5844">
        <v>0.99187265082178899</v>
      </c>
      <c r="S5844" t="s">
        <v>12246</v>
      </c>
      <c r="T5844" t="s">
        <v>12802</v>
      </c>
      <c r="U5844" t="s">
        <v>12802</v>
      </c>
      <c r="V5844" t="s">
        <v>12802</v>
      </c>
      <c r="W5844" t="s">
        <v>18577</v>
      </c>
      <c r="X5844">
        <v>5</v>
      </c>
      <c r="Y5844" t="s">
        <v>24786</v>
      </c>
      <c r="Z5844" t="s">
        <v>31162</v>
      </c>
      <c r="AA5844">
        <v>0.45443303246274719</v>
      </c>
      <c r="AB5844" t="str">
        <f>HYPERLINK("Melting_Curves/meltCurve_Q9NXS2_QPCTL.pdf", "Melting_Curves/meltCurve_Q9NXS2_QPCTL.pdf")</f>
        <v>Melting_Curves/meltCurve_Q9NXS2_QPCTL.pdf</v>
      </c>
    </row>
    <row r="5845" spans="1:28" x14ac:dyDescent="0.25">
      <c r="A5845" t="s">
        <v>5849</v>
      </c>
      <c r="B5845">
        <v>0.99542014353169495</v>
      </c>
      <c r="C5845">
        <v>1.00060427193242</v>
      </c>
      <c r="D5845">
        <v>0.932844715857719</v>
      </c>
      <c r="E5845">
        <v>0.90589441333798704</v>
      </c>
      <c r="F5845">
        <v>0.68954636146916704</v>
      </c>
      <c r="G5845">
        <v>0.53211451401638798</v>
      </c>
      <c r="H5845">
        <v>0.18100300935695099</v>
      </c>
      <c r="I5845">
        <v>9.1714109087221801E-2</v>
      </c>
      <c r="J5845">
        <v>6.1377158721369701E-2</v>
      </c>
      <c r="K5845">
        <v>6.4853007538753102E-2</v>
      </c>
      <c r="L5845">
        <v>851.18216805011696</v>
      </c>
      <c r="M5845">
        <v>15.999245917683499</v>
      </c>
      <c r="N5845">
        <v>53.201392888238999</v>
      </c>
      <c r="O5845">
        <v>52.391077578158203</v>
      </c>
      <c r="P5845">
        <v>-7.6351287104974894E-2</v>
      </c>
      <c r="Q5845">
        <v>0</v>
      </c>
      <c r="R5845">
        <v>0.99108701295587798</v>
      </c>
      <c r="S5845" t="s">
        <v>12247</v>
      </c>
      <c r="T5845" t="s">
        <v>12802</v>
      </c>
      <c r="U5845" t="s">
        <v>12802</v>
      </c>
      <c r="V5845" t="s">
        <v>12802</v>
      </c>
      <c r="W5845" t="s">
        <v>18578</v>
      </c>
      <c r="X5845">
        <v>7</v>
      </c>
      <c r="Y5845" t="s">
        <v>24787</v>
      </c>
      <c r="Z5845" t="s">
        <v>31163</v>
      </c>
      <c r="AA5845">
        <v>0.55652079572542401</v>
      </c>
      <c r="AB5845" t="str">
        <f>HYPERLINK("Melting_Curves/meltCurve_Q9NXU5_ARL15.pdf", "Melting_Curves/meltCurve_Q9NXU5_ARL15.pdf")</f>
        <v>Melting_Curves/meltCurve_Q9NXU5_ARL15.pdf</v>
      </c>
    </row>
    <row r="5846" spans="1:28" x14ac:dyDescent="0.25">
      <c r="A5846" t="s">
        <v>5850</v>
      </c>
      <c r="B5846">
        <v>0.99542014353169495</v>
      </c>
      <c r="C5846">
        <v>1.0414583172385901</v>
      </c>
      <c r="D5846">
        <v>0.89858891163927401</v>
      </c>
      <c r="E5846">
        <v>0.74988416561748406</v>
      </c>
      <c r="F5846">
        <v>0.62306040742068702</v>
      </c>
      <c r="G5846">
        <v>0.394366642963762</v>
      </c>
      <c r="H5846">
        <v>0.32679467276885599</v>
      </c>
      <c r="I5846">
        <v>0.37258852671933501</v>
      </c>
      <c r="J5846">
        <v>0.43786123244542702</v>
      </c>
      <c r="K5846">
        <v>0.39227128203282802</v>
      </c>
      <c r="L5846">
        <v>900.38900800853605</v>
      </c>
      <c r="M5846">
        <v>18.7839515632581</v>
      </c>
      <c r="N5846">
        <v>51.6326329593537</v>
      </c>
      <c r="O5846">
        <v>47.4005879767412</v>
      </c>
      <c r="P5846">
        <v>-6.2436038533126299E-2</v>
      </c>
      <c r="Q5846">
        <v>0.36980640274033599</v>
      </c>
      <c r="R5846">
        <v>0.97073279980424398</v>
      </c>
      <c r="S5846" t="s">
        <v>12248</v>
      </c>
      <c r="T5846" t="s">
        <v>12802</v>
      </c>
      <c r="U5846" t="s">
        <v>12802</v>
      </c>
      <c r="V5846" t="s">
        <v>12802</v>
      </c>
      <c r="W5846" t="s">
        <v>18579</v>
      </c>
      <c r="X5846">
        <v>4</v>
      </c>
      <c r="Y5846" t="s">
        <v>24788</v>
      </c>
      <c r="Z5846" t="s">
        <v>31164</v>
      </c>
      <c r="AA5846">
        <v>0.60880292742187514</v>
      </c>
      <c r="AB5846" t="str">
        <f>HYPERLINK("Melting_Curves/meltCurve_Q9NXV2_KCTD5.pdf", "Melting_Curves/meltCurve_Q9NXV2_KCTD5.pdf")</f>
        <v>Melting_Curves/meltCurve_Q9NXV2_KCTD5.pdf</v>
      </c>
    </row>
    <row r="5847" spans="1:28" x14ac:dyDescent="0.25">
      <c r="A5847" t="s">
        <v>5851</v>
      </c>
      <c r="B5847">
        <v>0.99542014353169495</v>
      </c>
      <c r="C5847">
        <v>0.97344660441570396</v>
      </c>
      <c r="D5847">
        <v>1.0228240636167401</v>
      </c>
      <c r="E5847">
        <v>0.69701555084220801</v>
      </c>
      <c r="F5847">
        <v>0.46280692277899699</v>
      </c>
      <c r="G5847">
        <v>0.20110374123420999</v>
      </c>
      <c r="H5847">
        <v>8.4359654874793896E-2</v>
      </c>
      <c r="I5847">
        <v>5.37257124671549E-2</v>
      </c>
      <c r="J5847">
        <v>5.2120292607746199E-2</v>
      </c>
      <c r="K5847">
        <v>4.7836967748125403E-2</v>
      </c>
      <c r="L5847">
        <v>924.02838510491199</v>
      </c>
      <c r="M5847">
        <v>18.756680919955301</v>
      </c>
      <c r="N5847">
        <v>49.454999161725397</v>
      </c>
      <c r="O5847">
        <v>48.714232471971698</v>
      </c>
      <c r="P5847">
        <v>-9.2898539766487001E-2</v>
      </c>
      <c r="Q5847">
        <v>3.4948391806112901E-2</v>
      </c>
      <c r="R5847">
        <v>0.99308705055968405</v>
      </c>
      <c r="S5847" t="s">
        <v>12249</v>
      </c>
      <c r="T5847" t="s">
        <v>12802</v>
      </c>
      <c r="U5847" t="s">
        <v>12802</v>
      </c>
      <c r="V5847" t="s">
        <v>12802</v>
      </c>
      <c r="W5847" t="s">
        <v>18580</v>
      </c>
      <c r="X5847">
        <v>10</v>
      </c>
      <c r="Y5847" t="s">
        <v>24789</v>
      </c>
      <c r="Z5847" t="s">
        <v>31165</v>
      </c>
      <c r="AA5847">
        <v>0.44371732304495642</v>
      </c>
      <c r="AB5847" t="str">
        <f>HYPERLINK("Melting_Curves/meltCurve_Q9NXV6_CDKN2AIP.pdf", "Melting_Curves/meltCurve_Q9NXV6_CDKN2AIP.pdf")</f>
        <v>Melting_Curves/meltCurve_Q9NXV6_CDKN2AIP.pdf</v>
      </c>
    </row>
    <row r="5848" spans="1:28" x14ac:dyDescent="0.25">
      <c r="A5848" t="s">
        <v>5852</v>
      </c>
      <c r="B5848">
        <v>0.99542014353169495</v>
      </c>
      <c r="C5848">
        <v>1.05311676847394</v>
      </c>
      <c r="D5848">
        <v>0.90616106469234903</v>
      </c>
      <c r="E5848">
        <v>0.76387886577207298</v>
      </c>
      <c r="F5848">
        <v>0.44689337212153901</v>
      </c>
      <c r="G5848">
        <v>0.31647674684746202</v>
      </c>
      <c r="H5848">
        <v>0.21115184405243301</v>
      </c>
      <c r="I5848">
        <v>0.13390318482890801</v>
      </c>
      <c r="J5848">
        <v>0.103326770994793</v>
      </c>
      <c r="K5848">
        <v>0.14376942396671499</v>
      </c>
      <c r="L5848">
        <v>823.76779934414003</v>
      </c>
      <c r="M5848">
        <v>16.758430073196202</v>
      </c>
      <c r="N5848">
        <v>49.948192584459498</v>
      </c>
      <c r="O5848">
        <v>48.471516345451398</v>
      </c>
      <c r="P5848">
        <v>-7.6346221645368501E-2</v>
      </c>
      <c r="Q5848">
        <v>0.116773167708467</v>
      </c>
      <c r="R5848">
        <v>0.99255256372540801</v>
      </c>
      <c r="S5848" t="s">
        <v>12250</v>
      </c>
      <c r="T5848" t="s">
        <v>12802</v>
      </c>
      <c r="U5848" t="s">
        <v>12802</v>
      </c>
      <c r="V5848" t="s">
        <v>12802</v>
      </c>
      <c r="W5848" t="s">
        <v>18581</v>
      </c>
      <c r="X5848">
        <v>7</v>
      </c>
      <c r="Y5848" t="s">
        <v>24790</v>
      </c>
      <c r="Z5848" t="s">
        <v>31166</v>
      </c>
      <c r="AA5848">
        <v>0.49047459363796669</v>
      </c>
      <c r="AB5848" t="str">
        <f>HYPERLINK("Melting_Curves/meltCurve_Q9NXW9_ALKBH4.pdf", "Melting_Curves/meltCurve_Q9NXW9_ALKBH4.pdf")</f>
        <v>Melting_Curves/meltCurve_Q9NXW9_ALKBH4.pdf</v>
      </c>
    </row>
    <row r="5849" spans="1:28" x14ac:dyDescent="0.25">
      <c r="A5849" t="s">
        <v>5853</v>
      </c>
      <c r="B5849">
        <v>0.99542014353169495</v>
      </c>
      <c r="C5849">
        <v>0.91320849148827399</v>
      </c>
      <c r="D5849">
        <v>0.85290561196303705</v>
      </c>
      <c r="E5849">
        <v>0.62826834182578395</v>
      </c>
      <c r="F5849">
        <v>0.41165856128533501</v>
      </c>
      <c r="G5849">
        <v>0.16290929568349999</v>
      </c>
      <c r="H5849">
        <v>0.106542995915404</v>
      </c>
      <c r="I5849">
        <v>7.2483843059813105E-2</v>
      </c>
      <c r="J5849">
        <v>6.5625330654739106E-2</v>
      </c>
      <c r="K5849">
        <v>3.5651747235188602E-2</v>
      </c>
      <c r="L5849">
        <v>676.81575207247397</v>
      </c>
      <c r="M5849">
        <v>14.027066759056099</v>
      </c>
      <c r="N5849">
        <v>48.3777345235846</v>
      </c>
      <c r="O5849">
        <v>47.301776044598398</v>
      </c>
      <c r="P5849">
        <v>-7.2805075735871194E-2</v>
      </c>
      <c r="Q5849">
        <v>1.80820532351889E-2</v>
      </c>
      <c r="R5849">
        <v>0.99652116433912896</v>
      </c>
      <c r="S5849" t="s">
        <v>12251</v>
      </c>
      <c r="T5849" t="s">
        <v>12802</v>
      </c>
      <c r="U5849" t="s">
        <v>12802</v>
      </c>
      <c r="V5849" t="s">
        <v>12802</v>
      </c>
      <c r="W5849" t="s">
        <v>18582</v>
      </c>
      <c r="X5849">
        <v>3</v>
      </c>
      <c r="Y5849" t="s">
        <v>24791</v>
      </c>
      <c r="Z5849" t="s">
        <v>31167</v>
      </c>
      <c r="AA5849">
        <v>0.41030282492798459</v>
      </c>
      <c r="AB5849" t="str">
        <f>HYPERLINK("Melting_Curves/meltCurve_Q9NXX6_NSMCE4A.pdf", "Melting_Curves/meltCurve_Q9NXX6_NSMCE4A.pdf")</f>
        <v>Melting_Curves/meltCurve_Q9NXX6_NSMCE4A.pdf</v>
      </c>
    </row>
    <row r="5850" spans="1:28" x14ac:dyDescent="0.25">
      <c r="A5850" t="s">
        <v>5854</v>
      </c>
      <c r="B5850">
        <v>0.99542014353169495</v>
      </c>
      <c r="C5850">
        <v>1.25655573130297</v>
      </c>
      <c r="D5850">
        <v>0.97912942164487204</v>
      </c>
      <c r="E5850">
        <v>0.86596167270615798</v>
      </c>
      <c r="F5850">
        <v>0.62773005574364305</v>
      </c>
      <c r="G5850">
        <v>0.33643041186883099</v>
      </c>
      <c r="H5850">
        <v>0.25628351394533699</v>
      </c>
      <c r="I5850">
        <v>0.225932925502485</v>
      </c>
      <c r="J5850">
        <v>0.28186583129657</v>
      </c>
      <c r="K5850">
        <v>0.31859966948976398</v>
      </c>
      <c r="L5850">
        <v>1330.5866541896</v>
      </c>
      <c r="M5850">
        <v>26.675905124780201</v>
      </c>
      <c r="N5850">
        <v>51.308143128973001</v>
      </c>
      <c r="O5850">
        <v>49.601932177575101</v>
      </c>
      <c r="P5850">
        <v>-9.9214754471986799E-2</v>
      </c>
      <c r="Q5850">
        <v>0.26207669368502901</v>
      </c>
      <c r="R5850">
        <v>0.94285370099214005</v>
      </c>
      <c r="S5850" t="s">
        <v>12252</v>
      </c>
      <c r="T5850" t="s">
        <v>12802</v>
      </c>
      <c r="U5850" t="s">
        <v>12802</v>
      </c>
      <c r="V5850" t="s">
        <v>12802</v>
      </c>
      <c r="W5850" t="s">
        <v>18583</v>
      </c>
      <c r="X5850">
        <v>2</v>
      </c>
      <c r="Y5850" t="s">
        <v>24792</v>
      </c>
      <c r="Z5850" t="s">
        <v>31168</v>
      </c>
      <c r="AA5850">
        <v>0.58457294137047033</v>
      </c>
      <c r="AB5850" t="str">
        <f>HYPERLINK("Melting_Curves/meltCurve_Q9NY12_2_GAR1.pdf", "Melting_Curves/meltCurve_Q9NY12_2_GAR1.pdf")</f>
        <v>Melting_Curves/meltCurve_Q9NY12_2_GAR1.pdf</v>
      </c>
    </row>
    <row r="5851" spans="1:28" x14ac:dyDescent="0.25">
      <c r="A5851" t="s">
        <v>5855</v>
      </c>
      <c r="B5851">
        <v>0.99542014353169495</v>
      </c>
      <c r="C5851">
        <v>0.98756433625254403</v>
      </c>
      <c r="D5851">
        <v>1.0373734720410801</v>
      </c>
      <c r="E5851">
        <v>0.85479831062019895</v>
      </c>
      <c r="F5851">
        <v>0.546554636437243</v>
      </c>
      <c r="G5851">
        <v>0.26242033373310297</v>
      </c>
      <c r="H5851">
        <v>0.109901990902325</v>
      </c>
      <c r="I5851">
        <v>7.1570197954666306E-2</v>
      </c>
      <c r="J5851">
        <v>6.9955171377243899E-2</v>
      </c>
      <c r="K5851">
        <v>6.7214305537631205E-2</v>
      </c>
      <c r="L5851">
        <v>1113.0478455605701</v>
      </c>
      <c r="M5851">
        <v>22.075190083992901</v>
      </c>
      <c r="N5851">
        <v>50.708852825067801</v>
      </c>
      <c r="O5851">
        <v>50.012466817306603</v>
      </c>
      <c r="P5851">
        <v>-0.103847313128555</v>
      </c>
      <c r="Q5851">
        <v>5.8935231885513903E-2</v>
      </c>
      <c r="R5851">
        <v>0.99756920888947298</v>
      </c>
      <c r="S5851" t="s">
        <v>12253</v>
      </c>
      <c r="T5851" t="s">
        <v>12802</v>
      </c>
      <c r="U5851" t="s">
        <v>12802</v>
      </c>
      <c r="V5851" t="s">
        <v>12802</v>
      </c>
      <c r="W5851" t="s">
        <v>18584</v>
      </c>
      <c r="X5851">
        <v>12</v>
      </c>
      <c r="Y5851" t="s">
        <v>24793</v>
      </c>
      <c r="Z5851" t="s">
        <v>31169</v>
      </c>
      <c r="AA5851">
        <v>0.49032737706684171</v>
      </c>
      <c r="AB5851" t="str">
        <f>HYPERLINK("Melting_Curves/meltCurve_Q9NY27_PPP4R2.pdf", "Melting_Curves/meltCurve_Q9NY27_PPP4R2.pdf")</f>
        <v>Melting_Curves/meltCurve_Q9NY27_PPP4R2.pdf</v>
      </c>
    </row>
    <row r="5852" spans="1:28" x14ac:dyDescent="0.25">
      <c r="A5852" t="s">
        <v>5856</v>
      </c>
      <c r="B5852">
        <v>0.99542014353169495</v>
      </c>
      <c r="C5852">
        <v>0.86419548515726297</v>
      </c>
      <c r="D5852">
        <v>0.90717001085378002</v>
      </c>
      <c r="E5852">
        <v>0.64547268981908001</v>
      </c>
      <c r="F5852">
        <v>0.592012502183203</v>
      </c>
      <c r="G5852">
        <v>0.28439176390023002</v>
      </c>
      <c r="H5852">
        <v>0.21123416741725201</v>
      </c>
      <c r="I5852">
        <v>8.6831581550472506E-2</v>
      </c>
      <c r="J5852">
        <v>9.6832089849808498E-2</v>
      </c>
      <c r="K5852">
        <v>9.0140251523013304E-2</v>
      </c>
      <c r="L5852">
        <v>541.97480653562297</v>
      </c>
      <c r="M5852">
        <v>10.781748684029999</v>
      </c>
      <c r="N5852">
        <v>50.267799812434397</v>
      </c>
      <c r="O5852">
        <v>48.631174472775697</v>
      </c>
      <c r="P5852">
        <v>-5.5446316465833603E-2</v>
      </c>
      <c r="Q5852">
        <v>0</v>
      </c>
      <c r="R5852">
        <v>0.97985366751615099</v>
      </c>
      <c r="S5852" t="s">
        <v>12254</v>
      </c>
      <c r="T5852" t="s">
        <v>12802</v>
      </c>
      <c r="U5852" t="s">
        <v>12802</v>
      </c>
      <c r="V5852" t="s">
        <v>12802</v>
      </c>
      <c r="W5852" t="s">
        <v>18585</v>
      </c>
      <c r="X5852">
        <v>3</v>
      </c>
      <c r="Y5852" t="s">
        <v>24794</v>
      </c>
      <c r="Z5852" t="s">
        <v>31170</v>
      </c>
      <c r="AA5852">
        <v>0.47304285516451472</v>
      </c>
      <c r="AB5852" t="str">
        <f>HYPERLINK("Melting_Curves/meltCurve_Q9NY97_2_B3GNT2.pdf", "Melting_Curves/meltCurve_Q9NY97_2_B3GNT2.pdf")</f>
        <v>Melting_Curves/meltCurve_Q9NY97_2_B3GNT2.pdf</v>
      </c>
    </row>
    <row r="5853" spans="1:28" x14ac:dyDescent="0.25">
      <c r="A5853" t="s">
        <v>5857</v>
      </c>
      <c r="B5853">
        <v>0.99542014353169495</v>
      </c>
      <c r="C5853">
        <v>0.92168102640885796</v>
      </c>
      <c r="D5853">
        <v>0.77499231706388405</v>
      </c>
      <c r="E5853">
        <v>0.68821772506142598</v>
      </c>
      <c r="F5853">
        <v>0.50605808719713197</v>
      </c>
      <c r="G5853">
        <v>0.29333796298946302</v>
      </c>
      <c r="H5853">
        <v>7.9319138986054596E-2</v>
      </c>
      <c r="I5853">
        <v>6.6532497327017506E-2</v>
      </c>
      <c r="J5853">
        <v>5.3395397783163698E-2</v>
      </c>
      <c r="K5853">
        <v>4.9782949166634803E-2</v>
      </c>
      <c r="L5853">
        <v>585.34725530130402</v>
      </c>
      <c r="M5853">
        <v>11.868116606256701</v>
      </c>
      <c r="N5853">
        <v>49.320970641083001</v>
      </c>
      <c r="O5853">
        <v>47.983222124805501</v>
      </c>
      <c r="P5853">
        <v>-6.1850279194493298E-2</v>
      </c>
      <c r="Q5853">
        <v>0</v>
      </c>
      <c r="R5853">
        <v>0.98638451367191804</v>
      </c>
      <c r="S5853" t="s">
        <v>12255</v>
      </c>
      <c r="T5853" t="s">
        <v>12802</v>
      </c>
      <c r="U5853" t="s">
        <v>12802</v>
      </c>
      <c r="V5853" t="s">
        <v>12802</v>
      </c>
      <c r="W5853" t="s">
        <v>18586</v>
      </c>
      <c r="X5853">
        <v>2</v>
      </c>
      <c r="Y5853" t="s">
        <v>24795</v>
      </c>
      <c r="Z5853" t="s">
        <v>31171</v>
      </c>
      <c r="AA5853">
        <v>0.44029702213373911</v>
      </c>
      <c r="AB5853" t="str">
        <f>HYPERLINK("Melting_Curves/meltCurve_Q9NYA1_2_SPHK1.pdf", "Melting_Curves/meltCurve_Q9NYA1_2_SPHK1.pdf")</f>
        <v>Melting_Curves/meltCurve_Q9NYA1_2_SPHK1.pdf</v>
      </c>
    </row>
    <row r="5854" spans="1:28" x14ac:dyDescent="0.25">
      <c r="A5854" t="s">
        <v>5858</v>
      </c>
      <c r="B5854">
        <v>0.99542014353169495</v>
      </c>
      <c r="C5854">
        <v>0.96005476706540105</v>
      </c>
      <c r="D5854">
        <v>0.93964068269463896</v>
      </c>
      <c r="E5854">
        <v>0.76268817047786397</v>
      </c>
      <c r="F5854">
        <v>0.39826591646618498</v>
      </c>
      <c r="G5854">
        <v>0.21626941354760701</v>
      </c>
      <c r="H5854">
        <v>0.121097745693123</v>
      </c>
      <c r="I5854">
        <v>7.3844755486632496E-2</v>
      </c>
      <c r="J5854">
        <v>8.0441435859483296E-2</v>
      </c>
      <c r="K5854">
        <v>9.6061374284382703E-2</v>
      </c>
      <c r="L5854">
        <v>994.68353638817905</v>
      </c>
      <c r="M5854">
        <v>20.364741288935601</v>
      </c>
      <c r="N5854">
        <v>49.250307236071201</v>
      </c>
      <c r="O5854">
        <v>48.379754603896899</v>
      </c>
      <c r="P5854">
        <v>-9.7088881982332897E-2</v>
      </c>
      <c r="Q5854">
        <v>7.7426205625100705E-2</v>
      </c>
      <c r="R5854">
        <v>0.99840415713631603</v>
      </c>
      <c r="S5854" t="s">
        <v>12256</v>
      </c>
      <c r="T5854" t="s">
        <v>12802</v>
      </c>
      <c r="U5854" t="s">
        <v>12802</v>
      </c>
      <c r="V5854" t="s">
        <v>12802</v>
      </c>
      <c r="W5854" t="s">
        <v>18587</v>
      </c>
      <c r="X5854">
        <v>14</v>
      </c>
      <c r="Y5854" t="s">
        <v>24796</v>
      </c>
      <c r="Z5854" t="s">
        <v>31172</v>
      </c>
      <c r="AA5854">
        <v>0.45339404118933402</v>
      </c>
      <c r="AB5854" t="str">
        <f>HYPERLINK("Melting_Curves/meltCurve_Q9NYB0_TERF2IP.pdf", "Melting_Curves/meltCurve_Q9NYB0_TERF2IP.pdf")</f>
        <v>Melting_Curves/meltCurve_Q9NYB0_TERF2IP.pdf</v>
      </c>
    </row>
    <row r="5855" spans="1:28" x14ac:dyDescent="0.25">
      <c r="A5855" t="s">
        <v>5859</v>
      </c>
      <c r="B5855">
        <v>0.99542014353169495</v>
      </c>
      <c r="C5855">
        <v>0.82634902161686197</v>
      </c>
      <c r="D5855">
        <v>0.48874775686255301</v>
      </c>
      <c r="E5855">
        <v>0.35319229217256298</v>
      </c>
      <c r="F5855">
        <v>0.317850952998178</v>
      </c>
      <c r="G5855">
        <v>0.19330397073548899</v>
      </c>
      <c r="H5855">
        <v>0.14969616589738099</v>
      </c>
      <c r="I5855">
        <v>0.110013278001465</v>
      </c>
      <c r="J5855">
        <v>9.0555478990414301E-2</v>
      </c>
      <c r="K5855">
        <v>0.126099523719156</v>
      </c>
      <c r="L5855">
        <v>616.993354748814</v>
      </c>
      <c r="M5855">
        <v>14.291529967783701</v>
      </c>
      <c r="N5855">
        <v>44.052367787898802</v>
      </c>
      <c r="O5855">
        <v>42.353066439832901</v>
      </c>
      <c r="P5855">
        <v>-7.3888740556468199E-2</v>
      </c>
      <c r="Q5855">
        <v>0.124227153435647</v>
      </c>
      <c r="R5855">
        <v>0.973148839105066</v>
      </c>
      <c r="S5855" t="s">
        <v>12257</v>
      </c>
      <c r="T5855" t="s">
        <v>12802</v>
      </c>
      <c r="U5855" t="s">
        <v>12802</v>
      </c>
      <c r="V5855" t="s">
        <v>12802</v>
      </c>
      <c r="W5855" t="s">
        <v>18588</v>
      </c>
      <c r="X5855">
        <v>5</v>
      </c>
      <c r="Y5855" t="s">
        <v>24797</v>
      </c>
      <c r="Z5855" t="s">
        <v>31173</v>
      </c>
      <c r="AA5855">
        <v>0.32971519256746901</v>
      </c>
      <c r="AB5855" t="str">
        <f>HYPERLINK("Melting_Curves/meltCurve_Q9NYH9_UTP6.pdf", "Melting_Curves/meltCurve_Q9NYH9_UTP6.pdf")</f>
        <v>Melting_Curves/meltCurve_Q9NYH9_UTP6.pdf</v>
      </c>
    </row>
    <row r="5856" spans="1:28" x14ac:dyDescent="0.25">
      <c r="A5856" t="s">
        <v>5860</v>
      </c>
      <c r="B5856">
        <v>0.99542014353169495</v>
      </c>
      <c r="C5856">
        <v>1.02541920823196</v>
      </c>
      <c r="D5856">
        <v>1.03242571670356</v>
      </c>
      <c r="E5856">
        <v>1.00554707691851</v>
      </c>
      <c r="F5856">
        <v>0.91682495517015705</v>
      </c>
      <c r="G5856">
        <v>0.68810254389609904</v>
      </c>
      <c r="H5856">
        <v>0.57980702354807401</v>
      </c>
      <c r="I5856">
        <v>0.514789503239788</v>
      </c>
      <c r="J5856">
        <v>0.79324546181526401</v>
      </c>
      <c r="K5856">
        <v>0.92623797014067299</v>
      </c>
      <c r="L5856">
        <v>12597.9976125496</v>
      </c>
      <c r="M5856">
        <v>250</v>
      </c>
      <c r="O5856">
        <v>50.3887778026264</v>
      </c>
      <c r="P5856">
        <v>-0.37156534623157</v>
      </c>
      <c r="Q5856">
        <v>0.70043649332286795</v>
      </c>
      <c r="R5856">
        <v>0.66952848481411098</v>
      </c>
      <c r="S5856" t="s">
        <v>12258</v>
      </c>
      <c r="T5856" t="s">
        <v>12802</v>
      </c>
      <c r="U5856" t="s">
        <v>12802</v>
      </c>
      <c r="V5856" t="s">
        <v>12802</v>
      </c>
      <c r="W5856" t="s">
        <v>18589</v>
      </c>
      <c r="X5856">
        <v>7</v>
      </c>
      <c r="Y5856" t="s">
        <v>24798</v>
      </c>
      <c r="Z5856" t="s">
        <v>31174</v>
      </c>
      <c r="AA5856">
        <v>0.83418803988993206</v>
      </c>
      <c r="AB5856" t="str">
        <f>HYPERLINK("Melting_Curves/meltCurve_Q9NYJ1_COA4.pdf", "Melting_Curves/meltCurve_Q9NYJ1_COA4.pdf")</f>
        <v>Melting_Curves/meltCurve_Q9NYJ1_COA4.pdf</v>
      </c>
    </row>
    <row r="5857" spans="1:28" x14ac:dyDescent="0.25">
      <c r="A5857" t="s">
        <v>5861</v>
      </c>
      <c r="B5857">
        <v>0.99542014353169495</v>
      </c>
      <c r="C5857">
        <v>0.95560359833534103</v>
      </c>
      <c r="D5857">
        <v>0.87075755197132099</v>
      </c>
      <c r="E5857">
        <v>0.59271192913052395</v>
      </c>
      <c r="F5857">
        <v>0.27662979137696803</v>
      </c>
      <c r="G5857">
        <v>0.17766710198456201</v>
      </c>
      <c r="H5857">
        <v>0.104466805832081</v>
      </c>
      <c r="I5857">
        <v>7.8841241347693103E-2</v>
      </c>
      <c r="J5857">
        <v>0.104830815408919</v>
      </c>
      <c r="K5857">
        <v>0.13867087265484501</v>
      </c>
      <c r="L5857">
        <v>945.59644569173201</v>
      </c>
      <c r="M5857">
        <v>20.1541451875378</v>
      </c>
      <c r="N5857">
        <v>47.440707738163297</v>
      </c>
      <c r="O5857">
        <v>46.463603514740399</v>
      </c>
      <c r="P5857">
        <v>-9.7650475111583299E-2</v>
      </c>
      <c r="Q5857">
        <v>9.9529868662896301E-2</v>
      </c>
      <c r="R5857">
        <v>0.99739810726004996</v>
      </c>
      <c r="S5857" t="s">
        <v>12259</v>
      </c>
      <c r="T5857" t="s">
        <v>12802</v>
      </c>
      <c r="U5857" t="s">
        <v>12802</v>
      </c>
      <c r="V5857" t="s">
        <v>12802</v>
      </c>
      <c r="W5857" t="s">
        <v>18590</v>
      </c>
      <c r="X5857">
        <v>3</v>
      </c>
      <c r="Y5857" t="s">
        <v>24799</v>
      </c>
      <c r="Z5857" t="s">
        <v>31175</v>
      </c>
      <c r="AA5857">
        <v>0.40884101925586291</v>
      </c>
      <c r="AB5857" t="str">
        <f>HYPERLINK("Melting_Curves/meltCurve_Q9NYJ8_TAB2.pdf", "Melting_Curves/meltCurve_Q9NYJ8_TAB2.pdf")</f>
        <v>Melting_Curves/meltCurve_Q9NYJ8_TAB2.pdf</v>
      </c>
    </row>
    <row r="5858" spans="1:28" x14ac:dyDescent="0.25">
      <c r="A5858" t="s">
        <v>5862</v>
      </c>
      <c r="B5858">
        <v>0.99542014353169495</v>
      </c>
      <c r="C5858">
        <v>1.00479013729404</v>
      </c>
      <c r="D5858">
        <v>1.0701289301563499</v>
      </c>
      <c r="E5858">
        <v>1.25648791079077</v>
      </c>
      <c r="F5858">
        <v>0.85448958445905698</v>
      </c>
      <c r="G5858">
        <v>0.202220061130232</v>
      </c>
      <c r="H5858">
        <v>0.131546168102427</v>
      </c>
      <c r="I5858">
        <v>7.4500240716304705E-2</v>
      </c>
      <c r="J5858">
        <v>8.4784127786334595E-2</v>
      </c>
      <c r="K5858">
        <v>6.9536404362693094E-2</v>
      </c>
      <c r="L5858">
        <v>2795.9070657861298</v>
      </c>
      <c r="M5858">
        <v>53.958800416399697</v>
      </c>
      <c r="N5858">
        <v>52.005301007086203</v>
      </c>
      <c r="O5858">
        <v>51.744584608737199</v>
      </c>
      <c r="P5858">
        <v>-0.23740788359267601</v>
      </c>
      <c r="Q5858">
        <v>8.9337781379820194E-2</v>
      </c>
      <c r="R5858">
        <v>0.96683011999858703</v>
      </c>
      <c r="S5858" t="s">
        <v>12260</v>
      </c>
      <c r="T5858" t="s">
        <v>12802</v>
      </c>
      <c r="U5858" t="s">
        <v>12802</v>
      </c>
      <c r="V5858" t="s">
        <v>12802</v>
      </c>
      <c r="W5858" t="s">
        <v>18591</v>
      </c>
      <c r="X5858">
        <v>12</v>
      </c>
      <c r="Y5858" t="s">
        <v>24800</v>
      </c>
      <c r="Z5858" t="s">
        <v>31176</v>
      </c>
      <c r="AA5858">
        <v>0.54085657636949847</v>
      </c>
      <c r="AB5858" t="str">
        <f>HYPERLINK("Melting_Curves/meltCurve_Q9NYK5_MRPL39.pdf", "Melting_Curves/meltCurve_Q9NYK5_MRPL39.pdf")</f>
        <v>Melting_Curves/meltCurve_Q9NYK5_MRPL39.pdf</v>
      </c>
    </row>
    <row r="5859" spans="1:28" x14ac:dyDescent="0.25">
      <c r="A5859" t="s">
        <v>5863</v>
      </c>
      <c r="B5859">
        <v>0.99542014353169495</v>
      </c>
      <c r="C5859">
        <v>1.02538740523921</v>
      </c>
      <c r="D5859">
        <v>1.0042143862723001</v>
      </c>
      <c r="E5859">
        <v>0.81169402169504101</v>
      </c>
      <c r="F5859">
        <v>0.54257226925388702</v>
      </c>
      <c r="G5859">
        <v>0.29499037887122598</v>
      </c>
      <c r="H5859">
        <v>0.130475228710728</v>
      </c>
      <c r="I5859">
        <v>8.0526029670279498E-2</v>
      </c>
      <c r="J5859">
        <v>8.08545827139239E-2</v>
      </c>
      <c r="K5859">
        <v>8.6681339024136494E-2</v>
      </c>
      <c r="L5859">
        <v>963.71104691819698</v>
      </c>
      <c r="M5859">
        <v>19.147796340741301</v>
      </c>
      <c r="N5859">
        <v>50.694470042097997</v>
      </c>
      <c r="O5859">
        <v>49.790821935510699</v>
      </c>
      <c r="P5859">
        <v>-8.9964068669481104E-2</v>
      </c>
      <c r="Q5859">
        <v>6.4286971797381201E-2</v>
      </c>
      <c r="R5859">
        <v>0.99742225905263904</v>
      </c>
      <c r="S5859" t="s">
        <v>12261</v>
      </c>
      <c r="T5859" t="s">
        <v>12802</v>
      </c>
      <c r="U5859" t="s">
        <v>12802</v>
      </c>
      <c r="V5859" t="s">
        <v>12802</v>
      </c>
      <c r="W5859" t="s">
        <v>18592</v>
      </c>
      <c r="X5859">
        <v>10</v>
      </c>
      <c r="Y5859" t="s">
        <v>24801</v>
      </c>
      <c r="Z5859" t="s">
        <v>31177</v>
      </c>
      <c r="AA5859">
        <v>0.49331433442115791</v>
      </c>
      <c r="AB5859" t="str">
        <f>HYPERLINK("Melting_Curves/meltCurve_Q9NYL2_MLTK.pdf", "Melting_Curves/meltCurve_Q9NYL2_MLTK.pdf")</f>
        <v>Melting_Curves/meltCurve_Q9NYL2_MLTK.pdf</v>
      </c>
    </row>
    <row r="5860" spans="1:28" x14ac:dyDescent="0.25">
      <c r="A5860" t="s">
        <v>5864</v>
      </c>
      <c r="B5860">
        <v>0.99542014353169495</v>
      </c>
      <c r="C5860">
        <v>1.20856250205996</v>
      </c>
      <c r="D5860">
        <v>1.0106901199788501</v>
      </c>
      <c r="E5860">
        <v>0.846713674867696</v>
      </c>
      <c r="F5860">
        <v>0.79474540639811997</v>
      </c>
      <c r="G5860">
        <v>0.400605611620866</v>
      </c>
      <c r="H5860">
        <v>0.134457456235413</v>
      </c>
      <c r="I5860">
        <v>3.7428838930726703E-2</v>
      </c>
      <c r="J5860">
        <v>7.7288981579128793E-2</v>
      </c>
      <c r="K5860">
        <v>4.1556091137953902E-2</v>
      </c>
      <c r="L5860">
        <v>1194.56854191825</v>
      </c>
      <c r="M5860">
        <v>22.691039269498901</v>
      </c>
      <c r="N5860">
        <v>52.771625530517802</v>
      </c>
      <c r="O5860">
        <v>52.241191844812903</v>
      </c>
      <c r="P5860">
        <v>-0.105712092751059</v>
      </c>
      <c r="Q5860">
        <v>2.65028980697504E-2</v>
      </c>
      <c r="R5860">
        <v>0.969454538004627</v>
      </c>
      <c r="S5860" t="s">
        <v>12262</v>
      </c>
      <c r="T5860" t="s">
        <v>12802</v>
      </c>
      <c r="U5860" t="s">
        <v>12802</v>
      </c>
      <c r="V5860" t="s">
        <v>12802</v>
      </c>
      <c r="W5860" t="s">
        <v>18593</v>
      </c>
      <c r="X5860">
        <v>8</v>
      </c>
      <c r="Y5860" t="s">
        <v>24801</v>
      </c>
      <c r="Z5860" t="s">
        <v>31178</v>
      </c>
      <c r="AA5860">
        <v>0.54434168405615835</v>
      </c>
      <c r="AB5860" t="str">
        <f>HYPERLINK("Melting_Curves/meltCurve_Q9NYL2_2_MLTK.pdf", "Melting_Curves/meltCurve_Q9NYL2_2_MLTK.pdf")</f>
        <v>Melting_Curves/meltCurve_Q9NYL2_2_MLTK.pdf</v>
      </c>
    </row>
    <row r="5861" spans="1:28" x14ac:dyDescent="0.25">
      <c r="A5861" t="s">
        <v>5865</v>
      </c>
      <c r="B5861">
        <v>0.99542014353169495</v>
      </c>
      <c r="C5861">
        <v>0.81267457479998295</v>
      </c>
      <c r="D5861">
        <v>0.78358430576772398</v>
      </c>
      <c r="E5861">
        <v>0.41006482605286898</v>
      </c>
      <c r="F5861">
        <v>0.18702512587682399</v>
      </c>
      <c r="G5861">
        <v>0.104363749157711</v>
      </c>
      <c r="H5861">
        <v>7.2408389925012001E-2</v>
      </c>
      <c r="I5861">
        <v>4.66983904925697E-2</v>
      </c>
      <c r="J5861">
        <v>5.73051178017095E-2</v>
      </c>
      <c r="K5861">
        <v>6.5471550553153901E-2</v>
      </c>
      <c r="L5861">
        <v>743.63817360552798</v>
      </c>
      <c r="M5861">
        <v>16.397578033315199</v>
      </c>
      <c r="N5861">
        <v>45.596590475507</v>
      </c>
      <c r="O5861">
        <v>44.692096122904701</v>
      </c>
      <c r="P5861">
        <v>-8.7846937965510893E-2</v>
      </c>
      <c r="Q5861">
        <v>4.2350233726352E-2</v>
      </c>
      <c r="R5861">
        <v>0.98871627436779597</v>
      </c>
      <c r="S5861" t="s">
        <v>12263</v>
      </c>
      <c r="T5861" t="s">
        <v>12802</v>
      </c>
      <c r="U5861" t="s">
        <v>12802</v>
      </c>
      <c r="V5861" t="s">
        <v>12802</v>
      </c>
      <c r="W5861" t="s">
        <v>18594</v>
      </c>
      <c r="X5861">
        <v>10</v>
      </c>
      <c r="Y5861" t="s">
        <v>24802</v>
      </c>
      <c r="Z5861" t="s">
        <v>31179</v>
      </c>
      <c r="AA5861">
        <v>0.32776866187636439</v>
      </c>
      <c r="AB5861" t="str">
        <f>HYPERLINK("Melting_Curves/meltCurve_Q9NYL9_TMOD3.pdf", "Melting_Curves/meltCurve_Q9NYL9_TMOD3.pdf")</f>
        <v>Melting_Curves/meltCurve_Q9NYL9_TMOD3.pdf</v>
      </c>
    </row>
    <row r="5862" spans="1:28" x14ac:dyDescent="0.25">
      <c r="A5862" t="s">
        <v>5866</v>
      </c>
      <c r="B5862">
        <v>0.99542014353169495</v>
      </c>
      <c r="C5862">
        <v>0.96255684017209597</v>
      </c>
      <c r="D5862">
        <v>1.0465236829370901</v>
      </c>
      <c r="E5862">
        <v>0.86744748853345699</v>
      </c>
      <c r="F5862">
        <v>0.723176363651859</v>
      </c>
      <c r="G5862">
        <v>0.31754487465263398</v>
      </c>
      <c r="H5862">
        <v>0.173452563501168</v>
      </c>
      <c r="I5862">
        <v>0.12904037339197499</v>
      </c>
      <c r="J5862">
        <v>0.115574510953653</v>
      </c>
      <c r="K5862">
        <v>8.9002034260552296E-2</v>
      </c>
      <c r="L5862">
        <v>1206.1137821705699</v>
      </c>
      <c r="M5862">
        <v>23.399019990489499</v>
      </c>
      <c r="N5862">
        <v>52.020070854841101</v>
      </c>
      <c r="O5862">
        <v>51.173426572372499</v>
      </c>
      <c r="P5862">
        <v>-0.103327287151237</v>
      </c>
      <c r="Q5862">
        <v>9.6112763325725395E-2</v>
      </c>
      <c r="R5862">
        <v>0.99293745550354595</v>
      </c>
      <c r="S5862" t="s">
        <v>12264</v>
      </c>
      <c r="T5862" t="s">
        <v>12802</v>
      </c>
      <c r="U5862" t="s">
        <v>12802</v>
      </c>
      <c r="V5862" t="s">
        <v>12802</v>
      </c>
      <c r="W5862" t="s">
        <v>18595</v>
      </c>
      <c r="X5862">
        <v>8</v>
      </c>
      <c r="Y5862" t="s">
        <v>24803</v>
      </c>
      <c r="Z5862" t="s">
        <v>31180</v>
      </c>
      <c r="AA5862">
        <v>0.54337224272761719</v>
      </c>
      <c r="AB5862" t="str">
        <f>HYPERLINK("Melting_Curves/meltCurve_Q9NYP9_MIS18A.pdf", "Melting_Curves/meltCurve_Q9NYP9_MIS18A.pdf")</f>
        <v>Melting_Curves/meltCurve_Q9NYP9_MIS18A.pdf</v>
      </c>
    </row>
    <row r="5863" spans="1:28" x14ac:dyDescent="0.25">
      <c r="A5863" t="s">
        <v>5867</v>
      </c>
      <c r="B5863">
        <v>0.99542014353169495</v>
      </c>
      <c r="C5863">
        <v>0.89395964576138998</v>
      </c>
      <c r="D5863">
        <v>0.88205900941325999</v>
      </c>
      <c r="E5863">
        <v>0.72316484464460495</v>
      </c>
      <c r="F5863">
        <v>0.60139544978295001</v>
      </c>
      <c r="G5863">
        <v>0.188068857071018</v>
      </c>
      <c r="H5863">
        <v>7.8954056039224799E-2</v>
      </c>
      <c r="I5863">
        <v>4.98198096122855E-2</v>
      </c>
      <c r="J5863">
        <v>4.7422718635325899E-2</v>
      </c>
      <c r="K5863">
        <v>5.0811607269681702E-2</v>
      </c>
      <c r="L5863">
        <v>760.34636945124305</v>
      </c>
      <c r="M5863">
        <v>15.1935894192149</v>
      </c>
      <c r="N5863">
        <v>50.043900031109899</v>
      </c>
      <c r="O5863">
        <v>49.201013794052201</v>
      </c>
      <c r="P5863">
        <v>-7.7209063382593798E-2</v>
      </c>
      <c r="Q5863">
        <v>0</v>
      </c>
      <c r="R5863">
        <v>0.97894420982819697</v>
      </c>
      <c r="S5863" t="s">
        <v>12265</v>
      </c>
      <c r="T5863" t="s">
        <v>12802</v>
      </c>
      <c r="U5863" t="s">
        <v>12802</v>
      </c>
      <c r="V5863" t="s">
        <v>12802</v>
      </c>
      <c r="W5863" t="s">
        <v>18596</v>
      </c>
      <c r="X5863">
        <v>34</v>
      </c>
      <c r="Y5863" t="s">
        <v>24804</v>
      </c>
      <c r="Z5863" t="s">
        <v>31181</v>
      </c>
      <c r="AA5863">
        <v>0.45528530754144358</v>
      </c>
      <c r="AB5863" t="str">
        <f>HYPERLINK("Melting_Curves/meltCurve_Q9NYU2_2_UGGT1.pdf", "Melting_Curves/meltCurve_Q9NYU2_2_UGGT1.pdf")</f>
        <v>Melting_Curves/meltCurve_Q9NYU2_2_UGGT1.pdf</v>
      </c>
    </row>
    <row r="5864" spans="1:28" x14ac:dyDescent="0.25">
      <c r="A5864" t="s">
        <v>5868</v>
      </c>
      <c r="B5864">
        <v>0.99542014353169495</v>
      </c>
      <c r="C5864">
        <v>0.94283041076743501</v>
      </c>
      <c r="D5864">
        <v>0.91753040289258103</v>
      </c>
      <c r="E5864">
        <v>0.79544739592790503</v>
      </c>
      <c r="F5864">
        <v>0.50883128724410998</v>
      </c>
      <c r="G5864">
        <v>0.29536232433042298</v>
      </c>
      <c r="H5864">
        <v>0.11393080902085399</v>
      </c>
      <c r="I5864">
        <v>4.4786199850480699E-2</v>
      </c>
      <c r="J5864">
        <v>5.3741361382471202E-2</v>
      </c>
      <c r="K5864">
        <v>4.3655709961982599E-2</v>
      </c>
      <c r="L5864">
        <v>778.55621177683599</v>
      </c>
      <c r="M5864">
        <v>15.455524543159299</v>
      </c>
      <c r="N5864">
        <v>50.411007876562103</v>
      </c>
      <c r="O5864">
        <v>49.553258653124097</v>
      </c>
      <c r="P5864">
        <v>-7.7541177857113494E-2</v>
      </c>
      <c r="Q5864">
        <v>5.6441388400855202E-3</v>
      </c>
      <c r="R5864">
        <v>0.99725401953303905</v>
      </c>
      <c r="S5864" t="s">
        <v>12266</v>
      </c>
      <c r="T5864" t="s">
        <v>12802</v>
      </c>
      <c r="U5864" t="s">
        <v>12802</v>
      </c>
      <c r="V5864" t="s">
        <v>12802</v>
      </c>
      <c r="W5864" t="s">
        <v>18597</v>
      </c>
      <c r="X5864">
        <v>17</v>
      </c>
      <c r="Y5864" t="s">
        <v>24805</v>
      </c>
      <c r="Z5864" t="s">
        <v>31182</v>
      </c>
      <c r="AA5864">
        <v>0.46859648505823881</v>
      </c>
      <c r="AB5864" t="str">
        <f>HYPERLINK("Melting_Curves/meltCurve_Q9NYV4_2_CDK12.pdf", "Melting_Curves/meltCurve_Q9NYV4_2_CDK12.pdf")</f>
        <v>Melting_Curves/meltCurve_Q9NYV4_2_CDK12.pdf</v>
      </c>
    </row>
    <row r="5865" spans="1:28" x14ac:dyDescent="0.25">
      <c r="A5865" t="s">
        <v>5869</v>
      </c>
      <c r="B5865">
        <v>0.99542014353169495</v>
      </c>
      <c r="C5865">
        <v>1.0143411676391401</v>
      </c>
      <c r="D5865">
        <v>0.90559861924607499</v>
      </c>
      <c r="E5865">
        <v>0.76281814534701597</v>
      </c>
      <c r="F5865">
        <v>0.49256880102550399</v>
      </c>
      <c r="G5865">
        <v>0.16496081883140401</v>
      </c>
      <c r="H5865">
        <v>7.7589625753874306E-2</v>
      </c>
      <c r="I5865">
        <v>5.56922168689582E-2</v>
      </c>
      <c r="J5865">
        <v>6.5569102934202303E-2</v>
      </c>
      <c r="K5865">
        <v>5.5047028623296801E-2</v>
      </c>
      <c r="L5865">
        <v>952.86507304278098</v>
      </c>
      <c r="M5865">
        <v>19.261782603005301</v>
      </c>
      <c r="N5865">
        <v>49.652426955593697</v>
      </c>
      <c r="O5865">
        <v>48.945257195105803</v>
      </c>
      <c r="P5865">
        <v>-9.5012822632159794E-2</v>
      </c>
      <c r="Q5865">
        <v>3.4305080411806202E-2</v>
      </c>
      <c r="R5865">
        <v>0.99568175397638803</v>
      </c>
      <c r="S5865" t="s">
        <v>12267</v>
      </c>
      <c r="T5865" t="s">
        <v>12802</v>
      </c>
      <c r="U5865" t="s">
        <v>12802</v>
      </c>
      <c r="V5865" t="s">
        <v>12802</v>
      </c>
      <c r="W5865" t="s">
        <v>18598</v>
      </c>
      <c r="X5865">
        <v>14</v>
      </c>
      <c r="Y5865" t="s">
        <v>24806</v>
      </c>
      <c r="Z5865" t="s">
        <v>31183</v>
      </c>
      <c r="AA5865">
        <v>0.44929221846134088</v>
      </c>
      <c r="AB5865" t="str">
        <f>HYPERLINK("Melting_Curves/meltCurve_Q9NYY8_FASTKD2.pdf", "Melting_Curves/meltCurve_Q9NYY8_FASTKD2.pdf")</f>
        <v>Melting_Curves/meltCurve_Q9NYY8_FASTKD2.pdf</v>
      </c>
    </row>
    <row r="5866" spans="1:28" x14ac:dyDescent="0.25">
      <c r="A5866" t="s">
        <v>5870</v>
      </c>
      <c r="B5866">
        <v>0.99542014353169495</v>
      </c>
      <c r="C5866">
        <v>1.1261286633545</v>
      </c>
      <c r="D5866">
        <v>1.16009011112634</v>
      </c>
      <c r="E5866">
        <v>0.77301135051681202</v>
      </c>
      <c r="F5866">
        <v>1.0399620926088899</v>
      </c>
      <c r="G5866">
        <v>0.59505962626325304</v>
      </c>
      <c r="H5866">
        <v>0.46755921560701502</v>
      </c>
      <c r="I5866">
        <v>0.14493780505463399</v>
      </c>
      <c r="J5866">
        <v>0.55754708516618701</v>
      </c>
      <c r="K5866">
        <v>0.67920252715942098</v>
      </c>
      <c r="S5866" t="s">
        <v>12268</v>
      </c>
      <c r="T5866" t="s">
        <v>12802</v>
      </c>
      <c r="U5866" t="s">
        <v>12803</v>
      </c>
      <c r="V5866" t="s">
        <v>12802</v>
      </c>
      <c r="W5866" t="s">
        <v>18599</v>
      </c>
      <c r="X5866">
        <v>1</v>
      </c>
      <c r="Y5866" t="s">
        <v>24807</v>
      </c>
      <c r="Z5866" t="s">
        <v>31184</v>
      </c>
      <c r="AB5866" t="str">
        <f>HYPERLINK("Melting_Curves/meltCurve_Q9NYZ2_4_SLC25A37.pdf", "Melting_Curves/meltCurve_Q9NYZ2_4_SLC25A37.pdf")</f>
        <v>Melting_Curves/meltCurve_Q9NYZ2_4_SLC25A37.pdf</v>
      </c>
    </row>
    <row r="5867" spans="1:28" x14ac:dyDescent="0.25">
      <c r="A5867" t="s">
        <v>5871</v>
      </c>
      <c r="B5867">
        <v>0.99542014353169495</v>
      </c>
      <c r="C5867">
        <v>0.82212974799966798</v>
      </c>
      <c r="D5867">
        <v>0.63965185203146002</v>
      </c>
      <c r="E5867">
        <v>0.332938169662784</v>
      </c>
      <c r="F5867">
        <v>0.22805197515474199</v>
      </c>
      <c r="G5867">
        <v>0.17506770557468401</v>
      </c>
      <c r="H5867">
        <v>0.116680809394591</v>
      </c>
      <c r="I5867">
        <v>6.7762517315766699E-2</v>
      </c>
      <c r="J5867">
        <v>9.1375540736131494E-2</v>
      </c>
      <c r="K5867">
        <v>9.6505050566571701E-2</v>
      </c>
      <c r="L5867">
        <v>674.46109878611503</v>
      </c>
      <c r="M5867">
        <v>15.3246910361033</v>
      </c>
      <c r="N5867">
        <v>44.581062963042498</v>
      </c>
      <c r="O5867">
        <v>43.282401259168097</v>
      </c>
      <c r="P5867">
        <v>-8.0652606811363395E-2</v>
      </c>
      <c r="Q5867">
        <v>8.8917880334450305E-2</v>
      </c>
      <c r="R5867">
        <v>0.99419752259773397</v>
      </c>
      <c r="S5867" t="s">
        <v>12269</v>
      </c>
      <c r="T5867" t="s">
        <v>12802</v>
      </c>
      <c r="U5867" t="s">
        <v>12802</v>
      </c>
      <c r="V5867" t="s">
        <v>12802</v>
      </c>
      <c r="W5867" t="s">
        <v>18600</v>
      </c>
      <c r="X5867">
        <v>5</v>
      </c>
      <c r="Y5867" t="s">
        <v>24808</v>
      </c>
      <c r="Z5867" t="s">
        <v>31185</v>
      </c>
      <c r="AA5867">
        <v>0.32347958080941602</v>
      </c>
      <c r="AB5867" t="str">
        <f>HYPERLINK("Melting_Curves/meltCurve_Q9NYZ3_GTSE1.pdf", "Melting_Curves/meltCurve_Q9NYZ3_GTSE1.pdf")</f>
        <v>Melting_Curves/meltCurve_Q9NYZ3_GTSE1.pdf</v>
      </c>
    </row>
    <row r="5868" spans="1:28" x14ac:dyDescent="0.25">
      <c r="A5868" t="s">
        <v>5872</v>
      </c>
      <c r="B5868">
        <v>0.99542014353169495</v>
      </c>
      <c r="C5868">
        <v>0.83735380092428202</v>
      </c>
      <c r="D5868">
        <v>0.95715475397371297</v>
      </c>
      <c r="E5868">
        <v>0.76657152606497503</v>
      </c>
      <c r="F5868">
        <v>0.552177238343315</v>
      </c>
      <c r="G5868">
        <v>0.20621830660181201</v>
      </c>
      <c r="H5868">
        <v>0.14464293292833799</v>
      </c>
      <c r="I5868">
        <v>0.102395936578153</v>
      </c>
      <c r="J5868">
        <v>0.100761582959599</v>
      </c>
      <c r="K5868">
        <v>9.8051197195736406E-2</v>
      </c>
      <c r="L5868">
        <v>884.03678095667203</v>
      </c>
      <c r="M5868">
        <v>17.7799552387437</v>
      </c>
      <c r="N5868">
        <v>50.1585458097531</v>
      </c>
      <c r="O5868">
        <v>49.104805278291401</v>
      </c>
      <c r="P5868">
        <v>-8.40219876384313E-2</v>
      </c>
      <c r="Q5868">
        <v>7.1838009790434795E-2</v>
      </c>
      <c r="R5868">
        <v>0.97735543860275098</v>
      </c>
      <c r="S5868" t="s">
        <v>12270</v>
      </c>
      <c r="T5868" t="s">
        <v>12802</v>
      </c>
      <c r="U5868" t="s">
        <v>12802</v>
      </c>
      <c r="V5868" t="s">
        <v>12802</v>
      </c>
      <c r="W5868" t="s">
        <v>18601</v>
      </c>
      <c r="X5868">
        <v>6</v>
      </c>
      <c r="Y5868" t="s">
        <v>24809</v>
      </c>
      <c r="Z5868" t="s">
        <v>31186</v>
      </c>
      <c r="AA5868">
        <v>0.48038155396923071</v>
      </c>
      <c r="AB5868" t="str">
        <f>HYPERLINK("Melting_Curves/meltCurve_Q9NZ01_TECR.pdf", "Melting_Curves/meltCurve_Q9NZ01_TECR.pdf")</f>
        <v>Melting_Curves/meltCurve_Q9NZ01_TECR.pdf</v>
      </c>
    </row>
    <row r="5869" spans="1:28" x14ac:dyDescent="0.25">
      <c r="A5869" t="s">
        <v>5873</v>
      </c>
      <c r="B5869">
        <v>0.99542014353169495</v>
      </c>
      <c r="C5869">
        <v>0.94538147366343595</v>
      </c>
      <c r="D5869">
        <v>0.88015019419808704</v>
      </c>
      <c r="E5869">
        <v>0.77186182368985801</v>
      </c>
      <c r="F5869">
        <v>0.53515535902201905</v>
      </c>
      <c r="G5869">
        <v>0.153661221275637</v>
      </c>
      <c r="H5869">
        <v>0.104170831479287</v>
      </c>
      <c r="I5869">
        <v>7.8674812536602703E-2</v>
      </c>
      <c r="J5869">
        <v>8.9352653262891699E-2</v>
      </c>
      <c r="K5869">
        <v>6.3812215816345594E-2</v>
      </c>
      <c r="L5869">
        <v>912.13666902281</v>
      </c>
      <c r="M5869">
        <v>18.399228099191301</v>
      </c>
      <c r="N5869">
        <v>49.837053229305802</v>
      </c>
      <c r="O5869">
        <v>49.000242857500901</v>
      </c>
      <c r="P5869">
        <v>-8.9544944875228003E-2</v>
      </c>
      <c r="Q5869">
        <v>4.6150095360153201E-2</v>
      </c>
      <c r="R5869">
        <v>0.98813391145870499</v>
      </c>
      <c r="S5869" t="s">
        <v>12271</v>
      </c>
      <c r="T5869" t="s">
        <v>12802</v>
      </c>
      <c r="U5869" t="s">
        <v>12802</v>
      </c>
      <c r="V5869" t="s">
        <v>12802</v>
      </c>
      <c r="W5869" t="s">
        <v>18602</v>
      </c>
      <c r="X5869">
        <v>19</v>
      </c>
      <c r="Y5869" t="s">
        <v>24810</v>
      </c>
      <c r="Z5869" t="s">
        <v>31187</v>
      </c>
      <c r="AA5869">
        <v>0.46050631314211421</v>
      </c>
      <c r="AB5869" t="str">
        <f>HYPERLINK("Melting_Curves/meltCurve_Q9NZ08_ERAP1.pdf", "Melting_Curves/meltCurve_Q9NZ08_ERAP1.pdf")</f>
        <v>Melting_Curves/meltCurve_Q9NZ08_ERAP1.pdf</v>
      </c>
    </row>
    <row r="5870" spans="1:28" x14ac:dyDescent="0.25">
      <c r="A5870" t="s">
        <v>5874</v>
      </c>
      <c r="B5870">
        <v>0.99542014353169495</v>
      </c>
      <c r="C5870">
        <v>0.99994984194804404</v>
      </c>
      <c r="D5870">
        <v>0.85267068823945502</v>
      </c>
      <c r="E5870">
        <v>0.67320295470950398</v>
      </c>
      <c r="F5870">
        <v>0.31195027632082001</v>
      </c>
      <c r="G5870">
        <v>0.14387277446448099</v>
      </c>
      <c r="H5870">
        <v>7.2415306781353897E-2</v>
      </c>
      <c r="I5870">
        <v>5.9585020405563703E-2</v>
      </c>
      <c r="J5870">
        <v>8.55390035702914E-2</v>
      </c>
      <c r="K5870">
        <v>7.9212626348058895E-2</v>
      </c>
      <c r="L5870">
        <v>938.02953086865705</v>
      </c>
      <c r="M5870">
        <v>19.6413261821444</v>
      </c>
      <c r="N5870">
        <v>48.063720256031203</v>
      </c>
      <c r="O5870">
        <v>47.271180918243601</v>
      </c>
      <c r="P5870">
        <v>-9.7778572390563798E-2</v>
      </c>
      <c r="Q5870">
        <v>5.8730534516879297E-2</v>
      </c>
      <c r="R5870">
        <v>0.99639185022156396</v>
      </c>
      <c r="S5870" t="s">
        <v>12272</v>
      </c>
      <c r="T5870" t="s">
        <v>12802</v>
      </c>
      <c r="U5870" t="s">
        <v>12802</v>
      </c>
      <c r="V5870" t="s">
        <v>12802</v>
      </c>
      <c r="W5870" t="s">
        <v>18603</v>
      </c>
      <c r="X5870">
        <v>4</v>
      </c>
      <c r="Y5870" t="s">
        <v>24811</v>
      </c>
      <c r="Z5870" t="s">
        <v>31188</v>
      </c>
      <c r="AA5870">
        <v>0.40905710613309648</v>
      </c>
      <c r="AB5870" t="str">
        <f>HYPERLINK("Melting_Curves/meltCurve_Q9NZ09_2_UBAP1.pdf", "Melting_Curves/meltCurve_Q9NZ09_2_UBAP1.pdf")</f>
        <v>Melting_Curves/meltCurve_Q9NZ09_2_UBAP1.pdf</v>
      </c>
    </row>
    <row r="5871" spans="1:28" x14ac:dyDescent="0.25">
      <c r="A5871" t="s">
        <v>5875</v>
      </c>
      <c r="B5871">
        <v>0.99542014353169495</v>
      </c>
      <c r="C5871">
        <v>0.80869904570693996</v>
      </c>
      <c r="D5871">
        <v>0.85313594404193605</v>
      </c>
      <c r="E5871">
        <v>0.668026167305935</v>
      </c>
      <c r="F5871">
        <v>0.516029627696032</v>
      </c>
      <c r="G5871">
        <v>0.25218402423019098</v>
      </c>
      <c r="H5871">
        <v>0.19465223501017201</v>
      </c>
      <c r="I5871">
        <v>0.19004287574468501</v>
      </c>
      <c r="J5871">
        <v>0.29134770997954201</v>
      </c>
      <c r="K5871">
        <v>0.20496934814695</v>
      </c>
      <c r="L5871">
        <v>598.39859915833699</v>
      </c>
      <c r="M5871">
        <v>12.572125344200799</v>
      </c>
      <c r="N5871">
        <v>49.2331470504393</v>
      </c>
      <c r="O5871">
        <v>46.441160456515803</v>
      </c>
      <c r="P5871">
        <v>-5.61341989419974E-2</v>
      </c>
      <c r="Q5871">
        <v>0.17073276956202399</v>
      </c>
      <c r="R5871">
        <v>0.95482061992549805</v>
      </c>
      <c r="S5871" t="s">
        <v>12273</v>
      </c>
      <c r="T5871" t="s">
        <v>12802</v>
      </c>
      <c r="U5871" t="s">
        <v>12802</v>
      </c>
      <c r="V5871" t="s">
        <v>12802</v>
      </c>
      <c r="W5871" t="s">
        <v>18604</v>
      </c>
      <c r="X5871">
        <v>9</v>
      </c>
      <c r="Y5871" t="s">
        <v>24812</v>
      </c>
      <c r="Z5871" t="s">
        <v>31189</v>
      </c>
      <c r="AA5871">
        <v>0.48831113573178547</v>
      </c>
      <c r="AB5871" t="str">
        <f>HYPERLINK("Melting_Curves/meltCurve_Q9NZ32_ACTR10.pdf", "Melting_Curves/meltCurve_Q9NZ32_ACTR10.pdf")</f>
        <v>Melting_Curves/meltCurve_Q9NZ32_ACTR10.pdf</v>
      </c>
    </row>
    <row r="5872" spans="1:28" x14ac:dyDescent="0.25">
      <c r="A5872" t="s">
        <v>5876</v>
      </c>
      <c r="B5872">
        <v>0.99542014353169495</v>
      </c>
      <c r="C5872">
        <v>0.92624585018934402</v>
      </c>
      <c r="D5872">
        <v>0.85724269873065895</v>
      </c>
      <c r="E5872">
        <v>0.71605860471302096</v>
      </c>
      <c r="F5872">
        <v>0.44657950322163698</v>
      </c>
      <c r="G5872">
        <v>0.31904043391058801</v>
      </c>
      <c r="H5872">
        <v>0.22616872564728999</v>
      </c>
      <c r="I5872">
        <v>0.21700099906919099</v>
      </c>
      <c r="J5872">
        <v>0.30755784613959603</v>
      </c>
      <c r="K5872">
        <v>0.39294936929215202</v>
      </c>
      <c r="L5872">
        <v>888.52993750212397</v>
      </c>
      <c r="M5872">
        <v>18.8679884631884</v>
      </c>
      <c r="N5872">
        <v>49.172623216991497</v>
      </c>
      <c r="O5872">
        <v>46.572529934895698</v>
      </c>
      <c r="P5872">
        <v>-7.3435961466901706E-2</v>
      </c>
      <c r="Q5872">
        <v>0.27497166105167098</v>
      </c>
      <c r="R5872">
        <v>0.96339613656794698</v>
      </c>
      <c r="S5872" t="s">
        <v>12274</v>
      </c>
      <c r="T5872" t="s">
        <v>12802</v>
      </c>
      <c r="U5872" t="s">
        <v>12802</v>
      </c>
      <c r="V5872" t="s">
        <v>12802</v>
      </c>
      <c r="W5872" t="s">
        <v>18605</v>
      </c>
      <c r="X5872">
        <v>8</v>
      </c>
      <c r="Y5872" t="s">
        <v>24813</v>
      </c>
      <c r="Z5872" t="s">
        <v>31190</v>
      </c>
      <c r="AA5872">
        <v>0.52950003264805956</v>
      </c>
      <c r="AB5872" t="str">
        <f>HYPERLINK("Melting_Curves/meltCurve_Q9NZ43_USE1.pdf", "Melting_Curves/meltCurve_Q9NZ43_USE1.pdf")</f>
        <v>Melting_Curves/meltCurve_Q9NZ43_USE1.pdf</v>
      </c>
    </row>
    <row r="5873" spans="1:28" x14ac:dyDescent="0.25">
      <c r="A5873" t="s">
        <v>5877</v>
      </c>
      <c r="B5873">
        <v>0.99542014353169495</v>
      </c>
      <c r="C5873">
        <v>0.93236207120169401</v>
      </c>
      <c r="D5873">
        <v>0.996473511661494</v>
      </c>
      <c r="E5873">
        <v>0.88355590664559203</v>
      </c>
      <c r="F5873">
        <v>0.73734163588882995</v>
      </c>
      <c r="G5873">
        <v>0.46599276968224901</v>
      </c>
      <c r="H5873">
        <v>0.386564441258895</v>
      </c>
      <c r="I5873">
        <v>0.390361443232217</v>
      </c>
      <c r="J5873">
        <v>0.50872142243639096</v>
      </c>
      <c r="K5873">
        <v>0.64880747066434097</v>
      </c>
      <c r="L5873">
        <v>1557.7254345423501</v>
      </c>
      <c r="M5873">
        <v>31.382552333181799</v>
      </c>
      <c r="N5873">
        <v>54.8655923718228</v>
      </c>
      <c r="O5873">
        <v>49.436431099785104</v>
      </c>
      <c r="P5873">
        <v>-8.3338082935041594E-2</v>
      </c>
      <c r="Q5873">
        <v>0.47487831955397197</v>
      </c>
      <c r="R5873">
        <v>0.89069222973314999</v>
      </c>
      <c r="S5873" t="s">
        <v>12275</v>
      </c>
      <c r="T5873" t="s">
        <v>12802</v>
      </c>
      <c r="U5873" t="s">
        <v>12802</v>
      </c>
      <c r="V5873" t="s">
        <v>12802</v>
      </c>
      <c r="W5873" t="s">
        <v>18606</v>
      </c>
      <c r="X5873">
        <v>7</v>
      </c>
      <c r="Y5873" t="s">
        <v>24814</v>
      </c>
      <c r="Z5873" t="s">
        <v>31191</v>
      </c>
      <c r="AA5873">
        <v>0.69899975679069659</v>
      </c>
      <c r="AB5873" t="str">
        <f>HYPERLINK("Melting_Curves/meltCurve_Q9NZ45_CISD1.pdf", "Melting_Curves/meltCurve_Q9NZ45_CISD1.pdf")</f>
        <v>Melting_Curves/meltCurve_Q9NZ45_CISD1.pdf</v>
      </c>
    </row>
    <row r="5874" spans="1:28" x14ac:dyDescent="0.25">
      <c r="A5874" t="s">
        <v>5878</v>
      </c>
      <c r="B5874">
        <v>0.99542014353169495</v>
      </c>
      <c r="C5874">
        <v>1.0847715073715301</v>
      </c>
      <c r="D5874">
        <v>0.92869330128307304</v>
      </c>
      <c r="E5874">
        <v>0.87210843560846296</v>
      </c>
      <c r="F5874">
        <v>0.88803694875496497</v>
      </c>
      <c r="G5874">
        <v>0.54795880246586004</v>
      </c>
      <c r="H5874">
        <v>0.67479176154273601</v>
      </c>
      <c r="I5874">
        <v>0.31397742592578598</v>
      </c>
      <c r="J5874">
        <v>0.40041019535248101</v>
      </c>
      <c r="K5874">
        <v>0.54398391922311096</v>
      </c>
      <c r="L5874">
        <v>873.59456027814394</v>
      </c>
      <c r="M5874">
        <v>16.727619379433499</v>
      </c>
      <c r="N5874">
        <v>58.762223460019698</v>
      </c>
      <c r="O5874">
        <v>51.495432109136203</v>
      </c>
      <c r="P5874">
        <v>-4.6922310579550597E-2</v>
      </c>
      <c r="Q5874">
        <v>0.42224287145322298</v>
      </c>
      <c r="R5874">
        <v>0.85759696297063603</v>
      </c>
      <c r="S5874" t="s">
        <v>12276</v>
      </c>
      <c r="T5874" t="s">
        <v>12802</v>
      </c>
      <c r="U5874" t="s">
        <v>12802</v>
      </c>
      <c r="V5874" t="s">
        <v>12802</v>
      </c>
      <c r="W5874" t="s">
        <v>18607</v>
      </c>
      <c r="X5874">
        <v>3</v>
      </c>
      <c r="Y5874" t="s">
        <v>24815</v>
      </c>
      <c r="Z5874" t="s">
        <v>31192</v>
      </c>
      <c r="AA5874">
        <v>0.72501599239574988</v>
      </c>
      <c r="AB5874" t="str">
        <f>HYPERLINK("Melting_Curves/meltCurve_Q9NZ53_PODXL2.pdf", "Melting_Curves/meltCurve_Q9NZ53_PODXL2.pdf")</f>
        <v>Melting_Curves/meltCurve_Q9NZ53_PODXL2.pdf</v>
      </c>
    </row>
    <row r="5875" spans="1:28" x14ac:dyDescent="0.25">
      <c r="A5875" t="s">
        <v>5879</v>
      </c>
      <c r="B5875">
        <v>0.99542014353169495</v>
      </c>
      <c r="C5875">
        <v>1.0522340391174101</v>
      </c>
      <c r="D5875">
        <v>0.90173313361368301</v>
      </c>
      <c r="E5875">
        <v>0.83614635514320002</v>
      </c>
      <c r="F5875">
        <v>0.67119236309544295</v>
      </c>
      <c r="G5875">
        <v>0.59149621708948397</v>
      </c>
      <c r="H5875">
        <v>0.55601584240961799</v>
      </c>
      <c r="I5875">
        <v>0.54221802379023298</v>
      </c>
      <c r="J5875">
        <v>0.91729877169096297</v>
      </c>
      <c r="K5875">
        <v>1.2459953668014301</v>
      </c>
      <c r="L5875">
        <v>1508.0703977196599</v>
      </c>
      <c r="M5875">
        <v>34.2696851414509</v>
      </c>
      <c r="O5875">
        <v>43.856923507182302</v>
      </c>
      <c r="P5875">
        <v>-4.7013214431179E-2</v>
      </c>
      <c r="Q5875">
        <v>0.75933866921627402</v>
      </c>
      <c r="R5875">
        <v>0.21767276638682501</v>
      </c>
      <c r="S5875" t="s">
        <v>12277</v>
      </c>
      <c r="T5875" t="s">
        <v>12802</v>
      </c>
      <c r="U5875" t="s">
        <v>12802</v>
      </c>
      <c r="V5875" t="s">
        <v>12802</v>
      </c>
      <c r="W5875" t="s">
        <v>18608</v>
      </c>
      <c r="X5875">
        <v>24</v>
      </c>
      <c r="Y5875" t="s">
        <v>24816</v>
      </c>
      <c r="Z5875" t="s">
        <v>31193</v>
      </c>
      <c r="AA5875">
        <v>0.81655200741103118</v>
      </c>
      <c r="AB5875" t="str">
        <f>HYPERLINK("Melting_Curves/meltCurve_Q9NZ63_C9orf78.pdf", "Melting_Curves/meltCurve_Q9NZ63_C9orf78.pdf")</f>
        <v>Melting_Curves/meltCurve_Q9NZ63_C9orf78.pdf</v>
      </c>
    </row>
    <row r="5876" spans="1:28" x14ac:dyDescent="0.25">
      <c r="A5876" t="s">
        <v>5880</v>
      </c>
      <c r="B5876">
        <v>0.99542014353169495</v>
      </c>
      <c r="C5876">
        <v>0.97780230978743998</v>
      </c>
      <c r="D5876">
        <v>0.81844372261644205</v>
      </c>
      <c r="E5876">
        <v>0.80954094479110505</v>
      </c>
      <c r="F5876">
        <v>0.65754681573484297</v>
      </c>
      <c r="G5876">
        <v>0.38069452267892501</v>
      </c>
      <c r="H5876">
        <v>7.6838221651273297E-2</v>
      </c>
      <c r="I5876">
        <v>5.4321875070656299E-2</v>
      </c>
      <c r="J5876">
        <v>4.1985981594097797E-2</v>
      </c>
      <c r="K5876">
        <v>3.4983198829599903E-2</v>
      </c>
      <c r="L5876">
        <v>798.29237879462801</v>
      </c>
      <c r="M5876">
        <v>15.5096958916538</v>
      </c>
      <c r="N5876">
        <v>51.470537221686399</v>
      </c>
      <c r="O5876">
        <v>50.637646224472299</v>
      </c>
      <c r="P5876">
        <v>-7.6578749032885293E-2</v>
      </c>
      <c r="Q5876">
        <v>0</v>
      </c>
      <c r="R5876">
        <v>0.977518612051265</v>
      </c>
      <c r="S5876" t="s">
        <v>12278</v>
      </c>
      <c r="T5876" t="s">
        <v>12802</v>
      </c>
      <c r="U5876" t="s">
        <v>12802</v>
      </c>
      <c r="V5876" t="s">
        <v>12802</v>
      </c>
      <c r="W5876" t="s">
        <v>18609</v>
      </c>
      <c r="X5876">
        <v>2</v>
      </c>
      <c r="Y5876" t="s">
        <v>24817</v>
      </c>
      <c r="Z5876" t="s">
        <v>31194</v>
      </c>
      <c r="AA5876">
        <v>0.50123235593764648</v>
      </c>
      <c r="AB5876" t="str">
        <f>HYPERLINK("Melting_Curves/meltCurve_Q9NZA1_3_CLIC5.pdf", "Melting_Curves/meltCurve_Q9NZA1_3_CLIC5.pdf")</f>
        <v>Melting_Curves/meltCurve_Q9NZA1_3_CLIC5.pdf</v>
      </c>
    </row>
    <row r="5877" spans="1:28" x14ac:dyDescent="0.25">
      <c r="A5877" t="s">
        <v>5881</v>
      </c>
      <c r="B5877">
        <v>0.99542014353169495</v>
      </c>
      <c r="C5877">
        <v>1.0591442037409999</v>
      </c>
      <c r="D5877">
        <v>0.94693227221531895</v>
      </c>
      <c r="E5877">
        <v>0.85735216208815401</v>
      </c>
      <c r="F5877">
        <v>0.76260151610841598</v>
      </c>
      <c r="G5877">
        <v>0.59174323076643998</v>
      </c>
      <c r="H5877">
        <v>0.43805666618313199</v>
      </c>
      <c r="I5877">
        <v>0.30561117460604997</v>
      </c>
      <c r="J5877">
        <v>0.123682139403038</v>
      </c>
      <c r="K5877">
        <v>5.4545539982306102E-2</v>
      </c>
      <c r="L5877">
        <v>650.31280580577402</v>
      </c>
      <c r="M5877">
        <v>11.7277976512016</v>
      </c>
      <c r="N5877">
        <v>55.450547959469098</v>
      </c>
      <c r="O5877">
        <v>53.911962219019998</v>
      </c>
      <c r="P5877">
        <v>-5.43983437300192E-2</v>
      </c>
      <c r="Q5877">
        <v>0</v>
      </c>
      <c r="R5877">
        <v>0.98578414913371804</v>
      </c>
      <c r="S5877" t="s">
        <v>12279</v>
      </c>
      <c r="T5877" t="s">
        <v>12802</v>
      </c>
      <c r="U5877" t="s">
        <v>12802</v>
      </c>
      <c r="V5877" t="s">
        <v>12802</v>
      </c>
      <c r="W5877" t="s">
        <v>18610</v>
      </c>
      <c r="X5877">
        <v>4</v>
      </c>
      <c r="Y5877" t="s">
        <v>24818</v>
      </c>
      <c r="Z5877" t="s">
        <v>31195</v>
      </c>
      <c r="AA5877">
        <v>0.62707915978558448</v>
      </c>
      <c r="AB5877" t="str">
        <f>HYPERLINK("Melting_Curves/meltCurve_Q9NZC3_GDE1.pdf", "Melting_Curves/meltCurve_Q9NZC3_GDE1.pdf")</f>
        <v>Melting_Curves/meltCurve_Q9NZC3_GDE1.pdf</v>
      </c>
    </row>
    <row r="5878" spans="1:28" x14ac:dyDescent="0.25">
      <c r="A5878" t="s">
        <v>5882</v>
      </c>
      <c r="B5878">
        <v>0.99542014353169495</v>
      </c>
      <c r="C5878">
        <v>0.97785792565452601</v>
      </c>
      <c r="D5878">
        <v>1.02252310137197</v>
      </c>
      <c r="E5878">
        <v>0.84601657264072905</v>
      </c>
      <c r="F5878">
        <v>0.47421153788460302</v>
      </c>
      <c r="G5878">
        <v>0.28946850748529102</v>
      </c>
      <c r="H5878">
        <v>0.20095385724185899</v>
      </c>
      <c r="I5878">
        <v>7.9878932100071701E-2</v>
      </c>
      <c r="J5878">
        <v>8.2501758113340901E-2</v>
      </c>
      <c r="K5878">
        <v>8.7257505269315402E-2</v>
      </c>
      <c r="L5878">
        <v>1015.09554611447</v>
      </c>
      <c r="M5878">
        <v>20.328888777562099</v>
      </c>
      <c r="N5878">
        <v>50.4186226608185</v>
      </c>
      <c r="O5878">
        <v>49.457992218533398</v>
      </c>
      <c r="P5878">
        <v>-9.3635648775389699E-2</v>
      </c>
      <c r="Q5878">
        <v>8.8806125316514994E-2</v>
      </c>
      <c r="R5878">
        <v>0.99302337566792198</v>
      </c>
      <c r="S5878" t="s">
        <v>12280</v>
      </c>
      <c r="T5878" t="s">
        <v>12802</v>
      </c>
      <c r="U5878" t="s">
        <v>12802</v>
      </c>
      <c r="V5878" t="s">
        <v>12802</v>
      </c>
      <c r="W5878" t="s">
        <v>18611</v>
      </c>
      <c r="X5878">
        <v>3</v>
      </c>
      <c r="Y5878" t="s">
        <v>24819</v>
      </c>
      <c r="Z5878" t="s">
        <v>31196</v>
      </c>
      <c r="AA5878">
        <v>0.49330295849257322</v>
      </c>
      <c r="AB5878" t="str">
        <f>HYPERLINK("Melting_Curves/meltCurve_Q9NZC7_5_WWOX.pdf", "Melting_Curves/meltCurve_Q9NZC7_5_WWOX.pdf")</f>
        <v>Melting_Curves/meltCurve_Q9NZC7_5_WWOX.pdf</v>
      </c>
    </row>
    <row r="5879" spans="1:28" x14ac:dyDescent="0.25">
      <c r="A5879" t="s">
        <v>5883</v>
      </c>
      <c r="B5879">
        <v>0.99542014353169495</v>
      </c>
      <c r="C5879">
        <v>0.99368127580584797</v>
      </c>
      <c r="D5879">
        <v>0.88564078232869803</v>
      </c>
      <c r="E5879">
        <v>0.57283846866090404</v>
      </c>
      <c r="F5879">
        <v>0.19381697468089201</v>
      </c>
      <c r="G5879">
        <v>0.116482596205912</v>
      </c>
      <c r="H5879">
        <v>6.7117078690830195E-2</v>
      </c>
      <c r="I5879">
        <v>5.30562859093167E-2</v>
      </c>
      <c r="J5879">
        <v>2.72658108098074E-2</v>
      </c>
      <c r="K5879">
        <v>5.3767062654158301E-2</v>
      </c>
      <c r="L5879">
        <v>1098.61923383936</v>
      </c>
      <c r="M5879">
        <v>23.423083325908301</v>
      </c>
      <c r="N5879">
        <v>47.104526534638602</v>
      </c>
      <c r="O5879">
        <v>46.565409634458703</v>
      </c>
      <c r="P5879">
        <v>-0.11976792723362201</v>
      </c>
      <c r="Q5879">
        <v>4.76154839050607E-2</v>
      </c>
      <c r="R5879">
        <v>0.99871374135035895</v>
      </c>
      <c r="S5879" t="s">
        <v>12281</v>
      </c>
      <c r="T5879" t="s">
        <v>12802</v>
      </c>
      <c r="U5879" t="s">
        <v>12802</v>
      </c>
      <c r="V5879" t="s">
        <v>12802</v>
      </c>
      <c r="W5879" t="s">
        <v>18612</v>
      </c>
      <c r="X5879">
        <v>7</v>
      </c>
      <c r="Y5879" t="s">
        <v>24820</v>
      </c>
      <c r="Z5879" t="s">
        <v>31197</v>
      </c>
      <c r="AA5879">
        <v>0.37111157063915567</v>
      </c>
      <c r="AB5879" t="str">
        <f>HYPERLINK("Melting_Curves/meltCurve_Q9NZC9_SMARCAL1.pdf", "Melting_Curves/meltCurve_Q9NZC9_SMARCAL1.pdf")</f>
        <v>Melting_Curves/meltCurve_Q9NZC9_SMARCAL1.pdf</v>
      </c>
    </row>
    <row r="5880" spans="1:28" x14ac:dyDescent="0.25">
      <c r="A5880" t="s">
        <v>5884</v>
      </c>
      <c r="B5880">
        <v>0.99542014353169495</v>
      </c>
      <c r="C5880">
        <v>0.97859709306213205</v>
      </c>
      <c r="D5880">
        <v>0.85943508522940304</v>
      </c>
      <c r="E5880">
        <v>1.02221355250774</v>
      </c>
      <c r="F5880">
        <v>0.70152048270020595</v>
      </c>
      <c r="G5880">
        <v>0.314498432892793</v>
      </c>
      <c r="H5880">
        <v>0.27200691249918502</v>
      </c>
      <c r="I5880">
        <v>0.24098794445994601</v>
      </c>
      <c r="J5880">
        <v>0.16650684389529399</v>
      </c>
      <c r="K5880">
        <v>0.25988921993405001</v>
      </c>
      <c r="L5880">
        <v>2020.79640675012</v>
      </c>
      <c r="M5880">
        <v>39.763185141778003</v>
      </c>
      <c r="N5880">
        <v>51.636157929232297</v>
      </c>
      <c r="O5880">
        <v>50.692757794132497</v>
      </c>
      <c r="P5880">
        <v>-0.150381044470519</v>
      </c>
      <c r="Q5880">
        <v>0.23313852562777801</v>
      </c>
      <c r="R5880">
        <v>0.97600735451445497</v>
      </c>
      <c r="S5880" t="s">
        <v>12282</v>
      </c>
      <c r="T5880" t="s">
        <v>12802</v>
      </c>
      <c r="U5880" t="s">
        <v>12802</v>
      </c>
      <c r="V5880" t="s">
        <v>12802</v>
      </c>
      <c r="W5880" t="s">
        <v>18613</v>
      </c>
      <c r="X5880">
        <v>1</v>
      </c>
      <c r="Y5880" t="s">
        <v>24821</v>
      </c>
      <c r="Z5880" t="s">
        <v>31198</v>
      </c>
      <c r="AA5880">
        <v>0.58914922568668338</v>
      </c>
      <c r="AB5880" t="str">
        <f>HYPERLINK("Melting_Curves/meltCurve_Q9NZD4_AHSP.pdf", "Melting_Curves/meltCurve_Q9NZD4_AHSP.pdf")</f>
        <v>Melting_Curves/meltCurve_Q9NZD4_AHSP.pdf</v>
      </c>
    </row>
    <row r="5881" spans="1:28" x14ac:dyDescent="0.25">
      <c r="A5881" t="s">
        <v>5885</v>
      </c>
      <c r="B5881">
        <v>0.99542014353169495</v>
      </c>
      <c r="C5881">
        <v>0.930995169387132</v>
      </c>
      <c r="D5881">
        <v>0.88909201169270402</v>
      </c>
      <c r="E5881">
        <v>0.74989788615702901</v>
      </c>
      <c r="F5881">
        <v>0.31486325550815403</v>
      </c>
      <c r="G5881">
        <v>0.11662878907843</v>
      </c>
      <c r="H5881">
        <v>6.3172422275086904E-2</v>
      </c>
      <c r="I5881">
        <v>4.5790701088332803E-2</v>
      </c>
      <c r="J5881">
        <v>4.86840555324893E-2</v>
      </c>
      <c r="K5881">
        <v>4.6195880950616601E-2</v>
      </c>
      <c r="L5881">
        <v>1096.6498410760701</v>
      </c>
      <c r="M5881">
        <v>22.673986454036999</v>
      </c>
      <c r="N5881">
        <v>48.533993910866897</v>
      </c>
      <c r="O5881">
        <v>47.994467507075299</v>
      </c>
      <c r="P5881">
        <v>-0.113651869565768</v>
      </c>
      <c r="Q5881">
        <v>3.7742111548317997E-2</v>
      </c>
      <c r="R5881">
        <v>0.99440605252308101</v>
      </c>
      <c r="S5881" t="s">
        <v>12283</v>
      </c>
      <c r="T5881" t="s">
        <v>12802</v>
      </c>
      <c r="U5881" t="s">
        <v>12802</v>
      </c>
      <c r="V5881" t="s">
        <v>12802</v>
      </c>
      <c r="W5881" t="s">
        <v>18614</v>
      </c>
      <c r="X5881">
        <v>2</v>
      </c>
      <c r="Y5881" t="s">
        <v>24822</v>
      </c>
      <c r="Z5881" t="s">
        <v>31199</v>
      </c>
      <c r="AA5881">
        <v>0.41228128729853042</v>
      </c>
      <c r="AB5881" t="str">
        <f>HYPERLINK("Melting_Curves/meltCurve_Q9NZD8_2_SPG21.pdf", "Melting_Curves/meltCurve_Q9NZD8_2_SPG21.pdf")</f>
        <v>Melting_Curves/meltCurve_Q9NZD8_2_SPG21.pdf</v>
      </c>
    </row>
    <row r="5882" spans="1:28" x14ac:dyDescent="0.25">
      <c r="A5882" t="s">
        <v>5886</v>
      </c>
      <c r="B5882">
        <v>0.99542014353169495</v>
      </c>
      <c r="C5882">
        <v>0.92411619360531505</v>
      </c>
      <c r="D5882">
        <v>0.75483260232267102</v>
      </c>
      <c r="E5882">
        <v>0.26290522519070098</v>
      </c>
      <c r="F5882">
        <v>0.15963282458799499</v>
      </c>
      <c r="G5882">
        <v>8.4941656021813305E-2</v>
      </c>
      <c r="H5882">
        <v>9.5788304426069407E-2</v>
      </c>
      <c r="I5882">
        <v>0.10118231805472901</v>
      </c>
      <c r="J5882">
        <v>9.9356418168298294E-2</v>
      </c>
      <c r="K5882">
        <v>0.13970512591933901</v>
      </c>
      <c r="L5882">
        <v>1282.87581242228</v>
      </c>
      <c r="M5882">
        <v>28.953301190268601</v>
      </c>
      <c r="N5882">
        <v>44.674847893454</v>
      </c>
      <c r="O5882">
        <v>44.098694935451398</v>
      </c>
      <c r="P5882">
        <v>-0.14679321000564699</v>
      </c>
      <c r="Q5882">
        <v>0.10568542011117001</v>
      </c>
      <c r="R5882">
        <v>0.99612392673882699</v>
      </c>
      <c r="S5882" t="s">
        <v>12284</v>
      </c>
      <c r="T5882" t="s">
        <v>12802</v>
      </c>
      <c r="U5882" t="s">
        <v>12802</v>
      </c>
      <c r="V5882" t="s">
        <v>12802</v>
      </c>
      <c r="W5882" t="s">
        <v>18615</v>
      </c>
      <c r="X5882">
        <v>4</v>
      </c>
      <c r="Y5882" t="s">
        <v>24823</v>
      </c>
      <c r="Z5882" t="s">
        <v>31200</v>
      </c>
      <c r="AA5882">
        <v>0.32891856302760242</v>
      </c>
      <c r="AB5882" t="str">
        <f>HYPERLINK("Melting_Curves/meltCurve_Q9NZI7_4_UBP1.pdf", "Melting_Curves/meltCurve_Q9NZI7_4_UBP1.pdf")</f>
        <v>Melting_Curves/meltCurve_Q9NZI7_4_UBP1.pdf</v>
      </c>
    </row>
    <row r="5883" spans="1:28" x14ac:dyDescent="0.25">
      <c r="A5883" t="s">
        <v>5887</v>
      </c>
      <c r="B5883">
        <v>0.99542014353169495</v>
      </c>
      <c r="C5883">
        <v>0.95529881347387802</v>
      </c>
      <c r="D5883">
        <v>1.0110159434272099</v>
      </c>
      <c r="E5883">
        <v>0.65239657150414598</v>
      </c>
      <c r="F5883">
        <v>0.27561726378898099</v>
      </c>
      <c r="G5883">
        <v>0.13434652522347301</v>
      </c>
      <c r="H5883">
        <v>7.0325799629419705E-2</v>
      </c>
      <c r="I5883">
        <v>4.3072359635674601E-2</v>
      </c>
      <c r="J5883">
        <v>5.3558521347552603E-2</v>
      </c>
      <c r="K5883">
        <v>5.6453826284175598E-2</v>
      </c>
      <c r="L5883">
        <v>1222.0991308385801</v>
      </c>
      <c r="M5883">
        <v>25.579016934202102</v>
      </c>
      <c r="N5883">
        <v>48.006020482845699</v>
      </c>
      <c r="O5883">
        <v>47.4882567221958</v>
      </c>
      <c r="P5883">
        <v>-0.12693961477746399</v>
      </c>
      <c r="Q5883">
        <v>5.7341795974882002E-2</v>
      </c>
      <c r="R5883">
        <v>0.99570997701541597</v>
      </c>
      <c r="S5883" t="s">
        <v>12285</v>
      </c>
      <c r="T5883" t="s">
        <v>12802</v>
      </c>
      <c r="U5883" t="s">
        <v>12802</v>
      </c>
      <c r="V5883" t="s">
        <v>12802</v>
      </c>
      <c r="W5883" t="s">
        <v>18616</v>
      </c>
      <c r="X5883">
        <v>14</v>
      </c>
      <c r="Y5883" t="s">
        <v>24824</v>
      </c>
      <c r="Z5883" t="s">
        <v>31201</v>
      </c>
      <c r="AA5883">
        <v>0.40363958853339782</v>
      </c>
      <c r="AB5883" t="str">
        <f>HYPERLINK("Melting_Curves/meltCurve_Q9NZI8_IGF2BP1.pdf", "Melting_Curves/meltCurve_Q9NZI8_IGF2BP1.pdf")</f>
        <v>Melting_Curves/meltCurve_Q9NZI8_IGF2BP1.pdf</v>
      </c>
    </row>
    <row r="5884" spans="1:28" x14ac:dyDescent="0.25">
      <c r="A5884" t="s">
        <v>5888</v>
      </c>
      <c r="B5884">
        <v>0.99542014353169495</v>
      </c>
      <c r="C5884">
        <v>0.95193799196915296</v>
      </c>
      <c r="D5884">
        <v>0.449483111492475</v>
      </c>
      <c r="E5884">
        <v>0.342318195505811</v>
      </c>
      <c r="F5884">
        <v>0.13244629964443</v>
      </c>
      <c r="G5884">
        <v>0.105996146517373</v>
      </c>
      <c r="H5884">
        <v>0.110189308154007</v>
      </c>
      <c r="I5884">
        <v>0.18691032785221101</v>
      </c>
      <c r="J5884">
        <v>0.89853165027728599</v>
      </c>
      <c r="K5884">
        <v>1.7747361918217699</v>
      </c>
      <c r="L5884">
        <v>10064.411209058</v>
      </c>
      <c r="M5884">
        <v>250</v>
      </c>
      <c r="O5884">
        <v>40.255064933793697</v>
      </c>
      <c r="P5884">
        <v>-0.77618114273548799</v>
      </c>
      <c r="Q5884">
        <v>0.50007639799722803</v>
      </c>
      <c r="R5884">
        <v>0.132703604035355</v>
      </c>
      <c r="S5884" t="s">
        <v>12286</v>
      </c>
      <c r="T5884" t="s">
        <v>12802</v>
      </c>
      <c r="U5884" t="s">
        <v>12802</v>
      </c>
      <c r="V5884" t="s">
        <v>12802</v>
      </c>
      <c r="W5884" t="s">
        <v>18617</v>
      </c>
      <c r="X5884">
        <v>4</v>
      </c>
      <c r="Y5884" t="s">
        <v>24825</v>
      </c>
      <c r="Z5884" t="s">
        <v>31202</v>
      </c>
      <c r="AA5884">
        <v>0.55439750305611046</v>
      </c>
      <c r="AB5884" t="str">
        <f>HYPERLINK("Melting_Curves/meltCurve_Q9NZJ4_SACS.pdf", "Melting_Curves/meltCurve_Q9NZJ4_SACS.pdf")</f>
        <v>Melting_Curves/meltCurve_Q9NZJ4_SACS.pdf</v>
      </c>
    </row>
    <row r="5885" spans="1:28" x14ac:dyDescent="0.25">
      <c r="A5885" t="s">
        <v>5889</v>
      </c>
      <c r="B5885">
        <v>0.99542014353169495</v>
      </c>
      <c r="C5885">
        <v>1.0363487587548099</v>
      </c>
      <c r="D5885">
        <v>0.88409304131431299</v>
      </c>
      <c r="E5885">
        <v>0.77498249311439305</v>
      </c>
      <c r="F5885">
        <v>0.6003167645677</v>
      </c>
      <c r="G5885">
        <v>0.472066852131586</v>
      </c>
      <c r="H5885">
        <v>0.23161332224940101</v>
      </c>
      <c r="I5885">
        <v>0.14738196895817199</v>
      </c>
      <c r="J5885">
        <v>8.5779505173971302E-2</v>
      </c>
      <c r="K5885">
        <v>4.3824422877036799E-2</v>
      </c>
      <c r="L5885">
        <v>610.77418684583404</v>
      </c>
      <c r="M5885">
        <v>11.720335660290001</v>
      </c>
      <c r="N5885">
        <v>52.112345966612999</v>
      </c>
      <c r="O5885">
        <v>50.664632382920999</v>
      </c>
      <c r="P5885">
        <v>-5.7848197132685603E-2</v>
      </c>
      <c r="Q5885">
        <v>0</v>
      </c>
      <c r="R5885">
        <v>0.99133563818716697</v>
      </c>
      <c r="S5885" t="s">
        <v>12287</v>
      </c>
      <c r="T5885" t="s">
        <v>12802</v>
      </c>
      <c r="U5885" t="s">
        <v>12802</v>
      </c>
      <c r="V5885" t="s">
        <v>12802</v>
      </c>
      <c r="W5885" t="s">
        <v>18618</v>
      </c>
      <c r="X5885">
        <v>4</v>
      </c>
      <c r="Y5885" t="s">
        <v>24826</v>
      </c>
      <c r="Z5885" t="s">
        <v>31203</v>
      </c>
      <c r="AA5885">
        <v>0.52763369965535944</v>
      </c>
      <c r="AB5885" t="str">
        <f>HYPERLINK("Melting_Curves/meltCurve_Q9NZJ6_COQ3.pdf", "Melting_Curves/meltCurve_Q9NZJ6_COQ3.pdf")</f>
        <v>Melting_Curves/meltCurve_Q9NZJ6_COQ3.pdf</v>
      </c>
    </row>
    <row r="5886" spans="1:28" x14ac:dyDescent="0.25">
      <c r="A5886" t="s">
        <v>5890</v>
      </c>
      <c r="B5886">
        <v>0.99542014353169495</v>
      </c>
      <c r="C5886">
        <v>0.85194521969441195</v>
      </c>
      <c r="D5886">
        <v>0.891460665581985</v>
      </c>
      <c r="E5886">
        <v>0.68261045746059601</v>
      </c>
      <c r="F5886">
        <v>0.582316631983685</v>
      </c>
      <c r="G5886">
        <v>0.26821394631241002</v>
      </c>
      <c r="H5886">
        <v>0.103519943588586</v>
      </c>
      <c r="I5886">
        <v>5.8462193902729297E-2</v>
      </c>
      <c r="J5886">
        <v>5.1017653086091103E-2</v>
      </c>
      <c r="K5886">
        <v>5.2799063741972602E-2</v>
      </c>
      <c r="L5886">
        <v>643.30447474372897</v>
      </c>
      <c r="M5886">
        <v>12.871634740396599</v>
      </c>
      <c r="N5886">
        <v>49.9784694020803</v>
      </c>
      <c r="O5886">
        <v>48.8182344434992</v>
      </c>
      <c r="P5886">
        <v>-6.5928225584838504E-2</v>
      </c>
      <c r="Q5886">
        <v>0</v>
      </c>
      <c r="R5886">
        <v>0.97961404847296896</v>
      </c>
      <c r="S5886" t="s">
        <v>12288</v>
      </c>
      <c r="T5886" t="s">
        <v>12802</v>
      </c>
      <c r="U5886" t="s">
        <v>12802</v>
      </c>
      <c r="V5886" t="s">
        <v>12802</v>
      </c>
      <c r="W5886" t="s">
        <v>18619</v>
      </c>
      <c r="X5886">
        <v>7</v>
      </c>
      <c r="Y5886" t="s">
        <v>24827</v>
      </c>
      <c r="Z5886" t="s">
        <v>31204</v>
      </c>
      <c r="AA5886">
        <v>0.45835466701928868</v>
      </c>
      <c r="AB5886" t="str">
        <f>HYPERLINK("Melting_Curves/meltCurve_Q9NZJ7_2_MTCH1.pdf", "Melting_Curves/meltCurve_Q9NZJ7_2_MTCH1.pdf")</f>
        <v>Melting_Curves/meltCurve_Q9NZJ7_2_MTCH1.pdf</v>
      </c>
    </row>
    <row r="5887" spans="1:28" x14ac:dyDescent="0.25">
      <c r="A5887" t="s">
        <v>5891</v>
      </c>
      <c r="B5887">
        <v>0.99542014353169495</v>
      </c>
      <c r="C5887">
        <v>1.0046640891898999</v>
      </c>
      <c r="D5887">
        <v>0.91077849114645804</v>
      </c>
      <c r="E5887">
        <v>0.77866138464638801</v>
      </c>
      <c r="F5887">
        <v>0.416641873757435</v>
      </c>
      <c r="G5887">
        <v>0.174159807827928</v>
      </c>
      <c r="H5887">
        <v>7.8938380947577005E-2</v>
      </c>
      <c r="I5887">
        <v>5.3678564831594597E-2</v>
      </c>
      <c r="J5887">
        <v>6.8801964965714904E-2</v>
      </c>
      <c r="K5887">
        <v>7.2136935492128407E-2</v>
      </c>
      <c r="L5887">
        <v>1035.97847437679</v>
      </c>
      <c r="M5887">
        <v>21.1186221812772</v>
      </c>
      <c r="N5887">
        <v>49.309273391644702</v>
      </c>
      <c r="O5887">
        <v>48.621735722724999</v>
      </c>
      <c r="P5887">
        <v>-0.102991400929272</v>
      </c>
      <c r="Q5887">
        <v>5.1550399069868802E-2</v>
      </c>
      <c r="R5887">
        <v>0.99809715691701095</v>
      </c>
      <c r="S5887" t="s">
        <v>12289</v>
      </c>
      <c r="T5887" t="s">
        <v>12802</v>
      </c>
      <c r="U5887" t="s">
        <v>12802</v>
      </c>
      <c r="V5887" t="s">
        <v>12802</v>
      </c>
      <c r="W5887" t="s">
        <v>18620</v>
      </c>
      <c r="X5887">
        <v>9</v>
      </c>
      <c r="Y5887" t="s">
        <v>24828</v>
      </c>
      <c r="Z5887" t="s">
        <v>31205</v>
      </c>
      <c r="AA5887">
        <v>0.44398236349593201</v>
      </c>
      <c r="AB5887" t="str">
        <f>HYPERLINK("Melting_Curves/meltCurve_Q9NZJ9_NUDT4.pdf", "Melting_Curves/meltCurve_Q9NZJ9_NUDT4.pdf")</f>
        <v>Melting_Curves/meltCurve_Q9NZJ9_NUDT4.pdf</v>
      </c>
    </row>
    <row r="5888" spans="1:28" x14ac:dyDescent="0.25">
      <c r="A5888" t="s">
        <v>5892</v>
      </c>
      <c r="B5888">
        <v>0.99542014353169495</v>
      </c>
      <c r="C5888">
        <v>0.96402738593888504</v>
      </c>
      <c r="D5888">
        <v>0.846145681698101</v>
      </c>
      <c r="E5888">
        <v>0.55176729805638403</v>
      </c>
      <c r="F5888">
        <v>0.191520389973768</v>
      </c>
      <c r="G5888">
        <v>9.3968829016009406E-2</v>
      </c>
      <c r="H5888">
        <v>4.58267097960239E-2</v>
      </c>
      <c r="I5888">
        <v>2.6533176656771899E-2</v>
      </c>
      <c r="J5888">
        <v>2.66901045636334E-2</v>
      </c>
      <c r="K5888">
        <v>3.05278687938598E-2</v>
      </c>
      <c r="L5888">
        <v>962.11977421121901</v>
      </c>
      <c r="M5888">
        <v>20.570033291030601</v>
      </c>
      <c r="N5888">
        <v>46.879696938201597</v>
      </c>
      <c r="O5888">
        <v>46.337561502699103</v>
      </c>
      <c r="P5888">
        <v>-0.108441876567572</v>
      </c>
      <c r="Q5888">
        <v>2.2892050445616801E-2</v>
      </c>
      <c r="R5888">
        <v>0.99904286401178299</v>
      </c>
      <c r="S5888" t="s">
        <v>12290</v>
      </c>
      <c r="T5888" t="s">
        <v>12802</v>
      </c>
      <c r="U5888" t="s">
        <v>12802</v>
      </c>
      <c r="V5888" t="s">
        <v>12802</v>
      </c>
      <c r="W5888" t="s">
        <v>18621</v>
      </c>
      <c r="X5888">
        <v>9</v>
      </c>
      <c r="Y5888" t="s">
        <v>24829</v>
      </c>
      <c r="Z5888" t="s">
        <v>31206</v>
      </c>
      <c r="AA5888">
        <v>0.35329010016556472</v>
      </c>
      <c r="AB5888" t="str">
        <f>HYPERLINK("Melting_Curves/meltCurve_Q9NZL4_HSPBP1.pdf", "Melting_Curves/meltCurve_Q9NZL4_HSPBP1.pdf")</f>
        <v>Melting_Curves/meltCurve_Q9NZL4_HSPBP1.pdf</v>
      </c>
    </row>
    <row r="5889" spans="1:28" x14ac:dyDescent="0.25">
      <c r="A5889" t="s">
        <v>5893</v>
      </c>
      <c r="B5889">
        <v>0.99542014353169495</v>
      </c>
      <c r="C5889">
        <v>0.96081409328240697</v>
      </c>
      <c r="D5889">
        <v>0.96973744984144605</v>
      </c>
      <c r="E5889">
        <v>0.87052306996690099</v>
      </c>
      <c r="F5889">
        <v>0.82371959391247895</v>
      </c>
      <c r="G5889">
        <v>0.58771430781846601</v>
      </c>
      <c r="H5889">
        <v>0.44048347293326201</v>
      </c>
      <c r="I5889">
        <v>0.31758427346599599</v>
      </c>
      <c r="J5889">
        <v>0.13136580425973099</v>
      </c>
      <c r="K5889">
        <v>0.111686294860424</v>
      </c>
      <c r="L5889">
        <v>654.29312071783795</v>
      </c>
      <c r="M5889">
        <v>11.706540797266801</v>
      </c>
      <c r="N5889">
        <v>55.891243414914101</v>
      </c>
      <c r="O5889">
        <v>54.335058322886802</v>
      </c>
      <c r="P5889">
        <v>-5.38770322095138E-2</v>
      </c>
      <c r="Q5889">
        <v>0</v>
      </c>
      <c r="R5889">
        <v>0.991499979170121</v>
      </c>
      <c r="S5889" t="s">
        <v>12291</v>
      </c>
      <c r="T5889" t="s">
        <v>12802</v>
      </c>
      <c r="U5889" t="s">
        <v>12802</v>
      </c>
      <c r="V5889" t="s">
        <v>12802</v>
      </c>
      <c r="W5889" t="s">
        <v>18622</v>
      </c>
      <c r="X5889">
        <v>18</v>
      </c>
      <c r="Y5889" t="s">
        <v>24830</v>
      </c>
      <c r="Z5889" t="s">
        <v>31207</v>
      </c>
      <c r="AA5889">
        <v>0.63966386368191641</v>
      </c>
      <c r="AB5889" t="str">
        <f>HYPERLINK("Melting_Curves/meltCurve_Q9NZL9_MAT2B.pdf", "Melting_Curves/meltCurve_Q9NZL9_MAT2B.pdf")</f>
        <v>Melting_Curves/meltCurve_Q9NZL9_MAT2B.pdf</v>
      </c>
    </row>
    <row r="5890" spans="1:28" x14ac:dyDescent="0.25">
      <c r="A5890" t="s">
        <v>5894</v>
      </c>
      <c r="B5890">
        <v>0.99542014353169495</v>
      </c>
      <c r="C5890">
        <v>0.91274309813436105</v>
      </c>
      <c r="D5890">
        <v>1.04494718092959</v>
      </c>
      <c r="E5890">
        <v>0.89112776982372399</v>
      </c>
      <c r="F5890">
        <v>0.76990355524828802</v>
      </c>
      <c r="G5890">
        <v>0.50476577089436003</v>
      </c>
      <c r="H5890">
        <v>0.31758923644270298</v>
      </c>
      <c r="I5890">
        <v>9.9957480144948596E-2</v>
      </c>
      <c r="J5890">
        <v>0.113128000428406</v>
      </c>
      <c r="K5890">
        <v>0.13831183229907701</v>
      </c>
      <c r="L5890">
        <v>913.42235362445695</v>
      </c>
      <c r="M5890">
        <v>17.114157503789599</v>
      </c>
      <c r="N5890">
        <v>53.840136585496801</v>
      </c>
      <c r="O5890">
        <v>52.659595942464897</v>
      </c>
      <c r="P5890">
        <v>-7.5640413851729801E-2</v>
      </c>
      <c r="Q5890">
        <v>6.9085606475901298E-2</v>
      </c>
      <c r="R5890">
        <v>0.98556065625209399</v>
      </c>
      <c r="S5890" t="s">
        <v>12292</v>
      </c>
      <c r="T5890" t="s">
        <v>12802</v>
      </c>
      <c r="U5890" t="s">
        <v>12802</v>
      </c>
      <c r="V5890" t="s">
        <v>12802</v>
      </c>
      <c r="W5890" t="s">
        <v>18623</v>
      </c>
      <c r="X5890">
        <v>16</v>
      </c>
      <c r="Y5890" t="s">
        <v>24830</v>
      </c>
      <c r="Z5890" t="s">
        <v>31208</v>
      </c>
      <c r="AA5890">
        <v>0.59121617769604207</v>
      </c>
      <c r="AB5890" t="str">
        <f>HYPERLINK("Melting_Curves/meltCurve_Q9NZL9_2_MAT2B.pdf", "Melting_Curves/meltCurve_Q9NZL9_2_MAT2B.pdf")</f>
        <v>Melting_Curves/meltCurve_Q9NZL9_2_MAT2B.pdf</v>
      </c>
    </row>
    <row r="5891" spans="1:28" x14ac:dyDescent="0.25">
      <c r="A5891" t="s">
        <v>5895</v>
      </c>
      <c r="B5891">
        <v>0.99542014353169495</v>
      </c>
      <c r="C5891">
        <v>0.93911211322537302</v>
      </c>
      <c r="D5891">
        <v>0.92690908632061098</v>
      </c>
      <c r="E5891">
        <v>0.41353987708928203</v>
      </c>
      <c r="F5891">
        <v>0.14459314692158301</v>
      </c>
      <c r="G5891">
        <v>9.0566831957568206E-2</v>
      </c>
      <c r="H5891">
        <v>5.4401620214962497E-2</v>
      </c>
      <c r="I5891">
        <v>3.7831746450298798E-2</v>
      </c>
      <c r="J5891">
        <v>4.4943677747628703E-2</v>
      </c>
      <c r="K5891">
        <v>3.4679837244075903E-2</v>
      </c>
      <c r="L5891">
        <v>1400.32084312198</v>
      </c>
      <c r="M5891">
        <v>30.456227884548898</v>
      </c>
      <c r="N5891">
        <v>46.146209821623302</v>
      </c>
      <c r="O5891">
        <v>45.781286810470903</v>
      </c>
      <c r="P5891">
        <v>-0.15758423877462399</v>
      </c>
      <c r="Q5891">
        <v>5.2493962171151203E-2</v>
      </c>
      <c r="R5891">
        <v>0.99633815833963901</v>
      </c>
      <c r="S5891" t="s">
        <v>12293</v>
      </c>
      <c r="T5891" t="s">
        <v>12802</v>
      </c>
      <c r="U5891" t="s">
        <v>12802</v>
      </c>
      <c r="V5891" t="s">
        <v>12802</v>
      </c>
      <c r="W5891" t="s">
        <v>18624</v>
      </c>
      <c r="X5891">
        <v>9</v>
      </c>
      <c r="Y5891" t="s">
        <v>24831</v>
      </c>
      <c r="Z5891" t="s">
        <v>31209</v>
      </c>
      <c r="AA5891">
        <v>0.34129548676089011</v>
      </c>
      <c r="AB5891" t="str">
        <f>HYPERLINK("Melting_Curves/meltCurve_Q9NZM3_4_ITSN2.pdf", "Melting_Curves/meltCurve_Q9NZM3_4_ITSN2.pdf")</f>
        <v>Melting_Curves/meltCurve_Q9NZM3_4_ITSN2.pdf</v>
      </c>
    </row>
    <row r="5892" spans="1:28" x14ac:dyDescent="0.25">
      <c r="A5892" t="s">
        <v>5896</v>
      </c>
      <c r="B5892">
        <v>0.99542014353169495</v>
      </c>
      <c r="C5892">
        <v>1.0044846602234401</v>
      </c>
      <c r="D5892">
        <v>0.94962121614384898</v>
      </c>
      <c r="E5892">
        <v>0.837472246015595</v>
      </c>
      <c r="F5892">
        <v>0.47994842010541999</v>
      </c>
      <c r="G5892">
        <v>0.185200815914875</v>
      </c>
      <c r="H5892">
        <v>0.116899220969294</v>
      </c>
      <c r="I5892">
        <v>9.1620304775215003E-2</v>
      </c>
      <c r="J5892">
        <v>0.12813873153858699</v>
      </c>
      <c r="K5892">
        <v>0.113355550675387</v>
      </c>
      <c r="L5892">
        <v>1254.71202973758</v>
      </c>
      <c r="M5892">
        <v>25.377366877076899</v>
      </c>
      <c r="N5892">
        <v>49.886372592077699</v>
      </c>
      <c r="O5892">
        <v>49.138244534141101</v>
      </c>
      <c r="P5892">
        <v>-0.11605715782424</v>
      </c>
      <c r="Q5892">
        <v>0.10112503902997599</v>
      </c>
      <c r="R5892">
        <v>0.99824587443037804</v>
      </c>
      <c r="S5892" t="s">
        <v>12294</v>
      </c>
      <c r="T5892" t="s">
        <v>12802</v>
      </c>
      <c r="U5892" t="s">
        <v>12802</v>
      </c>
      <c r="V5892" t="s">
        <v>12802</v>
      </c>
      <c r="W5892" t="s">
        <v>18625</v>
      </c>
      <c r="X5892">
        <v>18</v>
      </c>
      <c r="Y5892" t="s">
        <v>24832</v>
      </c>
      <c r="Z5892" t="s">
        <v>31210</v>
      </c>
      <c r="AA5892">
        <v>0.48151178304046632</v>
      </c>
      <c r="AB5892" t="str">
        <f>HYPERLINK("Melting_Curves/meltCurve_Q9NZN4_EHD2.pdf", "Melting_Curves/meltCurve_Q9NZN4_EHD2.pdf")</f>
        <v>Melting_Curves/meltCurve_Q9NZN4_EHD2.pdf</v>
      </c>
    </row>
    <row r="5893" spans="1:28" x14ac:dyDescent="0.25">
      <c r="A5893" t="s">
        <v>5897</v>
      </c>
      <c r="B5893">
        <v>0.99542014353169495</v>
      </c>
      <c r="C5893">
        <v>0.894052765358748</v>
      </c>
      <c r="D5893">
        <v>0.96306890084505004</v>
      </c>
      <c r="E5893">
        <v>0.38104478648496798</v>
      </c>
      <c r="F5893">
        <v>0.17416956236990999</v>
      </c>
      <c r="G5893">
        <v>0.12374967217524201</v>
      </c>
      <c r="H5893">
        <v>5.9637839648834998E-2</v>
      </c>
      <c r="I5893">
        <v>3.14398842282635E-2</v>
      </c>
      <c r="J5893">
        <v>3.8545561017408199E-2</v>
      </c>
      <c r="K5893">
        <v>9.0908139729537499E-2</v>
      </c>
      <c r="L5893">
        <v>1657.24228130232</v>
      </c>
      <c r="M5893">
        <v>36.162551774073798</v>
      </c>
      <c r="N5893">
        <v>46.039968508441</v>
      </c>
      <c r="O5893">
        <v>45.688117530580797</v>
      </c>
      <c r="P5893">
        <v>-0.18267565332798499</v>
      </c>
      <c r="Q5893">
        <v>7.6826116770309594E-2</v>
      </c>
      <c r="R5893">
        <v>0.98547866266173101</v>
      </c>
      <c r="S5893" t="s">
        <v>12295</v>
      </c>
      <c r="T5893" t="s">
        <v>12802</v>
      </c>
      <c r="U5893" t="s">
        <v>12802</v>
      </c>
      <c r="V5893" t="s">
        <v>12802</v>
      </c>
      <c r="W5893" t="s">
        <v>18626</v>
      </c>
      <c r="X5893">
        <v>8</v>
      </c>
      <c r="Y5893" t="s">
        <v>24833</v>
      </c>
      <c r="Z5893" t="s">
        <v>31211</v>
      </c>
      <c r="AA5893">
        <v>0.35206204581726919</v>
      </c>
      <c r="AB5893" t="str">
        <f>HYPERLINK("Melting_Curves/meltCurve_Q9NZN5_2_ARHGEF12.pdf", "Melting_Curves/meltCurve_Q9NZN5_2_ARHGEF12.pdf")</f>
        <v>Melting_Curves/meltCurve_Q9NZN5_2_ARHGEF12.pdf</v>
      </c>
    </row>
    <row r="5894" spans="1:28" x14ac:dyDescent="0.25">
      <c r="A5894" t="s">
        <v>5898</v>
      </c>
      <c r="B5894">
        <v>0.99542014353169495</v>
      </c>
      <c r="C5894">
        <v>1.06188297237697</v>
      </c>
      <c r="D5894">
        <v>0.87867204750955996</v>
      </c>
      <c r="E5894">
        <v>0.54154629208667404</v>
      </c>
      <c r="F5894">
        <v>0.27116490814675798</v>
      </c>
      <c r="G5894">
        <v>0.16888089198600101</v>
      </c>
      <c r="H5894">
        <v>9.0705909961692102E-2</v>
      </c>
      <c r="I5894">
        <v>6.6997677729158697E-2</v>
      </c>
      <c r="J5894">
        <v>8.3612397071533395E-2</v>
      </c>
      <c r="K5894">
        <v>3.0035123603960101E-2</v>
      </c>
      <c r="L5894">
        <v>959.04504562165698</v>
      </c>
      <c r="M5894">
        <v>20.434398632195801</v>
      </c>
      <c r="N5894">
        <v>47.2659756645794</v>
      </c>
      <c r="O5894">
        <v>46.4903471121659</v>
      </c>
      <c r="P5894">
        <v>-0.102519360299641</v>
      </c>
      <c r="Q5894">
        <v>6.7060007054043497E-2</v>
      </c>
      <c r="R5894">
        <v>0.99261183812303799</v>
      </c>
      <c r="S5894" t="s">
        <v>12296</v>
      </c>
      <c r="T5894" t="s">
        <v>12802</v>
      </c>
      <c r="U5894" t="s">
        <v>12802</v>
      </c>
      <c r="V5894" t="s">
        <v>12802</v>
      </c>
      <c r="W5894" t="s">
        <v>18627</v>
      </c>
      <c r="X5894">
        <v>6</v>
      </c>
      <c r="Y5894" t="s">
        <v>24834</v>
      </c>
      <c r="Z5894" t="s">
        <v>31212</v>
      </c>
      <c r="AA5894">
        <v>0.38765864933177407</v>
      </c>
      <c r="AB5894" t="str">
        <f>HYPERLINK("Melting_Curves/meltCurve_Q9NZQ3_3_NCKIPSD.pdf", "Melting_Curves/meltCurve_Q9NZQ3_3_NCKIPSD.pdf")</f>
        <v>Melting_Curves/meltCurve_Q9NZQ3_3_NCKIPSD.pdf</v>
      </c>
    </row>
    <row r="5895" spans="1:28" x14ac:dyDescent="0.25">
      <c r="A5895" t="s">
        <v>5899</v>
      </c>
      <c r="B5895">
        <v>0.99542014353169495</v>
      </c>
      <c r="C5895">
        <v>0.97070649114325902</v>
      </c>
      <c r="D5895">
        <v>0.728820628025176</v>
      </c>
      <c r="E5895">
        <v>0.28347315783814803</v>
      </c>
      <c r="F5895">
        <v>0.13643778153820299</v>
      </c>
      <c r="G5895">
        <v>7.9830326160623299E-2</v>
      </c>
      <c r="H5895">
        <v>4.8912268880328201E-2</v>
      </c>
      <c r="I5895">
        <v>2.6708373151300601E-2</v>
      </c>
      <c r="J5895">
        <v>3.0296625636533799E-2</v>
      </c>
      <c r="K5895">
        <v>2.0798582411102801E-2</v>
      </c>
      <c r="L5895">
        <v>1068.81016403685</v>
      </c>
      <c r="M5895">
        <v>23.9219963695232</v>
      </c>
      <c r="N5895">
        <v>44.835726488212998</v>
      </c>
      <c r="O5895">
        <v>44.370263189679598</v>
      </c>
      <c r="P5895">
        <v>-0.12938101033727101</v>
      </c>
      <c r="Q5895">
        <v>4.0117319500143703E-2</v>
      </c>
      <c r="R5895">
        <v>0.99788620292956598</v>
      </c>
      <c r="S5895" t="s">
        <v>12297</v>
      </c>
      <c r="T5895" t="s">
        <v>12802</v>
      </c>
      <c r="U5895" t="s">
        <v>12802</v>
      </c>
      <c r="V5895" t="s">
        <v>12802</v>
      </c>
      <c r="W5895" t="s">
        <v>18628</v>
      </c>
      <c r="X5895">
        <v>15</v>
      </c>
      <c r="Y5895" t="s">
        <v>24835</v>
      </c>
      <c r="Z5895" t="s">
        <v>31213</v>
      </c>
      <c r="AA5895">
        <v>0.29445651036165882</v>
      </c>
      <c r="AB5895" t="str">
        <f>HYPERLINK("Melting_Curves/meltCurve_Q9NZT2_2_OGFR.pdf", "Melting_Curves/meltCurve_Q9NZT2_2_OGFR.pdf")</f>
        <v>Melting_Curves/meltCurve_Q9NZT2_2_OGFR.pdf</v>
      </c>
    </row>
    <row r="5896" spans="1:28" x14ac:dyDescent="0.25">
      <c r="A5896" t="s">
        <v>5900</v>
      </c>
      <c r="B5896">
        <v>0.99542014353169495</v>
      </c>
      <c r="C5896">
        <v>0.98107831452167704</v>
      </c>
      <c r="D5896">
        <v>1.00030697174881</v>
      </c>
      <c r="E5896">
        <v>0.851267938298511</v>
      </c>
      <c r="F5896">
        <v>0.44222992613526402</v>
      </c>
      <c r="G5896">
        <v>0.14195714037148899</v>
      </c>
      <c r="H5896">
        <v>0.10819956196062699</v>
      </c>
      <c r="I5896">
        <v>8.5585170401758295E-2</v>
      </c>
      <c r="J5896">
        <v>9.7722865480770804E-2</v>
      </c>
      <c r="K5896">
        <v>9.7424703669020396E-2</v>
      </c>
      <c r="L5896">
        <v>1454.0973787129001</v>
      </c>
      <c r="M5896">
        <v>29.477338101388298</v>
      </c>
      <c r="N5896">
        <v>49.661062730877497</v>
      </c>
      <c r="O5896">
        <v>49.1039887733101</v>
      </c>
      <c r="P5896">
        <v>-0.13666594471150101</v>
      </c>
      <c r="Q5896">
        <v>8.9362277402655801E-2</v>
      </c>
      <c r="R5896">
        <v>0.99918699973912695</v>
      </c>
      <c r="S5896" t="s">
        <v>12298</v>
      </c>
      <c r="T5896" t="s">
        <v>12802</v>
      </c>
      <c r="U5896" t="s">
        <v>12802</v>
      </c>
      <c r="V5896" t="s">
        <v>12802</v>
      </c>
      <c r="W5896" t="s">
        <v>18629</v>
      </c>
      <c r="X5896">
        <v>23</v>
      </c>
      <c r="Y5896" t="s">
        <v>24836</v>
      </c>
      <c r="Z5896" t="s">
        <v>31214</v>
      </c>
      <c r="AA5896">
        <v>0.46933488108809479</v>
      </c>
      <c r="AB5896" t="str">
        <f>HYPERLINK("Melting_Curves/meltCurve_Q9NZW5_MPP6.pdf", "Melting_Curves/meltCurve_Q9NZW5_MPP6.pdf")</f>
        <v>Melting_Curves/meltCurve_Q9NZW5_MPP6.pdf</v>
      </c>
    </row>
    <row r="5897" spans="1:28" x14ac:dyDescent="0.25">
      <c r="A5897" t="s">
        <v>5901</v>
      </c>
      <c r="B5897">
        <v>0.99542014353169495</v>
      </c>
      <c r="C5897">
        <v>0.99988508029581502</v>
      </c>
      <c r="D5897">
        <v>1.03194178076003</v>
      </c>
      <c r="E5897">
        <v>1.0833852985866199</v>
      </c>
      <c r="F5897">
        <v>0.81279559922759004</v>
      </c>
      <c r="G5897">
        <v>0.82507925100014401</v>
      </c>
      <c r="H5897">
        <v>0.58155177684185799</v>
      </c>
      <c r="I5897">
        <v>0.59739705217652095</v>
      </c>
      <c r="J5897">
        <v>1.00173319463652</v>
      </c>
      <c r="K5897">
        <v>1.28770161678962</v>
      </c>
      <c r="L5897">
        <v>4265.04520800712</v>
      </c>
      <c r="M5897">
        <v>87.875199086078098</v>
      </c>
      <c r="O5897">
        <v>48.510134825534799</v>
      </c>
      <c r="P5897">
        <v>-6.7693818793479799E-2</v>
      </c>
      <c r="Q5897">
        <v>0.85052273785947197</v>
      </c>
      <c r="R5897">
        <v>0.16312307545971599</v>
      </c>
      <c r="S5897" t="s">
        <v>12299</v>
      </c>
      <c r="T5897" t="s">
        <v>12802</v>
      </c>
      <c r="U5897" t="s">
        <v>12802</v>
      </c>
      <c r="V5897" t="s">
        <v>12802</v>
      </c>
      <c r="W5897" t="s">
        <v>18630</v>
      </c>
      <c r="X5897">
        <v>9</v>
      </c>
      <c r="Y5897" t="s">
        <v>24837</v>
      </c>
      <c r="Z5897" t="s">
        <v>31215</v>
      </c>
      <c r="AA5897">
        <v>0.90810122992580067</v>
      </c>
      <c r="AB5897" t="str">
        <f>HYPERLINK("Melting_Curves/meltCurve_Q9NZZ3_CHMP5.pdf", "Melting_Curves/meltCurve_Q9NZZ3_CHMP5.pdf")</f>
        <v>Melting_Curves/meltCurve_Q9NZZ3_CHMP5.pdf</v>
      </c>
    </row>
    <row r="5898" spans="1:28" x14ac:dyDescent="0.25">
      <c r="A5898" t="s">
        <v>5902</v>
      </c>
      <c r="B5898">
        <v>0.99542014353169495</v>
      </c>
      <c r="C5898">
        <v>0.98498405949447398</v>
      </c>
      <c r="D5898">
        <v>0.87982507586759895</v>
      </c>
      <c r="E5898">
        <v>0.738431696204082</v>
      </c>
      <c r="F5898">
        <v>0.56688776148952802</v>
      </c>
      <c r="G5898">
        <v>0.35474932550528498</v>
      </c>
      <c r="H5898">
        <v>0.158482322497488</v>
      </c>
      <c r="I5898">
        <v>0.114292922347713</v>
      </c>
      <c r="J5898">
        <v>0.12583056196205</v>
      </c>
      <c r="K5898">
        <v>0.191096813513076</v>
      </c>
      <c r="L5898">
        <v>708.35309235309205</v>
      </c>
      <c r="M5898">
        <v>14.206195134733001</v>
      </c>
      <c r="N5898">
        <v>50.624075807191403</v>
      </c>
      <c r="O5898">
        <v>48.905447303241701</v>
      </c>
      <c r="P5898">
        <v>-6.5640132679526106E-2</v>
      </c>
      <c r="Q5898">
        <v>9.6236863875652501E-2</v>
      </c>
      <c r="R5898">
        <v>0.98802441507425198</v>
      </c>
      <c r="S5898" t="s">
        <v>12300</v>
      </c>
      <c r="T5898" t="s">
        <v>12802</v>
      </c>
      <c r="U5898" t="s">
        <v>12802</v>
      </c>
      <c r="V5898" t="s">
        <v>12802</v>
      </c>
      <c r="W5898" t="s">
        <v>18631</v>
      </c>
      <c r="X5898">
        <v>6</v>
      </c>
      <c r="Y5898" t="s">
        <v>24838</v>
      </c>
      <c r="Z5898" t="s">
        <v>31216</v>
      </c>
      <c r="AA5898">
        <v>0.50422877802509569</v>
      </c>
      <c r="AB5898" t="str">
        <f>HYPERLINK("Melting_Curves/meltCurve_Q9P000_COMMD9.pdf", "Melting_Curves/meltCurve_Q9P000_COMMD9.pdf")</f>
        <v>Melting_Curves/meltCurve_Q9P000_COMMD9.pdf</v>
      </c>
    </row>
    <row r="5899" spans="1:28" x14ac:dyDescent="0.25">
      <c r="A5899" t="s">
        <v>5903</v>
      </c>
      <c r="B5899">
        <v>0.99542014353169495</v>
      </c>
      <c r="C5899">
        <v>1.00720371455848</v>
      </c>
      <c r="D5899">
        <v>0.95485143398609496</v>
      </c>
      <c r="E5899">
        <v>0.98628697144125899</v>
      </c>
      <c r="F5899">
        <v>0.88478688426115704</v>
      </c>
      <c r="G5899">
        <v>0.85202307454382098</v>
      </c>
      <c r="H5899">
        <v>0.70277676685329604</v>
      </c>
      <c r="I5899">
        <v>0.66954298251402999</v>
      </c>
      <c r="J5899">
        <v>0.97690531260104996</v>
      </c>
      <c r="K5899">
        <v>1.2334825663078799</v>
      </c>
      <c r="L5899">
        <v>11742.4463047152</v>
      </c>
      <c r="M5899">
        <v>250</v>
      </c>
      <c r="O5899">
        <v>46.966784727968403</v>
      </c>
      <c r="P5899">
        <v>-0.15092281552347001</v>
      </c>
      <c r="Q5899">
        <v>0.88658626262595897</v>
      </c>
      <c r="R5899">
        <v>9.7921236093945402E-2</v>
      </c>
      <c r="S5899" t="s">
        <v>12301</v>
      </c>
      <c r="T5899" t="s">
        <v>12802</v>
      </c>
      <c r="U5899" t="s">
        <v>12802</v>
      </c>
      <c r="V5899" t="s">
        <v>12802</v>
      </c>
      <c r="W5899" t="s">
        <v>18632</v>
      </c>
      <c r="X5899">
        <v>15</v>
      </c>
      <c r="Y5899" t="s">
        <v>24839</v>
      </c>
      <c r="Z5899" t="s">
        <v>31217</v>
      </c>
      <c r="AA5899">
        <v>0.92428596487744497</v>
      </c>
      <c r="AB5899" t="str">
        <f>HYPERLINK("Melting_Curves/meltCurve_Q9P013_CWC15.pdf", "Melting_Curves/meltCurve_Q9P013_CWC15.pdf")</f>
        <v>Melting_Curves/meltCurve_Q9P013_CWC15.pdf</v>
      </c>
    </row>
    <row r="5900" spans="1:28" x14ac:dyDescent="0.25">
      <c r="A5900" t="s">
        <v>5904</v>
      </c>
      <c r="B5900">
        <v>0.99542014353169495</v>
      </c>
      <c r="C5900">
        <v>1.0214421639668401</v>
      </c>
      <c r="D5900">
        <v>0.96159509266150101</v>
      </c>
      <c r="E5900">
        <v>0.92961004241286005</v>
      </c>
      <c r="F5900">
        <v>0.52838837728145605</v>
      </c>
      <c r="G5900">
        <v>0.15185594050645099</v>
      </c>
      <c r="H5900">
        <v>6.7286969514457007E-2</v>
      </c>
      <c r="I5900">
        <v>4.1059378682335397E-2</v>
      </c>
      <c r="J5900">
        <v>4.2993922687183099E-2</v>
      </c>
      <c r="K5900">
        <v>4.6923336472828703E-2</v>
      </c>
      <c r="L5900">
        <v>1566.7374535075901</v>
      </c>
      <c r="M5900">
        <v>31.176046804960102</v>
      </c>
      <c r="N5900">
        <v>50.4007728579613</v>
      </c>
      <c r="O5900">
        <v>50.049095104000997</v>
      </c>
      <c r="P5900">
        <v>-0.14899344284705801</v>
      </c>
      <c r="Q5900">
        <v>4.3246497018774498E-2</v>
      </c>
      <c r="R5900">
        <v>0.99906620396261003</v>
      </c>
      <c r="S5900" t="s">
        <v>12302</v>
      </c>
      <c r="T5900" t="s">
        <v>12802</v>
      </c>
      <c r="U5900" t="s">
        <v>12802</v>
      </c>
      <c r="V5900" t="s">
        <v>12802</v>
      </c>
      <c r="W5900" t="s">
        <v>18633</v>
      </c>
      <c r="X5900">
        <v>15</v>
      </c>
      <c r="Y5900" t="s">
        <v>24840</v>
      </c>
      <c r="Z5900" t="s">
        <v>31218</v>
      </c>
      <c r="AA5900">
        <v>0.47142051626953357</v>
      </c>
      <c r="AB5900" t="str">
        <f>HYPERLINK("Melting_Curves/meltCurve_Q9P016_THYN1.pdf", "Melting_Curves/meltCurve_Q9P016_THYN1.pdf")</f>
        <v>Melting_Curves/meltCurve_Q9P016_THYN1.pdf</v>
      </c>
    </row>
    <row r="5901" spans="1:28" x14ac:dyDescent="0.25">
      <c r="A5901" t="s">
        <v>5905</v>
      </c>
      <c r="B5901">
        <v>0.99542014353169495</v>
      </c>
      <c r="C5901">
        <v>1.1631357832437099</v>
      </c>
      <c r="D5901">
        <v>0.89412435222783904</v>
      </c>
      <c r="E5901">
        <v>1.0109752659465401</v>
      </c>
      <c r="F5901">
        <v>0.863066544767503</v>
      </c>
      <c r="G5901">
        <v>0.59582006671544396</v>
      </c>
      <c r="H5901">
        <v>0.433484294906259</v>
      </c>
      <c r="I5901">
        <v>0.36140548389314198</v>
      </c>
      <c r="J5901">
        <v>0.55871973944104503</v>
      </c>
      <c r="K5901">
        <v>0.592021941381491</v>
      </c>
      <c r="L5901">
        <v>2029.9665565764601</v>
      </c>
      <c r="M5901">
        <v>39.329660207355502</v>
      </c>
      <c r="N5901">
        <v>57.017144313376697</v>
      </c>
      <c r="O5901">
        <v>51.481240566269598</v>
      </c>
      <c r="P5901">
        <v>-9.7793610621720706E-2</v>
      </c>
      <c r="Q5901">
        <v>0.48796657001862098</v>
      </c>
      <c r="R5901">
        <v>0.88801532781647297</v>
      </c>
      <c r="S5901" t="s">
        <v>12303</v>
      </c>
      <c r="T5901" t="s">
        <v>12802</v>
      </c>
      <c r="U5901" t="s">
        <v>12802</v>
      </c>
      <c r="V5901" t="s">
        <v>12802</v>
      </c>
      <c r="W5901" t="s">
        <v>18634</v>
      </c>
      <c r="X5901">
        <v>1</v>
      </c>
      <c r="Y5901" t="s">
        <v>24841</v>
      </c>
      <c r="Z5901" t="s">
        <v>31219</v>
      </c>
      <c r="AA5901">
        <v>0.73928337258908949</v>
      </c>
      <c r="AB5901" t="str">
        <f>HYPERLINK("Melting_Curves/meltCurve_Q9P021_CRIPT.pdf", "Melting_Curves/meltCurve_Q9P021_CRIPT.pdf")</f>
        <v>Melting_Curves/meltCurve_Q9P021_CRIPT.pdf</v>
      </c>
    </row>
    <row r="5902" spans="1:28" x14ac:dyDescent="0.25">
      <c r="A5902" t="s">
        <v>5906</v>
      </c>
      <c r="B5902">
        <v>0.99542014353169495</v>
      </c>
      <c r="C5902">
        <v>0.86032544302453795</v>
      </c>
      <c r="D5902">
        <v>0.96232023071849304</v>
      </c>
      <c r="E5902">
        <v>0.79920685346225395</v>
      </c>
      <c r="F5902">
        <v>0.60207723278428305</v>
      </c>
      <c r="G5902">
        <v>0.31885749513012701</v>
      </c>
      <c r="H5902">
        <v>0.167996330701806</v>
      </c>
      <c r="I5902">
        <v>0.107380400125903</v>
      </c>
      <c r="J5902">
        <v>9.1643128225621595E-2</v>
      </c>
      <c r="K5902">
        <v>9.3027693171464296E-2</v>
      </c>
      <c r="L5902">
        <v>784.97156829708695</v>
      </c>
      <c r="M5902">
        <v>15.4513292115626</v>
      </c>
      <c r="N5902">
        <v>51.154711514437501</v>
      </c>
      <c r="O5902">
        <v>49.974709599268401</v>
      </c>
      <c r="P5902">
        <v>-7.3405746733661001E-2</v>
      </c>
      <c r="Q5902">
        <v>5.0411554204662999E-2</v>
      </c>
      <c r="R5902">
        <v>0.985979060278526</v>
      </c>
      <c r="S5902" t="s">
        <v>12304</v>
      </c>
      <c r="T5902" t="s">
        <v>12802</v>
      </c>
      <c r="U5902" t="s">
        <v>12802</v>
      </c>
      <c r="V5902" t="s">
        <v>12802</v>
      </c>
      <c r="W5902" t="s">
        <v>18635</v>
      </c>
      <c r="X5902">
        <v>8</v>
      </c>
      <c r="Y5902" t="s">
        <v>24842</v>
      </c>
      <c r="Z5902" t="s">
        <v>31220</v>
      </c>
      <c r="AA5902">
        <v>0.50582828649904721</v>
      </c>
      <c r="AB5902" t="str">
        <f>HYPERLINK("Melting_Curves/meltCurve_Q9P032_NDUFAF4.pdf", "Melting_Curves/meltCurve_Q9P032_NDUFAF4.pdf")</f>
        <v>Melting_Curves/meltCurve_Q9P032_NDUFAF4.pdf</v>
      </c>
    </row>
    <row r="5903" spans="1:28" x14ac:dyDescent="0.25">
      <c r="A5903" t="s">
        <v>5907</v>
      </c>
      <c r="B5903">
        <v>0.99542014353169495</v>
      </c>
      <c r="C5903">
        <v>0.86082888604964902</v>
      </c>
      <c r="D5903">
        <v>0.94015107647592999</v>
      </c>
      <c r="E5903">
        <v>0.750188841069928</v>
      </c>
      <c r="F5903">
        <v>0.67459385879802403</v>
      </c>
      <c r="G5903">
        <v>0.35890812783437598</v>
      </c>
      <c r="H5903">
        <v>0.27432490948780802</v>
      </c>
      <c r="I5903">
        <v>0.18654808929409999</v>
      </c>
      <c r="J5903">
        <v>0.18874719830433001</v>
      </c>
      <c r="K5903">
        <v>0.21394917982896</v>
      </c>
      <c r="L5903">
        <v>651.97782775793598</v>
      </c>
      <c r="M5903">
        <v>12.891073293262201</v>
      </c>
      <c r="N5903">
        <v>51.832454584877802</v>
      </c>
      <c r="O5903">
        <v>49.405223503568202</v>
      </c>
      <c r="P5903">
        <v>-5.6487877285849301E-2</v>
      </c>
      <c r="Q5903">
        <v>0.134195645898635</v>
      </c>
      <c r="R5903">
        <v>0.97230030759901898</v>
      </c>
      <c r="S5903" t="s">
        <v>12305</v>
      </c>
      <c r="T5903" t="s">
        <v>12802</v>
      </c>
      <c r="U5903" t="s">
        <v>12802</v>
      </c>
      <c r="V5903" t="s">
        <v>12802</v>
      </c>
      <c r="W5903" t="s">
        <v>18636</v>
      </c>
      <c r="X5903">
        <v>7</v>
      </c>
      <c r="Y5903" t="s">
        <v>24843</v>
      </c>
      <c r="Z5903" t="s">
        <v>31221</v>
      </c>
      <c r="AA5903">
        <v>0.54749276089818166</v>
      </c>
      <c r="AB5903" t="str">
        <f>HYPERLINK("Melting_Curves/meltCurve_Q9P035_PTPLAD1.pdf", "Melting_Curves/meltCurve_Q9P035_PTPLAD1.pdf")</f>
        <v>Melting_Curves/meltCurve_Q9P035_PTPLAD1.pdf</v>
      </c>
    </row>
    <row r="5904" spans="1:28" x14ac:dyDescent="0.25">
      <c r="A5904" t="s">
        <v>5908</v>
      </c>
      <c r="B5904">
        <v>0.99542014353169495</v>
      </c>
      <c r="C5904">
        <v>0.76039258679916299</v>
      </c>
      <c r="D5904">
        <v>0.78586929613726098</v>
      </c>
      <c r="E5904">
        <v>0.53886928963899705</v>
      </c>
      <c r="F5904">
        <v>0.39346649540162798</v>
      </c>
      <c r="G5904">
        <v>0.17018450301945001</v>
      </c>
      <c r="H5904">
        <v>9.3097657554630897E-2</v>
      </c>
      <c r="I5904">
        <v>7.0575659963566198E-2</v>
      </c>
      <c r="J5904">
        <v>8.2704503818957498E-2</v>
      </c>
      <c r="K5904">
        <v>0.10303350534514499</v>
      </c>
      <c r="L5904">
        <v>509.27107634602697</v>
      </c>
      <c r="M5904">
        <v>10.8337563865961</v>
      </c>
      <c r="N5904">
        <v>47.156656010962202</v>
      </c>
      <c r="O5904">
        <v>45.491200989188798</v>
      </c>
      <c r="P5904">
        <v>-5.8557779866219503E-2</v>
      </c>
      <c r="Q5904">
        <v>1.6809758302596501E-2</v>
      </c>
      <c r="R5904">
        <v>0.97521591056449597</v>
      </c>
      <c r="S5904" t="s">
        <v>12306</v>
      </c>
      <c r="T5904" t="s">
        <v>12802</v>
      </c>
      <c r="U5904" t="s">
        <v>12802</v>
      </c>
      <c r="V5904" t="s">
        <v>12802</v>
      </c>
      <c r="W5904" t="s">
        <v>18637</v>
      </c>
      <c r="X5904">
        <v>2</v>
      </c>
      <c r="Y5904" t="s">
        <v>24844</v>
      </c>
      <c r="Z5904" t="s">
        <v>31222</v>
      </c>
      <c r="AA5904">
        <v>0.38258368449920949</v>
      </c>
      <c r="AB5904" t="str">
        <f>HYPERLINK("Melting_Curves/meltCurve_Q9P0B6_CCDC167.pdf", "Melting_Curves/meltCurve_Q9P0B6_CCDC167.pdf")</f>
        <v>Melting_Curves/meltCurve_Q9P0B6_CCDC167.pdf</v>
      </c>
    </row>
    <row r="5905" spans="1:28" x14ac:dyDescent="0.25">
      <c r="A5905" t="s">
        <v>5909</v>
      </c>
      <c r="B5905">
        <v>0.99542014353169495</v>
      </c>
      <c r="C5905">
        <v>0.82213075195205898</v>
      </c>
      <c r="D5905">
        <v>0.938183438089777</v>
      </c>
      <c r="E5905">
        <v>0.65519007829781595</v>
      </c>
      <c r="F5905">
        <v>0.65455033576282196</v>
      </c>
      <c r="G5905">
        <v>0.29633085580635199</v>
      </c>
      <c r="H5905">
        <v>0.118621832394937</v>
      </c>
      <c r="I5905">
        <v>7.0450068555536705E-2</v>
      </c>
      <c r="J5905">
        <v>6.9741937134925394E-2</v>
      </c>
      <c r="K5905">
        <v>5.9616083382204602E-2</v>
      </c>
      <c r="L5905">
        <v>629.77558939314201</v>
      </c>
      <c r="M5905">
        <v>12.470274846686999</v>
      </c>
      <c r="N5905">
        <v>50.502144736918602</v>
      </c>
      <c r="O5905">
        <v>49.256194255739402</v>
      </c>
      <c r="P5905">
        <v>-6.3306073005844093E-2</v>
      </c>
      <c r="Q5905">
        <v>0</v>
      </c>
      <c r="R5905">
        <v>0.95970155493451303</v>
      </c>
      <c r="S5905" t="s">
        <v>12307</v>
      </c>
      <c r="T5905" t="s">
        <v>12802</v>
      </c>
      <c r="U5905" t="s">
        <v>12802</v>
      </c>
      <c r="V5905" t="s">
        <v>12802</v>
      </c>
      <c r="W5905" t="s">
        <v>18638</v>
      </c>
      <c r="X5905">
        <v>6</v>
      </c>
      <c r="Y5905" t="s">
        <v>24845</v>
      </c>
      <c r="Z5905" t="s">
        <v>31223</v>
      </c>
      <c r="AA5905">
        <v>0.47598510067910338</v>
      </c>
      <c r="AB5905" t="str">
        <f>HYPERLINK("Melting_Curves/meltCurve_Q9P0I2_EMC3.pdf", "Melting_Curves/meltCurve_Q9P0I2_EMC3.pdf")</f>
        <v>Melting_Curves/meltCurve_Q9P0I2_EMC3.pdf</v>
      </c>
    </row>
    <row r="5906" spans="1:28" x14ac:dyDescent="0.25">
      <c r="A5906" t="s">
        <v>5910</v>
      </c>
      <c r="B5906">
        <v>0.99542014353169495</v>
      </c>
      <c r="C5906">
        <v>0.88229708978779298</v>
      </c>
      <c r="D5906">
        <v>0.89140666157718595</v>
      </c>
      <c r="E5906">
        <v>0.66877924114062204</v>
      </c>
      <c r="F5906">
        <v>0.29531724045452801</v>
      </c>
      <c r="G5906">
        <v>0.18143246527748599</v>
      </c>
      <c r="H5906">
        <v>0.139166858990626</v>
      </c>
      <c r="I5906">
        <v>0.10605104048406799</v>
      </c>
      <c r="J5906">
        <v>9.4964575084071204E-2</v>
      </c>
      <c r="K5906">
        <v>0.11671459018543701</v>
      </c>
      <c r="L5906">
        <v>929.24638441350999</v>
      </c>
      <c r="M5906">
        <v>19.5721303452844</v>
      </c>
      <c r="N5906">
        <v>48.016271753522602</v>
      </c>
      <c r="O5906">
        <v>46.990734162157402</v>
      </c>
      <c r="P5906">
        <v>-9.3874812425476795E-2</v>
      </c>
      <c r="Q5906">
        <v>9.8495720173345902E-2</v>
      </c>
      <c r="R5906">
        <v>0.99028707813293304</v>
      </c>
      <c r="S5906" t="s">
        <v>12308</v>
      </c>
      <c r="T5906" t="s">
        <v>12802</v>
      </c>
      <c r="U5906" t="s">
        <v>12802</v>
      </c>
      <c r="V5906" t="s">
        <v>12802</v>
      </c>
      <c r="W5906" t="s">
        <v>18639</v>
      </c>
      <c r="X5906">
        <v>3</v>
      </c>
      <c r="Y5906" t="s">
        <v>24846</v>
      </c>
      <c r="Z5906" t="s">
        <v>31224</v>
      </c>
      <c r="AA5906">
        <v>0.42568538930637212</v>
      </c>
      <c r="AB5906" t="str">
        <f>HYPERLINK("Melting_Curves/meltCurve_Q9P0J7_KCMF1.pdf", "Melting_Curves/meltCurve_Q9P0J7_KCMF1.pdf")</f>
        <v>Melting_Curves/meltCurve_Q9P0J7_KCMF1.pdf</v>
      </c>
    </row>
    <row r="5907" spans="1:28" x14ac:dyDescent="0.25">
      <c r="A5907" t="s">
        <v>5911</v>
      </c>
      <c r="B5907">
        <v>0.99542014353169495</v>
      </c>
      <c r="C5907">
        <v>0.93860762740504899</v>
      </c>
      <c r="D5907">
        <v>0.97488692866014803</v>
      </c>
      <c r="E5907">
        <v>0.73468444741039396</v>
      </c>
      <c r="F5907">
        <v>0.69222742210633104</v>
      </c>
      <c r="G5907">
        <v>0.466618217305935</v>
      </c>
      <c r="H5907">
        <v>0.29591146251250799</v>
      </c>
      <c r="I5907">
        <v>0.10353646202479901</v>
      </c>
      <c r="J5907">
        <v>5.0170172840680698E-2</v>
      </c>
      <c r="K5907">
        <v>5.2822963261889101E-2</v>
      </c>
      <c r="L5907">
        <v>654.66950954089805</v>
      </c>
      <c r="M5907">
        <v>12.432781644339</v>
      </c>
      <c r="N5907">
        <v>52.656729140089197</v>
      </c>
      <c r="O5907">
        <v>51.350089495973698</v>
      </c>
      <c r="P5907">
        <v>-6.0542222093293699E-2</v>
      </c>
      <c r="Q5907">
        <v>0</v>
      </c>
      <c r="R5907">
        <v>0.98373410543052398</v>
      </c>
      <c r="S5907" t="s">
        <v>12309</v>
      </c>
      <c r="T5907" t="s">
        <v>12802</v>
      </c>
      <c r="U5907" t="s">
        <v>12802</v>
      </c>
      <c r="V5907" t="s">
        <v>12802</v>
      </c>
      <c r="W5907" t="s">
        <v>18640</v>
      </c>
      <c r="X5907">
        <v>24</v>
      </c>
      <c r="Y5907" t="s">
        <v>24847</v>
      </c>
      <c r="Z5907" t="s">
        <v>31225</v>
      </c>
      <c r="AA5907">
        <v>0.54343353891649271</v>
      </c>
      <c r="AB5907" t="str">
        <f>HYPERLINK("Melting_Curves/meltCurve_Q9P0L0_VAPA.pdf", "Melting_Curves/meltCurve_Q9P0L0_VAPA.pdf")</f>
        <v>Melting_Curves/meltCurve_Q9P0L0_VAPA.pdf</v>
      </c>
    </row>
    <row r="5908" spans="1:28" x14ac:dyDescent="0.25">
      <c r="A5908" t="s">
        <v>5912</v>
      </c>
      <c r="B5908">
        <v>0.99542014353169495</v>
      </c>
      <c r="C5908">
        <v>1.03581319188557</v>
      </c>
      <c r="D5908">
        <v>0.86545102186991296</v>
      </c>
      <c r="E5908">
        <v>0.48927578381638498</v>
      </c>
      <c r="F5908">
        <v>0.18795165703625299</v>
      </c>
      <c r="G5908">
        <v>0.110908310341136</v>
      </c>
      <c r="H5908">
        <v>6.9813061911306304E-2</v>
      </c>
      <c r="I5908">
        <v>3.6388910074788498E-2</v>
      </c>
      <c r="J5908">
        <v>3.8127524029280602E-2</v>
      </c>
      <c r="K5908">
        <v>4.9781470387553997E-2</v>
      </c>
      <c r="L5908">
        <v>1094.25415812192</v>
      </c>
      <c r="M5908">
        <v>23.602089209939699</v>
      </c>
      <c r="N5908">
        <v>46.573085769770302</v>
      </c>
      <c r="O5908">
        <v>46.033620018585303</v>
      </c>
      <c r="P5908">
        <v>-0.121696207176355</v>
      </c>
      <c r="Q5908">
        <v>5.0588796108071502E-2</v>
      </c>
      <c r="R5908">
        <v>0.99721429581612597</v>
      </c>
      <c r="S5908" t="s">
        <v>12310</v>
      </c>
      <c r="T5908" t="s">
        <v>12802</v>
      </c>
      <c r="U5908" t="s">
        <v>12802</v>
      </c>
      <c r="V5908" t="s">
        <v>12802</v>
      </c>
      <c r="W5908" t="s">
        <v>18641</v>
      </c>
      <c r="X5908">
        <v>5</v>
      </c>
      <c r="Y5908" t="s">
        <v>24848</v>
      </c>
      <c r="Z5908" t="s">
        <v>31226</v>
      </c>
      <c r="AA5908">
        <v>0.35577131543006502</v>
      </c>
      <c r="AB5908" t="str">
        <f>HYPERLINK("Melting_Curves/meltCurve_Q9P0N9_3_TBC1D7.pdf", "Melting_Curves/meltCurve_Q9P0N9_3_TBC1D7.pdf")</f>
        <v>Melting_Curves/meltCurve_Q9P0N9_3_TBC1D7.pdf</v>
      </c>
    </row>
    <row r="5909" spans="1:28" x14ac:dyDescent="0.25">
      <c r="A5909" t="s">
        <v>5913</v>
      </c>
      <c r="B5909">
        <v>0.99542014353169495</v>
      </c>
      <c r="C5909">
        <v>1.0046023060439599</v>
      </c>
      <c r="D5909">
        <v>0.93808063670880404</v>
      </c>
      <c r="E5909">
        <v>0.92511390214929901</v>
      </c>
      <c r="F5909">
        <v>0.71909156810189401</v>
      </c>
      <c r="G5909">
        <v>0.56614877208492298</v>
      </c>
      <c r="H5909">
        <v>0.40606982573493799</v>
      </c>
      <c r="I5909">
        <v>0.40985179956062101</v>
      </c>
      <c r="J5909">
        <v>0.64662027469477301</v>
      </c>
      <c r="K5909">
        <v>0.83439762717425003</v>
      </c>
      <c r="L5909">
        <v>1715.9504079492499</v>
      </c>
      <c r="M5909">
        <v>35.032332775521098</v>
      </c>
      <c r="O5909">
        <v>48.823127353410896</v>
      </c>
      <c r="P5909">
        <v>-7.6936547656588097E-2</v>
      </c>
      <c r="Q5909">
        <v>0.57110829826537002</v>
      </c>
      <c r="R5909">
        <v>0.71975966597139296</v>
      </c>
      <c r="S5909" t="s">
        <v>12311</v>
      </c>
      <c r="T5909" t="s">
        <v>12802</v>
      </c>
      <c r="U5909" t="s">
        <v>12802</v>
      </c>
      <c r="V5909" t="s">
        <v>12802</v>
      </c>
      <c r="W5909" t="s">
        <v>18642</v>
      </c>
      <c r="X5909">
        <v>9</v>
      </c>
      <c r="Y5909" t="s">
        <v>24849</v>
      </c>
      <c r="Z5909" t="s">
        <v>31227</v>
      </c>
      <c r="AA5909">
        <v>0.74430198535498515</v>
      </c>
      <c r="AB5909" t="str">
        <f>HYPERLINK("Melting_Curves/meltCurve_Q9P0P0_RNF181.pdf", "Melting_Curves/meltCurve_Q9P0P0_RNF181.pdf")</f>
        <v>Melting_Curves/meltCurve_Q9P0P0_RNF181.pdf</v>
      </c>
    </row>
    <row r="5910" spans="1:28" x14ac:dyDescent="0.25">
      <c r="A5910" t="s">
        <v>5914</v>
      </c>
      <c r="B5910">
        <v>0.99542014353169495</v>
      </c>
      <c r="C5910">
        <v>0.97658655432608699</v>
      </c>
      <c r="D5910">
        <v>0.87603820556351097</v>
      </c>
      <c r="E5910">
        <v>0.87388013947876098</v>
      </c>
      <c r="F5910">
        <v>0.57292112168055798</v>
      </c>
      <c r="G5910">
        <v>0.34472790058045</v>
      </c>
      <c r="H5910">
        <v>0.118144777457887</v>
      </c>
      <c r="I5910">
        <v>5.31470393565769E-2</v>
      </c>
      <c r="J5910">
        <v>5.3042190176286398E-2</v>
      </c>
      <c r="K5910">
        <v>5.6930913479044103E-2</v>
      </c>
      <c r="L5910">
        <v>843.61897175549302</v>
      </c>
      <c r="M5910">
        <v>16.482673860306601</v>
      </c>
      <c r="N5910">
        <v>51.248756212729297</v>
      </c>
      <c r="O5910">
        <v>50.446596603566697</v>
      </c>
      <c r="P5910">
        <v>-8.0824059005186105E-2</v>
      </c>
      <c r="Q5910">
        <v>1.05942670377599E-2</v>
      </c>
      <c r="R5910">
        <v>0.99224361116413196</v>
      </c>
      <c r="S5910" t="s">
        <v>12312</v>
      </c>
      <c r="T5910" t="s">
        <v>12802</v>
      </c>
      <c r="U5910" t="s">
        <v>12802</v>
      </c>
      <c r="V5910" t="s">
        <v>12802</v>
      </c>
      <c r="W5910" t="s">
        <v>18643</v>
      </c>
      <c r="X5910">
        <v>4</v>
      </c>
      <c r="Y5910" t="s">
        <v>24850</v>
      </c>
      <c r="Z5910" t="s">
        <v>31228</v>
      </c>
      <c r="AA5910">
        <v>0.49572442830094737</v>
      </c>
      <c r="AB5910" t="str">
        <f>HYPERLINK("Melting_Curves/meltCurve_Q9P0R6_GSKIP.pdf", "Melting_Curves/meltCurve_Q9P0R6_GSKIP.pdf")</f>
        <v>Melting_Curves/meltCurve_Q9P0R6_GSKIP.pdf</v>
      </c>
    </row>
    <row r="5911" spans="1:28" x14ac:dyDescent="0.25">
      <c r="A5911" t="s">
        <v>5915</v>
      </c>
      <c r="B5911">
        <v>0.99542014353169495</v>
      </c>
      <c r="C5911">
        <v>0.98813271295843597</v>
      </c>
      <c r="D5911">
        <v>1.0412094708667901</v>
      </c>
      <c r="E5911">
        <v>0.99706999021831999</v>
      </c>
      <c r="F5911">
        <v>0.59252968207311596</v>
      </c>
      <c r="G5911">
        <v>0.41963068818668398</v>
      </c>
      <c r="H5911">
        <v>0.30579461482160197</v>
      </c>
      <c r="I5911">
        <v>0.247045645352992</v>
      </c>
      <c r="J5911">
        <v>0.37136758928838598</v>
      </c>
      <c r="K5911">
        <v>0.304602540917422</v>
      </c>
      <c r="L5911">
        <v>1910.96790168094</v>
      </c>
      <c r="M5911">
        <v>38.321989046969499</v>
      </c>
      <c r="N5911">
        <v>51.217283675241497</v>
      </c>
      <c r="O5911">
        <v>49.730898194853197</v>
      </c>
      <c r="P5911">
        <v>-0.13137199155905899</v>
      </c>
      <c r="Q5911">
        <v>0.31806990427453802</v>
      </c>
      <c r="R5911">
        <v>0.984061654934415</v>
      </c>
      <c r="S5911" t="s">
        <v>12313</v>
      </c>
      <c r="T5911" t="s">
        <v>12802</v>
      </c>
      <c r="U5911" t="s">
        <v>12802</v>
      </c>
      <c r="V5911" t="s">
        <v>12802</v>
      </c>
      <c r="W5911" t="s">
        <v>18644</v>
      </c>
      <c r="X5911">
        <v>2</v>
      </c>
      <c r="Y5911" t="s">
        <v>24851</v>
      </c>
      <c r="Z5911" t="s">
        <v>31229</v>
      </c>
      <c r="AA5911">
        <v>0.61308963129150607</v>
      </c>
      <c r="AB5911" t="str">
        <f>HYPERLINK("Melting_Curves/meltCurve_Q9P0S2_COX16.pdf", "Melting_Curves/meltCurve_Q9P0S2_COX16.pdf")</f>
        <v>Melting_Curves/meltCurve_Q9P0S2_COX16.pdf</v>
      </c>
    </row>
    <row r="5912" spans="1:28" x14ac:dyDescent="0.25">
      <c r="A5912" t="s">
        <v>5916</v>
      </c>
      <c r="B5912">
        <v>0.99542014353169495</v>
      </c>
      <c r="C5912">
        <v>0.75908882973893999</v>
      </c>
      <c r="D5912">
        <v>0.49983949310042203</v>
      </c>
      <c r="E5912">
        <v>0.29875073424720899</v>
      </c>
      <c r="F5912">
        <v>0.23338915704681101</v>
      </c>
      <c r="G5912">
        <v>0.139134608951967</v>
      </c>
      <c r="H5912">
        <v>8.7151617017449404E-2</v>
      </c>
      <c r="I5912">
        <v>5.5180788176820497E-2</v>
      </c>
      <c r="J5912">
        <v>4.8236663046993797E-2</v>
      </c>
      <c r="K5912">
        <v>5.2078934722683899E-2</v>
      </c>
      <c r="L5912">
        <v>603.34990110722697</v>
      </c>
      <c r="M5912">
        <v>13.9872019932158</v>
      </c>
      <c r="N5912">
        <v>43.529869475534902</v>
      </c>
      <c r="O5912">
        <v>42.2828609639677</v>
      </c>
      <c r="P5912">
        <v>-7.7793205276563596E-2</v>
      </c>
      <c r="Q5912">
        <v>5.9459983452820803E-2</v>
      </c>
      <c r="R5912">
        <v>0.98670345713624596</v>
      </c>
      <c r="S5912" t="s">
        <v>12314</v>
      </c>
      <c r="T5912" t="s">
        <v>12802</v>
      </c>
      <c r="U5912" t="s">
        <v>12802</v>
      </c>
      <c r="V5912" t="s">
        <v>12802</v>
      </c>
      <c r="W5912" t="s">
        <v>18645</v>
      </c>
      <c r="X5912">
        <v>5</v>
      </c>
      <c r="Y5912" t="s">
        <v>24852</v>
      </c>
      <c r="Z5912" t="s">
        <v>31230</v>
      </c>
      <c r="AA5912">
        <v>0.28033016220999468</v>
      </c>
      <c r="AB5912" t="str">
        <f>HYPERLINK("Melting_Curves/meltCurve_Q9P0U4_CXXC1.pdf", "Melting_Curves/meltCurve_Q9P0U4_CXXC1.pdf")</f>
        <v>Melting_Curves/meltCurve_Q9P0U4_CXXC1.pdf</v>
      </c>
    </row>
    <row r="5913" spans="1:28" x14ac:dyDescent="0.25">
      <c r="A5913" t="s">
        <v>5917</v>
      </c>
      <c r="B5913">
        <v>0.99542014353169495</v>
      </c>
      <c r="C5913">
        <v>0.77684986351072205</v>
      </c>
      <c r="D5913">
        <v>0.66632709431042803</v>
      </c>
      <c r="E5913">
        <v>0.348880071380061</v>
      </c>
      <c r="F5913">
        <v>0.203643110436489</v>
      </c>
      <c r="G5913">
        <v>0.103024075449954</v>
      </c>
      <c r="H5913">
        <v>9.1710524627140105E-2</v>
      </c>
      <c r="I5913">
        <v>4.3816816253063301E-2</v>
      </c>
      <c r="J5913">
        <v>0</v>
      </c>
      <c r="K5913">
        <v>0</v>
      </c>
      <c r="L5913">
        <v>582.20334773483103</v>
      </c>
      <c r="M5913">
        <v>13.0093215334199</v>
      </c>
      <c r="N5913">
        <v>44.7737932681651</v>
      </c>
      <c r="O5913">
        <v>43.734924764878102</v>
      </c>
      <c r="P5913">
        <v>-7.4151392904311705E-2</v>
      </c>
      <c r="Q5913">
        <v>3.0427498061376501E-3</v>
      </c>
      <c r="R5913">
        <v>0.99138665834526696</v>
      </c>
      <c r="S5913" t="s">
        <v>12315</v>
      </c>
      <c r="T5913" t="s">
        <v>12802</v>
      </c>
      <c r="U5913" t="s">
        <v>12802</v>
      </c>
      <c r="V5913" t="s">
        <v>12802</v>
      </c>
      <c r="W5913" t="s">
        <v>18646</v>
      </c>
      <c r="X5913">
        <v>6</v>
      </c>
      <c r="Y5913" t="s">
        <v>24853</v>
      </c>
      <c r="Z5913" t="s">
        <v>31231</v>
      </c>
      <c r="AA5913">
        <v>0.29232527515621443</v>
      </c>
      <c r="AB5913" t="str">
        <f>HYPERLINK("Melting_Curves/meltCurve_Q9P0W2_HMG20B.pdf", "Melting_Curves/meltCurve_Q9P0W2_HMG20B.pdf")</f>
        <v>Melting_Curves/meltCurve_Q9P0W2_HMG20B.pdf</v>
      </c>
    </row>
    <row r="5914" spans="1:28" x14ac:dyDescent="0.25">
      <c r="A5914" t="s">
        <v>5918</v>
      </c>
      <c r="B5914">
        <v>0.99542014353169495</v>
      </c>
      <c r="C5914">
        <v>0.73057237387586005</v>
      </c>
      <c r="D5914">
        <v>0.81598178808222399</v>
      </c>
      <c r="E5914">
        <v>0.46752881715851402</v>
      </c>
      <c r="F5914">
        <v>0.402528095824706</v>
      </c>
      <c r="G5914">
        <v>0.65185259969028697</v>
      </c>
      <c r="H5914">
        <v>0.56792067993474105</v>
      </c>
      <c r="I5914">
        <v>0.36279052009315998</v>
      </c>
      <c r="J5914">
        <v>0.47866759429932598</v>
      </c>
      <c r="K5914">
        <v>0.64164412104373303</v>
      </c>
      <c r="L5914">
        <v>748.49115573684696</v>
      </c>
      <c r="M5914">
        <v>18.086523474430201</v>
      </c>
      <c r="O5914">
        <v>40.887963853082802</v>
      </c>
      <c r="P5914">
        <v>-5.4326814562690597E-2</v>
      </c>
      <c r="Q5914">
        <v>0.50876024015931398</v>
      </c>
      <c r="R5914">
        <v>0.65769404936129905</v>
      </c>
      <c r="S5914" t="s">
        <v>12316</v>
      </c>
      <c r="T5914" t="s">
        <v>12802</v>
      </c>
      <c r="U5914" t="s">
        <v>12802</v>
      </c>
      <c r="V5914" t="s">
        <v>12802</v>
      </c>
      <c r="W5914" t="s">
        <v>18647</v>
      </c>
      <c r="X5914">
        <v>1</v>
      </c>
      <c r="Y5914" t="s">
        <v>24854</v>
      </c>
      <c r="Z5914" t="s">
        <v>31232</v>
      </c>
      <c r="AA5914">
        <v>0.59058679973789796</v>
      </c>
      <c r="AB5914" t="str">
        <f>HYPERLINK("Melting_Curves/meltCurve_Q9P1U0_ZNRD1.pdf", "Melting_Curves/meltCurve_Q9P1U0_ZNRD1.pdf")</f>
        <v>Melting_Curves/meltCurve_Q9P1U0_ZNRD1.pdf</v>
      </c>
    </row>
    <row r="5915" spans="1:28" x14ac:dyDescent="0.25">
      <c r="A5915" t="s">
        <v>5919</v>
      </c>
      <c r="B5915">
        <v>0.99542014353169495</v>
      </c>
      <c r="C5915">
        <v>0.91415861285817201</v>
      </c>
      <c r="D5915">
        <v>0.99635504071459102</v>
      </c>
      <c r="E5915">
        <v>0.94303698632870003</v>
      </c>
      <c r="F5915">
        <v>0.688787173147969</v>
      </c>
      <c r="G5915">
        <v>0.43472218374490401</v>
      </c>
      <c r="H5915">
        <v>0.31962458851165898</v>
      </c>
      <c r="I5915">
        <v>0.20606566297043</v>
      </c>
      <c r="J5915">
        <v>0.230937905501237</v>
      </c>
      <c r="K5915">
        <v>0.25636837181837502</v>
      </c>
      <c r="L5915">
        <v>1127.0340956262701</v>
      </c>
      <c r="M5915">
        <v>21.9780503464759</v>
      </c>
      <c r="N5915">
        <v>52.730561830562202</v>
      </c>
      <c r="O5915">
        <v>50.861120141981701</v>
      </c>
      <c r="P5915">
        <v>-8.3524717897107401E-2</v>
      </c>
      <c r="Q5915">
        <v>0.226853292686338</v>
      </c>
      <c r="R5915">
        <v>0.98957786920373503</v>
      </c>
      <c r="S5915" t="s">
        <v>12317</v>
      </c>
      <c r="T5915" t="s">
        <v>12802</v>
      </c>
      <c r="U5915" t="s">
        <v>12802</v>
      </c>
      <c r="V5915" t="s">
        <v>12802</v>
      </c>
      <c r="W5915" t="s">
        <v>18648</v>
      </c>
      <c r="X5915">
        <v>4</v>
      </c>
      <c r="Y5915" t="s">
        <v>24855</v>
      </c>
      <c r="Z5915" t="s">
        <v>31233</v>
      </c>
      <c r="AA5915">
        <v>0.60347753081657218</v>
      </c>
      <c r="AB5915" t="str">
        <f>HYPERLINK("Melting_Curves/meltCurve_Q9P1U1_ACTR3B.pdf", "Melting_Curves/meltCurve_Q9P1U1_ACTR3B.pdf")</f>
        <v>Melting_Curves/meltCurve_Q9P1U1_ACTR3B.pdf</v>
      </c>
    </row>
    <row r="5916" spans="1:28" x14ac:dyDescent="0.25">
      <c r="A5916" t="s">
        <v>5920</v>
      </c>
      <c r="B5916">
        <v>0.99542014353169495</v>
      </c>
      <c r="C5916">
        <v>0.872823014340813</v>
      </c>
      <c r="D5916">
        <v>0.67932520711766897</v>
      </c>
      <c r="E5916">
        <v>0.48214331696096702</v>
      </c>
      <c r="F5916">
        <v>0.17119240784783701</v>
      </c>
      <c r="G5916">
        <v>8.4991974355674793E-2</v>
      </c>
      <c r="H5916">
        <v>3.7534352423668503E-2</v>
      </c>
      <c r="I5916">
        <v>3.2535807867749698E-2</v>
      </c>
      <c r="J5916">
        <v>4.1969671162746303E-2</v>
      </c>
      <c r="K5916">
        <v>5.2279321008585303E-2</v>
      </c>
      <c r="L5916">
        <v>685.854605602991</v>
      </c>
      <c r="M5916">
        <v>15.0810598344417</v>
      </c>
      <c r="N5916">
        <v>45.5759401958612</v>
      </c>
      <c r="O5916">
        <v>44.7007311198143</v>
      </c>
      <c r="P5916">
        <v>-8.3006195048735396E-2</v>
      </c>
      <c r="Q5916">
        <v>1.59655479210432E-2</v>
      </c>
      <c r="R5916">
        <v>0.99311110926233304</v>
      </c>
      <c r="S5916" t="s">
        <v>12318</v>
      </c>
      <c r="T5916" t="s">
        <v>12802</v>
      </c>
      <c r="U5916" t="s">
        <v>12802</v>
      </c>
      <c r="V5916" t="s">
        <v>12802</v>
      </c>
      <c r="W5916" t="s">
        <v>18649</v>
      </c>
      <c r="X5916">
        <v>1</v>
      </c>
      <c r="Y5916" t="s">
        <v>24856</v>
      </c>
      <c r="Z5916" t="s">
        <v>31234</v>
      </c>
      <c r="AA5916">
        <v>0.31684524701439659</v>
      </c>
      <c r="AB5916" t="str">
        <f>HYPERLINK("Melting_Curves/meltCurve_Q9P1W9_PIM2.pdf", "Melting_Curves/meltCurve_Q9P1W9_PIM2.pdf")</f>
        <v>Melting_Curves/meltCurve_Q9P1W9_PIM2.pdf</v>
      </c>
    </row>
    <row r="5917" spans="1:28" x14ac:dyDescent="0.25">
      <c r="A5917" t="s">
        <v>5921</v>
      </c>
      <c r="B5917">
        <v>0.99542014353169495</v>
      </c>
      <c r="C5917">
        <v>1.27670602142044</v>
      </c>
      <c r="D5917">
        <v>1.0311423506224899</v>
      </c>
      <c r="E5917">
        <v>0.76269197724832205</v>
      </c>
      <c r="F5917">
        <v>0.43221392790114599</v>
      </c>
      <c r="G5917">
        <v>0.146210526246564</v>
      </c>
      <c r="H5917">
        <v>8.9061196230111606E-2</v>
      </c>
      <c r="I5917">
        <v>4.6553171399544201E-2</v>
      </c>
      <c r="J5917">
        <v>4.1099557222889098E-2</v>
      </c>
      <c r="K5917">
        <v>7.3888515620973302E-2</v>
      </c>
      <c r="L5917">
        <v>1210.1475106087901</v>
      </c>
      <c r="M5917">
        <v>24.609736316197498</v>
      </c>
      <c r="N5917">
        <v>49.3975308967416</v>
      </c>
      <c r="O5917">
        <v>48.852286197028597</v>
      </c>
      <c r="P5917">
        <v>-0.119291836652149</v>
      </c>
      <c r="Q5917">
        <v>5.2798398355020502E-2</v>
      </c>
      <c r="R5917">
        <v>0.95940204739689205</v>
      </c>
      <c r="S5917" t="s">
        <v>12319</v>
      </c>
      <c r="T5917" t="s">
        <v>12802</v>
      </c>
      <c r="U5917" t="s">
        <v>12802</v>
      </c>
      <c r="V5917" t="s">
        <v>12802</v>
      </c>
      <c r="W5917" t="s">
        <v>18650</v>
      </c>
      <c r="X5917">
        <v>5</v>
      </c>
      <c r="Y5917" t="s">
        <v>24857</v>
      </c>
      <c r="Z5917" t="s">
        <v>31235</v>
      </c>
      <c r="AA5917">
        <v>0.44561483839354532</v>
      </c>
      <c r="AB5917" t="str">
        <f>HYPERLINK("Melting_Curves/meltCurve_Q9P1Z2_2_CALCOCO1.pdf", "Melting_Curves/meltCurve_Q9P1Z2_2_CALCOCO1.pdf")</f>
        <v>Melting_Curves/meltCurve_Q9P1Z2_2_CALCOCO1.pdf</v>
      </c>
    </row>
    <row r="5918" spans="1:28" x14ac:dyDescent="0.25">
      <c r="A5918" t="s">
        <v>5922</v>
      </c>
      <c r="B5918">
        <v>0.99542014353169495</v>
      </c>
      <c r="C5918">
        <v>0.93844532009027704</v>
      </c>
      <c r="D5918">
        <v>0.94323089388299197</v>
      </c>
      <c r="E5918">
        <v>0.734182614038834</v>
      </c>
      <c r="F5918">
        <v>0.52267390508099199</v>
      </c>
      <c r="G5918">
        <v>0.24707969674061001</v>
      </c>
      <c r="H5918">
        <v>0.185810309194127</v>
      </c>
      <c r="I5918">
        <v>0.106356229289732</v>
      </c>
      <c r="J5918">
        <v>0.18738529552597699</v>
      </c>
      <c r="K5918">
        <v>0.29046846823378702</v>
      </c>
      <c r="L5918">
        <v>964.66918678580703</v>
      </c>
      <c r="M5918">
        <v>19.813927444396899</v>
      </c>
      <c r="N5918">
        <v>49.773670088641801</v>
      </c>
      <c r="O5918">
        <v>48.198630757186798</v>
      </c>
      <c r="P5918">
        <v>-8.4722221684334506E-2</v>
      </c>
      <c r="Q5918">
        <v>0.17565921469869999</v>
      </c>
      <c r="R5918">
        <v>0.97565325544446602</v>
      </c>
      <c r="S5918" t="s">
        <v>12320</v>
      </c>
      <c r="T5918" t="s">
        <v>12802</v>
      </c>
      <c r="U5918" t="s">
        <v>12802</v>
      </c>
      <c r="V5918" t="s">
        <v>12802</v>
      </c>
      <c r="W5918" t="s">
        <v>18651</v>
      </c>
      <c r="X5918">
        <v>5</v>
      </c>
      <c r="Y5918" t="s">
        <v>24858</v>
      </c>
      <c r="Z5918" t="s">
        <v>31236</v>
      </c>
      <c r="AA5918">
        <v>0.50782110426399241</v>
      </c>
      <c r="AB5918" t="str">
        <f>HYPERLINK("Melting_Curves/meltCurve_Q9P206_2_KIAA1522.pdf", "Melting_Curves/meltCurve_Q9P206_2_KIAA1522.pdf")</f>
        <v>Melting_Curves/meltCurve_Q9P206_2_KIAA1522.pdf</v>
      </c>
    </row>
    <row r="5919" spans="1:28" x14ac:dyDescent="0.25">
      <c r="A5919" t="s">
        <v>5923</v>
      </c>
      <c r="B5919">
        <v>0.99542014353169495</v>
      </c>
      <c r="C5919">
        <v>0.80287068208417001</v>
      </c>
      <c r="D5919">
        <v>0.70157045495641401</v>
      </c>
      <c r="E5919">
        <v>0.39093221728851302</v>
      </c>
      <c r="F5919">
        <v>6.1157456142903903E-2</v>
      </c>
      <c r="G5919">
        <v>8.4102440790500402E-2</v>
      </c>
      <c r="H5919">
        <v>5.1139975788533402E-2</v>
      </c>
      <c r="I5919">
        <v>0</v>
      </c>
      <c r="J5919">
        <v>0</v>
      </c>
      <c r="K5919">
        <v>0.115457868142041</v>
      </c>
      <c r="L5919">
        <v>766.78324820786304</v>
      </c>
      <c r="M5919">
        <v>17.168124514411801</v>
      </c>
      <c r="N5919">
        <v>44.7871204033274</v>
      </c>
      <c r="O5919">
        <v>44.070433665052903</v>
      </c>
      <c r="P5919">
        <v>-9.5136979279160497E-2</v>
      </c>
      <c r="Q5919">
        <v>2.3194865159325801E-2</v>
      </c>
      <c r="R5919">
        <v>0.97721167474614601</v>
      </c>
      <c r="S5919" t="s">
        <v>12321</v>
      </c>
      <c r="T5919" t="s">
        <v>12802</v>
      </c>
      <c r="U5919" t="s">
        <v>12802</v>
      </c>
      <c r="V5919" t="s">
        <v>12802</v>
      </c>
      <c r="W5919" t="s">
        <v>18652</v>
      </c>
      <c r="X5919">
        <v>2</v>
      </c>
      <c r="Y5919" t="s">
        <v>24859</v>
      </c>
      <c r="Z5919" t="s">
        <v>31237</v>
      </c>
      <c r="AA5919">
        <v>0.29052521437891582</v>
      </c>
      <c r="AB5919" t="str">
        <f>HYPERLINK("Melting_Curves/meltCurve_Q9P209_CEP72.pdf", "Melting_Curves/meltCurve_Q9P209_CEP72.pdf")</f>
        <v>Melting_Curves/meltCurve_Q9P209_CEP72.pdf</v>
      </c>
    </row>
    <row r="5920" spans="1:28" x14ac:dyDescent="0.25">
      <c r="A5920" t="s">
        <v>5924</v>
      </c>
      <c r="B5920">
        <v>0.99542014353169495</v>
      </c>
      <c r="C5920">
        <v>1.0236180263294501</v>
      </c>
      <c r="D5920">
        <v>0.87269712695916801</v>
      </c>
      <c r="E5920">
        <v>0.43860062150566198</v>
      </c>
      <c r="F5920">
        <v>0.228184105631307</v>
      </c>
      <c r="G5920">
        <v>0.14259012896992301</v>
      </c>
      <c r="H5920">
        <v>6.4759169680082801E-2</v>
      </c>
      <c r="I5920">
        <v>3.9816267395996897E-2</v>
      </c>
      <c r="J5920">
        <v>5.0390802992246499E-2</v>
      </c>
      <c r="K5920">
        <v>6.4353843684447604E-2</v>
      </c>
      <c r="L5920">
        <v>1055.6117504036599</v>
      </c>
      <c r="M5920">
        <v>22.885207648958399</v>
      </c>
      <c r="N5920">
        <v>46.408439099163999</v>
      </c>
      <c r="O5920">
        <v>45.778527029295503</v>
      </c>
      <c r="P5920">
        <v>-0.11686588881195401</v>
      </c>
      <c r="Q5920">
        <v>6.49254244647572E-2</v>
      </c>
      <c r="R5920">
        <v>0.99422731837547296</v>
      </c>
      <c r="S5920" t="s">
        <v>12322</v>
      </c>
      <c r="T5920" t="s">
        <v>12802</v>
      </c>
      <c r="U5920" t="s">
        <v>12802</v>
      </c>
      <c r="V5920" t="s">
        <v>12802</v>
      </c>
      <c r="W5920" t="s">
        <v>18653</v>
      </c>
      <c r="X5920">
        <v>2</v>
      </c>
      <c r="Y5920" t="s">
        <v>24860</v>
      </c>
      <c r="Z5920" t="s">
        <v>31238</v>
      </c>
      <c r="AA5920">
        <v>0.35868285957571311</v>
      </c>
      <c r="AB5920" t="str">
        <f>HYPERLINK("Melting_Curves/meltCurve_Q9P215_POGK.pdf", "Melting_Curves/meltCurve_Q9P215_POGK.pdf")</f>
        <v>Melting_Curves/meltCurve_Q9P215_POGK.pdf</v>
      </c>
    </row>
    <row r="5921" spans="1:28" x14ac:dyDescent="0.25">
      <c r="A5921" t="s">
        <v>5925</v>
      </c>
      <c r="B5921">
        <v>0.99542014353169495</v>
      </c>
      <c r="C5921">
        <v>0.86116596620482699</v>
      </c>
      <c r="D5921">
        <v>0.875913015654051</v>
      </c>
      <c r="E5921">
        <v>0.53158298748800603</v>
      </c>
      <c r="F5921">
        <v>0.27748962099830199</v>
      </c>
      <c r="G5921">
        <v>0.16104981343942501</v>
      </c>
      <c r="H5921">
        <v>9.9474829943397194E-2</v>
      </c>
      <c r="I5921">
        <v>7.48065802826577E-2</v>
      </c>
      <c r="J5921">
        <v>6.8892568562494302E-2</v>
      </c>
      <c r="K5921">
        <v>8.6649390860121994E-2</v>
      </c>
      <c r="L5921">
        <v>792.34067360944096</v>
      </c>
      <c r="M5921">
        <v>16.964175966363701</v>
      </c>
      <c r="N5921">
        <v>47.093305945948202</v>
      </c>
      <c r="O5921">
        <v>46.072155750046903</v>
      </c>
      <c r="P5921">
        <v>-8.6074068500529496E-2</v>
      </c>
      <c r="Q5921">
        <v>6.5001259545611395E-2</v>
      </c>
      <c r="R5921">
        <v>0.99119705919020196</v>
      </c>
      <c r="S5921" t="s">
        <v>12323</v>
      </c>
      <c r="T5921" t="s">
        <v>12802</v>
      </c>
      <c r="U5921" t="s">
        <v>12802</v>
      </c>
      <c r="V5921" t="s">
        <v>12802</v>
      </c>
      <c r="W5921" t="s">
        <v>18654</v>
      </c>
      <c r="X5921">
        <v>11</v>
      </c>
      <c r="Y5921" t="s">
        <v>24861</v>
      </c>
      <c r="Z5921" t="s">
        <v>31239</v>
      </c>
      <c r="AA5921">
        <v>0.38437105978340369</v>
      </c>
      <c r="AB5921" t="str">
        <f>HYPERLINK("Melting_Curves/meltCurve_Q9P253_VPS18.pdf", "Melting_Curves/meltCurve_Q9P253_VPS18.pdf")</f>
        <v>Melting_Curves/meltCurve_Q9P253_VPS18.pdf</v>
      </c>
    </row>
    <row r="5922" spans="1:28" x14ac:dyDescent="0.25">
      <c r="A5922" t="s">
        <v>5926</v>
      </c>
      <c r="B5922">
        <v>0.99542014353169495</v>
      </c>
      <c r="C5922">
        <v>1.0171431788765199</v>
      </c>
      <c r="D5922">
        <v>0.96296867327416402</v>
      </c>
      <c r="E5922">
        <v>0.91348999492623295</v>
      </c>
      <c r="F5922">
        <v>0.65715680298816703</v>
      </c>
      <c r="G5922">
        <v>0.230710925014186</v>
      </c>
      <c r="H5922">
        <v>7.9053224982702994E-2</v>
      </c>
      <c r="I5922">
        <v>4.8443763287147702E-2</v>
      </c>
      <c r="J5922">
        <v>4.0963180909701198E-2</v>
      </c>
      <c r="K5922">
        <v>4.2244207381857503E-2</v>
      </c>
      <c r="L5922">
        <v>1376.64383706233</v>
      </c>
      <c r="M5922">
        <v>26.8932683352112</v>
      </c>
      <c r="N5922">
        <v>51.326198002114801</v>
      </c>
      <c r="O5922">
        <v>50.908635844439097</v>
      </c>
      <c r="P5922">
        <v>-0.12749190275387101</v>
      </c>
      <c r="Q5922">
        <v>3.4647115213484E-2</v>
      </c>
      <c r="R5922">
        <v>0.99876695232576895</v>
      </c>
      <c r="S5922" t="s">
        <v>12324</v>
      </c>
      <c r="T5922" t="s">
        <v>12802</v>
      </c>
      <c r="U5922" t="s">
        <v>12802</v>
      </c>
      <c r="V5922" t="s">
        <v>12802</v>
      </c>
      <c r="W5922" t="s">
        <v>18655</v>
      </c>
      <c r="X5922">
        <v>35</v>
      </c>
      <c r="Y5922" t="s">
        <v>24862</v>
      </c>
      <c r="Z5922" t="s">
        <v>31240</v>
      </c>
      <c r="AA5922">
        <v>0.49867054988880027</v>
      </c>
      <c r="AB5922" t="str">
        <f>HYPERLINK("Melting_Curves/meltCurve_Q9P258_RCC2.pdf", "Melting_Curves/meltCurve_Q9P258_RCC2.pdf")</f>
        <v>Melting_Curves/meltCurve_Q9P258_RCC2.pdf</v>
      </c>
    </row>
    <row r="5923" spans="1:28" x14ac:dyDescent="0.25">
      <c r="A5923" t="s">
        <v>5927</v>
      </c>
      <c r="B5923">
        <v>0.99542014353169495</v>
      </c>
      <c r="C5923">
        <v>0.98258735612024695</v>
      </c>
      <c r="D5923">
        <v>0.98925253225603904</v>
      </c>
      <c r="E5923">
        <v>0.86373994929948705</v>
      </c>
      <c r="F5923">
        <v>0.71366956194215903</v>
      </c>
      <c r="G5923">
        <v>0.46837750512974702</v>
      </c>
      <c r="H5923">
        <v>0.12608292793489501</v>
      </c>
      <c r="I5923">
        <v>6.3385685302735806E-2</v>
      </c>
      <c r="J5923">
        <v>6.4956912632183006E-2</v>
      </c>
      <c r="K5923">
        <v>7.3131310670430702E-2</v>
      </c>
      <c r="L5923">
        <v>969.53238873909504</v>
      </c>
      <c r="M5923">
        <v>18.431599636112001</v>
      </c>
      <c r="N5923">
        <v>52.707809524334998</v>
      </c>
      <c r="O5923">
        <v>51.994183396219199</v>
      </c>
      <c r="P5923">
        <v>-8.7012350727010995E-2</v>
      </c>
      <c r="Q5923">
        <v>1.8222468123810901E-2</v>
      </c>
      <c r="R5923">
        <v>0.99185024565009505</v>
      </c>
      <c r="S5923" t="s">
        <v>12325</v>
      </c>
      <c r="T5923" t="s">
        <v>12802</v>
      </c>
      <c r="U5923" t="s">
        <v>12802</v>
      </c>
      <c r="V5923" t="s">
        <v>12802</v>
      </c>
      <c r="W5923" t="s">
        <v>18656</v>
      </c>
      <c r="X5923">
        <v>38</v>
      </c>
      <c r="Y5923" t="s">
        <v>24863</v>
      </c>
      <c r="Z5923" t="s">
        <v>31241</v>
      </c>
      <c r="AA5923">
        <v>0.54286840158645666</v>
      </c>
      <c r="AB5923" t="str">
        <f>HYPERLINK("Melting_Curves/meltCurve_Q9P265_DIP2B.pdf", "Melting_Curves/meltCurve_Q9P265_DIP2B.pdf")</f>
        <v>Melting_Curves/meltCurve_Q9P265_DIP2B.pdf</v>
      </c>
    </row>
    <row r="5924" spans="1:28" x14ac:dyDescent="0.25">
      <c r="A5924" t="s">
        <v>5928</v>
      </c>
      <c r="B5924">
        <v>0.99542014353169495</v>
      </c>
      <c r="C5924">
        <v>0.91469808717833201</v>
      </c>
      <c r="D5924">
        <v>0.89747087529637104</v>
      </c>
      <c r="E5924">
        <v>0.63436082298129204</v>
      </c>
      <c r="F5924">
        <v>0.39087191837624202</v>
      </c>
      <c r="G5924">
        <v>0.47875805048446102</v>
      </c>
      <c r="H5924">
        <v>0.35517293043561898</v>
      </c>
      <c r="I5924">
        <v>0.27497411444242797</v>
      </c>
      <c r="J5924">
        <v>0.40251261780705899</v>
      </c>
      <c r="K5924">
        <v>0.55283422026416695</v>
      </c>
      <c r="L5924">
        <v>1180.7330275816801</v>
      </c>
      <c r="M5924">
        <v>25.9349304321799</v>
      </c>
      <c r="N5924">
        <v>48.563532298166102</v>
      </c>
      <c r="O5924">
        <v>45.2586502667167</v>
      </c>
      <c r="P5924">
        <v>-8.5781134515578603E-2</v>
      </c>
      <c r="Q5924">
        <v>0.40122547408947701</v>
      </c>
      <c r="R5924">
        <v>0.909975886021681</v>
      </c>
      <c r="S5924" t="s">
        <v>12326</v>
      </c>
      <c r="T5924" t="s">
        <v>12802</v>
      </c>
      <c r="U5924" t="s">
        <v>12802</v>
      </c>
      <c r="V5924" t="s">
        <v>12802</v>
      </c>
      <c r="W5924" t="s">
        <v>18657</v>
      </c>
      <c r="X5924">
        <v>18</v>
      </c>
      <c r="Y5924" t="s">
        <v>24864</v>
      </c>
      <c r="Z5924" t="s">
        <v>31242</v>
      </c>
      <c r="AA5924">
        <v>0.57598655235621521</v>
      </c>
      <c r="AB5924" t="str">
        <f>HYPERLINK("Melting_Curves/meltCurve_Q9P270_SLAIN2.pdf", "Melting_Curves/meltCurve_Q9P270_SLAIN2.pdf")</f>
        <v>Melting_Curves/meltCurve_Q9P270_SLAIN2.pdf</v>
      </c>
    </row>
    <row r="5925" spans="1:28" x14ac:dyDescent="0.25">
      <c r="A5925" t="s">
        <v>5929</v>
      </c>
      <c r="B5925">
        <v>0.99542014353169495</v>
      </c>
      <c r="C5925">
        <v>1.06989034975705</v>
      </c>
      <c r="D5925">
        <v>1.0127975511220699</v>
      </c>
      <c r="E5925">
        <v>1.02200538921511</v>
      </c>
      <c r="F5925">
        <v>0.772391873545484</v>
      </c>
      <c r="G5925">
        <v>0.41583331119119299</v>
      </c>
      <c r="H5925">
        <v>0.12820624361628599</v>
      </c>
      <c r="I5925">
        <v>7.1426392997834903E-2</v>
      </c>
      <c r="J5925">
        <v>7.1622041732518099E-2</v>
      </c>
      <c r="K5925">
        <v>7.6004280276803296E-2</v>
      </c>
      <c r="L5925">
        <v>1435.4751206344499</v>
      </c>
      <c r="M5925">
        <v>27.281078390626998</v>
      </c>
      <c r="N5925">
        <v>52.865812343400997</v>
      </c>
      <c r="O5925">
        <v>52.3376889867424</v>
      </c>
      <c r="P5925">
        <v>-0.12249160907802099</v>
      </c>
      <c r="Q5925">
        <v>6.0027372753825997E-2</v>
      </c>
      <c r="R5925">
        <v>0.99478322960955401</v>
      </c>
      <c r="S5925" t="s">
        <v>12327</v>
      </c>
      <c r="T5925" t="s">
        <v>12802</v>
      </c>
      <c r="U5925" t="s">
        <v>12802</v>
      </c>
      <c r="V5925" t="s">
        <v>12802</v>
      </c>
      <c r="W5925" t="s">
        <v>18658</v>
      </c>
      <c r="X5925">
        <v>9</v>
      </c>
      <c r="Y5925" t="s">
        <v>24865</v>
      </c>
      <c r="Z5925" t="s">
        <v>31243</v>
      </c>
      <c r="AA5925">
        <v>0.55649488780576606</v>
      </c>
      <c r="AB5925" t="str">
        <f>HYPERLINK("Melting_Curves/meltCurve_Q9P287_BCCIP.pdf", "Melting_Curves/meltCurve_Q9P287_BCCIP.pdf")</f>
        <v>Melting_Curves/meltCurve_Q9P287_BCCIP.pdf</v>
      </c>
    </row>
    <row r="5926" spans="1:28" x14ac:dyDescent="0.25">
      <c r="A5926" t="s">
        <v>5930</v>
      </c>
      <c r="B5926">
        <v>0.99542014353169495</v>
      </c>
      <c r="C5926">
        <v>0.93030501154184797</v>
      </c>
      <c r="D5926">
        <v>0.87150698248247604</v>
      </c>
      <c r="E5926">
        <v>0.71638127640942395</v>
      </c>
      <c r="F5926">
        <v>0.59281503647343103</v>
      </c>
      <c r="G5926">
        <v>0.37324522160290202</v>
      </c>
      <c r="H5926">
        <v>0.26025204446468397</v>
      </c>
      <c r="I5926">
        <v>0.17012165414646399</v>
      </c>
      <c r="J5926">
        <v>0.19879245903979001</v>
      </c>
      <c r="K5926">
        <v>0.229774144801491</v>
      </c>
      <c r="L5926">
        <v>598.50267104028103</v>
      </c>
      <c r="M5926">
        <v>12.0629002004942</v>
      </c>
      <c r="N5926">
        <v>51.028844055452502</v>
      </c>
      <c r="O5926">
        <v>48.310654296590798</v>
      </c>
      <c r="P5926">
        <v>-5.3569620411479703E-2</v>
      </c>
      <c r="Q5926">
        <v>0.14203974458916699</v>
      </c>
      <c r="R5926">
        <v>0.98959233286830595</v>
      </c>
      <c r="S5926" t="s">
        <v>12328</v>
      </c>
      <c r="T5926" t="s">
        <v>12802</v>
      </c>
      <c r="U5926" t="s">
        <v>12802</v>
      </c>
      <c r="V5926" t="s">
        <v>12802</v>
      </c>
      <c r="W5926" t="s">
        <v>18659</v>
      </c>
      <c r="X5926">
        <v>13</v>
      </c>
      <c r="Y5926" t="s">
        <v>24866</v>
      </c>
      <c r="Z5926" t="s">
        <v>31244</v>
      </c>
      <c r="AA5926">
        <v>0.52726421202392693</v>
      </c>
      <c r="AB5926" t="str">
        <f>HYPERLINK("Melting_Curves/meltCurve_Q9P2B2_PTGFRN.pdf", "Melting_Curves/meltCurve_Q9P2B2_PTGFRN.pdf")</f>
        <v>Melting_Curves/meltCurve_Q9P2B2_PTGFRN.pdf</v>
      </c>
    </row>
    <row r="5927" spans="1:28" x14ac:dyDescent="0.25">
      <c r="A5927" t="s">
        <v>5931</v>
      </c>
      <c r="B5927">
        <v>0.99542014353169495</v>
      </c>
      <c r="C5927">
        <v>0.99410620712742803</v>
      </c>
      <c r="D5927">
        <v>1.03025079748152</v>
      </c>
      <c r="E5927">
        <v>0.67778231288184598</v>
      </c>
      <c r="F5927">
        <v>0.34248068747973998</v>
      </c>
      <c r="G5927">
        <v>0.106847099690918</v>
      </c>
      <c r="H5927">
        <v>8.2721153953530802E-2</v>
      </c>
      <c r="I5927">
        <v>4.6538027949052797E-2</v>
      </c>
      <c r="J5927">
        <v>5.1861082990879499E-2</v>
      </c>
      <c r="K5927">
        <v>5.4238917221269799E-2</v>
      </c>
      <c r="L5927">
        <v>1178.54184257153</v>
      </c>
      <c r="M5927">
        <v>24.433853599522699</v>
      </c>
      <c r="N5927">
        <v>48.4493578215341</v>
      </c>
      <c r="O5927">
        <v>47.914367891811501</v>
      </c>
      <c r="P5927">
        <v>-0.120928300009312</v>
      </c>
      <c r="Q5927">
        <v>5.14606823801778E-2</v>
      </c>
      <c r="R5927">
        <v>0.99496508984825804</v>
      </c>
      <c r="S5927" t="s">
        <v>12329</v>
      </c>
      <c r="T5927" t="s">
        <v>12802</v>
      </c>
      <c r="U5927" t="s">
        <v>12802</v>
      </c>
      <c r="V5927" t="s">
        <v>12802</v>
      </c>
      <c r="W5927" t="s">
        <v>18660</v>
      </c>
      <c r="X5927">
        <v>4</v>
      </c>
      <c r="Y5927" t="s">
        <v>24867</v>
      </c>
      <c r="Z5927" t="s">
        <v>31245</v>
      </c>
      <c r="AA5927">
        <v>0.41514046224558437</v>
      </c>
      <c r="AB5927" t="str">
        <f>HYPERLINK("Melting_Curves/meltCurve_Q9P2D3_3_HEATR5B.pdf", "Melting_Curves/meltCurve_Q9P2D3_3_HEATR5B.pdf")</f>
        <v>Melting_Curves/meltCurve_Q9P2D3_3_HEATR5B.pdf</v>
      </c>
    </row>
    <row r="5928" spans="1:28" x14ac:dyDescent="0.25">
      <c r="A5928" t="s">
        <v>5932</v>
      </c>
      <c r="B5928">
        <v>0.99542014353169495</v>
      </c>
      <c r="C5928">
        <v>0.89177683064813196</v>
      </c>
      <c r="D5928">
        <v>0.99888398562311198</v>
      </c>
      <c r="E5928">
        <v>0.77096570223528005</v>
      </c>
      <c r="F5928">
        <v>0.75067128142962103</v>
      </c>
      <c r="G5928">
        <v>0.40323635295754201</v>
      </c>
      <c r="H5928">
        <v>0.45869750908768803</v>
      </c>
      <c r="I5928">
        <v>0.18073230468728199</v>
      </c>
      <c r="J5928">
        <v>4.7576723056962901E-2</v>
      </c>
      <c r="K5928">
        <v>5.62063306408239E-2</v>
      </c>
      <c r="L5928">
        <v>619.87080914896899</v>
      </c>
      <c r="M5928">
        <v>11.5687172912153</v>
      </c>
      <c r="N5928">
        <v>53.581636833938802</v>
      </c>
      <c r="O5928">
        <v>52.055672910979702</v>
      </c>
      <c r="P5928">
        <v>-5.5574780919526903E-2</v>
      </c>
      <c r="Q5928">
        <v>0</v>
      </c>
      <c r="R5928">
        <v>0.95501822439928596</v>
      </c>
      <c r="S5928" t="s">
        <v>12330</v>
      </c>
      <c r="T5928" t="s">
        <v>12802</v>
      </c>
      <c r="U5928" t="s">
        <v>12802</v>
      </c>
      <c r="V5928" t="s">
        <v>12802</v>
      </c>
      <c r="W5928" t="s">
        <v>18661</v>
      </c>
      <c r="X5928">
        <v>1</v>
      </c>
      <c r="Y5928" t="s">
        <v>24868</v>
      </c>
      <c r="Z5928" t="s">
        <v>31246</v>
      </c>
      <c r="AA5928">
        <v>0.57222876109956755</v>
      </c>
      <c r="AB5928" t="str">
        <f>HYPERLINK("Melting_Curves/meltCurve_Q9P2D7_5_DNAH1.pdf", "Melting_Curves/meltCurve_Q9P2D7_5_DNAH1.pdf")</f>
        <v>Melting_Curves/meltCurve_Q9P2D7_5_DNAH1.pdf</v>
      </c>
    </row>
    <row r="5929" spans="1:28" x14ac:dyDescent="0.25">
      <c r="A5929" t="s">
        <v>5933</v>
      </c>
      <c r="B5929">
        <v>0.99542014353169495</v>
      </c>
      <c r="C5929">
        <v>0.95906699399824102</v>
      </c>
      <c r="D5929">
        <v>0.79254710917289095</v>
      </c>
      <c r="E5929">
        <v>0.38289134588391099</v>
      </c>
      <c r="F5929">
        <v>0.12699976206763899</v>
      </c>
      <c r="G5929">
        <v>6.1668362634074499E-2</v>
      </c>
      <c r="H5929">
        <v>3.0078546316521799E-2</v>
      </c>
      <c r="I5929">
        <v>2.2799899890270901E-2</v>
      </c>
      <c r="J5929">
        <v>0</v>
      </c>
      <c r="K5929">
        <v>0</v>
      </c>
      <c r="L5929">
        <v>993.93726065569399</v>
      </c>
      <c r="M5929">
        <v>21.814659731560099</v>
      </c>
      <c r="N5929">
        <v>45.612978187521001</v>
      </c>
      <c r="O5929">
        <v>45.185116135480598</v>
      </c>
      <c r="P5929">
        <v>-0.119268176706623</v>
      </c>
      <c r="Q5929">
        <v>1.18531362700594E-2</v>
      </c>
      <c r="R5929">
        <v>0.99951453249950595</v>
      </c>
      <c r="S5929" t="s">
        <v>12331</v>
      </c>
      <c r="T5929" t="s">
        <v>12802</v>
      </c>
      <c r="U5929" t="s">
        <v>12802</v>
      </c>
      <c r="V5929" t="s">
        <v>12802</v>
      </c>
      <c r="W5929" t="s">
        <v>18662</v>
      </c>
      <c r="X5929">
        <v>1</v>
      </c>
      <c r="Y5929" t="s">
        <v>24869</v>
      </c>
      <c r="Z5929" t="s">
        <v>31247</v>
      </c>
      <c r="AA5929">
        <v>0.30470444850438311</v>
      </c>
      <c r="AB5929" t="str">
        <f>HYPERLINK("Melting_Curves/meltCurve_Q9P2E3_ZNFX1.pdf", "Melting_Curves/meltCurve_Q9P2E3_ZNFX1.pdf")</f>
        <v>Melting_Curves/meltCurve_Q9P2E3_ZNFX1.pdf</v>
      </c>
    </row>
    <row r="5930" spans="1:28" x14ac:dyDescent="0.25">
      <c r="A5930" t="s">
        <v>5934</v>
      </c>
      <c r="B5930">
        <v>0.99542014353169495</v>
      </c>
      <c r="C5930">
        <v>0.93068947137514202</v>
      </c>
      <c r="D5930">
        <v>1.01207886065443</v>
      </c>
      <c r="E5930">
        <v>0.76886310902938104</v>
      </c>
      <c r="F5930">
        <v>0.56298419868250504</v>
      </c>
      <c r="G5930">
        <v>0.35571974985768001</v>
      </c>
      <c r="H5930">
        <v>0.234126072281511</v>
      </c>
      <c r="I5930">
        <v>0.15703412608055101</v>
      </c>
      <c r="J5930">
        <v>0.19015685322923401</v>
      </c>
      <c r="K5930">
        <v>0.233444832766217</v>
      </c>
      <c r="L5930">
        <v>892.90040162303706</v>
      </c>
      <c r="M5930">
        <v>17.991496468883799</v>
      </c>
      <c r="N5930">
        <v>50.880610441788598</v>
      </c>
      <c r="O5930">
        <v>49.028078960655598</v>
      </c>
      <c r="P5930">
        <v>-7.5340668201982305E-2</v>
      </c>
      <c r="Q5930">
        <v>0.178806355964306</v>
      </c>
      <c r="R5930">
        <v>0.98783471842388704</v>
      </c>
      <c r="S5930" t="s">
        <v>12332</v>
      </c>
      <c r="T5930" t="s">
        <v>12802</v>
      </c>
      <c r="U5930" t="s">
        <v>12802</v>
      </c>
      <c r="V5930" t="s">
        <v>12802</v>
      </c>
      <c r="W5930" t="s">
        <v>18663</v>
      </c>
      <c r="X5930">
        <v>42</v>
      </c>
      <c r="Y5930" t="s">
        <v>24870</v>
      </c>
      <c r="Z5930" t="s">
        <v>31248</v>
      </c>
      <c r="AA5930">
        <v>0.53750198160919438</v>
      </c>
      <c r="AB5930" t="str">
        <f>HYPERLINK("Melting_Curves/meltCurve_Q9P2E9_RRBP1.pdf", "Melting_Curves/meltCurve_Q9P2E9_RRBP1.pdf")</f>
        <v>Melting_Curves/meltCurve_Q9P2E9_RRBP1.pdf</v>
      </c>
    </row>
    <row r="5931" spans="1:28" x14ac:dyDescent="0.25">
      <c r="A5931" t="s">
        <v>5935</v>
      </c>
      <c r="B5931">
        <v>0.99542014353169495</v>
      </c>
      <c r="C5931">
        <v>0.85042524168948797</v>
      </c>
      <c r="D5931">
        <v>0.813527522255164</v>
      </c>
      <c r="E5931">
        <v>0.43014065927878797</v>
      </c>
      <c r="F5931">
        <v>0.202358392157999</v>
      </c>
      <c r="G5931">
        <v>0.106451964007293</v>
      </c>
      <c r="H5931">
        <v>8.0248275140667694E-2</v>
      </c>
      <c r="I5931">
        <v>4.1592344369495202E-2</v>
      </c>
      <c r="J5931">
        <v>3.5709096342604302E-2</v>
      </c>
      <c r="K5931">
        <v>3.92902700462293E-2</v>
      </c>
      <c r="L5931">
        <v>779.06543039080998</v>
      </c>
      <c r="M5931">
        <v>17.0098180998183</v>
      </c>
      <c r="N5931">
        <v>45.987557834548099</v>
      </c>
      <c r="O5931">
        <v>45.181944561067702</v>
      </c>
      <c r="P5931">
        <v>-9.0985098898717004E-2</v>
      </c>
      <c r="Q5931">
        <v>3.3351077626529398E-2</v>
      </c>
      <c r="R5931">
        <v>0.99273512797251995</v>
      </c>
      <c r="S5931" t="s">
        <v>12333</v>
      </c>
      <c r="T5931" t="s">
        <v>12802</v>
      </c>
      <c r="U5931" t="s">
        <v>12802</v>
      </c>
      <c r="V5931" t="s">
        <v>12802</v>
      </c>
      <c r="W5931" t="s">
        <v>18664</v>
      </c>
      <c r="X5931">
        <v>17</v>
      </c>
      <c r="Y5931" t="s">
        <v>24871</v>
      </c>
      <c r="Z5931" t="s">
        <v>31249</v>
      </c>
      <c r="AA5931">
        <v>0.33446300793411499</v>
      </c>
      <c r="AB5931" t="str">
        <f>HYPERLINK("Melting_Curves/meltCurve_Q9P2I0_CPSF2.pdf", "Melting_Curves/meltCurve_Q9P2I0_CPSF2.pdf")</f>
        <v>Melting_Curves/meltCurve_Q9P2I0_CPSF2.pdf</v>
      </c>
    </row>
    <row r="5932" spans="1:28" x14ac:dyDescent="0.25">
      <c r="A5932" t="s">
        <v>5936</v>
      </c>
      <c r="B5932">
        <v>0.99542014353169495</v>
      </c>
      <c r="C5932">
        <v>1.17706275232632</v>
      </c>
      <c r="D5932">
        <v>0.98967786955881298</v>
      </c>
      <c r="E5932">
        <v>0.59023076614219805</v>
      </c>
      <c r="F5932">
        <v>0.33500411714019201</v>
      </c>
      <c r="G5932">
        <v>0.216820207756525</v>
      </c>
      <c r="H5932">
        <v>0.125601194446222</v>
      </c>
      <c r="I5932">
        <v>0.117464464249267</v>
      </c>
      <c r="J5932">
        <v>0.15108914620606001</v>
      </c>
      <c r="K5932">
        <v>0.21532283287707801</v>
      </c>
      <c r="L5932">
        <v>1306.2348988075501</v>
      </c>
      <c r="M5932">
        <v>27.779911387506299</v>
      </c>
      <c r="N5932">
        <v>47.703597655481801</v>
      </c>
      <c r="O5932">
        <v>46.779209440048199</v>
      </c>
      <c r="P5932">
        <v>-0.12411111420471301</v>
      </c>
      <c r="Q5932">
        <v>0.16403353004839599</v>
      </c>
      <c r="R5932">
        <v>0.96911018706180196</v>
      </c>
      <c r="S5932" t="s">
        <v>12334</v>
      </c>
      <c r="T5932" t="s">
        <v>12802</v>
      </c>
      <c r="U5932" t="s">
        <v>12802</v>
      </c>
      <c r="V5932" t="s">
        <v>12802</v>
      </c>
      <c r="W5932" t="s">
        <v>18665</v>
      </c>
      <c r="X5932">
        <v>2</v>
      </c>
      <c r="Y5932" t="s">
        <v>24872</v>
      </c>
      <c r="Z5932" t="s">
        <v>31250</v>
      </c>
      <c r="AA5932">
        <v>0.44894771796833161</v>
      </c>
      <c r="AB5932" t="str">
        <f>HYPERLINK("Melting_Curves/meltCurve_Q9P2J9_PDP2.pdf", "Melting_Curves/meltCurve_Q9P2J9_PDP2.pdf")</f>
        <v>Melting_Curves/meltCurve_Q9P2J9_PDP2.pdf</v>
      </c>
    </row>
    <row r="5933" spans="1:28" x14ac:dyDescent="0.25">
      <c r="A5933" t="s">
        <v>5937</v>
      </c>
      <c r="B5933">
        <v>0.99542014353169495</v>
      </c>
      <c r="C5933">
        <v>0.97751421760433399</v>
      </c>
      <c r="D5933">
        <v>0.98348631096426098</v>
      </c>
      <c r="E5933">
        <v>0.51453509809521902</v>
      </c>
      <c r="F5933">
        <v>0.21132045253680201</v>
      </c>
      <c r="G5933">
        <v>0.120741996678734</v>
      </c>
      <c r="H5933">
        <v>6.90190604664431E-2</v>
      </c>
      <c r="I5933">
        <v>4.4241310316402098E-2</v>
      </c>
      <c r="J5933">
        <v>2.4638160361529899E-2</v>
      </c>
      <c r="K5933">
        <v>5.4241376607222197E-2</v>
      </c>
      <c r="L5933">
        <v>1292.45575570091</v>
      </c>
      <c r="M5933">
        <v>27.647596011037699</v>
      </c>
      <c r="N5933">
        <v>46.959983801328903</v>
      </c>
      <c r="O5933">
        <v>46.504977192864899</v>
      </c>
      <c r="P5933">
        <v>-0.139889515306484</v>
      </c>
      <c r="Q5933">
        <v>5.8797001244023199E-2</v>
      </c>
      <c r="R5933">
        <v>0.99453070781447395</v>
      </c>
      <c r="S5933" t="s">
        <v>12335</v>
      </c>
      <c r="T5933" t="s">
        <v>12802</v>
      </c>
      <c r="U5933" t="s">
        <v>12802</v>
      </c>
      <c r="V5933" t="s">
        <v>12802</v>
      </c>
      <c r="W5933" t="s">
        <v>18666</v>
      </c>
      <c r="X5933">
        <v>2</v>
      </c>
      <c r="Y5933" t="s">
        <v>24873</v>
      </c>
      <c r="Z5933" t="s">
        <v>31251</v>
      </c>
      <c r="AA5933">
        <v>0.37103353069369072</v>
      </c>
      <c r="AB5933" t="str">
        <f>HYPERLINK("Melting_Curves/meltCurve_Q9P2K8_2_EIF2AK4.pdf", "Melting_Curves/meltCurve_Q9P2K8_2_EIF2AK4.pdf")</f>
        <v>Melting_Curves/meltCurve_Q9P2K8_2_EIF2AK4.pdf</v>
      </c>
    </row>
    <row r="5934" spans="1:28" x14ac:dyDescent="0.25">
      <c r="A5934" t="s">
        <v>5938</v>
      </c>
      <c r="B5934">
        <v>0.99542014353169495</v>
      </c>
      <c r="C5934">
        <v>1.24280413421423</v>
      </c>
      <c r="D5934">
        <v>1.09514913682208</v>
      </c>
      <c r="E5934">
        <v>0.69417084007216501</v>
      </c>
      <c r="F5934">
        <v>0.24226093481831501</v>
      </c>
      <c r="G5934">
        <v>2.1273397066352801E-2</v>
      </c>
      <c r="H5934">
        <v>0</v>
      </c>
      <c r="I5934">
        <v>0</v>
      </c>
      <c r="J5934">
        <v>0</v>
      </c>
      <c r="K5934">
        <v>9.2212854401536495E-2</v>
      </c>
      <c r="L5934">
        <v>1571.0676676461001</v>
      </c>
      <c r="M5934">
        <v>32.741565347979801</v>
      </c>
      <c r="N5934">
        <v>48.045056287800698</v>
      </c>
      <c r="O5934">
        <v>47.805954962216099</v>
      </c>
      <c r="P5934">
        <v>-0.16772775494110301</v>
      </c>
      <c r="Q5934">
        <v>2.0407465076448899E-2</v>
      </c>
      <c r="R5934">
        <v>0.96479937219151302</v>
      </c>
      <c r="S5934" t="s">
        <v>12336</v>
      </c>
      <c r="T5934" t="s">
        <v>12802</v>
      </c>
      <c r="U5934" t="s">
        <v>12802</v>
      </c>
      <c r="V5934" t="s">
        <v>12802</v>
      </c>
      <c r="W5934" t="s">
        <v>18667</v>
      </c>
      <c r="X5934">
        <v>1</v>
      </c>
      <c r="Y5934" t="s">
        <v>24874</v>
      </c>
      <c r="Z5934" t="s">
        <v>31252</v>
      </c>
      <c r="AA5934">
        <v>0.38392981852607161</v>
      </c>
      <c r="AB5934" t="str">
        <f>HYPERLINK("Melting_Curves/meltCurve_Q9P2M4_TBC1D14.pdf", "Melting_Curves/meltCurve_Q9P2M4_TBC1D14.pdf")</f>
        <v>Melting_Curves/meltCurve_Q9P2M4_TBC1D14.pdf</v>
      </c>
    </row>
    <row r="5935" spans="1:28" x14ac:dyDescent="0.25">
      <c r="A5935" t="s">
        <v>5939</v>
      </c>
      <c r="B5935">
        <v>0.99542014353169495</v>
      </c>
      <c r="C5935">
        <v>0.95816330761601698</v>
      </c>
      <c r="D5935">
        <v>0.91231133759752803</v>
      </c>
      <c r="E5935">
        <v>0.61609746214465899</v>
      </c>
      <c r="F5935">
        <v>0.264795821530315</v>
      </c>
      <c r="G5935">
        <v>0.140009031054009</v>
      </c>
      <c r="H5935">
        <v>8.5412600994792101E-2</v>
      </c>
      <c r="I5935">
        <v>5.9850554300190498E-2</v>
      </c>
      <c r="J5935">
        <v>6.1012815544119803E-2</v>
      </c>
      <c r="K5935">
        <v>7.40411875146883E-2</v>
      </c>
      <c r="L5935">
        <v>1028.9724489451601</v>
      </c>
      <c r="M5935">
        <v>21.732109346796499</v>
      </c>
      <c r="N5935">
        <v>47.645225797101901</v>
      </c>
      <c r="O5935">
        <v>46.952583000109797</v>
      </c>
      <c r="P5935">
        <v>-0.108380928545717</v>
      </c>
      <c r="Q5935">
        <v>6.3386785130851997E-2</v>
      </c>
      <c r="R5935">
        <v>0.99919768395920905</v>
      </c>
      <c r="S5935" t="s">
        <v>12337</v>
      </c>
      <c r="T5935" t="s">
        <v>12802</v>
      </c>
      <c r="U5935" t="s">
        <v>12802</v>
      </c>
      <c r="V5935" t="s">
        <v>12802</v>
      </c>
      <c r="W5935" t="s">
        <v>18668</v>
      </c>
      <c r="X5935">
        <v>22</v>
      </c>
      <c r="Y5935" t="s">
        <v>24875</v>
      </c>
      <c r="Z5935" t="s">
        <v>31253</v>
      </c>
      <c r="AA5935">
        <v>0.39689638437202601</v>
      </c>
      <c r="AB5935" t="str">
        <f>HYPERLINK("Melting_Curves/meltCurve_Q9P2N5_RBM27.pdf", "Melting_Curves/meltCurve_Q9P2N5_RBM27.pdf")</f>
        <v>Melting_Curves/meltCurve_Q9P2N5_RBM27.pdf</v>
      </c>
    </row>
    <row r="5936" spans="1:28" x14ac:dyDescent="0.25">
      <c r="A5936" t="s">
        <v>5940</v>
      </c>
      <c r="B5936">
        <v>0.99542014353169495</v>
      </c>
      <c r="C5936">
        <v>0.966737933999545</v>
      </c>
      <c r="D5936">
        <v>0.88566703259591795</v>
      </c>
      <c r="E5936">
        <v>0.39037718522609799</v>
      </c>
      <c r="F5936">
        <v>0.191102183239762</v>
      </c>
      <c r="G5936">
        <v>0.128503730068946</v>
      </c>
      <c r="H5936">
        <v>8.0952362276105902E-2</v>
      </c>
      <c r="I5936">
        <v>4.09124257124968E-2</v>
      </c>
      <c r="J5936">
        <v>6.3789875096518595E-2</v>
      </c>
      <c r="K5936">
        <v>4.33329322838037E-2</v>
      </c>
      <c r="L5936">
        <v>1201.6162270033201</v>
      </c>
      <c r="M5936">
        <v>26.273516696578501</v>
      </c>
      <c r="N5936">
        <v>46.000547648295999</v>
      </c>
      <c r="O5936">
        <v>45.472407621082901</v>
      </c>
      <c r="P5936">
        <v>-0.13428113756754101</v>
      </c>
      <c r="Q5936">
        <v>7.0391955415117002E-2</v>
      </c>
      <c r="R5936">
        <v>0.99510600865433096</v>
      </c>
      <c r="S5936" t="s">
        <v>12338</v>
      </c>
      <c r="T5936" t="s">
        <v>12802</v>
      </c>
      <c r="U5936" t="s">
        <v>12802</v>
      </c>
      <c r="V5936" t="s">
        <v>12802</v>
      </c>
      <c r="W5936" t="s">
        <v>18669</v>
      </c>
      <c r="X5936">
        <v>14</v>
      </c>
      <c r="Y5936" t="s">
        <v>24876</v>
      </c>
      <c r="Z5936" t="s">
        <v>31254</v>
      </c>
      <c r="AA5936">
        <v>0.34799114722621549</v>
      </c>
      <c r="AB5936" t="str">
        <f>HYPERLINK("Melting_Curves/meltCurve_Q9P2R3_ANKFY1.pdf", "Melting_Curves/meltCurve_Q9P2R3_ANKFY1.pdf")</f>
        <v>Melting_Curves/meltCurve_Q9P2R3_ANKFY1.pdf</v>
      </c>
    </row>
    <row r="5937" spans="1:28" x14ac:dyDescent="0.25">
      <c r="A5937" t="s">
        <v>5941</v>
      </c>
      <c r="B5937">
        <v>0.99542014353169495</v>
      </c>
      <c r="C5937">
        <v>0.94409500317345696</v>
      </c>
      <c r="D5937">
        <v>0.92515511717258303</v>
      </c>
      <c r="E5937">
        <v>0.56054589803271804</v>
      </c>
      <c r="F5937">
        <v>0.30134889991269498</v>
      </c>
      <c r="G5937">
        <v>0.20543562852873201</v>
      </c>
      <c r="H5937">
        <v>0.10931567981482999</v>
      </c>
      <c r="I5937">
        <v>7.2587698373090107E-2</v>
      </c>
      <c r="J5937">
        <v>5.5695429472575803E-2</v>
      </c>
      <c r="K5937">
        <v>5.8538761835649503E-2</v>
      </c>
      <c r="L5937">
        <v>857.11083476122099</v>
      </c>
      <c r="M5937">
        <v>18.1174063273284</v>
      </c>
      <c r="N5937">
        <v>47.673178639126803</v>
      </c>
      <c r="O5937">
        <v>46.743623367414898</v>
      </c>
      <c r="P5937">
        <v>-9.0635197979581195E-2</v>
      </c>
      <c r="Q5937">
        <v>6.4675431710211895E-2</v>
      </c>
      <c r="R5937">
        <v>0.99454837216411296</v>
      </c>
      <c r="S5937" t="s">
        <v>12339</v>
      </c>
      <c r="T5937" t="s">
        <v>12802</v>
      </c>
      <c r="U5937" t="s">
        <v>12802</v>
      </c>
      <c r="V5937" t="s">
        <v>12802</v>
      </c>
      <c r="W5937" t="s">
        <v>18670</v>
      </c>
      <c r="X5937">
        <v>5</v>
      </c>
      <c r="Y5937" t="s">
        <v>24877</v>
      </c>
      <c r="Z5937" t="s">
        <v>31255</v>
      </c>
      <c r="AA5937">
        <v>0.40088545111610902</v>
      </c>
      <c r="AB5937" t="str">
        <f>HYPERLINK("Melting_Curves/meltCurve_Q9P2W1_PSMC3IP.pdf", "Melting_Curves/meltCurve_Q9P2W1_PSMC3IP.pdf")</f>
        <v>Melting_Curves/meltCurve_Q9P2W1_PSMC3IP.pdf</v>
      </c>
    </row>
    <row r="5938" spans="1:28" x14ac:dyDescent="0.25">
      <c r="A5938" t="s">
        <v>5942</v>
      </c>
      <c r="B5938">
        <v>0.99542014353169495</v>
      </c>
      <c r="C5938">
        <v>1.1892596104147299</v>
      </c>
      <c r="D5938">
        <v>1.0786280490695399</v>
      </c>
      <c r="E5938">
        <v>1.12210520810982</v>
      </c>
      <c r="F5938">
        <v>0.96748008889325099</v>
      </c>
      <c r="G5938">
        <v>0.77661554039139502</v>
      </c>
      <c r="H5938">
        <v>0.56278938207064899</v>
      </c>
      <c r="I5938">
        <v>0.34638546645045298</v>
      </c>
      <c r="J5938">
        <v>0.14562111893662499</v>
      </c>
      <c r="K5938">
        <v>0.11416244791512099</v>
      </c>
      <c r="L5938">
        <v>1076.56403128946</v>
      </c>
      <c r="M5938">
        <v>18.5605651753154</v>
      </c>
      <c r="N5938">
        <v>58.225105131301099</v>
      </c>
      <c r="O5938">
        <v>57.342027339249199</v>
      </c>
      <c r="P5938">
        <v>-7.8155412038341601E-2</v>
      </c>
      <c r="Q5938">
        <v>3.4211753383354401E-2</v>
      </c>
      <c r="R5938">
        <v>0.95768195389389699</v>
      </c>
      <c r="S5938" t="s">
        <v>12340</v>
      </c>
      <c r="T5938" t="s">
        <v>12802</v>
      </c>
      <c r="U5938" t="s">
        <v>12802</v>
      </c>
      <c r="V5938" t="s">
        <v>12802</v>
      </c>
      <c r="W5938" t="s">
        <v>18671</v>
      </c>
      <c r="X5938">
        <v>2</v>
      </c>
      <c r="Y5938" t="s">
        <v>24878</v>
      </c>
      <c r="Z5938" t="s">
        <v>31256</v>
      </c>
      <c r="AA5938">
        <v>0.71660561371750309</v>
      </c>
      <c r="AB5938" t="str">
        <f>HYPERLINK("Melting_Curves/meltCurve_Q9P2X0_DPM3.pdf", "Melting_Curves/meltCurve_Q9P2X0_DPM3.pdf")</f>
        <v>Melting_Curves/meltCurve_Q9P2X0_DPM3.pdf</v>
      </c>
    </row>
    <row r="5939" spans="1:28" x14ac:dyDescent="0.25">
      <c r="A5939" t="s">
        <v>5943</v>
      </c>
      <c r="B5939">
        <v>0.99542014353169495</v>
      </c>
      <c r="C5939">
        <v>0.88590763391871397</v>
      </c>
      <c r="D5939">
        <v>0.77647179197286498</v>
      </c>
      <c r="E5939">
        <v>0.60581763102804198</v>
      </c>
      <c r="F5939">
        <v>0.45562725771087398</v>
      </c>
      <c r="G5939">
        <v>0.159723503391141</v>
      </c>
      <c r="H5939">
        <v>6.9084418219555702E-2</v>
      </c>
      <c r="I5939">
        <v>5.2496980506879697E-2</v>
      </c>
      <c r="J5939">
        <v>5.1279543326806697E-2</v>
      </c>
      <c r="K5939">
        <v>5.52252847183793E-2</v>
      </c>
      <c r="L5939">
        <v>590.35391840232705</v>
      </c>
      <c r="M5939">
        <v>12.279718142459499</v>
      </c>
      <c r="N5939">
        <v>48.075526853257202</v>
      </c>
      <c r="O5939">
        <v>46.853880187260202</v>
      </c>
      <c r="P5939">
        <v>-6.5535768741329201E-2</v>
      </c>
      <c r="Q5939">
        <v>0</v>
      </c>
      <c r="R5939">
        <v>0.98746092223231297</v>
      </c>
      <c r="S5939" t="s">
        <v>12341</v>
      </c>
      <c r="T5939" t="s">
        <v>12802</v>
      </c>
      <c r="U5939" t="s">
        <v>12802</v>
      </c>
      <c r="V5939" t="s">
        <v>12802</v>
      </c>
      <c r="W5939" t="s">
        <v>18672</v>
      </c>
      <c r="X5939">
        <v>3</v>
      </c>
      <c r="Y5939" t="s">
        <v>24879</v>
      </c>
      <c r="Z5939" t="s">
        <v>31257</v>
      </c>
      <c r="AA5939">
        <v>0.39933872186305269</v>
      </c>
      <c r="AB5939" t="str">
        <f>HYPERLINK("Melting_Curves/meltCurve_Q9P2Y5_UVRAG.pdf", "Melting_Curves/meltCurve_Q9P2Y5_UVRAG.pdf")</f>
        <v>Melting_Curves/meltCurve_Q9P2Y5_UVRAG.pdf</v>
      </c>
    </row>
    <row r="5940" spans="1:28" x14ac:dyDescent="0.25">
      <c r="A5940" t="s">
        <v>5944</v>
      </c>
      <c r="B5940">
        <v>0.99542014353169495</v>
      </c>
      <c r="C5940">
        <v>1.02668481467428</v>
      </c>
      <c r="D5940">
        <v>0.97148056584967402</v>
      </c>
      <c r="E5940">
        <v>0.94862650492726996</v>
      </c>
      <c r="F5940">
        <v>0.70041454080264298</v>
      </c>
      <c r="G5940">
        <v>0.23823022122430501</v>
      </c>
      <c r="H5940">
        <v>6.1755361260175501E-2</v>
      </c>
      <c r="I5940">
        <v>4.39574255617853E-2</v>
      </c>
      <c r="J5940">
        <v>3.5524370726208003E-2</v>
      </c>
      <c r="K5940">
        <v>4.38595320673731E-2</v>
      </c>
      <c r="L5940">
        <v>1573.5553301475099</v>
      </c>
      <c r="M5940">
        <v>30.567114798760599</v>
      </c>
      <c r="N5940">
        <v>51.597443323969202</v>
      </c>
      <c r="O5940">
        <v>51.2598765117176</v>
      </c>
      <c r="P5940">
        <v>-0.14401750216384601</v>
      </c>
      <c r="Q5940">
        <v>3.3958585886460398E-2</v>
      </c>
      <c r="R5940">
        <v>0.99901282262464297</v>
      </c>
      <c r="S5940" t="s">
        <v>12342</v>
      </c>
      <c r="T5940" t="s">
        <v>12802</v>
      </c>
      <c r="U5940" t="s">
        <v>12802</v>
      </c>
      <c r="V5940" t="s">
        <v>12802</v>
      </c>
      <c r="W5940" t="s">
        <v>18673</v>
      </c>
      <c r="X5940">
        <v>23</v>
      </c>
      <c r="Y5940" t="s">
        <v>24880</v>
      </c>
      <c r="Z5940" t="s">
        <v>31258</v>
      </c>
      <c r="AA5940">
        <v>0.50603423147760096</v>
      </c>
      <c r="AB5940" t="str">
        <f>HYPERLINK("Melting_Curves/meltCurve_Q9UBB4_ATXN10.pdf", "Melting_Curves/meltCurve_Q9UBB4_ATXN10.pdf")</f>
        <v>Melting_Curves/meltCurve_Q9UBB4_ATXN10.pdf</v>
      </c>
    </row>
    <row r="5941" spans="1:28" x14ac:dyDescent="0.25">
      <c r="A5941" t="s">
        <v>5945</v>
      </c>
      <c r="B5941">
        <v>0.99542014353169495</v>
      </c>
      <c r="C5941">
        <v>0.91383725758139001</v>
      </c>
      <c r="D5941">
        <v>0.85369163351414601</v>
      </c>
      <c r="E5941">
        <v>0.49187816427595799</v>
      </c>
      <c r="F5941">
        <v>0.299847488427121</v>
      </c>
      <c r="G5941">
        <v>0.22632738478525599</v>
      </c>
      <c r="H5941">
        <v>0.142553865224264</v>
      </c>
      <c r="I5941">
        <v>0.13619150961246199</v>
      </c>
      <c r="J5941">
        <v>0.155571273084157</v>
      </c>
      <c r="K5941">
        <v>0.21857835859441799</v>
      </c>
      <c r="L5941">
        <v>913.77170392949404</v>
      </c>
      <c r="M5941">
        <v>19.942228776036401</v>
      </c>
      <c r="N5941">
        <v>46.746197316704603</v>
      </c>
      <c r="O5941">
        <v>45.367656057326002</v>
      </c>
      <c r="P5941">
        <v>-9.19757222073362E-2</v>
      </c>
      <c r="Q5941">
        <v>0.16306540547162701</v>
      </c>
      <c r="R5941">
        <v>0.99131404167019699</v>
      </c>
      <c r="S5941" t="s">
        <v>12343</v>
      </c>
      <c r="T5941" t="s">
        <v>12802</v>
      </c>
      <c r="U5941" t="s">
        <v>12802</v>
      </c>
      <c r="V5941" t="s">
        <v>12802</v>
      </c>
      <c r="W5941" t="s">
        <v>18674</v>
      </c>
      <c r="X5941">
        <v>4</v>
      </c>
      <c r="Y5941" t="s">
        <v>24881</v>
      </c>
      <c r="Z5941" t="s">
        <v>31259</v>
      </c>
      <c r="AA5941">
        <v>0.42015998370305557</v>
      </c>
      <c r="AB5941" t="str">
        <f>HYPERLINK("Melting_Curves/meltCurve_Q9UBB5_MBD2.pdf", "Melting_Curves/meltCurve_Q9UBB5_MBD2.pdf")</f>
        <v>Melting_Curves/meltCurve_Q9UBB5_MBD2.pdf</v>
      </c>
    </row>
    <row r="5942" spans="1:28" x14ac:dyDescent="0.25">
      <c r="A5942" t="s">
        <v>5946</v>
      </c>
      <c r="B5942">
        <v>0.99542014353169495</v>
      </c>
      <c r="C5942">
        <v>1.1010110121529899</v>
      </c>
      <c r="D5942">
        <v>1.0137461809429</v>
      </c>
      <c r="E5942">
        <v>0.87558958744654902</v>
      </c>
      <c r="F5942">
        <v>0.28359724329795299</v>
      </c>
      <c r="G5942">
        <v>0.122354357761816</v>
      </c>
      <c r="H5942">
        <v>5.9249525753177802E-2</v>
      </c>
      <c r="I5942">
        <v>4.5687139341524199E-2</v>
      </c>
      <c r="J5942">
        <v>4.0155857955309099E-2</v>
      </c>
      <c r="K5942">
        <v>4.24956380399839E-2</v>
      </c>
      <c r="L5942">
        <v>1897.8131370512799</v>
      </c>
      <c r="M5942">
        <v>38.890210379774999</v>
      </c>
      <c r="N5942">
        <v>48.945497237825599</v>
      </c>
      <c r="O5942">
        <v>48.670756776938198</v>
      </c>
      <c r="P5942">
        <v>-0.18880589144910501</v>
      </c>
      <c r="Q5942">
        <v>5.4846530206358803E-2</v>
      </c>
      <c r="R5942">
        <v>0.99350145474111395</v>
      </c>
      <c r="S5942" t="s">
        <v>12344</v>
      </c>
      <c r="T5942" t="s">
        <v>12802</v>
      </c>
      <c r="U5942" t="s">
        <v>12802</v>
      </c>
      <c r="V5942" t="s">
        <v>12802</v>
      </c>
      <c r="W5942" t="s">
        <v>18675</v>
      </c>
      <c r="X5942">
        <v>12</v>
      </c>
      <c r="Y5942" t="s">
        <v>24882</v>
      </c>
      <c r="Z5942" t="s">
        <v>31260</v>
      </c>
      <c r="AA5942">
        <v>0.42995671778921429</v>
      </c>
      <c r="AB5942" t="str">
        <f>HYPERLINK("Melting_Curves/meltCurve_Q9UBB6_NCDN.pdf", "Melting_Curves/meltCurve_Q9UBB6_NCDN.pdf")</f>
        <v>Melting_Curves/meltCurve_Q9UBB6_NCDN.pdf</v>
      </c>
    </row>
    <row r="5943" spans="1:28" x14ac:dyDescent="0.25">
      <c r="A5943" t="s">
        <v>5947</v>
      </c>
      <c r="B5943">
        <v>0.99542014353169495</v>
      </c>
      <c r="C5943">
        <v>0.82039974798564397</v>
      </c>
      <c r="D5943">
        <v>0.74294505424538004</v>
      </c>
      <c r="E5943">
        <v>0.307708655668742</v>
      </c>
      <c r="F5943">
        <v>0.11989073383966201</v>
      </c>
      <c r="G5943">
        <v>7.5677559144189999E-2</v>
      </c>
      <c r="H5943">
        <v>5.5844199955131998E-2</v>
      </c>
      <c r="I5943">
        <v>4.1719558520995598E-2</v>
      </c>
      <c r="J5943">
        <v>4.5417147470607898E-2</v>
      </c>
      <c r="K5943">
        <v>4.6408567939700399E-2</v>
      </c>
      <c r="L5943">
        <v>857.24322467734896</v>
      </c>
      <c r="M5943">
        <v>19.227906498002099</v>
      </c>
      <c r="N5943">
        <v>44.765601681004803</v>
      </c>
      <c r="O5943">
        <v>44.109471133952397</v>
      </c>
      <c r="P5943">
        <v>-0.10487814240578</v>
      </c>
      <c r="Q5943">
        <v>3.76609814260013E-2</v>
      </c>
      <c r="R5943">
        <v>0.99018339835171498</v>
      </c>
      <c r="S5943" t="s">
        <v>12345</v>
      </c>
      <c r="T5943" t="s">
        <v>12802</v>
      </c>
      <c r="U5943" t="s">
        <v>12802</v>
      </c>
      <c r="V5943" t="s">
        <v>12802</v>
      </c>
      <c r="W5943" t="s">
        <v>18676</v>
      </c>
      <c r="X5943">
        <v>16</v>
      </c>
      <c r="Y5943" t="s">
        <v>24883</v>
      </c>
      <c r="Z5943" t="s">
        <v>31261</v>
      </c>
      <c r="AA5943">
        <v>0.29475019586512441</v>
      </c>
      <c r="AB5943" t="str">
        <f>HYPERLINK("Melting_Curves/meltCurve_Q9UBB9_TFIP11.pdf", "Melting_Curves/meltCurve_Q9UBB9_TFIP11.pdf")</f>
        <v>Melting_Curves/meltCurve_Q9UBB9_TFIP11.pdf</v>
      </c>
    </row>
    <row r="5944" spans="1:28" x14ac:dyDescent="0.25">
      <c r="A5944" t="s">
        <v>5948</v>
      </c>
      <c r="B5944">
        <v>0.99542014353169495</v>
      </c>
      <c r="C5944">
        <v>0.97848365494738099</v>
      </c>
      <c r="D5944">
        <v>0.92480063712081995</v>
      </c>
      <c r="E5944">
        <v>0.66927763384293804</v>
      </c>
      <c r="F5944">
        <v>0.33545136136238302</v>
      </c>
      <c r="G5944">
        <v>0.13083227246360299</v>
      </c>
      <c r="H5944">
        <v>8.0680525793590196E-2</v>
      </c>
      <c r="I5944">
        <v>6.2395394335638101E-2</v>
      </c>
      <c r="J5944">
        <v>7.1837528047621904E-2</v>
      </c>
      <c r="K5944">
        <v>7.3594434125503705E-2</v>
      </c>
      <c r="L5944">
        <v>1018.40011831008</v>
      </c>
      <c r="M5944">
        <v>21.226450808103301</v>
      </c>
      <c r="N5944">
        <v>48.265696045466903</v>
      </c>
      <c r="O5944">
        <v>47.558127212970803</v>
      </c>
      <c r="P5944">
        <v>-0.104951143524929</v>
      </c>
      <c r="Q5944">
        <v>5.9446581352564101E-2</v>
      </c>
      <c r="R5944">
        <v>0.99951231049748901</v>
      </c>
      <c r="S5944" t="s">
        <v>12346</v>
      </c>
      <c r="T5944" t="s">
        <v>12802</v>
      </c>
      <c r="U5944" t="s">
        <v>12802</v>
      </c>
      <c r="V5944" t="s">
        <v>12802</v>
      </c>
      <c r="W5944" t="s">
        <v>18677</v>
      </c>
      <c r="X5944">
        <v>22</v>
      </c>
      <c r="Y5944" t="s">
        <v>20413</v>
      </c>
      <c r="Z5944" t="s">
        <v>31262</v>
      </c>
      <c r="AA5944">
        <v>0.41465281626203332</v>
      </c>
      <c r="AB5944" t="str">
        <f>HYPERLINK("Melting_Curves/meltCurve_Q9UBC2_2_EPS15L1.pdf", "Melting_Curves/meltCurve_Q9UBC2_2_EPS15L1.pdf")</f>
        <v>Melting_Curves/meltCurve_Q9UBC2_2_EPS15L1.pdf</v>
      </c>
    </row>
    <row r="5945" spans="1:28" x14ac:dyDescent="0.25">
      <c r="A5945" t="s">
        <v>5949</v>
      </c>
      <c r="B5945">
        <v>0.99542014353169495</v>
      </c>
      <c r="C5945">
        <v>0.860961454335188</v>
      </c>
      <c r="D5945">
        <v>0.53230882439496496</v>
      </c>
      <c r="E5945">
        <v>0.28669576490204302</v>
      </c>
      <c r="F5945">
        <v>0.169927688313562</v>
      </c>
      <c r="G5945">
        <v>9.95746266343953E-2</v>
      </c>
      <c r="H5945">
        <v>5.6051926465176601E-2</v>
      </c>
      <c r="I5945">
        <v>3.3676528891023003E-2</v>
      </c>
      <c r="J5945">
        <v>4.1050174298579503E-2</v>
      </c>
      <c r="K5945">
        <v>4.4588794706957501E-2</v>
      </c>
      <c r="L5945">
        <v>749.60663721693902</v>
      </c>
      <c r="M5945">
        <v>17.2246887780782</v>
      </c>
      <c r="N5945">
        <v>43.774335332679499</v>
      </c>
      <c r="O5945">
        <v>42.945435545848603</v>
      </c>
      <c r="P5945">
        <v>-9.5489587452840294E-2</v>
      </c>
      <c r="Q5945">
        <v>4.7738692421056099E-2</v>
      </c>
      <c r="R5945">
        <v>0.99480896190522805</v>
      </c>
      <c r="S5945" t="s">
        <v>12347</v>
      </c>
      <c r="T5945" t="s">
        <v>12802</v>
      </c>
      <c r="U5945" t="s">
        <v>12802</v>
      </c>
      <c r="V5945" t="s">
        <v>12802</v>
      </c>
      <c r="W5945" t="s">
        <v>18678</v>
      </c>
      <c r="X5945">
        <v>6</v>
      </c>
      <c r="Y5945" t="s">
        <v>24884</v>
      </c>
      <c r="Z5945" t="s">
        <v>31263</v>
      </c>
      <c r="AA5945">
        <v>0.2727148974923968</v>
      </c>
      <c r="AB5945" t="str">
        <f>HYPERLINK("Melting_Curves/meltCurve_Q9UBC3_4_DNMT3B.pdf", "Melting_Curves/meltCurve_Q9UBC3_4_DNMT3B.pdf")</f>
        <v>Melting_Curves/meltCurve_Q9UBC3_4_DNMT3B.pdf</v>
      </c>
    </row>
    <row r="5946" spans="1:28" x14ac:dyDescent="0.25">
      <c r="A5946" t="s">
        <v>5950</v>
      </c>
      <c r="B5946">
        <v>0.99542014353169495</v>
      </c>
      <c r="C5946">
        <v>0.93652742642061504</v>
      </c>
      <c r="D5946">
        <v>0.94037563856602302</v>
      </c>
      <c r="E5946">
        <v>0.38540028795183801</v>
      </c>
      <c r="F5946">
        <v>0.15821721777307801</v>
      </c>
      <c r="G5946">
        <v>8.8982264206538902E-2</v>
      </c>
      <c r="H5946">
        <v>8.7657718322773595E-2</v>
      </c>
      <c r="I5946">
        <v>6.3071902334847593E-2</v>
      </c>
      <c r="J5946">
        <v>4.4668650088757901E-2</v>
      </c>
      <c r="K5946">
        <v>4.6015524259905301E-2</v>
      </c>
      <c r="L5946">
        <v>1576.85013996307</v>
      </c>
      <c r="M5946">
        <v>34.422325869863599</v>
      </c>
      <c r="N5946">
        <v>46.014141530421497</v>
      </c>
      <c r="O5946">
        <v>45.655158157183202</v>
      </c>
      <c r="P5946">
        <v>-0.17507953862945899</v>
      </c>
      <c r="Q5946">
        <v>7.1154699377147898E-2</v>
      </c>
      <c r="R5946">
        <v>0.99467768583460503</v>
      </c>
      <c r="S5946" t="s">
        <v>12348</v>
      </c>
      <c r="T5946" t="s">
        <v>12802</v>
      </c>
      <c r="U5946" t="s">
        <v>12802</v>
      </c>
      <c r="V5946" t="s">
        <v>12802</v>
      </c>
      <c r="W5946" t="s">
        <v>18679</v>
      </c>
      <c r="X5946">
        <v>7</v>
      </c>
      <c r="Y5946" t="s">
        <v>24885</v>
      </c>
      <c r="Z5946" t="s">
        <v>31264</v>
      </c>
      <c r="AA5946">
        <v>0.34788310316407078</v>
      </c>
      <c r="AB5946" t="str">
        <f>HYPERLINK("Melting_Curves/meltCurve_Q9UBD5_ORC3.pdf", "Melting_Curves/meltCurve_Q9UBD5_ORC3.pdf")</f>
        <v>Melting_Curves/meltCurve_Q9UBD5_ORC3.pdf</v>
      </c>
    </row>
    <row r="5947" spans="1:28" x14ac:dyDescent="0.25">
      <c r="A5947" t="s">
        <v>5951</v>
      </c>
      <c r="B5947">
        <v>0.99542014353169495</v>
      </c>
      <c r="C5947">
        <v>0.97082523883790495</v>
      </c>
      <c r="D5947">
        <v>0.93332220885097295</v>
      </c>
      <c r="E5947">
        <v>0.84037901827809303</v>
      </c>
      <c r="F5947">
        <v>0.46584039809038402</v>
      </c>
      <c r="G5947">
        <v>0.16232468485464899</v>
      </c>
      <c r="H5947">
        <v>8.4373658862163803E-2</v>
      </c>
      <c r="I5947">
        <v>6.0265532695163902E-2</v>
      </c>
      <c r="J5947">
        <v>6.2661034815572406E-2</v>
      </c>
      <c r="K5947">
        <v>6.6899136485878696E-2</v>
      </c>
      <c r="L5947">
        <v>1201.3991821343</v>
      </c>
      <c r="M5947">
        <v>24.229650525334801</v>
      </c>
      <c r="N5947">
        <v>49.819657188507499</v>
      </c>
      <c r="O5947">
        <v>49.249813772192702</v>
      </c>
      <c r="P5947">
        <v>-0.116332304771461</v>
      </c>
      <c r="Q5947">
        <v>5.4174590700418003E-2</v>
      </c>
      <c r="R5947">
        <v>0.99804206791628003</v>
      </c>
      <c r="S5947" t="s">
        <v>12349</v>
      </c>
      <c r="T5947" t="s">
        <v>12802</v>
      </c>
      <c r="U5947" t="s">
        <v>12802</v>
      </c>
      <c r="V5947" t="s">
        <v>12802</v>
      </c>
      <c r="W5947" t="s">
        <v>18680</v>
      </c>
      <c r="X5947">
        <v>28</v>
      </c>
      <c r="Y5947" t="s">
        <v>24886</v>
      </c>
      <c r="Z5947" t="s">
        <v>31265</v>
      </c>
      <c r="AA5947">
        <v>0.45965343832645489</v>
      </c>
      <c r="AB5947" t="str">
        <f>HYPERLINK("Melting_Curves/meltCurve_Q9UBE0_SAE1.pdf", "Melting_Curves/meltCurve_Q9UBE0_SAE1.pdf")</f>
        <v>Melting_Curves/meltCurve_Q9UBE0_SAE1.pdf</v>
      </c>
    </row>
    <row r="5948" spans="1:28" x14ac:dyDescent="0.25">
      <c r="A5948" t="s">
        <v>5952</v>
      </c>
      <c r="B5948">
        <v>0.99542014353169495</v>
      </c>
      <c r="C5948">
        <v>0.93287456653901202</v>
      </c>
      <c r="D5948">
        <v>0.76561405375511404</v>
      </c>
      <c r="E5948">
        <v>0.66461556341594297</v>
      </c>
      <c r="F5948">
        <v>0.46935604469174702</v>
      </c>
      <c r="G5948">
        <v>0.25121109650094298</v>
      </c>
      <c r="H5948">
        <v>7.9230810351846898E-2</v>
      </c>
      <c r="I5948">
        <v>8.3550371113912295E-2</v>
      </c>
      <c r="J5948">
        <v>3.4536197949047401E-2</v>
      </c>
      <c r="K5948">
        <v>0.101641843021519</v>
      </c>
      <c r="L5948">
        <v>571.73118299991495</v>
      </c>
      <c r="M5948">
        <v>11.7020348369365</v>
      </c>
      <c r="N5948">
        <v>48.857415925200399</v>
      </c>
      <c r="O5948">
        <v>47.4960744858315</v>
      </c>
      <c r="P5948">
        <v>-6.1611113853814597E-2</v>
      </c>
      <c r="Q5948">
        <v>0</v>
      </c>
      <c r="R5948">
        <v>0.986887900563581</v>
      </c>
      <c r="S5948" t="s">
        <v>12350</v>
      </c>
      <c r="T5948" t="s">
        <v>12802</v>
      </c>
      <c r="U5948" t="s">
        <v>12802</v>
      </c>
      <c r="V5948" t="s">
        <v>12802</v>
      </c>
      <c r="W5948" t="s">
        <v>18681</v>
      </c>
      <c r="X5948">
        <v>5</v>
      </c>
      <c r="Y5948" t="s">
        <v>24887</v>
      </c>
      <c r="Z5948" t="s">
        <v>31266</v>
      </c>
      <c r="AA5948">
        <v>0.42621855282577231</v>
      </c>
      <c r="AB5948" t="str">
        <f>HYPERLINK("Melting_Curves/meltCurve_Q9UBF1_MAGEC2.pdf", "Melting_Curves/meltCurve_Q9UBF1_MAGEC2.pdf")</f>
        <v>Melting_Curves/meltCurve_Q9UBF1_MAGEC2.pdf</v>
      </c>
    </row>
    <row r="5949" spans="1:28" x14ac:dyDescent="0.25">
      <c r="A5949" t="s">
        <v>5953</v>
      </c>
      <c r="B5949">
        <v>0.99542014353169495</v>
      </c>
      <c r="C5949">
        <v>0.86366941071431502</v>
      </c>
      <c r="D5949">
        <v>0.93307361290219504</v>
      </c>
      <c r="E5949">
        <v>0.74172479583633</v>
      </c>
      <c r="F5949">
        <v>0.55379133782391399</v>
      </c>
      <c r="G5949">
        <v>0.26316223718318799</v>
      </c>
      <c r="H5949">
        <v>9.8759269754395806E-2</v>
      </c>
      <c r="I5949">
        <v>5.62597476630914E-2</v>
      </c>
      <c r="J5949">
        <v>9.0845549530073094E-2</v>
      </c>
      <c r="K5949">
        <v>5.6819974285726799E-2</v>
      </c>
      <c r="L5949">
        <v>742.93445831233601</v>
      </c>
      <c r="M5949">
        <v>14.8199753444399</v>
      </c>
      <c r="N5949">
        <v>50.2358947428975</v>
      </c>
      <c r="O5949">
        <v>49.244422930524898</v>
      </c>
      <c r="P5949">
        <v>-7.4094421670099997E-2</v>
      </c>
      <c r="Q5949">
        <v>1.52888450628112E-2</v>
      </c>
      <c r="R5949">
        <v>0.98489328828344802</v>
      </c>
      <c r="S5949" t="s">
        <v>12351</v>
      </c>
      <c r="T5949" t="s">
        <v>12802</v>
      </c>
      <c r="U5949" t="s">
        <v>12802</v>
      </c>
      <c r="V5949" t="s">
        <v>12802</v>
      </c>
      <c r="W5949" t="s">
        <v>18682</v>
      </c>
      <c r="X5949">
        <v>25</v>
      </c>
      <c r="Y5949" t="s">
        <v>24888</v>
      </c>
      <c r="Z5949" t="s">
        <v>31267</v>
      </c>
      <c r="AA5949">
        <v>0.46713365465372308</v>
      </c>
      <c r="AB5949" t="str">
        <f>HYPERLINK("Melting_Curves/meltCurve_Q9UBF2_COPG2.pdf", "Melting_Curves/meltCurve_Q9UBF2_COPG2.pdf")</f>
        <v>Melting_Curves/meltCurve_Q9UBF2_COPG2.pdf</v>
      </c>
    </row>
    <row r="5950" spans="1:28" x14ac:dyDescent="0.25">
      <c r="A5950" t="s">
        <v>5954</v>
      </c>
      <c r="B5950">
        <v>0.99542014353169495</v>
      </c>
      <c r="C5950">
        <v>1.03294688323218</v>
      </c>
      <c r="D5950">
        <v>0.92344283763560597</v>
      </c>
      <c r="E5950">
        <v>0.81838028127684503</v>
      </c>
      <c r="F5950">
        <v>0.67290274037249698</v>
      </c>
      <c r="G5950">
        <v>0.437591030946135</v>
      </c>
      <c r="H5950">
        <v>0.29340436117819602</v>
      </c>
      <c r="I5950">
        <v>0.25245082090446203</v>
      </c>
      <c r="J5950">
        <v>0.43525408799327397</v>
      </c>
      <c r="K5950">
        <v>0.55334781159798996</v>
      </c>
      <c r="L5950">
        <v>1088.7781146694399</v>
      </c>
      <c r="M5950">
        <v>22.210679459130102</v>
      </c>
      <c r="N5950">
        <v>52.373264650111103</v>
      </c>
      <c r="O5950">
        <v>48.6282881838641</v>
      </c>
      <c r="P5950">
        <v>-7.0868998809710704E-2</v>
      </c>
      <c r="Q5950">
        <v>0.37936810565743101</v>
      </c>
      <c r="R5950">
        <v>0.90495180330577596</v>
      </c>
      <c r="S5950" t="s">
        <v>12352</v>
      </c>
      <c r="T5950" t="s">
        <v>12802</v>
      </c>
      <c r="U5950" t="s">
        <v>12802</v>
      </c>
      <c r="V5950" t="s">
        <v>12802</v>
      </c>
      <c r="W5950" t="s">
        <v>18683</v>
      </c>
      <c r="X5950">
        <v>2</v>
      </c>
      <c r="Y5950" t="s">
        <v>24889</v>
      </c>
      <c r="Z5950" t="s">
        <v>31268</v>
      </c>
      <c r="AA5950">
        <v>0.63477502533292995</v>
      </c>
      <c r="AB5950" t="str">
        <f>HYPERLINK("Melting_Curves/meltCurve_Q9UBF6_RNF7.pdf", "Melting_Curves/meltCurve_Q9UBF6_RNF7.pdf")</f>
        <v>Melting_Curves/meltCurve_Q9UBF6_RNF7.pdf</v>
      </c>
    </row>
    <row r="5951" spans="1:28" x14ac:dyDescent="0.25">
      <c r="A5951" t="s">
        <v>5955</v>
      </c>
      <c r="B5951">
        <v>0.99542014353169495</v>
      </c>
      <c r="C5951">
        <v>1.0207352555448901</v>
      </c>
      <c r="D5951">
        <v>0.97032015721984199</v>
      </c>
      <c r="E5951">
        <v>0.92727263739077204</v>
      </c>
      <c r="F5951">
        <v>0.63667715648201795</v>
      </c>
      <c r="G5951">
        <v>0.23333502233265599</v>
      </c>
      <c r="H5951">
        <v>9.0247619924118894E-2</v>
      </c>
      <c r="I5951">
        <v>5.71925663912871E-2</v>
      </c>
      <c r="J5951">
        <v>5.66765694163614E-2</v>
      </c>
      <c r="K5951">
        <v>4.65865679034035E-2</v>
      </c>
      <c r="L5951">
        <v>1384.3901025760999</v>
      </c>
      <c r="M5951">
        <v>27.117030490649</v>
      </c>
      <c r="N5951">
        <v>51.237919441908602</v>
      </c>
      <c r="O5951">
        <v>50.777204745218299</v>
      </c>
      <c r="P5951">
        <v>-0.12726905585531301</v>
      </c>
      <c r="Q5951">
        <v>4.6753455301788698E-2</v>
      </c>
      <c r="R5951">
        <v>0.99934245005189604</v>
      </c>
      <c r="S5951" t="s">
        <v>12353</v>
      </c>
      <c r="T5951" t="s">
        <v>12802</v>
      </c>
      <c r="U5951" t="s">
        <v>12802</v>
      </c>
      <c r="V5951" t="s">
        <v>12802</v>
      </c>
      <c r="W5951" t="s">
        <v>18684</v>
      </c>
      <c r="X5951">
        <v>10</v>
      </c>
      <c r="Y5951" t="s">
        <v>24890</v>
      </c>
      <c r="Z5951" t="s">
        <v>31269</v>
      </c>
      <c r="AA5951">
        <v>0.50048833043873109</v>
      </c>
      <c r="AB5951" t="str">
        <f>HYPERLINK("Melting_Curves/meltCurve_Q9UBF8_2_PI4KB.pdf", "Melting_Curves/meltCurve_Q9UBF8_2_PI4KB.pdf")</f>
        <v>Melting_Curves/meltCurve_Q9UBF8_2_PI4KB.pdf</v>
      </c>
    </row>
    <row r="5952" spans="1:28" x14ac:dyDescent="0.25">
      <c r="A5952" t="s">
        <v>5956</v>
      </c>
      <c r="B5952">
        <v>0.99542014353169495</v>
      </c>
      <c r="C5952">
        <v>0.725818639729093</v>
      </c>
      <c r="D5952">
        <v>0.86093800821656097</v>
      </c>
      <c r="E5952">
        <v>0.52226191390988097</v>
      </c>
      <c r="F5952">
        <v>0.356280397989515</v>
      </c>
      <c r="G5952">
        <v>0.17070635815009499</v>
      </c>
      <c r="H5952">
        <v>5.5524064535616903E-2</v>
      </c>
      <c r="I5952">
        <v>5.0416508497116798E-2</v>
      </c>
      <c r="J5952">
        <v>6.2099918743554201E-2</v>
      </c>
      <c r="K5952">
        <v>7.6212438738729002E-2</v>
      </c>
      <c r="L5952">
        <v>548.53914667982394</v>
      </c>
      <c r="M5952">
        <v>11.6339136798358</v>
      </c>
      <c r="N5952">
        <v>47.1514121547225</v>
      </c>
      <c r="O5952">
        <v>45.8215286601651</v>
      </c>
      <c r="P5952">
        <v>-6.3480330799610393E-2</v>
      </c>
      <c r="Q5952">
        <v>1.7296031796094701E-4</v>
      </c>
      <c r="R5952">
        <v>0.96064467460488101</v>
      </c>
      <c r="S5952" t="s">
        <v>12354</v>
      </c>
      <c r="T5952" t="s">
        <v>12802</v>
      </c>
      <c r="U5952" t="s">
        <v>12802</v>
      </c>
      <c r="V5952" t="s">
        <v>12802</v>
      </c>
      <c r="W5952" t="s">
        <v>18685</v>
      </c>
      <c r="X5952">
        <v>4</v>
      </c>
      <c r="Y5952" t="s">
        <v>24891</v>
      </c>
      <c r="Z5952" t="s">
        <v>31270</v>
      </c>
      <c r="AA5952">
        <v>0.37267783044228708</v>
      </c>
      <c r="AB5952" t="str">
        <f>HYPERLINK("Melting_Curves/meltCurve_Q9UBH6_2_XPR1.pdf", "Melting_Curves/meltCurve_Q9UBH6_2_XPR1.pdf")</f>
        <v>Melting_Curves/meltCurve_Q9UBH6_2_XPR1.pdf</v>
      </c>
    </row>
    <row r="5953" spans="1:28" x14ac:dyDescent="0.25">
      <c r="A5953" t="s">
        <v>5957</v>
      </c>
      <c r="B5953">
        <v>0.99542014353169495</v>
      </c>
      <c r="C5953">
        <v>0.97329743260610802</v>
      </c>
      <c r="D5953">
        <v>0.942275446633695</v>
      </c>
      <c r="E5953">
        <v>0.79260968215185601</v>
      </c>
      <c r="F5953">
        <v>0.63045088670282501</v>
      </c>
      <c r="G5953">
        <v>0.39194124127973901</v>
      </c>
      <c r="H5953">
        <v>0.21866260627738901</v>
      </c>
      <c r="I5953">
        <v>0.117110392084319</v>
      </c>
      <c r="J5953">
        <v>0.143592263694894</v>
      </c>
      <c r="K5953">
        <v>0.17338683861013801</v>
      </c>
      <c r="L5953">
        <v>770.63836096945499</v>
      </c>
      <c r="M5953">
        <v>15.132827364011201</v>
      </c>
      <c r="N5953">
        <v>51.703113716736802</v>
      </c>
      <c r="O5953">
        <v>50.060478748941698</v>
      </c>
      <c r="P5953">
        <v>-6.7882815089308601E-2</v>
      </c>
      <c r="Q5953">
        <v>0.101842563587121</v>
      </c>
      <c r="R5953">
        <v>0.99359638676334405</v>
      </c>
      <c r="S5953" t="s">
        <v>12355</v>
      </c>
      <c r="T5953" t="s">
        <v>12802</v>
      </c>
      <c r="U5953" t="s">
        <v>12802</v>
      </c>
      <c r="V5953" t="s">
        <v>12802</v>
      </c>
      <c r="W5953" t="s">
        <v>18686</v>
      </c>
      <c r="X5953">
        <v>2</v>
      </c>
      <c r="Y5953" t="s">
        <v>24892</v>
      </c>
      <c r="Z5953" t="s">
        <v>31271</v>
      </c>
      <c r="AA5953">
        <v>0.53666444339836494</v>
      </c>
      <c r="AB5953" t="str">
        <f>HYPERLINK("Melting_Curves/meltCurve_Q9UBI6_GNG12.pdf", "Melting_Curves/meltCurve_Q9UBI6_GNG12.pdf")</f>
        <v>Melting_Curves/meltCurve_Q9UBI6_GNG12.pdf</v>
      </c>
    </row>
    <row r="5954" spans="1:28" x14ac:dyDescent="0.25">
      <c r="A5954" t="s">
        <v>5958</v>
      </c>
      <c r="B5954">
        <v>0.99542014353169495</v>
      </c>
      <c r="C5954">
        <v>1.01283667087291</v>
      </c>
      <c r="D5954">
        <v>1.0073994321478801</v>
      </c>
      <c r="E5954">
        <v>0.87572438086293602</v>
      </c>
      <c r="F5954">
        <v>0.47108952420556399</v>
      </c>
      <c r="G5954">
        <v>0.14930988374726401</v>
      </c>
      <c r="H5954">
        <v>6.7679488162375595E-2</v>
      </c>
      <c r="I5954">
        <v>4.3282385408118802E-2</v>
      </c>
      <c r="J5954">
        <v>5.1845531809716003E-2</v>
      </c>
      <c r="K5954">
        <v>5.7101685238264303E-2</v>
      </c>
      <c r="L5954">
        <v>1418.6968816351</v>
      </c>
      <c r="M5954">
        <v>28.493206438600001</v>
      </c>
      <c r="N5954">
        <v>49.967456333153102</v>
      </c>
      <c r="O5954">
        <v>49.547391996412401</v>
      </c>
      <c r="P5954">
        <v>-0.136876602138437</v>
      </c>
      <c r="Q5954">
        <v>4.7938158717917297E-2</v>
      </c>
      <c r="R5954">
        <v>0.999593291801256</v>
      </c>
      <c r="S5954" t="s">
        <v>12356</v>
      </c>
      <c r="T5954" t="s">
        <v>12802</v>
      </c>
      <c r="U5954" t="s">
        <v>12802</v>
      </c>
      <c r="V5954" t="s">
        <v>12802</v>
      </c>
      <c r="W5954" t="s">
        <v>18687</v>
      </c>
      <c r="X5954">
        <v>15</v>
      </c>
      <c r="Y5954" t="s">
        <v>24893</v>
      </c>
      <c r="Z5954" t="s">
        <v>31272</v>
      </c>
      <c r="AA5954">
        <v>0.46030041817541029</v>
      </c>
      <c r="AB5954" t="str">
        <f>HYPERLINK("Melting_Curves/meltCurve_Q9UBK8_2_MTRR.pdf", "Melting_Curves/meltCurve_Q9UBK8_2_MTRR.pdf")</f>
        <v>Melting_Curves/meltCurve_Q9UBK8_2_MTRR.pdf</v>
      </c>
    </row>
    <row r="5955" spans="1:28" x14ac:dyDescent="0.25">
      <c r="A5955" t="s">
        <v>5959</v>
      </c>
      <c r="B5955">
        <v>0.99542014353169495</v>
      </c>
      <c r="C5955">
        <v>0.892516409303582</v>
      </c>
      <c r="D5955">
        <v>0.92791020254572598</v>
      </c>
      <c r="E5955">
        <v>0.641301408742324</v>
      </c>
      <c r="F5955">
        <v>0.41571967283003097</v>
      </c>
      <c r="G5955">
        <v>0.25224187646011298</v>
      </c>
      <c r="H5955">
        <v>0.201329418453329</v>
      </c>
      <c r="I5955">
        <v>9.5622425898156505E-2</v>
      </c>
      <c r="J5955">
        <v>7.9145284782671105E-2</v>
      </c>
      <c r="K5955">
        <v>7.1951936921037393E-2</v>
      </c>
      <c r="L5955">
        <v>663.01639993693698</v>
      </c>
      <c r="M5955">
        <v>13.6379462692452</v>
      </c>
      <c r="N5955">
        <v>49.0316864292272</v>
      </c>
      <c r="O5955">
        <v>47.606021815742501</v>
      </c>
      <c r="P5955">
        <v>-6.7714897778236804E-2</v>
      </c>
      <c r="Q5955">
        <v>5.4648148793126503E-2</v>
      </c>
      <c r="R5955">
        <v>0.99152690854435899</v>
      </c>
      <c r="S5955" t="s">
        <v>12357</v>
      </c>
      <c r="T5955" t="s">
        <v>12802</v>
      </c>
      <c r="U5955" t="s">
        <v>12802</v>
      </c>
      <c r="V5955" t="s">
        <v>12802</v>
      </c>
      <c r="W5955" t="s">
        <v>18688</v>
      </c>
      <c r="X5955">
        <v>3</v>
      </c>
      <c r="Y5955" t="s">
        <v>24894</v>
      </c>
      <c r="Z5955" t="s">
        <v>31273</v>
      </c>
      <c r="AA5955">
        <v>0.44450485968053149</v>
      </c>
      <c r="AB5955" t="str">
        <f>HYPERLINK("Melting_Curves/meltCurve_Q9UBK9_UXT.pdf", "Melting_Curves/meltCurve_Q9UBK9_UXT.pdf")</f>
        <v>Melting_Curves/meltCurve_Q9UBK9_UXT.pdf</v>
      </c>
    </row>
    <row r="5956" spans="1:28" x14ac:dyDescent="0.25">
      <c r="A5956" t="s">
        <v>5960</v>
      </c>
      <c r="B5956">
        <v>0.99542014353169495</v>
      </c>
      <c r="C5956">
        <v>0.97014142873933895</v>
      </c>
      <c r="D5956">
        <v>0.95541992946146104</v>
      </c>
      <c r="E5956">
        <v>0.870196678848705</v>
      </c>
      <c r="F5956">
        <v>0.403513733209796</v>
      </c>
      <c r="G5956">
        <v>0.13553017763751199</v>
      </c>
      <c r="H5956">
        <v>7.2834251438246497E-2</v>
      </c>
      <c r="I5956">
        <v>4.6200997721594098E-2</v>
      </c>
      <c r="J5956">
        <v>7.5452055080435093E-2</v>
      </c>
      <c r="K5956">
        <v>5.28978256463686E-2</v>
      </c>
      <c r="L5956">
        <v>1476.6019296447901</v>
      </c>
      <c r="M5956">
        <v>29.937620977884301</v>
      </c>
      <c r="N5956">
        <v>49.526806086715602</v>
      </c>
      <c r="O5956">
        <v>49.104124288039998</v>
      </c>
      <c r="P5956">
        <v>-0.143571407873442</v>
      </c>
      <c r="Q5956">
        <v>5.8054602074793002E-2</v>
      </c>
      <c r="R5956">
        <v>0.99845050072101604</v>
      </c>
      <c r="S5956" t="s">
        <v>12358</v>
      </c>
      <c r="T5956" t="s">
        <v>12802</v>
      </c>
      <c r="U5956" t="s">
        <v>12802</v>
      </c>
      <c r="V5956" t="s">
        <v>12802</v>
      </c>
      <c r="W5956" t="s">
        <v>18689</v>
      </c>
      <c r="X5956">
        <v>18</v>
      </c>
      <c r="Y5956" t="s">
        <v>24895</v>
      </c>
      <c r="Z5956" t="s">
        <v>31274</v>
      </c>
      <c r="AA5956">
        <v>0.45070001993571168</v>
      </c>
      <c r="AB5956" t="str">
        <f>HYPERLINK("Melting_Curves/meltCurve_Q9UBL3_3_ASH2L.pdf", "Melting_Curves/meltCurve_Q9UBL3_3_ASH2L.pdf")</f>
        <v>Melting_Curves/meltCurve_Q9UBL3_3_ASH2L.pdf</v>
      </c>
    </row>
    <row r="5957" spans="1:28" x14ac:dyDescent="0.25">
      <c r="A5957" t="s">
        <v>5961</v>
      </c>
      <c r="B5957">
        <v>0.99542014353169495</v>
      </c>
      <c r="C5957">
        <v>0.82443626418504301</v>
      </c>
      <c r="D5957">
        <v>0.832188940870495</v>
      </c>
      <c r="E5957">
        <v>0.53905856316076195</v>
      </c>
      <c r="F5957">
        <v>0.36783364180265199</v>
      </c>
      <c r="G5957">
        <v>0.10259163156704</v>
      </c>
      <c r="H5957">
        <v>5.3168861876042799E-2</v>
      </c>
      <c r="I5957">
        <v>2.5832638192302401E-2</v>
      </c>
      <c r="J5957">
        <v>2.71423484428823E-2</v>
      </c>
      <c r="K5957">
        <v>2.82842523231382E-2</v>
      </c>
      <c r="L5957">
        <v>649.228601360011</v>
      </c>
      <c r="M5957">
        <v>13.7406022765046</v>
      </c>
      <c r="N5957">
        <v>47.248916880226901</v>
      </c>
      <c r="O5957">
        <v>46.281871917360199</v>
      </c>
      <c r="P5957">
        <v>-7.4232942970282503E-2</v>
      </c>
      <c r="Q5957">
        <v>0</v>
      </c>
      <c r="R5957">
        <v>0.98540785579799095</v>
      </c>
      <c r="S5957" t="s">
        <v>12359</v>
      </c>
      <c r="T5957" t="s">
        <v>12802</v>
      </c>
      <c r="U5957" t="s">
        <v>12802</v>
      </c>
      <c r="V5957" t="s">
        <v>12802</v>
      </c>
      <c r="W5957" t="s">
        <v>18690</v>
      </c>
      <c r="X5957">
        <v>6</v>
      </c>
      <c r="Y5957" t="s">
        <v>24896</v>
      </c>
      <c r="Z5957" t="s">
        <v>31275</v>
      </c>
      <c r="AA5957">
        <v>0.36768250103948918</v>
      </c>
      <c r="AB5957" t="str">
        <f>HYPERLINK("Melting_Curves/meltCurve_Q9UBM7_DHCR7.pdf", "Melting_Curves/meltCurve_Q9UBM7_DHCR7.pdf")</f>
        <v>Melting_Curves/meltCurve_Q9UBM7_DHCR7.pdf</v>
      </c>
    </row>
    <row r="5958" spans="1:28" x14ac:dyDescent="0.25">
      <c r="A5958" t="s">
        <v>5962</v>
      </c>
      <c r="B5958">
        <v>0.99542014353169495</v>
      </c>
      <c r="C5958">
        <v>0.97804720839429204</v>
      </c>
      <c r="D5958">
        <v>0.87521230670986105</v>
      </c>
      <c r="E5958">
        <v>0.74850391271823802</v>
      </c>
      <c r="F5958">
        <v>0.24770533243632301</v>
      </c>
      <c r="G5958">
        <v>0.126273314641483</v>
      </c>
      <c r="H5958">
        <v>8.3919091427364395E-2</v>
      </c>
      <c r="I5958">
        <v>6.2344646512979697E-2</v>
      </c>
      <c r="J5958">
        <v>7.0536033480020299E-2</v>
      </c>
      <c r="K5958">
        <v>5.4222109431391802E-2</v>
      </c>
      <c r="L5958">
        <v>1295.7335312907701</v>
      </c>
      <c r="M5958">
        <v>27.009780289758702</v>
      </c>
      <c r="N5958">
        <v>48.214717859314199</v>
      </c>
      <c r="O5958">
        <v>47.712098046418802</v>
      </c>
      <c r="P5958">
        <v>-0.13255626382697799</v>
      </c>
      <c r="Q5958">
        <v>6.3380035555482495E-2</v>
      </c>
      <c r="R5958">
        <v>0.99315914756194601</v>
      </c>
      <c r="S5958" t="s">
        <v>12360</v>
      </c>
      <c r="T5958" t="s">
        <v>12802</v>
      </c>
      <c r="U5958" t="s">
        <v>12802</v>
      </c>
      <c r="V5958" t="s">
        <v>12802</v>
      </c>
      <c r="W5958" t="s">
        <v>18691</v>
      </c>
      <c r="X5958">
        <v>21</v>
      </c>
      <c r="Y5958" t="s">
        <v>24897</v>
      </c>
      <c r="Z5958" t="s">
        <v>31276</v>
      </c>
      <c r="AA5958">
        <v>0.41279846344962429</v>
      </c>
      <c r="AB5958" t="str">
        <f>HYPERLINK("Melting_Curves/meltCurve_Q9UBP0_3_SPAST.pdf", "Melting_Curves/meltCurve_Q9UBP0_3_SPAST.pdf")</f>
        <v>Melting_Curves/meltCurve_Q9UBP0_3_SPAST.pdf</v>
      </c>
    </row>
    <row r="5959" spans="1:28" x14ac:dyDescent="0.25">
      <c r="A5959" t="s">
        <v>5963</v>
      </c>
      <c r="B5959">
        <v>0.99542014353169495</v>
      </c>
      <c r="C5959">
        <v>0.95760333543574505</v>
      </c>
      <c r="D5959">
        <v>1.04842419495913</v>
      </c>
      <c r="E5959">
        <v>0.85773094966236696</v>
      </c>
      <c r="F5959">
        <v>0.70142029524007599</v>
      </c>
      <c r="G5959">
        <v>0.43531342245131499</v>
      </c>
      <c r="H5959">
        <v>0.13588869798853001</v>
      </c>
      <c r="I5959">
        <v>6.9486472909734906E-2</v>
      </c>
      <c r="J5959">
        <v>9.5825433702504306E-2</v>
      </c>
      <c r="K5959">
        <v>0.120793149219814</v>
      </c>
      <c r="L5959">
        <v>1035.11841425947</v>
      </c>
      <c r="M5959">
        <v>19.874998791163399</v>
      </c>
      <c r="N5959">
        <v>52.431948789072997</v>
      </c>
      <c r="O5959">
        <v>51.562778011414501</v>
      </c>
      <c r="P5959">
        <v>-9.0371432371664104E-2</v>
      </c>
      <c r="Q5959">
        <v>6.2209430394577901E-2</v>
      </c>
      <c r="R5959">
        <v>0.98794681439519805</v>
      </c>
      <c r="S5959" t="s">
        <v>12361</v>
      </c>
      <c r="T5959" t="s">
        <v>12802</v>
      </c>
      <c r="U5959" t="s">
        <v>12802</v>
      </c>
      <c r="V5959" t="s">
        <v>12802</v>
      </c>
      <c r="W5959" t="s">
        <v>18692</v>
      </c>
      <c r="X5959">
        <v>9</v>
      </c>
      <c r="Y5959" t="s">
        <v>24898</v>
      </c>
      <c r="Z5959" t="s">
        <v>31277</v>
      </c>
      <c r="AA5959">
        <v>0.54586053149644154</v>
      </c>
      <c r="AB5959" t="str">
        <f>HYPERLINK("Melting_Curves/meltCurve_Q9UBP6_METTL1.pdf", "Melting_Curves/meltCurve_Q9UBP6_METTL1.pdf")</f>
        <v>Melting_Curves/meltCurve_Q9UBP6_METTL1.pdf</v>
      </c>
    </row>
    <row r="5960" spans="1:28" x14ac:dyDescent="0.25">
      <c r="A5960" t="s">
        <v>5964</v>
      </c>
      <c r="B5960">
        <v>0.99542014353169495</v>
      </c>
      <c r="C5960">
        <v>1.04394495235445</v>
      </c>
      <c r="D5960">
        <v>0.92476675461114599</v>
      </c>
      <c r="E5960">
        <v>0.43964380737483799</v>
      </c>
      <c r="F5960">
        <v>0.210491026693156</v>
      </c>
      <c r="G5960">
        <v>0.141967097339469</v>
      </c>
      <c r="H5960">
        <v>8.2618803222843207E-2</v>
      </c>
      <c r="I5960">
        <v>4.9904447149809301E-2</v>
      </c>
      <c r="J5960">
        <v>5.7013929888806499E-2</v>
      </c>
      <c r="K5960">
        <v>6.0636531246914899E-2</v>
      </c>
      <c r="L5960">
        <v>1294.8883052287899</v>
      </c>
      <c r="M5960">
        <v>28.073831292406101</v>
      </c>
      <c r="N5960">
        <v>46.409348637925902</v>
      </c>
      <c r="O5960">
        <v>45.892257338919997</v>
      </c>
      <c r="P5960">
        <v>-0.14082737133835399</v>
      </c>
      <c r="Q5960">
        <v>7.9166491715700102E-2</v>
      </c>
      <c r="R5960">
        <v>0.99300747186536098</v>
      </c>
      <c r="S5960" t="s">
        <v>12362</v>
      </c>
      <c r="T5960" t="s">
        <v>12802</v>
      </c>
      <c r="U5960" t="s">
        <v>12802</v>
      </c>
      <c r="V5960" t="s">
        <v>12802</v>
      </c>
      <c r="W5960" t="s">
        <v>18693</v>
      </c>
      <c r="X5960">
        <v>7</v>
      </c>
      <c r="Y5960" t="s">
        <v>24899</v>
      </c>
      <c r="Z5960" t="s">
        <v>31278</v>
      </c>
      <c r="AA5960">
        <v>0.36526358147142318</v>
      </c>
      <c r="AB5960" t="str">
        <f>HYPERLINK("Melting_Curves/meltCurve_Q9UBP9_GULP1.pdf", "Melting_Curves/meltCurve_Q9UBP9_GULP1.pdf")</f>
        <v>Melting_Curves/meltCurve_Q9UBP9_GULP1.pdf</v>
      </c>
    </row>
    <row r="5961" spans="1:28" x14ac:dyDescent="0.25">
      <c r="A5961" t="s">
        <v>5965</v>
      </c>
      <c r="B5961">
        <v>0.99542014353169495</v>
      </c>
      <c r="C5961">
        <v>1.0229751117963</v>
      </c>
      <c r="D5961">
        <v>0.96928951801399099</v>
      </c>
      <c r="E5961">
        <v>0.97671961898369297</v>
      </c>
      <c r="F5961">
        <v>0.76480614358251897</v>
      </c>
      <c r="G5961">
        <v>0.45206074677050201</v>
      </c>
      <c r="H5961">
        <v>8.5152692488379797E-2</v>
      </c>
      <c r="I5961">
        <v>4.5569024321326701E-2</v>
      </c>
      <c r="J5961">
        <v>3.3006191014505699E-2</v>
      </c>
      <c r="K5961">
        <v>3.4723281856562802E-2</v>
      </c>
      <c r="L5961">
        <v>1306.9629274854899</v>
      </c>
      <c r="M5961">
        <v>24.689642338278698</v>
      </c>
      <c r="N5961">
        <v>52.982531354169801</v>
      </c>
      <c r="O5961">
        <v>52.5920692680359</v>
      </c>
      <c r="P5961">
        <v>-0.11609816504465199</v>
      </c>
      <c r="Q5961">
        <v>1.07987185841218E-2</v>
      </c>
      <c r="R5961">
        <v>0.99597703792234704</v>
      </c>
      <c r="S5961" t="s">
        <v>12363</v>
      </c>
      <c r="T5961" t="s">
        <v>12802</v>
      </c>
      <c r="U5961" t="s">
        <v>12802</v>
      </c>
      <c r="V5961" t="s">
        <v>12802</v>
      </c>
      <c r="W5961" t="s">
        <v>18694</v>
      </c>
      <c r="X5961">
        <v>12</v>
      </c>
      <c r="Y5961" t="s">
        <v>24900</v>
      </c>
      <c r="Z5961" t="s">
        <v>31279</v>
      </c>
      <c r="AA5961">
        <v>0.54518664832783659</v>
      </c>
      <c r="AB5961" t="str">
        <f>HYPERLINK("Melting_Curves/meltCurve_Q9UBQ7_GRHPR.pdf", "Melting_Curves/meltCurve_Q9UBQ7_GRHPR.pdf")</f>
        <v>Melting_Curves/meltCurve_Q9UBQ7_GRHPR.pdf</v>
      </c>
    </row>
    <row r="5962" spans="1:28" x14ac:dyDescent="0.25">
      <c r="A5962" t="s">
        <v>5966</v>
      </c>
      <c r="B5962">
        <v>0.99542014353169495</v>
      </c>
      <c r="C5962">
        <v>0.99679560236409503</v>
      </c>
      <c r="D5962">
        <v>0.98868910297091095</v>
      </c>
      <c r="E5962">
        <v>0.94271836851226898</v>
      </c>
      <c r="F5962">
        <v>0.77424218192813898</v>
      </c>
      <c r="G5962">
        <v>0.62298267505105998</v>
      </c>
      <c r="H5962">
        <v>0.33474934803781298</v>
      </c>
      <c r="I5962">
        <v>0.13750775211729899</v>
      </c>
      <c r="J5962">
        <v>0.12612687714262</v>
      </c>
      <c r="K5962">
        <v>0.10793572238162601</v>
      </c>
      <c r="L5962">
        <v>891.85981970860803</v>
      </c>
      <c r="M5962">
        <v>16.3401621378306</v>
      </c>
      <c r="N5962">
        <v>54.860930367598797</v>
      </c>
      <c r="O5962">
        <v>53.783001576918601</v>
      </c>
      <c r="P5962">
        <v>-7.2919772261627006E-2</v>
      </c>
      <c r="Q5962">
        <v>4.0019057212426302E-2</v>
      </c>
      <c r="R5962">
        <v>0.99507272521007695</v>
      </c>
      <c r="S5962" t="s">
        <v>12364</v>
      </c>
      <c r="T5962" t="s">
        <v>12802</v>
      </c>
      <c r="U5962" t="s">
        <v>12802</v>
      </c>
      <c r="V5962" t="s">
        <v>12802</v>
      </c>
      <c r="W5962" t="s">
        <v>18695</v>
      </c>
      <c r="X5962">
        <v>9</v>
      </c>
      <c r="Y5962" t="s">
        <v>24901</v>
      </c>
      <c r="Z5962" t="s">
        <v>31280</v>
      </c>
      <c r="AA5962">
        <v>0.61625448661920779</v>
      </c>
      <c r="AB5962" t="str">
        <f>HYPERLINK("Melting_Curves/meltCurve_Q9UBR2_CTSZ.pdf", "Melting_Curves/meltCurve_Q9UBR2_CTSZ.pdf")</f>
        <v>Melting_Curves/meltCurve_Q9UBR2_CTSZ.pdf</v>
      </c>
    </row>
    <row r="5963" spans="1:28" x14ac:dyDescent="0.25">
      <c r="A5963" t="s">
        <v>5967</v>
      </c>
      <c r="B5963">
        <v>0.99542014353169495</v>
      </c>
      <c r="C5963">
        <v>1.0449929598058101</v>
      </c>
      <c r="D5963">
        <v>0.90370096980452197</v>
      </c>
      <c r="E5963">
        <v>0.44935385603581801</v>
      </c>
      <c r="F5963">
        <v>0.18918814941857601</v>
      </c>
      <c r="G5963">
        <v>0.103831432915378</v>
      </c>
      <c r="H5963">
        <v>7.1603233468855595E-2</v>
      </c>
      <c r="I5963">
        <v>4.4121431425950298E-2</v>
      </c>
      <c r="J5963">
        <v>5.6243937208715303E-2</v>
      </c>
      <c r="K5963">
        <v>5.02947061385653E-2</v>
      </c>
      <c r="L5963">
        <v>1260.6875358854199</v>
      </c>
      <c r="M5963">
        <v>27.310865942742002</v>
      </c>
      <c r="N5963">
        <v>46.392407346031703</v>
      </c>
      <c r="O5963">
        <v>45.915294374765899</v>
      </c>
      <c r="P5963">
        <v>-0.13922179258228101</v>
      </c>
      <c r="Q5963">
        <v>6.3764623170787293E-2</v>
      </c>
      <c r="R5963">
        <v>0.99619098910904702</v>
      </c>
      <c r="S5963" t="s">
        <v>12365</v>
      </c>
      <c r="T5963" t="s">
        <v>12802</v>
      </c>
      <c r="U5963" t="s">
        <v>12802</v>
      </c>
      <c r="V5963" t="s">
        <v>12802</v>
      </c>
      <c r="W5963" t="s">
        <v>18696</v>
      </c>
      <c r="X5963">
        <v>7</v>
      </c>
      <c r="Y5963" t="s">
        <v>24902</v>
      </c>
      <c r="Z5963" t="s">
        <v>31281</v>
      </c>
      <c r="AA5963">
        <v>0.35613745293160742</v>
      </c>
      <c r="AB5963" t="str">
        <f>HYPERLINK("Melting_Curves/meltCurve_Q9UBS0_RPS6KB2.pdf", "Melting_Curves/meltCurve_Q9UBS0_RPS6KB2.pdf")</f>
        <v>Melting_Curves/meltCurve_Q9UBS0_RPS6KB2.pdf</v>
      </c>
    </row>
    <row r="5964" spans="1:28" x14ac:dyDescent="0.25">
      <c r="A5964" t="s">
        <v>5968</v>
      </c>
      <c r="B5964">
        <v>0.99542014353169495</v>
      </c>
      <c r="C5964">
        <v>0.945865045014459</v>
      </c>
      <c r="D5964">
        <v>0.944936507949935</v>
      </c>
      <c r="E5964">
        <v>0.80449684489129503</v>
      </c>
      <c r="F5964">
        <v>0.61552952281873596</v>
      </c>
      <c r="G5964">
        <v>0.34056781600955</v>
      </c>
      <c r="H5964">
        <v>0.173506083708278</v>
      </c>
      <c r="I5964">
        <v>9.1023300737599802E-2</v>
      </c>
      <c r="J5964">
        <v>6.2274432699812303E-2</v>
      </c>
      <c r="K5964">
        <v>5.2691306728960101E-2</v>
      </c>
      <c r="L5964">
        <v>749.08984941150004</v>
      </c>
      <c r="M5964">
        <v>14.574333005368199</v>
      </c>
      <c r="N5964">
        <v>51.454041816056503</v>
      </c>
      <c r="O5964">
        <v>50.459308415447303</v>
      </c>
      <c r="P5964">
        <v>-7.1646676782908397E-2</v>
      </c>
      <c r="Q5964">
        <v>7.8906563775016404E-3</v>
      </c>
      <c r="R5964">
        <v>0.99800095038029202</v>
      </c>
      <c r="S5964" t="s">
        <v>12366</v>
      </c>
      <c r="T5964" t="s">
        <v>12802</v>
      </c>
      <c r="U5964" t="s">
        <v>12802</v>
      </c>
      <c r="V5964" t="s">
        <v>12802</v>
      </c>
      <c r="W5964" t="s">
        <v>13451</v>
      </c>
      <c r="X5964">
        <v>13</v>
      </c>
      <c r="Y5964" t="s">
        <v>19774</v>
      </c>
      <c r="Z5964" t="s">
        <v>31282</v>
      </c>
      <c r="AA5964">
        <v>0.50434898298668918</v>
      </c>
      <c r="AB5964" t="str">
        <f>HYPERLINK("Melting_Curves/meltCurve_Q9UBS4_DNAJB11.pdf", "Melting_Curves/meltCurve_Q9UBS4_DNAJB11.pdf")</f>
        <v>Melting_Curves/meltCurve_Q9UBS4_DNAJB11.pdf</v>
      </c>
    </row>
    <row r="5965" spans="1:28" x14ac:dyDescent="0.25">
      <c r="A5965" t="s">
        <v>5969</v>
      </c>
      <c r="B5965">
        <v>0.99542014353169495</v>
      </c>
      <c r="C5965">
        <v>1.0439563914955201</v>
      </c>
      <c r="D5965">
        <v>0.99383642307779096</v>
      </c>
      <c r="E5965">
        <v>0.88347465799587099</v>
      </c>
      <c r="F5965">
        <v>0.378257274363483</v>
      </c>
      <c r="G5965">
        <v>0.14431262792828001</v>
      </c>
      <c r="H5965">
        <v>6.3159206817029107E-2</v>
      </c>
      <c r="I5965">
        <v>3.3798215395712101E-2</v>
      </c>
      <c r="J5965">
        <v>2.8238361589133301E-2</v>
      </c>
      <c r="K5965">
        <v>3.4983688591676103E-2</v>
      </c>
      <c r="L5965">
        <v>1534.20337727688</v>
      </c>
      <c r="M5965">
        <v>31.0923946950039</v>
      </c>
      <c r="N5965">
        <v>49.482484388210501</v>
      </c>
      <c r="O5965">
        <v>49.140603063283898</v>
      </c>
      <c r="P5965">
        <v>-0.15156145591644599</v>
      </c>
      <c r="Q5965">
        <v>4.1852074808544401E-2</v>
      </c>
      <c r="R5965">
        <v>0.99775746568479096</v>
      </c>
      <c r="S5965" t="s">
        <v>12367</v>
      </c>
      <c r="T5965" t="s">
        <v>12802</v>
      </c>
      <c r="U5965" t="s">
        <v>12802</v>
      </c>
      <c r="V5965" t="s">
        <v>12802</v>
      </c>
      <c r="W5965" t="s">
        <v>18697</v>
      </c>
      <c r="X5965">
        <v>10</v>
      </c>
      <c r="Y5965" t="s">
        <v>24903</v>
      </c>
      <c r="Z5965" t="s">
        <v>31283</v>
      </c>
      <c r="AA5965">
        <v>0.44149245486709499</v>
      </c>
      <c r="AB5965" t="str">
        <f>HYPERLINK("Melting_Curves/meltCurve_Q9UBS8_RNF14.pdf", "Melting_Curves/meltCurve_Q9UBS8_RNF14.pdf")</f>
        <v>Melting_Curves/meltCurve_Q9UBS8_RNF14.pdf</v>
      </c>
    </row>
    <row r="5966" spans="1:28" x14ac:dyDescent="0.25">
      <c r="A5966" t="s">
        <v>5970</v>
      </c>
      <c r="B5966">
        <v>0.99542014353169495</v>
      </c>
      <c r="C5966">
        <v>1.00876020436796</v>
      </c>
      <c r="D5966">
        <v>1.0128019990333501</v>
      </c>
      <c r="E5966">
        <v>0.92896744854261504</v>
      </c>
      <c r="F5966">
        <v>0.54361137748496902</v>
      </c>
      <c r="G5966">
        <v>0.140595610670608</v>
      </c>
      <c r="H5966">
        <v>7.4850361568694596E-2</v>
      </c>
      <c r="I5966">
        <v>4.6026245495371702E-2</v>
      </c>
      <c r="J5966">
        <v>4.5818559325833397E-2</v>
      </c>
      <c r="K5966">
        <v>4.6061180228662499E-2</v>
      </c>
      <c r="L5966">
        <v>1657.1629164570199</v>
      </c>
      <c r="M5966">
        <v>32.940132063995399</v>
      </c>
      <c r="N5966">
        <v>50.459220373257097</v>
      </c>
      <c r="O5966">
        <v>50.124011705802999</v>
      </c>
      <c r="P5966">
        <v>-0.15658769430750999</v>
      </c>
      <c r="Q5966">
        <v>4.6905328164546803E-2</v>
      </c>
      <c r="R5966">
        <v>0.999666034433074</v>
      </c>
      <c r="S5966" t="s">
        <v>12368</v>
      </c>
      <c r="T5966" t="s">
        <v>12802</v>
      </c>
      <c r="U5966" t="s">
        <v>12802</v>
      </c>
      <c r="V5966" t="s">
        <v>12802</v>
      </c>
      <c r="W5966" t="s">
        <v>18698</v>
      </c>
      <c r="X5966">
        <v>29</v>
      </c>
      <c r="Y5966" t="s">
        <v>24904</v>
      </c>
      <c r="Z5966" t="s">
        <v>31284</v>
      </c>
      <c r="AA5966">
        <v>0.47459259186996139</v>
      </c>
      <c r="AB5966" t="str">
        <f>HYPERLINK("Melting_Curves/meltCurve_Q9UBT2_UBA2.pdf", "Melting_Curves/meltCurve_Q9UBT2_UBA2.pdf")</f>
        <v>Melting_Curves/meltCurve_Q9UBT2_UBA2.pdf</v>
      </c>
    </row>
    <row r="5967" spans="1:28" x14ac:dyDescent="0.25">
      <c r="A5967" t="s">
        <v>5971</v>
      </c>
      <c r="B5967">
        <v>0.99542014353169495</v>
      </c>
      <c r="C5967">
        <v>1.03644916959782</v>
      </c>
      <c r="D5967">
        <v>0.88894130546609496</v>
      </c>
      <c r="E5967">
        <v>0.65057618635199799</v>
      </c>
      <c r="F5967">
        <v>0.34486840063726398</v>
      </c>
      <c r="G5967">
        <v>0.199398808865765</v>
      </c>
      <c r="H5967">
        <v>0.117744546853745</v>
      </c>
      <c r="I5967">
        <v>7.2673200861672907E-2</v>
      </c>
      <c r="J5967">
        <v>8.8694857155189197E-2</v>
      </c>
      <c r="K5967">
        <v>0.12399742623950601</v>
      </c>
      <c r="L5967">
        <v>925.78128352425097</v>
      </c>
      <c r="M5967">
        <v>19.383478410335101</v>
      </c>
      <c r="N5967">
        <v>48.255314277977597</v>
      </c>
      <c r="O5967">
        <v>47.261743950563698</v>
      </c>
      <c r="P5967">
        <v>-9.3309690803008397E-2</v>
      </c>
      <c r="Q5967">
        <v>8.9984956254305207E-2</v>
      </c>
      <c r="R5967">
        <v>0.99607807888548805</v>
      </c>
      <c r="S5967" t="s">
        <v>12369</v>
      </c>
      <c r="T5967" t="s">
        <v>12802</v>
      </c>
      <c r="U5967" t="s">
        <v>12802</v>
      </c>
      <c r="V5967" t="s">
        <v>12802</v>
      </c>
      <c r="W5967" t="s">
        <v>18699</v>
      </c>
      <c r="X5967">
        <v>2</v>
      </c>
      <c r="Y5967" t="s">
        <v>24905</v>
      </c>
      <c r="Z5967" t="s">
        <v>31285</v>
      </c>
      <c r="AA5967">
        <v>0.42909598381643249</v>
      </c>
      <c r="AB5967" t="str">
        <f>HYPERLINK("Melting_Curves/meltCurve_Q9UBT7_2_CTNNAL1.pdf", "Melting_Curves/meltCurve_Q9UBT7_2_CTNNAL1.pdf")</f>
        <v>Melting_Curves/meltCurve_Q9UBT7_2_CTNNAL1.pdf</v>
      </c>
    </row>
    <row r="5968" spans="1:28" x14ac:dyDescent="0.25">
      <c r="A5968" t="s">
        <v>5972</v>
      </c>
      <c r="B5968">
        <v>0.99542014353169495</v>
      </c>
      <c r="C5968">
        <v>0.96117353943816897</v>
      </c>
      <c r="D5968">
        <v>1.0619081124322201</v>
      </c>
      <c r="E5968">
        <v>0.78814225584706099</v>
      </c>
      <c r="F5968">
        <v>0.61572354980849198</v>
      </c>
      <c r="G5968">
        <v>0.35049114982570601</v>
      </c>
      <c r="H5968">
        <v>0.23562374178436801</v>
      </c>
      <c r="I5968">
        <v>0.15043982562356101</v>
      </c>
      <c r="J5968">
        <v>0.13146376334151999</v>
      </c>
      <c r="K5968">
        <v>0.10784647552518301</v>
      </c>
      <c r="L5968">
        <v>850.51132103629095</v>
      </c>
      <c r="M5968">
        <v>16.7189992542013</v>
      </c>
      <c r="N5968">
        <v>51.5707844127882</v>
      </c>
      <c r="O5968">
        <v>50.159880508065598</v>
      </c>
      <c r="P5968">
        <v>-7.4876187346245904E-2</v>
      </c>
      <c r="Q5968">
        <v>0.101493368070585</v>
      </c>
      <c r="R5968">
        <v>0.98912462956089298</v>
      </c>
      <c r="S5968" t="s">
        <v>12370</v>
      </c>
      <c r="T5968" t="s">
        <v>12802</v>
      </c>
      <c r="U5968" t="s">
        <v>12802</v>
      </c>
      <c r="V5968" t="s">
        <v>12802</v>
      </c>
      <c r="W5968" t="s">
        <v>18700</v>
      </c>
      <c r="X5968">
        <v>5</v>
      </c>
      <c r="Y5968" t="s">
        <v>24906</v>
      </c>
      <c r="Z5968" t="s">
        <v>31286</v>
      </c>
      <c r="AA5968">
        <v>0.53255593429199588</v>
      </c>
      <c r="AB5968" t="str">
        <f>HYPERLINK("Melting_Curves/meltCurve_Q9UBU6_FAM8A1.pdf", "Melting_Curves/meltCurve_Q9UBU6_FAM8A1.pdf")</f>
        <v>Melting_Curves/meltCurve_Q9UBU6_FAM8A1.pdf</v>
      </c>
    </row>
    <row r="5969" spans="1:28" x14ac:dyDescent="0.25">
      <c r="A5969" t="s">
        <v>5973</v>
      </c>
      <c r="B5969">
        <v>0.99542014353169495</v>
      </c>
      <c r="C5969">
        <v>0.99697169369928096</v>
      </c>
      <c r="D5969">
        <v>1.00151690583409</v>
      </c>
      <c r="E5969">
        <v>0.91257508968014001</v>
      </c>
      <c r="F5969">
        <v>0.76597122513976101</v>
      </c>
      <c r="G5969">
        <v>0.42357905559231401</v>
      </c>
      <c r="H5969">
        <v>5.00817495977329E-2</v>
      </c>
      <c r="I5969">
        <v>2.33631908454018E-2</v>
      </c>
      <c r="J5969">
        <v>1.05032639217193E-2</v>
      </c>
      <c r="K5969">
        <v>1.2924812817799201E-2</v>
      </c>
      <c r="L5969">
        <v>1323.3451466413901</v>
      </c>
      <c r="M5969">
        <v>25.098799924697801</v>
      </c>
      <c r="N5969">
        <v>52.725435058155398</v>
      </c>
      <c r="O5969">
        <v>52.394146341779397</v>
      </c>
      <c r="P5969">
        <v>-0.119761151670098</v>
      </c>
      <c r="Q5969">
        <v>0</v>
      </c>
      <c r="R5969">
        <v>0.99504389813559002</v>
      </c>
      <c r="S5969" t="s">
        <v>12371</v>
      </c>
      <c r="T5969" t="s">
        <v>12802</v>
      </c>
      <c r="U5969" t="s">
        <v>12802</v>
      </c>
      <c r="V5969" t="s">
        <v>12802</v>
      </c>
      <c r="W5969" t="s">
        <v>18701</v>
      </c>
      <c r="X5969">
        <v>5</v>
      </c>
      <c r="Y5969" t="s">
        <v>24907</v>
      </c>
      <c r="Z5969" t="s">
        <v>31287</v>
      </c>
      <c r="AA5969">
        <v>0.53297075004307148</v>
      </c>
      <c r="AB5969" t="str">
        <f>HYPERLINK("Melting_Curves/meltCurve_Q9UBU9_NXF1.pdf", "Melting_Curves/meltCurve_Q9UBU9_NXF1.pdf")</f>
        <v>Melting_Curves/meltCurve_Q9UBU9_NXF1.pdf</v>
      </c>
    </row>
    <row r="5970" spans="1:28" x14ac:dyDescent="0.25">
      <c r="A5970" t="s">
        <v>5974</v>
      </c>
      <c r="B5970">
        <v>0.99542014353169495</v>
      </c>
      <c r="C5970">
        <v>0.889189269899752</v>
      </c>
      <c r="D5970">
        <v>0.91494291338088196</v>
      </c>
      <c r="E5970">
        <v>0.549079229384141</v>
      </c>
      <c r="F5970">
        <v>0.28614748000740697</v>
      </c>
      <c r="G5970">
        <v>0.259612456133824</v>
      </c>
      <c r="H5970">
        <v>9.6999953661069602E-2</v>
      </c>
      <c r="I5970">
        <v>2.80856468744996E-2</v>
      </c>
      <c r="J5970">
        <v>0</v>
      </c>
      <c r="K5970">
        <v>0</v>
      </c>
      <c r="L5970">
        <v>675.78725251907804</v>
      </c>
      <c r="M5970">
        <v>14.1385322100545</v>
      </c>
      <c r="N5970">
        <v>47.797568647187802</v>
      </c>
      <c r="O5970">
        <v>46.871835673045297</v>
      </c>
      <c r="P5970">
        <v>-7.54201984380969E-2</v>
      </c>
      <c r="Q5970">
        <v>0</v>
      </c>
      <c r="R5970">
        <v>0.98369202054550697</v>
      </c>
      <c r="S5970" t="s">
        <v>12372</v>
      </c>
      <c r="T5970" t="s">
        <v>12802</v>
      </c>
      <c r="U5970" t="s">
        <v>12802</v>
      </c>
      <c r="V5970" t="s">
        <v>12802</v>
      </c>
      <c r="W5970" t="s">
        <v>18702</v>
      </c>
      <c r="X5970">
        <v>3</v>
      </c>
      <c r="Y5970" t="s">
        <v>24908</v>
      </c>
      <c r="Z5970" t="s">
        <v>31288</v>
      </c>
      <c r="AA5970">
        <v>0.38435097219843373</v>
      </c>
      <c r="AB5970" t="str">
        <f>HYPERLINK("Melting_Curves/meltCurve_Q9UBV2_SEL1L.pdf", "Melting_Curves/meltCurve_Q9UBV2_SEL1L.pdf")</f>
        <v>Melting_Curves/meltCurve_Q9UBV2_SEL1L.pdf</v>
      </c>
    </row>
    <row r="5971" spans="1:28" x14ac:dyDescent="0.25">
      <c r="A5971" t="s">
        <v>5975</v>
      </c>
      <c r="B5971">
        <v>0.99542014353169495</v>
      </c>
      <c r="C5971">
        <v>0.91283773271763602</v>
      </c>
      <c r="D5971">
        <v>0.96608501705626204</v>
      </c>
      <c r="E5971">
        <v>0.76556914230777795</v>
      </c>
      <c r="F5971">
        <v>0.34492330366614499</v>
      </c>
      <c r="G5971">
        <v>0.34484983863535801</v>
      </c>
      <c r="H5971">
        <v>0</v>
      </c>
      <c r="I5971">
        <v>0</v>
      </c>
      <c r="J5971">
        <v>0</v>
      </c>
      <c r="K5971">
        <v>0</v>
      </c>
      <c r="L5971">
        <v>857.31713435797803</v>
      </c>
      <c r="M5971">
        <v>17.348076589976198</v>
      </c>
      <c r="N5971">
        <v>49.418575520127398</v>
      </c>
      <c r="O5971">
        <v>48.775934416561597</v>
      </c>
      <c r="P5971">
        <v>-8.8922262524427698E-2</v>
      </c>
      <c r="Q5971">
        <v>0</v>
      </c>
      <c r="R5971">
        <v>0.97335817635000399</v>
      </c>
      <c r="S5971" t="s">
        <v>12373</v>
      </c>
      <c r="T5971" t="s">
        <v>12802</v>
      </c>
      <c r="U5971" t="s">
        <v>12802</v>
      </c>
      <c r="V5971" t="s">
        <v>12802</v>
      </c>
      <c r="W5971" t="s">
        <v>18703</v>
      </c>
      <c r="X5971">
        <v>2</v>
      </c>
      <c r="Y5971" t="s">
        <v>24909</v>
      </c>
      <c r="Z5971" t="s">
        <v>31289</v>
      </c>
      <c r="AA5971">
        <v>0.43081851044243902</v>
      </c>
      <c r="AB5971" t="str">
        <f>HYPERLINK("Melting_Curves/meltCurve_Q9UBV7_B4GALT7.pdf", "Melting_Curves/meltCurve_Q9UBV7_B4GALT7.pdf")</f>
        <v>Melting_Curves/meltCurve_Q9UBV7_B4GALT7.pdf</v>
      </c>
    </row>
    <row r="5972" spans="1:28" x14ac:dyDescent="0.25">
      <c r="A5972" t="s">
        <v>5976</v>
      </c>
      <c r="B5972">
        <v>0.99542014353169495</v>
      </c>
      <c r="C5972">
        <v>1.0489152337098799</v>
      </c>
      <c r="D5972">
        <v>0.91904887854337702</v>
      </c>
      <c r="E5972">
        <v>0.92448529938574397</v>
      </c>
      <c r="F5972">
        <v>0.65157787454466798</v>
      </c>
      <c r="G5972">
        <v>0.33215866087287599</v>
      </c>
      <c r="H5972">
        <v>0.123528050595567</v>
      </c>
      <c r="I5972">
        <v>9.6163534604119694E-2</v>
      </c>
      <c r="J5972">
        <v>9.7217194229065496E-2</v>
      </c>
      <c r="K5972">
        <v>0.107438160877405</v>
      </c>
      <c r="L5972">
        <v>1184.9656382957201</v>
      </c>
      <c r="M5972">
        <v>23.103051746675298</v>
      </c>
      <c r="N5972">
        <v>51.694246976655101</v>
      </c>
      <c r="O5972">
        <v>50.910792385087198</v>
      </c>
      <c r="P5972">
        <v>-0.10408449379880801</v>
      </c>
      <c r="Q5972">
        <v>8.2558135207288594E-2</v>
      </c>
      <c r="R5972">
        <v>0.99403530477164603</v>
      </c>
      <c r="S5972" t="s">
        <v>12374</v>
      </c>
      <c r="T5972" t="s">
        <v>12802</v>
      </c>
      <c r="U5972" t="s">
        <v>12802</v>
      </c>
      <c r="V5972" t="s">
        <v>12802</v>
      </c>
      <c r="W5972" t="s">
        <v>18704</v>
      </c>
      <c r="X5972">
        <v>5</v>
      </c>
      <c r="Y5972" t="s">
        <v>24910</v>
      </c>
      <c r="Z5972" t="s">
        <v>31290</v>
      </c>
      <c r="AA5972">
        <v>0.52893435692968405</v>
      </c>
      <c r="AB5972" t="str">
        <f>HYPERLINK("Melting_Curves/meltCurve_Q9UBV8_PEF1.pdf", "Melting_Curves/meltCurve_Q9UBV8_PEF1.pdf")</f>
        <v>Melting_Curves/meltCurve_Q9UBV8_PEF1.pdf</v>
      </c>
    </row>
    <row r="5973" spans="1:28" x14ac:dyDescent="0.25">
      <c r="A5973" t="s">
        <v>5977</v>
      </c>
      <c r="B5973">
        <v>0.99542014353169495</v>
      </c>
      <c r="C5973">
        <v>0.774990721291269</v>
      </c>
      <c r="D5973">
        <v>0.70023430218479799</v>
      </c>
      <c r="E5973">
        <v>0.36041532835680001</v>
      </c>
      <c r="F5973">
        <v>0.16122079079336599</v>
      </c>
      <c r="G5973">
        <v>8.6725938558867302E-2</v>
      </c>
      <c r="H5973">
        <v>6.6099664581190196E-2</v>
      </c>
      <c r="I5973">
        <v>7.1308436527046104E-2</v>
      </c>
      <c r="J5973">
        <v>7.9389104732093402E-2</v>
      </c>
      <c r="K5973">
        <v>5.7979580224026099E-2</v>
      </c>
      <c r="L5973">
        <v>689.43041942337595</v>
      </c>
      <c r="M5973">
        <v>15.5152781825064</v>
      </c>
      <c r="N5973">
        <v>44.724219180788502</v>
      </c>
      <c r="O5973">
        <v>43.717012736647597</v>
      </c>
      <c r="P5973">
        <v>-8.4506128219294901E-2</v>
      </c>
      <c r="Q5973">
        <v>4.7640577830487203E-2</v>
      </c>
      <c r="R5973">
        <v>0.98815995277900903</v>
      </c>
      <c r="S5973" t="s">
        <v>12375</v>
      </c>
      <c r="T5973" t="s">
        <v>12802</v>
      </c>
      <c r="U5973" t="s">
        <v>12802</v>
      </c>
      <c r="V5973" t="s">
        <v>12802</v>
      </c>
      <c r="W5973" t="s">
        <v>18705</v>
      </c>
      <c r="X5973">
        <v>3</v>
      </c>
      <c r="Y5973" t="s">
        <v>24911</v>
      </c>
      <c r="Z5973" t="s">
        <v>31291</v>
      </c>
      <c r="AA5973">
        <v>0.30530213268105949</v>
      </c>
      <c r="AB5973" t="str">
        <f>HYPERLINK("Melting_Curves/meltCurve_Q9UBW7_ZMYM2.pdf", "Melting_Curves/meltCurve_Q9UBW7_ZMYM2.pdf")</f>
        <v>Melting_Curves/meltCurve_Q9UBW7_ZMYM2.pdf</v>
      </c>
    </row>
    <row r="5974" spans="1:28" x14ac:dyDescent="0.25">
      <c r="A5974" t="s">
        <v>5978</v>
      </c>
      <c r="B5974">
        <v>0.99542014353169495</v>
      </c>
      <c r="C5974">
        <v>0.91340981078388195</v>
      </c>
      <c r="D5974">
        <v>1.01380193751279</v>
      </c>
      <c r="E5974">
        <v>0.83661153648984998</v>
      </c>
      <c r="F5974">
        <v>0.774427118961036</v>
      </c>
      <c r="G5974">
        <v>0.40977121325761001</v>
      </c>
      <c r="H5974">
        <v>0.11158153969916899</v>
      </c>
      <c r="I5974">
        <v>6.2911270918596995E-2</v>
      </c>
      <c r="J5974">
        <v>5.4991056597669702E-2</v>
      </c>
      <c r="K5974">
        <v>4.6374578266567601E-2</v>
      </c>
      <c r="L5974">
        <v>1098.9764259680301</v>
      </c>
      <c r="M5974">
        <v>20.903718980972101</v>
      </c>
      <c r="N5974">
        <v>52.660638442851997</v>
      </c>
      <c r="O5974">
        <v>52.099213950204401</v>
      </c>
      <c r="P5974">
        <v>-9.8600232033832197E-2</v>
      </c>
      <c r="Q5974">
        <v>1.7045047839228101E-2</v>
      </c>
      <c r="R5974">
        <v>0.98580977531445901</v>
      </c>
      <c r="S5974" t="s">
        <v>12376</v>
      </c>
      <c r="T5974" t="s">
        <v>12802</v>
      </c>
      <c r="U5974" t="s">
        <v>12802</v>
      </c>
      <c r="V5974" t="s">
        <v>12802</v>
      </c>
      <c r="W5974" t="s">
        <v>18706</v>
      </c>
      <c r="X5974">
        <v>6</v>
      </c>
      <c r="Y5974" t="s">
        <v>24912</v>
      </c>
      <c r="Z5974" t="s">
        <v>31292</v>
      </c>
      <c r="AA5974">
        <v>0.53902143222637444</v>
      </c>
      <c r="AB5974" t="str">
        <f>HYPERLINK("Melting_Curves/meltCurve_Q9UBW8_COPS7A.pdf", "Melting_Curves/meltCurve_Q9UBW8_COPS7A.pdf")</f>
        <v>Melting_Curves/meltCurve_Q9UBW8_COPS7A.pdf</v>
      </c>
    </row>
    <row r="5975" spans="1:28" x14ac:dyDescent="0.25">
      <c r="A5975" t="s">
        <v>5979</v>
      </c>
      <c r="B5975">
        <v>0.99542014353169495</v>
      </c>
      <c r="C5975">
        <v>1.0511885041456299</v>
      </c>
      <c r="D5975">
        <v>0.96219759903228896</v>
      </c>
      <c r="E5975">
        <v>0.76476050263540696</v>
      </c>
      <c r="F5975">
        <v>0.60803207008335303</v>
      </c>
      <c r="G5975">
        <v>0.37470740543130798</v>
      </c>
      <c r="H5975">
        <v>0.313725108738307</v>
      </c>
      <c r="I5975">
        <v>0.250922927372844</v>
      </c>
      <c r="J5975">
        <v>0.36077063561102601</v>
      </c>
      <c r="K5975">
        <v>0.40226890020183198</v>
      </c>
      <c r="L5975">
        <v>1015.05236973772</v>
      </c>
      <c r="M5975">
        <v>20.876379181730499</v>
      </c>
      <c r="N5975">
        <v>51.151882853137501</v>
      </c>
      <c r="O5975">
        <v>48.1825048551271</v>
      </c>
      <c r="P5975">
        <v>-7.3448978721001507E-2</v>
      </c>
      <c r="Q5975">
        <v>0.32194017526421498</v>
      </c>
      <c r="R5975">
        <v>0.97264282159142101</v>
      </c>
      <c r="S5975" t="s">
        <v>12377</v>
      </c>
      <c r="T5975" t="s">
        <v>12802</v>
      </c>
      <c r="U5975" t="s">
        <v>12802</v>
      </c>
      <c r="V5975" t="s">
        <v>12802</v>
      </c>
      <c r="W5975" t="s">
        <v>12968</v>
      </c>
      <c r="X5975">
        <v>13</v>
      </c>
      <c r="Y5975" t="s">
        <v>19290</v>
      </c>
      <c r="Z5975" t="s">
        <v>31293</v>
      </c>
      <c r="AA5975">
        <v>0.59286245823940176</v>
      </c>
      <c r="AB5975" t="str">
        <f>HYPERLINK("Melting_Curves/meltCurve_Q9UBX3_SLC25A10.pdf", "Melting_Curves/meltCurve_Q9UBX3_SLC25A10.pdf")</f>
        <v>Melting_Curves/meltCurve_Q9UBX3_SLC25A10.pdf</v>
      </c>
    </row>
    <row r="5976" spans="1:28" x14ac:dyDescent="0.25">
      <c r="A5976" t="s">
        <v>5980</v>
      </c>
      <c r="B5976">
        <v>0.99542014353169495</v>
      </c>
      <c r="C5976">
        <v>1.2886705521678901</v>
      </c>
      <c r="D5976">
        <v>1.17512408928155</v>
      </c>
      <c r="E5976">
        <v>0.88716584773470097</v>
      </c>
      <c r="F5976">
        <v>0.45085595893665198</v>
      </c>
      <c r="G5976">
        <v>0.18222535027311301</v>
      </c>
      <c r="H5976">
        <v>0.12515871601526099</v>
      </c>
      <c r="I5976">
        <v>6.2107532383742899E-2</v>
      </c>
      <c r="J5976">
        <v>8.9205984490475301E-2</v>
      </c>
      <c r="K5976">
        <v>0.16173356627838101</v>
      </c>
      <c r="L5976">
        <v>1688.9913943992599</v>
      </c>
      <c r="M5976">
        <v>34.117346835964</v>
      </c>
      <c r="N5976">
        <v>49.870754879616698</v>
      </c>
      <c r="O5976">
        <v>49.336208083802603</v>
      </c>
      <c r="P5976">
        <v>-0.153763514601858</v>
      </c>
      <c r="Q5976">
        <v>0.110589914161993</v>
      </c>
      <c r="R5976">
        <v>0.94381035426109905</v>
      </c>
      <c r="S5976" t="s">
        <v>12378</v>
      </c>
      <c r="T5976" t="s">
        <v>12802</v>
      </c>
      <c r="U5976" t="s">
        <v>12802</v>
      </c>
      <c r="V5976" t="s">
        <v>12802</v>
      </c>
      <c r="W5976" t="s">
        <v>18707</v>
      </c>
      <c r="X5976">
        <v>5</v>
      </c>
      <c r="Y5976" t="s">
        <v>24913</v>
      </c>
      <c r="Z5976" t="s">
        <v>31294</v>
      </c>
      <c r="AA5976">
        <v>0.48552368395645851</v>
      </c>
      <c r="AB5976" t="str">
        <f>HYPERLINK("Melting_Curves/meltCurve_Q9UDT6_2_CLIP2.pdf", "Melting_Curves/meltCurve_Q9UDT6_2_CLIP2.pdf")</f>
        <v>Melting_Curves/meltCurve_Q9UDT6_2_CLIP2.pdf</v>
      </c>
    </row>
    <row r="5977" spans="1:28" x14ac:dyDescent="0.25">
      <c r="A5977" t="s">
        <v>5981</v>
      </c>
      <c r="B5977">
        <v>0.99542014353169495</v>
      </c>
      <c r="C5977">
        <v>0.91574374626016197</v>
      </c>
      <c r="D5977">
        <v>1.0004090905848899</v>
      </c>
      <c r="E5977">
        <v>0.80637795398144896</v>
      </c>
      <c r="F5977">
        <v>0.76622374546085803</v>
      </c>
      <c r="G5977">
        <v>0.51793914968555199</v>
      </c>
      <c r="H5977">
        <v>0.49506162742766402</v>
      </c>
      <c r="I5977">
        <v>0.397413329434888</v>
      </c>
      <c r="J5977">
        <v>0.52629467373819405</v>
      </c>
      <c r="K5977">
        <v>0.55979226008913496</v>
      </c>
      <c r="L5977">
        <v>919.93891096619495</v>
      </c>
      <c r="M5977">
        <v>18.723636443173401</v>
      </c>
      <c r="N5977">
        <v>59.252243366965999</v>
      </c>
      <c r="O5977">
        <v>48.582329102595999</v>
      </c>
      <c r="P5977">
        <v>-5.0145121917268803E-2</v>
      </c>
      <c r="Q5977">
        <v>0.47957460555601999</v>
      </c>
      <c r="R5977">
        <v>0.92235960399627304</v>
      </c>
      <c r="S5977" t="s">
        <v>12379</v>
      </c>
      <c r="T5977" t="s">
        <v>12802</v>
      </c>
      <c r="U5977" t="s">
        <v>12802</v>
      </c>
      <c r="V5977" t="s">
        <v>12802</v>
      </c>
      <c r="W5977" t="s">
        <v>18708</v>
      </c>
      <c r="X5977">
        <v>8</v>
      </c>
      <c r="Y5977" t="s">
        <v>24914</v>
      </c>
      <c r="Z5977" t="s">
        <v>31295</v>
      </c>
      <c r="AA5977">
        <v>0.69775970250157371</v>
      </c>
      <c r="AB5977" t="str">
        <f>HYPERLINK("Melting_Curves/meltCurve_Q9UDX5_MTFP1.pdf", "Melting_Curves/meltCurve_Q9UDX5_MTFP1.pdf")</f>
        <v>Melting_Curves/meltCurve_Q9UDX5_MTFP1.pdf</v>
      </c>
    </row>
    <row r="5978" spans="1:28" x14ac:dyDescent="0.25">
      <c r="A5978" t="s">
        <v>5982</v>
      </c>
      <c r="B5978">
        <v>0.99542014353169495</v>
      </c>
      <c r="C5978">
        <v>0.98409160211913604</v>
      </c>
      <c r="D5978">
        <v>1.0181955649080601</v>
      </c>
      <c r="E5978">
        <v>0.71000442964158605</v>
      </c>
      <c r="F5978">
        <v>0.33723459736954697</v>
      </c>
      <c r="G5978">
        <v>0.15913918161750801</v>
      </c>
      <c r="H5978">
        <v>9.9211617318259199E-2</v>
      </c>
      <c r="I5978">
        <v>6.0847975775196503E-2</v>
      </c>
      <c r="J5978">
        <v>6.9489900717454894E-2</v>
      </c>
      <c r="K5978">
        <v>7.65493095824335E-2</v>
      </c>
      <c r="L5978">
        <v>1194.82093488959</v>
      </c>
      <c r="M5978">
        <v>24.742378677502401</v>
      </c>
      <c r="N5978">
        <v>48.603758639829401</v>
      </c>
      <c r="O5978">
        <v>47.978351932317601</v>
      </c>
      <c r="P5978">
        <v>-0.119423461185622</v>
      </c>
      <c r="Q5978">
        <v>7.3709465468029506E-2</v>
      </c>
      <c r="R5978">
        <v>0.99693670615283703</v>
      </c>
      <c r="S5978" t="s">
        <v>12380</v>
      </c>
      <c r="T5978" t="s">
        <v>12802</v>
      </c>
      <c r="U5978" t="s">
        <v>12802</v>
      </c>
      <c r="V5978" t="s">
        <v>12802</v>
      </c>
      <c r="W5978" t="s">
        <v>18709</v>
      </c>
      <c r="X5978">
        <v>21</v>
      </c>
      <c r="Y5978" t="s">
        <v>24915</v>
      </c>
      <c r="Z5978" t="s">
        <v>31296</v>
      </c>
      <c r="AA5978">
        <v>0.43040754424613081</v>
      </c>
      <c r="AB5978" t="str">
        <f>HYPERLINK("Melting_Curves/meltCurve_Q9UDY2_TJP2.pdf", "Melting_Curves/meltCurve_Q9UDY2_TJP2.pdf")</f>
        <v>Melting_Curves/meltCurve_Q9UDY2_TJP2.pdf</v>
      </c>
    </row>
    <row r="5979" spans="1:28" x14ac:dyDescent="0.25">
      <c r="A5979" t="s">
        <v>5983</v>
      </c>
      <c r="B5979">
        <v>0.99542014353169495</v>
      </c>
      <c r="C5979">
        <v>0.90407135606983502</v>
      </c>
      <c r="D5979">
        <v>0.93813843567025301</v>
      </c>
      <c r="E5979">
        <v>0.69639625218154899</v>
      </c>
      <c r="F5979">
        <v>0.27712176026202101</v>
      </c>
      <c r="G5979">
        <v>0.10236282749166099</v>
      </c>
      <c r="H5979">
        <v>5.4804146313597903E-2</v>
      </c>
      <c r="I5979">
        <v>2.8179172323567599E-2</v>
      </c>
      <c r="J5979">
        <v>3.3246235525660701E-2</v>
      </c>
      <c r="K5979">
        <v>3.1869580608816797E-2</v>
      </c>
      <c r="L5979">
        <v>1123.6210542215199</v>
      </c>
      <c r="M5979">
        <v>23.387613536108901</v>
      </c>
      <c r="N5979">
        <v>48.162227241860997</v>
      </c>
      <c r="O5979">
        <v>47.696312523003499</v>
      </c>
      <c r="P5979">
        <v>-0.11915235717492501</v>
      </c>
      <c r="Q5979">
        <v>2.8027641918689498E-2</v>
      </c>
      <c r="R5979">
        <v>0.99496845520793598</v>
      </c>
      <c r="S5979" t="s">
        <v>12381</v>
      </c>
      <c r="T5979" t="s">
        <v>12802</v>
      </c>
      <c r="U5979" t="s">
        <v>12802</v>
      </c>
      <c r="V5979" t="s">
        <v>12802</v>
      </c>
      <c r="W5979" t="s">
        <v>18710</v>
      </c>
      <c r="X5979">
        <v>8</v>
      </c>
      <c r="Y5979" t="s">
        <v>24916</v>
      </c>
      <c r="Z5979" t="s">
        <v>31297</v>
      </c>
      <c r="AA5979">
        <v>0.39527410719156308</v>
      </c>
      <c r="AB5979" t="str">
        <f>HYPERLINK("Melting_Curves/meltCurve_Q9UDY4_DNAJB4.pdf", "Melting_Curves/meltCurve_Q9UDY4_DNAJB4.pdf")</f>
        <v>Melting_Curves/meltCurve_Q9UDY4_DNAJB4.pdf</v>
      </c>
    </row>
    <row r="5980" spans="1:28" x14ac:dyDescent="0.25">
      <c r="A5980" t="s">
        <v>5984</v>
      </c>
      <c r="B5980">
        <v>0.99542014353169495</v>
      </c>
      <c r="C5980">
        <v>1.00659347629605</v>
      </c>
      <c r="D5980">
        <v>0.85893024657477901</v>
      </c>
      <c r="E5980">
        <v>0.83239254608561997</v>
      </c>
      <c r="F5980">
        <v>0.73151355321506795</v>
      </c>
      <c r="G5980">
        <v>0.63985540482712799</v>
      </c>
      <c r="H5980">
        <v>0.50031094827269595</v>
      </c>
      <c r="I5980">
        <v>0.49168937950987202</v>
      </c>
      <c r="J5980">
        <v>0.77281841242719496</v>
      </c>
      <c r="K5980">
        <v>0.949468753759656</v>
      </c>
      <c r="L5980">
        <v>909.64461919115604</v>
      </c>
      <c r="M5980">
        <v>20.195989693628999</v>
      </c>
      <c r="O5980">
        <v>44.606253327127</v>
      </c>
      <c r="P5980">
        <v>-3.6746312204596503E-2</v>
      </c>
      <c r="Q5980">
        <v>0.67536858881239603</v>
      </c>
      <c r="R5980">
        <v>0.50115382748696602</v>
      </c>
      <c r="S5980" t="s">
        <v>12382</v>
      </c>
      <c r="T5980" t="s">
        <v>12802</v>
      </c>
      <c r="U5980" t="s">
        <v>12802</v>
      </c>
      <c r="V5980" t="s">
        <v>12802</v>
      </c>
      <c r="W5980" t="s">
        <v>18711</v>
      </c>
      <c r="X5980">
        <v>9</v>
      </c>
      <c r="Y5980" t="s">
        <v>24917</v>
      </c>
      <c r="Z5980" t="s">
        <v>31298</v>
      </c>
      <c r="AA5980">
        <v>0.76655654238695792</v>
      </c>
      <c r="AB5980" t="str">
        <f>HYPERLINK("Melting_Curves/meltCurve_Q9UEE9_CFDP1.pdf", "Melting_Curves/meltCurve_Q9UEE9_CFDP1.pdf")</f>
        <v>Melting_Curves/meltCurve_Q9UEE9_CFDP1.pdf</v>
      </c>
    </row>
    <row r="5981" spans="1:28" x14ac:dyDescent="0.25">
      <c r="A5981" t="s">
        <v>5985</v>
      </c>
      <c r="B5981">
        <v>0.99542014353169495</v>
      </c>
      <c r="C5981">
        <v>0.99649376338646101</v>
      </c>
      <c r="D5981">
        <v>0.93747422236621902</v>
      </c>
      <c r="E5981">
        <v>0.656975914358647</v>
      </c>
      <c r="F5981">
        <v>0.40054467829333001</v>
      </c>
      <c r="G5981">
        <v>0.24427202834995199</v>
      </c>
      <c r="H5981">
        <v>0.20683597781094801</v>
      </c>
      <c r="I5981">
        <v>0.17542840850199701</v>
      </c>
      <c r="J5981">
        <v>0.220696539300484</v>
      </c>
      <c r="K5981">
        <v>0.201504951562681</v>
      </c>
      <c r="L5981">
        <v>1030.51595454172</v>
      </c>
      <c r="M5981">
        <v>21.727057908356901</v>
      </c>
      <c r="N5981">
        <v>48.531495323683302</v>
      </c>
      <c r="O5981">
        <v>47.033766342725798</v>
      </c>
      <c r="P5981">
        <v>-9.3011142623639007E-2</v>
      </c>
      <c r="Q5981">
        <v>0.19463342873453199</v>
      </c>
      <c r="R5981">
        <v>0.99797228998688103</v>
      </c>
      <c r="S5981" t="s">
        <v>12383</v>
      </c>
      <c r="T5981" t="s">
        <v>12802</v>
      </c>
      <c r="U5981" t="s">
        <v>12802</v>
      </c>
      <c r="V5981" t="s">
        <v>12802</v>
      </c>
      <c r="W5981" t="s">
        <v>18712</v>
      </c>
      <c r="X5981">
        <v>2</v>
      </c>
      <c r="Y5981" t="s">
        <v>24918</v>
      </c>
      <c r="Z5981" t="s">
        <v>31299</v>
      </c>
      <c r="AA5981">
        <v>0.48362175276563829</v>
      </c>
      <c r="AB5981" t="str">
        <f>HYPERLINK("Melting_Curves/meltCurve_Q9UEG4_ZNF629.pdf", "Melting_Curves/meltCurve_Q9UEG4_ZNF629.pdf")</f>
        <v>Melting_Curves/meltCurve_Q9UEG4_ZNF629.pdf</v>
      </c>
    </row>
    <row r="5982" spans="1:28" x14ac:dyDescent="0.25">
      <c r="A5982" t="s">
        <v>5986</v>
      </c>
      <c r="B5982">
        <v>0.99542014353169495</v>
      </c>
      <c r="C5982">
        <v>0.98513315984449801</v>
      </c>
      <c r="D5982">
        <v>1.0268748641582699</v>
      </c>
      <c r="E5982">
        <v>0.77166546037877504</v>
      </c>
      <c r="F5982">
        <v>0.590254900418411</v>
      </c>
      <c r="G5982">
        <v>0.36087514664800502</v>
      </c>
      <c r="H5982">
        <v>0.20122686300574799</v>
      </c>
      <c r="I5982">
        <v>0.182620310738106</v>
      </c>
      <c r="J5982">
        <v>0.24393752396478</v>
      </c>
      <c r="K5982">
        <v>0.203803607609923</v>
      </c>
      <c r="L5982">
        <v>950.32077289780102</v>
      </c>
      <c r="M5982">
        <v>19.094682228679702</v>
      </c>
      <c r="N5982">
        <v>51.035594621054798</v>
      </c>
      <c r="O5982">
        <v>49.2326459535849</v>
      </c>
      <c r="P5982">
        <v>-7.8665311080661701E-2</v>
      </c>
      <c r="Q5982">
        <v>0.18872696413864801</v>
      </c>
      <c r="R5982">
        <v>0.98851759943154405</v>
      </c>
      <c r="S5982" t="s">
        <v>12384</v>
      </c>
      <c r="T5982" t="s">
        <v>12802</v>
      </c>
      <c r="U5982" t="s">
        <v>12802</v>
      </c>
      <c r="V5982" t="s">
        <v>12802</v>
      </c>
      <c r="W5982" t="s">
        <v>18713</v>
      </c>
      <c r="X5982">
        <v>3</v>
      </c>
      <c r="Y5982" t="s">
        <v>20915</v>
      </c>
      <c r="Z5982" t="s">
        <v>31300</v>
      </c>
      <c r="AA5982">
        <v>0.54561882596217426</v>
      </c>
      <c r="AB5982" t="str">
        <f>HYPERLINK("Melting_Curves/meltCurve_Q9UEL6_MPZL1.pdf", "Melting_Curves/meltCurve_Q9UEL6_MPZL1.pdf")</f>
        <v>Melting_Curves/meltCurve_Q9UEL6_MPZL1.pdf</v>
      </c>
    </row>
    <row r="5983" spans="1:28" x14ac:dyDescent="0.25">
      <c r="A5983" t="s">
        <v>5987</v>
      </c>
      <c r="B5983">
        <v>0.99542014353169495</v>
      </c>
      <c r="C5983">
        <v>0.94158249702714603</v>
      </c>
      <c r="D5983">
        <v>0.93906633050957899</v>
      </c>
      <c r="E5983">
        <v>0.50458357849688495</v>
      </c>
      <c r="F5983">
        <v>0.291422910420641</v>
      </c>
      <c r="G5983">
        <v>0.18350061146771199</v>
      </c>
      <c r="H5983">
        <v>0.15497047616416801</v>
      </c>
      <c r="I5983">
        <v>0.12515069398206199</v>
      </c>
      <c r="J5983">
        <v>0.18059932105094101</v>
      </c>
      <c r="K5983">
        <v>0.22251834692288799</v>
      </c>
      <c r="L5983">
        <v>1287.10225575816</v>
      </c>
      <c r="M5983">
        <v>27.902178772299798</v>
      </c>
      <c r="N5983">
        <v>46.8491314208989</v>
      </c>
      <c r="O5983">
        <v>45.8940990928646</v>
      </c>
      <c r="P5983">
        <v>-0.125490603003311</v>
      </c>
      <c r="Q5983">
        <v>0.17436868938240199</v>
      </c>
      <c r="R5983">
        <v>0.99070960994903501</v>
      </c>
      <c r="S5983" t="s">
        <v>12385</v>
      </c>
      <c r="T5983" t="s">
        <v>12802</v>
      </c>
      <c r="U5983" t="s">
        <v>12802</v>
      </c>
      <c r="V5983" t="s">
        <v>12802</v>
      </c>
      <c r="W5983" t="s">
        <v>18714</v>
      </c>
      <c r="X5983">
        <v>9</v>
      </c>
      <c r="Y5983" t="s">
        <v>24919</v>
      </c>
      <c r="Z5983" t="s">
        <v>31301</v>
      </c>
      <c r="AA5983">
        <v>0.43108514084021099</v>
      </c>
      <c r="AB5983" t="str">
        <f>HYPERLINK("Melting_Curves/meltCurve_Q9UER7_2_DAXX.pdf", "Melting_Curves/meltCurve_Q9UER7_2_DAXX.pdf")</f>
        <v>Melting_Curves/meltCurve_Q9UER7_2_DAXX.pdf</v>
      </c>
    </row>
    <row r="5984" spans="1:28" x14ac:dyDescent="0.25">
      <c r="A5984" t="s">
        <v>5988</v>
      </c>
      <c r="B5984">
        <v>0.99542014353169495</v>
      </c>
      <c r="C5984">
        <v>0.93971123994489802</v>
      </c>
      <c r="D5984">
        <v>0.91589401155705497</v>
      </c>
      <c r="E5984">
        <v>0.68874065718214095</v>
      </c>
      <c r="F5984">
        <v>0.41697435977471198</v>
      </c>
      <c r="G5984">
        <v>0.21882939598572301</v>
      </c>
      <c r="H5984">
        <v>0.119164402798954</v>
      </c>
      <c r="I5984">
        <v>8.3871024853631806E-2</v>
      </c>
      <c r="J5984">
        <v>9.4044784554602398E-2</v>
      </c>
      <c r="K5984">
        <v>9.0912800214052999E-2</v>
      </c>
      <c r="L5984">
        <v>817.81525132734896</v>
      </c>
      <c r="M5984">
        <v>16.8430083053704</v>
      </c>
      <c r="N5984">
        <v>48.984376164234398</v>
      </c>
      <c r="O5984">
        <v>47.886212095507297</v>
      </c>
      <c r="P5984">
        <v>-8.1905377903312704E-2</v>
      </c>
      <c r="Q5984">
        <v>6.8601794920711903E-2</v>
      </c>
      <c r="R5984">
        <v>0.99837615290177695</v>
      </c>
      <c r="S5984" t="s">
        <v>12386</v>
      </c>
      <c r="T5984" t="s">
        <v>12802</v>
      </c>
      <c r="U5984" t="s">
        <v>12802</v>
      </c>
      <c r="V5984" t="s">
        <v>12802</v>
      </c>
      <c r="W5984" t="s">
        <v>18715</v>
      </c>
      <c r="X5984">
        <v>5</v>
      </c>
      <c r="Y5984" t="s">
        <v>24920</v>
      </c>
      <c r="Z5984" t="s">
        <v>31302</v>
      </c>
      <c r="AA5984">
        <v>0.44403393321563389</v>
      </c>
      <c r="AB5984" t="str">
        <f>HYPERLINK("Melting_Curves/meltCurve_Q9UET6_2_FTSJ1.pdf", "Melting_Curves/meltCurve_Q9UET6_2_FTSJ1.pdf")</f>
        <v>Melting_Curves/meltCurve_Q9UET6_2_FTSJ1.pdf</v>
      </c>
    </row>
    <row r="5985" spans="1:28" x14ac:dyDescent="0.25">
      <c r="A5985" t="s">
        <v>5989</v>
      </c>
      <c r="B5985">
        <v>0.99542014353169495</v>
      </c>
      <c r="C5985">
        <v>1.01527872439545</v>
      </c>
      <c r="D5985">
        <v>1.0709094757797499</v>
      </c>
      <c r="E5985">
        <v>0.80617160255250997</v>
      </c>
      <c r="F5985">
        <v>0.70381260284005498</v>
      </c>
      <c r="G5985">
        <v>0.42214316780551397</v>
      </c>
      <c r="H5985">
        <v>0.32624763888603198</v>
      </c>
      <c r="I5985">
        <v>0.27305371878134699</v>
      </c>
      <c r="J5985">
        <v>0.36232958192493497</v>
      </c>
      <c r="K5985">
        <v>0.44732968284223301</v>
      </c>
      <c r="L5985">
        <v>1154.3736431341399</v>
      </c>
      <c r="M5985">
        <v>23.166056799820598</v>
      </c>
      <c r="N5985">
        <v>52.4471251493461</v>
      </c>
      <c r="O5985">
        <v>49.463531119574597</v>
      </c>
      <c r="P5985">
        <v>-7.6974014387114806E-2</v>
      </c>
      <c r="Q5985">
        <v>0.34260070787149499</v>
      </c>
      <c r="R5985">
        <v>0.95649709949895201</v>
      </c>
      <c r="S5985" t="s">
        <v>12387</v>
      </c>
      <c r="T5985" t="s">
        <v>12802</v>
      </c>
      <c r="U5985" t="s">
        <v>12802</v>
      </c>
      <c r="V5985" t="s">
        <v>12802</v>
      </c>
      <c r="W5985" t="s">
        <v>18716</v>
      </c>
      <c r="X5985">
        <v>10</v>
      </c>
      <c r="Y5985" t="s">
        <v>24921</v>
      </c>
      <c r="Z5985" t="s">
        <v>31303</v>
      </c>
      <c r="AA5985">
        <v>0.63038552288421268</v>
      </c>
      <c r="AB5985" t="str">
        <f>HYPERLINK("Melting_Curves/meltCurve_Q9UEU0_VTI1B.pdf", "Melting_Curves/meltCurve_Q9UEU0_VTI1B.pdf")</f>
        <v>Melting_Curves/meltCurve_Q9UEU0_VTI1B.pdf</v>
      </c>
    </row>
    <row r="5986" spans="1:28" x14ac:dyDescent="0.25">
      <c r="A5986" t="s">
        <v>5990</v>
      </c>
      <c r="B5986">
        <v>0.99542014353169495</v>
      </c>
      <c r="C5986">
        <v>1.01313697365333</v>
      </c>
      <c r="D5986">
        <v>1.00968095139085</v>
      </c>
      <c r="E5986">
        <v>0.93995305670229901</v>
      </c>
      <c r="F5986">
        <v>0.72819473406493196</v>
      </c>
      <c r="G5986">
        <v>0.478347407933705</v>
      </c>
      <c r="H5986">
        <v>0.39346909181982298</v>
      </c>
      <c r="I5986">
        <v>0.38756555512583901</v>
      </c>
      <c r="J5986">
        <v>0.51553776008555696</v>
      </c>
      <c r="K5986">
        <v>0.61417604299525796</v>
      </c>
      <c r="L5986">
        <v>2102.9830578615702</v>
      </c>
      <c r="M5986">
        <v>42.046051269941003</v>
      </c>
      <c r="N5986">
        <v>53.763216708723299</v>
      </c>
      <c r="O5986">
        <v>49.903442700618299</v>
      </c>
      <c r="P5986">
        <v>-0.110940051991354</v>
      </c>
      <c r="Q5986">
        <v>0.473312625294946</v>
      </c>
      <c r="R5986">
        <v>0.93879653313606704</v>
      </c>
      <c r="S5986" t="s">
        <v>12388</v>
      </c>
      <c r="T5986" t="s">
        <v>12802</v>
      </c>
      <c r="U5986" t="s">
        <v>12802</v>
      </c>
      <c r="V5986" t="s">
        <v>12802</v>
      </c>
      <c r="W5986" t="s">
        <v>18717</v>
      </c>
      <c r="X5986">
        <v>1</v>
      </c>
      <c r="Y5986" t="s">
        <v>24922</v>
      </c>
      <c r="Z5986" t="s">
        <v>31304</v>
      </c>
      <c r="AA5986">
        <v>0.70347409441878361</v>
      </c>
      <c r="AB5986" t="str">
        <f>HYPERLINK("Melting_Curves/meltCurve_Q9UEU5_GAGE2D.pdf", "Melting_Curves/meltCurve_Q9UEU5_GAGE2D.pdf")</f>
        <v>Melting_Curves/meltCurve_Q9UEU5_GAGE2D.pdf</v>
      </c>
    </row>
    <row r="5987" spans="1:28" x14ac:dyDescent="0.25">
      <c r="A5987" t="s">
        <v>5991</v>
      </c>
      <c r="B5987">
        <v>0.99542014353169495</v>
      </c>
      <c r="C5987">
        <v>0.97959408295811301</v>
      </c>
      <c r="D5987">
        <v>0.99417126363289499</v>
      </c>
      <c r="E5987">
        <v>0.85944744028780296</v>
      </c>
      <c r="F5987">
        <v>0.69132167013137802</v>
      </c>
      <c r="G5987">
        <v>0.45730072678869499</v>
      </c>
      <c r="H5987">
        <v>0.31897566500249103</v>
      </c>
      <c r="I5987">
        <v>0.23430476534158801</v>
      </c>
      <c r="J5987">
        <v>0.30651631002619001</v>
      </c>
      <c r="K5987">
        <v>0.29650167909566599</v>
      </c>
      <c r="L5987">
        <v>982.16976130450996</v>
      </c>
      <c r="M5987">
        <v>19.337828732918801</v>
      </c>
      <c r="N5987">
        <v>52.822508010175703</v>
      </c>
      <c r="O5987">
        <v>50.256305899216301</v>
      </c>
      <c r="P5987">
        <v>-7.0956049530479404E-2</v>
      </c>
      <c r="Q5987">
        <v>0.26240842264062503</v>
      </c>
      <c r="R5987">
        <v>0.99262430908926402</v>
      </c>
      <c r="S5987" t="s">
        <v>12389</v>
      </c>
      <c r="T5987" t="s">
        <v>12802</v>
      </c>
      <c r="U5987" t="s">
        <v>12802</v>
      </c>
      <c r="V5987" t="s">
        <v>12802</v>
      </c>
      <c r="W5987" t="s">
        <v>18718</v>
      </c>
      <c r="X5987">
        <v>17</v>
      </c>
      <c r="Y5987" t="s">
        <v>24923</v>
      </c>
      <c r="Z5987" t="s">
        <v>31305</v>
      </c>
      <c r="AA5987">
        <v>0.61168940446233744</v>
      </c>
      <c r="AB5987" t="str">
        <f>HYPERLINK("Melting_Curves/meltCurve_Q9UEY8_2_ADD3.pdf", "Melting_Curves/meltCurve_Q9UEY8_2_ADD3.pdf")</f>
        <v>Melting_Curves/meltCurve_Q9UEY8_2_ADD3.pdf</v>
      </c>
    </row>
    <row r="5988" spans="1:28" x14ac:dyDescent="0.25">
      <c r="A5988" t="s">
        <v>5992</v>
      </c>
      <c r="B5988">
        <v>0.99542014353169495</v>
      </c>
      <c r="C5988">
        <v>0.94372102674143599</v>
      </c>
      <c r="D5988">
        <v>0.965143611400887</v>
      </c>
      <c r="E5988">
        <v>0.43018266265961902</v>
      </c>
      <c r="F5988">
        <v>0.21786731536055901</v>
      </c>
      <c r="G5988">
        <v>0.13518550049291</v>
      </c>
      <c r="H5988">
        <v>9.1050443482126098E-2</v>
      </c>
      <c r="I5988">
        <v>5.8871098110258299E-2</v>
      </c>
      <c r="J5988">
        <v>5.2746503606916899E-2</v>
      </c>
      <c r="K5988">
        <v>5.2781846544682098E-2</v>
      </c>
      <c r="L5988">
        <v>1363.3773980200999</v>
      </c>
      <c r="M5988">
        <v>29.5571232457097</v>
      </c>
      <c r="N5988">
        <v>46.407453324904203</v>
      </c>
      <c r="O5988">
        <v>45.917263654436603</v>
      </c>
      <c r="P5988">
        <v>-0.14775993869958701</v>
      </c>
      <c r="Q5988">
        <v>8.1820637161492099E-2</v>
      </c>
      <c r="R5988">
        <v>0.99003014075645002</v>
      </c>
      <c r="S5988" t="s">
        <v>12390</v>
      </c>
      <c r="T5988" t="s">
        <v>12802</v>
      </c>
      <c r="U5988" t="s">
        <v>12802</v>
      </c>
      <c r="V5988" t="s">
        <v>12802</v>
      </c>
      <c r="W5988" t="s">
        <v>18719</v>
      </c>
      <c r="X5988">
        <v>12</v>
      </c>
      <c r="Y5988" t="s">
        <v>24924</v>
      </c>
      <c r="Z5988" t="s">
        <v>31306</v>
      </c>
      <c r="AA5988">
        <v>0.36656951850470171</v>
      </c>
      <c r="AB5988" t="str">
        <f>HYPERLINK("Melting_Curves/meltCurve_Q9UFC0_LRWD1.pdf", "Melting_Curves/meltCurve_Q9UFC0_LRWD1.pdf")</f>
        <v>Melting_Curves/meltCurve_Q9UFC0_LRWD1.pdf</v>
      </c>
    </row>
    <row r="5989" spans="1:28" x14ac:dyDescent="0.25">
      <c r="A5989" t="s">
        <v>5993</v>
      </c>
      <c r="B5989">
        <v>0.99542014353169495</v>
      </c>
      <c r="C5989">
        <v>0.92623441074115598</v>
      </c>
      <c r="D5989">
        <v>0.85161006089675495</v>
      </c>
      <c r="E5989">
        <v>0.68086457423968505</v>
      </c>
      <c r="F5989">
        <v>0.79086741656653903</v>
      </c>
      <c r="G5989">
        <v>0.851084170550782</v>
      </c>
      <c r="H5989">
        <v>0.78826338990290401</v>
      </c>
      <c r="I5989">
        <v>0.81228023455009601</v>
      </c>
      <c r="J5989">
        <v>1.2713327144390101</v>
      </c>
      <c r="K5989">
        <v>1.5270862373713701</v>
      </c>
      <c r="L5989">
        <v>15000</v>
      </c>
      <c r="M5989">
        <v>234.1804182349</v>
      </c>
      <c r="O5989">
        <v>64.048506550779805</v>
      </c>
      <c r="P5989">
        <v>0.457037234895244</v>
      </c>
      <c r="Q5989">
        <v>1.5</v>
      </c>
      <c r="R5989">
        <v>0.54087961319799305</v>
      </c>
      <c r="S5989" t="s">
        <v>12391</v>
      </c>
      <c r="T5989" t="s">
        <v>12802</v>
      </c>
      <c r="U5989" t="s">
        <v>12802</v>
      </c>
      <c r="V5989" t="s">
        <v>12802</v>
      </c>
      <c r="W5989" t="s">
        <v>13259</v>
      </c>
      <c r="X5989">
        <v>6</v>
      </c>
      <c r="Y5989" t="s">
        <v>19582</v>
      </c>
      <c r="Z5989" t="s">
        <v>31307</v>
      </c>
      <c r="AA5989">
        <v>1.0490498118259759</v>
      </c>
      <c r="AB5989" t="str">
        <f>HYPERLINK("Melting_Curves/meltCurve_Q9UFG5_C19orf25.pdf", "Melting_Curves/meltCurve_Q9UFG5_C19orf25.pdf")</f>
        <v>Melting_Curves/meltCurve_Q9UFG5_C19orf25.pdf</v>
      </c>
    </row>
    <row r="5990" spans="1:28" x14ac:dyDescent="0.25">
      <c r="A5990" t="s">
        <v>5994</v>
      </c>
      <c r="B5990">
        <v>0.99542014353169495</v>
      </c>
      <c r="C5990">
        <v>1.0562037593125599</v>
      </c>
      <c r="D5990">
        <v>0.99166592141574295</v>
      </c>
      <c r="E5990">
        <v>0.84151468013013897</v>
      </c>
      <c r="F5990">
        <v>0.56071129915390805</v>
      </c>
      <c r="G5990">
        <v>0.363681003039657</v>
      </c>
      <c r="H5990">
        <v>0.19213851880323199</v>
      </c>
      <c r="I5990">
        <v>0.107619441354423</v>
      </c>
      <c r="J5990">
        <v>0.11805970488366101</v>
      </c>
      <c r="K5990">
        <v>0.14098075221240899</v>
      </c>
      <c r="L5990">
        <v>932.96194430186904</v>
      </c>
      <c r="M5990">
        <v>18.446253444229001</v>
      </c>
      <c r="N5990">
        <v>51.236996816164101</v>
      </c>
      <c r="O5990">
        <v>49.994151033286101</v>
      </c>
      <c r="P5990">
        <v>-8.2495661894626995E-2</v>
      </c>
      <c r="Q5990">
        <v>0.105701329527084</v>
      </c>
      <c r="R5990">
        <v>0.99427099055600499</v>
      </c>
      <c r="S5990" t="s">
        <v>12392</v>
      </c>
      <c r="T5990" t="s">
        <v>12802</v>
      </c>
      <c r="U5990" t="s">
        <v>12802</v>
      </c>
      <c r="V5990" t="s">
        <v>12802</v>
      </c>
      <c r="W5990" t="s">
        <v>18720</v>
      </c>
      <c r="X5990">
        <v>8</v>
      </c>
      <c r="Y5990" t="s">
        <v>24925</v>
      </c>
      <c r="Z5990" t="s">
        <v>31308</v>
      </c>
      <c r="AA5990">
        <v>0.52387741187916059</v>
      </c>
      <c r="AB5990" t="str">
        <f>HYPERLINK("Melting_Curves/meltCurve_Q9UFW8_CGGBP1.pdf", "Melting_Curves/meltCurve_Q9UFW8_CGGBP1.pdf")</f>
        <v>Melting_Curves/meltCurve_Q9UFW8_CGGBP1.pdf</v>
      </c>
    </row>
    <row r="5991" spans="1:28" x14ac:dyDescent="0.25">
      <c r="A5991" t="s">
        <v>5995</v>
      </c>
      <c r="B5991">
        <v>0.99542014353169495</v>
      </c>
      <c r="C5991">
        <v>0.840388443878331</v>
      </c>
      <c r="D5991">
        <v>0.81561154189946605</v>
      </c>
      <c r="E5991">
        <v>0.41252653350948298</v>
      </c>
      <c r="F5991">
        <v>0.116425488180275</v>
      </c>
      <c r="G5991">
        <v>5.7246908131704702E-2</v>
      </c>
      <c r="H5991">
        <v>3.68694032792194E-2</v>
      </c>
      <c r="I5991">
        <v>2.7213437546472499E-2</v>
      </c>
      <c r="J5991">
        <v>2.22619355790265E-2</v>
      </c>
      <c r="K5991">
        <v>1.8196957079015301E-2</v>
      </c>
      <c r="L5991">
        <v>906.58205111960797</v>
      </c>
      <c r="M5991">
        <v>19.875887725968401</v>
      </c>
      <c r="N5991">
        <v>45.674722313900098</v>
      </c>
      <c r="O5991">
        <v>45.1579769711634</v>
      </c>
      <c r="P5991">
        <v>-0.108561187864248</v>
      </c>
      <c r="Q5991">
        <v>1.34300050369236E-2</v>
      </c>
      <c r="R5991">
        <v>0.989966174659902</v>
      </c>
      <c r="S5991" t="s">
        <v>12393</v>
      </c>
      <c r="T5991" t="s">
        <v>12802</v>
      </c>
      <c r="U5991" t="s">
        <v>12802</v>
      </c>
      <c r="V5991" t="s">
        <v>12802</v>
      </c>
      <c r="W5991" t="s">
        <v>18721</v>
      </c>
      <c r="X5991">
        <v>1</v>
      </c>
      <c r="Y5991" t="s">
        <v>24926</v>
      </c>
      <c r="Z5991" t="s">
        <v>31309</v>
      </c>
      <c r="AA5991">
        <v>0.30972239515540673</v>
      </c>
      <c r="AB5991" t="str">
        <f>HYPERLINK("Melting_Curves/meltCurve_Q9UG52_DKFZp564L232.pdf", "Melting_Curves/meltCurve_Q9UG52_DKFZp564L232.pdf")</f>
        <v>Melting_Curves/meltCurve_Q9UG52_DKFZp564L232.pdf</v>
      </c>
    </row>
    <row r="5992" spans="1:28" x14ac:dyDescent="0.25">
      <c r="A5992" t="s">
        <v>5996</v>
      </c>
      <c r="B5992">
        <v>0.99542014353169495</v>
      </c>
      <c r="C5992">
        <v>1.0503516640261099</v>
      </c>
      <c r="D5992">
        <v>1.03826606367815</v>
      </c>
      <c r="E5992">
        <v>0.95799264545108598</v>
      </c>
      <c r="F5992">
        <v>0.65310096491177505</v>
      </c>
      <c r="G5992">
        <v>0.33811668863477101</v>
      </c>
      <c r="H5992">
        <v>0.11339857673182201</v>
      </c>
      <c r="I5992">
        <v>7.0060625398197698E-2</v>
      </c>
      <c r="J5992">
        <v>7.2973843036041097E-2</v>
      </c>
      <c r="K5992">
        <v>7.65284181478708E-2</v>
      </c>
      <c r="L5992">
        <v>1263.9267862587999</v>
      </c>
      <c r="M5992">
        <v>24.520734214355201</v>
      </c>
      <c r="N5992">
        <v>51.823187262689601</v>
      </c>
      <c r="O5992">
        <v>51.2060768174928</v>
      </c>
      <c r="P5992">
        <v>-0.11234078305961701</v>
      </c>
      <c r="Q5992">
        <v>6.1619228518264201E-2</v>
      </c>
      <c r="R5992">
        <v>0.99582401238777996</v>
      </c>
      <c r="S5992" t="s">
        <v>12394</v>
      </c>
      <c r="T5992" t="s">
        <v>12802</v>
      </c>
      <c r="U5992" t="s">
        <v>12802</v>
      </c>
      <c r="V5992" t="s">
        <v>12802</v>
      </c>
      <c r="W5992" t="s">
        <v>18722</v>
      </c>
      <c r="X5992">
        <v>44</v>
      </c>
      <c r="Y5992" t="s">
        <v>24927</v>
      </c>
      <c r="Z5992" t="s">
        <v>31310</v>
      </c>
      <c r="AA5992">
        <v>0.5251855857095874</v>
      </c>
      <c r="AB5992" t="str">
        <f>HYPERLINK("Melting_Curves/meltCurve_Q9UG63_ABCF2.pdf", "Melting_Curves/meltCurve_Q9UG63_ABCF2.pdf")</f>
        <v>Melting_Curves/meltCurve_Q9UG63_ABCF2.pdf</v>
      </c>
    </row>
    <row r="5993" spans="1:28" x14ac:dyDescent="0.25">
      <c r="A5993" t="s">
        <v>5997</v>
      </c>
      <c r="B5993">
        <v>0.99542014353169495</v>
      </c>
      <c r="C5993">
        <v>1.0288159362870599</v>
      </c>
      <c r="D5993">
        <v>0.91435667225373696</v>
      </c>
      <c r="E5993">
        <v>0.93388607764757203</v>
      </c>
      <c r="F5993">
        <v>0.64355027309124602</v>
      </c>
      <c r="G5993">
        <v>0.414927775491782</v>
      </c>
      <c r="H5993">
        <v>0.101159194262326</v>
      </c>
      <c r="I5993">
        <v>2.9828927124269801E-2</v>
      </c>
      <c r="J5993">
        <v>2.66301807927877E-2</v>
      </c>
      <c r="K5993">
        <v>7.6822559111319397E-3</v>
      </c>
      <c r="L5993">
        <v>1013.78652530036</v>
      </c>
      <c r="M5993">
        <v>19.4414179273206</v>
      </c>
      <c r="N5993">
        <v>52.145709175921802</v>
      </c>
      <c r="O5993">
        <v>51.603399136994902</v>
      </c>
      <c r="P5993">
        <v>-9.4190144415129004E-2</v>
      </c>
      <c r="Q5993">
        <v>0</v>
      </c>
      <c r="R5993">
        <v>0.99204930446662198</v>
      </c>
      <c r="S5993" t="s">
        <v>12395</v>
      </c>
      <c r="T5993" t="s">
        <v>12802</v>
      </c>
      <c r="U5993" t="s">
        <v>12802</v>
      </c>
      <c r="V5993" t="s">
        <v>12802</v>
      </c>
      <c r="W5993" t="s">
        <v>18723</v>
      </c>
      <c r="X5993">
        <v>1</v>
      </c>
      <c r="Y5993" t="s">
        <v>24928</v>
      </c>
      <c r="Z5993" t="s">
        <v>31311</v>
      </c>
      <c r="AA5993">
        <v>0.5183052329024681</v>
      </c>
      <c r="AB5993" t="str">
        <f>HYPERLINK("Melting_Curves/meltCurve_Q9UGC7_4_MTRF1L.pdf", "Melting_Curves/meltCurve_Q9UGC7_4_MTRF1L.pdf")</f>
        <v>Melting_Curves/meltCurve_Q9UGC7_4_MTRF1L.pdf</v>
      </c>
    </row>
    <row r="5994" spans="1:28" x14ac:dyDescent="0.25">
      <c r="A5994" t="s">
        <v>5998</v>
      </c>
      <c r="B5994">
        <v>0.99542014353169495</v>
      </c>
      <c r="C5994">
        <v>1.0232111323084301</v>
      </c>
      <c r="D5994">
        <v>1.0341109303435601</v>
      </c>
      <c r="E5994">
        <v>1.01246665999035</v>
      </c>
      <c r="F5994">
        <v>0.76512740825159298</v>
      </c>
      <c r="G5994">
        <v>0.23553548016286099</v>
      </c>
      <c r="H5994">
        <v>9.9707817297343598E-2</v>
      </c>
      <c r="I5994">
        <v>6.9007421632769794E-2</v>
      </c>
      <c r="J5994">
        <v>6.8876525657739399E-2</v>
      </c>
      <c r="K5994">
        <v>7.7953742211308602E-2</v>
      </c>
      <c r="L5994">
        <v>2003.5354546312701</v>
      </c>
      <c r="M5994">
        <v>38.807089866537098</v>
      </c>
      <c r="N5994">
        <v>51.841225613827</v>
      </c>
      <c r="O5994">
        <v>51.491554525958797</v>
      </c>
      <c r="P5994">
        <v>-0.174521516161351</v>
      </c>
      <c r="Q5994">
        <v>7.37400622797212E-2</v>
      </c>
      <c r="R5994">
        <v>0.99862379102138898</v>
      </c>
      <c r="S5994" t="s">
        <v>12396</v>
      </c>
      <c r="T5994" t="s">
        <v>12802</v>
      </c>
      <c r="U5994" t="s">
        <v>12802</v>
      </c>
      <c r="V5994" t="s">
        <v>12802</v>
      </c>
      <c r="W5994" t="s">
        <v>13050</v>
      </c>
      <c r="X5994">
        <v>30</v>
      </c>
      <c r="Y5994" t="s">
        <v>19373</v>
      </c>
      <c r="Z5994" t="s">
        <v>31312</v>
      </c>
      <c r="AA5994">
        <v>0.52889155120904463</v>
      </c>
      <c r="AB5994" t="str">
        <f>HYPERLINK("Melting_Curves/meltCurve_Q9UGI8_TES.pdf", "Melting_Curves/meltCurve_Q9UGI8_TES.pdf")</f>
        <v>Melting_Curves/meltCurve_Q9UGI8_TES.pdf</v>
      </c>
    </row>
    <row r="5995" spans="1:28" x14ac:dyDescent="0.25">
      <c r="A5995" t="s">
        <v>5999</v>
      </c>
      <c r="B5995">
        <v>0.99542014353169495</v>
      </c>
      <c r="C5995">
        <v>1.0120145654596799</v>
      </c>
      <c r="D5995">
        <v>0.84503200000053302</v>
      </c>
      <c r="E5995">
        <v>0.63665877172432095</v>
      </c>
      <c r="F5995">
        <v>0.46304387852988099</v>
      </c>
      <c r="G5995">
        <v>0.17535254234828501</v>
      </c>
      <c r="H5995">
        <v>8.6098361658486597E-2</v>
      </c>
      <c r="I5995">
        <v>5.33682466770206E-2</v>
      </c>
      <c r="J5995">
        <v>6.6677055527772394E-2</v>
      </c>
      <c r="K5995">
        <v>5.3625676745119498E-2</v>
      </c>
      <c r="L5995">
        <v>719.25862129489599</v>
      </c>
      <c r="M5995">
        <v>14.787710855156099</v>
      </c>
      <c r="N5995">
        <v>48.770914350314399</v>
      </c>
      <c r="O5995">
        <v>47.775451088544401</v>
      </c>
      <c r="P5995">
        <v>-7.5871798276842997E-2</v>
      </c>
      <c r="Q5995">
        <v>1.9612371886100901E-2</v>
      </c>
      <c r="R5995">
        <v>0.99250409848508203</v>
      </c>
      <c r="S5995" t="s">
        <v>12397</v>
      </c>
      <c r="T5995" t="s">
        <v>12802</v>
      </c>
      <c r="U5995" t="s">
        <v>12802</v>
      </c>
      <c r="V5995" t="s">
        <v>12802</v>
      </c>
      <c r="W5995" t="s">
        <v>18724</v>
      </c>
      <c r="X5995">
        <v>5</v>
      </c>
      <c r="Y5995" t="s">
        <v>24929</v>
      </c>
      <c r="Z5995" t="s">
        <v>31313</v>
      </c>
      <c r="AA5995">
        <v>0.42173959457791621</v>
      </c>
      <c r="AB5995" t="str">
        <f>HYPERLINK("Melting_Curves/meltCurve_Q9UGJ1_2_TUBGCP4.pdf", "Melting_Curves/meltCurve_Q9UGJ1_2_TUBGCP4.pdf")</f>
        <v>Melting_Curves/meltCurve_Q9UGJ1_2_TUBGCP4.pdf</v>
      </c>
    </row>
    <row r="5996" spans="1:28" x14ac:dyDescent="0.25">
      <c r="A5996" t="s">
        <v>6000</v>
      </c>
      <c r="B5996">
        <v>0.99542014353169495</v>
      </c>
      <c r="C5996">
        <v>1.02000055671546</v>
      </c>
      <c r="D5996">
        <v>1.0331598627393901</v>
      </c>
      <c r="E5996">
        <v>0.91084955950358504</v>
      </c>
      <c r="F5996">
        <v>0.54600220551123801</v>
      </c>
      <c r="G5996">
        <v>0.20868414350190601</v>
      </c>
      <c r="H5996">
        <v>0.126148462221155</v>
      </c>
      <c r="I5996">
        <v>7.7145183166007103E-2</v>
      </c>
      <c r="J5996">
        <v>5.5819370984447801E-2</v>
      </c>
      <c r="K5996">
        <v>5.2894991027526497E-2</v>
      </c>
      <c r="L5996">
        <v>1356.6657685630601</v>
      </c>
      <c r="M5996">
        <v>26.935256074222</v>
      </c>
      <c r="N5996">
        <v>50.632964396898103</v>
      </c>
      <c r="O5996">
        <v>50.092512088908599</v>
      </c>
      <c r="P5996">
        <v>-0.12558163999547101</v>
      </c>
      <c r="Q5996">
        <v>6.5814148144171303E-2</v>
      </c>
      <c r="R5996">
        <v>0.99805289025920396</v>
      </c>
      <c r="S5996" t="s">
        <v>12398</v>
      </c>
      <c r="T5996" t="s">
        <v>12802</v>
      </c>
      <c r="U5996" t="s">
        <v>12802</v>
      </c>
      <c r="V5996" t="s">
        <v>12802</v>
      </c>
      <c r="W5996" t="s">
        <v>18725</v>
      </c>
      <c r="X5996">
        <v>6</v>
      </c>
      <c r="Y5996" t="s">
        <v>24930</v>
      </c>
      <c r="Z5996" t="s">
        <v>31314</v>
      </c>
      <c r="AA5996">
        <v>0.48918888009398342</v>
      </c>
      <c r="AB5996" t="str">
        <f>HYPERLINK("Melting_Curves/meltCurve_Q9UGM6_WARS2.pdf", "Melting_Curves/meltCurve_Q9UGM6_WARS2.pdf")</f>
        <v>Melting_Curves/meltCurve_Q9UGM6_WARS2.pdf</v>
      </c>
    </row>
    <row r="5997" spans="1:28" x14ac:dyDescent="0.25">
      <c r="A5997" t="s">
        <v>6001</v>
      </c>
      <c r="B5997">
        <v>0.99542014353169495</v>
      </c>
      <c r="C5997">
        <v>0.96580493240559895</v>
      </c>
      <c r="D5997">
        <v>0.91560765958133605</v>
      </c>
      <c r="E5997">
        <v>0.74615445361212396</v>
      </c>
      <c r="F5997">
        <v>0.46971887539007701</v>
      </c>
      <c r="G5997">
        <v>0.27977026072803302</v>
      </c>
      <c r="H5997">
        <v>0.15185425217424101</v>
      </c>
      <c r="I5997">
        <v>8.5949159762957306E-2</v>
      </c>
      <c r="J5997">
        <v>8.8891918030898395E-2</v>
      </c>
      <c r="K5997">
        <v>0.11253458134328399</v>
      </c>
      <c r="L5997">
        <v>790.61385695625495</v>
      </c>
      <c r="M5997">
        <v>16.0149900544756</v>
      </c>
      <c r="N5997">
        <v>49.8403018435015</v>
      </c>
      <c r="O5997">
        <v>48.616628871145501</v>
      </c>
      <c r="P5997">
        <v>-7.6551372231575807E-2</v>
      </c>
      <c r="Q5997">
        <v>7.0526090467100996E-2</v>
      </c>
      <c r="R5997">
        <v>0.99849963407350795</v>
      </c>
      <c r="S5997" t="s">
        <v>12399</v>
      </c>
      <c r="T5997" t="s">
        <v>12802</v>
      </c>
      <c r="U5997" t="s">
        <v>12802</v>
      </c>
      <c r="V5997" t="s">
        <v>12802</v>
      </c>
      <c r="W5997" t="s">
        <v>18726</v>
      </c>
      <c r="X5997">
        <v>11</v>
      </c>
      <c r="Y5997" t="s">
        <v>24931</v>
      </c>
      <c r="Z5997" t="s">
        <v>31315</v>
      </c>
      <c r="AA5997">
        <v>0.47156760812694432</v>
      </c>
      <c r="AB5997" t="str">
        <f>HYPERLINK("Melting_Curves/meltCurve_Q9UGP4_LIMD1.pdf", "Melting_Curves/meltCurve_Q9UGP4_LIMD1.pdf")</f>
        <v>Melting_Curves/meltCurve_Q9UGP4_LIMD1.pdf</v>
      </c>
    </row>
    <row r="5998" spans="1:28" x14ac:dyDescent="0.25">
      <c r="A5998" t="s">
        <v>6002</v>
      </c>
      <c r="B5998">
        <v>0.99542014353169495</v>
      </c>
      <c r="C5998">
        <v>0.94816586246405699</v>
      </c>
      <c r="D5998">
        <v>0.95199334730804797</v>
      </c>
      <c r="E5998">
        <v>0.85007870997776303</v>
      </c>
      <c r="F5998">
        <v>0.68429533102203199</v>
      </c>
      <c r="G5998">
        <v>0.36782658988183298</v>
      </c>
      <c r="H5998">
        <v>0.154754200783736</v>
      </c>
      <c r="I5998">
        <v>7.9834071646204596E-2</v>
      </c>
      <c r="J5998">
        <v>8.1621973256404703E-2</v>
      </c>
      <c r="K5998">
        <v>9.5455770063617995E-2</v>
      </c>
      <c r="L5998">
        <v>939.38813968406203</v>
      </c>
      <c r="M5998">
        <v>18.1658327122339</v>
      </c>
      <c r="N5998">
        <v>52.002333208623497</v>
      </c>
      <c r="O5998">
        <v>51.097395519647002</v>
      </c>
      <c r="P5998">
        <v>-8.4593847971458705E-2</v>
      </c>
      <c r="Q5998">
        <v>4.8253316655031298E-2</v>
      </c>
      <c r="R5998">
        <v>0.99465376353724</v>
      </c>
      <c r="S5998" t="s">
        <v>12400</v>
      </c>
      <c r="T5998" t="s">
        <v>12802</v>
      </c>
      <c r="U5998" t="s">
        <v>12802</v>
      </c>
      <c r="V5998" t="s">
        <v>12802</v>
      </c>
      <c r="W5998" t="s">
        <v>18727</v>
      </c>
      <c r="X5998">
        <v>18</v>
      </c>
      <c r="Y5998" t="s">
        <v>24932</v>
      </c>
      <c r="Z5998" t="s">
        <v>31316</v>
      </c>
      <c r="AA5998">
        <v>0.52930375391785411</v>
      </c>
      <c r="AB5998" t="str">
        <f>HYPERLINK("Melting_Curves/meltCurve_Q9UGP8_SEC63.pdf", "Melting_Curves/meltCurve_Q9UGP8_SEC63.pdf")</f>
        <v>Melting_Curves/meltCurve_Q9UGP8_SEC63.pdf</v>
      </c>
    </row>
    <row r="5999" spans="1:28" x14ac:dyDescent="0.25">
      <c r="A5999" t="s">
        <v>6003</v>
      </c>
      <c r="B5999">
        <v>0.99542014353169495</v>
      </c>
      <c r="C5999">
        <v>0.92204959159107003</v>
      </c>
      <c r="D5999">
        <v>0.92993017511259202</v>
      </c>
      <c r="E5999">
        <v>0.30209426913437398</v>
      </c>
      <c r="F5999">
        <v>0.16846431934613201</v>
      </c>
      <c r="G5999">
        <v>9.6942075147054801E-2</v>
      </c>
      <c r="H5999">
        <v>5.43007610253557E-2</v>
      </c>
      <c r="I5999">
        <v>4.0660006836470197E-2</v>
      </c>
      <c r="J5999">
        <v>3.9492419013334397E-2</v>
      </c>
      <c r="K5999">
        <v>4.5563833487113403E-2</v>
      </c>
      <c r="L5999">
        <v>1747.96224978187</v>
      </c>
      <c r="M5999">
        <v>38.488257717852903</v>
      </c>
      <c r="N5999">
        <v>45.587335108747602</v>
      </c>
      <c r="O5999">
        <v>45.293384747403302</v>
      </c>
      <c r="P5999">
        <v>-0.19809235070666101</v>
      </c>
      <c r="Q5999">
        <v>6.7533647369702299E-2</v>
      </c>
      <c r="R5999">
        <v>0.99003314973608403</v>
      </c>
      <c r="S5999" t="s">
        <v>12401</v>
      </c>
      <c r="T5999" t="s">
        <v>12802</v>
      </c>
      <c r="U5999" t="s">
        <v>12802</v>
      </c>
      <c r="V5999" t="s">
        <v>12802</v>
      </c>
      <c r="W5999" t="s">
        <v>18728</v>
      </c>
      <c r="X5999">
        <v>8</v>
      </c>
      <c r="Y5999" t="s">
        <v>24933</v>
      </c>
      <c r="Z5999" t="s">
        <v>31317</v>
      </c>
      <c r="AA5999">
        <v>0.33227323207729931</v>
      </c>
      <c r="AB5999" t="str">
        <f>HYPERLINK("Melting_Curves/meltCurve_Q9UGR2_2_ZC3H7B.pdf", "Melting_Curves/meltCurve_Q9UGR2_2_ZC3H7B.pdf")</f>
        <v>Melting_Curves/meltCurve_Q9UGR2_2_ZC3H7B.pdf</v>
      </c>
    </row>
    <row r="6000" spans="1:28" x14ac:dyDescent="0.25">
      <c r="A6000" t="s">
        <v>6004</v>
      </c>
      <c r="B6000">
        <v>0.99542014353169495</v>
      </c>
      <c r="C6000">
        <v>0.83106561283899605</v>
      </c>
      <c r="D6000">
        <v>0.87007140856003495</v>
      </c>
      <c r="E6000">
        <v>0.47726979024179</v>
      </c>
      <c r="F6000">
        <v>7.6019419900032498E-2</v>
      </c>
      <c r="G6000">
        <v>4.4501029433339299E-2</v>
      </c>
      <c r="H6000">
        <v>2.6465794059104299E-2</v>
      </c>
      <c r="I6000">
        <v>1.3552622250444899E-2</v>
      </c>
      <c r="J6000">
        <v>1.34991961370846E-2</v>
      </c>
      <c r="K6000">
        <v>2.9708336329251499E-2</v>
      </c>
      <c r="L6000">
        <v>1125.2169265401401</v>
      </c>
      <c r="M6000">
        <v>24.381641197940802</v>
      </c>
      <c r="N6000">
        <v>46.189670429054402</v>
      </c>
      <c r="O6000">
        <v>45.8430770586628</v>
      </c>
      <c r="P6000">
        <v>-0.13159268947927499</v>
      </c>
      <c r="Q6000">
        <v>1.03169589561391E-2</v>
      </c>
      <c r="R6000">
        <v>0.98279326602102302</v>
      </c>
      <c r="S6000" t="s">
        <v>12402</v>
      </c>
      <c r="T6000" t="s">
        <v>12802</v>
      </c>
      <c r="U6000" t="s">
        <v>12802</v>
      </c>
      <c r="V6000" t="s">
        <v>12802</v>
      </c>
      <c r="W6000" t="s">
        <v>18729</v>
      </c>
      <c r="X6000">
        <v>6</v>
      </c>
      <c r="Y6000" t="s">
        <v>24934</v>
      </c>
      <c r="Z6000" t="s">
        <v>31318</v>
      </c>
      <c r="AA6000">
        <v>0.32082297636391122</v>
      </c>
      <c r="AB6000" t="str">
        <f>HYPERLINK("Melting_Curves/meltCurve_Q9UH62_ARMCX3.pdf", "Melting_Curves/meltCurve_Q9UH62_ARMCX3.pdf")</f>
        <v>Melting_Curves/meltCurve_Q9UH62_ARMCX3.pdf</v>
      </c>
    </row>
    <row r="6001" spans="1:28" x14ac:dyDescent="0.25">
      <c r="A6001" t="s">
        <v>6005</v>
      </c>
      <c r="B6001">
        <v>0.99542014353169495</v>
      </c>
      <c r="C6001">
        <v>0.99012744326652102</v>
      </c>
      <c r="D6001">
        <v>0.91872760577461599</v>
      </c>
      <c r="E6001">
        <v>0.90263332514542305</v>
      </c>
      <c r="F6001">
        <v>0.67980483406024605</v>
      </c>
      <c r="G6001">
        <v>0.361692109644627</v>
      </c>
      <c r="H6001">
        <v>9.1359768142001793E-2</v>
      </c>
      <c r="I6001">
        <v>7.9887476108803299E-2</v>
      </c>
      <c r="J6001">
        <v>0.109407443316581</v>
      </c>
      <c r="K6001">
        <v>0.134700159293936</v>
      </c>
      <c r="L6001">
        <v>1193.07467477603</v>
      </c>
      <c r="M6001">
        <v>23.176202266660599</v>
      </c>
      <c r="N6001">
        <v>51.882486105764201</v>
      </c>
      <c r="O6001">
        <v>51.099776583543502</v>
      </c>
      <c r="P6001">
        <v>-0.10402655842707</v>
      </c>
      <c r="Q6001">
        <v>8.2569786859262695E-2</v>
      </c>
      <c r="R6001">
        <v>0.99009216146491297</v>
      </c>
      <c r="S6001" t="s">
        <v>12403</v>
      </c>
      <c r="T6001" t="s">
        <v>12802</v>
      </c>
      <c r="U6001" t="s">
        <v>12802</v>
      </c>
      <c r="V6001" t="s">
        <v>12802</v>
      </c>
      <c r="W6001" t="s">
        <v>18730</v>
      </c>
      <c r="X6001">
        <v>9</v>
      </c>
      <c r="Y6001" t="s">
        <v>24935</v>
      </c>
      <c r="Z6001" t="s">
        <v>31319</v>
      </c>
      <c r="AA6001">
        <v>0.5346368943048847</v>
      </c>
      <c r="AB6001" t="str">
        <f>HYPERLINK("Melting_Curves/meltCurve_Q9UH65_SWAP70.pdf", "Melting_Curves/meltCurve_Q9UH65_SWAP70.pdf")</f>
        <v>Melting_Curves/meltCurve_Q9UH65_SWAP70.pdf</v>
      </c>
    </row>
    <row r="6002" spans="1:28" x14ac:dyDescent="0.25">
      <c r="A6002" t="s">
        <v>6006</v>
      </c>
      <c r="B6002">
        <v>0.99542014353169495</v>
      </c>
      <c r="C6002">
        <v>0.946284354229605</v>
      </c>
      <c r="D6002">
        <v>0.99068059300937195</v>
      </c>
      <c r="E6002">
        <v>0.690399532931539</v>
      </c>
      <c r="F6002">
        <v>0.42368546180107097</v>
      </c>
      <c r="G6002">
        <v>0.15710960902839899</v>
      </c>
      <c r="H6002">
        <v>0.108702067715201</v>
      </c>
      <c r="I6002">
        <v>7.7121771193327901E-2</v>
      </c>
      <c r="J6002">
        <v>8.6888849432823004E-2</v>
      </c>
      <c r="K6002">
        <v>8.7881387451556103E-2</v>
      </c>
      <c r="L6002">
        <v>999.35102839136198</v>
      </c>
      <c r="M6002">
        <v>20.5706961229161</v>
      </c>
      <c r="N6002">
        <v>48.956231672241202</v>
      </c>
      <c r="O6002">
        <v>48.129171273020098</v>
      </c>
      <c r="P6002">
        <v>-9.9067265524269296E-2</v>
      </c>
      <c r="Q6002">
        <v>7.2877986167722703E-2</v>
      </c>
      <c r="R6002">
        <v>0.99460685225628198</v>
      </c>
      <c r="S6002" t="s">
        <v>12404</v>
      </c>
      <c r="T6002" t="s">
        <v>12802</v>
      </c>
      <c r="U6002" t="s">
        <v>12802</v>
      </c>
      <c r="V6002" t="s">
        <v>12802</v>
      </c>
      <c r="W6002" t="s">
        <v>18731</v>
      </c>
      <c r="X6002">
        <v>17</v>
      </c>
      <c r="Y6002" t="s">
        <v>24936</v>
      </c>
      <c r="Z6002" t="s">
        <v>31320</v>
      </c>
      <c r="AA6002">
        <v>0.44236807546595758</v>
      </c>
      <c r="AB6002" t="str">
        <f>HYPERLINK("Melting_Curves/meltCurve_Q9UH99_SUN2.pdf", "Melting_Curves/meltCurve_Q9UH99_SUN2.pdf")</f>
        <v>Melting_Curves/meltCurve_Q9UH99_SUN2.pdf</v>
      </c>
    </row>
    <row r="6003" spans="1:28" x14ac:dyDescent="0.25">
      <c r="A6003" t="s">
        <v>6007</v>
      </c>
      <c r="B6003">
        <v>0.99542014353169495</v>
      </c>
      <c r="C6003">
        <v>0.92746760379021898</v>
      </c>
      <c r="D6003">
        <v>0.94389039622361204</v>
      </c>
      <c r="E6003">
        <v>0.59688424593963396</v>
      </c>
      <c r="F6003">
        <v>0.27974572874989101</v>
      </c>
      <c r="G6003">
        <v>0.15984816110745201</v>
      </c>
      <c r="H6003">
        <v>0.106197349834841</v>
      </c>
      <c r="I6003">
        <v>6.80584691496251E-2</v>
      </c>
      <c r="J6003">
        <v>9.6945850019891297E-2</v>
      </c>
      <c r="K6003">
        <v>9.6856027833467903E-2</v>
      </c>
      <c r="L6003">
        <v>1058.7751714398801</v>
      </c>
      <c r="M6003">
        <v>22.429066920878501</v>
      </c>
      <c r="N6003">
        <v>47.620957593340201</v>
      </c>
      <c r="O6003">
        <v>46.835047186898798</v>
      </c>
      <c r="P6003">
        <v>-0.10908714532569699</v>
      </c>
      <c r="Q6003">
        <v>8.8861594303881603E-2</v>
      </c>
      <c r="R6003">
        <v>0.99588144110672905</v>
      </c>
      <c r="S6003" t="s">
        <v>12405</v>
      </c>
      <c r="T6003" t="s">
        <v>12802</v>
      </c>
      <c r="U6003" t="s">
        <v>12802</v>
      </c>
      <c r="V6003" t="s">
        <v>12802</v>
      </c>
      <c r="W6003" t="s">
        <v>18732</v>
      </c>
      <c r="X6003">
        <v>4</v>
      </c>
      <c r="Y6003" t="s">
        <v>24937</v>
      </c>
      <c r="Z6003" t="s">
        <v>31321</v>
      </c>
      <c r="AA6003">
        <v>0.40834492762198638</v>
      </c>
      <c r="AB6003" t="str">
        <f>HYPERLINK("Melting_Curves/meltCurve_Q9UHA2_SS18L2.pdf", "Melting_Curves/meltCurve_Q9UHA2_SS18L2.pdf")</f>
        <v>Melting_Curves/meltCurve_Q9UHA2_SS18L2.pdf</v>
      </c>
    </row>
    <row r="6004" spans="1:28" x14ac:dyDescent="0.25">
      <c r="A6004" t="s">
        <v>6008</v>
      </c>
      <c r="B6004">
        <v>0.99542014353169495</v>
      </c>
      <c r="C6004">
        <v>0.93629229860823604</v>
      </c>
      <c r="D6004">
        <v>1.0654440499696101</v>
      </c>
      <c r="E6004">
        <v>1.0420030735411701</v>
      </c>
      <c r="F6004">
        <v>0.86257646032582003</v>
      </c>
      <c r="G6004">
        <v>0.73447914293838601</v>
      </c>
      <c r="H6004">
        <v>0.55930775220645801</v>
      </c>
      <c r="I6004">
        <v>0.52974518811416904</v>
      </c>
      <c r="J6004">
        <v>0.97917685468219795</v>
      </c>
      <c r="K6004">
        <v>0.83586707515328096</v>
      </c>
      <c r="L6004">
        <v>9730.7504453798301</v>
      </c>
      <c r="M6004">
        <v>193.85846879601399</v>
      </c>
      <c r="O6004">
        <v>50.1897873527776</v>
      </c>
      <c r="P6004">
        <v>-0.26292571865571401</v>
      </c>
      <c r="Q6004">
        <v>0.72771506151515497</v>
      </c>
      <c r="R6004">
        <v>0.53623666681706905</v>
      </c>
      <c r="S6004" t="s">
        <v>12406</v>
      </c>
      <c r="T6004" t="s">
        <v>12802</v>
      </c>
      <c r="U6004" t="s">
        <v>12802</v>
      </c>
      <c r="V6004" t="s">
        <v>12802</v>
      </c>
      <c r="W6004" t="s">
        <v>18733</v>
      </c>
      <c r="X6004">
        <v>2</v>
      </c>
      <c r="Y6004" t="s">
        <v>24938</v>
      </c>
      <c r="Z6004" t="s">
        <v>31322</v>
      </c>
      <c r="AA6004">
        <v>0.84751610185706461</v>
      </c>
      <c r="AB6004" t="str">
        <f>HYPERLINK("Melting_Curves/meltCurve_Q9UHA4_LAMTOR3.pdf", "Melting_Curves/meltCurve_Q9UHA4_LAMTOR3.pdf")</f>
        <v>Melting_Curves/meltCurve_Q9UHA4_LAMTOR3.pdf</v>
      </c>
    </row>
    <row r="6005" spans="1:28" x14ac:dyDescent="0.25">
      <c r="A6005" t="s">
        <v>6009</v>
      </c>
      <c r="B6005">
        <v>0.99542014353169495</v>
      </c>
      <c r="C6005">
        <v>0.96363052315182096</v>
      </c>
      <c r="D6005">
        <v>1.0059440182216299</v>
      </c>
      <c r="E6005">
        <v>0.812379973997711</v>
      </c>
      <c r="F6005">
        <v>0.59908453583847598</v>
      </c>
      <c r="G6005">
        <v>0.28014481400149399</v>
      </c>
      <c r="H6005">
        <v>0.149335150850085</v>
      </c>
      <c r="I6005">
        <v>0.12616081316531999</v>
      </c>
      <c r="J6005">
        <v>0.143467525234449</v>
      </c>
      <c r="K6005">
        <v>0.132878081454607</v>
      </c>
      <c r="L6005">
        <v>1044.8917819189601</v>
      </c>
      <c r="M6005">
        <v>20.7875201920411</v>
      </c>
      <c r="N6005">
        <v>50.897397349851403</v>
      </c>
      <c r="O6005">
        <v>49.807104316121901</v>
      </c>
      <c r="P6005">
        <v>-9.2473174834990096E-2</v>
      </c>
      <c r="Q6005">
        <v>0.113758191249555</v>
      </c>
      <c r="R6005">
        <v>0.99510128573225098</v>
      </c>
      <c r="S6005" t="s">
        <v>12407</v>
      </c>
      <c r="T6005" t="s">
        <v>12802</v>
      </c>
      <c r="U6005" t="s">
        <v>12802</v>
      </c>
      <c r="V6005" t="s">
        <v>12802</v>
      </c>
      <c r="W6005" t="s">
        <v>18734</v>
      </c>
      <c r="X6005">
        <v>5</v>
      </c>
      <c r="Y6005" t="s">
        <v>24939</v>
      </c>
      <c r="Z6005" t="s">
        <v>31323</v>
      </c>
      <c r="AA6005">
        <v>0.51653452064184757</v>
      </c>
      <c r="AB6005" t="str">
        <f>HYPERLINK("Melting_Curves/meltCurve_Q9UHB7_AFF4.pdf", "Melting_Curves/meltCurve_Q9UHB7_AFF4.pdf")</f>
        <v>Melting_Curves/meltCurve_Q9UHB7_AFF4.pdf</v>
      </c>
    </row>
    <row r="6006" spans="1:28" x14ac:dyDescent="0.25">
      <c r="A6006" t="s">
        <v>6010</v>
      </c>
      <c r="B6006">
        <v>0.99542014353169495</v>
      </c>
      <c r="C6006">
        <v>0.84331454582557597</v>
      </c>
      <c r="D6006">
        <v>0.91699046362260705</v>
      </c>
      <c r="E6006">
        <v>0.586164679245329</v>
      </c>
      <c r="F6006">
        <v>0.157030616442384</v>
      </c>
      <c r="G6006">
        <v>8.5547057100623894E-2</v>
      </c>
      <c r="H6006">
        <v>5.3151264997819199E-2</v>
      </c>
      <c r="I6006">
        <v>3.3347565877186798E-2</v>
      </c>
      <c r="J6006">
        <v>3.8947507848011202E-2</v>
      </c>
      <c r="K6006">
        <v>3.6174098445697203E-2</v>
      </c>
      <c r="L6006">
        <v>1192.64804309549</v>
      </c>
      <c r="M6006">
        <v>25.401204093533</v>
      </c>
      <c r="N6006">
        <v>47.087772132185997</v>
      </c>
      <c r="O6006">
        <v>46.664336908433</v>
      </c>
      <c r="P6006">
        <v>-0.13129538327965201</v>
      </c>
      <c r="Q6006">
        <v>3.5206069368839799E-2</v>
      </c>
      <c r="R6006">
        <v>0.98468563358320005</v>
      </c>
      <c r="S6006" t="s">
        <v>12408</v>
      </c>
      <c r="T6006" t="s">
        <v>12802</v>
      </c>
      <c r="U6006" t="s">
        <v>12802</v>
      </c>
      <c r="V6006" t="s">
        <v>12802</v>
      </c>
      <c r="W6006" t="s">
        <v>18735</v>
      </c>
      <c r="X6006">
        <v>23</v>
      </c>
      <c r="Y6006" t="s">
        <v>24940</v>
      </c>
      <c r="Z6006" t="s">
        <v>31324</v>
      </c>
      <c r="AA6006">
        <v>0.36311539679810428</v>
      </c>
      <c r="AB6006" t="str">
        <f>HYPERLINK("Melting_Curves/meltCurve_Q9UHB9_4_SRP68.pdf", "Melting_Curves/meltCurve_Q9UHB9_4_SRP68.pdf")</f>
        <v>Melting_Curves/meltCurve_Q9UHB9_4_SRP68.pdf</v>
      </c>
    </row>
    <row r="6007" spans="1:28" x14ac:dyDescent="0.25">
      <c r="A6007" t="s">
        <v>6011</v>
      </c>
      <c r="B6007">
        <v>0.99542014353169495</v>
      </c>
      <c r="C6007">
        <v>0.97123809382187098</v>
      </c>
      <c r="D6007">
        <v>1.02978840673453</v>
      </c>
      <c r="E6007">
        <v>0.96174007404383699</v>
      </c>
      <c r="F6007">
        <v>0.72594520977191901</v>
      </c>
      <c r="G6007">
        <v>0.31707146131306901</v>
      </c>
      <c r="H6007">
        <v>9.43730564000968E-2</v>
      </c>
      <c r="I6007">
        <v>5.9174543865502E-2</v>
      </c>
      <c r="J6007">
        <v>5.6433063441048703E-2</v>
      </c>
      <c r="K6007">
        <v>6.1758700797069598E-2</v>
      </c>
      <c r="L6007">
        <v>1446.27986919307</v>
      </c>
      <c r="M6007">
        <v>27.875050278858001</v>
      </c>
      <c r="N6007">
        <v>52.078097455735097</v>
      </c>
      <c r="O6007">
        <v>51.6195604475378</v>
      </c>
      <c r="P6007">
        <v>-0.12835524150628899</v>
      </c>
      <c r="Q6007">
        <v>4.9245361255222997E-2</v>
      </c>
      <c r="R6007">
        <v>0.99862272069132996</v>
      </c>
      <c r="S6007" t="s">
        <v>12409</v>
      </c>
      <c r="T6007" t="s">
        <v>12802</v>
      </c>
      <c r="U6007" t="s">
        <v>12802</v>
      </c>
      <c r="V6007" t="s">
        <v>12802</v>
      </c>
      <c r="W6007" t="s">
        <v>18736</v>
      </c>
      <c r="X6007">
        <v>16</v>
      </c>
      <c r="Y6007" t="s">
        <v>24941</v>
      </c>
      <c r="Z6007" t="s">
        <v>31325</v>
      </c>
      <c r="AA6007">
        <v>0.52784784554686937</v>
      </c>
      <c r="AB6007" t="str">
        <f>HYPERLINK("Melting_Curves/meltCurve_Q9UHD1_CHORDC1.pdf", "Melting_Curves/meltCurve_Q9UHD1_CHORDC1.pdf")</f>
        <v>Melting_Curves/meltCurve_Q9UHD1_CHORDC1.pdf</v>
      </c>
    </row>
    <row r="6008" spans="1:28" x14ac:dyDescent="0.25">
      <c r="A6008" t="s">
        <v>6012</v>
      </c>
      <c r="B6008">
        <v>0.99542014353169495</v>
      </c>
      <c r="C6008">
        <v>0.94718571458649004</v>
      </c>
      <c r="D6008">
        <v>0.81650846204774297</v>
      </c>
      <c r="E6008">
        <v>0.50945562619802998</v>
      </c>
      <c r="F6008">
        <v>0.18388897348272301</v>
      </c>
      <c r="G6008">
        <v>7.6198922093023605E-2</v>
      </c>
      <c r="H6008">
        <v>5.1293232558347203E-2</v>
      </c>
      <c r="I6008">
        <v>3.40563510245517E-2</v>
      </c>
      <c r="J6008">
        <v>4.3745576114037898E-2</v>
      </c>
      <c r="K6008">
        <v>2.6745071210513199E-2</v>
      </c>
      <c r="L6008">
        <v>916.22075332039299</v>
      </c>
      <c r="M6008">
        <v>19.764625012531098</v>
      </c>
      <c r="N6008">
        <v>46.483181177710698</v>
      </c>
      <c r="O6008">
        <v>45.889868299602703</v>
      </c>
      <c r="P6008">
        <v>-0.10485670254844701</v>
      </c>
      <c r="Q6008">
        <v>2.62003576806666E-2</v>
      </c>
      <c r="R6008">
        <v>0.99904556121735399</v>
      </c>
      <c r="S6008" t="s">
        <v>12410</v>
      </c>
      <c r="T6008" t="s">
        <v>12802</v>
      </c>
      <c r="U6008" t="s">
        <v>12802</v>
      </c>
      <c r="V6008" t="s">
        <v>12802</v>
      </c>
      <c r="W6008" t="s">
        <v>18737</v>
      </c>
      <c r="X6008">
        <v>7</v>
      </c>
      <c r="Y6008" t="s">
        <v>24942</v>
      </c>
      <c r="Z6008" t="s">
        <v>31326</v>
      </c>
      <c r="AA6008">
        <v>0.34295164071833312</v>
      </c>
      <c r="AB6008" t="str">
        <f>HYPERLINK("Melting_Curves/meltCurve_Q9UHD2_TBK1.pdf", "Melting_Curves/meltCurve_Q9UHD2_TBK1.pdf")</f>
        <v>Melting_Curves/meltCurve_Q9UHD2_TBK1.pdf</v>
      </c>
    </row>
    <row r="6009" spans="1:28" x14ac:dyDescent="0.25">
      <c r="A6009" t="s">
        <v>6013</v>
      </c>
      <c r="B6009">
        <v>0.99542014353169495</v>
      </c>
      <c r="C6009">
        <v>0.95023233896716697</v>
      </c>
      <c r="D6009">
        <v>1.02525607887307</v>
      </c>
      <c r="E6009">
        <v>0.850624112589623</v>
      </c>
      <c r="F6009">
        <v>0.70207915409675603</v>
      </c>
      <c r="G6009">
        <v>0.39088038266114999</v>
      </c>
      <c r="H6009">
        <v>9.0231540684758499E-2</v>
      </c>
      <c r="I6009">
        <v>6.1002986139914499E-2</v>
      </c>
      <c r="J6009">
        <v>5.9967299398030201E-2</v>
      </c>
      <c r="K6009">
        <v>6.0188934160738797E-2</v>
      </c>
      <c r="L6009">
        <v>1046.3386010259401</v>
      </c>
      <c r="M6009">
        <v>20.106265935603101</v>
      </c>
      <c r="N6009">
        <v>52.163042664730597</v>
      </c>
      <c r="O6009">
        <v>51.533839345545502</v>
      </c>
      <c r="P6009">
        <v>-9.5290509905032406E-2</v>
      </c>
      <c r="Q6009">
        <v>2.3084780752567199E-2</v>
      </c>
      <c r="R6009">
        <v>0.99124624243854098</v>
      </c>
      <c r="S6009" t="s">
        <v>12411</v>
      </c>
      <c r="T6009" t="s">
        <v>12802</v>
      </c>
      <c r="U6009" t="s">
        <v>12802</v>
      </c>
      <c r="V6009" t="s">
        <v>12802</v>
      </c>
      <c r="W6009" t="s">
        <v>18738</v>
      </c>
      <c r="X6009">
        <v>30</v>
      </c>
      <c r="Y6009" t="s">
        <v>24943</v>
      </c>
      <c r="Z6009" t="s">
        <v>31327</v>
      </c>
      <c r="AA6009">
        <v>0.52536116917112474</v>
      </c>
      <c r="AB6009" t="str">
        <f>HYPERLINK("Melting_Curves/meltCurve_Q9UHD8_7_SEPT9.pdf", "Melting_Curves/meltCurve_Q9UHD8_7_SEPT9.pdf")</f>
        <v>Melting_Curves/meltCurve_Q9UHD8_7_SEPT9.pdf</v>
      </c>
    </row>
    <row r="6010" spans="1:28" x14ac:dyDescent="0.25">
      <c r="A6010" t="s">
        <v>6014</v>
      </c>
      <c r="B6010">
        <v>0.99542014353169495</v>
      </c>
      <c r="C6010">
        <v>1.0520020781762001</v>
      </c>
      <c r="D6010">
        <v>1.0938699327447501</v>
      </c>
      <c r="E6010">
        <v>1.06725768056954</v>
      </c>
      <c r="F6010">
        <v>0.76614729816980898</v>
      </c>
      <c r="G6010">
        <v>0.55644366878492801</v>
      </c>
      <c r="H6010">
        <v>0.39148907950072998</v>
      </c>
      <c r="I6010">
        <v>0.34686600642472298</v>
      </c>
      <c r="J6010">
        <v>0.51902641213997303</v>
      </c>
      <c r="K6010">
        <v>0.61813862777974105</v>
      </c>
      <c r="L6010">
        <v>2320.5661521994898</v>
      </c>
      <c r="M6010">
        <v>45.898088858294003</v>
      </c>
      <c r="N6010">
        <v>54.266820023896699</v>
      </c>
      <c r="O6010">
        <v>50.463404937353999</v>
      </c>
      <c r="P6010">
        <v>-0.11863262684933799</v>
      </c>
      <c r="Q6010">
        <v>0.47827029276639899</v>
      </c>
      <c r="R6010">
        <v>0.91349649754168205</v>
      </c>
      <c r="S6010" t="s">
        <v>12412</v>
      </c>
      <c r="T6010" t="s">
        <v>12802</v>
      </c>
      <c r="U6010" t="s">
        <v>12802</v>
      </c>
      <c r="V6010" t="s">
        <v>12802</v>
      </c>
      <c r="W6010" t="s">
        <v>18739</v>
      </c>
      <c r="X6010">
        <v>7</v>
      </c>
      <c r="Y6010" t="s">
        <v>24944</v>
      </c>
      <c r="Z6010" t="s">
        <v>31328</v>
      </c>
      <c r="AA6010">
        <v>0.71545832058990444</v>
      </c>
      <c r="AB6010" t="str">
        <f>HYPERLINK("Melting_Curves/meltCurve_Q9UHD9_UBQLN2.pdf", "Melting_Curves/meltCurve_Q9UHD9_UBQLN2.pdf")</f>
        <v>Melting_Curves/meltCurve_Q9UHD9_UBQLN2.pdf</v>
      </c>
    </row>
    <row r="6011" spans="1:28" x14ac:dyDescent="0.25">
      <c r="A6011" t="s">
        <v>6015</v>
      </c>
      <c r="B6011">
        <v>0.99542014353169495</v>
      </c>
      <c r="C6011">
        <v>0.99608007428622103</v>
      </c>
      <c r="D6011">
        <v>0.98972664838532098</v>
      </c>
      <c r="E6011">
        <v>0.94268941507650394</v>
      </c>
      <c r="F6011">
        <v>0.75045723939702702</v>
      </c>
      <c r="G6011">
        <v>0.61403300773689495</v>
      </c>
      <c r="H6011">
        <v>0.417110702482206</v>
      </c>
      <c r="I6011">
        <v>0.26379529228614301</v>
      </c>
      <c r="J6011">
        <v>0.13296217519534301</v>
      </c>
      <c r="K6011">
        <v>9.8782586429493002E-2</v>
      </c>
      <c r="L6011">
        <v>696.83671902656897</v>
      </c>
      <c r="M6011">
        <v>12.534158720248101</v>
      </c>
      <c r="N6011">
        <v>55.5950132507107</v>
      </c>
      <c r="O6011">
        <v>54.236792695850099</v>
      </c>
      <c r="P6011">
        <v>-5.7786918332720698E-2</v>
      </c>
      <c r="Q6011">
        <v>0</v>
      </c>
      <c r="R6011">
        <v>0.99669618019283102</v>
      </c>
      <c r="S6011" t="s">
        <v>12413</v>
      </c>
      <c r="T6011" t="s">
        <v>12802</v>
      </c>
      <c r="U6011" t="s">
        <v>12802</v>
      </c>
      <c r="V6011" t="s">
        <v>12802</v>
      </c>
      <c r="W6011" t="s">
        <v>18740</v>
      </c>
      <c r="X6011">
        <v>12</v>
      </c>
      <c r="Y6011" t="s">
        <v>24945</v>
      </c>
      <c r="Z6011" t="s">
        <v>31329</v>
      </c>
      <c r="AA6011">
        <v>0.63189554803550696</v>
      </c>
      <c r="AB6011" t="str">
        <f>HYPERLINK("Melting_Curves/meltCurve_Q9UHG3_PCYOX1.pdf", "Melting_Curves/meltCurve_Q9UHG3_PCYOX1.pdf")</f>
        <v>Melting_Curves/meltCurve_Q9UHG3_PCYOX1.pdf</v>
      </c>
    </row>
    <row r="6012" spans="1:28" x14ac:dyDescent="0.25">
      <c r="A6012" t="s">
        <v>6016</v>
      </c>
      <c r="B6012">
        <v>0.99542014353169495</v>
      </c>
      <c r="C6012">
        <v>0.74805915513042398</v>
      </c>
      <c r="D6012">
        <v>0.673285188929024</v>
      </c>
      <c r="E6012">
        <v>0.27341160327985198</v>
      </c>
      <c r="F6012">
        <v>6.5737563229428406E-2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771.26477788037198</v>
      </c>
      <c r="M6012">
        <v>17.530156398840099</v>
      </c>
      <c r="N6012">
        <v>43.9964380262494</v>
      </c>
      <c r="O6012">
        <v>43.435906164897197</v>
      </c>
      <c r="P6012">
        <v>-0.10090221382720101</v>
      </c>
      <c r="Q6012">
        <v>0</v>
      </c>
      <c r="R6012">
        <v>0.98363180201697598</v>
      </c>
      <c r="S6012" t="s">
        <v>12414</v>
      </c>
      <c r="T6012" t="s">
        <v>12802</v>
      </c>
      <c r="U6012" t="s">
        <v>12802</v>
      </c>
      <c r="V6012" t="s">
        <v>12802</v>
      </c>
      <c r="W6012" t="s">
        <v>18741</v>
      </c>
      <c r="X6012">
        <v>3</v>
      </c>
      <c r="Y6012" t="s">
        <v>24946</v>
      </c>
      <c r="Z6012" t="s">
        <v>31330</v>
      </c>
      <c r="AA6012">
        <v>0.25105599013752328</v>
      </c>
      <c r="AB6012" t="str">
        <f>HYPERLINK("Melting_Curves/meltCurve_Q9UHI6_DDX20.pdf", "Melting_Curves/meltCurve_Q9UHI6_DDX20.pdf")</f>
        <v>Melting_Curves/meltCurve_Q9UHI6_DDX20.pdf</v>
      </c>
    </row>
    <row r="6013" spans="1:28" x14ac:dyDescent="0.25">
      <c r="A6013" t="s">
        <v>6017</v>
      </c>
      <c r="B6013">
        <v>0.99542014353169495</v>
      </c>
      <c r="C6013">
        <v>1.0317372312134601</v>
      </c>
      <c r="D6013">
        <v>0.98806951404745902</v>
      </c>
      <c r="E6013">
        <v>0.84041463924236703</v>
      </c>
      <c r="F6013">
        <v>0.65377354052500203</v>
      </c>
      <c r="G6013">
        <v>0.28256206161470299</v>
      </c>
      <c r="H6013">
        <v>0.17580557461171001</v>
      </c>
      <c r="I6013">
        <v>0.138152438131177</v>
      </c>
      <c r="J6013">
        <v>0.20357442140752499</v>
      </c>
      <c r="K6013">
        <v>0.236961065151924</v>
      </c>
      <c r="L6013">
        <v>1268.85375293637</v>
      </c>
      <c r="M6013">
        <v>25.193106230886599</v>
      </c>
      <c r="N6013">
        <v>51.236222115080501</v>
      </c>
      <c r="O6013">
        <v>50.050996802464198</v>
      </c>
      <c r="P6013">
        <v>-0.10391761363677</v>
      </c>
      <c r="Q6013">
        <v>0.17420069972854099</v>
      </c>
      <c r="R6013">
        <v>0.98765183729804695</v>
      </c>
      <c r="S6013" t="s">
        <v>12415</v>
      </c>
      <c r="T6013" t="s">
        <v>12802</v>
      </c>
      <c r="U6013" t="s">
        <v>12802</v>
      </c>
      <c r="V6013" t="s">
        <v>12802</v>
      </c>
      <c r="W6013" t="s">
        <v>18742</v>
      </c>
      <c r="X6013">
        <v>10</v>
      </c>
      <c r="Y6013" t="s">
        <v>24947</v>
      </c>
      <c r="Z6013" t="s">
        <v>31331</v>
      </c>
      <c r="AA6013">
        <v>0.54924110763653078</v>
      </c>
      <c r="AB6013" t="str">
        <f>HYPERLINK("Melting_Curves/meltCurve_Q9UHJ6_SHPK.pdf", "Melting_Curves/meltCurve_Q9UHJ6_SHPK.pdf")</f>
        <v>Melting_Curves/meltCurve_Q9UHJ6_SHPK.pdf</v>
      </c>
    </row>
    <row r="6014" spans="1:28" x14ac:dyDescent="0.25">
      <c r="A6014" t="s">
        <v>6018</v>
      </c>
      <c r="B6014">
        <v>0.99542014353169495</v>
      </c>
      <c r="C6014">
        <v>0.99569247421130302</v>
      </c>
      <c r="D6014">
        <v>0.99685241063397201</v>
      </c>
      <c r="E6014">
        <v>0.57301199085781096</v>
      </c>
      <c r="F6014">
        <v>0.33488315333924701</v>
      </c>
      <c r="G6014">
        <v>0.17026949714131301</v>
      </c>
      <c r="H6014">
        <v>0.115893362933272</v>
      </c>
      <c r="I6014">
        <v>6.7674362213883996E-2</v>
      </c>
      <c r="J6014">
        <v>9.4597521732271095E-2</v>
      </c>
      <c r="K6014">
        <v>7.4281621533787798E-2</v>
      </c>
      <c r="L6014">
        <v>1040.07889892553</v>
      </c>
      <c r="M6014">
        <v>21.916624184459899</v>
      </c>
      <c r="N6014">
        <v>47.875512084561102</v>
      </c>
      <c r="O6014">
        <v>47.066373764555699</v>
      </c>
      <c r="P6014">
        <v>-0.10624892629667999</v>
      </c>
      <c r="Q6014">
        <v>8.7334218393850402E-2</v>
      </c>
      <c r="R6014">
        <v>0.99129187369266503</v>
      </c>
      <c r="S6014" t="s">
        <v>12416</v>
      </c>
      <c r="T6014" t="s">
        <v>12802</v>
      </c>
      <c r="U6014" t="s">
        <v>12802</v>
      </c>
      <c r="V6014" t="s">
        <v>12802</v>
      </c>
      <c r="W6014" t="s">
        <v>18743</v>
      </c>
      <c r="X6014">
        <v>2</v>
      </c>
      <c r="Y6014" t="s">
        <v>24948</v>
      </c>
      <c r="Z6014" t="s">
        <v>31332</v>
      </c>
      <c r="AA6014">
        <v>0.41544842676653881</v>
      </c>
      <c r="AB6014" t="str">
        <f>HYPERLINK("Melting_Curves/meltCurve_Q9UHK0_NUFIP1.pdf", "Melting_Curves/meltCurve_Q9UHK0_NUFIP1.pdf")</f>
        <v>Melting_Curves/meltCurve_Q9UHK0_NUFIP1.pdf</v>
      </c>
    </row>
    <row r="6015" spans="1:28" x14ac:dyDescent="0.25">
      <c r="A6015" t="s">
        <v>6019</v>
      </c>
      <c r="B6015">
        <v>0.99542014353169495</v>
      </c>
      <c r="C6015">
        <v>0.94494617791270696</v>
      </c>
      <c r="D6015">
        <v>0.92139696926429904</v>
      </c>
      <c r="E6015">
        <v>0.79515584633333702</v>
      </c>
      <c r="F6015">
        <v>0.63109524698807495</v>
      </c>
      <c r="G6015">
        <v>0.41098178004643798</v>
      </c>
      <c r="H6015">
        <v>0.271843161831677</v>
      </c>
      <c r="I6015">
        <v>0.24304214752706699</v>
      </c>
      <c r="J6015">
        <v>0.31975940056827701</v>
      </c>
      <c r="K6015">
        <v>0.192361412253549</v>
      </c>
      <c r="L6015">
        <v>729.10871791108605</v>
      </c>
      <c r="M6015">
        <v>14.5517794901419</v>
      </c>
      <c r="N6015">
        <v>52.003576229285201</v>
      </c>
      <c r="O6015">
        <v>49.186752672337903</v>
      </c>
      <c r="P6015">
        <v>-5.8723879037005301E-2</v>
      </c>
      <c r="Q6015">
        <v>0.20611578148179999</v>
      </c>
      <c r="R6015">
        <v>0.98634365334849805</v>
      </c>
      <c r="S6015" t="s">
        <v>12417</v>
      </c>
      <c r="T6015" t="s">
        <v>12802</v>
      </c>
      <c r="U6015" t="s">
        <v>12802</v>
      </c>
      <c r="V6015" t="s">
        <v>12802</v>
      </c>
      <c r="W6015" t="s">
        <v>18744</v>
      </c>
      <c r="X6015">
        <v>8</v>
      </c>
      <c r="Y6015" t="s">
        <v>24949</v>
      </c>
      <c r="Z6015" t="s">
        <v>31333</v>
      </c>
      <c r="AA6015">
        <v>0.57015830892989738</v>
      </c>
      <c r="AB6015" t="str">
        <f>HYPERLINK("Melting_Curves/meltCurve_Q9UHL4_DPP7.pdf", "Melting_Curves/meltCurve_Q9UHL4_DPP7.pdf")</f>
        <v>Melting_Curves/meltCurve_Q9UHL4_DPP7.pdf</v>
      </c>
    </row>
    <row r="6016" spans="1:28" x14ac:dyDescent="0.25">
      <c r="A6016" t="s">
        <v>6020</v>
      </c>
      <c r="B6016">
        <v>0.99542014353169495</v>
      </c>
      <c r="C6016">
        <v>1.2296086158392601</v>
      </c>
      <c r="D6016">
        <v>1.07980361712948</v>
      </c>
      <c r="E6016">
        <v>0.99190366725189005</v>
      </c>
      <c r="F6016">
        <v>0.87533231144915802</v>
      </c>
      <c r="G6016">
        <v>0.66484397115223004</v>
      </c>
      <c r="H6016">
        <v>0.46313172788532803</v>
      </c>
      <c r="I6016">
        <v>0.34224779694761498</v>
      </c>
      <c r="J6016">
        <v>0.44579332693276502</v>
      </c>
      <c r="K6016">
        <v>0.55601973509028502</v>
      </c>
      <c r="L6016">
        <v>1628.46479099216</v>
      </c>
      <c r="M6016">
        <v>30.9036643225696</v>
      </c>
      <c r="N6016">
        <v>56.6806317253155</v>
      </c>
      <c r="O6016">
        <v>52.475718194272702</v>
      </c>
      <c r="P6016">
        <v>-8.1993515653811799E-2</v>
      </c>
      <c r="Q6016">
        <v>0.44308967871320298</v>
      </c>
      <c r="R6016">
        <v>0.90011069376512898</v>
      </c>
      <c r="S6016" t="s">
        <v>12418</v>
      </c>
      <c r="T6016" t="s">
        <v>12802</v>
      </c>
      <c r="U6016" t="s">
        <v>12802</v>
      </c>
      <c r="V6016" t="s">
        <v>12802</v>
      </c>
      <c r="W6016" t="s">
        <v>18745</v>
      </c>
      <c r="X6016">
        <v>4</v>
      </c>
      <c r="Y6016" t="s">
        <v>24950</v>
      </c>
      <c r="Z6016" t="s">
        <v>31334</v>
      </c>
      <c r="AA6016">
        <v>0.73778820809390999</v>
      </c>
      <c r="AB6016" t="str">
        <f>HYPERLINK("Melting_Curves/meltCurve_Q9UHN1_POLG2.pdf", "Melting_Curves/meltCurve_Q9UHN1_POLG2.pdf")</f>
        <v>Melting_Curves/meltCurve_Q9UHN1_POLG2.pdf</v>
      </c>
    </row>
    <row r="6017" spans="1:28" x14ac:dyDescent="0.25">
      <c r="A6017" t="s">
        <v>6021</v>
      </c>
      <c r="B6017">
        <v>0.99542014353169495</v>
      </c>
      <c r="C6017">
        <v>1.0296555774814999</v>
      </c>
      <c r="D6017">
        <v>0.93141327474216695</v>
      </c>
      <c r="E6017">
        <v>0.75200915447230499</v>
      </c>
      <c r="F6017">
        <v>0.58192612737248595</v>
      </c>
      <c r="G6017">
        <v>0.294977995281059</v>
      </c>
      <c r="H6017">
        <v>0.186368668103851</v>
      </c>
      <c r="I6017">
        <v>0.10340185997081799</v>
      </c>
      <c r="J6017">
        <v>9.4845264705740104E-2</v>
      </c>
      <c r="K6017">
        <v>0.11412886635069</v>
      </c>
      <c r="L6017">
        <v>784.65377954933399</v>
      </c>
      <c r="M6017">
        <v>15.611299893251401</v>
      </c>
      <c r="N6017">
        <v>50.744918003045001</v>
      </c>
      <c r="O6017">
        <v>49.458860722018997</v>
      </c>
      <c r="P6017">
        <v>-7.3468891162533106E-2</v>
      </c>
      <c r="Q6017">
        <v>6.9040189162892202E-2</v>
      </c>
      <c r="R6017">
        <v>0.99503879825785102</v>
      </c>
      <c r="S6017" t="s">
        <v>12419</v>
      </c>
      <c r="T6017" t="s">
        <v>12802</v>
      </c>
      <c r="U6017" t="s">
        <v>12802</v>
      </c>
      <c r="V6017" t="s">
        <v>12802</v>
      </c>
      <c r="W6017" t="s">
        <v>18746</v>
      </c>
      <c r="X6017">
        <v>3</v>
      </c>
      <c r="Y6017" t="s">
        <v>24951</v>
      </c>
      <c r="Z6017" t="s">
        <v>31335</v>
      </c>
      <c r="AA6017">
        <v>0.49879667926418692</v>
      </c>
      <c r="AB6017" t="str">
        <f>HYPERLINK("Melting_Curves/meltCurve_Q9UHN6_2_TMEM2.pdf", "Melting_Curves/meltCurve_Q9UHN6_2_TMEM2.pdf")</f>
        <v>Melting_Curves/meltCurve_Q9UHN6_2_TMEM2.pdf</v>
      </c>
    </row>
    <row r="6018" spans="1:28" x14ac:dyDescent="0.25">
      <c r="A6018" t="s">
        <v>6022</v>
      </c>
      <c r="B6018">
        <v>0.99542014353169495</v>
      </c>
      <c r="C6018">
        <v>0.98614527396486196</v>
      </c>
      <c r="D6018">
        <v>0.98684926427004804</v>
      </c>
      <c r="E6018">
        <v>0.75184363215519701</v>
      </c>
      <c r="F6018">
        <v>0.353679768145573</v>
      </c>
      <c r="G6018">
        <v>0.119284706483131</v>
      </c>
      <c r="H6018">
        <v>6.9386748716516303E-2</v>
      </c>
      <c r="I6018">
        <v>4.9875164067738099E-2</v>
      </c>
      <c r="J6018">
        <v>6.37337191908042E-2</v>
      </c>
      <c r="K6018">
        <v>5.9907558809883701E-2</v>
      </c>
      <c r="L6018">
        <v>1238.17847419024</v>
      </c>
      <c r="M6018">
        <v>25.477445211499699</v>
      </c>
      <c r="N6018">
        <v>48.814850157693897</v>
      </c>
      <c r="O6018">
        <v>48.302559341854099</v>
      </c>
      <c r="P6018">
        <v>-0.124841257138253</v>
      </c>
      <c r="Q6018">
        <v>5.3268185777306999E-2</v>
      </c>
      <c r="R6018">
        <v>0.99942249555822404</v>
      </c>
      <c r="S6018" t="s">
        <v>12420</v>
      </c>
      <c r="T6018" t="s">
        <v>12802</v>
      </c>
      <c r="U6018" t="s">
        <v>12802</v>
      </c>
      <c r="V6018" t="s">
        <v>12802</v>
      </c>
      <c r="W6018" t="s">
        <v>18747</v>
      </c>
      <c r="X6018">
        <v>14</v>
      </c>
      <c r="Y6018" t="s">
        <v>24952</v>
      </c>
      <c r="Z6018" t="s">
        <v>31336</v>
      </c>
      <c r="AA6018">
        <v>0.42714675456897522</v>
      </c>
      <c r="AB6018" t="str">
        <f>HYPERLINK("Melting_Curves/meltCurve_Q9UHP3_USP25.pdf", "Melting_Curves/meltCurve_Q9UHP3_USP25.pdf")</f>
        <v>Melting_Curves/meltCurve_Q9UHP3_USP25.pdf</v>
      </c>
    </row>
    <row r="6019" spans="1:28" x14ac:dyDescent="0.25">
      <c r="A6019" t="s">
        <v>6023</v>
      </c>
      <c r="B6019">
        <v>0.99542014353169495</v>
      </c>
      <c r="C6019">
        <v>0.99083867987533003</v>
      </c>
      <c r="D6019">
        <v>0.84916913765552404</v>
      </c>
      <c r="E6019">
        <v>0.77239923220178497</v>
      </c>
      <c r="F6019">
        <v>0.46461845228411203</v>
      </c>
      <c r="G6019">
        <v>0.19210366765518699</v>
      </c>
      <c r="H6019">
        <v>9.6252170244944299E-2</v>
      </c>
      <c r="I6019">
        <v>5.96648249782432E-2</v>
      </c>
      <c r="J6019">
        <v>6.7515256730549603E-2</v>
      </c>
      <c r="K6019">
        <v>6.1526273918195699E-2</v>
      </c>
      <c r="L6019">
        <v>845.83207059444999</v>
      </c>
      <c r="M6019">
        <v>17.146474522798901</v>
      </c>
      <c r="N6019">
        <v>49.529285752319403</v>
      </c>
      <c r="O6019">
        <v>48.673476105429003</v>
      </c>
      <c r="P6019">
        <v>-8.5135389094438796E-2</v>
      </c>
      <c r="Q6019">
        <v>3.3366815927288199E-2</v>
      </c>
      <c r="R6019">
        <v>0.99369054208760499</v>
      </c>
      <c r="S6019" t="s">
        <v>12421</v>
      </c>
      <c r="T6019" t="s">
        <v>12802</v>
      </c>
      <c r="U6019" t="s">
        <v>12802</v>
      </c>
      <c r="V6019" t="s">
        <v>12802</v>
      </c>
      <c r="W6019" t="s">
        <v>18748</v>
      </c>
      <c r="X6019">
        <v>9</v>
      </c>
      <c r="Y6019" t="s">
        <v>24953</v>
      </c>
      <c r="Z6019" t="s">
        <v>31337</v>
      </c>
      <c r="AA6019">
        <v>0.4472893125783925</v>
      </c>
      <c r="AB6019" t="str">
        <f>HYPERLINK("Melting_Curves/meltCurve_Q9UHQ1_NARF.pdf", "Melting_Curves/meltCurve_Q9UHQ1_NARF.pdf")</f>
        <v>Melting_Curves/meltCurve_Q9UHQ1_NARF.pdf</v>
      </c>
    </row>
    <row r="6020" spans="1:28" x14ac:dyDescent="0.25">
      <c r="A6020" t="s">
        <v>6024</v>
      </c>
      <c r="B6020">
        <v>0.99542014353169495</v>
      </c>
      <c r="C6020">
        <v>0.87823862626652904</v>
      </c>
      <c r="D6020">
        <v>0.976110188114646</v>
      </c>
      <c r="E6020">
        <v>0.76435536244244595</v>
      </c>
      <c r="F6020">
        <v>0.65708076515043301</v>
      </c>
      <c r="G6020">
        <v>0.35547096712445198</v>
      </c>
      <c r="H6020">
        <v>0.25823218983284602</v>
      </c>
      <c r="I6020">
        <v>0.207423989027397</v>
      </c>
      <c r="J6020">
        <v>0.22442376862048799</v>
      </c>
      <c r="K6020">
        <v>0.24317990239755899</v>
      </c>
      <c r="L6020">
        <v>798.621064293431</v>
      </c>
      <c r="M6020">
        <v>15.952319608963</v>
      </c>
      <c r="N6020">
        <v>51.610489566705603</v>
      </c>
      <c r="O6020">
        <v>49.296084786831798</v>
      </c>
      <c r="P6020">
        <v>-6.5527669264422203E-2</v>
      </c>
      <c r="Q6020">
        <v>0.19008587399885801</v>
      </c>
      <c r="R6020">
        <v>0.97561508640708094</v>
      </c>
      <c r="S6020" t="s">
        <v>12422</v>
      </c>
      <c r="T6020" t="s">
        <v>12802</v>
      </c>
      <c r="U6020" t="s">
        <v>12802</v>
      </c>
      <c r="V6020" t="s">
        <v>12802</v>
      </c>
      <c r="W6020" t="s">
        <v>18749</v>
      </c>
      <c r="X6020">
        <v>10</v>
      </c>
      <c r="Y6020" t="s">
        <v>24954</v>
      </c>
      <c r="Z6020" t="s">
        <v>31338</v>
      </c>
      <c r="AA6020">
        <v>0.5581780821708533</v>
      </c>
      <c r="AB6020" t="str">
        <f>HYPERLINK("Melting_Curves/meltCurve_Q9UHQ4_BCAP29.pdf", "Melting_Curves/meltCurve_Q9UHQ4_BCAP29.pdf")</f>
        <v>Melting_Curves/meltCurve_Q9UHQ4_BCAP29.pdf</v>
      </c>
    </row>
    <row r="6021" spans="1:28" x14ac:dyDescent="0.25">
      <c r="A6021" t="s">
        <v>6025</v>
      </c>
      <c r="B6021">
        <v>0.99542014353169495</v>
      </c>
      <c r="C6021">
        <v>0.89088316436955595</v>
      </c>
      <c r="D6021">
        <v>0.91080763665845899</v>
      </c>
      <c r="E6021">
        <v>0.81323898760483004</v>
      </c>
      <c r="F6021">
        <v>0.62975894426506596</v>
      </c>
      <c r="G6021">
        <v>0.442273271834139</v>
      </c>
      <c r="H6021">
        <v>0.25214560646016598</v>
      </c>
      <c r="I6021">
        <v>0.103705188048638</v>
      </c>
      <c r="J6021">
        <v>5.2558992295936503E-2</v>
      </c>
      <c r="K6021">
        <v>4.44452985410735E-2</v>
      </c>
      <c r="L6021">
        <v>656.78300126556098</v>
      </c>
      <c r="M6021">
        <v>12.5839296861847</v>
      </c>
      <c r="N6021">
        <v>52.192202087996201</v>
      </c>
      <c r="O6021">
        <v>50.92678789112</v>
      </c>
      <c r="P6021">
        <v>-6.1786994364903397E-2</v>
      </c>
      <c r="Q6021">
        <v>0</v>
      </c>
      <c r="R6021">
        <v>0.99027720499546301</v>
      </c>
      <c r="S6021" t="s">
        <v>12423</v>
      </c>
      <c r="T6021" t="s">
        <v>12802</v>
      </c>
      <c r="U6021" t="s">
        <v>12802</v>
      </c>
      <c r="V6021" t="s">
        <v>12802</v>
      </c>
      <c r="W6021" t="s">
        <v>18750</v>
      </c>
      <c r="X6021">
        <v>8</v>
      </c>
      <c r="Y6021" t="s">
        <v>24955</v>
      </c>
      <c r="Z6021" t="s">
        <v>31339</v>
      </c>
      <c r="AA6021">
        <v>0.52883495005659176</v>
      </c>
      <c r="AB6021" t="str">
        <f>HYPERLINK("Melting_Curves/meltCurve_Q9UHQ9_CYB5R1.pdf", "Melting_Curves/meltCurve_Q9UHQ9_CYB5R1.pdf")</f>
        <v>Melting_Curves/meltCurve_Q9UHQ9_CYB5R1.pdf</v>
      </c>
    </row>
    <row r="6022" spans="1:28" x14ac:dyDescent="0.25">
      <c r="A6022" t="s">
        <v>6026</v>
      </c>
      <c r="B6022">
        <v>0.99542014353169495</v>
      </c>
      <c r="C6022">
        <v>1.0387837069619801</v>
      </c>
      <c r="D6022">
        <v>1.04673113367283</v>
      </c>
      <c r="E6022">
        <v>0.96355309432954594</v>
      </c>
      <c r="F6022">
        <v>0.80048092698227702</v>
      </c>
      <c r="G6022">
        <v>0.53276078486493506</v>
      </c>
      <c r="H6022">
        <v>0.32001837695652802</v>
      </c>
      <c r="I6022">
        <v>0.19202090673681299</v>
      </c>
      <c r="J6022">
        <v>0.14075157387857001</v>
      </c>
      <c r="K6022">
        <v>0.110508413556539</v>
      </c>
      <c r="L6022">
        <v>1004.49003804362</v>
      </c>
      <c r="M6022">
        <v>18.701601886221599</v>
      </c>
      <c r="N6022">
        <v>54.353155573673398</v>
      </c>
      <c r="O6022">
        <v>53.108617479613002</v>
      </c>
      <c r="P6022">
        <v>-7.9317294853573597E-2</v>
      </c>
      <c r="Q6022">
        <v>9.9060462350367404E-2</v>
      </c>
      <c r="R6022">
        <v>0.99626859860725803</v>
      </c>
      <c r="S6022" t="s">
        <v>12424</v>
      </c>
      <c r="T6022" t="s">
        <v>12802</v>
      </c>
      <c r="U6022" t="s">
        <v>12802</v>
      </c>
      <c r="V6022" t="s">
        <v>12802</v>
      </c>
      <c r="W6022" t="s">
        <v>18751</v>
      </c>
      <c r="X6022">
        <v>16</v>
      </c>
      <c r="Y6022" t="s">
        <v>24956</v>
      </c>
      <c r="Z6022" t="s">
        <v>31340</v>
      </c>
      <c r="AA6022">
        <v>0.61296408974050576</v>
      </c>
      <c r="AB6022" t="str">
        <f>HYPERLINK("Melting_Curves/meltCurve_Q9UHR4_BAIAP2L1.pdf", "Melting_Curves/meltCurve_Q9UHR4_BAIAP2L1.pdf")</f>
        <v>Melting_Curves/meltCurve_Q9UHR4_BAIAP2L1.pdf</v>
      </c>
    </row>
    <row r="6023" spans="1:28" x14ac:dyDescent="0.25">
      <c r="A6023" t="s">
        <v>6027</v>
      </c>
      <c r="B6023">
        <v>0.99542014353169495</v>
      </c>
      <c r="C6023">
        <v>0.927976208441747</v>
      </c>
      <c r="D6023">
        <v>0.90260075907730097</v>
      </c>
      <c r="E6023">
        <v>0.45450138060784001</v>
      </c>
      <c r="F6023">
        <v>0.25343497121821001</v>
      </c>
      <c r="G6023">
        <v>0.15228921209264801</v>
      </c>
      <c r="H6023">
        <v>9.4524117399800794E-2</v>
      </c>
      <c r="I6023">
        <v>5.5045768423972102E-2</v>
      </c>
      <c r="J6023">
        <v>4.3851381168363603E-2</v>
      </c>
      <c r="K6023">
        <v>2.72936462686959E-2</v>
      </c>
      <c r="L6023">
        <v>912.39885746904497</v>
      </c>
      <c r="M6023">
        <v>19.6509108900078</v>
      </c>
      <c r="N6023">
        <v>46.705628076940798</v>
      </c>
      <c r="O6023">
        <v>45.957542275216802</v>
      </c>
      <c r="P6023">
        <v>-0.101055402491788</v>
      </c>
      <c r="Q6023">
        <v>5.4680542523843099E-2</v>
      </c>
      <c r="R6023">
        <v>0.99160918300405299</v>
      </c>
      <c r="S6023" t="s">
        <v>12425</v>
      </c>
      <c r="T6023" t="s">
        <v>12802</v>
      </c>
      <c r="U6023" t="s">
        <v>12802</v>
      </c>
      <c r="V6023" t="s">
        <v>12802</v>
      </c>
      <c r="W6023" t="s">
        <v>18752</v>
      </c>
      <c r="X6023">
        <v>3</v>
      </c>
      <c r="Y6023" t="s">
        <v>24957</v>
      </c>
      <c r="Z6023" t="s">
        <v>31341</v>
      </c>
      <c r="AA6023">
        <v>0.3646388981742511</v>
      </c>
      <c r="AB6023" t="str">
        <f>HYPERLINK("Melting_Curves/meltCurve_Q9UHR6_ZNHIT2.pdf", "Melting_Curves/meltCurve_Q9UHR6_ZNHIT2.pdf")</f>
        <v>Melting_Curves/meltCurve_Q9UHR6_ZNHIT2.pdf</v>
      </c>
    </row>
    <row r="6024" spans="1:28" x14ac:dyDescent="0.25">
      <c r="A6024" t="s">
        <v>6028</v>
      </c>
      <c r="B6024">
        <v>0.99542014353169495</v>
      </c>
      <c r="C6024">
        <v>1.04452511462093</v>
      </c>
      <c r="D6024">
        <v>1.02379463952882</v>
      </c>
      <c r="E6024">
        <v>0.91941129430691604</v>
      </c>
      <c r="F6024">
        <v>0.75626044717877805</v>
      </c>
      <c r="G6024">
        <v>0.63122485965770903</v>
      </c>
      <c r="H6024">
        <v>0.45917145238831297</v>
      </c>
      <c r="I6024">
        <v>0.31798015389747902</v>
      </c>
      <c r="J6024">
        <v>0.33732459455928998</v>
      </c>
      <c r="K6024">
        <v>0.40070652377354798</v>
      </c>
      <c r="L6024">
        <v>907.771143214267</v>
      </c>
      <c r="M6024">
        <v>17.318369619827301</v>
      </c>
      <c r="N6024">
        <v>55.871191965149798</v>
      </c>
      <c r="O6024">
        <v>51.732746478155903</v>
      </c>
      <c r="P6024">
        <v>-5.6190978624605203E-2</v>
      </c>
      <c r="Q6024">
        <v>0.32863264028425698</v>
      </c>
      <c r="R6024">
        <v>0.98192422871056395</v>
      </c>
      <c r="S6024" t="s">
        <v>12426</v>
      </c>
      <c r="T6024" t="s">
        <v>12802</v>
      </c>
      <c r="U6024" t="s">
        <v>12802</v>
      </c>
      <c r="V6024" t="s">
        <v>12802</v>
      </c>
      <c r="W6024" t="s">
        <v>18753</v>
      </c>
      <c r="X6024">
        <v>14</v>
      </c>
      <c r="Y6024" t="s">
        <v>24958</v>
      </c>
      <c r="Z6024" t="s">
        <v>31342</v>
      </c>
      <c r="AA6024">
        <v>0.68417884884036972</v>
      </c>
      <c r="AB6024" t="str">
        <f>HYPERLINK("Melting_Curves/meltCurve_Q9UHV9_PFDN2.pdf", "Melting_Curves/meltCurve_Q9UHV9_PFDN2.pdf")</f>
        <v>Melting_Curves/meltCurve_Q9UHV9_PFDN2.pdf</v>
      </c>
    </row>
    <row r="6025" spans="1:28" x14ac:dyDescent="0.25">
      <c r="A6025" t="s">
        <v>6029</v>
      </c>
      <c r="B6025">
        <v>0.99542014353169495</v>
      </c>
      <c r="C6025">
        <v>0.99421551382881701</v>
      </c>
      <c r="D6025">
        <v>0.97500879801183105</v>
      </c>
      <c r="E6025">
        <v>0.94001715615234005</v>
      </c>
      <c r="F6025">
        <v>0.87860285224424395</v>
      </c>
      <c r="G6025">
        <v>0.75417303604192198</v>
      </c>
      <c r="H6025">
        <v>0.65282508848180398</v>
      </c>
      <c r="I6025">
        <v>0.69896061705715296</v>
      </c>
      <c r="J6025">
        <v>0.99571762548408604</v>
      </c>
      <c r="K6025">
        <v>1.1235331452207999</v>
      </c>
      <c r="L6025">
        <v>1817.17905674088</v>
      </c>
      <c r="M6025">
        <v>38.582952222689201</v>
      </c>
      <c r="O6025">
        <v>46.971993495057902</v>
      </c>
      <c r="P6025">
        <v>-3.1187751873223101E-2</v>
      </c>
      <c r="Q6025">
        <v>0.848124918075436</v>
      </c>
      <c r="R6025">
        <v>0.190793897272723</v>
      </c>
      <c r="S6025" t="s">
        <v>12427</v>
      </c>
      <c r="T6025" t="s">
        <v>12802</v>
      </c>
      <c r="U6025" t="s">
        <v>12802</v>
      </c>
      <c r="V6025" t="s">
        <v>12802</v>
      </c>
      <c r="W6025" t="s">
        <v>18754</v>
      </c>
      <c r="X6025">
        <v>6</v>
      </c>
      <c r="Y6025" t="s">
        <v>24959</v>
      </c>
      <c r="Z6025" t="s">
        <v>31343</v>
      </c>
      <c r="AA6025">
        <v>0.89977784774130432</v>
      </c>
      <c r="AB6025" t="str">
        <f>HYPERLINK("Melting_Curves/meltCurve_Q9UHW5_GPN3.pdf", "Melting_Curves/meltCurve_Q9UHW5_GPN3.pdf")</f>
        <v>Melting_Curves/meltCurve_Q9UHW5_GPN3.pdf</v>
      </c>
    </row>
    <row r="6026" spans="1:28" x14ac:dyDescent="0.25">
      <c r="A6026" t="s">
        <v>6030</v>
      </c>
      <c r="B6026">
        <v>0.99542014353169495</v>
      </c>
      <c r="C6026">
        <v>0.95394148213257202</v>
      </c>
      <c r="D6026">
        <v>0.91405103324350301</v>
      </c>
      <c r="E6026">
        <v>0.72925205916531399</v>
      </c>
      <c r="F6026">
        <v>0.28902971849841602</v>
      </c>
      <c r="G6026">
        <v>0.10048196634279399</v>
      </c>
      <c r="H6026">
        <v>5.9015849902940801E-2</v>
      </c>
      <c r="I6026">
        <v>3.8824582499995201E-2</v>
      </c>
      <c r="J6026">
        <v>3.9934653043369697E-2</v>
      </c>
      <c r="K6026">
        <v>3.7824160090186097E-2</v>
      </c>
      <c r="L6026">
        <v>1170.4907655305301</v>
      </c>
      <c r="M6026">
        <v>24.284146406214798</v>
      </c>
      <c r="N6026">
        <v>48.342238573891699</v>
      </c>
      <c r="O6026">
        <v>47.876505388755902</v>
      </c>
      <c r="P6026">
        <v>-0.122429803980556</v>
      </c>
      <c r="Q6026">
        <v>3.4526870508466999E-2</v>
      </c>
      <c r="R6026">
        <v>0.99776197447501902</v>
      </c>
      <c r="S6026" t="s">
        <v>12428</v>
      </c>
      <c r="T6026" t="s">
        <v>12802</v>
      </c>
      <c r="U6026" t="s">
        <v>12802</v>
      </c>
      <c r="V6026" t="s">
        <v>12802</v>
      </c>
      <c r="W6026" t="s">
        <v>18755</v>
      </c>
      <c r="X6026">
        <v>30</v>
      </c>
      <c r="Y6026" t="s">
        <v>24960</v>
      </c>
      <c r="Z6026" t="s">
        <v>31344</v>
      </c>
      <c r="AA6026">
        <v>0.40369999116422878</v>
      </c>
      <c r="AB6026" t="str">
        <f>HYPERLINK("Melting_Curves/meltCurve_Q9UHX1_4_PUF60.pdf", "Melting_Curves/meltCurve_Q9UHX1_4_PUF60.pdf")</f>
        <v>Melting_Curves/meltCurve_Q9UHX1_4_PUF60.pdf</v>
      </c>
    </row>
    <row r="6027" spans="1:28" x14ac:dyDescent="0.25">
      <c r="A6027" t="s">
        <v>6031</v>
      </c>
      <c r="B6027">
        <v>0.99542014353169495</v>
      </c>
      <c r="C6027">
        <v>1.1118902425194499</v>
      </c>
      <c r="D6027">
        <v>0.953716506611615</v>
      </c>
      <c r="E6027">
        <v>1.0963193868265699</v>
      </c>
      <c r="F6027">
        <v>0.81527761928999298</v>
      </c>
      <c r="G6027">
        <v>0.443606430551367</v>
      </c>
      <c r="H6027">
        <v>0.60689215156494902</v>
      </c>
      <c r="I6027">
        <v>0.69991465281944099</v>
      </c>
      <c r="J6027">
        <v>0.98660240221995599</v>
      </c>
      <c r="K6027">
        <v>1.0069116249615899</v>
      </c>
      <c r="L6027">
        <v>12498.7071231476</v>
      </c>
      <c r="M6027">
        <v>250</v>
      </c>
      <c r="O6027">
        <v>49.991653272648101</v>
      </c>
      <c r="P6027">
        <v>-0.31407075957785102</v>
      </c>
      <c r="Q6027">
        <v>0.74878545632071802</v>
      </c>
      <c r="R6027">
        <v>0.41305271413966499</v>
      </c>
      <c r="S6027" t="s">
        <v>12429</v>
      </c>
      <c r="T6027" t="s">
        <v>12802</v>
      </c>
      <c r="U6027" t="s">
        <v>12802</v>
      </c>
      <c r="V6027" t="s">
        <v>12802</v>
      </c>
      <c r="W6027" t="s">
        <v>18756</v>
      </c>
      <c r="X6027">
        <v>3</v>
      </c>
      <c r="Y6027" t="s">
        <v>24961</v>
      </c>
      <c r="Z6027" t="s">
        <v>31345</v>
      </c>
      <c r="AA6027">
        <v>0.85762382825332339</v>
      </c>
      <c r="AB6027" t="str">
        <f>HYPERLINK("Melting_Curves/meltCurve_Q9UHX3_5_EMR2.pdf", "Melting_Curves/meltCurve_Q9UHX3_5_EMR2.pdf")</f>
        <v>Melting_Curves/meltCurve_Q9UHX3_5_EMR2.pdf</v>
      </c>
    </row>
    <row r="6028" spans="1:28" x14ac:dyDescent="0.25">
      <c r="A6028" t="s">
        <v>6032</v>
      </c>
      <c r="B6028">
        <v>0.99542014353169495</v>
      </c>
      <c r="C6028">
        <v>1.08403425781554</v>
      </c>
      <c r="D6028">
        <v>1.01766979311753</v>
      </c>
      <c r="E6028">
        <v>0.93771340860040198</v>
      </c>
      <c r="F6028">
        <v>0.63008433038709399</v>
      </c>
      <c r="G6028">
        <v>0.30069916658378298</v>
      </c>
      <c r="H6028">
        <v>0.12834240602417099</v>
      </c>
      <c r="I6028">
        <v>8.9009487005119903E-2</v>
      </c>
      <c r="J6028">
        <v>7.5175182950486502E-2</v>
      </c>
      <c r="K6028">
        <v>9.1126864737803598E-2</v>
      </c>
      <c r="L6028">
        <v>1280.44830006345</v>
      </c>
      <c r="M6028">
        <v>25.039687768198199</v>
      </c>
      <c r="N6028">
        <v>51.484944348383699</v>
      </c>
      <c r="O6028">
        <v>50.813940451635197</v>
      </c>
      <c r="P6028">
        <v>-0.113598951073263</v>
      </c>
      <c r="Q6028">
        <v>7.7890550568090605E-2</v>
      </c>
      <c r="R6028">
        <v>0.99500112722859402</v>
      </c>
      <c r="S6028" t="s">
        <v>12430</v>
      </c>
      <c r="T6028" t="s">
        <v>12802</v>
      </c>
      <c r="U6028" t="s">
        <v>12802</v>
      </c>
      <c r="V6028" t="s">
        <v>12802</v>
      </c>
      <c r="W6028" t="s">
        <v>18757</v>
      </c>
      <c r="X6028">
        <v>8</v>
      </c>
      <c r="Y6028" t="s">
        <v>24962</v>
      </c>
      <c r="Z6028" t="s">
        <v>31346</v>
      </c>
      <c r="AA6028">
        <v>0.52053033652849756</v>
      </c>
      <c r="AB6028" t="str">
        <f>HYPERLINK("Melting_Curves/meltCurve_Q9UHY1_NRBP1.pdf", "Melting_Curves/meltCurve_Q9UHY1_NRBP1.pdf")</f>
        <v>Melting_Curves/meltCurve_Q9UHY1_NRBP1.pdf</v>
      </c>
    </row>
    <row r="6029" spans="1:28" x14ac:dyDescent="0.25">
      <c r="A6029" t="s">
        <v>6033</v>
      </c>
      <c r="B6029">
        <v>0.99542014353169495</v>
      </c>
      <c r="C6029">
        <v>0.994163115034706</v>
      </c>
      <c r="D6029">
        <v>0.92312445252845299</v>
      </c>
      <c r="E6029">
        <v>0.89381167114567395</v>
      </c>
      <c r="F6029">
        <v>0.50193032475319699</v>
      </c>
      <c r="G6029">
        <v>0.30194947630957403</v>
      </c>
      <c r="H6029">
        <v>0.38955751465813498</v>
      </c>
      <c r="I6029">
        <v>0.22258094296047501</v>
      </c>
      <c r="J6029">
        <v>0.105706019453401</v>
      </c>
      <c r="K6029">
        <v>8.4529946208742199E-2</v>
      </c>
      <c r="L6029">
        <v>761.17534293217204</v>
      </c>
      <c r="M6029">
        <v>15.087774030995099</v>
      </c>
      <c r="N6029">
        <v>51.387762526327997</v>
      </c>
      <c r="O6029">
        <v>49.5884458371386</v>
      </c>
      <c r="P6029">
        <v>-6.6916284568805606E-2</v>
      </c>
      <c r="Q6029">
        <v>0.120361444516578</v>
      </c>
      <c r="R6029">
        <v>0.96245133849488296</v>
      </c>
      <c r="S6029" t="s">
        <v>12431</v>
      </c>
      <c r="T6029" t="s">
        <v>12802</v>
      </c>
      <c r="U6029" t="s">
        <v>12802</v>
      </c>
      <c r="V6029" t="s">
        <v>12802</v>
      </c>
      <c r="W6029" t="s">
        <v>18758</v>
      </c>
      <c r="X6029">
        <v>11</v>
      </c>
      <c r="Y6029" t="s">
        <v>24963</v>
      </c>
      <c r="Z6029" t="s">
        <v>31347</v>
      </c>
      <c r="AA6029">
        <v>0.53268369622493073</v>
      </c>
      <c r="AB6029" t="str">
        <f>HYPERLINK("Melting_Curves/meltCurve_Q9UHY7_ENOPH1.pdf", "Melting_Curves/meltCurve_Q9UHY7_ENOPH1.pdf")</f>
        <v>Melting_Curves/meltCurve_Q9UHY7_ENOPH1.pdf</v>
      </c>
    </row>
    <row r="6030" spans="1:28" x14ac:dyDescent="0.25">
      <c r="A6030" t="s">
        <v>6034</v>
      </c>
      <c r="B6030">
        <v>0.99542014353169495</v>
      </c>
      <c r="C6030">
        <v>0.64547954281639297</v>
      </c>
      <c r="D6030">
        <v>0.76038592702684205</v>
      </c>
      <c r="E6030">
        <v>0.43561170045388797</v>
      </c>
      <c r="F6030">
        <v>0.125754214469641</v>
      </c>
      <c r="G6030">
        <v>0.105011611567551</v>
      </c>
      <c r="H6030">
        <v>4.3917822052687301E-2</v>
      </c>
      <c r="I6030">
        <v>1.7810204985543601E-2</v>
      </c>
      <c r="J6030">
        <v>3.9261752665955697E-2</v>
      </c>
      <c r="K6030">
        <v>2.73807963878492E-2</v>
      </c>
      <c r="L6030">
        <v>570.20327468435596</v>
      </c>
      <c r="M6030">
        <v>12.682131447251599</v>
      </c>
      <c r="N6030">
        <v>44.961155302015797</v>
      </c>
      <c r="O6030">
        <v>43.887214417729297</v>
      </c>
      <c r="P6030">
        <v>-7.2256798318164298E-2</v>
      </c>
      <c r="Q6030">
        <v>0</v>
      </c>
      <c r="R6030">
        <v>0.94685757014655203</v>
      </c>
      <c r="S6030" t="s">
        <v>12432</v>
      </c>
      <c r="T6030" t="s">
        <v>12802</v>
      </c>
      <c r="U6030" t="s">
        <v>12802</v>
      </c>
      <c r="V6030" t="s">
        <v>12802</v>
      </c>
      <c r="W6030" t="s">
        <v>18759</v>
      </c>
      <c r="X6030">
        <v>1</v>
      </c>
      <c r="Y6030" t="s">
        <v>24964</v>
      </c>
      <c r="Z6030" t="s">
        <v>31348</v>
      </c>
      <c r="AA6030">
        <v>0.29831056733812178</v>
      </c>
      <c r="AB6030" t="str">
        <f>HYPERLINK("Melting_Curves/meltCurve_Q9UI09_NDUFA12.pdf", "Melting_Curves/meltCurve_Q9UI09_NDUFA12.pdf")</f>
        <v>Melting_Curves/meltCurve_Q9UI09_NDUFA12.pdf</v>
      </c>
    </row>
    <row r="6031" spans="1:28" x14ac:dyDescent="0.25">
      <c r="A6031" t="s">
        <v>6035</v>
      </c>
      <c r="B6031">
        <v>0.99542014353169495</v>
      </c>
      <c r="C6031">
        <v>0.89531784721577301</v>
      </c>
      <c r="D6031">
        <v>0.93405735746207597</v>
      </c>
      <c r="E6031">
        <v>0.71083036289724599</v>
      </c>
      <c r="F6031">
        <v>0.51747187093201097</v>
      </c>
      <c r="G6031">
        <v>0.21852505008119799</v>
      </c>
      <c r="H6031">
        <v>0.10594617139977899</v>
      </c>
      <c r="I6031">
        <v>5.9747557939028202E-2</v>
      </c>
      <c r="J6031">
        <v>6.13897081105549E-2</v>
      </c>
      <c r="K6031">
        <v>7.5294008946937496E-2</v>
      </c>
      <c r="L6031">
        <v>766.76920002716395</v>
      </c>
      <c r="M6031">
        <v>15.469544535161701</v>
      </c>
      <c r="N6031">
        <v>49.735359325889</v>
      </c>
      <c r="O6031">
        <v>48.760238174085998</v>
      </c>
      <c r="P6031">
        <v>-7.7290818800962099E-2</v>
      </c>
      <c r="Q6031">
        <v>2.5599940308361602E-2</v>
      </c>
      <c r="R6031">
        <v>0.990634466146607</v>
      </c>
      <c r="S6031" t="s">
        <v>12433</v>
      </c>
      <c r="T6031" t="s">
        <v>12802</v>
      </c>
      <c r="U6031" t="s">
        <v>12802</v>
      </c>
      <c r="V6031" t="s">
        <v>12802</v>
      </c>
      <c r="W6031" t="s">
        <v>18760</v>
      </c>
      <c r="X6031">
        <v>19</v>
      </c>
      <c r="Y6031" t="s">
        <v>24965</v>
      </c>
      <c r="Z6031" t="s">
        <v>31349</v>
      </c>
      <c r="AA6031">
        <v>0.45345320034905279</v>
      </c>
      <c r="AB6031" t="str">
        <f>HYPERLINK("Melting_Curves/meltCurve_Q9UI10_EIF2B4.pdf", "Melting_Curves/meltCurve_Q9UI10_EIF2B4.pdf")</f>
        <v>Melting_Curves/meltCurve_Q9UI10_EIF2B4.pdf</v>
      </c>
    </row>
    <row r="6032" spans="1:28" x14ac:dyDescent="0.25">
      <c r="A6032" t="s">
        <v>6036</v>
      </c>
      <c r="B6032">
        <v>0.99542014353169495</v>
      </c>
      <c r="C6032">
        <v>0.84892191298178299</v>
      </c>
      <c r="D6032">
        <v>0.91061361051013601</v>
      </c>
      <c r="E6032">
        <v>0.69374019380886698</v>
      </c>
      <c r="F6032">
        <v>0.46152580255544001</v>
      </c>
      <c r="G6032">
        <v>0.197727809397759</v>
      </c>
      <c r="H6032">
        <v>1.6447781846386501E-2</v>
      </c>
      <c r="I6032">
        <v>1.6874795501546198E-2</v>
      </c>
      <c r="J6032">
        <v>0</v>
      </c>
      <c r="K6032">
        <v>0</v>
      </c>
      <c r="L6032">
        <v>802.61511759253699</v>
      </c>
      <c r="M6032">
        <v>16.3431167535438</v>
      </c>
      <c r="N6032">
        <v>49.110290931138898</v>
      </c>
      <c r="O6032">
        <v>48.392664974069497</v>
      </c>
      <c r="P6032">
        <v>-8.4435815645730897E-2</v>
      </c>
      <c r="Q6032">
        <v>0</v>
      </c>
      <c r="R6032">
        <v>0.98386350328775796</v>
      </c>
      <c r="S6032" t="s">
        <v>12434</v>
      </c>
      <c r="T6032" t="s">
        <v>12802</v>
      </c>
      <c r="U6032" t="s">
        <v>12802</v>
      </c>
      <c r="V6032" t="s">
        <v>12802</v>
      </c>
      <c r="W6032" t="s">
        <v>18761</v>
      </c>
      <c r="X6032">
        <v>19</v>
      </c>
      <c r="Y6032" t="s">
        <v>24965</v>
      </c>
      <c r="Z6032" t="s">
        <v>31350</v>
      </c>
      <c r="AA6032">
        <v>0.42237675528694152</v>
      </c>
      <c r="AB6032" t="str">
        <f>HYPERLINK("Melting_Curves/meltCurve_Q9UI10_3_EIF2B4.pdf", "Melting_Curves/meltCurve_Q9UI10_3_EIF2B4.pdf")</f>
        <v>Melting_Curves/meltCurve_Q9UI10_3_EIF2B4.pdf</v>
      </c>
    </row>
    <row r="6033" spans="1:28" x14ac:dyDescent="0.25">
      <c r="A6033" t="s">
        <v>6037</v>
      </c>
      <c r="B6033">
        <v>0.99542014353169495</v>
      </c>
      <c r="C6033">
        <v>0.92449817753935504</v>
      </c>
      <c r="D6033">
        <v>1.01779925052142</v>
      </c>
      <c r="E6033">
        <v>0.74165743598109601</v>
      </c>
      <c r="F6033">
        <v>0.51779063793269797</v>
      </c>
      <c r="G6033">
        <v>0.195983437379979</v>
      </c>
      <c r="H6033">
        <v>8.1983013734296395E-2</v>
      </c>
      <c r="I6033">
        <v>4.3350322500697501E-2</v>
      </c>
      <c r="J6033">
        <v>4.9717846188023301E-2</v>
      </c>
      <c r="K6033">
        <v>4.9505904277510997E-2</v>
      </c>
      <c r="L6033">
        <v>948.985590446944</v>
      </c>
      <c r="M6033">
        <v>19.057190610172501</v>
      </c>
      <c r="N6033">
        <v>49.934566938266002</v>
      </c>
      <c r="O6033">
        <v>49.258136866091498</v>
      </c>
      <c r="P6033">
        <v>-9.4246075322016898E-2</v>
      </c>
      <c r="Q6033">
        <v>2.56272418926126E-2</v>
      </c>
      <c r="R6033">
        <v>0.99133560312601099</v>
      </c>
      <c r="S6033" t="s">
        <v>12435</v>
      </c>
      <c r="T6033" t="s">
        <v>12802</v>
      </c>
      <c r="U6033" t="s">
        <v>12802</v>
      </c>
      <c r="V6033" t="s">
        <v>12802</v>
      </c>
      <c r="W6033" t="s">
        <v>18762</v>
      </c>
      <c r="X6033">
        <v>14</v>
      </c>
      <c r="Y6033" t="s">
        <v>24966</v>
      </c>
      <c r="Z6033" t="s">
        <v>31351</v>
      </c>
      <c r="AA6033">
        <v>0.45521896980360071</v>
      </c>
      <c r="AB6033" t="str">
        <f>HYPERLINK("Melting_Curves/meltCurve_Q9UI12_2_ATP6V1H.pdf", "Melting_Curves/meltCurve_Q9UI12_2_ATP6V1H.pdf")</f>
        <v>Melting_Curves/meltCurve_Q9UI12_2_ATP6V1H.pdf</v>
      </c>
    </row>
    <row r="6034" spans="1:28" x14ac:dyDescent="0.25">
      <c r="A6034" t="s">
        <v>6038</v>
      </c>
      <c r="B6034">
        <v>0.99542014353169495</v>
      </c>
      <c r="C6034">
        <v>1.03400778529476</v>
      </c>
      <c r="D6034">
        <v>1.07698987124704</v>
      </c>
      <c r="E6034">
        <v>0.87781094596503895</v>
      </c>
      <c r="F6034">
        <v>0.60881197336332504</v>
      </c>
      <c r="G6034">
        <v>0.162958980102416</v>
      </c>
      <c r="H6034">
        <v>0.109694690170601</v>
      </c>
      <c r="I6034">
        <v>7.8618023007255594E-2</v>
      </c>
      <c r="J6034">
        <v>0.103088719060901</v>
      </c>
      <c r="K6034">
        <v>6.8751656872417702E-2</v>
      </c>
      <c r="L6034">
        <v>1564.9519552056399</v>
      </c>
      <c r="M6034">
        <v>30.993367681744701</v>
      </c>
      <c r="N6034">
        <v>50.770410266023298</v>
      </c>
      <c r="O6034">
        <v>50.284312597809397</v>
      </c>
      <c r="P6034">
        <v>-0.14209376025171</v>
      </c>
      <c r="Q6034">
        <v>7.7861272056252498E-2</v>
      </c>
      <c r="R6034">
        <v>0.99230544821446598</v>
      </c>
      <c r="S6034" t="s">
        <v>12436</v>
      </c>
      <c r="T6034" t="s">
        <v>12802</v>
      </c>
      <c r="U6034" t="s">
        <v>12802</v>
      </c>
      <c r="V6034" t="s">
        <v>12802</v>
      </c>
      <c r="W6034" t="s">
        <v>18763</v>
      </c>
      <c r="X6034">
        <v>11</v>
      </c>
      <c r="Y6034" t="s">
        <v>24967</v>
      </c>
      <c r="Z6034" t="s">
        <v>31352</v>
      </c>
      <c r="AA6034">
        <v>0.49796054209447582</v>
      </c>
      <c r="AB6034" t="str">
        <f>HYPERLINK("Melting_Curves/meltCurve_Q9UI26_IPO11.pdf", "Melting_Curves/meltCurve_Q9UI26_IPO11.pdf")</f>
        <v>Melting_Curves/meltCurve_Q9UI26_IPO11.pdf</v>
      </c>
    </row>
    <row r="6035" spans="1:28" x14ac:dyDescent="0.25">
      <c r="A6035" t="s">
        <v>6039</v>
      </c>
      <c r="B6035">
        <v>0.99542014353169495</v>
      </c>
      <c r="C6035">
        <v>1.01022133610544</v>
      </c>
      <c r="D6035">
        <v>0.80179107307543196</v>
      </c>
      <c r="E6035">
        <v>0.749402738514929</v>
      </c>
      <c r="F6035">
        <v>0.60372660552544799</v>
      </c>
      <c r="G6035">
        <v>0.54625352496729596</v>
      </c>
      <c r="H6035">
        <v>0.25345360616194401</v>
      </c>
      <c r="I6035">
        <v>0.20130077287307499</v>
      </c>
      <c r="J6035">
        <v>0.29978558930357102</v>
      </c>
      <c r="K6035">
        <v>0.32798299040837098</v>
      </c>
      <c r="L6035">
        <v>562.093734696551</v>
      </c>
      <c r="M6035">
        <v>11.309300842931201</v>
      </c>
      <c r="N6035">
        <v>52.266510631891499</v>
      </c>
      <c r="O6035">
        <v>48.223977759838696</v>
      </c>
      <c r="P6035">
        <v>-4.6158411693666003E-2</v>
      </c>
      <c r="Q6035">
        <v>0.21294287785990801</v>
      </c>
      <c r="R6035">
        <v>0.94367140283056306</v>
      </c>
      <c r="S6035" t="s">
        <v>12437</v>
      </c>
      <c r="T6035" t="s">
        <v>12802</v>
      </c>
      <c r="U6035" t="s">
        <v>12802</v>
      </c>
      <c r="V6035" t="s">
        <v>12802</v>
      </c>
      <c r="W6035" t="s">
        <v>18764</v>
      </c>
      <c r="X6035">
        <v>7</v>
      </c>
      <c r="Y6035" t="s">
        <v>24968</v>
      </c>
      <c r="Z6035" t="s">
        <v>31353</v>
      </c>
      <c r="AA6035">
        <v>0.57026155982541193</v>
      </c>
      <c r="AB6035" t="str">
        <f>HYPERLINK("Melting_Curves/meltCurve_Q9UI30_TRMT112.pdf", "Melting_Curves/meltCurve_Q9UI30_TRMT112.pdf")</f>
        <v>Melting_Curves/meltCurve_Q9UI30_TRMT112.pdf</v>
      </c>
    </row>
    <row r="6036" spans="1:28" x14ac:dyDescent="0.25">
      <c r="A6036" t="s">
        <v>6040</v>
      </c>
      <c r="B6036">
        <v>0.99542014353169495</v>
      </c>
      <c r="C6036">
        <v>0.99699222051008196</v>
      </c>
      <c r="D6036">
        <v>0.86803899708572296</v>
      </c>
      <c r="E6036">
        <v>0.94429699420328905</v>
      </c>
      <c r="F6036">
        <v>0.59964359486593799</v>
      </c>
      <c r="G6036">
        <v>0.34448839403363002</v>
      </c>
      <c r="H6036">
        <v>0.21217623295309501</v>
      </c>
      <c r="I6036">
        <v>0.21065886467915501</v>
      </c>
      <c r="J6036">
        <v>0.20357725821348399</v>
      </c>
      <c r="K6036">
        <v>0.23188519071236199</v>
      </c>
      <c r="L6036">
        <v>1310.1555185577099</v>
      </c>
      <c r="M6036">
        <v>26.055308466649301</v>
      </c>
      <c r="N6036">
        <v>51.334091561438598</v>
      </c>
      <c r="O6036">
        <v>49.990233262972197</v>
      </c>
      <c r="P6036">
        <v>-0.103378802751159</v>
      </c>
      <c r="Q6036">
        <v>0.20663053626133299</v>
      </c>
      <c r="R6036">
        <v>0.98449602111368695</v>
      </c>
      <c r="S6036" t="s">
        <v>12438</v>
      </c>
      <c r="T6036" t="s">
        <v>12802</v>
      </c>
      <c r="U6036" t="s">
        <v>12802</v>
      </c>
      <c r="V6036" t="s">
        <v>12802</v>
      </c>
      <c r="W6036" t="s">
        <v>18765</v>
      </c>
      <c r="X6036">
        <v>4</v>
      </c>
      <c r="Y6036" t="s">
        <v>24969</v>
      </c>
      <c r="Z6036" t="s">
        <v>31354</v>
      </c>
      <c r="AA6036">
        <v>0.56435631316882051</v>
      </c>
      <c r="AB6036" t="str">
        <f>HYPERLINK("Melting_Curves/meltCurve_Q9UI43_FTSJ2.pdf", "Melting_Curves/meltCurve_Q9UI43_FTSJ2.pdf")</f>
        <v>Melting_Curves/meltCurve_Q9UI43_FTSJ2.pdf</v>
      </c>
    </row>
    <row r="6037" spans="1:28" x14ac:dyDescent="0.25">
      <c r="A6037" t="s">
        <v>6041</v>
      </c>
      <c r="B6037">
        <v>0.99542014353169495</v>
      </c>
      <c r="C6037">
        <v>1.0509796171637</v>
      </c>
      <c r="D6037">
        <v>0.97561070885637702</v>
      </c>
      <c r="E6037">
        <v>0.98215508750587499</v>
      </c>
      <c r="F6037">
        <v>0.66135501811168396</v>
      </c>
      <c r="G6037">
        <v>0.164076694594738</v>
      </c>
      <c r="H6037">
        <v>6.8102423579436897E-2</v>
      </c>
      <c r="I6037">
        <v>4.9472956647640301E-2</v>
      </c>
      <c r="J6037">
        <v>5.7651615979343901E-2</v>
      </c>
      <c r="K6037">
        <v>6.2425316729027E-2</v>
      </c>
      <c r="L6037">
        <v>1989.63054361544</v>
      </c>
      <c r="M6037">
        <v>39.047960566969401</v>
      </c>
      <c r="N6037">
        <v>51.109929621467501</v>
      </c>
      <c r="O6037">
        <v>50.820418732908003</v>
      </c>
      <c r="P6037">
        <v>-0.18126974059942</v>
      </c>
      <c r="Q6037">
        <v>5.6321220228978501E-2</v>
      </c>
      <c r="R6037">
        <v>0.99826685825760397</v>
      </c>
      <c r="S6037" t="s">
        <v>12439</v>
      </c>
      <c r="T6037" t="s">
        <v>12802</v>
      </c>
      <c r="U6037" t="s">
        <v>12802</v>
      </c>
      <c r="V6037" t="s">
        <v>12802</v>
      </c>
      <c r="W6037" t="s">
        <v>18766</v>
      </c>
      <c r="X6037">
        <v>12</v>
      </c>
      <c r="Y6037" t="s">
        <v>24970</v>
      </c>
      <c r="Z6037" t="s">
        <v>31355</v>
      </c>
      <c r="AA6037">
        <v>0.4987258390392198</v>
      </c>
      <c r="AB6037" t="str">
        <f>HYPERLINK("Melting_Curves/meltCurve_Q9UIC8_LCMT1.pdf", "Melting_Curves/meltCurve_Q9UIC8_LCMT1.pdf")</f>
        <v>Melting_Curves/meltCurve_Q9UIC8_LCMT1.pdf</v>
      </c>
    </row>
    <row r="6038" spans="1:28" x14ac:dyDescent="0.25">
      <c r="A6038" t="s">
        <v>6042</v>
      </c>
      <c r="B6038">
        <v>0.99542014353169495</v>
      </c>
      <c r="C6038">
        <v>0.90496842549426104</v>
      </c>
      <c r="D6038">
        <v>0.84434049210330198</v>
      </c>
      <c r="E6038">
        <v>0.54554541792184996</v>
      </c>
      <c r="F6038">
        <v>0.17963546598826899</v>
      </c>
      <c r="G6038">
        <v>7.9708487434597797E-2</v>
      </c>
      <c r="H6038">
        <v>5.4735853843136298E-2</v>
      </c>
      <c r="I6038">
        <v>3.9673488039666797E-2</v>
      </c>
      <c r="J6038">
        <v>4.0804189301773999E-2</v>
      </c>
      <c r="K6038">
        <v>3.7080512705530699E-2</v>
      </c>
      <c r="L6038">
        <v>946.12142144046004</v>
      </c>
      <c r="M6038">
        <v>20.306585614627799</v>
      </c>
      <c r="N6038">
        <v>46.729139093580599</v>
      </c>
      <c r="O6038">
        <v>46.147070484071399</v>
      </c>
      <c r="P6038">
        <v>-0.106827824252168</v>
      </c>
      <c r="Q6038">
        <v>2.8957409899340699E-2</v>
      </c>
      <c r="R6038">
        <v>0.99568427085679101</v>
      </c>
      <c r="S6038" t="s">
        <v>12440</v>
      </c>
      <c r="T6038" t="s">
        <v>12802</v>
      </c>
      <c r="U6038" t="s">
        <v>12802</v>
      </c>
      <c r="V6038" t="s">
        <v>12802</v>
      </c>
      <c r="W6038" t="s">
        <v>18767</v>
      </c>
      <c r="X6038">
        <v>12</v>
      </c>
      <c r="Y6038" t="s">
        <v>24971</v>
      </c>
      <c r="Z6038" t="s">
        <v>31356</v>
      </c>
      <c r="AA6038">
        <v>0.35174833823525259</v>
      </c>
      <c r="AB6038" t="str">
        <f>HYPERLINK("Melting_Curves/meltCurve_Q9UID3_VPS51.pdf", "Melting_Curves/meltCurve_Q9UID3_VPS51.pdf")</f>
        <v>Melting_Curves/meltCurve_Q9UID3_VPS51.pdf</v>
      </c>
    </row>
    <row r="6039" spans="1:28" x14ac:dyDescent="0.25">
      <c r="A6039" t="s">
        <v>6043</v>
      </c>
      <c r="B6039">
        <v>0.99542014353169495</v>
      </c>
      <c r="C6039">
        <v>1.0825998715751199</v>
      </c>
      <c r="D6039">
        <v>0.89217709298816095</v>
      </c>
      <c r="E6039">
        <v>0.44887643114176501</v>
      </c>
      <c r="F6039">
        <v>0.37067561581198699</v>
      </c>
      <c r="G6039">
        <v>0.25023678766412299</v>
      </c>
      <c r="H6039">
        <v>0.133664489219296</v>
      </c>
      <c r="I6039">
        <v>0.12804836301063399</v>
      </c>
      <c r="J6039">
        <v>0.14413839776199899</v>
      </c>
      <c r="K6039">
        <v>0.16963035231370799</v>
      </c>
      <c r="L6039">
        <v>1029.4353268882201</v>
      </c>
      <c r="M6039">
        <v>22.339461932324401</v>
      </c>
      <c r="N6039">
        <v>46.913652066578599</v>
      </c>
      <c r="O6039">
        <v>45.716980204043601</v>
      </c>
      <c r="P6039">
        <v>-0.10217969226984901</v>
      </c>
      <c r="Q6039">
        <v>0.16358793546337999</v>
      </c>
      <c r="R6039">
        <v>0.97391869212356796</v>
      </c>
      <c r="S6039" t="s">
        <v>12441</v>
      </c>
      <c r="T6039" t="s">
        <v>12802</v>
      </c>
      <c r="U6039" t="s">
        <v>12802</v>
      </c>
      <c r="V6039" t="s">
        <v>12802</v>
      </c>
      <c r="W6039" t="s">
        <v>18768</v>
      </c>
      <c r="X6039">
        <v>2</v>
      </c>
      <c r="Y6039" t="s">
        <v>24972</v>
      </c>
      <c r="Z6039" t="s">
        <v>31357</v>
      </c>
      <c r="AA6039">
        <v>0.42551509737004273</v>
      </c>
      <c r="AB6039" t="str">
        <f>HYPERLINK("Melting_Curves/meltCurve_Q9UIG0_2_BAZ1B.pdf", "Melting_Curves/meltCurve_Q9UIG0_2_BAZ1B.pdf")</f>
        <v>Melting_Curves/meltCurve_Q9UIG0_2_BAZ1B.pdf</v>
      </c>
    </row>
    <row r="6040" spans="1:28" x14ac:dyDescent="0.25">
      <c r="A6040" t="s">
        <v>6044</v>
      </c>
      <c r="B6040">
        <v>0.99542014353169495</v>
      </c>
      <c r="C6040">
        <v>1.0066997450408901</v>
      </c>
      <c r="D6040">
        <v>0.861956817683459</v>
      </c>
      <c r="E6040">
        <v>0.82020369254552306</v>
      </c>
      <c r="F6040">
        <v>0.63366433727135496</v>
      </c>
      <c r="G6040">
        <v>0.52441406981392102</v>
      </c>
      <c r="H6040">
        <v>0.42934231540787798</v>
      </c>
      <c r="I6040">
        <v>0.47154390330248802</v>
      </c>
      <c r="J6040">
        <v>0.97853633192497402</v>
      </c>
      <c r="K6040">
        <v>1.53244728539251</v>
      </c>
      <c r="L6040">
        <v>1869.9261279587499</v>
      </c>
      <c r="M6040">
        <v>43.762279506659901</v>
      </c>
      <c r="O6040">
        <v>42.640237642059297</v>
      </c>
      <c r="P6040">
        <v>-5.9382676770788297E-2</v>
      </c>
      <c r="Q6040">
        <v>0.76855977797721498</v>
      </c>
      <c r="R6040">
        <v>8.5043102600467005E-2</v>
      </c>
      <c r="S6040" t="s">
        <v>12442</v>
      </c>
      <c r="T6040" t="s">
        <v>12802</v>
      </c>
      <c r="U6040" t="s">
        <v>12802</v>
      </c>
      <c r="V6040" t="s">
        <v>12802</v>
      </c>
      <c r="W6040" t="s">
        <v>18769</v>
      </c>
      <c r="X6040">
        <v>12</v>
      </c>
      <c r="Y6040" t="s">
        <v>24973</v>
      </c>
      <c r="Z6040" t="s">
        <v>31358</v>
      </c>
      <c r="AA6040">
        <v>0.81333511594200825</v>
      </c>
      <c r="AB6040" t="str">
        <f>HYPERLINK("Melting_Curves/meltCurve_Q9UII2_ATPIF1.pdf", "Melting_Curves/meltCurve_Q9UII2_ATPIF1.pdf")</f>
        <v>Melting_Curves/meltCurve_Q9UII2_ATPIF1.pdf</v>
      </c>
    </row>
    <row r="6041" spans="1:28" x14ac:dyDescent="0.25">
      <c r="A6041" t="s">
        <v>6045</v>
      </c>
      <c r="B6041">
        <v>0.99542014353169495</v>
      </c>
      <c r="C6041">
        <v>1.0030950842603901</v>
      </c>
      <c r="D6041">
        <v>0.96688427403366395</v>
      </c>
      <c r="E6041">
        <v>0.95040911570209896</v>
      </c>
      <c r="F6041">
        <v>0.76960288342192595</v>
      </c>
      <c r="G6041">
        <v>0.73540086940978999</v>
      </c>
      <c r="H6041">
        <v>0.39791298543935899</v>
      </c>
      <c r="I6041">
        <v>0.100382683582389</v>
      </c>
      <c r="J6041">
        <v>4.5329471009797097E-2</v>
      </c>
      <c r="K6041">
        <v>3.8029455689256801E-2</v>
      </c>
      <c r="L6041">
        <v>1050.6013280887901</v>
      </c>
      <c r="M6041">
        <v>18.852706247510898</v>
      </c>
      <c r="N6041">
        <v>55.7268194156958</v>
      </c>
      <c r="O6041">
        <v>55.111179880710402</v>
      </c>
      <c r="P6041">
        <v>-8.5524764958535698E-2</v>
      </c>
      <c r="Q6041">
        <v>0</v>
      </c>
      <c r="R6041">
        <v>0.98235767376687599</v>
      </c>
      <c r="S6041" t="s">
        <v>12443</v>
      </c>
      <c r="T6041" t="s">
        <v>12802</v>
      </c>
      <c r="U6041" t="s">
        <v>12802</v>
      </c>
      <c r="V6041" t="s">
        <v>12802</v>
      </c>
      <c r="W6041" t="s">
        <v>18770</v>
      </c>
      <c r="X6041">
        <v>14</v>
      </c>
      <c r="Y6041" t="s">
        <v>24974</v>
      </c>
      <c r="Z6041" t="s">
        <v>31359</v>
      </c>
      <c r="AA6041">
        <v>0.63535968158012246</v>
      </c>
      <c r="AB6041" t="str">
        <f>HYPERLINK("Melting_Curves/meltCurve_Q9UIJ7_AK3.pdf", "Melting_Curves/meltCurve_Q9UIJ7_AK3.pdf")</f>
        <v>Melting_Curves/meltCurve_Q9UIJ7_AK3.pdf</v>
      </c>
    </row>
    <row r="6042" spans="1:28" x14ac:dyDescent="0.25">
      <c r="A6042" t="s">
        <v>6046</v>
      </c>
      <c r="B6042">
        <v>0.99542014353169495</v>
      </c>
      <c r="C6042">
        <v>1.07104025736741</v>
      </c>
      <c r="D6042">
        <v>1.1649918193001201</v>
      </c>
      <c r="E6042">
        <v>0.96880566071636898</v>
      </c>
      <c r="F6042">
        <v>0.79979065649009895</v>
      </c>
      <c r="G6042">
        <v>0.65421771998203704</v>
      </c>
      <c r="H6042">
        <v>0.57887232947897505</v>
      </c>
      <c r="I6042">
        <v>0.53831890074060396</v>
      </c>
      <c r="J6042">
        <v>0.76446617289469598</v>
      </c>
      <c r="K6042">
        <v>0.95783727793882201</v>
      </c>
      <c r="L6042">
        <v>2778.5070405976498</v>
      </c>
      <c r="M6042">
        <v>56.116170364051001</v>
      </c>
      <c r="O6042">
        <v>49.450722280469599</v>
      </c>
      <c r="P6042">
        <v>-8.5454887703032001E-2</v>
      </c>
      <c r="Q6042">
        <v>0.69878175227141504</v>
      </c>
      <c r="R6042">
        <v>0.64539695613189896</v>
      </c>
      <c r="S6042" t="s">
        <v>12444</v>
      </c>
      <c r="T6042" t="s">
        <v>12802</v>
      </c>
      <c r="U6042" t="s">
        <v>12802</v>
      </c>
      <c r="V6042" t="s">
        <v>12802</v>
      </c>
      <c r="W6042" t="s">
        <v>18771</v>
      </c>
      <c r="X6042">
        <v>1</v>
      </c>
      <c r="Y6042" t="s">
        <v>24975</v>
      </c>
      <c r="Z6042" t="s">
        <v>31360</v>
      </c>
      <c r="AA6042">
        <v>0.82494640723050672</v>
      </c>
      <c r="AB6042" t="str">
        <f>HYPERLINK("Melting_Curves/meltCurve_Q9UIL1_3_SCOC.pdf", "Melting_Curves/meltCurve_Q9UIL1_3_SCOC.pdf")</f>
        <v>Melting_Curves/meltCurve_Q9UIL1_3_SCOC.pdf</v>
      </c>
    </row>
    <row r="6043" spans="1:28" x14ac:dyDescent="0.25">
      <c r="A6043" t="s">
        <v>6047</v>
      </c>
      <c r="B6043">
        <v>0.99542014353169495</v>
      </c>
      <c r="C6043">
        <v>0.98413499074147404</v>
      </c>
      <c r="D6043">
        <v>1.0052280660508699</v>
      </c>
      <c r="E6043">
        <v>0.92575784754385804</v>
      </c>
      <c r="F6043">
        <v>0.64468930545473901</v>
      </c>
      <c r="G6043">
        <v>0.37713107244414501</v>
      </c>
      <c r="H6043">
        <v>0.19748208201933801</v>
      </c>
      <c r="I6043">
        <v>0.105511179952357</v>
      </c>
      <c r="J6043">
        <v>0.11530146998476</v>
      </c>
      <c r="K6043">
        <v>0.121837992191656</v>
      </c>
      <c r="L6043">
        <v>1076.59174554427</v>
      </c>
      <c r="M6043">
        <v>20.9166770961134</v>
      </c>
      <c r="N6043">
        <v>52.025395246389699</v>
      </c>
      <c r="O6043">
        <v>51.006964095237002</v>
      </c>
      <c r="P6043">
        <v>-9.2271646226880194E-2</v>
      </c>
      <c r="Q6043">
        <v>9.9977846779384205E-2</v>
      </c>
      <c r="R6043">
        <v>0.99818440649136897</v>
      </c>
      <c r="S6043" t="s">
        <v>12445</v>
      </c>
      <c r="T6043" t="s">
        <v>12802</v>
      </c>
      <c r="U6043" t="s">
        <v>12802</v>
      </c>
      <c r="V6043" t="s">
        <v>12802</v>
      </c>
      <c r="W6043" t="s">
        <v>18772</v>
      </c>
      <c r="X6043">
        <v>7</v>
      </c>
      <c r="Y6043" t="s">
        <v>24976</v>
      </c>
      <c r="Z6043" t="s">
        <v>31361</v>
      </c>
      <c r="AA6043">
        <v>0.5449914785975345</v>
      </c>
      <c r="AB6043" t="str">
        <f>HYPERLINK("Melting_Curves/meltCurve_Q9UIM3_FKBPL.pdf", "Melting_Curves/meltCurve_Q9UIM3_FKBPL.pdf")</f>
        <v>Melting_Curves/meltCurve_Q9UIM3_FKBPL.pdf</v>
      </c>
    </row>
    <row r="6044" spans="1:28" x14ac:dyDescent="0.25">
      <c r="A6044" t="s">
        <v>6048</v>
      </c>
      <c r="B6044">
        <v>0.99542014353169495</v>
      </c>
      <c r="C6044">
        <v>0.94878623251514405</v>
      </c>
      <c r="D6044">
        <v>0.97054404341852996</v>
      </c>
      <c r="E6044">
        <v>0.82613070904413599</v>
      </c>
      <c r="F6044">
        <v>0.65995952961643001</v>
      </c>
      <c r="G6044">
        <v>0.357035508321836</v>
      </c>
      <c r="H6044">
        <v>0.28133429442222502</v>
      </c>
      <c r="I6044">
        <v>0.213241827665475</v>
      </c>
      <c r="J6044">
        <v>0.21361902652297099</v>
      </c>
      <c r="K6044">
        <v>0.189462194813173</v>
      </c>
      <c r="L6044">
        <v>887.48889700628695</v>
      </c>
      <c r="M6044">
        <v>17.5373827874051</v>
      </c>
      <c r="N6044">
        <v>51.930921466517901</v>
      </c>
      <c r="O6044">
        <v>49.961299140670903</v>
      </c>
      <c r="P6044">
        <v>-7.1926239559216398E-2</v>
      </c>
      <c r="Q6044">
        <v>0.18041751602894501</v>
      </c>
      <c r="R6044">
        <v>0.99450591334022798</v>
      </c>
      <c r="S6044" t="s">
        <v>12446</v>
      </c>
      <c r="T6044" t="s">
        <v>12802</v>
      </c>
      <c r="U6044" t="s">
        <v>12802</v>
      </c>
      <c r="V6044" t="s">
        <v>12802</v>
      </c>
      <c r="W6044" t="s">
        <v>18773</v>
      </c>
      <c r="X6044">
        <v>13</v>
      </c>
      <c r="Y6044" t="s">
        <v>24977</v>
      </c>
      <c r="Z6044" t="s">
        <v>31362</v>
      </c>
      <c r="AA6044">
        <v>0.5654512797574327</v>
      </c>
      <c r="AB6044" t="str">
        <f>HYPERLINK("Melting_Curves/meltCurve_Q9UIQ6_3_LNPEP.pdf", "Melting_Curves/meltCurve_Q9UIQ6_3_LNPEP.pdf")</f>
        <v>Melting_Curves/meltCurve_Q9UIQ6_3_LNPEP.pdf</v>
      </c>
    </row>
    <row r="6045" spans="1:28" x14ac:dyDescent="0.25">
      <c r="A6045" t="s">
        <v>6049</v>
      </c>
      <c r="B6045">
        <v>0.99542014353169495</v>
      </c>
      <c r="C6045">
        <v>0.70751235137319601</v>
      </c>
      <c r="D6045">
        <v>0.77006210136112196</v>
      </c>
      <c r="E6045">
        <v>0.47492189818316299</v>
      </c>
      <c r="F6045">
        <v>0.22771282447810701</v>
      </c>
      <c r="G6045">
        <v>7.6508914099035805E-2</v>
      </c>
      <c r="H6045">
        <v>5.2191971205731699E-2</v>
      </c>
      <c r="I6045">
        <v>3.6320476283848199E-2</v>
      </c>
      <c r="J6045">
        <v>4.1350801537583998E-2</v>
      </c>
      <c r="K6045">
        <v>3.9369444719321398E-2</v>
      </c>
      <c r="L6045">
        <v>576.53637970931004</v>
      </c>
      <c r="M6045">
        <v>12.6141797019436</v>
      </c>
      <c r="N6045">
        <v>45.705441484217999</v>
      </c>
      <c r="O6045">
        <v>44.602376812631199</v>
      </c>
      <c r="P6045">
        <v>-7.0717560698217094E-2</v>
      </c>
      <c r="Q6045">
        <v>0</v>
      </c>
      <c r="R6045">
        <v>0.96839134352018896</v>
      </c>
      <c r="S6045" t="s">
        <v>12447</v>
      </c>
      <c r="T6045" t="s">
        <v>12802</v>
      </c>
      <c r="U6045" t="s">
        <v>12802</v>
      </c>
      <c r="V6045" t="s">
        <v>12802</v>
      </c>
      <c r="W6045" t="s">
        <v>18774</v>
      </c>
      <c r="X6045">
        <v>3</v>
      </c>
      <c r="Y6045" t="s">
        <v>24978</v>
      </c>
      <c r="Z6045" t="s">
        <v>31363</v>
      </c>
      <c r="AA6045">
        <v>0.32225549164368089</v>
      </c>
      <c r="AB6045" t="str">
        <f>HYPERLINK("Melting_Curves/meltCurve_Q9UIV1_2_CNOT7.pdf", "Melting_Curves/meltCurve_Q9UIV1_2_CNOT7.pdf")</f>
        <v>Melting_Curves/meltCurve_Q9UIV1_2_CNOT7.pdf</v>
      </c>
    </row>
    <row r="6046" spans="1:28" x14ac:dyDescent="0.25">
      <c r="A6046" t="s">
        <v>6050</v>
      </c>
      <c r="B6046">
        <v>0.99542014353169495</v>
      </c>
      <c r="C6046">
        <v>0.92392211910464594</v>
      </c>
      <c r="D6046">
        <v>0.85534528562179202</v>
      </c>
      <c r="E6046">
        <v>0.78478765561052199</v>
      </c>
      <c r="F6046">
        <v>0.70939657285560398</v>
      </c>
      <c r="G6046">
        <v>0.49277883837281</v>
      </c>
      <c r="H6046">
        <v>0.38280987376530601</v>
      </c>
      <c r="I6046">
        <v>0.32500355999229902</v>
      </c>
      <c r="J6046">
        <v>0.398712167297677</v>
      </c>
      <c r="K6046">
        <v>0.555004128866465</v>
      </c>
      <c r="L6046">
        <v>645.02779074488103</v>
      </c>
      <c r="M6046">
        <v>13.3143126913189</v>
      </c>
      <c r="N6046">
        <v>54.628655377131302</v>
      </c>
      <c r="O6046">
        <v>47.392454320834503</v>
      </c>
      <c r="P6046">
        <v>-4.2906578484551698E-2</v>
      </c>
      <c r="Q6046">
        <v>0.38919250831475999</v>
      </c>
      <c r="R6046">
        <v>0.90424624986604796</v>
      </c>
      <c r="S6046" t="s">
        <v>12448</v>
      </c>
      <c r="T6046" t="s">
        <v>12802</v>
      </c>
      <c r="U6046" t="s">
        <v>12802</v>
      </c>
      <c r="V6046" t="s">
        <v>12802</v>
      </c>
      <c r="W6046" t="s">
        <v>18775</v>
      </c>
      <c r="X6046">
        <v>1</v>
      </c>
      <c r="Y6046" t="s">
        <v>24979</v>
      </c>
      <c r="Z6046" t="s">
        <v>31364</v>
      </c>
      <c r="AA6046">
        <v>0.63830670938790168</v>
      </c>
      <c r="AB6046" t="str">
        <f>HYPERLINK("Melting_Curves/meltCurve_Q9UJ14_5_GGT7.pdf", "Melting_Curves/meltCurve_Q9UJ14_5_GGT7.pdf")</f>
        <v>Melting_Curves/meltCurve_Q9UJ14_5_GGT7.pdf</v>
      </c>
    </row>
    <row r="6047" spans="1:28" x14ac:dyDescent="0.25">
      <c r="A6047" t="s">
        <v>6051</v>
      </c>
      <c r="B6047">
        <v>0.99542014353169495</v>
      </c>
      <c r="C6047">
        <v>0.94581923086809705</v>
      </c>
      <c r="D6047">
        <v>0.99344493038461301</v>
      </c>
      <c r="E6047">
        <v>0.77201649920882098</v>
      </c>
      <c r="F6047">
        <v>0.68855907626220003</v>
      </c>
      <c r="G6047">
        <v>0.44543432336159899</v>
      </c>
      <c r="H6047">
        <v>0.24854047149383801</v>
      </c>
      <c r="I6047">
        <v>0.105881835785195</v>
      </c>
      <c r="J6047">
        <v>7.8715868167280795E-2</v>
      </c>
      <c r="K6047">
        <v>6.4008811237755495E-2</v>
      </c>
      <c r="L6047">
        <v>690.35053407149701</v>
      </c>
      <c r="M6047">
        <v>13.1244748091334</v>
      </c>
      <c r="N6047">
        <v>52.600244966275703</v>
      </c>
      <c r="O6047">
        <v>51.424019186903202</v>
      </c>
      <c r="P6047">
        <v>-6.3816025929154099E-2</v>
      </c>
      <c r="Q6047">
        <v>0</v>
      </c>
      <c r="R6047">
        <v>0.99148005284934304</v>
      </c>
      <c r="S6047" t="s">
        <v>12449</v>
      </c>
      <c r="T6047" t="s">
        <v>12802</v>
      </c>
      <c r="U6047" t="s">
        <v>12802</v>
      </c>
      <c r="V6047" t="s">
        <v>12802</v>
      </c>
      <c r="W6047" t="s">
        <v>18776</v>
      </c>
      <c r="X6047">
        <v>10</v>
      </c>
      <c r="Y6047" t="s">
        <v>24980</v>
      </c>
      <c r="Z6047" t="s">
        <v>31365</v>
      </c>
      <c r="AA6047">
        <v>0.54082505011416804</v>
      </c>
      <c r="AB6047" t="str">
        <f>HYPERLINK("Melting_Curves/meltCurve_Q9UJA5_TRMT6.pdf", "Melting_Curves/meltCurve_Q9UJA5_TRMT6.pdf")</f>
        <v>Melting_Curves/meltCurve_Q9UJA5_TRMT6.pdf</v>
      </c>
    </row>
    <row r="6048" spans="1:28" x14ac:dyDescent="0.25">
      <c r="A6048" t="s">
        <v>6052</v>
      </c>
      <c r="B6048">
        <v>0.99542014353169495</v>
      </c>
      <c r="C6048">
        <v>0.92994425212473497</v>
      </c>
      <c r="D6048">
        <v>0.94704524820005198</v>
      </c>
      <c r="E6048">
        <v>0.70471783117062503</v>
      </c>
      <c r="F6048">
        <v>0.56120757564020496</v>
      </c>
      <c r="G6048">
        <v>0.33711612649242001</v>
      </c>
      <c r="H6048">
        <v>0.13522309269306401</v>
      </c>
      <c r="I6048">
        <v>0.13600815711400799</v>
      </c>
      <c r="J6048">
        <v>8.1462717079503394E-2</v>
      </c>
      <c r="K6048">
        <v>6.5680082104808399E-2</v>
      </c>
      <c r="L6048">
        <v>653.43070722001596</v>
      </c>
      <c r="M6048">
        <v>12.952640481260101</v>
      </c>
      <c r="N6048">
        <v>50.614786170069699</v>
      </c>
      <c r="O6048">
        <v>49.290616898109903</v>
      </c>
      <c r="P6048">
        <v>-6.4331814990755201E-2</v>
      </c>
      <c r="Q6048">
        <v>2.0929608691804599E-2</v>
      </c>
      <c r="R6048">
        <v>0.99237199570687096</v>
      </c>
      <c r="S6048" t="s">
        <v>12450</v>
      </c>
      <c r="T6048" t="s">
        <v>12802</v>
      </c>
      <c r="U6048" t="s">
        <v>12802</v>
      </c>
      <c r="V6048" t="s">
        <v>12802</v>
      </c>
      <c r="W6048" t="s">
        <v>18777</v>
      </c>
      <c r="X6048">
        <v>3</v>
      </c>
      <c r="Y6048" t="s">
        <v>24981</v>
      </c>
      <c r="Z6048" t="s">
        <v>31366</v>
      </c>
      <c r="AA6048">
        <v>0.48416009023021611</v>
      </c>
      <c r="AB6048" t="str">
        <f>HYPERLINK("Melting_Curves/meltCurve_Q9UJJ9_GNPTG.pdf", "Melting_Curves/meltCurve_Q9UJJ9_GNPTG.pdf")</f>
        <v>Melting_Curves/meltCurve_Q9UJJ9_GNPTG.pdf</v>
      </c>
    </row>
    <row r="6049" spans="1:28" x14ac:dyDescent="0.25">
      <c r="A6049" t="s">
        <v>6053</v>
      </c>
      <c r="B6049">
        <v>0.99542014353169495</v>
      </c>
      <c r="C6049">
        <v>1.06631819704695</v>
      </c>
      <c r="D6049">
        <v>1.0167892964360301</v>
      </c>
      <c r="E6049">
        <v>0.95625815323528796</v>
      </c>
      <c r="F6049">
        <v>0.82146543234966096</v>
      </c>
      <c r="G6049">
        <v>0.60165341616430901</v>
      </c>
      <c r="H6049">
        <v>0.459747549415437</v>
      </c>
      <c r="I6049">
        <v>0.37631749317028101</v>
      </c>
      <c r="J6049">
        <v>0.53208309746975002</v>
      </c>
      <c r="K6049">
        <v>0.52533961592026901</v>
      </c>
      <c r="L6049">
        <v>1522.05292250925</v>
      </c>
      <c r="M6049">
        <v>29.620429274939699</v>
      </c>
      <c r="N6049">
        <v>56.7876003322244</v>
      </c>
      <c r="O6049">
        <v>51.152738376845598</v>
      </c>
      <c r="P6049">
        <v>-7.6706459514200701E-2</v>
      </c>
      <c r="Q6049">
        <v>0.47013347765158497</v>
      </c>
      <c r="R6049">
        <v>0.962813869711027</v>
      </c>
      <c r="S6049" t="s">
        <v>12451</v>
      </c>
      <c r="T6049" t="s">
        <v>12802</v>
      </c>
      <c r="U6049" t="s">
        <v>12802</v>
      </c>
      <c r="V6049" t="s">
        <v>12802</v>
      </c>
      <c r="W6049" t="s">
        <v>18778</v>
      </c>
      <c r="X6049">
        <v>6</v>
      </c>
      <c r="Y6049" t="s">
        <v>24982</v>
      </c>
      <c r="Z6049" t="s">
        <v>31367</v>
      </c>
      <c r="AA6049">
        <v>0.72761001965285321</v>
      </c>
      <c r="AB6049" t="str">
        <f>HYPERLINK("Melting_Curves/meltCurve_Q9UJK0_TSR3.pdf", "Melting_Curves/meltCurve_Q9UJK0_TSR3.pdf")</f>
        <v>Melting_Curves/meltCurve_Q9UJK0_TSR3.pdf</v>
      </c>
    </row>
    <row r="6050" spans="1:28" x14ac:dyDescent="0.25">
      <c r="A6050" t="s">
        <v>6054</v>
      </c>
      <c r="B6050">
        <v>0.99542014353169495</v>
      </c>
      <c r="C6050">
        <v>0.91137965324998205</v>
      </c>
      <c r="D6050">
        <v>0.967280297085514</v>
      </c>
      <c r="E6050">
        <v>0.74043315474120697</v>
      </c>
      <c r="F6050">
        <v>0.68023207963212895</v>
      </c>
      <c r="G6050">
        <v>0.39554937905948201</v>
      </c>
      <c r="H6050">
        <v>0.27411769525784702</v>
      </c>
      <c r="I6050">
        <v>0.17626756443166999</v>
      </c>
      <c r="J6050">
        <v>0.15484856570938599</v>
      </c>
      <c r="K6050">
        <v>0.11678434075812801</v>
      </c>
      <c r="L6050">
        <v>604.32337687454503</v>
      </c>
      <c r="M6050">
        <v>11.658544556154</v>
      </c>
      <c r="N6050">
        <v>52.294904530643898</v>
      </c>
      <c r="O6050">
        <v>50.380626996642398</v>
      </c>
      <c r="P6050">
        <v>-5.5049683806539899E-2</v>
      </c>
      <c r="Q6050">
        <v>4.8701201701963397E-2</v>
      </c>
      <c r="R6050">
        <v>0.98695663038036496</v>
      </c>
      <c r="S6050" t="s">
        <v>12452</v>
      </c>
      <c r="T6050" t="s">
        <v>12802</v>
      </c>
      <c r="U6050" t="s">
        <v>12802</v>
      </c>
      <c r="V6050" t="s">
        <v>12802</v>
      </c>
      <c r="W6050" t="s">
        <v>18779</v>
      </c>
      <c r="X6050">
        <v>26</v>
      </c>
      <c r="Y6050" t="s">
        <v>24983</v>
      </c>
      <c r="Z6050" t="s">
        <v>31368</v>
      </c>
      <c r="AA6050">
        <v>0.54264159148542745</v>
      </c>
      <c r="AB6050" t="str">
        <f>HYPERLINK("Melting_Curves/meltCurve_Q9UJS0_SLC25A13.pdf", "Melting_Curves/meltCurve_Q9UJS0_SLC25A13.pdf")</f>
        <v>Melting_Curves/meltCurve_Q9UJS0_SLC25A13.pdf</v>
      </c>
    </row>
    <row r="6051" spans="1:28" x14ac:dyDescent="0.25">
      <c r="A6051" t="s">
        <v>6055</v>
      </c>
      <c r="B6051">
        <v>0.99542014353169495</v>
      </c>
      <c r="C6051">
        <v>0.96698737060064599</v>
      </c>
      <c r="D6051">
        <v>0.84797595287862804</v>
      </c>
      <c r="E6051">
        <v>0.79076710994523403</v>
      </c>
      <c r="F6051">
        <v>0.71969432717854198</v>
      </c>
      <c r="G6051">
        <v>0.74218402596026301</v>
      </c>
      <c r="H6051">
        <v>0.48804557751549499</v>
      </c>
      <c r="I6051">
        <v>0.27813379906748897</v>
      </c>
      <c r="J6051">
        <v>0.108030924279493</v>
      </c>
      <c r="K6051">
        <v>9.6999070046558805E-2</v>
      </c>
      <c r="L6051">
        <v>588.63552514918103</v>
      </c>
      <c r="M6051">
        <v>10.5344122399932</v>
      </c>
      <c r="N6051">
        <v>55.877415244796403</v>
      </c>
      <c r="O6051">
        <v>53.976512936653101</v>
      </c>
      <c r="P6051">
        <v>-4.88110847816665E-2</v>
      </c>
      <c r="Q6051">
        <v>0</v>
      </c>
      <c r="R6051">
        <v>0.941345896375128</v>
      </c>
      <c r="S6051" t="s">
        <v>12453</v>
      </c>
      <c r="T6051" t="s">
        <v>12802</v>
      </c>
      <c r="U6051" t="s">
        <v>12802</v>
      </c>
      <c r="V6051" t="s">
        <v>12802</v>
      </c>
      <c r="W6051" t="s">
        <v>18780</v>
      </c>
      <c r="X6051">
        <v>4</v>
      </c>
      <c r="Y6051" t="s">
        <v>24984</v>
      </c>
      <c r="Z6051" t="s">
        <v>31369</v>
      </c>
      <c r="AA6051">
        <v>0.63733213862703308</v>
      </c>
      <c r="AB6051" t="str">
        <f>HYPERLINK("Melting_Curves/meltCurve_Q9UJT0_TUBE1.pdf", "Melting_Curves/meltCurve_Q9UJT0_TUBE1.pdf")</f>
        <v>Melting_Curves/meltCurve_Q9UJT0_TUBE1.pdf</v>
      </c>
    </row>
    <row r="6052" spans="1:28" x14ac:dyDescent="0.25">
      <c r="A6052" t="s">
        <v>6056</v>
      </c>
      <c r="B6052">
        <v>0.99542014353169495</v>
      </c>
      <c r="C6052">
        <v>1.0136281104961899</v>
      </c>
      <c r="D6052">
        <v>0.90742216741702997</v>
      </c>
      <c r="E6052">
        <v>0.69682413050639302</v>
      </c>
      <c r="F6052">
        <v>0.28337519026614399</v>
      </c>
      <c r="G6052">
        <v>0.15528152401312401</v>
      </c>
      <c r="H6052">
        <v>8.6106274846404804E-2</v>
      </c>
      <c r="I6052">
        <v>6.3314689047357195E-2</v>
      </c>
      <c r="J6052">
        <v>8.2972548517791095E-2</v>
      </c>
      <c r="K6052">
        <v>0.11180382836191299</v>
      </c>
      <c r="L6052">
        <v>1160.27602034859</v>
      </c>
      <c r="M6052">
        <v>24.2815027792503</v>
      </c>
      <c r="N6052">
        <v>48.140195297515397</v>
      </c>
      <c r="O6052">
        <v>47.4638053065257</v>
      </c>
      <c r="P6052">
        <v>-0.11739031474962699</v>
      </c>
      <c r="Q6052">
        <v>8.2148215719436896E-2</v>
      </c>
      <c r="R6052">
        <v>0.99734207210218695</v>
      </c>
      <c r="S6052" t="s">
        <v>12454</v>
      </c>
      <c r="T6052" t="s">
        <v>12802</v>
      </c>
      <c r="U6052" t="s">
        <v>12802</v>
      </c>
      <c r="V6052" t="s">
        <v>12802</v>
      </c>
      <c r="W6052" t="s">
        <v>18781</v>
      </c>
      <c r="X6052">
        <v>18</v>
      </c>
      <c r="Y6052" t="s">
        <v>24985</v>
      </c>
      <c r="Z6052" t="s">
        <v>31370</v>
      </c>
      <c r="AA6052">
        <v>0.420357311436036</v>
      </c>
      <c r="AB6052" t="str">
        <f>HYPERLINK("Melting_Curves/meltCurve_Q9UJU6_DBNL.pdf", "Melting_Curves/meltCurve_Q9UJU6_DBNL.pdf")</f>
        <v>Melting_Curves/meltCurve_Q9UJU6_DBNL.pdf</v>
      </c>
    </row>
    <row r="6053" spans="1:28" x14ac:dyDescent="0.25">
      <c r="A6053" t="s">
        <v>6057</v>
      </c>
      <c r="B6053">
        <v>0.99542014353169495</v>
      </c>
      <c r="C6053">
        <v>1.0774068626116</v>
      </c>
      <c r="D6053">
        <v>1.20293887767094</v>
      </c>
      <c r="E6053">
        <v>0.744052087212144</v>
      </c>
      <c r="F6053">
        <v>0.35754656034752802</v>
      </c>
      <c r="G6053">
        <v>0.12977000814703901</v>
      </c>
      <c r="H6053">
        <v>5.3750349781195701E-2</v>
      </c>
      <c r="I6053">
        <v>4.9895245377088303E-2</v>
      </c>
      <c r="J6053">
        <v>4.2852877173575402E-2</v>
      </c>
      <c r="K6053">
        <v>0</v>
      </c>
      <c r="L6053">
        <v>1368.7671822534301</v>
      </c>
      <c r="M6053">
        <v>28.026316765652702</v>
      </c>
      <c r="N6053">
        <v>48.976292486822601</v>
      </c>
      <c r="O6053">
        <v>48.592021208353898</v>
      </c>
      <c r="P6053">
        <v>-0.13873201627910001</v>
      </c>
      <c r="Q6053">
        <v>3.7874075516724899E-2</v>
      </c>
      <c r="R6053">
        <v>0.97099732665933802</v>
      </c>
      <c r="S6053" t="s">
        <v>12455</v>
      </c>
      <c r="T6053" t="s">
        <v>12802</v>
      </c>
      <c r="U6053" t="s">
        <v>12802</v>
      </c>
      <c r="V6053" t="s">
        <v>12802</v>
      </c>
      <c r="W6053" t="s">
        <v>18782</v>
      </c>
      <c r="X6053">
        <v>18</v>
      </c>
      <c r="Y6053" t="s">
        <v>24985</v>
      </c>
      <c r="Z6053" t="s">
        <v>31371</v>
      </c>
      <c r="AA6053">
        <v>0.42417506792361209</v>
      </c>
      <c r="AB6053" t="str">
        <f>HYPERLINK("Melting_Curves/meltCurve_Q9UJU6_2_DBNL.pdf", "Melting_Curves/meltCurve_Q9UJU6_2_DBNL.pdf")</f>
        <v>Melting_Curves/meltCurve_Q9UJU6_2_DBNL.pdf</v>
      </c>
    </row>
    <row r="6054" spans="1:28" x14ac:dyDescent="0.25">
      <c r="A6054" t="s">
        <v>6058</v>
      </c>
      <c r="B6054">
        <v>0.99542014353169495</v>
      </c>
      <c r="C6054">
        <v>0.91543697502877097</v>
      </c>
      <c r="D6054">
        <v>0.87345825757347795</v>
      </c>
      <c r="E6054">
        <v>0.74909455947903403</v>
      </c>
      <c r="F6054">
        <v>0.67998664605410997</v>
      </c>
      <c r="G6054">
        <v>0.33833549268576502</v>
      </c>
      <c r="H6054">
        <v>0.31802519969891901</v>
      </c>
      <c r="I6054">
        <v>0.26131174792728701</v>
      </c>
      <c r="J6054">
        <v>0.29736766988000501</v>
      </c>
      <c r="K6054">
        <v>0.244085033337086</v>
      </c>
      <c r="L6054">
        <v>618.85276146031504</v>
      </c>
      <c r="M6054">
        <v>12.4618728543413</v>
      </c>
      <c r="N6054">
        <v>51.904340042705698</v>
      </c>
      <c r="O6054">
        <v>48.432941625423503</v>
      </c>
      <c r="P6054">
        <v>-5.0936226032616397E-2</v>
      </c>
      <c r="Q6054">
        <v>0.20831235619657801</v>
      </c>
      <c r="R6054">
        <v>0.97090986141052904</v>
      </c>
      <c r="S6054" t="s">
        <v>12456</v>
      </c>
      <c r="T6054" t="s">
        <v>12802</v>
      </c>
      <c r="U6054" t="s">
        <v>12802</v>
      </c>
      <c r="V6054" t="s">
        <v>12802</v>
      </c>
      <c r="W6054" t="s">
        <v>18783</v>
      </c>
      <c r="X6054">
        <v>11</v>
      </c>
      <c r="Y6054" t="s">
        <v>24986</v>
      </c>
      <c r="Z6054" t="s">
        <v>31372</v>
      </c>
      <c r="AA6054">
        <v>0.56399852527574401</v>
      </c>
      <c r="AB6054" t="str">
        <f>HYPERLINK("Melting_Curves/meltCurve_Q9UJW0_2_DCTN4.pdf", "Melting_Curves/meltCurve_Q9UJW0_2_DCTN4.pdf")</f>
        <v>Melting_Curves/meltCurve_Q9UJW0_2_DCTN4.pdf</v>
      </c>
    </row>
    <row r="6055" spans="1:28" x14ac:dyDescent="0.25">
      <c r="A6055" t="s">
        <v>6059</v>
      </c>
      <c r="B6055">
        <v>0.99542014353169495</v>
      </c>
      <c r="C6055">
        <v>0.790016814560767</v>
      </c>
      <c r="D6055">
        <v>0.856542776516374</v>
      </c>
      <c r="E6055">
        <v>0.69876399079177198</v>
      </c>
      <c r="F6055">
        <v>0.41044988034778801</v>
      </c>
      <c r="G6055">
        <v>0.250324494517004</v>
      </c>
      <c r="H6055">
        <v>0.15342595311988999</v>
      </c>
      <c r="I6055">
        <v>0.100262578246805</v>
      </c>
      <c r="J6055">
        <v>0.114994907725571</v>
      </c>
      <c r="K6055">
        <v>0.14106853324280499</v>
      </c>
      <c r="L6055">
        <v>593.61725317081903</v>
      </c>
      <c r="M6055">
        <v>12.2890172548148</v>
      </c>
      <c r="N6055">
        <v>48.838301315802198</v>
      </c>
      <c r="O6055">
        <v>47.079047036762603</v>
      </c>
      <c r="P6055">
        <v>-6.1171197798102601E-2</v>
      </c>
      <c r="Q6055">
        <v>6.2822537790304001E-2</v>
      </c>
      <c r="R6055">
        <v>0.97222560166207606</v>
      </c>
      <c r="S6055" t="s">
        <v>12457</v>
      </c>
      <c r="T6055" t="s">
        <v>12802</v>
      </c>
      <c r="U6055" t="s">
        <v>12802</v>
      </c>
      <c r="V6055" t="s">
        <v>12802</v>
      </c>
      <c r="W6055" t="s">
        <v>18784</v>
      </c>
      <c r="X6055">
        <v>4</v>
      </c>
      <c r="Y6055" t="s">
        <v>24987</v>
      </c>
      <c r="Z6055" t="s">
        <v>31373</v>
      </c>
      <c r="AA6055">
        <v>0.44389804399935567</v>
      </c>
      <c r="AB6055" t="str">
        <f>HYPERLINK("Melting_Curves/meltCurve_Q9UJX2_CDC23.pdf", "Melting_Curves/meltCurve_Q9UJX2_CDC23.pdf")</f>
        <v>Melting_Curves/meltCurve_Q9UJX2_CDC23.pdf</v>
      </c>
    </row>
    <row r="6056" spans="1:28" x14ac:dyDescent="0.25">
      <c r="A6056" t="s">
        <v>6060</v>
      </c>
      <c r="B6056">
        <v>0.99542014353169495</v>
      </c>
      <c r="C6056">
        <v>0.84250040234985202</v>
      </c>
      <c r="D6056">
        <v>0.87301792246308096</v>
      </c>
      <c r="E6056">
        <v>0.55101865247635196</v>
      </c>
      <c r="F6056">
        <v>0.25450163804995102</v>
      </c>
      <c r="G6056">
        <v>0.136825728060675</v>
      </c>
      <c r="H6056">
        <v>5.0447270606426703E-2</v>
      </c>
      <c r="I6056">
        <v>2.5914961092392101E-2</v>
      </c>
      <c r="J6056">
        <v>2.5948578666827898E-2</v>
      </c>
      <c r="K6056">
        <v>3.85337733895652E-2</v>
      </c>
      <c r="L6056">
        <v>762.09718403234797</v>
      </c>
      <c r="M6056">
        <v>16.1945607479913</v>
      </c>
      <c r="N6056">
        <v>47.127000613642998</v>
      </c>
      <c r="O6056">
        <v>46.358823449146797</v>
      </c>
      <c r="P6056">
        <v>-8.6328478269546996E-2</v>
      </c>
      <c r="Q6056">
        <v>1.15723440002741E-2</v>
      </c>
      <c r="R6056">
        <v>0.98947294912499495</v>
      </c>
      <c r="S6056" t="s">
        <v>12458</v>
      </c>
      <c r="T6056" t="s">
        <v>12802</v>
      </c>
      <c r="U6056" t="s">
        <v>12802</v>
      </c>
      <c r="V6056" t="s">
        <v>12802</v>
      </c>
      <c r="W6056" t="s">
        <v>18785</v>
      </c>
      <c r="X6056">
        <v>11</v>
      </c>
      <c r="Y6056" t="s">
        <v>24988</v>
      </c>
      <c r="Z6056" t="s">
        <v>31374</v>
      </c>
      <c r="AA6056">
        <v>0.36232588861160842</v>
      </c>
      <c r="AB6056" t="str">
        <f>HYPERLINK("Melting_Curves/meltCurve_Q9UJX3_2_ANAPC7.pdf", "Melting_Curves/meltCurve_Q9UJX3_2_ANAPC7.pdf")</f>
        <v>Melting_Curves/meltCurve_Q9UJX3_2_ANAPC7.pdf</v>
      </c>
    </row>
    <row r="6057" spans="1:28" x14ac:dyDescent="0.25">
      <c r="A6057" t="s">
        <v>6061</v>
      </c>
      <c r="B6057">
        <v>0.99542014353169495</v>
      </c>
      <c r="C6057">
        <v>0.78406859213858404</v>
      </c>
      <c r="D6057">
        <v>0.69970439170788501</v>
      </c>
      <c r="E6057">
        <v>0.70104795190005398</v>
      </c>
      <c r="F6057">
        <v>0.409534365196144</v>
      </c>
      <c r="G6057">
        <v>0.211189488884994</v>
      </c>
      <c r="H6057">
        <v>0.158571871192452</v>
      </c>
      <c r="I6057">
        <v>6.1297429884233999E-2</v>
      </c>
      <c r="J6057">
        <v>7.0927880781525204E-2</v>
      </c>
      <c r="K6057">
        <v>5.6694302606387602E-2</v>
      </c>
      <c r="L6057">
        <v>479.50264386085001</v>
      </c>
      <c r="M6057">
        <v>9.9794636419476603</v>
      </c>
      <c r="N6057">
        <v>48.048954037075497</v>
      </c>
      <c r="O6057">
        <v>46.239062730157698</v>
      </c>
      <c r="P6057">
        <v>-5.3982275994073001E-2</v>
      </c>
      <c r="Q6057">
        <v>0</v>
      </c>
      <c r="R6057">
        <v>0.967791584816037</v>
      </c>
      <c r="S6057" t="s">
        <v>12459</v>
      </c>
      <c r="T6057" t="s">
        <v>12802</v>
      </c>
      <c r="U6057" t="s">
        <v>12802</v>
      </c>
      <c r="V6057" t="s">
        <v>12802</v>
      </c>
      <c r="W6057" t="s">
        <v>18786</v>
      </c>
      <c r="X6057">
        <v>2</v>
      </c>
      <c r="Y6057" t="s">
        <v>24989</v>
      </c>
      <c r="Z6057" t="s">
        <v>31375</v>
      </c>
      <c r="AA6057">
        <v>0.40841756234014998</v>
      </c>
      <c r="AB6057" t="str">
        <f>HYPERLINK("Melting_Curves/meltCurve_Q9UJX5_ANAPC4.pdf", "Melting_Curves/meltCurve_Q9UJX5_ANAPC4.pdf")</f>
        <v>Melting_Curves/meltCurve_Q9UJX5_ANAPC4.pdf</v>
      </c>
    </row>
    <row r="6058" spans="1:28" x14ac:dyDescent="0.25">
      <c r="A6058" t="s">
        <v>6062</v>
      </c>
      <c r="B6058">
        <v>0.99542014353169495</v>
      </c>
      <c r="C6058">
        <v>0.93445471656361401</v>
      </c>
      <c r="D6058">
        <v>0.83908330461700698</v>
      </c>
      <c r="E6058">
        <v>0.72188136729472197</v>
      </c>
      <c r="F6058">
        <v>0.37636039450947401</v>
      </c>
      <c r="G6058">
        <v>0.180592055982502</v>
      </c>
      <c r="H6058">
        <v>8.3835477543411793E-2</v>
      </c>
      <c r="I6058">
        <v>0.100470150883846</v>
      </c>
      <c r="J6058">
        <v>0.106039813300931</v>
      </c>
      <c r="K6058">
        <v>0.21640005592418701</v>
      </c>
      <c r="L6058">
        <v>919.121903431747</v>
      </c>
      <c r="M6058">
        <v>19.181575511043199</v>
      </c>
      <c r="N6058">
        <v>48.542371983043203</v>
      </c>
      <c r="O6058">
        <v>47.405229126908502</v>
      </c>
      <c r="P6058">
        <v>-9.0085420004478098E-2</v>
      </c>
      <c r="Q6058">
        <v>0.109487954126379</v>
      </c>
      <c r="R6058">
        <v>0.97977905983459002</v>
      </c>
      <c r="S6058" t="s">
        <v>12460</v>
      </c>
      <c r="T6058" t="s">
        <v>12802</v>
      </c>
      <c r="U6058" t="s">
        <v>12802</v>
      </c>
      <c r="V6058" t="s">
        <v>12802</v>
      </c>
      <c r="W6058" t="s">
        <v>18787</v>
      </c>
      <c r="X6058">
        <v>5</v>
      </c>
      <c r="Y6058" t="s">
        <v>24990</v>
      </c>
      <c r="Z6058" t="s">
        <v>31376</v>
      </c>
      <c r="AA6058">
        <v>0.44619799082062861</v>
      </c>
      <c r="AB6058" t="str">
        <f>HYPERLINK("Melting_Curves/meltCurve_Q9UJX6_2_ANAPC2.pdf", "Melting_Curves/meltCurve_Q9UJX6_2_ANAPC2.pdf")</f>
        <v>Melting_Curves/meltCurve_Q9UJX6_2_ANAPC2.pdf</v>
      </c>
    </row>
    <row r="6059" spans="1:28" x14ac:dyDescent="0.25">
      <c r="A6059" t="s">
        <v>6063</v>
      </c>
      <c r="B6059">
        <v>0.99542014353169495</v>
      </c>
      <c r="C6059">
        <v>0.93412215076059801</v>
      </c>
      <c r="D6059">
        <v>0.73210064303858802</v>
      </c>
      <c r="E6059">
        <v>0.30759781655761698</v>
      </c>
      <c r="F6059">
        <v>0.21374570657074601</v>
      </c>
      <c r="G6059">
        <v>0.125716205353015</v>
      </c>
      <c r="H6059">
        <v>7.5506441117105194E-2</v>
      </c>
      <c r="I6059">
        <v>4.8946958056887299E-2</v>
      </c>
      <c r="J6059">
        <v>5.2742475093300503E-2</v>
      </c>
      <c r="K6059">
        <v>5.6787359560441203E-2</v>
      </c>
      <c r="L6059">
        <v>908.019286778538</v>
      </c>
      <c r="M6059">
        <v>20.2958101123155</v>
      </c>
      <c r="N6059">
        <v>45.058029347438698</v>
      </c>
      <c r="O6059">
        <v>44.311704839273098</v>
      </c>
      <c r="P6059">
        <v>-0.106851209626493</v>
      </c>
      <c r="Q6059">
        <v>6.68785699162322E-2</v>
      </c>
      <c r="R6059">
        <v>0.99445905617125496</v>
      </c>
      <c r="S6059" t="s">
        <v>12461</v>
      </c>
      <c r="T6059" t="s">
        <v>12802</v>
      </c>
      <c r="U6059" t="s">
        <v>12802</v>
      </c>
      <c r="V6059" t="s">
        <v>12802</v>
      </c>
      <c r="W6059" t="s">
        <v>18788</v>
      </c>
      <c r="X6059">
        <v>9</v>
      </c>
      <c r="Y6059" t="s">
        <v>24991</v>
      </c>
      <c r="Z6059" t="s">
        <v>31377</v>
      </c>
      <c r="AA6059">
        <v>0.31952249270634853</v>
      </c>
      <c r="AB6059" t="str">
        <f>HYPERLINK("Melting_Curves/meltCurve_Q9UJY4_GGA2.pdf", "Melting_Curves/meltCurve_Q9UJY4_GGA2.pdf")</f>
        <v>Melting_Curves/meltCurve_Q9UJY4_GGA2.pdf</v>
      </c>
    </row>
    <row r="6060" spans="1:28" x14ac:dyDescent="0.25">
      <c r="A6060" t="s">
        <v>6064</v>
      </c>
      <c r="B6060">
        <v>0.99542014353169495</v>
      </c>
      <c r="C6060">
        <v>1.0701033417043999</v>
      </c>
      <c r="D6060">
        <v>0.96843164437929197</v>
      </c>
      <c r="E6060">
        <v>0.83860331490120599</v>
      </c>
      <c r="F6060">
        <v>0.43507792554826302</v>
      </c>
      <c r="G6060">
        <v>0.113649579619475</v>
      </c>
      <c r="H6060">
        <v>6.2557163094302995E-2</v>
      </c>
      <c r="I6060">
        <v>4.0246221562175701E-2</v>
      </c>
      <c r="J6060">
        <v>4.1640421977334703E-2</v>
      </c>
      <c r="K6060">
        <v>3.5354874326287297E-2</v>
      </c>
      <c r="L6060">
        <v>1338.36285039211</v>
      </c>
      <c r="M6060">
        <v>27.053664352408202</v>
      </c>
      <c r="N6060">
        <v>49.6008501979599</v>
      </c>
      <c r="O6060">
        <v>49.202743309176697</v>
      </c>
      <c r="P6060">
        <v>-0.13275051997072199</v>
      </c>
      <c r="Q6060">
        <v>3.42713417175377E-2</v>
      </c>
      <c r="R6060">
        <v>0.99679319177635795</v>
      </c>
      <c r="S6060" t="s">
        <v>12462</v>
      </c>
      <c r="T6060" t="s">
        <v>12802</v>
      </c>
      <c r="U6060" t="s">
        <v>12802</v>
      </c>
      <c r="V6060" t="s">
        <v>12802</v>
      </c>
      <c r="W6060" t="s">
        <v>18789</v>
      </c>
      <c r="X6060">
        <v>7</v>
      </c>
      <c r="Y6060" t="s">
        <v>24992</v>
      </c>
      <c r="Z6060" t="s">
        <v>31378</v>
      </c>
      <c r="AA6060">
        <v>0.44291529039405048</v>
      </c>
      <c r="AB6060" t="str">
        <f>HYPERLINK("Melting_Curves/meltCurve_Q9UJY5_4_GGA1.pdf", "Melting_Curves/meltCurve_Q9UJY5_4_GGA1.pdf")</f>
        <v>Melting_Curves/meltCurve_Q9UJY5_4_GGA1.pdf</v>
      </c>
    </row>
    <row r="6061" spans="1:28" x14ac:dyDescent="0.25">
      <c r="A6061" t="s">
        <v>6065</v>
      </c>
      <c r="B6061">
        <v>0.99542014353169495</v>
      </c>
      <c r="C6061">
        <v>0.84660899545757196</v>
      </c>
      <c r="D6061">
        <v>0.98084223782285396</v>
      </c>
      <c r="E6061">
        <v>0.66936555268784703</v>
      </c>
      <c r="F6061">
        <v>0.57338600324686395</v>
      </c>
      <c r="G6061">
        <v>0.35346570812004302</v>
      </c>
      <c r="H6061">
        <v>0.30245903708008998</v>
      </c>
      <c r="I6061">
        <v>0.293666392883556</v>
      </c>
      <c r="J6061">
        <v>0.529278390756035</v>
      </c>
      <c r="K6061">
        <v>0.26795106183011902</v>
      </c>
      <c r="L6061">
        <v>861.53697278311199</v>
      </c>
      <c r="M6061">
        <v>18.208063607488199</v>
      </c>
      <c r="N6061">
        <v>50.387992370874997</v>
      </c>
      <c r="O6061">
        <v>46.756575561237902</v>
      </c>
      <c r="P6061">
        <v>-6.4722924763601697E-2</v>
      </c>
      <c r="Q6061">
        <v>0.33522208842608198</v>
      </c>
      <c r="R6061">
        <v>0.89217401547576503</v>
      </c>
      <c r="S6061" t="s">
        <v>12463</v>
      </c>
      <c r="T6061" t="s">
        <v>12802</v>
      </c>
      <c r="U6061" t="s">
        <v>12802</v>
      </c>
      <c r="V6061" t="s">
        <v>12802</v>
      </c>
      <c r="W6061" t="s">
        <v>18790</v>
      </c>
      <c r="X6061">
        <v>18</v>
      </c>
      <c r="Y6061" t="s">
        <v>24993</v>
      </c>
      <c r="Z6061" t="s">
        <v>31379</v>
      </c>
      <c r="AA6061">
        <v>0.57424985994996858</v>
      </c>
      <c r="AB6061" t="str">
        <f>HYPERLINK("Melting_Curves/meltCurve_Q9UJZ1_STOML2.pdf", "Melting_Curves/meltCurve_Q9UJZ1_STOML2.pdf")</f>
        <v>Melting_Curves/meltCurve_Q9UJZ1_STOML2.pdf</v>
      </c>
    </row>
    <row r="6062" spans="1:28" x14ac:dyDescent="0.25">
      <c r="A6062" t="s">
        <v>6066</v>
      </c>
      <c r="B6062">
        <v>0.99542014353169495</v>
      </c>
      <c r="C6062">
        <v>1.06414300676854</v>
      </c>
      <c r="D6062">
        <v>0.96853107195488897</v>
      </c>
      <c r="E6062">
        <v>0.85844802467958403</v>
      </c>
      <c r="F6062">
        <v>0.747573310009779</v>
      </c>
      <c r="G6062">
        <v>0.38811334178840001</v>
      </c>
      <c r="H6062">
        <v>0.348557483908011</v>
      </c>
      <c r="I6062">
        <v>0.27194265358602698</v>
      </c>
      <c r="J6062">
        <v>0.29562368139690198</v>
      </c>
      <c r="K6062">
        <v>0.19701081085073899</v>
      </c>
      <c r="L6062">
        <v>1004.26178567155</v>
      </c>
      <c r="M6062">
        <v>19.624686519009199</v>
      </c>
      <c r="N6062">
        <v>52.908937240233101</v>
      </c>
      <c r="O6062">
        <v>50.650921822299402</v>
      </c>
      <c r="P6062">
        <v>-7.3875933099946098E-2</v>
      </c>
      <c r="Q6062">
        <v>0.237337603371408</v>
      </c>
      <c r="R6062">
        <v>0.98237565578992103</v>
      </c>
      <c r="S6062" t="s">
        <v>12464</v>
      </c>
      <c r="T6062" t="s">
        <v>12802</v>
      </c>
      <c r="U6062" t="s">
        <v>12802</v>
      </c>
      <c r="V6062" t="s">
        <v>12802</v>
      </c>
      <c r="W6062" t="s">
        <v>18791</v>
      </c>
      <c r="X6062">
        <v>5</v>
      </c>
      <c r="Y6062" t="s">
        <v>24994</v>
      </c>
      <c r="Z6062" t="s">
        <v>31380</v>
      </c>
      <c r="AA6062">
        <v>0.60793712699252367</v>
      </c>
      <c r="AB6062" t="str">
        <f>HYPERLINK("Melting_Curves/meltCurve_Q9UK23_2_NAGPA.pdf", "Melting_Curves/meltCurve_Q9UK23_2_NAGPA.pdf")</f>
        <v>Melting_Curves/meltCurve_Q9UK23_2_NAGPA.pdf</v>
      </c>
    </row>
    <row r="6063" spans="1:28" x14ac:dyDescent="0.25">
      <c r="A6063" t="s">
        <v>6067</v>
      </c>
      <c r="B6063">
        <v>0.99542014353169495</v>
      </c>
      <c r="C6063">
        <v>0.91929196056465201</v>
      </c>
      <c r="D6063">
        <v>0.72854100029618296</v>
      </c>
      <c r="E6063">
        <v>0.382135962786189</v>
      </c>
      <c r="F6063">
        <v>0.22830016598361999</v>
      </c>
      <c r="G6063">
        <v>0.13015112625227601</v>
      </c>
      <c r="H6063">
        <v>7.8431707502776393E-2</v>
      </c>
      <c r="I6063">
        <v>6.4486510569775196E-2</v>
      </c>
      <c r="J6063">
        <v>5.0482087836575401E-2</v>
      </c>
      <c r="K6063">
        <v>6.5830097142017902E-2</v>
      </c>
      <c r="L6063">
        <v>777.93994805500995</v>
      </c>
      <c r="M6063">
        <v>17.221762820130099</v>
      </c>
      <c r="N6063">
        <v>45.507665714680698</v>
      </c>
      <c r="O6063">
        <v>44.576041782437201</v>
      </c>
      <c r="P6063">
        <v>-9.0829679782703093E-2</v>
      </c>
      <c r="Q6063">
        <v>5.9657276445529102E-2</v>
      </c>
      <c r="R6063">
        <v>0.99824125020770305</v>
      </c>
      <c r="S6063" t="s">
        <v>12465</v>
      </c>
      <c r="T6063" t="s">
        <v>12802</v>
      </c>
      <c r="U6063" t="s">
        <v>12802</v>
      </c>
      <c r="V6063" t="s">
        <v>12802</v>
      </c>
      <c r="W6063" t="s">
        <v>18792</v>
      </c>
      <c r="X6063">
        <v>3</v>
      </c>
      <c r="Y6063" t="s">
        <v>24995</v>
      </c>
      <c r="Z6063" t="s">
        <v>31381</v>
      </c>
      <c r="AA6063">
        <v>0.33263067968162852</v>
      </c>
      <c r="AB6063" t="str">
        <f>HYPERLINK("Melting_Curves/meltCurve_Q9UK39_CCRN4L.pdf", "Melting_Curves/meltCurve_Q9UK39_CCRN4L.pdf")</f>
        <v>Melting_Curves/meltCurve_Q9UK39_CCRN4L.pdf</v>
      </c>
    </row>
    <row r="6064" spans="1:28" x14ac:dyDescent="0.25">
      <c r="A6064" t="s">
        <v>6068</v>
      </c>
      <c r="B6064">
        <v>0.99542014353169495</v>
      </c>
      <c r="C6064">
        <v>0.88831318433240103</v>
      </c>
      <c r="D6064">
        <v>0.98690931541684201</v>
      </c>
      <c r="E6064">
        <v>0.80751257938621701</v>
      </c>
      <c r="F6064">
        <v>0.33411879833633101</v>
      </c>
      <c r="G6064">
        <v>0.101316407114607</v>
      </c>
      <c r="H6064">
        <v>4.02216078694922E-2</v>
      </c>
      <c r="I6064">
        <v>2.1650920421847498E-2</v>
      </c>
      <c r="J6064">
        <v>2.2882010634690302E-2</v>
      </c>
      <c r="K6064">
        <v>2.55427699623401E-2</v>
      </c>
      <c r="L6064">
        <v>1370.7841358123401</v>
      </c>
      <c r="M6064">
        <v>28.0422890788902</v>
      </c>
      <c r="N6064">
        <v>48.967019282405197</v>
      </c>
      <c r="O6064">
        <v>48.636190872008001</v>
      </c>
      <c r="P6064">
        <v>-0.140748723171884</v>
      </c>
      <c r="Q6064">
        <v>2.35572295970462E-2</v>
      </c>
      <c r="R6064">
        <v>0.99294982867375903</v>
      </c>
      <c r="S6064" t="s">
        <v>12466</v>
      </c>
      <c r="T6064" t="s">
        <v>12802</v>
      </c>
      <c r="U6064" t="s">
        <v>12802</v>
      </c>
      <c r="V6064" t="s">
        <v>12802</v>
      </c>
      <c r="W6064" t="s">
        <v>18793</v>
      </c>
      <c r="X6064">
        <v>8</v>
      </c>
      <c r="Y6064" t="s">
        <v>24996</v>
      </c>
      <c r="Z6064" t="s">
        <v>31382</v>
      </c>
      <c r="AA6064">
        <v>0.41703952042727699</v>
      </c>
      <c r="AB6064" t="str">
        <f>HYPERLINK("Melting_Curves/meltCurve_Q9UK41_VPS28.pdf", "Melting_Curves/meltCurve_Q9UK41_VPS28.pdf")</f>
        <v>Melting_Curves/meltCurve_Q9UK41_VPS28.pdf</v>
      </c>
    </row>
    <row r="6065" spans="1:28" x14ac:dyDescent="0.25">
      <c r="A6065" t="s">
        <v>6069</v>
      </c>
      <c r="B6065">
        <v>0.99542014353169495</v>
      </c>
      <c r="C6065">
        <v>1.06478657516593</v>
      </c>
      <c r="D6065">
        <v>0.56069476280957398</v>
      </c>
      <c r="E6065">
        <v>0.53724007730825796</v>
      </c>
      <c r="F6065">
        <v>0.37413122595673598</v>
      </c>
      <c r="G6065">
        <v>0.42648718481569903</v>
      </c>
      <c r="H6065">
        <v>0.28167390053282199</v>
      </c>
      <c r="I6065">
        <v>0.26108026874685603</v>
      </c>
      <c r="J6065">
        <v>0.53545462889391804</v>
      </c>
      <c r="K6065">
        <v>0.74437356831490598</v>
      </c>
      <c r="L6065">
        <v>10690.1446924294</v>
      </c>
      <c r="M6065">
        <v>250</v>
      </c>
      <c r="N6065">
        <v>43.163355404978198</v>
      </c>
      <c r="O6065">
        <v>42.757842394638303</v>
      </c>
      <c r="P6065">
        <v>-0.80176585807557599</v>
      </c>
      <c r="Q6065">
        <v>0.45149154972620298</v>
      </c>
      <c r="R6065">
        <v>0.74676352922344502</v>
      </c>
      <c r="S6065" t="s">
        <v>12467</v>
      </c>
      <c r="T6065" t="s">
        <v>12802</v>
      </c>
      <c r="U6065" t="s">
        <v>12802</v>
      </c>
      <c r="V6065" t="s">
        <v>12802</v>
      </c>
      <c r="W6065" t="s">
        <v>18794</v>
      </c>
      <c r="X6065">
        <v>6</v>
      </c>
      <c r="Y6065" t="s">
        <v>24997</v>
      </c>
      <c r="Z6065" t="s">
        <v>31383</v>
      </c>
      <c r="AA6065">
        <v>0.55685691653202762</v>
      </c>
      <c r="AB6065" t="str">
        <f>HYPERLINK("Melting_Curves/meltCurve_Q9UK45_LSM7.pdf", "Melting_Curves/meltCurve_Q9UK45_LSM7.pdf")</f>
        <v>Melting_Curves/meltCurve_Q9UK45_LSM7.pdf</v>
      </c>
    </row>
    <row r="6066" spans="1:28" x14ac:dyDescent="0.25">
      <c r="A6066" t="s">
        <v>6070</v>
      </c>
      <c r="B6066">
        <v>0.99542014353169495</v>
      </c>
      <c r="C6066">
        <v>1.08551440515793</v>
      </c>
      <c r="D6066">
        <v>0.96434994495043302</v>
      </c>
      <c r="E6066">
        <v>0.78495119457330398</v>
      </c>
      <c r="F6066">
        <v>0.70192076860279395</v>
      </c>
      <c r="G6066">
        <v>0.498851089573914</v>
      </c>
      <c r="H6066">
        <v>0.26950802743206098</v>
      </c>
      <c r="I6066">
        <v>0.21135264774326501</v>
      </c>
      <c r="J6066">
        <v>0.22935391225226601</v>
      </c>
      <c r="K6066">
        <v>0.231714179002383</v>
      </c>
      <c r="L6066">
        <v>770.08994768535104</v>
      </c>
      <c r="M6066">
        <v>14.952652819326399</v>
      </c>
      <c r="N6066">
        <v>53.016487971813703</v>
      </c>
      <c r="O6066">
        <v>50.607061133810902</v>
      </c>
      <c r="P6066">
        <v>-6.1032887701047603E-2</v>
      </c>
      <c r="Q6066">
        <v>0.173824413680603</v>
      </c>
      <c r="R6066">
        <v>0.97972178549456701</v>
      </c>
      <c r="S6066" t="s">
        <v>12468</v>
      </c>
      <c r="T6066" t="s">
        <v>12802</v>
      </c>
      <c r="U6066" t="s">
        <v>12802</v>
      </c>
      <c r="V6066" t="s">
        <v>12802</v>
      </c>
      <c r="W6066" t="s">
        <v>18795</v>
      </c>
      <c r="X6066">
        <v>1</v>
      </c>
      <c r="Y6066" t="s">
        <v>24998</v>
      </c>
      <c r="Z6066" t="s">
        <v>31384</v>
      </c>
      <c r="AA6066">
        <v>0.5895039454650044</v>
      </c>
      <c r="AB6066" t="str">
        <f>HYPERLINK("Melting_Curves/meltCurve_Q9UK53_3_ING1.pdf", "Melting_Curves/meltCurve_Q9UK53_3_ING1.pdf")</f>
        <v>Melting_Curves/meltCurve_Q9UK53_3_ING1.pdf</v>
      </c>
    </row>
    <row r="6067" spans="1:28" x14ac:dyDescent="0.25">
      <c r="A6067" t="s">
        <v>6071</v>
      </c>
      <c r="B6067">
        <v>0.99542014353169495</v>
      </c>
      <c r="C6067">
        <v>1.08050849860025</v>
      </c>
      <c r="D6067">
        <v>0.98363151757470302</v>
      </c>
      <c r="E6067">
        <v>0.98292783265385197</v>
      </c>
      <c r="F6067">
        <v>0.73754782251429696</v>
      </c>
      <c r="G6067">
        <v>0.58449614200535704</v>
      </c>
      <c r="H6067">
        <v>0.31140133216788002</v>
      </c>
      <c r="I6067">
        <v>0.15621658713185399</v>
      </c>
      <c r="J6067">
        <v>0.11844748323800899</v>
      </c>
      <c r="K6067">
        <v>0.13050635070966199</v>
      </c>
      <c r="L6067">
        <v>928.81836997287098</v>
      </c>
      <c r="M6067">
        <v>17.237612397799701</v>
      </c>
      <c r="N6067">
        <v>54.387661967048501</v>
      </c>
      <c r="O6067">
        <v>53.173708884306599</v>
      </c>
      <c r="P6067">
        <v>-7.5061225085532493E-2</v>
      </c>
      <c r="Q6067">
        <v>7.3873583184712197E-2</v>
      </c>
      <c r="R6067">
        <v>0.98932960948015802</v>
      </c>
      <c r="S6067" t="s">
        <v>12469</v>
      </c>
      <c r="T6067" t="s">
        <v>12802</v>
      </c>
      <c r="U6067" t="s">
        <v>12802</v>
      </c>
      <c r="V6067" t="s">
        <v>12802</v>
      </c>
      <c r="W6067" t="s">
        <v>18796</v>
      </c>
      <c r="X6067">
        <v>12</v>
      </c>
      <c r="Y6067" t="s">
        <v>24999</v>
      </c>
      <c r="Z6067" t="s">
        <v>31385</v>
      </c>
      <c r="AA6067">
        <v>0.60849037514758564</v>
      </c>
      <c r="AB6067" t="str">
        <f>HYPERLINK("Melting_Curves/meltCurve_Q9UK59_DBR1.pdf", "Melting_Curves/meltCurve_Q9UK59_DBR1.pdf")</f>
        <v>Melting_Curves/meltCurve_Q9UK59_DBR1.pdf</v>
      </c>
    </row>
    <row r="6068" spans="1:28" x14ac:dyDescent="0.25">
      <c r="A6068" t="s">
        <v>6072</v>
      </c>
      <c r="B6068">
        <v>0.99542014353169495</v>
      </c>
      <c r="C6068">
        <v>0.909558373342093</v>
      </c>
      <c r="D6068">
        <v>1.04594501303981</v>
      </c>
      <c r="E6068">
        <v>0.75654800074782802</v>
      </c>
      <c r="F6068">
        <v>0.42811933017040399</v>
      </c>
      <c r="G6068">
        <v>0.14182765773918601</v>
      </c>
      <c r="H6068">
        <v>0.12856376538901901</v>
      </c>
      <c r="I6068">
        <v>0.145609502811442</v>
      </c>
      <c r="J6068">
        <v>0.173422969277745</v>
      </c>
      <c r="K6068">
        <v>0</v>
      </c>
      <c r="L6068">
        <v>1217.0215438105499</v>
      </c>
      <c r="M6068">
        <v>24.9325436646856</v>
      </c>
      <c r="N6068">
        <v>49.247170349494297</v>
      </c>
      <c r="O6068">
        <v>48.501804839202102</v>
      </c>
      <c r="P6068">
        <v>-0.11582419452062299</v>
      </c>
      <c r="Q6068">
        <v>9.8751225322070299E-2</v>
      </c>
      <c r="R6068">
        <v>0.97796546928719197</v>
      </c>
      <c r="S6068" t="s">
        <v>12470</v>
      </c>
      <c r="T6068" t="s">
        <v>12802</v>
      </c>
      <c r="U6068" t="s">
        <v>12802</v>
      </c>
      <c r="V6068" t="s">
        <v>12802</v>
      </c>
      <c r="W6068" t="s">
        <v>18797</v>
      </c>
      <c r="X6068">
        <v>1</v>
      </c>
      <c r="Y6068" t="s">
        <v>25000</v>
      </c>
      <c r="Z6068" t="s">
        <v>31386</v>
      </c>
      <c r="AA6068">
        <v>0.46142955688331089</v>
      </c>
      <c r="AB6068" t="str">
        <f>HYPERLINK("Melting_Curves/meltCurve_Q9UK61_2_FAM208A.pdf", "Melting_Curves/meltCurve_Q9UK61_2_FAM208A.pdf")</f>
        <v>Melting_Curves/meltCurve_Q9UK61_2_FAM208A.pdf</v>
      </c>
    </row>
    <row r="6069" spans="1:28" x14ac:dyDescent="0.25">
      <c r="A6069" t="s">
        <v>6073</v>
      </c>
      <c r="B6069">
        <v>0.99542014353169495</v>
      </c>
      <c r="C6069">
        <v>0.83453370261259396</v>
      </c>
      <c r="D6069">
        <v>0.84453963587123104</v>
      </c>
      <c r="E6069">
        <v>0.53567876342663201</v>
      </c>
      <c r="F6069">
        <v>0.50804755623782005</v>
      </c>
      <c r="G6069">
        <v>0.27334205525537097</v>
      </c>
      <c r="H6069">
        <v>9.69486323609796E-2</v>
      </c>
      <c r="I6069">
        <v>4.9879454938263297E-2</v>
      </c>
      <c r="J6069">
        <v>6.0619181592272801E-2</v>
      </c>
      <c r="K6069">
        <v>7.3818330039807603E-2</v>
      </c>
      <c r="L6069">
        <v>523.42402848390702</v>
      </c>
      <c r="M6069">
        <v>10.792193615550399</v>
      </c>
      <c r="N6069">
        <v>48.500244474123498</v>
      </c>
      <c r="O6069">
        <v>46.924058346736501</v>
      </c>
      <c r="P6069">
        <v>-5.7519066915207799E-2</v>
      </c>
      <c r="Q6069">
        <v>0</v>
      </c>
      <c r="R6069">
        <v>0.97465835567066705</v>
      </c>
      <c r="S6069" t="s">
        <v>12471</v>
      </c>
      <c r="T6069" t="s">
        <v>12802</v>
      </c>
      <c r="U6069" t="s">
        <v>12802</v>
      </c>
      <c r="V6069" t="s">
        <v>12802</v>
      </c>
      <c r="W6069" t="s">
        <v>18798</v>
      </c>
      <c r="X6069">
        <v>10</v>
      </c>
      <c r="Y6069" t="s">
        <v>25001</v>
      </c>
      <c r="Z6069" t="s">
        <v>31387</v>
      </c>
      <c r="AA6069">
        <v>0.41851878803906312</v>
      </c>
      <c r="AB6069" t="str">
        <f>HYPERLINK("Melting_Curves/meltCurve_Q9UK73_FEM1B.pdf", "Melting_Curves/meltCurve_Q9UK73_FEM1B.pdf")</f>
        <v>Melting_Curves/meltCurve_Q9UK73_FEM1B.pdf</v>
      </c>
    </row>
    <row r="6070" spans="1:28" x14ac:dyDescent="0.25">
      <c r="A6070" t="s">
        <v>6074</v>
      </c>
      <c r="B6070">
        <v>0.99542014353169495</v>
      </c>
      <c r="C6070">
        <v>1.00188266146758</v>
      </c>
      <c r="D6070">
        <v>1.05430301647803</v>
      </c>
      <c r="E6070">
        <v>0.83435302712328197</v>
      </c>
      <c r="F6070">
        <v>0.75193426892414605</v>
      </c>
      <c r="G6070">
        <v>0.45018160900702903</v>
      </c>
      <c r="H6070">
        <v>0.22032122392314599</v>
      </c>
      <c r="I6070">
        <v>0.107035356725175</v>
      </c>
      <c r="J6070">
        <v>0.133337921676913</v>
      </c>
      <c r="K6070">
        <v>0.15398957338759001</v>
      </c>
      <c r="L6070">
        <v>998.05116798196696</v>
      </c>
      <c r="M6070">
        <v>19.0779283764601</v>
      </c>
      <c r="N6070">
        <v>52.928703218047097</v>
      </c>
      <c r="O6070">
        <v>51.749820038548499</v>
      </c>
      <c r="P6070">
        <v>-8.3015120489837502E-2</v>
      </c>
      <c r="Q6070">
        <v>9.9304930746622097E-2</v>
      </c>
      <c r="R6070">
        <v>0.98742750074796104</v>
      </c>
      <c r="S6070" t="s">
        <v>12472</v>
      </c>
      <c r="T6070" t="s">
        <v>12802</v>
      </c>
      <c r="U6070" t="s">
        <v>12802</v>
      </c>
      <c r="V6070" t="s">
        <v>12802</v>
      </c>
      <c r="W6070" t="s">
        <v>18799</v>
      </c>
      <c r="X6070">
        <v>3</v>
      </c>
      <c r="Y6070" t="s">
        <v>25002</v>
      </c>
      <c r="Z6070" t="s">
        <v>31388</v>
      </c>
      <c r="AA6070">
        <v>0.57149683951007613</v>
      </c>
      <c r="AB6070" t="str">
        <f>HYPERLINK("Melting_Curves/meltCurve_Q9UK97_3_FBXO9.pdf", "Melting_Curves/meltCurve_Q9UK97_3_FBXO9.pdf")</f>
        <v>Melting_Curves/meltCurve_Q9UK97_3_FBXO9.pdf</v>
      </c>
    </row>
    <row r="6071" spans="1:28" x14ac:dyDescent="0.25">
      <c r="A6071" t="s">
        <v>6075</v>
      </c>
      <c r="B6071">
        <v>0.99542014353169495</v>
      </c>
      <c r="C6071">
        <v>0.85358420806144697</v>
      </c>
      <c r="D6071">
        <v>1.0594862416438</v>
      </c>
      <c r="E6071">
        <v>1.0465803616484699</v>
      </c>
      <c r="F6071">
        <v>0.93195539218047097</v>
      </c>
      <c r="G6071">
        <v>1.8023018043996599</v>
      </c>
      <c r="H6071">
        <v>1.1806849262224099</v>
      </c>
      <c r="I6071">
        <v>0.24864511548333401</v>
      </c>
      <c r="J6071">
        <v>8.6992328653559894E-2</v>
      </c>
      <c r="K6071">
        <v>6.8905170155578302E-2</v>
      </c>
      <c r="L6071">
        <v>15000</v>
      </c>
      <c r="M6071">
        <v>247.383616393945</v>
      </c>
      <c r="N6071">
        <v>60.676141606408798</v>
      </c>
      <c r="O6071">
        <v>60.630608499838601</v>
      </c>
      <c r="P6071">
        <v>-0.94053417387387095</v>
      </c>
      <c r="Q6071">
        <v>7.7947651958092001E-2</v>
      </c>
      <c r="R6071">
        <v>0.73526306167283395</v>
      </c>
      <c r="S6071" t="s">
        <v>12473</v>
      </c>
      <c r="T6071" t="s">
        <v>12802</v>
      </c>
      <c r="U6071" t="s">
        <v>12802</v>
      </c>
      <c r="V6071" t="s">
        <v>12802</v>
      </c>
      <c r="W6071" t="s">
        <v>18800</v>
      </c>
      <c r="X6071">
        <v>2</v>
      </c>
      <c r="Y6071" t="s">
        <v>25003</v>
      </c>
      <c r="Z6071" t="s">
        <v>31389</v>
      </c>
      <c r="AA6071">
        <v>0.804458314493117</v>
      </c>
      <c r="AB6071" t="str">
        <f>HYPERLINK("Melting_Curves/meltCurve_Q9UKA4_AKAP11.pdf", "Melting_Curves/meltCurve_Q9UKA4_AKAP11.pdf")</f>
        <v>Melting_Curves/meltCurve_Q9UKA4_AKAP11.pdf</v>
      </c>
    </row>
    <row r="6072" spans="1:28" x14ac:dyDescent="0.25">
      <c r="A6072" t="s">
        <v>6076</v>
      </c>
      <c r="B6072">
        <v>0.99542014353169495</v>
      </c>
      <c r="C6072">
        <v>1.0174668763166701</v>
      </c>
      <c r="D6072">
        <v>0.98963959644576804</v>
      </c>
      <c r="E6072">
        <v>0.604969479190968</v>
      </c>
      <c r="F6072">
        <v>0.146948626512067</v>
      </c>
      <c r="G6072">
        <v>8.8416549546061901E-2</v>
      </c>
      <c r="H6072">
        <v>6.8511537150513696E-2</v>
      </c>
      <c r="I6072">
        <v>4.9002539245148601E-2</v>
      </c>
      <c r="J6072">
        <v>5.4776888181420701E-2</v>
      </c>
      <c r="K6072">
        <v>4.5619690160280203E-2</v>
      </c>
      <c r="L6072">
        <v>1736.5553707126801</v>
      </c>
      <c r="M6072">
        <v>36.923236528133998</v>
      </c>
      <c r="N6072">
        <v>47.193788584952401</v>
      </c>
      <c r="O6072">
        <v>46.8941847778677</v>
      </c>
      <c r="P6072">
        <v>-0.18510841090629301</v>
      </c>
      <c r="Q6072">
        <v>5.9618368527146297E-2</v>
      </c>
      <c r="R6072">
        <v>0.999132029634481</v>
      </c>
      <c r="S6072" t="s">
        <v>12474</v>
      </c>
      <c r="T6072" t="s">
        <v>12802</v>
      </c>
      <c r="U6072" t="s">
        <v>12802</v>
      </c>
      <c r="V6072" t="s">
        <v>12802</v>
      </c>
      <c r="W6072" t="s">
        <v>18801</v>
      </c>
      <c r="X6072">
        <v>14</v>
      </c>
      <c r="Y6072" t="s">
        <v>25004</v>
      </c>
      <c r="Z6072" t="s">
        <v>31390</v>
      </c>
      <c r="AA6072">
        <v>0.37766052512630421</v>
      </c>
      <c r="AB6072" t="str">
        <f>HYPERLINK("Melting_Curves/meltCurve_Q9UKD2_MRTO4.pdf", "Melting_Curves/meltCurve_Q9UKD2_MRTO4.pdf")</f>
        <v>Melting_Curves/meltCurve_Q9UKD2_MRTO4.pdf</v>
      </c>
    </row>
    <row r="6073" spans="1:28" x14ac:dyDescent="0.25">
      <c r="A6073" t="s">
        <v>6077</v>
      </c>
      <c r="B6073">
        <v>0.99542014353169495</v>
      </c>
      <c r="C6073">
        <v>0.90079603221810001</v>
      </c>
      <c r="D6073">
        <v>0.82128954640599094</v>
      </c>
      <c r="E6073">
        <v>0.80514810746215104</v>
      </c>
      <c r="F6073">
        <v>0.67434518783624597</v>
      </c>
      <c r="G6073">
        <v>0.40628677993646001</v>
      </c>
      <c r="H6073">
        <v>0.137282518936263</v>
      </c>
      <c r="I6073">
        <v>5.4820585474909797E-2</v>
      </c>
      <c r="J6073">
        <v>4.24379777489578E-2</v>
      </c>
      <c r="K6073">
        <v>4.7234631955303898E-2</v>
      </c>
      <c r="L6073">
        <v>728.46087548539003</v>
      </c>
      <c r="M6073">
        <v>14.0853826402811</v>
      </c>
      <c r="N6073">
        <v>51.717507034330303</v>
      </c>
      <c r="O6073">
        <v>50.708536017590703</v>
      </c>
      <c r="P6073">
        <v>-6.9451826514863105E-2</v>
      </c>
      <c r="Q6073">
        <v>0</v>
      </c>
      <c r="R6073">
        <v>0.97400280956219198</v>
      </c>
      <c r="S6073" t="s">
        <v>12475</v>
      </c>
      <c r="T6073" t="s">
        <v>12802</v>
      </c>
      <c r="U6073" t="s">
        <v>12802</v>
      </c>
      <c r="V6073" t="s">
        <v>12802</v>
      </c>
      <c r="W6073" t="s">
        <v>18802</v>
      </c>
      <c r="X6073">
        <v>20</v>
      </c>
      <c r="Y6073" t="s">
        <v>25005</v>
      </c>
      <c r="Z6073" t="s">
        <v>31391</v>
      </c>
      <c r="AA6073">
        <v>0.51148629915254984</v>
      </c>
      <c r="AB6073" t="str">
        <f>HYPERLINK("Melting_Curves/meltCurve_Q9UKE5_2_TNIK.pdf", "Melting_Curves/meltCurve_Q9UKE5_2_TNIK.pdf")</f>
        <v>Melting_Curves/meltCurve_Q9UKE5_2_TNIK.pdf</v>
      </c>
    </row>
    <row r="6074" spans="1:28" x14ac:dyDescent="0.25">
      <c r="A6074" t="s">
        <v>6078</v>
      </c>
      <c r="B6074">
        <v>0.99542014353169495</v>
      </c>
      <c r="C6074">
        <v>0.97871646205065699</v>
      </c>
      <c r="D6074">
        <v>0.99917973563671603</v>
      </c>
      <c r="E6074">
        <v>0.90036646863592795</v>
      </c>
      <c r="F6074">
        <v>0.621717483853233</v>
      </c>
      <c r="G6074">
        <v>0.308764496374478</v>
      </c>
      <c r="H6074">
        <v>9.63833428267616E-2</v>
      </c>
      <c r="I6074">
        <v>3.52503889284854E-2</v>
      </c>
      <c r="J6074">
        <v>3.2258998639235398E-2</v>
      </c>
      <c r="K6074">
        <v>3.7633895228829199E-2</v>
      </c>
      <c r="L6074">
        <v>1091.586170214</v>
      </c>
      <c r="M6074">
        <v>21.235148940629099</v>
      </c>
      <c r="N6074">
        <v>51.480231206284898</v>
      </c>
      <c r="O6074">
        <v>50.955329803267901</v>
      </c>
      <c r="P6074">
        <v>-0.10258950422493</v>
      </c>
      <c r="Q6074">
        <v>1.5340529452204099E-2</v>
      </c>
      <c r="R6074">
        <v>0.99904679348510805</v>
      </c>
      <c r="S6074" t="s">
        <v>12476</v>
      </c>
      <c r="T6074" t="s">
        <v>12802</v>
      </c>
      <c r="U6074" t="s">
        <v>12802</v>
      </c>
      <c r="V6074" t="s">
        <v>12802</v>
      </c>
      <c r="W6074" t="s">
        <v>18803</v>
      </c>
      <c r="X6074">
        <v>20</v>
      </c>
      <c r="Y6074" t="s">
        <v>25005</v>
      </c>
      <c r="Z6074" t="s">
        <v>31392</v>
      </c>
      <c r="AA6074">
        <v>0.49975025827705388</v>
      </c>
      <c r="AB6074" t="str">
        <f>HYPERLINK("Melting_Curves/meltCurve_Q9UKE5_6_TNIK.pdf", "Melting_Curves/meltCurve_Q9UKE5_6_TNIK.pdf")</f>
        <v>Melting_Curves/meltCurve_Q9UKE5_6_TNIK.pdf</v>
      </c>
    </row>
    <row r="6075" spans="1:28" x14ac:dyDescent="0.25">
      <c r="A6075" t="s">
        <v>6079</v>
      </c>
      <c r="B6075">
        <v>0.99542014353169495</v>
      </c>
      <c r="C6075">
        <v>0.95646547234401402</v>
      </c>
      <c r="D6075">
        <v>0.972112301854408</v>
      </c>
      <c r="E6075">
        <v>0.71889740691689497</v>
      </c>
      <c r="F6075">
        <v>0.362137614079313</v>
      </c>
      <c r="G6075">
        <v>0.16637731219985799</v>
      </c>
      <c r="H6075">
        <v>0.103912396866219</v>
      </c>
      <c r="I6075">
        <v>6.8563327321101195E-2</v>
      </c>
      <c r="J6075">
        <v>5.8575668864649398E-2</v>
      </c>
      <c r="K6075">
        <v>5.1830963218887097E-2</v>
      </c>
      <c r="L6075">
        <v>1043.32243363153</v>
      </c>
      <c r="M6075">
        <v>21.5034778330382</v>
      </c>
      <c r="N6075">
        <v>48.800091621276202</v>
      </c>
      <c r="O6075">
        <v>48.105019108314302</v>
      </c>
      <c r="P6075">
        <v>-0.10524118009757299</v>
      </c>
      <c r="Q6075">
        <v>5.8290946980465198E-2</v>
      </c>
      <c r="R6075">
        <v>0.99848450402523303</v>
      </c>
      <c r="S6075" t="s">
        <v>12477</v>
      </c>
      <c r="T6075" t="s">
        <v>12802</v>
      </c>
      <c r="U6075" t="s">
        <v>12802</v>
      </c>
      <c r="V6075" t="s">
        <v>12802</v>
      </c>
      <c r="W6075" t="s">
        <v>18804</v>
      </c>
      <c r="X6075">
        <v>20</v>
      </c>
      <c r="Y6075" t="s">
        <v>25006</v>
      </c>
      <c r="Z6075" t="s">
        <v>31393</v>
      </c>
      <c r="AA6075">
        <v>0.43068503587818519</v>
      </c>
      <c r="AB6075" t="str">
        <f>HYPERLINK("Melting_Curves/meltCurve_Q9UKF6_CPSF3.pdf", "Melting_Curves/meltCurve_Q9UKF6_CPSF3.pdf")</f>
        <v>Melting_Curves/meltCurve_Q9UKF6_CPSF3.pdf</v>
      </c>
    </row>
    <row r="6076" spans="1:28" x14ac:dyDescent="0.25">
      <c r="A6076" t="s">
        <v>6080</v>
      </c>
      <c r="B6076">
        <v>0.99542014353169495</v>
      </c>
      <c r="C6076">
        <v>1.04973707117202</v>
      </c>
      <c r="D6076">
        <v>1.05636259167881</v>
      </c>
      <c r="E6076">
        <v>0.92642794382293603</v>
      </c>
      <c r="F6076">
        <v>0.43135771947604201</v>
      </c>
      <c r="G6076">
        <v>0.17935286612315501</v>
      </c>
      <c r="H6076">
        <v>0.105586183608812</v>
      </c>
      <c r="I6076">
        <v>7.3911268981604397E-2</v>
      </c>
      <c r="J6076">
        <v>9.4689091902425304E-2</v>
      </c>
      <c r="K6076">
        <v>7.1387584432187901E-2</v>
      </c>
      <c r="L6076">
        <v>1753.5232574055799</v>
      </c>
      <c r="M6076">
        <v>35.377130139621997</v>
      </c>
      <c r="N6076">
        <v>49.848915459238199</v>
      </c>
      <c r="O6076">
        <v>49.408978882632198</v>
      </c>
      <c r="P6076">
        <v>-0.162751242989435</v>
      </c>
      <c r="Q6076">
        <v>9.0785635443122098E-2</v>
      </c>
      <c r="R6076">
        <v>0.99531434725622803</v>
      </c>
      <c r="S6076" t="s">
        <v>12478</v>
      </c>
      <c r="T6076" t="s">
        <v>12802</v>
      </c>
      <c r="U6076" t="s">
        <v>12802</v>
      </c>
      <c r="V6076" t="s">
        <v>12802</v>
      </c>
      <c r="W6076" t="s">
        <v>18805</v>
      </c>
      <c r="X6076">
        <v>7</v>
      </c>
      <c r="Y6076" t="s">
        <v>25007</v>
      </c>
      <c r="Z6076" t="s">
        <v>31394</v>
      </c>
      <c r="AA6076">
        <v>0.47562794113306761</v>
      </c>
      <c r="AB6076" t="str">
        <f>HYPERLINK("Melting_Curves/meltCurve_Q9UKG1_APPL1.pdf", "Melting_Curves/meltCurve_Q9UKG1_APPL1.pdf")</f>
        <v>Melting_Curves/meltCurve_Q9UKG1_APPL1.pdf</v>
      </c>
    </row>
    <row r="6077" spans="1:28" x14ac:dyDescent="0.25">
      <c r="A6077" t="s">
        <v>6081</v>
      </c>
      <c r="B6077">
        <v>0.99542014353169495</v>
      </c>
      <c r="C6077">
        <v>0.98031812193203005</v>
      </c>
      <c r="D6077">
        <v>0.989175786397682</v>
      </c>
      <c r="E6077">
        <v>0.83048020859844096</v>
      </c>
      <c r="F6077">
        <v>0.58359711565581895</v>
      </c>
      <c r="G6077">
        <v>0.23461275226718001</v>
      </c>
      <c r="H6077">
        <v>7.9144580027195197E-2</v>
      </c>
      <c r="I6077">
        <v>5.1668345940293098E-2</v>
      </c>
      <c r="J6077">
        <v>4.6801631407101002E-2</v>
      </c>
      <c r="K6077">
        <v>5.5943191122157697E-2</v>
      </c>
      <c r="L6077">
        <v>1074.67516527627</v>
      </c>
      <c r="M6077">
        <v>21.243112570500099</v>
      </c>
      <c r="N6077">
        <v>50.741195290867097</v>
      </c>
      <c r="O6077">
        <v>50.1474418666416</v>
      </c>
      <c r="P6077">
        <v>-0.102644698385373</v>
      </c>
      <c r="Q6077">
        <v>3.07941874734876E-2</v>
      </c>
      <c r="R6077">
        <v>0.99792890095918396</v>
      </c>
      <c r="S6077" t="s">
        <v>12479</v>
      </c>
      <c r="T6077" t="s">
        <v>12802</v>
      </c>
      <c r="U6077" t="s">
        <v>12802</v>
      </c>
      <c r="V6077" t="s">
        <v>12802</v>
      </c>
      <c r="W6077" t="s">
        <v>18806</v>
      </c>
      <c r="X6077">
        <v>14</v>
      </c>
      <c r="Y6077" t="s">
        <v>25008</v>
      </c>
      <c r="Z6077" t="s">
        <v>31395</v>
      </c>
      <c r="AA6077">
        <v>0.48129189096684921</v>
      </c>
      <c r="AB6077" t="str">
        <f>HYPERLINK("Melting_Curves/meltCurve_Q9UKI8_TLK1.pdf", "Melting_Curves/meltCurve_Q9UKI8_TLK1.pdf")</f>
        <v>Melting_Curves/meltCurve_Q9UKI8_TLK1.pdf</v>
      </c>
    </row>
    <row r="6078" spans="1:28" x14ac:dyDescent="0.25">
      <c r="A6078" t="s">
        <v>6082</v>
      </c>
      <c r="B6078">
        <v>0.99542014353169495</v>
      </c>
      <c r="C6078">
        <v>0.77460624424233804</v>
      </c>
      <c r="D6078">
        <v>0.85587865241718697</v>
      </c>
      <c r="E6078">
        <v>0.60348488413969303</v>
      </c>
      <c r="F6078">
        <v>0.33155962601329497</v>
      </c>
      <c r="G6078">
        <v>0.25249657699461903</v>
      </c>
      <c r="H6078">
        <v>0.118891744762902</v>
      </c>
      <c r="I6078">
        <v>0.10021969918965901</v>
      </c>
      <c r="J6078">
        <v>0.12958638761046601</v>
      </c>
      <c r="K6078">
        <v>0.19153775602341899</v>
      </c>
      <c r="L6078">
        <v>627.85827556153401</v>
      </c>
      <c r="M6078">
        <v>13.394496797388101</v>
      </c>
      <c r="N6078">
        <v>47.679430432758899</v>
      </c>
      <c r="O6078">
        <v>45.8665264383527</v>
      </c>
      <c r="P6078">
        <v>-6.5629265652300997E-2</v>
      </c>
      <c r="Q6078">
        <v>0.101209041555919</v>
      </c>
      <c r="R6078">
        <v>0.96331256849322899</v>
      </c>
      <c r="S6078" t="s">
        <v>12480</v>
      </c>
      <c r="T6078" t="s">
        <v>12802</v>
      </c>
      <c r="U6078" t="s">
        <v>12802</v>
      </c>
      <c r="V6078" t="s">
        <v>12802</v>
      </c>
      <c r="W6078" t="s">
        <v>18807</v>
      </c>
      <c r="X6078">
        <v>6</v>
      </c>
      <c r="Y6078" t="s">
        <v>25009</v>
      </c>
      <c r="Z6078" t="s">
        <v>31396</v>
      </c>
      <c r="AA6078">
        <v>0.42180180663671052</v>
      </c>
      <c r="AB6078" t="str">
        <f>HYPERLINK("Melting_Curves/meltCurve_Q9UKJ3_2_GPATCH8.pdf", "Melting_Curves/meltCurve_Q9UKJ3_2_GPATCH8.pdf")</f>
        <v>Melting_Curves/meltCurve_Q9UKJ3_2_GPATCH8.pdf</v>
      </c>
    </row>
    <row r="6079" spans="1:28" x14ac:dyDescent="0.25">
      <c r="A6079" t="s">
        <v>6083</v>
      </c>
      <c r="B6079">
        <v>0.99542014353169495</v>
      </c>
      <c r="C6079">
        <v>0.84099939760183196</v>
      </c>
      <c r="D6079">
        <v>0.79409299659611898</v>
      </c>
      <c r="E6079">
        <v>0.53687196155360495</v>
      </c>
      <c r="F6079">
        <v>0.23033112588224</v>
      </c>
      <c r="G6079">
        <v>0.123920666323455</v>
      </c>
      <c r="H6079">
        <v>6.6804627439692399E-2</v>
      </c>
      <c r="I6079">
        <v>4.9861925666774103E-2</v>
      </c>
      <c r="J6079">
        <v>4.2548907020241403E-2</v>
      </c>
      <c r="K6079">
        <v>7.1942839616444404E-2</v>
      </c>
      <c r="L6079">
        <v>703.14432394710104</v>
      </c>
      <c r="M6079">
        <v>15.1562221973861</v>
      </c>
      <c r="N6079">
        <v>46.576101023816399</v>
      </c>
      <c r="O6079">
        <v>45.6079527511666</v>
      </c>
      <c r="P6079">
        <v>-8.0685371106443499E-2</v>
      </c>
      <c r="Q6079">
        <v>2.89038127186175E-2</v>
      </c>
      <c r="R6079">
        <v>0.99106445201635196</v>
      </c>
      <c r="S6079" t="s">
        <v>12481</v>
      </c>
      <c r="T6079" t="s">
        <v>12802</v>
      </c>
      <c r="U6079" t="s">
        <v>12802</v>
      </c>
      <c r="V6079" t="s">
        <v>12802</v>
      </c>
      <c r="W6079" t="s">
        <v>18808</v>
      </c>
      <c r="X6079">
        <v>4</v>
      </c>
      <c r="Y6079" t="s">
        <v>25010</v>
      </c>
      <c r="Z6079" t="s">
        <v>31397</v>
      </c>
      <c r="AA6079">
        <v>0.35470678073874901</v>
      </c>
      <c r="AB6079" t="str">
        <f>HYPERLINK("Melting_Curves/meltCurve_Q9UKL0_RCOR1.pdf", "Melting_Curves/meltCurve_Q9UKL0_RCOR1.pdf")</f>
        <v>Melting_Curves/meltCurve_Q9UKL0_RCOR1.pdf</v>
      </c>
    </row>
    <row r="6080" spans="1:28" x14ac:dyDescent="0.25">
      <c r="A6080" t="s">
        <v>6084</v>
      </c>
      <c r="B6080">
        <v>0.99542014353169495</v>
      </c>
      <c r="C6080">
        <v>1.0041490028225599</v>
      </c>
      <c r="D6080">
        <v>0.95636290054619999</v>
      </c>
      <c r="E6080">
        <v>0.84857413202230703</v>
      </c>
      <c r="F6080">
        <v>0.62622791337041295</v>
      </c>
      <c r="G6080">
        <v>0.21574427190633799</v>
      </c>
      <c r="H6080">
        <v>0.116918311528025</v>
      </c>
      <c r="I6080">
        <v>7.2661253372808807E-2</v>
      </c>
      <c r="J6080">
        <v>7.1298437833845402E-2</v>
      </c>
      <c r="K6080">
        <v>7.6461563898291895E-2</v>
      </c>
      <c r="L6080">
        <v>1175.9773368546</v>
      </c>
      <c r="M6080">
        <v>23.2018558578607</v>
      </c>
      <c r="N6080">
        <v>50.958564265843599</v>
      </c>
      <c r="O6080">
        <v>50.3126265498422</v>
      </c>
      <c r="P6080">
        <v>-0.108530922136575</v>
      </c>
      <c r="Q6080">
        <v>5.8631238820151803E-2</v>
      </c>
      <c r="R6080">
        <v>0.996075976574882</v>
      </c>
      <c r="S6080" t="s">
        <v>12482</v>
      </c>
      <c r="T6080" t="s">
        <v>12802</v>
      </c>
      <c r="U6080" t="s">
        <v>12802</v>
      </c>
      <c r="V6080" t="s">
        <v>12802</v>
      </c>
      <c r="W6080" t="s">
        <v>18809</v>
      </c>
      <c r="X6080">
        <v>18</v>
      </c>
      <c r="Y6080" t="s">
        <v>25011</v>
      </c>
      <c r="Z6080" t="s">
        <v>31398</v>
      </c>
      <c r="AA6080">
        <v>0.4975528330173869</v>
      </c>
      <c r="AB6080" t="str">
        <f>HYPERLINK("Melting_Curves/meltCurve_Q9UKN8_GTF3C4.pdf", "Melting_Curves/meltCurve_Q9UKN8_GTF3C4.pdf")</f>
        <v>Melting_Curves/meltCurve_Q9UKN8_GTF3C4.pdf</v>
      </c>
    </row>
    <row r="6081" spans="1:28" x14ac:dyDescent="0.25">
      <c r="A6081" t="s">
        <v>6085</v>
      </c>
      <c r="B6081">
        <v>0.99542014353169495</v>
      </c>
      <c r="C6081">
        <v>1.03060562916821</v>
      </c>
      <c r="D6081">
        <v>1.03879186633356</v>
      </c>
      <c r="E6081">
        <v>0.60667745564392395</v>
      </c>
      <c r="F6081">
        <v>0.34670408124016699</v>
      </c>
      <c r="G6081">
        <v>0.17829501914447399</v>
      </c>
      <c r="H6081">
        <v>0.11729922258629299</v>
      </c>
      <c r="I6081">
        <v>9.2564676658112105E-2</v>
      </c>
      <c r="J6081">
        <v>8.7944411772304401E-2</v>
      </c>
      <c r="K6081">
        <v>9.8842343257791704E-2</v>
      </c>
      <c r="L6081">
        <v>1136.13665832019</v>
      </c>
      <c r="M6081">
        <v>23.8351998929875</v>
      </c>
      <c r="N6081">
        <v>48.124843321114703</v>
      </c>
      <c r="O6081">
        <v>47.334612528838797</v>
      </c>
      <c r="P6081">
        <v>-0.113101759005339</v>
      </c>
      <c r="Q6081">
        <v>0.101573973762959</v>
      </c>
      <c r="R6081">
        <v>0.98846296356525998</v>
      </c>
      <c r="S6081" t="s">
        <v>12483</v>
      </c>
      <c r="T6081" t="s">
        <v>12802</v>
      </c>
      <c r="U6081" t="s">
        <v>12802</v>
      </c>
      <c r="V6081" t="s">
        <v>12802</v>
      </c>
      <c r="W6081" t="s">
        <v>18810</v>
      </c>
      <c r="X6081">
        <v>6</v>
      </c>
      <c r="Y6081" t="s">
        <v>25012</v>
      </c>
      <c r="Z6081" t="s">
        <v>31399</v>
      </c>
      <c r="AA6081">
        <v>0.42937976478801843</v>
      </c>
      <c r="AB6081" t="str">
        <f>HYPERLINK("Melting_Curves/meltCurve_Q9UKS6_PACSIN3.pdf", "Melting_Curves/meltCurve_Q9UKS6_PACSIN3.pdf")</f>
        <v>Melting_Curves/meltCurve_Q9UKS6_PACSIN3.pdf</v>
      </c>
    </row>
    <row r="6082" spans="1:28" x14ac:dyDescent="0.25">
      <c r="A6082" t="s">
        <v>6086</v>
      </c>
      <c r="B6082">
        <v>0.99542014353169495</v>
      </c>
      <c r="C6082">
        <v>1.06162151651806</v>
      </c>
      <c r="D6082">
        <v>1.02643099005629</v>
      </c>
      <c r="E6082">
        <v>0.95531692779073496</v>
      </c>
      <c r="F6082">
        <v>0.64694146995991597</v>
      </c>
      <c r="G6082">
        <v>0.42380467454869197</v>
      </c>
      <c r="H6082">
        <v>0.20874946545429099</v>
      </c>
      <c r="I6082">
        <v>0.116463422418315</v>
      </c>
      <c r="J6082">
        <v>5.8371782393518999E-2</v>
      </c>
      <c r="K6082">
        <v>6.2087048477012699E-2</v>
      </c>
      <c r="L6082">
        <v>972.01407346630697</v>
      </c>
      <c r="M6082">
        <v>18.590520956978899</v>
      </c>
      <c r="N6082">
        <v>52.561502529382501</v>
      </c>
      <c r="O6082">
        <v>51.691744086781902</v>
      </c>
      <c r="P6082">
        <v>-8.5732981454397394E-2</v>
      </c>
      <c r="Q6082">
        <v>4.6504435624167798E-2</v>
      </c>
      <c r="R6082">
        <v>0.99293586538371603</v>
      </c>
      <c r="S6082" t="s">
        <v>12484</v>
      </c>
      <c r="T6082" t="s">
        <v>12802</v>
      </c>
      <c r="U6082" t="s">
        <v>12802</v>
      </c>
      <c r="V6082" t="s">
        <v>12802</v>
      </c>
      <c r="W6082" t="s">
        <v>18811</v>
      </c>
      <c r="X6082">
        <v>6</v>
      </c>
      <c r="Y6082" t="s">
        <v>25013</v>
      </c>
      <c r="Z6082" t="s">
        <v>31400</v>
      </c>
      <c r="AA6082">
        <v>0.54597004063967047</v>
      </c>
      <c r="AB6082" t="str">
        <f>HYPERLINK("Melting_Curves/meltCurve_Q9UKT4_2_FBXO5.pdf", "Melting_Curves/meltCurve_Q9UKT4_2_FBXO5.pdf")</f>
        <v>Melting_Curves/meltCurve_Q9UKT4_2_FBXO5.pdf</v>
      </c>
    </row>
    <row r="6083" spans="1:28" x14ac:dyDescent="0.25">
      <c r="A6083" t="s">
        <v>6087</v>
      </c>
      <c r="B6083">
        <v>0.99542014353169495</v>
      </c>
      <c r="C6083">
        <v>1.0500006445258101</v>
      </c>
      <c r="D6083">
        <v>0.96022586087716799</v>
      </c>
      <c r="E6083">
        <v>0.91456165817646096</v>
      </c>
      <c r="F6083">
        <v>0.53010837973783997</v>
      </c>
      <c r="G6083">
        <v>0.136123810543579</v>
      </c>
      <c r="H6083">
        <v>0.13112335910894499</v>
      </c>
      <c r="I6083">
        <v>0.104051293955262</v>
      </c>
      <c r="J6083">
        <v>0.133563852895726</v>
      </c>
      <c r="K6083">
        <v>0.19848972886327901</v>
      </c>
      <c r="L6083">
        <v>1953.65379514236</v>
      </c>
      <c r="M6083">
        <v>39.163600468180697</v>
      </c>
      <c r="N6083">
        <v>50.277904494995902</v>
      </c>
      <c r="O6083">
        <v>49.7548955811246</v>
      </c>
      <c r="P6083">
        <v>-0.17080984099954399</v>
      </c>
      <c r="Q6083">
        <v>0.13198923966180001</v>
      </c>
      <c r="R6083">
        <v>0.99204698756872201</v>
      </c>
      <c r="S6083" t="s">
        <v>12485</v>
      </c>
      <c r="T6083" t="s">
        <v>12802</v>
      </c>
      <c r="U6083" t="s">
        <v>12802</v>
      </c>
      <c r="V6083" t="s">
        <v>12802</v>
      </c>
      <c r="W6083" t="s">
        <v>18812</v>
      </c>
      <c r="X6083">
        <v>4</v>
      </c>
      <c r="Y6083" t="s">
        <v>25014</v>
      </c>
      <c r="Z6083" t="s">
        <v>31401</v>
      </c>
      <c r="AA6083">
        <v>0.50790443542497832</v>
      </c>
      <c r="AB6083" t="str">
        <f>HYPERLINK("Melting_Curves/meltCurve_Q9UKT5_FBXO4.pdf", "Melting_Curves/meltCurve_Q9UKT5_FBXO4.pdf")</f>
        <v>Melting_Curves/meltCurve_Q9UKT5_FBXO4.pdf</v>
      </c>
    </row>
    <row r="6084" spans="1:28" x14ac:dyDescent="0.25">
      <c r="A6084" t="s">
        <v>6088</v>
      </c>
      <c r="B6084">
        <v>0.99542014353169495</v>
      </c>
      <c r="C6084">
        <v>0.91922272984391595</v>
      </c>
      <c r="D6084">
        <v>0.79421539271997998</v>
      </c>
      <c r="E6084">
        <v>0.70681628638023197</v>
      </c>
      <c r="F6084">
        <v>0.55828178945575002</v>
      </c>
      <c r="G6084">
        <v>0.40888266473734602</v>
      </c>
      <c r="H6084">
        <v>0.156128024106156</v>
      </c>
      <c r="I6084">
        <v>9.9674307216584795E-2</v>
      </c>
      <c r="J6084">
        <v>9.4039764710247803E-2</v>
      </c>
      <c r="K6084">
        <v>0.114575244961128</v>
      </c>
      <c r="L6084">
        <v>513.541779561216</v>
      </c>
      <c r="M6084">
        <v>10.1661592674334</v>
      </c>
      <c r="N6084">
        <v>50.514826151710601</v>
      </c>
      <c r="O6084">
        <v>48.677174363751703</v>
      </c>
      <c r="P6084">
        <v>-5.2235991173383303E-2</v>
      </c>
      <c r="Q6084">
        <v>0</v>
      </c>
      <c r="R6084">
        <v>0.98358326706593002</v>
      </c>
      <c r="S6084" t="s">
        <v>12486</v>
      </c>
      <c r="T6084" t="s">
        <v>12802</v>
      </c>
      <c r="U6084" t="s">
        <v>12802</v>
      </c>
      <c r="V6084" t="s">
        <v>12802</v>
      </c>
      <c r="W6084" t="s">
        <v>18813</v>
      </c>
      <c r="X6084">
        <v>5</v>
      </c>
      <c r="Y6084" t="s">
        <v>25015</v>
      </c>
      <c r="Z6084" t="s">
        <v>31402</v>
      </c>
      <c r="AA6084">
        <v>0.48223963359762989</v>
      </c>
      <c r="AB6084" t="str">
        <f>HYPERLINK("Melting_Curves/meltCurve_Q9UKU7_ACAD8.pdf", "Melting_Curves/meltCurve_Q9UKU7_ACAD8.pdf")</f>
        <v>Melting_Curves/meltCurve_Q9UKU7_ACAD8.pdf</v>
      </c>
    </row>
    <row r="6085" spans="1:28" x14ac:dyDescent="0.25">
      <c r="A6085" t="s">
        <v>6089</v>
      </c>
      <c r="B6085">
        <v>0.99542014353169495</v>
      </c>
      <c r="C6085">
        <v>0.90374464032972301</v>
      </c>
      <c r="D6085">
        <v>0.88235821110564505</v>
      </c>
      <c r="E6085">
        <v>0.620602637832114</v>
      </c>
      <c r="F6085">
        <v>0.39541372654256202</v>
      </c>
      <c r="G6085">
        <v>0.123825696369673</v>
      </c>
      <c r="H6085">
        <v>7.3860983960818499E-2</v>
      </c>
      <c r="I6085">
        <v>5.3391389221293599E-2</v>
      </c>
      <c r="J6085">
        <v>6.1158748065142501E-2</v>
      </c>
      <c r="K6085">
        <v>6.6783171024163895E-2</v>
      </c>
      <c r="L6085">
        <v>776.689190988169</v>
      </c>
      <c r="M6085">
        <v>16.185509081395899</v>
      </c>
      <c r="N6085">
        <v>48.172309254525999</v>
      </c>
      <c r="O6085">
        <v>47.272121784647403</v>
      </c>
      <c r="P6085">
        <v>-8.3016246984662603E-2</v>
      </c>
      <c r="Q6085">
        <v>3.0228998125540502E-2</v>
      </c>
      <c r="R6085">
        <v>0.992942298006113</v>
      </c>
      <c r="S6085" t="s">
        <v>12487</v>
      </c>
      <c r="T6085" t="s">
        <v>12802</v>
      </c>
      <c r="U6085" t="s">
        <v>12802</v>
      </c>
      <c r="V6085" t="s">
        <v>12802</v>
      </c>
      <c r="W6085" t="s">
        <v>18814</v>
      </c>
      <c r="X6085">
        <v>9</v>
      </c>
      <c r="Y6085" t="s">
        <v>25016</v>
      </c>
      <c r="Z6085" t="s">
        <v>31403</v>
      </c>
      <c r="AA6085">
        <v>0.40413071371946219</v>
      </c>
      <c r="AB6085" t="str">
        <f>HYPERLINK("Melting_Curves/meltCurve_Q9UKV5_AMFR.pdf", "Melting_Curves/meltCurve_Q9UKV5_AMFR.pdf")</f>
        <v>Melting_Curves/meltCurve_Q9UKV5_AMFR.pdf</v>
      </c>
    </row>
    <row r="6086" spans="1:28" x14ac:dyDescent="0.25">
      <c r="A6086" t="s">
        <v>6090</v>
      </c>
      <c r="B6086">
        <v>0.99542014353169495</v>
      </c>
      <c r="C6086">
        <v>0.89513277027565397</v>
      </c>
      <c r="D6086">
        <v>0.87007892147998001</v>
      </c>
      <c r="E6086">
        <v>0.73836607309575497</v>
      </c>
      <c r="F6086">
        <v>0.48401205485583898</v>
      </c>
      <c r="G6086">
        <v>0.27548008700913201</v>
      </c>
      <c r="H6086">
        <v>0.22338532648477599</v>
      </c>
      <c r="I6086">
        <v>0.24801706276702001</v>
      </c>
      <c r="J6086">
        <v>0.247241251125186</v>
      </c>
      <c r="K6086">
        <v>0.18305832660282301</v>
      </c>
      <c r="L6086">
        <v>749.062746766327</v>
      </c>
      <c r="M6086">
        <v>15.552966231031901</v>
      </c>
      <c r="N6086">
        <v>49.695137660482203</v>
      </c>
      <c r="O6086">
        <v>47.386914024537703</v>
      </c>
      <c r="P6086">
        <v>-6.6423806443157707E-2</v>
      </c>
      <c r="Q6086">
        <v>0.19054843572623001</v>
      </c>
      <c r="R6086">
        <v>0.98581729201289803</v>
      </c>
      <c r="S6086" t="s">
        <v>12488</v>
      </c>
      <c r="T6086" t="s">
        <v>12802</v>
      </c>
      <c r="U6086" t="s">
        <v>12802</v>
      </c>
      <c r="V6086" t="s">
        <v>12802</v>
      </c>
      <c r="W6086" t="s">
        <v>18815</v>
      </c>
      <c r="X6086">
        <v>9</v>
      </c>
      <c r="Y6086" t="s">
        <v>25017</v>
      </c>
      <c r="Z6086" t="s">
        <v>31404</v>
      </c>
      <c r="AA6086">
        <v>0.5084345804959971</v>
      </c>
      <c r="AB6086" t="str">
        <f>HYPERLINK("Melting_Curves/meltCurve_Q9UKV8_AGO2.pdf", "Melting_Curves/meltCurve_Q9UKV8_AGO2.pdf")</f>
        <v>Melting_Curves/meltCurve_Q9UKV8_AGO2.pdf</v>
      </c>
    </row>
    <row r="6087" spans="1:28" x14ac:dyDescent="0.25">
      <c r="A6087" t="s">
        <v>6091</v>
      </c>
      <c r="B6087">
        <v>0.99542014353169495</v>
      </c>
      <c r="C6087">
        <v>0.97834203420479304</v>
      </c>
      <c r="D6087">
        <v>1.1596411187256499</v>
      </c>
      <c r="E6087">
        <v>0.93159681662087701</v>
      </c>
      <c r="F6087">
        <v>0.87545433198571199</v>
      </c>
      <c r="G6087">
        <v>0.54757529275195505</v>
      </c>
      <c r="H6087">
        <v>0.20126230805331399</v>
      </c>
      <c r="I6087">
        <v>0.116918878822283</v>
      </c>
      <c r="J6087">
        <v>0.11796500940803099</v>
      </c>
      <c r="K6087">
        <v>0.14688681742654999</v>
      </c>
      <c r="L6087">
        <v>1565.4392009114599</v>
      </c>
      <c r="M6087">
        <v>29.226664447596399</v>
      </c>
      <c r="N6087">
        <v>54.033329490368203</v>
      </c>
      <c r="O6087">
        <v>53.313143402434399</v>
      </c>
      <c r="P6087">
        <v>-0.121632477386521</v>
      </c>
      <c r="Q6087">
        <v>0.11251415320697</v>
      </c>
      <c r="R6087">
        <v>0.98040061437792303</v>
      </c>
      <c r="S6087" t="s">
        <v>12489</v>
      </c>
      <c r="T6087" t="s">
        <v>12802</v>
      </c>
      <c r="U6087" t="s">
        <v>12802</v>
      </c>
      <c r="V6087" t="s">
        <v>12802</v>
      </c>
      <c r="W6087" t="s">
        <v>18816</v>
      </c>
      <c r="X6087">
        <v>14</v>
      </c>
      <c r="Y6087" t="s">
        <v>25018</v>
      </c>
      <c r="Z6087" t="s">
        <v>31405</v>
      </c>
      <c r="AA6087">
        <v>0.60840642720295357</v>
      </c>
      <c r="AB6087" t="str">
        <f>HYPERLINK("Melting_Curves/meltCurve_Q9UKX7_2_NUP50.pdf", "Melting_Curves/meltCurve_Q9UKX7_2_NUP50.pdf")</f>
        <v>Melting_Curves/meltCurve_Q9UKX7_2_NUP50.pdf</v>
      </c>
    </row>
    <row r="6088" spans="1:28" x14ac:dyDescent="0.25">
      <c r="A6088" t="s">
        <v>6092</v>
      </c>
      <c r="B6088">
        <v>0.99542014353169495</v>
      </c>
      <c r="C6088">
        <v>0.84465810164776201</v>
      </c>
      <c r="D6088">
        <v>0.58652242550290101</v>
      </c>
      <c r="E6088">
        <v>0.378498366633158</v>
      </c>
      <c r="F6088">
        <v>0.236448283346924</v>
      </c>
      <c r="G6088">
        <v>0.13815374292021701</v>
      </c>
      <c r="H6088">
        <v>9.70914339561601E-2</v>
      </c>
      <c r="I6088">
        <v>7.1618705809975799E-2</v>
      </c>
      <c r="J6088">
        <v>4.1336985371827298E-2</v>
      </c>
      <c r="K6088">
        <v>6.3229714246182803E-2</v>
      </c>
      <c r="L6088">
        <v>611.55533582786995</v>
      </c>
      <c r="M6088">
        <v>13.789781618345399</v>
      </c>
      <c r="N6088">
        <v>44.710417842944501</v>
      </c>
      <c r="O6088">
        <v>43.447015617599099</v>
      </c>
      <c r="P6088">
        <v>-7.5167830743910605E-2</v>
      </c>
      <c r="Q6088">
        <v>5.2817837411538497E-2</v>
      </c>
      <c r="R6088">
        <v>0.99452416519609299</v>
      </c>
      <c r="S6088" t="s">
        <v>12490</v>
      </c>
      <c r="T6088" t="s">
        <v>12802</v>
      </c>
      <c r="U6088" t="s">
        <v>12802</v>
      </c>
      <c r="V6088" t="s">
        <v>12802</v>
      </c>
      <c r="W6088" t="s">
        <v>18817</v>
      </c>
      <c r="X6088">
        <v>2</v>
      </c>
      <c r="Y6088" t="s">
        <v>25019</v>
      </c>
      <c r="Z6088" t="s">
        <v>31406</v>
      </c>
      <c r="AA6088">
        <v>0.31224166692868421</v>
      </c>
      <c r="AB6088" t="str">
        <f>HYPERLINK("Melting_Curves/meltCurve_Q9UKY1_ZHX1.pdf", "Melting_Curves/meltCurve_Q9UKY1_ZHX1.pdf")</f>
        <v>Melting_Curves/meltCurve_Q9UKY1_ZHX1.pdf</v>
      </c>
    </row>
    <row r="6089" spans="1:28" x14ac:dyDescent="0.25">
      <c r="A6089" t="s">
        <v>6093</v>
      </c>
      <c r="B6089">
        <v>0.99542014353169495</v>
      </c>
      <c r="C6089">
        <v>1.0193107200632601</v>
      </c>
      <c r="D6089">
        <v>0.93155624062124898</v>
      </c>
      <c r="E6089">
        <v>0.98778907077001799</v>
      </c>
      <c r="F6089">
        <v>0.78455183190581701</v>
      </c>
      <c r="G6089">
        <v>0.67428091732024098</v>
      </c>
      <c r="H6089">
        <v>0.54902495446494803</v>
      </c>
      <c r="I6089">
        <v>0.60158814962901097</v>
      </c>
      <c r="J6089">
        <v>1.0446308450638799</v>
      </c>
      <c r="K6089">
        <v>1.4124966247902699</v>
      </c>
      <c r="L6089">
        <v>15000</v>
      </c>
      <c r="M6089">
        <v>231.89961220863501</v>
      </c>
      <c r="O6089">
        <v>64.678338383792195</v>
      </c>
      <c r="P6089">
        <v>0.369866039831173</v>
      </c>
      <c r="Q6089">
        <v>1.4126324343304799</v>
      </c>
      <c r="R6089">
        <v>0.122060498295767</v>
      </c>
      <c r="S6089" t="s">
        <v>12491</v>
      </c>
      <c r="T6089" t="s">
        <v>12802</v>
      </c>
      <c r="U6089" t="s">
        <v>12802</v>
      </c>
      <c r="V6089" t="s">
        <v>12802</v>
      </c>
      <c r="W6089" t="s">
        <v>18818</v>
      </c>
      <c r="X6089">
        <v>15</v>
      </c>
      <c r="Y6089" t="s">
        <v>25020</v>
      </c>
      <c r="Z6089" t="s">
        <v>31407</v>
      </c>
      <c r="AA6089">
        <v>1.0318136872703141</v>
      </c>
      <c r="AB6089" t="str">
        <f>HYPERLINK("Melting_Curves/meltCurve_Q9UKY7_CDV3.pdf", "Melting_Curves/meltCurve_Q9UKY7_CDV3.pdf")</f>
        <v>Melting_Curves/meltCurve_Q9UKY7_CDV3.pdf</v>
      </c>
    </row>
    <row r="6090" spans="1:28" x14ac:dyDescent="0.25">
      <c r="A6090" t="s">
        <v>6094</v>
      </c>
      <c r="B6090">
        <v>0.99542014353169495</v>
      </c>
      <c r="C6090">
        <v>0.92851238530326197</v>
      </c>
      <c r="D6090">
        <v>0.97797943767825102</v>
      </c>
      <c r="E6090">
        <v>0.56577153064272001</v>
      </c>
      <c r="F6090">
        <v>0.21627867321135799</v>
      </c>
      <c r="G6090">
        <v>6.91918760142331E-2</v>
      </c>
      <c r="H6090">
        <v>4.1126286275754702E-2</v>
      </c>
      <c r="I6090">
        <v>1.06161546425528E-2</v>
      </c>
      <c r="J6090">
        <v>1.7142696032426099E-2</v>
      </c>
      <c r="K6090">
        <v>2.5599634578813701E-2</v>
      </c>
      <c r="L6090">
        <v>1200.0053579190201</v>
      </c>
      <c r="M6090">
        <v>25.423851127245399</v>
      </c>
      <c r="N6090">
        <v>47.2871731467866</v>
      </c>
      <c r="O6090">
        <v>46.910871029101799</v>
      </c>
      <c r="P6090">
        <v>-0.132389475952323</v>
      </c>
      <c r="Q6090">
        <v>2.2897474967802801E-2</v>
      </c>
      <c r="R6090">
        <v>0.99527970846956504</v>
      </c>
      <c r="S6090" t="s">
        <v>12492</v>
      </c>
      <c r="T6090" t="s">
        <v>12802</v>
      </c>
      <c r="U6090" t="s">
        <v>12802</v>
      </c>
      <c r="V6090" t="s">
        <v>12802</v>
      </c>
      <c r="W6090" t="s">
        <v>18819</v>
      </c>
      <c r="X6090">
        <v>3</v>
      </c>
      <c r="Y6090" t="s">
        <v>25021</v>
      </c>
      <c r="Z6090" t="s">
        <v>31408</v>
      </c>
      <c r="AA6090">
        <v>0.36306860610330383</v>
      </c>
      <c r="AB6090" t="str">
        <f>HYPERLINK("Melting_Curves/meltCurve_Q9UKZ1_CNOT11.pdf", "Melting_Curves/meltCurve_Q9UKZ1_CNOT11.pdf")</f>
        <v>Melting_Curves/meltCurve_Q9UKZ1_CNOT11.pdf</v>
      </c>
    </row>
    <row r="6091" spans="1:28" x14ac:dyDescent="0.25">
      <c r="A6091" t="s">
        <v>6095</v>
      </c>
      <c r="B6091">
        <v>0.99542014353169495</v>
      </c>
      <c r="C6091">
        <v>0.96535632952155204</v>
      </c>
      <c r="D6091">
        <v>1.0993960164049901</v>
      </c>
      <c r="E6091">
        <v>0.77256744131895505</v>
      </c>
      <c r="F6091">
        <v>0.74699534507822796</v>
      </c>
      <c r="G6091">
        <v>0.47040792573559598</v>
      </c>
      <c r="H6091">
        <v>0.28098285325744399</v>
      </c>
      <c r="I6091">
        <v>0.14079979216073099</v>
      </c>
      <c r="J6091">
        <v>0.115132320168133</v>
      </c>
      <c r="K6091">
        <v>7.8419467364818501E-2</v>
      </c>
      <c r="L6091">
        <v>747.36036447294896</v>
      </c>
      <c r="M6091">
        <v>14.0538237066325</v>
      </c>
      <c r="N6091">
        <v>53.358797878992398</v>
      </c>
      <c r="O6091">
        <v>52.136453485739501</v>
      </c>
      <c r="P6091">
        <v>-6.5835004871565198E-2</v>
      </c>
      <c r="Q6091">
        <v>2.3196438611038699E-2</v>
      </c>
      <c r="R6091">
        <v>0.97685973299443496</v>
      </c>
      <c r="S6091" t="s">
        <v>12493</v>
      </c>
      <c r="T6091" t="s">
        <v>12802</v>
      </c>
      <c r="U6091" t="s">
        <v>12802</v>
      </c>
      <c r="V6091" t="s">
        <v>12802</v>
      </c>
      <c r="W6091" t="s">
        <v>18820</v>
      </c>
      <c r="X6091">
        <v>1</v>
      </c>
      <c r="Y6091" t="s">
        <v>25022</v>
      </c>
      <c r="Z6091" t="s">
        <v>31409</v>
      </c>
      <c r="AA6091">
        <v>0.56813146365148981</v>
      </c>
      <c r="AB6091" t="str">
        <f>HYPERLINK("Melting_Curves/meltCurve_Q9UL03_3_INTS6.pdf", "Melting_Curves/meltCurve_Q9UL03_3_INTS6.pdf")</f>
        <v>Melting_Curves/meltCurve_Q9UL03_3_INTS6.pdf</v>
      </c>
    </row>
    <row r="6092" spans="1:28" x14ac:dyDescent="0.25">
      <c r="A6092" t="s">
        <v>6096</v>
      </c>
      <c r="B6092">
        <v>0.99542014353169495</v>
      </c>
      <c r="C6092">
        <v>1.06356216541361</v>
      </c>
      <c r="D6092">
        <v>0.91986183009203204</v>
      </c>
      <c r="E6092">
        <v>0.678400203433003</v>
      </c>
      <c r="F6092">
        <v>0.22617775818456401</v>
      </c>
      <c r="G6092">
        <v>0.12185299778718101</v>
      </c>
      <c r="H6092">
        <v>6.5694074599798605E-2</v>
      </c>
      <c r="I6092">
        <v>4.5467572149497301E-2</v>
      </c>
      <c r="J6092">
        <v>5.1997663442346097E-2</v>
      </c>
      <c r="K6092">
        <v>5.6494922580424503E-2</v>
      </c>
      <c r="L6092">
        <v>1290.1706681247199</v>
      </c>
      <c r="M6092">
        <v>27.086195413772</v>
      </c>
      <c r="N6092">
        <v>47.838479211549298</v>
      </c>
      <c r="O6092">
        <v>47.3746789012568</v>
      </c>
      <c r="P6092">
        <v>-0.13505348631469299</v>
      </c>
      <c r="Q6092">
        <v>5.5156660317244997E-2</v>
      </c>
      <c r="R6092">
        <v>0.99589534498675802</v>
      </c>
      <c r="S6092" t="s">
        <v>12494</v>
      </c>
      <c r="T6092" t="s">
        <v>12802</v>
      </c>
      <c r="U6092" t="s">
        <v>12802</v>
      </c>
      <c r="V6092" t="s">
        <v>12802</v>
      </c>
      <c r="W6092" t="s">
        <v>18821</v>
      </c>
      <c r="X6092">
        <v>7</v>
      </c>
      <c r="Y6092" t="s">
        <v>25023</v>
      </c>
      <c r="Z6092" t="s">
        <v>31410</v>
      </c>
      <c r="AA6092">
        <v>0.39683403844465798</v>
      </c>
      <c r="AB6092" t="str">
        <f>HYPERLINK("Melting_Curves/meltCurve_Q9UL15_BAG5.pdf", "Melting_Curves/meltCurve_Q9UL15_BAG5.pdf")</f>
        <v>Melting_Curves/meltCurve_Q9UL15_BAG5.pdf</v>
      </c>
    </row>
    <row r="6093" spans="1:28" x14ac:dyDescent="0.25">
      <c r="A6093" t="s">
        <v>6097</v>
      </c>
      <c r="B6093">
        <v>0.99542014353169495</v>
      </c>
      <c r="C6093">
        <v>0.98995742991739</v>
      </c>
      <c r="D6093">
        <v>0.93437323955437102</v>
      </c>
      <c r="E6093">
        <v>0.87199012076673699</v>
      </c>
      <c r="F6093">
        <v>0.75433695435200898</v>
      </c>
      <c r="G6093">
        <v>0.65600024355889697</v>
      </c>
      <c r="H6093">
        <v>0.53076926142288705</v>
      </c>
      <c r="I6093">
        <v>0.50712696532322799</v>
      </c>
      <c r="J6093">
        <v>0.71947652156300301</v>
      </c>
      <c r="K6093">
        <v>0.53253973835683599</v>
      </c>
      <c r="L6093">
        <v>843.49744394635195</v>
      </c>
      <c r="M6093">
        <v>17.238425730416399</v>
      </c>
      <c r="O6093">
        <v>48.2869943587012</v>
      </c>
      <c r="P6093">
        <v>-3.8829579946892602E-2</v>
      </c>
      <c r="Q6093">
        <v>0.56495934071935305</v>
      </c>
      <c r="R6093">
        <v>0.89742173256867597</v>
      </c>
      <c r="S6093" t="s">
        <v>12495</v>
      </c>
      <c r="T6093" t="s">
        <v>12802</v>
      </c>
      <c r="U6093" t="s">
        <v>12802</v>
      </c>
      <c r="V6093" t="s">
        <v>12802</v>
      </c>
      <c r="W6093" t="s">
        <v>18822</v>
      </c>
      <c r="X6093">
        <v>12</v>
      </c>
      <c r="Y6093" t="s">
        <v>25024</v>
      </c>
      <c r="Z6093" t="s">
        <v>31411</v>
      </c>
      <c r="AA6093">
        <v>0.74543559894232536</v>
      </c>
      <c r="AB6093" t="str">
        <f>HYPERLINK("Melting_Curves/meltCurve_Q9UL25_RAB21.pdf", "Melting_Curves/meltCurve_Q9UL25_RAB21.pdf")</f>
        <v>Melting_Curves/meltCurve_Q9UL25_RAB21.pdf</v>
      </c>
    </row>
    <row r="6094" spans="1:28" x14ac:dyDescent="0.25">
      <c r="A6094" t="s">
        <v>6098</v>
      </c>
      <c r="B6094">
        <v>0.99542014353169495</v>
      </c>
      <c r="C6094">
        <v>1.1250336343170599</v>
      </c>
      <c r="D6094">
        <v>1.0374234997740499</v>
      </c>
      <c r="E6094">
        <v>0.93222852567233105</v>
      </c>
      <c r="F6094">
        <v>0.81864352629230197</v>
      </c>
      <c r="G6094">
        <v>0.494684744494925</v>
      </c>
      <c r="H6094">
        <v>0.32213671055577098</v>
      </c>
      <c r="I6094">
        <v>0.16713211733800401</v>
      </c>
      <c r="J6094">
        <v>0.17271697617130199</v>
      </c>
      <c r="K6094">
        <v>0.20222874708037</v>
      </c>
      <c r="L6094">
        <v>1175.69484782531</v>
      </c>
      <c r="M6094">
        <v>22.2178158064327</v>
      </c>
      <c r="N6094">
        <v>53.895470586565899</v>
      </c>
      <c r="O6094">
        <v>52.493668607116902</v>
      </c>
      <c r="P6094">
        <v>-8.8249159403183897E-2</v>
      </c>
      <c r="Q6094">
        <v>0.165998562256536</v>
      </c>
      <c r="R6094">
        <v>0.98400342703721599</v>
      </c>
      <c r="S6094" t="s">
        <v>12496</v>
      </c>
      <c r="T6094" t="s">
        <v>12802</v>
      </c>
      <c r="U6094" t="s">
        <v>12802</v>
      </c>
      <c r="V6094" t="s">
        <v>12802</v>
      </c>
      <c r="W6094" t="s">
        <v>18823</v>
      </c>
      <c r="X6094">
        <v>7</v>
      </c>
      <c r="Y6094" t="s">
        <v>25025</v>
      </c>
      <c r="Z6094" t="s">
        <v>31412</v>
      </c>
      <c r="AA6094">
        <v>0.61745701718241763</v>
      </c>
      <c r="AB6094" t="str">
        <f>HYPERLINK("Melting_Curves/meltCurve_Q9UL26_RAB22A.pdf", "Melting_Curves/meltCurve_Q9UL26_RAB22A.pdf")</f>
        <v>Melting_Curves/meltCurve_Q9UL26_RAB22A.pdf</v>
      </c>
    </row>
    <row r="6095" spans="1:28" x14ac:dyDescent="0.25">
      <c r="A6095" t="s">
        <v>6099</v>
      </c>
      <c r="B6095">
        <v>0.99542014353169495</v>
      </c>
      <c r="C6095">
        <v>0.71594585083439999</v>
      </c>
      <c r="D6095">
        <v>0.75859888106636997</v>
      </c>
      <c r="E6095">
        <v>0.53034150959154103</v>
      </c>
      <c r="F6095">
        <v>0.25320032564540801</v>
      </c>
      <c r="G6095">
        <v>0.116209866775089</v>
      </c>
      <c r="H6095">
        <v>6.2461444000910103E-2</v>
      </c>
      <c r="I6095">
        <v>5.2746552695643101E-2</v>
      </c>
      <c r="J6095">
        <v>7.9679980218814797E-2</v>
      </c>
      <c r="K6095">
        <v>9.3699979591603505E-2</v>
      </c>
      <c r="L6095">
        <v>552.26468805123102</v>
      </c>
      <c r="M6095">
        <v>12.027641559473601</v>
      </c>
      <c r="N6095">
        <v>46.079016288914197</v>
      </c>
      <c r="O6095">
        <v>44.702261810474901</v>
      </c>
      <c r="P6095">
        <v>-6.5882515658734306E-2</v>
      </c>
      <c r="Q6095">
        <v>2.0790910400820001E-2</v>
      </c>
      <c r="R6095">
        <v>0.96495426939214501</v>
      </c>
      <c r="S6095" t="s">
        <v>12497</v>
      </c>
      <c r="T6095" t="s">
        <v>12802</v>
      </c>
      <c r="U6095" t="s">
        <v>12802</v>
      </c>
      <c r="V6095" t="s">
        <v>12802</v>
      </c>
      <c r="W6095" t="s">
        <v>18824</v>
      </c>
      <c r="X6095">
        <v>2</v>
      </c>
      <c r="Y6095" t="s">
        <v>25026</v>
      </c>
      <c r="Z6095" t="s">
        <v>31413</v>
      </c>
      <c r="AA6095">
        <v>0.34561022161515648</v>
      </c>
      <c r="AB6095" t="str">
        <f>HYPERLINK("Melting_Curves/meltCurve_Q9UL33_2_TRAPPC2L.pdf", "Melting_Curves/meltCurve_Q9UL33_2_TRAPPC2L.pdf")</f>
        <v>Melting_Curves/meltCurve_Q9UL33_2_TRAPPC2L.pdf</v>
      </c>
    </row>
    <row r="6096" spans="1:28" x14ac:dyDescent="0.25">
      <c r="A6096" t="s">
        <v>6100</v>
      </c>
      <c r="B6096">
        <v>0.99542014353169495</v>
      </c>
      <c r="C6096">
        <v>0.96405608850248603</v>
      </c>
      <c r="D6096">
        <v>1.00556004719654</v>
      </c>
      <c r="E6096">
        <v>0.87781425066894303</v>
      </c>
      <c r="F6096">
        <v>0.73342493982155299</v>
      </c>
      <c r="G6096">
        <v>0.34721508407668</v>
      </c>
      <c r="H6096">
        <v>0.118868234932467</v>
      </c>
      <c r="I6096">
        <v>8.9646287134388006E-2</v>
      </c>
      <c r="J6096">
        <v>7.9473657057010302E-2</v>
      </c>
      <c r="K6096">
        <v>0.10754860751819501</v>
      </c>
      <c r="L6096">
        <v>1247.0362247574101</v>
      </c>
      <c r="M6096">
        <v>24.064944109293702</v>
      </c>
      <c r="N6096">
        <v>52.155444591951799</v>
      </c>
      <c r="O6096">
        <v>51.465746670129697</v>
      </c>
      <c r="P6096">
        <v>-0.108509518887404</v>
      </c>
      <c r="Q6096">
        <v>7.1772093935071807E-2</v>
      </c>
      <c r="R6096">
        <v>0.99466964185362605</v>
      </c>
      <c r="S6096" t="s">
        <v>12498</v>
      </c>
      <c r="T6096" t="s">
        <v>12802</v>
      </c>
      <c r="U6096" t="s">
        <v>12802</v>
      </c>
      <c r="V6096" t="s">
        <v>12802</v>
      </c>
      <c r="W6096" t="s">
        <v>18825</v>
      </c>
      <c r="X6096">
        <v>13</v>
      </c>
      <c r="Y6096" t="s">
        <v>25027</v>
      </c>
      <c r="Z6096" t="s">
        <v>31414</v>
      </c>
      <c r="AA6096">
        <v>0.53910732792648774</v>
      </c>
      <c r="AB6096" t="str">
        <f>HYPERLINK("Melting_Curves/meltCurve_Q9UL46_PSME2.pdf", "Melting_Curves/meltCurve_Q9UL46_PSME2.pdf")</f>
        <v>Melting_Curves/meltCurve_Q9UL46_PSME2.pdf</v>
      </c>
    </row>
    <row r="6097" spans="1:28" x14ac:dyDescent="0.25">
      <c r="A6097" t="s">
        <v>6101</v>
      </c>
      <c r="B6097">
        <v>0.99542014353169495</v>
      </c>
      <c r="C6097">
        <v>1.0008966336351801</v>
      </c>
      <c r="D6097">
        <v>0.96321209175716804</v>
      </c>
      <c r="E6097">
        <v>0.24404140063117699</v>
      </c>
      <c r="F6097">
        <v>0.130528859695723</v>
      </c>
      <c r="G6097">
        <v>6.7413264051532404E-2</v>
      </c>
      <c r="H6097">
        <v>4.4113584059691097E-2</v>
      </c>
      <c r="I6097">
        <v>2.8444918389776499E-2</v>
      </c>
      <c r="J6097">
        <v>1.55523267868184E-2</v>
      </c>
      <c r="K6097">
        <v>1.6781412306659499E-2</v>
      </c>
      <c r="L6097">
        <v>2387.4651704354401</v>
      </c>
      <c r="M6097">
        <v>52.549433655205398</v>
      </c>
      <c r="N6097">
        <v>45.521317082223497</v>
      </c>
      <c r="O6097">
        <v>45.367096434165099</v>
      </c>
      <c r="P6097">
        <v>-0.27550759913745099</v>
      </c>
      <c r="Q6097">
        <v>4.8593283511459098E-2</v>
      </c>
      <c r="R6097">
        <v>0.99508733831174601</v>
      </c>
      <c r="S6097" t="s">
        <v>12499</v>
      </c>
      <c r="T6097" t="s">
        <v>12802</v>
      </c>
      <c r="U6097" t="s">
        <v>12802</v>
      </c>
      <c r="V6097" t="s">
        <v>12802</v>
      </c>
      <c r="W6097" t="s">
        <v>18826</v>
      </c>
      <c r="X6097">
        <v>10</v>
      </c>
      <c r="Y6097" t="s">
        <v>25028</v>
      </c>
      <c r="Z6097" t="s">
        <v>31415</v>
      </c>
      <c r="AA6097">
        <v>0.31775106193056979</v>
      </c>
      <c r="AB6097" t="str">
        <f>HYPERLINK("Melting_Curves/meltCurve_Q9UL54_2_TAOK2.pdf", "Melting_Curves/meltCurve_Q9UL54_2_TAOK2.pdf")</f>
        <v>Melting_Curves/meltCurve_Q9UL54_2_TAOK2.pdf</v>
      </c>
    </row>
    <row r="6098" spans="1:28" x14ac:dyDescent="0.25">
      <c r="A6098" t="s">
        <v>6102</v>
      </c>
      <c r="B6098">
        <v>0.99542014353169495</v>
      </c>
      <c r="C6098">
        <v>0.92123514846769605</v>
      </c>
      <c r="D6098">
        <v>0.92667563456020396</v>
      </c>
      <c r="E6098">
        <v>0.80131318809348795</v>
      </c>
      <c r="F6098">
        <v>0.62210689283647702</v>
      </c>
      <c r="G6098">
        <v>0.52276461549391295</v>
      </c>
      <c r="H6098">
        <v>0.42552301286077099</v>
      </c>
      <c r="I6098">
        <v>0.22782490192831201</v>
      </c>
      <c r="J6098">
        <v>0.165195554398789</v>
      </c>
      <c r="K6098">
        <v>0.23593010668294601</v>
      </c>
      <c r="L6098">
        <v>488.68853854244799</v>
      </c>
      <c r="M6098">
        <v>9.1902580921489694</v>
      </c>
      <c r="N6098">
        <v>53.876331993457697</v>
      </c>
      <c r="O6098">
        <v>50.8386144712007</v>
      </c>
      <c r="P6098">
        <v>-4.2672751015073097E-2</v>
      </c>
      <c r="Q6098">
        <v>5.6405576379440998E-2</v>
      </c>
      <c r="R6098">
        <v>0.98371851887040596</v>
      </c>
      <c r="S6098" t="s">
        <v>12500</v>
      </c>
      <c r="T6098" t="s">
        <v>12802</v>
      </c>
      <c r="U6098" t="s">
        <v>12802</v>
      </c>
      <c r="V6098" t="s">
        <v>12802</v>
      </c>
      <c r="W6098" t="s">
        <v>18827</v>
      </c>
      <c r="X6098">
        <v>1</v>
      </c>
      <c r="Y6098" t="s">
        <v>25029</v>
      </c>
      <c r="Z6098" t="s">
        <v>31416</v>
      </c>
      <c r="AA6098">
        <v>0.58546124193378501</v>
      </c>
      <c r="AB6098" t="str">
        <f>HYPERLINK("Melting_Curves/meltCurve_Q9UL62_TRPC5.pdf", "Melting_Curves/meltCurve_Q9UL62_TRPC5.pdf")</f>
        <v>Melting_Curves/meltCurve_Q9UL62_TRPC5.pdf</v>
      </c>
    </row>
    <row r="6099" spans="1:28" x14ac:dyDescent="0.25">
      <c r="A6099" t="s">
        <v>6103</v>
      </c>
      <c r="B6099">
        <v>0.99542014353169495</v>
      </c>
      <c r="C6099">
        <v>0.97057287134067105</v>
      </c>
      <c r="D6099">
        <v>0.988202576586523</v>
      </c>
      <c r="E6099">
        <v>0.95362635404501495</v>
      </c>
      <c r="F6099">
        <v>0.77694313384260705</v>
      </c>
      <c r="G6099">
        <v>0.54307482159890597</v>
      </c>
      <c r="H6099">
        <v>0.22312227789619599</v>
      </c>
      <c r="I6099">
        <v>9.3959795295840906E-2</v>
      </c>
      <c r="J6099">
        <v>9.4774090485298501E-2</v>
      </c>
      <c r="K6099">
        <v>7.3327589404796001E-2</v>
      </c>
      <c r="L6099">
        <v>1067.68945801012</v>
      </c>
      <c r="M6099">
        <v>19.9132521616181</v>
      </c>
      <c r="N6099">
        <v>53.8577835107195</v>
      </c>
      <c r="O6099">
        <v>53.085078987455297</v>
      </c>
      <c r="P6099">
        <v>-8.9789286798919704E-2</v>
      </c>
      <c r="Q6099">
        <v>4.2584236426329101E-2</v>
      </c>
      <c r="R6099">
        <v>0.99690279377244295</v>
      </c>
      <c r="S6099" t="s">
        <v>12501</v>
      </c>
      <c r="T6099" t="s">
        <v>12802</v>
      </c>
      <c r="U6099" t="s">
        <v>12802</v>
      </c>
      <c r="V6099" t="s">
        <v>12802</v>
      </c>
      <c r="W6099" t="s">
        <v>18828</v>
      </c>
      <c r="X6099">
        <v>7</v>
      </c>
      <c r="Y6099" t="s">
        <v>25030</v>
      </c>
      <c r="Z6099" t="s">
        <v>31417</v>
      </c>
      <c r="AA6099">
        <v>0.5847540563969067</v>
      </c>
      <c r="AB6099" t="str">
        <f>HYPERLINK("Melting_Curves/meltCurve_Q9ULC3_RAB23.pdf", "Melting_Curves/meltCurve_Q9ULC3_RAB23.pdf")</f>
        <v>Melting_Curves/meltCurve_Q9ULC3_RAB23.pdf</v>
      </c>
    </row>
    <row r="6100" spans="1:28" x14ac:dyDescent="0.25">
      <c r="A6100" t="s">
        <v>6104</v>
      </c>
      <c r="B6100">
        <v>0.99542014353169495</v>
      </c>
      <c r="C6100">
        <v>1.04665277938385</v>
      </c>
      <c r="D6100">
        <v>0.98493209457567199</v>
      </c>
      <c r="E6100">
        <v>0.99113149403416401</v>
      </c>
      <c r="F6100">
        <v>0.79477240651549097</v>
      </c>
      <c r="G6100">
        <v>0.66127465354297399</v>
      </c>
      <c r="H6100">
        <v>0.41047946159738102</v>
      </c>
      <c r="I6100">
        <v>0.20709284948732501</v>
      </c>
      <c r="J6100">
        <v>0.116474340711062</v>
      </c>
      <c r="K6100">
        <v>0.16489250999683799</v>
      </c>
      <c r="L6100">
        <v>909.19270046329598</v>
      </c>
      <c r="M6100">
        <v>16.474533425989598</v>
      </c>
      <c r="N6100">
        <v>55.7131549354961</v>
      </c>
      <c r="O6100">
        <v>54.393847590492399</v>
      </c>
      <c r="P6100">
        <v>-7.0276003035976906E-2</v>
      </c>
      <c r="Q6100">
        <v>7.1945813290094807E-2</v>
      </c>
      <c r="R6100">
        <v>0.99090210446534199</v>
      </c>
      <c r="S6100" t="s">
        <v>12502</v>
      </c>
      <c r="T6100" t="s">
        <v>12802</v>
      </c>
      <c r="U6100" t="s">
        <v>12802</v>
      </c>
      <c r="V6100" t="s">
        <v>12802</v>
      </c>
      <c r="W6100" t="s">
        <v>18829</v>
      </c>
      <c r="X6100">
        <v>11</v>
      </c>
      <c r="Y6100" t="s">
        <v>25031</v>
      </c>
      <c r="Z6100" t="s">
        <v>31418</v>
      </c>
      <c r="AA6100">
        <v>0.6467361685307047</v>
      </c>
      <c r="AB6100" t="str">
        <f>HYPERLINK("Melting_Curves/meltCurve_Q9ULC4_MCTS1.pdf", "Melting_Curves/meltCurve_Q9ULC4_MCTS1.pdf")</f>
        <v>Melting_Curves/meltCurve_Q9ULC4_MCTS1.pdf</v>
      </c>
    </row>
    <row r="6101" spans="1:28" x14ac:dyDescent="0.25">
      <c r="A6101" t="s">
        <v>6105</v>
      </c>
      <c r="B6101">
        <v>0.99542014353169495</v>
      </c>
      <c r="C6101">
        <v>0.96680647671320097</v>
      </c>
      <c r="D6101">
        <v>1.01881439020636</v>
      </c>
      <c r="E6101">
        <v>0.77685747269087302</v>
      </c>
      <c r="F6101">
        <v>0.51727730314613296</v>
      </c>
      <c r="G6101">
        <v>0.193034377819296</v>
      </c>
      <c r="H6101">
        <v>6.6716574920841196E-2</v>
      </c>
      <c r="I6101">
        <v>2.8968940373186099E-2</v>
      </c>
      <c r="J6101">
        <v>2.2726034744871101E-2</v>
      </c>
      <c r="K6101">
        <v>3.0572219911540001E-2</v>
      </c>
      <c r="L6101">
        <v>1009.9027725350099</v>
      </c>
      <c r="M6101">
        <v>20.180123155654702</v>
      </c>
      <c r="N6101">
        <v>50.090806426211103</v>
      </c>
      <c r="O6101">
        <v>49.5607774293265</v>
      </c>
      <c r="P6101">
        <v>-0.10085584327325001</v>
      </c>
      <c r="Q6101">
        <v>9.2553921443285902E-3</v>
      </c>
      <c r="R6101">
        <v>0.99617326272386297</v>
      </c>
      <c r="S6101" t="s">
        <v>12503</v>
      </c>
      <c r="T6101" t="s">
        <v>12802</v>
      </c>
      <c r="U6101" t="s">
        <v>12802</v>
      </c>
      <c r="V6101" t="s">
        <v>12802</v>
      </c>
      <c r="W6101" t="s">
        <v>18830</v>
      </c>
      <c r="X6101">
        <v>2</v>
      </c>
      <c r="Y6101" t="s">
        <v>25032</v>
      </c>
      <c r="Z6101" t="s">
        <v>31419</v>
      </c>
      <c r="AA6101">
        <v>0.45288769376666521</v>
      </c>
      <c r="AB6101" t="str">
        <f>HYPERLINK("Melting_Curves/meltCurve_Q9ULE0_WWC3.pdf", "Melting_Curves/meltCurve_Q9ULE0_WWC3.pdf")</f>
        <v>Melting_Curves/meltCurve_Q9ULE0_WWC3.pdf</v>
      </c>
    </row>
    <row r="6102" spans="1:28" x14ac:dyDescent="0.25">
      <c r="A6102" t="s">
        <v>6106</v>
      </c>
      <c r="B6102">
        <v>0.99542014353169495</v>
      </c>
      <c r="C6102">
        <v>0.90623358549564204</v>
      </c>
      <c r="D6102">
        <v>0.95961629783383995</v>
      </c>
      <c r="E6102">
        <v>0.83057388319872805</v>
      </c>
      <c r="F6102">
        <v>0.69164017887251195</v>
      </c>
      <c r="G6102">
        <v>0.39673851279835298</v>
      </c>
      <c r="H6102">
        <v>0.388373575814568</v>
      </c>
      <c r="I6102">
        <v>0.40574429752455399</v>
      </c>
      <c r="J6102">
        <v>0.59953468715812097</v>
      </c>
      <c r="K6102">
        <v>0.78746486482966005</v>
      </c>
      <c r="L6102">
        <v>1381.8306081840999</v>
      </c>
      <c r="M6102">
        <v>28.8838995505232</v>
      </c>
      <c r="O6102">
        <v>47.613303950612298</v>
      </c>
      <c r="P6102">
        <v>-7.2466304488975897E-2</v>
      </c>
      <c r="Q6102">
        <v>0.52217894588406699</v>
      </c>
      <c r="R6102">
        <v>0.71578514715720598</v>
      </c>
      <c r="S6102" t="s">
        <v>12504</v>
      </c>
      <c r="T6102" t="s">
        <v>12802</v>
      </c>
      <c r="U6102" t="s">
        <v>12802</v>
      </c>
      <c r="V6102" t="s">
        <v>12802</v>
      </c>
      <c r="W6102" t="s">
        <v>18831</v>
      </c>
      <c r="X6102">
        <v>2</v>
      </c>
      <c r="Y6102" t="s">
        <v>25033</v>
      </c>
      <c r="Z6102" t="s">
        <v>31420</v>
      </c>
      <c r="AA6102">
        <v>0.69789009786784506</v>
      </c>
      <c r="AB6102" t="str">
        <f>HYPERLINK("Melting_Curves/meltCurve_Q9ULF5_SLC39A10.pdf", "Melting_Curves/meltCurve_Q9ULF5_SLC39A10.pdf")</f>
        <v>Melting_Curves/meltCurve_Q9ULF5_SLC39A10.pdf</v>
      </c>
    </row>
    <row r="6103" spans="1:28" x14ac:dyDescent="0.25">
      <c r="A6103" t="s">
        <v>6107</v>
      </c>
      <c r="B6103">
        <v>0.99542014353169495</v>
      </c>
      <c r="C6103">
        <v>0.92516824634719397</v>
      </c>
      <c r="D6103">
        <v>0.85318723112856798</v>
      </c>
      <c r="E6103">
        <v>0.62634145117139195</v>
      </c>
      <c r="F6103">
        <v>0.382245144503566</v>
      </c>
      <c r="G6103">
        <v>0.15948818447819799</v>
      </c>
      <c r="H6103">
        <v>0.10078483485425201</v>
      </c>
      <c r="I6103">
        <v>5.6560145799953297E-2</v>
      </c>
      <c r="J6103">
        <v>7.2349357499362901E-2</v>
      </c>
      <c r="K6103">
        <v>7.3419391021040906E-2</v>
      </c>
      <c r="L6103">
        <v>734.51962017577296</v>
      </c>
      <c r="M6103">
        <v>15.333151023219299</v>
      </c>
      <c r="N6103">
        <v>48.162098788196097</v>
      </c>
      <c r="O6103">
        <v>47.111382951706403</v>
      </c>
      <c r="P6103">
        <v>-7.81648755039073E-2</v>
      </c>
      <c r="Q6103">
        <v>3.9437086947668697E-2</v>
      </c>
      <c r="R6103">
        <v>0.997266342312913</v>
      </c>
      <c r="S6103" t="s">
        <v>12505</v>
      </c>
      <c r="T6103" t="s">
        <v>12802</v>
      </c>
      <c r="U6103" t="s">
        <v>12802</v>
      </c>
      <c r="V6103" t="s">
        <v>12802</v>
      </c>
      <c r="W6103" t="s">
        <v>18832</v>
      </c>
      <c r="X6103">
        <v>3</v>
      </c>
      <c r="Y6103" t="s">
        <v>25034</v>
      </c>
      <c r="Z6103" t="s">
        <v>31421</v>
      </c>
      <c r="AA6103">
        <v>0.40899282555627231</v>
      </c>
      <c r="AB6103" t="str">
        <f>HYPERLINK("Melting_Curves/meltCurve_Q9ULG6_4_CCPG1.pdf", "Melting_Curves/meltCurve_Q9ULG6_4_CCPG1.pdf")</f>
        <v>Melting_Curves/meltCurve_Q9ULG6_4_CCPG1.pdf</v>
      </c>
    </row>
    <row r="6104" spans="1:28" x14ac:dyDescent="0.25">
      <c r="A6104" t="s">
        <v>6108</v>
      </c>
      <c r="B6104">
        <v>0.99542014353169495</v>
      </c>
      <c r="C6104">
        <v>0.78103569612797896</v>
      </c>
      <c r="D6104">
        <v>0.95919183404747299</v>
      </c>
      <c r="E6104">
        <v>0.58559003160122403</v>
      </c>
      <c r="F6104">
        <v>0.470347497050775</v>
      </c>
      <c r="G6104">
        <v>0.183373229694342</v>
      </c>
      <c r="H6104">
        <v>7.9852070563512206E-2</v>
      </c>
      <c r="I6104">
        <v>5.3316028639725198E-2</v>
      </c>
      <c r="J6104">
        <v>5.9843413909229898E-2</v>
      </c>
      <c r="K6104">
        <v>6.0026576290838997E-2</v>
      </c>
      <c r="L6104">
        <v>644.99102176275403</v>
      </c>
      <c r="M6104">
        <v>13.265185113267799</v>
      </c>
      <c r="N6104">
        <v>48.649516215500299</v>
      </c>
      <c r="O6104">
        <v>47.557688921630003</v>
      </c>
      <c r="P6104">
        <v>-6.9490768203326406E-2</v>
      </c>
      <c r="Q6104">
        <v>3.6231857108230399E-3</v>
      </c>
      <c r="R6104">
        <v>0.96114014589720398</v>
      </c>
      <c r="S6104" t="s">
        <v>12506</v>
      </c>
      <c r="T6104" t="s">
        <v>12802</v>
      </c>
      <c r="U6104" t="s">
        <v>12802</v>
      </c>
      <c r="V6104" t="s">
        <v>12802</v>
      </c>
      <c r="W6104" t="s">
        <v>18833</v>
      </c>
      <c r="X6104">
        <v>28</v>
      </c>
      <c r="Y6104" t="s">
        <v>25035</v>
      </c>
      <c r="Z6104" t="s">
        <v>31422</v>
      </c>
      <c r="AA6104">
        <v>0.41582452428025879</v>
      </c>
      <c r="AB6104" t="str">
        <f>HYPERLINK("Melting_Curves/meltCurve_Q9ULH0_4_KIDINS220.pdf", "Melting_Curves/meltCurve_Q9ULH0_4_KIDINS220.pdf")</f>
        <v>Melting_Curves/meltCurve_Q9ULH0_4_KIDINS220.pdf</v>
      </c>
    </row>
    <row r="6105" spans="1:28" x14ac:dyDescent="0.25">
      <c r="A6105" t="s">
        <v>6109</v>
      </c>
      <c r="B6105">
        <v>0.99542014353169495</v>
      </c>
      <c r="C6105">
        <v>0.95933526540298897</v>
      </c>
      <c r="D6105">
        <v>1.0272836590093699</v>
      </c>
      <c r="E6105">
        <v>0.73843259992977295</v>
      </c>
      <c r="F6105">
        <v>0.30835185972499701</v>
      </c>
      <c r="G6105">
        <v>0.15314553650000501</v>
      </c>
      <c r="H6105">
        <v>0.116712495498262</v>
      </c>
      <c r="I6105">
        <v>7.8853505004500501E-2</v>
      </c>
      <c r="J6105">
        <v>8.1404772039699605E-2</v>
      </c>
      <c r="K6105">
        <v>9.6793693776316206E-2</v>
      </c>
      <c r="L6105">
        <v>1391.7072614291001</v>
      </c>
      <c r="M6105">
        <v>28.897962860427299</v>
      </c>
      <c r="N6105">
        <v>48.509947570566901</v>
      </c>
      <c r="O6105">
        <v>47.930502492809197</v>
      </c>
      <c r="P6105">
        <v>-0.136524468609723</v>
      </c>
      <c r="Q6105">
        <v>9.4242471959981505E-2</v>
      </c>
      <c r="R6105">
        <v>0.99647359675034097</v>
      </c>
      <c r="S6105" t="s">
        <v>12507</v>
      </c>
      <c r="T6105" t="s">
        <v>12802</v>
      </c>
      <c r="U6105" t="s">
        <v>12802</v>
      </c>
      <c r="V6105" t="s">
        <v>12802</v>
      </c>
      <c r="W6105" t="s">
        <v>18834</v>
      </c>
      <c r="X6105">
        <v>10</v>
      </c>
      <c r="Y6105" t="s">
        <v>25036</v>
      </c>
      <c r="Z6105" t="s">
        <v>31423</v>
      </c>
      <c r="AA6105">
        <v>0.43696412625460129</v>
      </c>
      <c r="AB6105" t="str">
        <f>HYPERLINK("Melting_Curves/meltCurve_Q9ULH1_ASAP1.pdf", "Melting_Curves/meltCurve_Q9ULH1_ASAP1.pdf")</f>
        <v>Melting_Curves/meltCurve_Q9ULH1_ASAP1.pdf</v>
      </c>
    </row>
    <row r="6106" spans="1:28" x14ac:dyDescent="0.25">
      <c r="A6106" t="s">
        <v>6110</v>
      </c>
      <c r="B6106">
        <v>0.99542014353169495</v>
      </c>
      <c r="C6106">
        <v>0.907247314302568</v>
      </c>
      <c r="D6106">
        <v>0.89082991957198399</v>
      </c>
      <c r="E6106">
        <v>0.55565146184442704</v>
      </c>
      <c r="F6106">
        <v>0.22143576873360199</v>
      </c>
      <c r="G6106">
        <v>0.14908977920550601</v>
      </c>
      <c r="H6106">
        <v>9.8230773547419395E-2</v>
      </c>
      <c r="I6106">
        <v>3.2849876863111901E-2</v>
      </c>
      <c r="J6106">
        <v>4.24795677927974E-2</v>
      </c>
      <c r="K6106">
        <v>0</v>
      </c>
      <c r="L6106">
        <v>879.08721671387696</v>
      </c>
      <c r="M6106">
        <v>18.703677633639799</v>
      </c>
      <c r="N6106">
        <v>47.164435872103098</v>
      </c>
      <c r="O6106">
        <v>46.473373680740004</v>
      </c>
      <c r="P6106">
        <v>-9.7457673069499401E-2</v>
      </c>
      <c r="Q6106">
        <v>3.1421553120151803E-2</v>
      </c>
      <c r="R6106">
        <v>0.99337243210551196</v>
      </c>
      <c r="S6106" t="s">
        <v>12508</v>
      </c>
      <c r="T6106" t="s">
        <v>12802</v>
      </c>
      <c r="U6106" t="s">
        <v>12802</v>
      </c>
      <c r="V6106" t="s">
        <v>12802</v>
      </c>
      <c r="W6106" t="s">
        <v>18835</v>
      </c>
      <c r="X6106">
        <v>1</v>
      </c>
      <c r="Y6106" t="s">
        <v>25037</v>
      </c>
      <c r="Z6106" t="s">
        <v>31424</v>
      </c>
      <c r="AA6106">
        <v>0.36875077760146902</v>
      </c>
      <c r="AB6106" t="str">
        <f>HYPERLINK("Melting_Curves/meltCurve_Q9ULJ3_2_ZBTB21.pdf", "Melting_Curves/meltCurve_Q9ULJ3_2_ZBTB21.pdf")</f>
        <v>Melting_Curves/meltCurve_Q9ULJ3_2_ZBTB21.pdf</v>
      </c>
    </row>
    <row r="6107" spans="1:28" x14ac:dyDescent="0.25">
      <c r="A6107" t="s">
        <v>6111</v>
      </c>
      <c r="B6107">
        <v>0.99542014353169495</v>
      </c>
      <c r="C6107">
        <v>1.0868500971002</v>
      </c>
      <c r="D6107">
        <v>1.0173528445435001</v>
      </c>
      <c r="E6107">
        <v>0.96233417914935704</v>
      </c>
      <c r="F6107">
        <v>0.76031808926073396</v>
      </c>
      <c r="G6107">
        <v>0.52483704538995402</v>
      </c>
      <c r="H6107">
        <v>0.22056474221692901</v>
      </c>
      <c r="I6107">
        <v>9.6247281831824794E-2</v>
      </c>
      <c r="J6107">
        <v>7.1865012335614695E-2</v>
      </c>
      <c r="K6107">
        <v>8.5134148908513604E-2</v>
      </c>
      <c r="L6107">
        <v>1075.2772913092599</v>
      </c>
      <c r="M6107">
        <v>20.1222294786267</v>
      </c>
      <c r="N6107">
        <v>53.686149228092503</v>
      </c>
      <c r="O6107">
        <v>52.917913089312101</v>
      </c>
      <c r="P6107">
        <v>-9.0833143847729503E-2</v>
      </c>
      <c r="Q6107">
        <v>4.4529787132094399E-2</v>
      </c>
      <c r="R6107">
        <v>0.99271656741769998</v>
      </c>
      <c r="S6107" t="s">
        <v>12509</v>
      </c>
      <c r="T6107" t="s">
        <v>12802</v>
      </c>
      <c r="U6107" t="s">
        <v>12802</v>
      </c>
      <c r="V6107" t="s">
        <v>12802</v>
      </c>
      <c r="W6107" t="s">
        <v>18836</v>
      </c>
      <c r="X6107">
        <v>7</v>
      </c>
      <c r="Y6107" t="s">
        <v>25038</v>
      </c>
      <c r="Z6107" t="s">
        <v>31425</v>
      </c>
      <c r="AA6107">
        <v>0.57979156791352615</v>
      </c>
      <c r="AB6107" t="str">
        <f>HYPERLINK("Melting_Curves/meltCurve_Q9ULJ6_ZMIZ1.pdf", "Melting_Curves/meltCurve_Q9ULJ6_ZMIZ1.pdf")</f>
        <v>Melting_Curves/meltCurve_Q9ULJ6_ZMIZ1.pdf</v>
      </c>
    </row>
    <row r="6108" spans="1:28" x14ac:dyDescent="0.25">
      <c r="A6108" t="s">
        <v>6112</v>
      </c>
      <c r="B6108">
        <v>0.99542014353169495</v>
      </c>
      <c r="C6108">
        <v>1.03629888972314</v>
      </c>
      <c r="D6108">
        <v>1.0015978188430099</v>
      </c>
      <c r="E6108">
        <v>0.730285573935197</v>
      </c>
      <c r="F6108">
        <v>0.41157165057919398</v>
      </c>
      <c r="G6108">
        <v>0.226737759917438</v>
      </c>
      <c r="H6108">
        <v>0.119366544562583</v>
      </c>
      <c r="I6108">
        <v>9.6254748474298796E-2</v>
      </c>
      <c r="J6108">
        <v>9.0217053423894397E-2</v>
      </c>
      <c r="K6108">
        <v>0.124624181754815</v>
      </c>
      <c r="L6108">
        <v>1066.45874191234</v>
      </c>
      <c r="M6108">
        <v>21.8939992933878</v>
      </c>
      <c r="N6108">
        <v>49.214402343266599</v>
      </c>
      <c r="O6108">
        <v>48.309186840071298</v>
      </c>
      <c r="P6108">
        <v>-0.101918870475237</v>
      </c>
      <c r="Q6108">
        <v>0.10048307664879701</v>
      </c>
      <c r="R6108">
        <v>0.99566076365189304</v>
      </c>
      <c r="S6108" t="s">
        <v>12510</v>
      </c>
      <c r="T6108" t="s">
        <v>12802</v>
      </c>
      <c r="U6108" t="s">
        <v>12802</v>
      </c>
      <c r="V6108" t="s">
        <v>12802</v>
      </c>
      <c r="W6108" t="s">
        <v>18837</v>
      </c>
      <c r="X6108">
        <v>8</v>
      </c>
      <c r="Y6108" t="s">
        <v>25039</v>
      </c>
      <c r="Z6108" t="s">
        <v>31426</v>
      </c>
      <c r="AA6108">
        <v>0.46159649767330202</v>
      </c>
      <c r="AB6108" t="str">
        <f>HYPERLINK("Melting_Curves/meltCurve_Q9ULJ7_ANKRD50.pdf", "Melting_Curves/meltCurve_Q9ULJ7_ANKRD50.pdf")</f>
        <v>Melting_Curves/meltCurve_Q9ULJ7_ANKRD50.pdf</v>
      </c>
    </row>
    <row r="6109" spans="1:28" x14ac:dyDescent="0.25">
      <c r="A6109" t="s">
        <v>6113</v>
      </c>
      <c r="B6109">
        <v>0.99542014353169495</v>
      </c>
      <c r="C6109">
        <v>0.99943151330353297</v>
      </c>
      <c r="D6109">
        <v>0.92810081979833203</v>
      </c>
      <c r="E6109">
        <v>0.824971418463194</v>
      </c>
      <c r="F6109">
        <v>0.33418216027355302</v>
      </c>
      <c r="G6109">
        <v>0.13366803643963901</v>
      </c>
      <c r="H6109">
        <v>7.4616124901071307E-2</v>
      </c>
      <c r="I6109">
        <v>5.5737090233268602E-2</v>
      </c>
      <c r="J6109">
        <v>5.1399166670893399E-2</v>
      </c>
      <c r="K6109">
        <v>6.4408189012201897E-2</v>
      </c>
      <c r="L6109">
        <v>1407.86032353936</v>
      </c>
      <c r="M6109">
        <v>28.860940430389899</v>
      </c>
      <c r="N6109">
        <v>48.994911342642602</v>
      </c>
      <c r="O6109">
        <v>48.548422560681601</v>
      </c>
      <c r="P6109">
        <v>-0.13981627840144101</v>
      </c>
      <c r="Q6109">
        <v>5.92395000833549E-2</v>
      </c>
      <c r="R6109">
        <v>0.99779800506738503</v>
      </c>
      <c r="S6109" t="s">
        <v>12511</v>
      </c>
      <c r="T6109" t="s">
        <v>12802</v>
      </c>
      <c r="U6109" t="s">
        <v>12802</v>
      </c>
      <c r="V6109" t="s">
        <v>12802</v>
      </c>
      <c r="W6109" t="s">
        <v>18838</v>
      </c>
      <c r="X6109">
        <v>4</v>
      </c>
      <c r="Y6109" t="s">
        <v>25040</v>
      </c>
      <c r="Z6109" t="s">
        <v>31427</v>
      </c>
      <c r="AA6109">
        <v>0.43477607110956218</v>
      </c>
      <c r="AB6109" t="str">
        <f>HYPERLINK("Melting_Curves/meltCurve_Q9ULP9_2_TBC1D24.pdf", "Melting_Curves/meltCurve_Q9ULP9_2_TBC1D24.pdf")</f>
        <v>Melting_Curves/meltCurve_Q9ULP9_2_TBC1D24.pdf</v>
      </c>
    </row>
    <row r="6110" spans="1:28" x14ac:dyDescent="0.25">
      <c r="A6110" t="s">
        <v>6114</v>
      </c>
      <c r="B6110">
        <v>0.99542014353169495</v>
      </c>
      <c r="C6110">
        <v>0.85504250214585398</v>
      </c>
      <c r="D6110">
        <v>0.76988471191312902</v>
      </c>
      <c r="E6110">
        <v>0.44067841714739397</v>
      </c>
      <c r="F6110">
        <v>0.52616575389620901</v>
      </c>
      <c r="G6110">
        <v>0.81878913326884095</v>
      </c>
      <c r="H6110">
        <v>0.54800452121488297</v>
      </c>
      <c r="I6110">
        <v>0.42732636202464103</v>
      </c>
      <c r="J6110">
        <v>0.62320714686628997</v>
      </c>
      <c r="K6110">
        <v>0.77856229677896205</v>
      </c>
      <c r="L6110">
        <v>1173.9613434805999</v>
      </c>
      <c r="M6110">
        <v>28.432048136359899</v>
      </c>
      <c r="O6110">
        <v>41.087432249029902</v>
      </c>
      <c r="P6110">
        <v>-6.9286113333340005E-2</v>
      </c>
      <c r="Q6110">
        <v>0.59949905666043102</v>
      </c>
      <c r="R6110">
        <v>0.53242822413591995</v>
      </c>
      <c r="S6110" t="s">
        <v>12512</v>
      </c>
      <c r="T6110" t="s">
        <v>12802</v>
      </c>
      <c r="U6110" t="s">
        <v>12802</v>
      </c>
      <c r="V6110" t="s">
        <v>12802</v>
      </c>
      <c r="W6110" t="s">
        <v>18839</v>
      </c>
      <c r="X6110">
        <v>11</v>
      </c>
      <c r="Y6110" t="s">
        <v>25041</v>
      </c>
      <c r="Z6110" t="s">
        <v>31428</v>
      </c>
      <c r="AA6110">
        <v>0.65958664422988533</v>
      </c>
      <c r="AB6110" t="str">
        <f>HYPERLINK("Melting_Curves/meltCurve_Q9ULR0_ISY1.pdf", "Melting_Curves/meltCurve_Q9ULR0_ISY1.pdf")</f>
        <v>Melting_Curves/meltCurve_Q9ULR0_ISY1.pdf</v>
      </c>
    </row>
    <row r="6111" spans="1:28" x14ac:dyDescent="0.25">
      <c r="A6111" t="s">
        <v>6115</v>
      </c>
      <c r="B6111">
        <v>0.99542014353169495</v>
      </c>
      <c r="C6111">
        <v>1.17905832050586</v>
      </c>
      <c r="D6111">
        <v>0.88258607821877999</v>
      </c>
      <c r="E6111">
        <v>0.88031883013298295</v>
      </c>
      <c r="F6111">
        <v>0.69796652676131798</v>
      </c>
      <c r="G6111">
        <v>0.53980237447363999</v>
      </c>
      <c r="H6111">
        <v>0.35628899879014297</v>
      </c>
      <c r="I6111">
        <v>0.207962157768357</v>
      </c>
      <c r="J6111">
        <v>0.12836281564881699</v>
      </c>
      <c r="K6111">
        <v>8.7924356834681E-2</v>
      </c>
      <c r="L6111">
        <v>645.75329218927902</v>
      </c>
      <c r="M6111">
        <v>11.9052038598943</v>
      </c>
      <c r="N6111">
        <v>54.241252286467301</v>
      </c>
      <c r="O6111">
        <v>52.778785921545698</v>
      </c>
      <c r="P6111">
        <v>-5.6406012210066997E-2</v>
      </c>
      <c r="Q6111">
        <v>0</v>
      </c>
      <c r="R6111">
        <v>0.96769400925019899</v>
      </c>
      <c r="S6111" t="s">
        <v>12513</v>
      </c>
      <c r="T6111" t="s">
        <v>12802</v>
      </c>
      <c r="U6111" t="s">
        <v>12802</v>
      </c>
      <c r="V6111" t="s">
        <v>12802</v>
      </c>
      <c r="W6111" t="s">
        <v>18840</v>
      </c>
      <c r="X6111">
        <v>5</v>
      </c>
      <c r="Y6111" t="s">
        <v>25042</v>
      </c>
      <c r="Z6111" t="s">
        <v>31429</v>
      </c>
      <c r="AA6111">
        <v>0.59178621761006289</v>
      </c>
      <c r="AB6111" t="str">
        <f>HYPERLINK("Melting_Curves/meltCurve_Q9ULR3_PPM1H.pdf", "Melting_Curves/meltCurve_Q9ULR3_PPM1H.pdf")</f>
        <v>Melting_Curves/meltCurve_Q9ULR3_PPM1H.pdf</v>
      </c>
    </row>
    <row r="6112" spans="1:28" x14ac:dyDescent="0.25">
      <c r="A6112" t="s">
        <v>6116</v>
      </c>
      <c r="B6112">
        <v>0.99542014353169495</v>
      </c>
      <c r="C6112">
        <v>0.81291612952353598</v>
      </c>
      <c r="D6112">
        <v>0.83378738620706205</v>
      </c>
      <c r="E6112">
        <v>0.56365050986781895</v>
      </c>
      <c r="F6112">
        <v>0.25843601786118497</v>
      </c>
      <c r="G6112">
        <v>0.13343539046596301</v>
      </c>
      <c r="H6112">
        <v>9.6810391760984396E-2</v>
      </c>
      <c r="I6112">
        <v>7.1120656449498207E-2</v>
      </c>
      <c r="J6112">
        <v>0.106830629545787</v>
      </c>
      <c r="K6112">
        <v>0.13247127564356601</v>
      </c>
      <c r="L6112">
        <v>755.67759076390496</v>
      </c>
      <c r="M6112">
        <v>16.281776722012602</v>
      </c>
      <c r="N6112">
        <v>46.887779120094699</v>
      </c>
      <c r="O6112">
        <v>45.729282561561803</v>
      </c>
      <c r="P6112">
        <v>-8.2246338423297205E-2</v>
      </c>
      <c r="Q6112">
        <v>7.6073652496685601E-2</v>
      </c>
      <c r="R6112">
        <v>0.97945374533206697</v>
      </c>
      <c r="S6112" t="s">
        <v>12514</v>
      </c>
      <c r="T6112" t="s">
        <v>12802</v>
      </c>
      <c r="U6112" t="s">
        <v>12802</v>
      </c>
      <c r="V6112" t="s">
        <v>12802</v>
      </c>
      <c r="W6112" t="s">
        <v>18841</v>
      </c>
      <c r="X6112">
        <v>10</v>
      </c>
      <c r="Y6112" t="s">
        <v>25043</v>
      </c>
      <c r="Z6112" t="s">
        <v>31430</v>
      </c>
      <c r="AA6112">
        <v>0.38402631451236768</v>
      </c>
      <c r="AB6112" t="str">
        <f>HYPERLINK("Melting_Curves/meltCurve_Q9ULT8_HECTD1.pdf", "Melting_Curves/meltCurve_Q9ULT8_HECTD1.pdf")</f>
        <v>Melting_Curves/meltCurve_Q9ULT8_HECTD1.pdf</v>
      </c>
    </row>
    <row r="6113" spans="1:28" x14ac:dyDescent="0.25">
      <c r="A6113" t="s">
        <v>6117</v>
      </c>
      <c r="B6113">
        <v>0.99542014353169495</v>
      </c>
      <c r="C6113">
        <v>0.87478815965933698</v>
      </c>
      <c r="D6113">
        <v>0.86358572575532699</v>
      </c>
      <c r="E6113">
        <v>0.54025707553409597</v>
      </c>
      <c r="F6113">
        <v>0.28666515292341499</v>
      </c>
      <c r="G6113">
        <v>0.16529231423350799</v>
      </c>
      <c r="H6113">
        <v>8.3162379684207699E-2</v>
      </c>
      <c r="I6113">
        <v>6.2186171092598101E-2</v>
      </c>
      <c r="J6113">
        <v>8.0030034021661506E-2</v>
      </c>
      <c r="K6113">
        <v>7.1424156363539201E-2</v>
      </c>
      <c r="L6113">
        <v>767.02593677601203</v>
      </c>
      <c r="M6113">
        <v>16.375208046996999</v>
      </c>
      <c r="N6113">
        <v>47.175214243673203</v>
      </c>
      <c r="O6113">
        <v>46.158842179252403</v>
      </c>
      <c r="P6113">
        <v>-8.38338437698401E-2</v>
      </c>
      <c r="Q6113">
        <v>5.4816015545532698E-2</v>
      </c>
      <c r="R6113">
        <v>0.99385301943403004</v>
      </c>
      <c r="S6113" t="s">
        <v>12515</v>
      </c>
      <c r="T6113" t="s">
        <v>12802</v>
      </c>
      <c r="U6113" t="s">
        <v>12802</v>
      </c>
      <c r="V6113" t="s">
        <v>12802</v>
      </c>
      <c r="W6113" t="s">
        <v>18842</v>
      </c>
      <c r="X6113">
        <v>11</v>
      </c>
      <c r="Y6113" t="s">
        <v>25044</v>
      </c>
      <c r="Z6113" t="s">
        <v>31431</v>
      </c>
      <c r="AA6113">
        <v>0.38302997753279378</v>
      </c>
      <c r="AB6113" t="str">
        <f>HYPERLINK("Melting_Curves/meltCurve_Q9ULU4_9_ZMYND8.pdf", "Melting_Curves/meltCurve_Q9ULU4_9_ZMYND8.pdf")</f>
        <v>Melting_Curves/meltCurve_Q9ULU4_9_ZMYND8.pdf</v>
      </c>
    </row>
    <row r="6114" spans="1:28" x14ac:dyDescent="0.25">
      <c r="A6114" t="s">
        <v>6118</v>
      </c>
      <c r="B6114">
        <v>0.99542014353169495</v>
      </c>
      <c r="C6114">
        <v>1.0106711180961301</v>
      </c>
      <c r="D6114">
        <v>1.0028559712239</v>
      </c>
      <c r="E6114">
        <v>0.98051192856481195</v>
      </c>
      <c r="F6114">
        <v>0.749199722331512</v>
      </c>
      <c r="G6114">
        <v>0.29674978711494299</v>
      </c>
      <c r="H6114">
        <v>7.6688902218890506E-2</v>
      </c>
      <c r="I6114">
        <v>4.43054243204722E-2</v>
      </c>
      <c r="J6114">
        <v>4.9177033990668098E-2</v>
      </c>
      <c r="K6114">
        <v>4.6918520043150599E-2</v>
      </c>
      <c r="L6114">
        <v>1590.9275127671899</v>
      </c>
      <c r="M6114">
        <v>30.620141649922498</v>
      </c>
      <c r="N6114">
        <v>52.097384369663502</v>
      </c>
      <c r="O6114">
        <v>51.7367987475346</v>
      </c>
      <c r="P6114">
        <v>-0.14209868200723499</v>
      </c>
      <c r="Q6114">
        <v>3.9627339675759703E-2</v>
      </c>
      <c r="R6114">
        <v>0.999681492718003</v>
      </c>
      <c r="S6114" t="s">
        <v>12516</v>
      </c>
      <c r="T6114" t="s">
        <v>12802</v>
      </c>
      <c r="U6114" t="s">
        <v>12802</v>
      </c>
      <c r="V6114" t="s">
        <v>12802</v>
      </c>
      <c r="W6114" t="s">
        <v>18843</v>
      </c>
      <c r="X6114">
        <v>29</v>
      </c>
      <c r="Y6114" t="s">
        <v>25045</v>
      </c>
      <c r="Z6114" t="s">
        <v>31432</v>
      </c>
      <c r="AA6114">
        <v>0.52425676192464776</v>
      </c>
      <c r="AB6114" t="str">
        <f>HYPERLINK("Melting_Curves/meltCurve_Q9ULV4_CORO1C.pdf", "Melting_Curves/meltCurve_Q9ULV4_CORO1C.pdf")</f>
        <v>Melting_Curves/meltCurve_Q9ULV4_CORO1C.pdf</v>
      </c>
    </row>
    <row r="6115" spans="1:28" x14ac:dyDescent="0.25">
      <c r="A6115" t="s">
        <v>6119</v>
      </c>
      <c r="B6115">
        <v>0.99542014353169495</v>
      </c>
      <c r="C6115">
        <v>1.02366370414541</v>
      </c>
      <c r="D6115">
        <v>1.0079326854898001</v>
      </c>
      <c r="E6115">
        <v>0.96593120199543603</v>
      </c>
      <c r="F6115">
        <v>0.76304479152438998</v>
      </c>
      <c r="G6115">
        <v>0.57332232939538597</v>
      </c>
      <c r="H6115">
        <v>0.41473198569937603</v>
      </c>
      <c r="I6115">
        <v>0.32308538028946399</v>
      </c>
      <c r="J6115">
        <v>0.45014239131788197</v>
      </c>
      <c r="K6115">
        <v>0.66457337349980405</v>
      </c>
      <c r="L6115">
        <v>1614.70965348198</v>
      </c>
      <c r="M6115">
        <v>31.880072314242302</v>
      </c>
      <c r="N6115">
        <v>55.343606922268599</v>
      </c>
      <c r="O6115">
        <v>50.45145135728</v>
      </c>
      <c r="P6115">
        <v>-8.4274639509643798E-2</v>
      </c>
      <c r="Q6115">
        <v>0.46653114662522199</v>
      </c>
      <c r="R6115">
        <v>0.89901294613878202</v>
      </c>
      <c r="S6115" t="s">
        <v>12517</v>
      </c>
      <c r="T6115" t="s">
        <v>12802</v>
      </c>
      <c r="U6115" t="s">
        <v>12802</v>
      </c>
      <c r="V6115" t="s">
        <v>12802</v>
      </c>
      <c r="W6115" t="s">
        <v>18844</v>
      </c>
      <c r="X6115">
        <v>45</v>
      </c>
      <c r="Y6115" t="s">
        <v>25046</v>
      </c>
      <c r="Z6115" t="s">
        <v>31433</v>
      </c>
      <c r="AA6115">
        <v>0.71218438214655</v>
      </c>
      <c r="AB6115" t="str">
        <f>HYPERLINK("Melting_Curves/meltCurve_Q9ULW0_TPX2.pdf", "Melting_Curves/meltCurve_Q9ULW0_TPX2.pdf")</f>
        <v>Melting_Curves/meltCurve_Q9ULW0_TPX2.pdf</v>
      </c>
    </row>
    <row r="6116" spans="1:28" x14ac:dyDescent="0.25">
      <c r="A6116" t="s">
        <v>6120</v>
      </c>
      <c r="B6116">
        <v>0.99542014353169495</v>
      </c>
      <c r="C6116">
        <v>1.02418960073198</v>
      </c>
      <c r="D6116">
        <v>1.0300917633450899</v>
      </c>
      <c r="E6116">
        <v>0.76769307110570295</v>
      </c>
      <c r="F6116">
        <v>0.303452166840535</v>
      </c>
      <c r="G6116">
        <v>7.9106741578251094E-2</v>
      </c>
      <c r="H6116">
        <v>4.9024243650956902E-2</v>
      </c>
      <c r="I6116">
        <v>3.5569589493620102E-2</v>
      </c>
      <c r="J6116">
        <v>3.1797696039774198E-2</v>
      </c>
      <c r="K6116">
        <v>3.2492878383140203E-2</v>
      </c>
      <c r="L6116">
        <v>1445.74751473224</v>
      </c>
      <c r="M6116">
        <v>29.7909905365069</v>
      </c>
      <c r="N6116">
        <v>48.644440788411501</v>
      </c>
      <c r="O6116">
        <v>48.312570833490803</v>
      </c>
      <c r="P6116">
        <v>-0.14892774597127001</v>
      </c>
      <c r="Q6116">
        <v>3.3931085369785598E-2</v>
      </c>
      <c r="R6116">
        <v>0.99812156270888996</v>
      </c>
      <c r="S6116" t="s">
        <v>12518</v>
      </c>
      <c r="T6116" t="s">
        <v>12802</v>
      </c>
      <c r="U6116" t="s">
        <v>12802</v>
      </c>
      <c r="V6116" t="s">
        <v>12802</v>
      </c>
      <c r="W6116" t="s">
        <v>18845</v>
      </c>
      <c r="X6116">
        <v>13</v>
      </c>
      <c r="Y6116" t="s">
        <v>25047</v>
      </c>
      <c r="Z6116" t="s">
        <v>31434</v>
      </c>
      <c r="AA6116">
        <v>0.41107278756085341</v>
      </c>
      <c r="AB6116" t="str">
        <f>HYPERLINK("Melting_Curves/meltCurve_Q9ULX3_NOB1.pdf", "Melting_Curves/meltCurve_Q9ULX3_NOB1.pdf")</f>
        <v>Melting_Curves/meltCurve_Q9ULX3_NOB1.pdf</v>
      </c>
    </row>
    <row r="6117" spans="1:28" x14ac:dyDescent="0.25">
      <c r="A6117" t="s">
        <v>6121</v>
      </c>
      <c r="B6117">
        <v>0.99542014353169495</v>
      </c>
      <c r="C6117">
        <v>0.66943665116730799</v>
      </c>
      <c r="D6117">
        <v>0.58183307421661201</v>
      </c>
      <c r="E6117">
        <v>0.326257894396212</v>
      </c>
      <c r="F6117">
        <v>0.147269704733276</v>
      </c>
      <c r="G6117">
        <v>8.5642189650826303E-2</v>
      </c>
      <c r="H6117">
        <v>5.1353719703480502E-2</v>
      </c>
      <c r="I6117">
        <v>2.8893938357424501E-2</v>
      </c>
      <c r="J6117">
        <v>6.96358183348047E-2</v>
      </c>
      <c r="K6117">
        <v>5.3689238400026297E-2</v>
      </c>
      <c r="L6117">
        <v>576.31925402905597</v>
      </c>
      <c r="M6117">
        <v>13.289516787508299</v>
      </c>
      <c r="N6117">
        <v>43.563181237118101</v>
      </c>
      <c r="O6117">
        <v>42.419801476827502</v>
      </c>
      <c r="P6117">
        <v>-7.6052716274830595E-2</v>
      </c>
      <c r="Q6117">
        <v>2.9124040608404098E-2</v>
      </c>
      <c r="R6117">
        <v>0.97944504366650098</v>
      </c>
      <c r="S6117" t="s">
        <v>12519</v>
      </c>
      <c r="T6117" t="s">
        <v>12802</v>
      </c>
      <c r="U6117" t="s">
        <v>12802</v>
      </c>
      <c r="V6117" t="s">
        <v>12802</v>
      </c>
      <c r="W6117" t="s">
        <v>18846</v>
      </c>
      <c r="X6117">
        <v>6</v>
      </c>
      <c r="Y6117" t="s">
        <v>25048</v>
      </c>
      <c r="Z6117" t="s">
        <v>31435</v>
      </c>
      <c r="AA6117">
        <v>0.26728314454312407</v>
      </c>
      <c r="AB6117" t="str">
        <f>HYPERLINK("Melting_Curves/meltCurve_Q9ULX6_2_AKAP8L.pdf", "Melting_Curves/meltCurve_Q9ULX6_2_AKAP8L.pdf")</f>
        <v>Melting_Curves/meltCurve_Q9ULX6_2_AKAP8L.pdf</v>
      </c>
    </row>
    <row r="6118" spans="1:28" x14ac:dyDescent="0.25">
      <c r="A6118" t="s">
        <v>6122</v>
      </c>
      <c r="B6118">
        <v>0.99542014353169495</v>
      </c>
      <c r="C6118">
        <v>0.92792863589923702</v>
      </c>
      <c r="D6118">
        <v>0.909295460220643</v>
      </c>
      <c r="E6118">
        <v>0.85870431789194701</v>
      </c>
      <c r="F6118">
        <v>0.55711551427598704</v>
      </c>
      <c r="G6118">
        <v>0.367332643976643</v>
      </c>
      <c r="H6118">
        <v>0.124294827734641</v>
      </c>
      <c r="I6118">
        <v>0.119755205661076</v>
      </c>
      <c r="J6118">
        <v>0.15138792253901301</v>
      </c>
      <c r="K6118">
        <v>7.1141607565163703E-2</v>
      </c>
      <c r="L6118">
        <v>841.44806210299203</v>
      </c>
      <c r="M6118">
        <v>16.595676163659501</v>
      </c>
      <c r="N6118">
        <v>51.172423969240903</v>
      </c>
      <c r="O6118">
        <v>49.983804580634498</v>
      </c>
      <c r="P6118">
        <v>-7.7147846463800407E-2</v>
      </c>
      <c r="Q6118">
        <v>7.0629887935560895E-2</v>
      </c>
      <c r="R6118">
        <v>0.98813172429656204</v>
      </c>
      <c r="S6118" t="s">
        <v>12520</v>
      </c>
      <c r="T6118" t="s">
        <v>12802</v>
      </c>
      <c r="U6118" t="s">
        <v>12802</v>
      </c>
      <c r="V6118" t="s">
        <v>12802</v>
      </c>
      <c r="W6118" t="s">
        <v>18847</v>
      </c>
      <c r="X6118">
        <v>5</v>
      </c>
      <c r="Y6118" t="s">
        <v>25049</v>
      </c>
      <c r="Z6118" t="s">
        <v>31436</v>
      </c>
      <c r="AA6118">
        <v>0.51154346449303245</v>
      </c>
      <c r="AB6118" t="str">
        <f>HYPERLINK("Melting_Curves/meltCurve_Q9ULZ3_2_PYCARD.pdf", "Melting_Curves/meltCurve_Q9ULZ3_2_PYCARD.pdf")</f>
        <v>Melting_Curves/meltCurve_Q9ULZ3_2_PYCARD.pdf</v>
      </c>
    </row>
    <row r="6119" spans="1:28" x14ac:dyDescent="0.25">
      <c r="A6119" t="s">
        <v>6123</v>
      </c>
      <c r="B6119">
        <v>0.99542014353169495</v>
      </c>
      <c r="C6119">
        <v>0.93714563751114299</v>
      </c>
      <c r="D6119">
        <v>0.93696577094295996</v>
      </c>
      <c r="E6119">
        <v>0.74256817175912804</v>
      </c>
      <c r="F6119">
        <v>0.41097362716069602</v>
      </c>
      <c r="G6119">
        <v>0.231593444617853</v>
      </c>
      <c r="H6119">
        <v>9.0080257938591896E-2</v>
      </c>
      <c r="I6119">
        <v>6.9357105612172398E-2</v>
      </c>
      <c r="J6119">
        <v>0.104035745609817</v>
      </c>
      <c r="K6119">
        <v>9.8627832171296101E-2</v>
      </c>
      <c r="L6119">
        <v>934.682466880373</v>
      </c>
      <c r="M6119">
        <v>19.141782157439799</v>
      </c>
      <c r="N6119">
        <v>49.2406058913338</v>
      </c>
      <c r="O6119">
        <v>48.305854298598902</v>
      </c>
      <c r="P6119">
        <v>-9.1752268874845999E-2</v>
      </c>
      <c r="Q6119">
        <v>7.3857967859018894E-2</v>
      </c>
      <c r="R6119">
        <v>0.99597556928228004</v>
      </c>
      <c r="S6119" t="s">
        <v>12521</v>
      </c>
      <c r="T6119" t="s">
        <v>12802</v>
      </c>
      <c r="U6119" t="s">
        <v>12802</v>
      </c>
      <c r="V6119" t="s">
        <v>12802</v>
      </c>
      <c r="W6119" t="s">
        <v>18848</v>
      </c>
      <c r="X6119">
        <v>3</v>
      </c>
      <c r="Y6119" t="s">
        <v>25050</v>
      </c>
      <c r="Z6119" t="s">
        <v>31437</v>
      </c>
      <c r="AA6119">
        <v>0.45226093337993267</v>
      </c>
      <c r="AB6119" t="str">
        <f>HYPERLINK("Melting_Curves/meltCurve_Q9UM13_ANAPC10.pdf", "Melting_Curves/meltCurve_Q9UM13_ANAPC10.pdf")</f>
        <v>Melting_Curves/meltCurve_Q9UM13_ANAPC10.pdf</v>
      </c>
    </row>
    <row r="6120" spans="1:28" x14ac:dyDescent="0.25">
      <c r="A6120" t="s">
        <v>6124</v>
      </c>
      <c r="B6120">
        <v>0.99542014353169495</v>
      </c>
      <c r="C6120">
        <v>1.13859168724212</v>
      </c>
      <c r="D6120">
        <v>1.02803133036575</v>
      </c>
      <c r="E6120">
        <v>0.94758259207226603</v>
      </c>
      <c r="F6120">
        <v>0.860180741895061</v>
      </c>
      <c r="G6120">
        <v>0.43606530839916902</v>
      </c>
      <c r="H6120">
        <v>0.34133451346331201</v>
      </c>
      <c r="I6120">
        <v>0.24056464462107299</v>
      </c>
      <c r="J6120">
        <v>0.30899706456428699</v>
      </c>
      <c r="K6120">
        <v>0.36225750955275898</v>
      </c>
      <c r="L6120">
        <v>2063.2053092256701</v>
      </c>
      <c r="M6120">
        <v>39.783937101126099</v>
      </c>
      <c r="N6120">
        <v>53.140099564122899</v>
      </c>
      <c r="O6120">
        <v>51.729748445538199</v>
      </c>
      <c r="P6120">
        <v>-0.133010887633947</v>
      </c>
      <c r="Q6120">
        <v>0.30820271501209601</v>
      </c>
      <c r="R6120">
        <v>0.97350527976981804</v>
      </c>
      <c r="S6120" t="s">
        <v>12522</v>
      </c>
      <c r="T6120" t="s">
        <v>12802</v>
      </c>
      <c r="U6120" t="s">
        <v>12802</v>
      </c>
      <c r="V6120" t="s">
        <v>12802</v>
      </c>
      <c r="W6120" t="s">
        <v>18849</v>
      </c>
      <c r="X6120">
        <v>4</v>
      </c>
      <c r="Y6120" t="s">
        <v>25051</v>
      </c>
      <c r="Z6120" t="s">
        <v>31438</v>
      </c>
      <c r="AA6120">
        <v>0.65338013558618158</v>
      </c>
      <c r="AB6120" t="str">
        <f>HYPERLINK("Melting_Curves/meltCurve_Q9UMF0_ICAM5.pdf", "Melting_Curves/meltCurve_Q9UMF0_ICAM5.pdf")</f>
        <v>Melting_Curves/meltCurve_Q9UMF0_ICAM5.pdf</v>
      </c>
    </row>
    <row r="6121" spans="1:28" x14ac:dyDescent="0.25">
      <c r="A6121" t="s">
        <v>6125</v>
      </c>
      <c r="B6121">
        <v>0.99542014353169495</v>
      </c>
      <c r="C6121">
        <v>1.0552530868730801</v>
      </c>
      <c r="D6121">
        <v>1.06943780936285</v>
      </c>
      <c r="E6121">
        <v>1.12581407275347</v>
      </c>
      <c r="F6121">
        <v>0.94234920050317195</v>
      </c>
      <c r="G6121">
        <v>0.67415665486711096</v>
      </c>
      <c r="H6121">
        <v>0.339241585742309</v>
      </c>
      <c r="I6121">
        <v>0.19011160601955099</v>
      </c>
      <c r="J6121">
        <v>0.22507279685491299</v>
      </c>
      <c r="K6121">
        <v>0.22881019870631999</v>
      </c>
      <c r="L6121">
        <v>1844.3078009322201</v>
      </c>
      <c r="M6121">
        <v>33.911737448231897</v>
      </c>
      <c r="N6121">
        <v>55.2749835652398</v>
      </c>
      <c r="O6121">
        <v>54.197451808051703</v>
      </c>
      <c r="P6121">
        <v>-0.123533711329692</v>
      </c>
      <c r="Q6121">
        <v>0.21028101490242801</v>
      </c>
      <c r="R6121">
        <v>0.98118924714446498</v>
      </c>
      <c r="S6121" t="s">
        <v>12523</v>
      </c>
      <c r="T6121" t="s">
        <v>12802</v>
      </c>
      <c r="U6121" t="s">
        <v>12802</v>
      </c>
      <c r="V6121" t="s">
        <v>12802</v>
      </c>
      <c r="W6121" t="s">
        <v>18850</v>
      </c>
      <c r="X6121">
        <v>5</v>
      </c>
      <c r="Y6121" t="s">
        <v>25052</v>
      </c>
      <c r="Z6121" t="s">
        <v>31439</v>
      </c>
      <c r="AA6121">
        <v>0.67196642132383766</v>
      </c>
      <c r="AB6121" t="str">
        <f>HYPERLINK("Melting_Curves/meltCurve_Q9UMS0_3_NFU1.pdf", "Melting_Curves/meltCurve_Q9UMS0_3_NFU1.pdf")</f>
        <v>Melting_Curves/meltCurve_Q9UMS0_3_NFU1.pdf</v>
      </c>
    </row>
    <row r="6122" spans="1:28" x14ac:dyDescent="0.25">
      <c r="A6122" t="s">
        <v>6126</v>
      </c>
      <c r="B6122">
        <v>0.99542014353169495</v>
      </c>
      <c r="C6122">
        <v>0.92782197056320503</v>
      </c>
      <c r="D6122">
        <v>0.89314886193915299</v>
      </c>
      <c r="E6122">
        <v>0.768507182779267</v>
      </c>
      <c r="F6122">
        <v>1.00675017954725</v>
      </c>
      <c r="G6122">
        <v>0.91502946465394697</v>
      </c>
      <c r="H6122">
        <v>0.59573301267771295</v>
      </c>
      <c r="I6122">
        <v>0.19478249651424201</v>
      </c>
      <c r="J6122">
        <v>8.6797142787736703E-2</v>
      </c>
      <c r="K6122">
        <v>6.2819749896572102E-2</v>
      </c>
      <c r="L6122">
        <v>1860.04658063959</v>
      </c>
      <c r="M6122">
        <v>32.126720687342498</v>
      </c>
      <c r="N6122">
        <v>58.073330145779899</v>
      </c>
      <c r="O6122">
        <v>57.674255230855699</v>
      </c>
      <c r="P6122">
        <v>-0.13279513448087599</v>
      </c>
      <c r="Q6122">
        <v>4.6423625818103498E-2</v>
      </c>
      <c r="R6122">
        <v>0.94739953367847096</v>
      </c>
      <c r="S6122" t="s">
        <v>12524</v>
      </c>
      <c r="T6122" t="s">
        <v>12802</v>
      </c>
      <c r="U6122" t="s">
        <v>12802</v>
      </c>
      <c r="V6122" t="s">
        <v>12802</v>
      </c>
      <c r="W6122" t="s">
        <v>18851</v>
      </c>
      <c r="X6122">
        <v>16</v>
      </c>
      <c r="Y6122" t="s">
        <v>25053</v>
      </c>
      <c r="Z6122" t="s">
        <v>31440</v>
      </c>
      <c r="AA6122">
        <v>0.71555753879748762</v>
      </c>
      <c r="AB6122" t="str">
        <f>HYPERLINK("Melting_Curves/meltCurve_Q9UMS4_PRPF19.pdf", "Melting_Curves/meltCurve_Q9UMS4_PRPF19.pdf")</f>
        <v>Melting_Curves/meltCurve_Q9UMS4_PRPF19.pdf</v>
      </c>
    </row>
    <row r="6123" spans="1:28" x14ac:dyDescent="0.25">
      <c r="A6123" t="s">
        <v>6127</v>
      </c>
      <c r="B6123">
        <v>0.99542014353169495</v>
      </c>
      <c r="C6123">
        <v>1.0783311627874299</v>
      </c>
      <c r="D6123">
        <v>0.99203601895832205</v>
      </c>
      <c r="E6123">
        <v>0.89447684242932501</v>
      </c>
      <c r="F6123">
        <v>0.77466369634610299</v>
      </c>
      <c r="G6123">
        <v>0.58825386913299305</v>
      </c>
      <c r="H6123">
        <v>0.42187845796104501</v>
      </c>
      <c r="I6123">
        <v>0.34663671864416001</v>
      </c>
      <c r="J6123">
        <v>0.46927476762598902</v>
      </c>
      <c r="K6123">
        <v>0.52895525095484597</v>
      </c>
      <c r="L6123">
        <v>1171.6861242345101</v>
      </c>
      <c r="M6123">
        <v>23.043252589637898</v>
      </c>
      <c r="N6123">
        <v>55.7803822231973</v>
      </c>
      <c r="O6123">
        <v>50.468966886271602</v>
      </c>
      <c r="P6123">
        <v>-6.4510717110116605E-2</v>
      </c>
      <c r="Q6123">
        <v>0.43484918955098101</v>
      </c>
      <c r="R6123">
        <v>0.952278352633666</v>
      </c>
      <c r="S6123" t="s">
        <v>12525</v>
      </c>
      <c r="T6123" t="s">
        <v>12802</v>
      </c>
      <c r="U6123" t="s">
        <v>12802</v>
      </c>
      <c r="V6123" t="s">
        <v>12802</v>
      </c>
      <c r="W6123" t="s">
        <v>18852</v>
      </c>
      <c r="X6123">
        <v>10</v>
      </c>
      <c r="Y6123" t="s">
        <v>25054</v>
      </c>
      <c r="Z6123" t="s">
        <v>31441</v>
      </c>
      <c r="AA6123">
        <v>0.70149421837634596</v>
      </c>
      <c r="AB6123" t="str">
        <f>HYPERLINK("Melting_Curves/meltCurve_Q9UMX0_UBQLN1.pdf", "Melting_Curves/meltCurve_Q9UMX0_UBQLN1.pdf")</f>
        <v>Melting_Curves/meltCurve_Q9UMX0_UBQLN1.pdf</v>
      </c>
    </row>
    <row r="6124" spans="1:28" x14ac:dyDescent="0.25">
      <c r="A6124" t="s">
        <v>6128</v>
      </c>
      <c r="B6124">
        <v>0.99542014353169495</v>
      </c>
      <c r="C6124">
        <v>0.98776460757747897</v>
      </c>
      <c r="D6124">
        <v>0.92224893183721401</v>
      </c>
      <c r="E6124">
        <v>0.92180536404819202</v>
      </c>
      <c r="F6124">
        <v>0.71431726826070896</v>
      </c>
      <c r="G6124">
        <v>0.51983116677292096</v>
      </c>
      <c r="H6124">
        <v>0.352605492536337</v>
      </c>
      <c r="I6124">
        <v>0.33180767051878501</v>
      </c>
      <c r="J6124">
        <v>0.53219856620164296</v>
      </c>
      <c r="K6124">
        <v>0.72925289636089397</v>
      </c>
      <c r="L6124">
        <v>1634.94352562786</v>
      </c>
      <c r="M6124">
        <v>32.952689597652402</v>
      </c>
      <c r="N6124">
        <v>55.723083544983297</v>
      </c>
      <c r="O6124">
        <v>49.433212546150003</v>
      </c>
      <c r="P6124">
        <v>-8.5575870106572804E-2</v>
      </c>
      <c r="Q6124">
        <v>0.48650356223659103</v>
      </c>
      <c r="R6124">
        <v>0.81005739181757896</v>
      </c>
      <c r="S6124" t="s">
        <v>12526</v>
      </c>
      <c r="T6124" t="s">
        <v>12802</v>
      </c>
      <c r="U6124" t="s">
        <v>12802</v>
      </c>
      <c r="V6124" t="s">
        <v>12802</v>
      </c>
      <c r="W6124" t="s">
        <v>18853</v>
      </c>
      <c r="X6124">
        <v>10</v>
      </c>
      <c r="Y6124" t="s">
        <v>25055</v>
      </c>
      <c r="Z6124" t="s">
        <v>31442</v>
      </c>
      <c r="AA6124">
        <v>0.70502353010701335</v>
      </c>
      <c r="AB6124" t="str">
        <f>HYPERLINK("Melting_Curves/meltCurve_Q9UMX5_NENF.pdf", "Melting_Curves/meltCurve_Q9UMX5_NENF.pdf")</f>
        <v>Melting_Curves/meltCurve_Q9UMX5_NENF.pdf</v>
      </c>
    </row>
    <row r="6125" spans="1:28" x14ac:dyDescent="0.25">
      <c r="A6125" t="s">
        <v>6129</v>
      </c>
      <c r="B6125">
        <v>0.99542014353169495</v>
      </c>
      <c r="C6125">
        <v>1.0269508270754399</v>
      </c>
      <c r="D6125">
        <v>0.94118655074967195</v>
      </c>
      <c r="E6125">
        <v>0.86639505334850397</v>
      </c>
      <c r="F6125">
        <v>0.41139292566576602</v>
      </c>
      <c r="G6125">
        <v>0.169379974234797</v>
      </c>
      <c r="H6125">
        <v>9.5764300084314302E-2</v>
      </c>
      <c r="I6125">
        <v>6.5856159402262998E-2</v>
      </c>
      <c r="J6125">
        <v>9.0306819404155594E-2</v>
      </c>
      <c r="K6125">
        <v>9.5455883917283602E-2</v>
      </c>
      <c r="L6125">
        <v>1426.03331683683</v>
      </c>
      <c r="M6125">
        <v>28.951035838955701</v>
      </c>
      <c r="N6125">
        <v>49.570754715537802</v>
      </c>
      <c r="O6125">
        <v>49.023526434035901</v>
      </c>
      <c r="P6125">
        <v>-0.135270313373689</v>
      </c>
      <c r="Q6125">
        <v>8.3780489704781302E-2</v>
      </c>
      <c r="R6125">
        <v>0.997620464727627</v>
      </c>
      <c r="S6125" t="s">
        <v>12527</v>
      </c>
      <c r="T6125" t="s">
        <v>12802</v>
      </c>
      <c r="U6125" t="s">
        <v>12802</v>
      </c>
      <c r="V6125" t="s">
        <v>12802</v>
      </c>
      <c r="W6125" t="s">
        <v>18854</v>
      </c>
      <c r="X6125">
        <v>12</v>
      </c>
      <c r="Y6125" t="s">
        <v>25056</v>
      </c>
      <c r="Z6125" t="s">
        <v>31443</v>
      </c>
      <c r="AA6125">
        <v>0.46406679505395221</v>
      </c>
      <c r="AB6125" t="str">
        <f>HYPERLINK("Melting_Curves/meltCurve_Q9UMY4_2_SNX12.pdf", "Melting_Curves/meltCurve_Q9UMY4_2_SNX12.pdf")</f>
        <v>Melting_Curves/meltCurve_Q9UMY4_2_SNX12.pdf</v>
      </c>
    </row>
    <row r="6126" spans="1:28" x14ac:dyDescent="0.25">
      <c r="A6126" t="s">
        <v>6130</v>
      </c>
      <c r="B6126">
        <v>0.99542014353169495</v>
      </c>
      <c r="C6126">
        <v>0.907482844680639</v>
      </c>
      <c r="D6126">
        <v>0.91589140685118897</v>
      </c>
      <c r="E6126">
        <v>0.65724345491573</v>
      </c>
      <c r="F6126">
        <v>0.33882311419181299</v>
      </c>
      <c r="G6126">
        <v>0.12738142697722801</v>
      </c>
      <c r="H6126">
        <v>8.9219408265444805E-2</v>
      </c>
      <c r="I6126">
        <v>4.9716989075681998E-2</v>
      </c>
      <c r="J6126">
        <v>7.18045066494334E-2</v>
      </c>
      <c r="K6126">
        <v>6.83960166297745E-2</v>
      </c>
      <c r="L6126">
        <v>928.93565311393502</v>
      </c>
      <c r="M6126">
        <v>19.3837147426926</v>
      </c>
      <c r="N6126">
        <v>48.188174284070399</v>
      </c>
      <c r="O6126">
        <v>47.422192927078498</v>
      </c>
      <c r="P6126">
        <v>-9.7030589148344004E-2</v>
      </c>
      <c r="Q6126">
        <v>5.0495022578245598E-2</v>
      </c>
      <c r="R6126">
        <v>0.99525999676574906</v>
      </c>
      <c r="S6126" t="s">
        <v>12528</v>
      </c>
      <c r="T6126" t="s">
        <v>12802</v>
      </c>
      <c r="U6126" t="s">
        <v>12802</v>
      </c>
      <c r="V6126" t="s">
        <v>12802</v>
      </c>
      <c r="W6126" t="s">
        <v>18855</v>
      </c>
      <c r="X6126">
        <v>6</v>
      </c>
      <c r="Y6126" t="s">
        <v>25057</v>
      </c>
      <c r="Z6126" t="s">
        <v>31444</v>
      </c>
      <c r="AA6126">
        <v>0.40945678981369787</v>
      </c>
      <c r="AB6126" t="str">
        <f>HYPERLINK("Melting_Curves/meltCurve_Q9UMZ2_6_SYNRG.pdf", "Melting_Curves/meltCurve_Q9UMZ2_6_SYNRG.pdf")</f>
        <v>Melting_Curves/meltCurve_Q9UMZ2_6_SYNRG.pdf</v>
      </c>
    </row>
    <row r="6127" spans="1:28" x14ac:dyDescent="0.25">
      <c r="A6127" t="s">
        <v>6131</v>
      </c>
      <c r="B6127">
        <v>0.99542014353169495</v>
      </c>
      <c r="C6127">
        <v>1.0904330478514599</v>
      </c>
      <c r="D6127">
        <v>1.05607699044593</v>
      </c>
      <c r="E6127">
        <v>1.10556917607848</v>
      </c>
      <c r="F6127">
        <v>0.968310208442549</v>
      </c>
      <c r="G6127">
        <v>0.71981999933969398</v>
      </c>
      <c r="H6127">
        <v>0.204794714199075</v>
      </c>
      <c r="I6127">
        <v>7.2574727341810794E-2</v>
      </c>
      <c r="J6127">
        <v>5.52018001690808E-2</v>
      </c>
      <c r="K6127">
        <v>5.3913087818639301E-2</v>
      </c>
      <c r="L6127">
        <v>2157.4624270808899</v>
      </c>
      <c r="M6127">
        <v>39.237629070812098</v>
      </c>
      <c r="N6127">
        <v>55.140704253129897</v>
      </c>
      <c r="O6127">
        <v>54.842288091559098</v>
      </c>
      <c r="P6127">
        <v>-0.16945951463109901</v>
      </c>
      <c r="Q6127">
        <v>5.2590415657263898E-2</v>
      </c>
      <c r="R6127">
        <v>0.98878585088804405</v>
      </c>
      <c r="S6127" t="s">
        <v>12529</v>
      </c>
      <c r="T6127" t="s">
        <v>12802</v>
      </c>
      <c r="U6127" t="s">
        <v>12802</v>
      </c>
      <c r="V6127" t="s">
        <v>12802</v>
      </c>
      <c r="W6127" t="s">
        <v>18856</v>
      </c>
      <c r="X6127">
        <v>11</v>
      </c>
      <c r="Y6127" t="s">
        <v>25058</v>
      </c>
      <c r="Z6127" t="s">
        <v>31445</v>
      </c>
      <c r="AA6127">
        <v>0.62423026221378053</v>
      </c>
      <c r="AB6127" t="str">
        <f>HYPERLINK("Melting_Curves/meltCurve_Q9UN36_2_NDRG2.pdf", "Melting_Curves/meltCurve_Q9UN36_2_NDRG2.pdf")</f>
        <v>Melting_Curves/meltCurve_Q9UN36_2_NDRG2.pdf</v>
      </c>
    </row>
    <row r="6128" spans="1:28" x14ac:dyDescent="0.25">
      <c r="A6128" t="s">
        <v>6132</v>
      </c>
      <c r="B6128">
        <v>0.99542014353169495</v>
      </c>
      <c r="C6128">
        <v>1.00966898682054</v>
      </c>
      <c r="D6128">
        <v>0.95026714888471597</v>
      </c>
      <c r="E6128">
        <v>0.83276916720885197</v>
      </c>
      <c r="F6128">
        <v>0.28372916628097999</v>
      </c>
      <c r="G6128">
        <v>0.12972408451751399</v>
      </c>
      <c r="H6128">
        <v>7.8146636753980703E-2</v>
      </c>
      <c r="I6128">
        <v>5.61080628748718E-2</v>
      </c>
      <c r="J6128">
        <v>6.3104633829342199E-2</v>
      </c>
      <c r="K6128">
        <v>6.1392045313539298E-2</v>
      </c>
      <c r="L6128">
        <v>1665.9472624590301</v>
      </c>
      <c r="M6128">
        <v>34.313059676742597</v>
      </c>
      <c r="N6128">
        <v>48.760573132839298</v>
      </c>
      <c r="O6128">
        <v>48.387386692855003</v>
      </c>
      <c r="P6128">
        <v>-0.165151142487756</v>
      </c>
      <c r="Q6128">
        <v>6.8436127062506402E-2</v>
      </c>
      <c r="R6128">
        <v>0.99821928426557405</v>
      </c>
      <c r="S6128" t="s">
        <v>12530</v>
      </c>
      <c r="T6128" t="s">
        <v>12802</v>
      </c>
      <c r="U6128" t="s">
        <v>12802</v>
      </c>
      <c r="V6128" t="s">
        <v>12802</v>
      </c>
      <c r="W6128" t="s">
        <v>18857</v>
      </c>
      <c r="X6128">
        <v>17</v>
      </c>
      <c r="Y6128" t="s">
        <v>25059</v>
      </c>
      <c r="Z6128" t="s">
        <v>31446</v>
      </c>
      <c r="AA6128">
        <v>0.43138863447051562</v>
      </c>
      <c r="AB6128" t="str">
        <f>HYPERLINK("Melting_Curves/meltCurve_Q9UN37_VPS4A.pdf", "Melting_Curves/meltCurve_Q9UN37_VPS4A.pdf")</f>
        <v>Melting_Curves/meltCurve_Q9UN37_VPS4A.pdf</v>
      </c>
    </row>
    <row r="6129" spans="1:28" x14ac:dyDescent="0.25">
      <c r="A6129" t="s">
        <v>6133</v>
      </c>
      <c r="B6129">
        <v>0.99542014353169495</v>
      </c>
      <c r="C6129">
        <v>1.0200613868330499</v>
      </c>
      <c r="D6129">
        <v>0.91655284315827601</v>
      </c>
      <c r="E6129">
        <v>0.70226847802245096</v>
      </c>
      <c r="F6129">
        <v>0.39583109930661098</v>
      </c>
      <c r="G6129">
        <v>0.20747191838874901</v>
      </c>
      <c r="H6129">
        <v>0.10950367874924199</v>
      </c>
      <c r="I6129">
        <v>7.9984607299136798E-2</v>
      </c>
      <c r="J6129">
        <v>8.9794311508160293E-2</v>
      </c>
      <c r="K6129">
        <v>9.3354136491186193E-2</v>
      </c>
      <c r="L6129">
        <v>920.43262723453495</v>
      </c>
      <c r="M6129">
        <v>18.986026958987299</v>
      </c>
      <c r="N6129">
        <v>48.903649017030801</v>
      </c>
      <c r="O6129">
        <v>47.951256580878301</v>
      </c>
      <c r="P6129">
        <v>-9.1475215577368402E-2</v>
      </c>
      <c r="Q6129">
        <v>7.5914872725602003E-2</v>
      </c>
      <c r="R6129">
        <v>0.99866370145739503</v>
      </c>
      <c r="S6129" t="s">
        <v>12531</v>
      </c>
      <c r="T6129" t="s">
        <v>12802</v>
      </c>
      <c r="U6129" t="s">
        <v>12802</v>
      </c>
      <c r="V6129" t="s">
        <v>12802</v>
      </c>
      <c r="W6129" t="s">
        <v>18858</v>
      </c>
      <c r="X6129">
        <v>14</v>
      </c>
      <c r="Y6129" t="s">
        <v>25060</v>
      </c>
      <c r="Z6129" t="s">
        <v>31447</v>
      </c>
      <c r="AA6129">
        <v>0.44289908952661672</v>
      </c>
      <c r="AB6129" t="str">
        <f>HYPERLINK("Melting_Curves/meltCurve_Q9UN86_2_G3BP2.pdf", "Melting_Curves/meltCurve_Q9UN86_2_G3BP2.pdf")</f>
        <v>Melting_Curves/meltCurve_Q9UN86_2_G3BP2.pdf</v>
      </c>
    </row>
    <row r="6130" spans="1:28" x14ac:dyDescent="0.25">
      <c r="A6130" t="s">
        <v>6134</v>
      </c>
      <c r="B6130">
        <v>0.99542014353169495</v>
      </c>
      <c r="C6130">
        <v>0.83246869912758903</v>
      </c>
      <c r="D6130">
        <v>0.793970086033425</v>
      </c>
      <c r="E6130">
        <v>0.26071101664061502</v>
      </c>
      <c r="F6130">
        <v>0.11980679771644399</v>
      </c>
      <c r="G6130">
        <v>6.4172207515189802E-2</v>
      </c>
      <c r="H6130">
        <v>4.46309357765515E-2</v>
      </c>
      <c r="I6130">
        <v>3.5865020337840899E-2</v>
      </c>
      <c r="J6130">
        <v>4.1613695870687299E-2</v>
      </c>
      <c r="K6130">
        <v>4.8018967540039099E-2</v>
      </c>
      <c r="L6130">
        <v>1079.2602677150601</v>
      </c>
      <c r="M6130">
        <v>24.1552549006351</v>
      </c>
      <c r="N6130">
        <v>44.841611766248697</v>
      </c>
      <c r="O6130">
        <v>44.377295815072202</v>
      </c>
      <c r="P6130">
        <v>-0.13041296758029</v>
      </c>
      <c r="Q6130">
        <v>4.1651913269383001E-2</v>
      </c>
      <c r="R6130">
        <v>0.98559973598549699</v>
      </c>
      <c r="S6130" t="s">
        <v>12532</v>
      </c>
      <c r="T6130" t="s">
        <v>12802</v>
      </c>
      <c r="U6130" t="s">
        <v>12802</v>
      </c>
      <c r="V6130" t="s">
        <v>12802</v>
      </c>
      <c r="W6130" t="s">
        <v>18859</v>
      </c>
      <c r="X6130">
        <v>27</v>
      </c>
      <c r="Y6130" t="s">
        <v>25061</v>
      </c>
      <c r="Z6130" t="s">
        <v>31448</v>
      </c>
      <c r="AA6130">
        <v>0.29544573572238719</v>
      </c>
      <c r="AB6130" t="str">
        <f>HYPERLINK("Melting_Curves/meltCurve_Q9UNE7_STUB1.pdf", "Melting_Curves/meltCurve_Q9UNE7_STUB1.pdf")</f>
        <v>Melting_Curves/meltCurve_Q9UNE7_STUB1.pdf</v>
      </c>
    </row>
    <row r="6131" spans="1:28" x14ac:dyDescent="0.25">
      <c r="A6131" t="s">
        <v>6135</v>
      </c>
      <c r="B6131">
        <v>0.99542014353169495</v>
      </c>
      <c r="C6131">
        <v>0.99115333714990606</v>
      </c>
      <c r="D6131">
        <v>0.98479344922523604</v>
      </c>
      <c r="E6131">
        <v>0.79227754553859497</v>
      </c>
      <c r="F6131">
        <v>0.188091551955019</v>
      </c>
      <c r="G6131">
        <v>0.119344792951475</v>
      </c>
      <c r="H6131">
        <v>7.5836766032593997E-2</v>
      </c>
      <c r="I6131">
        <v>5.2260580458186497E-2</v>
      </c>
      <c r="J6131">
        <v>6.0392588296020698E-2</v>
      </c>
      <c r="K6131">
        <v>6.5875800417153907E-2</v>
      </c>
      <c r="L6131">
        <v>2014.6269437599001</v>
      </c>
      <c r="M6131">
        <v>42.004972459070999</v>
      </c>
      <c r="N6131">
        <v>48.138258644552501</v>
      </c>
      <c r="O6131">
        <v>47.853308283445998</v>
      </c>
      <c r="P6131">
        <v>-0.20377467031503399</v>
      </c>
      <c r="Q6131">
        <v>7.1417033520302195E-2</v>
      </c>
      <c r="R6131">
        <v>0.99874327329672896</v>
      </c>
      <c r="S6131" t="s">
        <v>12533</v>
      </c>
      <c r="T6131" t="s">
        <v>12802</v>
      </c>
      <c r="U6131" t="s">
        <v>12802</v>
      </c>
      <c r="V6131" t="s">
        <v>12802</v>
      </c>
      <c r="W6131" t="s">
        <v>18860</v>
      </c>
      <c r="X6131">
        <v>21</v>
      </c>
      <c r="Y6131" t="s">
        <v>25062</v>
      </c>
      <c r="Z6131" t="s">
        <v>31449</v>
      </c>
      <c r="AA6131">
        <v>0.41349949041983608</v>
      </c>
      <c r="AB6131" t="str">
        <f>HYPERLINK("Melting_Curves/meltCurve_Q9UNF0_2_PACSIN2.pdf", "Melting_Curves/meltCurve_Q9UNF0_2_PACSIN2.pdf")</f>
        <v>Melting_Curves/meltCurve_Q9UNF0_2_PACSIN2.pdf</v>
      </c>
    </row>
    <row r="6132" spans="1:28" x14ac:dyDescent="0.25">
      <c r="A6132" t="s">
        <v>6136</v>
      </c>
      <c r="B6132">
        <v>0.99542014353169495</v>
      </c>
      <c r="C6132">
        <v>0.83403921081670895</v>
      </c>
      <c r="D6132">
        <v>0.57369458643070204</v>
      </c>
      <c r="E6132">
        <v>0.27156821318857199</v>
      </c>
      <c r="F6132">
        <v>0.177845352764429</v>
      </c>
      <c r="G6132">
        <v>9.9192160423067902E-2</v>
      </c>
      <c r="H6132">
        <v>5.4985096528095898E-2</v>
      </c>
      <c r="I6132">
        <v>3.7116917483723602E-2</v>
      </c>
      <c r="J6132">
        <v>4.73457589361767E-2</v>
      </c>
      <c r="K6132">
        <v>5.47108089494018E-2</v>
      </c>
      <c r="L6132">
        <v>742.29316928354206</v>
      </c>
      <c r="M6132">
        <v>17.0268050589744</v>
      </c>
      <c r="N6132">
        <v>43.863977257235199</v>
      </c>
      <c r="O6132">
        <v>43.007539560369899</v>
      </c>
      <c r="P6132">
        <v>-9.4084823513257601E-2</v>
      </c>
      <c r="Q6132">
        <v>4.9473298495300799E-2</v>
      </c>
      <c r="R6132">
        <v>0.99660552852753104</v>
      </c>
      <c r="S6132" t="s">
        <v>12534</v>
      </c>
      <c r="T6132" t="s">
        <v>12802</v>
      </c>
      <c r="U6132" t="s">
        <v>12802</v>
      </c>
      <c r="V6132" t="s">
        <v>12802</v>
      </c>
      <c r="W6132" t="s">
        <v>18861</v>
      </c>
      <c r="X6132">
        <v>12</v>
      </c>
      <c r="Y6132" t="s">
        <v>25063</v>
      </c>
      <c r="Z6132" t="s">
        <v>31450</v>
      </c>
      <c r="AA6132">
        <v>0.27684408860991072</v>
      </c>
      <c r="AB6132" t="str">
        <f>HYPERLINK("Melting_Curves/meltCurve_Q9UNF1_MAGED2.pdf", "Melting_Curves/meltCurve_Q9UNF1_MAGED2.pdf")</f>
        <v>Melting_Curves/meltCurve_Q9UNF1_MAGED2.pdf</v>
      </c>
    </row>
    <row r="6133" spans="1:28" x14ac:dyDescent="0.25">
      <c r="A6133" t="s">
        <v>6137</v>
      </c>
      <c r="B6133">
        <v>0.99542014353169495</v>
      </c>
      <c r="C6133">
        <v>0.97512915129459599</v>
      </c>
      <c r="D6133">
        <v>0.93264966544317696</v>
      </c>
      <c r="E6133">
        <v>0.62735354719657399</v>
      </c>
      <c r="F6133">
        <v>0.16682162160528399</v>
      </c>
      <c r="G6133">
        <v>8.1779053876893895E-2</v>
      </c>
      <c r="H6133">
        <v>4.3392629421862297E-2</v>
      </c>
      <c r="I6133">
        <v>3.3101472797576401E-2</v>
      </c>
      <c r="J6133">
        <v>3.8498290429766699E-2</v>
      </c>
      <c r="K6133">
        <v>3.9606509461838198E-2</v>
      </c>
      <c r="L6133">
        <v>1393.4405458153501</v>
      </c>
      <c r="M6133">
        <v>29.491385314089101</v>
      </c>
      <c r="N6133">
        <v>47.377949449275299</v>
      </c>
      <c r="O6133">
        <v>47.0334005349644</v>
      </c>
      <c r="P6133">
        <v>-0.150716617961417</v>
      </c>
      <c r="Q6133">
        <v>3.8543833443194002E-2</v>
      </c>
      <c r="R6133">
        <v>0.99912339704140696</v>
      </c>
      <c r="S6133" t="s">
        <v>12535</v>
      </c>
      <c r="T6133" t="s">
        <v>12802</v>
      </c>
      <c r="U6133" t="s">
        <v>12802</v>
      </c>
      <c r="V6133" t="s">
        <v>12802</v>
      </c>
      <c r="W6133" t="s">
        <v>18862</v>
      </c>
      <c r="X6133">
        <v>26</v>
      </c>
      <c r="Y6133" t="s">
        <v>25064</v>
      </c>
      <c r="Z6133" t="s">
        <v>31451</v>
      </c>
      <c r="AA6133">
        <v>0.37282310228098808</v>
      </c>
      <c r="AB6133" t="str">
        <f>HYPERLINK("Melting_Curves/meltCurve_Q9UNH7_SNX6.pdf", "Melting_Curves/meltCurve_Q9UNH7_SNX6.pdf")</f>
        <v>Melting_Curves/meltCurve_Q9UNH7_SNX6.pdf</v>
      </c>
    </row>
    <row r="6134" spans="1:28" x14ac:dyDescent="0.25">
      <c r="A6134" t="s">
        <v>6138</v>
      </c>
      <c r="B6134">
        <v>0.99542014353169495</v>
      </c>
      <c r="C6134">
        <v>1.09481124979088</v>
      </c>
      <c r="D6134">
        <v>0.96301119028785898</v>
      </c>
      <c r="E6134">
        <v>0.75770010027554002</v>
      </c>
      <c r="F6134">
        <v>0.40269048062449397</v>
      </c>
      <c r="G6134">
        <v>0.21549844872131599</v>
      </c>
      <c r="H6134">
        <v>0.108850048653636</v>
      </c>
      <c r="I6134">
        <v>9.6674995449183398E-2</v>
      </c>
      <c r="J6134">
        <v>0.10711953218349</v>
      </c>
      <c r="K6134">
        <v>0.128911446082978</v>
      </c>
      <c r="L6134">
        <v>1130.12416169475</v>
      </c>
      <c r="M6134">
        <v>23.2075556088163</v>
      </c>
      <c r="N6134">
        <v>49.196828939914703</v>
      </c>
      <c r="O6134">
        <v>48.339132133205197</v>
      </c>
      <c r="P6134">
        <v>-0.10740743740138101</v>
      </c>
      <c r="Q6134">
        <v>0.10513799837851499</v>
      </c>
      <c r="R6134">
        <v>0.99248497674621605</v>
      </c>
      <c r="S6134" t="s">
        <v>12536</v>
      </c>
      <c r="T6134" t="s">
        <v>12802</v>
      </c>
      <c r="U6134" t="s">
        <v>12802</v>
      </c>
      <c r="V6134" t="s">
        <v>12802</v>
      </c>
      <c r="W6134" t="s">
        <v>18863</v>
      </c>
      <c r="X6134">
        <v>8</v>
      </c>
      <c r="Y6134" t="s">
        <v>25065</v>
      </c>
      <c r="Z6134" t="s">
        <v>31452</v>
      </c>
      <c r="AA6134">
        <v>0.46292414266346388</v>
      </c>
      <c r="AB6134" t="str">
        <f>HYPERLINK("Melting_Curves/meltCurve_Q9UNI6_DUSP12.pdf", "Melting_Curves/meltCurve_Q9UNI6_DUSP12.pdf")</f>
        <v>Melting_Curves/meltCurve_Q9UNI6_DUSP12.pdf</v>
      </c>
    </row>
    <row r="6135" spans="1:28" x14ac:dyDescent="0.25">
      <c r="A6135" t="s">
        <v>6139</v>
      </c>
      <c r="B6135">
        <v>0.99542014353169495</v>
      </c>
      <c r="C6135">
        <v>0.99925713428831797</v>
      </c>
      <c r="D6135">
        <v>0.89951727503585199</v>
      </c>
      <c r="E6135">
        <v>0.71733736452960895</v>
      </c>
      <c r="F6135">
        <v>0.64629040360159595</v>
      </c>
      <c r="G6135">
        <v>0.43581636601110002</v>
      </c>
      <c r="H6135">
        <v>0.34011467853081201</v>
      </c>
      <c r="I6135">
        <v>0.28342004131977699</v>
      </c>
      <c r="J6135">
        <v>0.32806482845167201</v>
      </c>
      <c r="K6135">
        <v>0.38639212520215799</v>
      </c>
      <c r="L6135">
        <v>702.10629371481104</v>
      </c>
      <c r="M6135">
        <v>14.422189312049101</v>
      </c>
      <c r="N6135">
        <v>52.089615577774403</v>
      </c>
      <c r="O6135">
        <v>47.775107294977303</v>
      </c>
      <c r="P6135">
        <v>-5.2431199387868402E-2</v>
      </c>
      <c r="Q6135">
        <v>0.305345146727386</v>
      </c>
      <c r="R6135">
        <v>0.97733859216327201</v>
      </c>
      <c r="S6135" t="s">
        <v>12537</v>
      </c>
      <c r="T6135" t="s">
        <v>12802</v>
      </c>
      <c r="U6135" t="s">
        <v>12802</v>
      </c>
      <c r="V6135" t="s">
        <v>12802</v>
      </c>
      <c r="W6135" t="s">
        <v>18864</v>
      </c>
      <c r="X6135">
        <v>6</v>
      </c>
      <c r="Y6135" t="s">
        <v>25066</v>
      </c>
      <c r="Z6135" t="s">
        <v>31453</v>
      </c>
      <c r="AA6135">
        <v>0.59188240333252251</v>
      </c>
      <c r="AB6135" t="str">
        <f>HYPERLINK("Melting_Curves/meltCurve_Q9UNK0_STX8.pdf", "Melting_Curves/meltCurve_Q9UNK0_STX8.pdf")</f>
        <v>Melting_Curves/meltCurve_Q9UNK0_STX8.pdf</v>
      </c>
    </row>
    <row r="6136" spans="1:28" x14ac:dyDescent="0.25">
      <c r="A6136" t="s">
        <v>6140</v>
      </c>
      <c r="B6136">
        <v>0.99542014353169495</v>
      </c>
      <c r="C6136">
        <v>0.91094369753050597</v>
      </c>
      <c r="D6136">
        <v>0.91511631094465795</v>
      </c>
      <c r="E6136">
        <v>0.69476215309147205</v>
      </c>
      <c r="F6136">
        <v>0.33675926487672497</v>
      </c>
      <c r="G6136">
        <v>0.148301248820738</v>
      </c>
      <c r="H6136">
        <v>7.5038956252762606E-2</v>
      </c>
      <c r="I6136">
        <v>3.4881953184639901E-2</v>
      </c>
      <c r="J6136">
        <v>4.0860058293558203E-2</v>
      </c>
      <c r="K6136">
        <v>2.6704831409595599E-2</v>
      </c>
      <c r="L6136">
        <v>903.80760789127305</v>
      </c>
      <c r="M6136">
        <v>18.6906243952557</v>
      </c>
      <c r="N6136">
        <v>48.473078751408998</v>
      </c>
      <c r="O6136">
        <v>47.812851789360501</v>
      </c>
      <c r="P6136">
        <v>-9.5578871234782994E-2</v>
      </c>
      <c r="Q6136">
        <v>2.2032829151714499E-2</v>
      </c>
      <c r="R6136">
        <v>0.99631935359330803</v>
      </c>
      <c r="S6136" t="s">
        <v>12538</v>
      </c>
      <c r="T6136" t="s">
        <v>12802</v>
      </c>
      <c r="U6136" t="s">
        <v>12802</v>
      </c>
      <c r="V6136" t="s">
        <v>12802</v>
      </c>
      <c r="W6136" t="s">
        <v>18865</v>
      </c>
      <c r="X6136">
        <v>21</v>
      </c>
      <c r="Y6136" t="s">
        <v>25067</v>
      </c>
      <c r="Z6136" t="s">
        <v>31454</v>
      </c>
      <c r="AA6136">
        <v>0.40681031599024597</v>
      </c>
      <c r="AB6136" t="str">
        <f>HYPERLINK("Melting_Curves/meltCurve_Q9UNM6_PSMD13.pdf", "Melting_Curves/meltCurve_Q9UNM6_PSMD13.pdf")</f>
        <v>Melting_Curves/meltCurve_Q9UNM6_PSMD13.pdf</v>
      </c>
    </row>
    <row r="6137" spans="1:28" x14ac:dyDescent="0.25">
      <c r="A6137" t="s">
        <v>6141</v>
      </c>
      <c r="B6137">
        <v>0.99542014353169495</v>
      </c>
      <c r="C6137">
        <v>1.0357268732324401</v>
      </c>
      <c r="D6137">
        <v>0.95500022866289702</v>
      </c>
      <c r="E6137">
        <v>0.94199123004634999</v>
      </c>
      <c r="F6137">
        <v>0.706254448075046</v>
      </c>
      <c r="G6137">
        <v>0.36468455920815401</v>
      </c>
      <c r="H6137">
        <v>0.10747583471404699</v>
      </c>
      <c r="I6137">
        <v>6.5874459890402304E-2</v>
      </c>
      <c r="J6137">
        <v>6.2349989079505001E-2</v>
      </c>
      <c r="K6137">
        <v>6.9651706460236495E-2</v>
      </c>
      <c r="L6137">
        <v>1231.52201652247</v>
      </c>
      <c r="M6137">
        <v>23.6856270830108</v>
      </c>
      <c r="N6137">
        <v>52.208268975733397</v>
      </c>
      <c r="O6137">
        <v>51.6281111790464</v>
      </c>
      <c r="P6137">
        <v>-0.10939455188155001</v>
      </c>
      <c r="Q6137">
        <v>4.6216514174085101E-2</v>
      </c>
      <c r="R6137">
        <v>0.99720054200790798</v>
      </c>
      <c r="S6137" t="s">
        <v>12539</v>
      </c>
      <c r="T6137" t="s">
        <v>12802</v>
      </c>
      <c r="U6137" t="s">
        <v>12802</v>
      </c>
      <c r="V6137" t="s">
        <v>12802</v>
      </c>
      <c r="W6137" t="s">
        <v>18866</v>
      </c>
      <c r="X6137">
        <v>39</v>
      </c>
      <c r="Y6137" t="s">
        <v>25068</v>
      </c>
      <c r="Z6137" t="s">
        <v>31455</v>
      </c>
      <c r="AA6137">
        <v>0.53223243462927583</v>
      </c>
      <c r="AB6137" t="str">
        <f>HYPERLINK("Melting_Curves/meltCurve_Q9UNN5_FAF1.pdf", "Melting_Curves/meltCurve_Q9UNN5_FAF1.pdf")</f>
        <v>Melting_Curves/meltCurve_Q9UNN5_FAF1.pdf</v>
      </c>
    </row>
    <row r="6138" spans="1:28" x14ac:dyDescent="0.25">
      <c r="A6138" t="s">
        <v>6142</v>
      </c>
      <c r="B6138">
        <v>0.99542014353169495</v>
      </c>
      <c r="C6138">
        <v>0.85435161755098399</v>
      </c>
      <c r="D6138">
        <v>0.80263976373594403</v>
      </c>
      <c r="E6138">
        <v>0.71908611447761706</v>
      </c>
      <c r="F6138">
        <v>0.77170547916968801</v>
      </c>
      <c r="G6138">
        <v>0.58094575140420002</v>
      </c>
      <c r="H6138">
        <v>0.49127273854919001</v>
      </c>
      <c r="I6138">
        <v>0.39268586517388199</v>
      </c>
      <c r="J6138">
        <v>0.34368715023111202</v>
      </c>
      <c r="K6138">
        <v>0.28487847695760499</v>
      </c>
      <c r="L6138">
        <v>305.04377032323799</v>
      </c>
      <c r="M6138">
        <v>5.3721562373765401</v>
      </c>
      <c r="N6138">
        <v>56.782386950845897</v>
      </c>
      <c r="O6138">
        <v>50.352913767406697</v>
      </c>
      <c r="P6138">
        <v>-2.6800073900759599E-2</v>
      </c>
      <c r="Q6138">
        <v>0</v>
      </c>
      <c r="R6138">
        <v>0.96048417261054997</v>
      </c>
      <c r="S6138" t="s">
        <v>12540</v>
      </c>
      <c r="T6138" t="s">
        <v>12802</v>
      </c>
      <c r="U6138" t="s">
        <v>12802</v>
      </c>
      <c r="V6138" t="s">
        <v>12802</v>
      </c>
      <c r="W6138" t="s">
        <v>18867</v>
      </c>
      <c r="X6138">
        <v>2</v>
      </c>
      <c r="Y6138" t="s">
        <v>25069</v>
      </c>
      <c r="Z6138" t="s">
        <v>31456</v>
      </c>
      <c r="AA6138">
        <v>0.62579871851134228</v>
      </c>
      <c r="AB6138" t="str">
        <f>HYPERLINK("Melting_Curves/meltCurve_Q9UNN8_PROCR.pdf", "Melting_Curves/meltCurve_Q9UNN8_PROCR.pdf")</f>
        <v>Melting_Curves/meltCurve_Q9UNN8_PROCR.pdf</v>
      </c>
    </row>
    <row r="6139" spans="1:28" x14ac:dyDescent="0.25">
      <c r="A6139" t="s">
        <v>6143</v>
      </c>
      <c r="B6139">
        <v>0.99542014353169495</v>
      </c>
      <c r="C6139">
        <v>0.89777919947074503</v>
      </c>
      <c r="D6139">
        <v>0.84270735790317097</v>
      </c>
      <c r="E6139">
        <v>0.72002839324395695</v>
      </c>
      <c r="F6139">
        <v>0.52971396847177699</v>
      </c>
      <c r="G6139">
        <v>0.41155531004846702</v>
      </c>
      <c r="H6139">
        <v>0.22743497159332099</v>
      </c>
      <c r="I6139">
        <v>0.115571748050057</v>
      </c>
      <c r="J6139">
        <v>0.12657833179097799</v>
      </c>
      <c r="K6139">
        <v>0.15755184735562</v>
      </c>
      <c r="L6139">
        <v>504.66253889847297</v>
      </c>
      <c r="M6139">
        <v>9.9923256238523592</v>
      </c>
      <c r="N6139">
        <v>50.800912249640902</v>
      </c>
      <c r="O6139">
        <v>48.607190958768903</v>
      </c>
      <c r="P6139">
        <v>-4.9964682560854699E-2</v>
      </c>
      <c r="Q6139">
        <v>2.82706109867032E-2</v>
      </c>
      <c r="R6139">
        <v>0.98950731597889496</v>
      </c>
      <c r="S6139" t="s">
        <v>12541</v>
      </c>
      <c r="T6139" t="s">
        <v>12802</v>
      </c>
      <c r="U6139" t="s">
        <v>12802</v>
      </c>
      <c r="V6139" t="s">
        <v>12802</v>
      </c>
      <c r="W6139" t="s">
        <v>18868</v>
      </c>
      <c r="X6139">
        <v>10</v>
      </c>
      <c r="Y6139" t="s">
        <v>25070</v>
      </c>
      <c r="Z6139" t="s">
        <v>31457</v>
      </c>
      <c r="AA6139">
        <v>0.49704998654289728</v>
      </c>
      <c r="AB6139" t="str">
        <f>HYPERLINK("Melting_Curves/meltCurve_Q9UNP9_PPIE.pdf", "Melting_Curves/meltCurve_Q9UNP9_PPIE.pdf")</f>
        <v>Melting_Curves/meltCurve_Q9UNP9_PPIE.pdf</v>
      </c>
    </row>
    <row r="6140" spans="1:28" x14ac:dyDescent="0.25">
      <c r="A6140" t="s">
        <v>6144</v>
      </c>
      <c r="B6140">
        <v>0.99542014353169495</v>
      </c>
      <c r="C6140">
        <v>0.84721273630467697</v>
      </c>
      <c r="D6140">
        <v>0.87979625021087904</v>
      </c>
      <c r="E6140">
        <v>0.54818743996674602</v>
      </c>
      <c r="F6140">
        <v>0.43895010319077399</v>
      </c>
      <c r="G6140">
        <v>0.26125195019022202</v>
      </c>
      <c r="H6140">
        <v>4.2297061057170203E-2</v>
      </c>
      <c r="I6140">
        <v>0</v>
      </c>
      <c r="J6140">
        <v>0</v>
      </c>
      <c r="K6140">
        <v>0</v>
      </c>
      <c r="L6140">
        <v>631.27763594671501</v>
      </c>
      <c r="M6140">
        <v>13.095562640067699</v>
      </c>
      <c r="N6140">
        <v>48.205461213743099</v>
      </c>
      <c r="O6140">
        <v>47.122935232236699</v>
      </c>
      <c r="P6140">
        <v>-6.9487453926101103E-2</v>
      </c>
      <c r="Q6140">
        <v>0</v>
      </c>
      <c r="R6140">
        <v>0.97717938529775705</v>
      </c>
      <c r="S6140" t="s">
        <v>12542</v>
      </c>
      <c r="T6140" t="s">
        <v>12802</v>
      </c>
      <c r="U6140" t="s">
        <v>12802</v>
      </c>
      <c r="V6140" t="s">
        <v>12802</v>
      </c>
      <c r="W6140" t="s">
        <v>18869</v>
      </c>
      <c r="X6140">
        <v>4</v>
      </c>
      <c r="Y6140" t="s">
        <v>25071</v>
      </c>
      <c r="Z6140" t="s">
        <v>31458</v>
      </c>
      <c r="AA6140">
        <v>0.40074008406242162</v>
      </c>
      <c r="AB6140" t="str">
        <f>HYPERLINK("Melting_Curves/meltCurve_Q9UNQ2_DIMT1.pdf", "Melting_Curves/meltCurve_Q9UNQ2_DIMT1.pdf")</f>
        <v>Melting_Curves/meltCurve_Q9UNQ2_DIMT1.pdf</v>
      </c>
    </row>
    <row r="6141" spans="1:28" x14ac:dyDescent="0.25">
      <c r="A6141" t="s">
        <v>6145</v>
      </c>
      <c r="B6141">
        <v>0.99542014353169495</v>
      </c>
      <c r="C6141">
        <v>0.87702268815463902</v>
      </c>
      <c r="D6141">
        <v>0.41900806361037202</v>
      </c>
      <c r="E6141">
        <v>0.19091766733755999</v>
      </c>
      <c r="F6141">
        <v>0.12864024750471301</v>
      </c>
      <c r="G6141">
        <v>8.2172635154117393E-2</v>
      </c>
      <c r="H6141">
        <v>7.1618040252007104E-2</v>
      </c>
      <c r="I6141">
        <v>5.4577021863553198E-2</v>
      </c>
      <c r="J6141">
        <v>7.02648092818315E-2</v>
      </c>
      <c r="K6141">
        <v>6.3072329118936898E-2</v>
      </c>
      <c r="L6141">
        <v>1145.53983520732</v>
      </c>
      <c r="M6141">
        <v>27.047347551548398</v>
      </c>
      <c r="N6141">
        <v>42.625375714158999</v>
      </c>
      <c r="O6141">
        <v>42.123641843467603</v>
      </c>
      <c r="P6141">
        <v>-0.14779041041143201</v>
      </c>
      <c r="Q6141">
        <v>7.9331679625104498E-2</v>
      </c>
      <c r="R6141">
        <v>0.99522286648952896</v>
      </c>
      <c r="S6141" t="s">
        <v>12543</v>
      </c>
      <c r="T6141" t="s">
        <v>12802</v>
      </c>
      <c r="U6141" t="s">
        <v>12802</v>
      </c>
      <c r="V6141" t="s">
        <v>12802</v>
      </c>
      <c r="W6141" t="s">
        <v>18870</v>
      </c>
      <c r="X6141">
        <v>8</v>
      </c>
      <c r="Y6141" t="s">
        <v>25072</v>
      </c>
      <c r="Z6141" t="s">
        <v>31459</v>
      </c>
      <c r="AA6141">
        <v>0.25025012225408971</v>
      </c>
      <c r="AB6141" t="str">
        <f>HYPERLINK("Melting_Curves/meltCurve_Q9UNS1_2_TIMELESS.pdf", "Melting_Curves/meltCurve_Q9UNS1_2_TIMELESS.pdf")</f>
        <v>Melting_Curves/meltCurve_Q9UNS1_2_TIMELESS.pdf</v>
      </c>
    </row>
    <row r="6142" spans="1:28" x14ac:dyDescent="0.25">
      <c r="A6142" t="s">
        <v>6146</v>
      </c>
      <c r="B6142">
        <v>0.99542014353169495</v>
      </c>
      <c r="C6142">
        <v>0.85280692349952503</v>
      </c>
      <c r="D6142">
        <v>0.97163337025399199</v>
      </c>
      <c r="E6142">
        <v>0.81732876051594305</v>
      </c>
      <c r="F6142">
        <v>0.68669351557689595</v>
      </c>
      <c r="G6142">
        <v>0.38547841699994501</v>
      </c>
      <c r="H6142">
        <v>0.168951112644733</v>
      </c>
      <c r="I6142">
        <v>0.31661399179607302</v>
      </c>
      <c r="J6142">
        <v>0.19600537667534301</v>
      </c>
      <c r="K6142">
        <v>8.1783672678645197E-2</v>
      </c>
      <c r="L6142">
        <v>772.43648429256496</v>
      </c>
      <c r="M6142">
        <v>15.0810880376557</v>
      </c>
      <c r="N6142">
        <v>52.197862409223397</v>
      </c>
      <c r="O6142">
        <v>50.343633520839496</v>
      </c>
      <c r="P6142">
        <v>-6.5671975523987194E-2</v>
      </c>
      <c r="Q6142">
        <v>0.123182920866822</v>
      </c>
      <c r="R6142">
        <v>0.95304362710544699</v>
      </c>
      <c r="S6142" t="s">
        <v>12544</v>
      </c>
      <c r="T6142" t="s">
        <v>12802</v>
      </c>
      <c r="U6142" t="s">
        <v>12802</v>
      </c>
      <c r="V6142" t="s">
        <v>12802</v>
      </c>
      <c r="W6142" t="s">
        <v>18871</v>
      </c>
      <c r="X6142">
        <v>15</v>
      </c>
      <c r="Y6142" t="s">
        <v>25073</v>
      </c>
      <c r="Z6142" t="s">
        <v>31460</v>
      </c>
      <c r="AA6142">
        <v>0.55612073972197151</v>
      </c>
      <c r="AB6142" t="str">
        <f>HYPERLINK("Melting_Curves/meltCurve_Q9UNS2_COPS3.pdf", "Melting_Curves/meltCurve_Q9UNS2_COPS3.pdf")</f>
        <v>Melting_Curves/meltCurve_Q9UNS2_COPS3.pdf</v>
      </c>
    </row>
    <row r="6143" spans="1:28" x14ac:dyDescent="0.25">
      <c r="A6143" t="s">
        <v>6147</v>
      </c>
      <c r="B6143">
        <v>0.99542014353169495</v>
      </c>
      <c r="C6143">
        <v>1.0118057628109201</v>
      </c>
      <c r="D6143">
        <v>1.00876674092841</v>
      </c>
      <c r="E6143">
        <v>1.01579688954693</v>
      </c>
      <c r="F6143">
        <v>0.84059111682149101</v>
      </c>
      <c r="G6143">
        <v>0.66969264190933597</v>
      </c>
      <c r="H6143">
        <v>0.32222674124938699</v>
      </c>
      <c r="I6143">
        <v>0.148153935610601</v>
      </c>
      <c r="J6143">
        <v>0.103147518653658</v>
      </c>
      <c r="K6143">
        <v>8.6154184775423595E-2</v>
      </c>
      <c r="L6143">
        <v>1159.4437855968099</v>
      </c>
      <c r="M6143">
        <v>21.074276451655201</v>
      </c>
      <c r="N6143">
        <v>55.323383802687502</v>
      </c>
      <c r="O6143">
        <v>54.528817492431799</v>
      </c>
      <c r="P6143">
        <v>-9.1300477356724502E-2</v>
      </c>
      <c r="Q6143">
        <v>5.5080190452551199E-2</v>
      </c>
      <c r="R6143">
        <v>0.99643553047525701</v>
      </c>
      <c r="S6143" t="s">
        <v>12545</v>
      </c>
      <c r="T6143" t="s">
        <v>12802</v>
      </c>
      <c r="U6143" t="s">
        <v>12802</v>
      </c>
      <c r="V6143" t="s">
        <v>12802</v>
      </c>
      <c r="W6143" t="s">
        <v>18872</v>
      </c>
      <c r="X6143">
        <v>11</v>
      </c>
      <c r="Y6143" t="s">
        <v>25074</v>
      </c>
      <c r="Z6143" t="s">
        <v>31461</v>
      </c>
      <c r="AA6143">
        <v>0.63265748015347201</v>
      </c>
      <c r="AB6143" t="str">
        <f>HYPERLINK("Melting_Curves/meltCurve_Q9UNW1_MINPP1.pdf", "Melting_Curves/meltCurve_Q9UNW1_MINPP1.pdf")</f>
        <v>Melting_Curves/meltCurve_Q9UNW1_MINPP1.pdf</v>
      </c>
    </row>
    <row r="6144" spans="1:28" x14ac:dyDescent="0.25">
      <c r="A6144" t="s">
        <v>6148</v>
      </c>
      <c r="B6144">
        <v>0.99542014353169495</v>
      </c>
      <c r="C6144">
        <v>0.96650462721938801</v>
      </c>
      <c r="D6144">
        <v>0.92396465264582595</v>
      </c>
      <c r="E6144">
        <v>0.62053427739743505</v>
      </c>
      <c r="F6144">
        <v>0.26678633623524001</v>
      </c>
      <c r="G6144">
        <v>0.14459371934833701</v>
      </c>
      <c r="H6144">
        <v>8.7544439544925204E-2</v>
      </c>
      <c r="I6144">
        <v>5.7366517702974497E-2</v>
      </c>
      <c r="J6144">
        <v>5.88792217318473E-2</v>
      </c>
      <c r="K6144">
        <v>7.3011732374656302E-2</v>
      </c>
      <c r="L6144">
        <v>1051.82823026607</v>
      </c>
      <c r="M6144">
        <v>22.185029194614799</v>
      </c>
      <c r="N6144">
        <v>47.707119750551598</v>
      </c>
      <c r="O6144">
        <v>47.031441847526501</v>
      </c>
      <c r="P6144">
        <v>-0.110358650760638</v>
      </c>
      <c r="Q6144">
        <v>6.4195227003763206E-2</v>
      </c>
      <c r="R6144">
        <v>0.99919796925448701</v>
      </c>
      <c r="S6144" t="s">
        <v>12546</v>
      </c>
      <c r="T6144" t="s">
        <v>12802</v>
      </c>
      <c r="U6144" t="s">
        <v>12802</v>
      </c>
      <c r="V6144" t="s">
        <v>12802</v>
      </c>
      <c r="W6144" t="s">
        <v>18873</v>
      </c>
      <c r="X6144">
        <v>15</v>
      </c>
      <c r="Y6144" t="s">
        <v>25075</v>
      </c>
      <c r="Z6144" t="s">
        <v>31462</v>
      </c>
      <c r="AA6144">
        <v>0.39899177690072007</v>
      </c>
      <c r="AB6144" t="str">
        <f>HYPERLINK("Melting_Curves/meltCurve_Q9UNX4_WDR3.pdf", "Melting_Curves/meltCurve_Q9UNX4_WDR3.pdf")</f>
        <v>Melting_Curves/meltCurve_Q9UNX4_WDR3.pdf</v>
      </c>
    </row>
    <row r="6145" spans="1:28" x14ac:dyDescent="0.25">
      <c r="A6145" t="s">
        <v>6149</v>
      </c>
      <c r="B6145">
        <v>0.99542014353169495</v>
      </c>
      <c r="C6145">
        <v>1.00613148425587</v>
      </c>
      <c r="D6145">
        <v>0.85866314090030005</v>
      </c>
      <c r="E6145">
        <v>0.48859797209115202</v>
      </c>
      <c r="F6145">
        <v>0.261338646919545</v>
      </c>
      <c r="G6145">
        <v>0.148923880727936</v>
      </c>
      <c r="H6145">
        <v>0.109366871310546</v>
      </c>
      <c r="I6145">
        <v>6.8995232986490698E-2</v>
      </c>
      <c r="J6145">
        <v>6.5307984766653407E-2</v>
      </c>
      <c r="K6145">
        <v>7.1536680453485296E-2</v>
      </c>
      <c r="L6145">
        <v>944.68474093958901</v>
      </c>
      <c r="M6145">
        <v>20.361653105364098</v>
      </c>
      <c r="N6145">
        <v>46.780448696849199</v>
      </c>
      <c r="O6145">
        <v>45.954713309176199</v>
      </c>
      <c r="P6145">
        <v>-0.10222480541022599</v>
      </c>
      <c r="Q6145">
        <v>7.7172871791939796E-2</v>
      </c>
      <c r="R6145">
        <v>0.99718209319325501</v>
      </c>
      <c r="S6145" t="s">
        <v>12547</v>
      </c>
      <c r="T6145" t="s">
        <v>12802</v>
      </c>
      <c r="U6145" t="s">
        <v>12802</v>
      </c>
      <c r="V6145" t="s">
        <v>12802</v>
      </c>
      <c r="W6145" t="s">
        <v>18874</v>
      </c>
      <c r="X6145">
        <v>9</v>
      </c>
      <c r="Y6145" t="s">
        <v>25076</v>
      </c>
      <c r="Z6145" t="s">
        <v>31463</v>
      </c>
      <c r="AA6145">
        <v>0.37782035263451191</v>
      </c>
      <c r="AB6145" t="str">
        <f>HYPERLINK("Melting_Curves/meltCurve_Q9UNY4_TTF2.pdf", "Melting_Curves/meltCurve_Q9UNY4_TTF2.pdf")</f>
        <v>Melting_Curves/meltCurve_Q9UNY4_TTF2.pdf</v>
      </c>
    </row>
    <row r="6146" spans="1:28" x14ac:dyDescent="0.25">
      <c r="A6146" t="s">
        <v>6150</v>
      </c>
      <c r="B6146">
        <v>0.99542014353169495</v>
      </c>
      <c r="C6146">
        <v>0.99408123055191699</v>
      </c>
      <c r="D6146">
        <v>0.93778368285970504</v>
      </c>
      <c r="E6146">
        <v>0.84461757960285799</v>
      </c>
      <c r="F6146">
        <v>0.50100137302195702</v>
      </c>
      <c r="G6146">
        <v>0.18192264325507601</v>
      </c>
      <c r="H6146">
        <v>8.4277866510776706E-2</v>
      </c>
      <c r="I6146">
        <v>6.1487763992759001E-2</v>
      </c>
      <c r="J6146">
        <v>6.9225549613044404E-2</v>
      </c>
      <c r="K6146">
        <v>8.0159782281429698E-2</v>
      </c>
      <c r="L6146">
        <v>1185.9187369465301</v>
      </c>
      <c r="M6146">
        <v>23.805400477187</v>
      </c>
      <c r="N6146">
        <v>50.077339312737699</v>
      </c>
      <c r="O6146">
        <v>49.469665730707902</v>
      </c>
      <c r="P6146">
        <v>-0.113308259523558</v>
      </c>
      <c r="Q6146">
        <v>5.81582605627688E-2</v>
      </c>
      <c r="R6146">
        <v>0.99826602481642401</v>
      </c>
      <c r="S6146" t="s">
        <v>12548</v>
      </c>
      <c r="T6146" t="s">
        <v>12802</v>
      </c>
      <c r="U6146" t="s">
        <v>12802</v>
      </c>
      <c r="V6146" t="s">
        <v>12802</v>
      </c>
      <c r="W6146" t="s">
        <v>18875</v>
      </c>
      <c r="X6146">
        <v>24</v>
      </c>
      <c r="Y6146" t="s">
        <v>25077</v>
      </c>
      <c r="Z6146" t="s">
        <v>31464</v>
      </c>
      <c r="AA6146">
        <v>0.46957315613342537</v>
      </c>
      <c r="AB6146" t="str">
        <f>HYPERLINK("Melting_Curves/meltCurve_Q9UNZ2_NSFL1C.pdf", "Melting_Curves/meltCurve_Q9UNZ2_NSFL1C.pdf")</f>
        <v>Melting_Curves/meltCurve_Q9UNZ2_NSFL1C.pdf</v>
      </c>
    </row>
    <row r="6147" spans="1:28" x14ac:dyDescent="0.25">
      <c r="A6147" t="s">
        <v>6151</v>
      </c>
      <c r="B6147">
        <v>0.99542014353169495</v>
      </c>
      <c r="C6147">
        <v>1.0556603369167501</v>
      </c>
      <c r="D6147">
        <v>0.98620420604759895</v>
      </c>
      <c r="E6147">
        <v>0.786802591423444</v>
      </c>
      <c r="F6147">
        <v>0.54143069417776701</v>
      </c>
      <c r="G6147">
        <v>0.42155215744014501</v>
      </c>
      <c r="H6147">
        <v>0.24393032642130799</v>
      </c>
      <c r="I6147">
        <v>0.174376658082215</v>
      </c>
      <c r="J6147">
        <v>0.26151487387578298</v>
      </c>
      <c r="K6147">
        <v>0.38164408876892902</v>
      </c>
      <c r="L6147">
        <v>1020.2684503016</v>
      </c>
      <c r="M6147">
        <v>20.824629949056199</v>
      </c>
      <c r="N6147">
        <v>50.828913178350703</v>
      </c>
      <c r="O6147">
        <v>48.548279224583801</v>
      </c>
      <c r="P6147">
        <v>-7.8896483787529795E-2</v>
      </c>
      <c r="Q6147">
        <v>0.26429765748028999</v>
      </c>
      <c r="R6147">
        <v>0.96674947738546202</v>
      </c>
      <c r="S6147" t="s">
        <v>12549</v>
      </c>
      <c r="T6147" t="s">
        <v>12802</v>
      </c>
      <c r="U6147" t="s">
        <v>12802</v>
      </c>
      <c r="V6147" t="s">
        <v>12802</v>
      </c>
      <c r="W6147" t="s">
        <v>18876</v>
      </c>
      <c r="X6147">
        <v>3</v>
      </c>
      <c r="Y6147" t="s">
        <v>25078</v>
      </c>
      <c r="Z6147" t="s">
        <v>31465</v>
      </c>
      <c r="AA6147">
        <v>0.56741439754161749</v>
      </c>
      <c r="AB6147" t="str">
        <f>HYPERLINK("Melting_Curves/meltCurve_Q9UNZ5_C19orf53.pdf", "Melting_Curves/meltCurve_Q9UNZ5_C19orf53.pdf")</f>
        <v>Melting_Curves/meltCurve_Q9UNZ5_C19orf53.pdf</v>
      </c>
    </row>
    <row r="6148" spans="1:28" x14ac:dyDescent="0.25">
      <c r="A6148" t="s">
        <v>6152</v>
      </c>
      <c r="B6148">
        <v>0.99542014353169495</v>
      </c>
      <c r="C6148">
        <v>0.984902066061625</v>
      </c>
      <c r="D6148">
        <v>1.00700991951935</v>
      </c>
      <c r="E6148">
        <v>0.84392093250571898</v>
      </c>
      <c r="F6148">
        <v>0.61639516091604296</v>
      </c>
      <c r="G6148">
        <v>0.340620974264563</v>
      </c>
      <c r="H6148">
        <v>0.24487969488331701</v>
      </c>
      <c r="I6148">
        <v>0.16404802885956099</v>
      </c>
      <c r="J6148">
        <v>0.111350393467257</v>
      </c>
      <c r="K6148">
        <v>8.4405548661493204E-2</v>
      </c>
      <c r="L6148">
        <v>864.08532251602605</v>
      </c>
      <c r="M6148">
        <v>16.903651482818098</v>
      </c>
      <c r="N6148">
        <v>51.726806703707801</v>
      </c>
      <c r="O6148">
        <v>50.418916589117103</v>
      </c>
      <c r="P6148">
        <v>-7.6263211233439904E-2</v>
      </c>
      <c r="Q6148">
        <v>9.0169243758459194E-2</v>
      </c>
      <c r="R6148">
        <v>0.99683076705790097</v>
      </c>
      <c r="S6148" t="s">
        <v>12550</v>
      </c>
      <c r="T6148" t="s">
        <v>12802</v>
      </c>
      <c r="U6148" t="s">
        <v>12802</v>
      </c>
      <c r="V6148" t="s">
        <v>12802</v>
      </c>
      <c r="W6148" t="s">
        <v>18877</v>
      </c>
      <c r="X6148">
        <v>9</v>
      </c>
      <c r="Y6148" t="s">
        <v>25079</v>
      </c>
      <c r="Z6148" t="s">
        <v>31466</v>
      </c>
      <c r="AA6148">
        <v>0.53380586220261406</v>
      </c>
      <c r="AB6148" t="str">
        <f>HYPERLINK("Melting_Curves/meltCurve_Q9UP52_3_TFR2.pdf", "Melting_Curves/meltCurve_Q9UP52_3_TFR2.pdf")</f>
        <v>Melting_Curves/meltCurve_Q9UP52_3_TFR2.pdf</v>
      </c>
    </row>
    <row r="6149" spans="1:28" x14ac:dyDescent="0.25">
      <c r="A6149" t="s">
        <v>6153</v>
      </c>
      <c r="B6149">
        <v>0.99542014353169495</v>
      </c>
      <c r="C6149">
        <v>0.88192556422767299</v>
      </c>
      <c r="D6149">
        <v>0.720616745358301</v>
      </c>
      <c r="E6149">
        <v>0.32155992976553099</v>
      </c>
      <c r="F6149">
        <v>0.19458981218528901</v>
      </c>
      <c r="G6149">
        <v>0.112843319991389</v>
      </c>
      <c r="H6149">
        <v>7.2698670457552295E-2</v>
      </c>
      <c r="I6149">
        <v>6.0599699787665301E-2</v>
      </c>
      <c r="J6149">
        <v>6.8773627249847494E-2</v>
      </c>
      <c r="K6149">
        <v>7.9567772507662296E-2</v>
      </c>
      <c r="L6149">
        <v>849.39929053552999</v>
      </c>
      <c r="M6149">
        <v>19.0490131846324</v>
      </c>
      <c r="N6149">
        <v>44.941106874724802</v>
      </c>
      <c r="O6149">
        <v>44.107529007095799</v>
      </c>
      <c r="P6149">
        <v>-0.100512315663927</v>
      </c>
      <c r="Q6149">
        <v>6.9101842252909496E-2</v>
      </c>
      <c r="R6149">
        <v>0.996754522026287</v>
      </c>
      <c r="S6149" t="s">
        <v>12551</v>
      </c>
      <c r="T6149" t="s">
        <v>12802</v>
      </c>
      <c r="U6149" t="s">
        <v>12802</v>
      </c>
      <c r="V6149" t="s">
        <v>12802</v>
      </c>
      <c r="W6149" t="s">
        <v>18878</v>
      </c>
      <c r="X6149">
        <v>9</v>
      </c>
      <c r="Y6149" t="s">
        <v>25080</v>
      </c>
      <c r="Z6149" t="s">
        <v>31467</v>
      </c>
      <c r="AA6149">
        <v>0.31827398088802522</v>
      </c>
      <c r="AB6149" t="str">
        <f>HYPERLINK("Melting_Curves/meltCurve_Q9UP83_COG5.pdf", "Melting_Curves/meltCurve_Q9UP83_COG5.pdf")</f>
        <v>Melting_Curves/meltCurve_Q9UP83_COG5.pdf</v>
      </c>
    </row>
    <row r="6150" spans="1:28" x14ac:dyDescent="0.25">
      <c r="A6150" t="s">
        <v>6154</v>
      </c>
      <c r="B6150">
        <v>0.99542014353169495</v>
      </c>
      <c r="C6150">
        <v>0.86520132476506495</v>
      </c>
      <c r="D6150">
        <v>0.92287293242594703</v>
      </c>
      <c r="E6150">
        <v>0.63189475080778501</v>
      </c>
      <c r="F6150">
        <v>0.55587066046547895</v>
      </c>
      <c r="G6150">
        <v>0.29158627073469301</v>
      </c>
      <c r="H6150">
        <v>0.207862457035842</v>
      </c>
      <c r="I6150">
        <v>0.13449732137443399</v>
      </c>
      <c r="J6150">
        <v>0.13085725017161001</v>
      </c>
      <c r="K6150">
        <v>0.167845008962062</v>
      </c>
      <c r="L6150">
        <v>596.24518161831804</v>
      </c>
      <c r="M6150">
        <v>12.1435925066633</v>
      </c>
      <c r="N6150">
        <v>49.893512931086299</v>
      </c>
      <c r="O6150">
        <v>47.824995593643401</v>
      </c>
      <c r="P6150">
        <v>-5.7915551438624799E-2</v>
      </c>
      <c r="Q6150">
        <v>8.78569067262856E-2</v>
      </c>
      <c r="R6150">
        <v>0.97855988717380804</v>
      </c>
      <c r="S6150" t="s">
        <v>12552</v>
      </c>
      <c r="T6150" t="s">
        <v>12802</v>
      </c>
      <c r="U6150" t="s">
        <v>12802</v>
      </c>
      <c r="V6150" t="s">
        <v>12802</v>
      </c>
      <c r="W6150" t="s">
        <v>18879</v>
      </c>
      <c r="X6150">
        <v>6</v>
      </c>
      <c r="Y6150" t="s">
        <v>25081</v>
      </c>
      <c r="Z6150" t="s">
        <v>31468</v>
      </c>
      <c r="AA6150">
        <v>0.48228161894898142</v>
      </c>
      <c r="AB6150" t="str">
        <f>HYPERLINK("Melting_Curves/meltCurve_Q9UP95_3_SLC12A4.pdf", "Melting_Curves/meltCurve_Q9UP95_3_SLC12A4.pdf")</f>
        <v>Melting_Curves/meltCurve_Q9UP95_3_SLC12A4.pdf</v>
      </c>
    </row>
    <row r="6151" spans="1:28" x14ac:dyDescent="0.25">
      <c r="A6151" t="s">
        <v>6155</v>
      </c>
      <c r="B6151">
        <v>0.99542014353169495</v>
      </c>
      <c r="C6151">
        <v>0.83728230841793605</v>
      </c>
      <c r="D6151">
        <v>0.94412889096481201</v>
      </c>
      <c r="E6151">
        <v>0.51339705938021596</v>
      </c>
      <c r="F6151">
        <v>0.272690689585037</v>
      </c>
      <c r="G6151">
        <v>0.16712179014584899</v>
      </c>
      <c r="H6151">
        <v>0.102880506243197</v>
      </c>
      <c r="I6151">
        <v>9.4729807786465406E-2</v>
      </c>
      <c r="J6151">
        <v>4.2754366555391901E-2</v>
      </c>
      <c r="K6151">
        <v>6.4727058315202493E-2</v>
      </c>
      <c r="L6151">
        <v>877.58483809450297</v>
      </c>
      <c r="M6151">
        <v>18.748180986561799</v>
      </c>
      <c r="N6151">
        <v>47.173180821644102</v>
      </c>
      <c r="O6151">
        <v>46.286272722556198</v>
      </c>
      <c r="P6151">
        <v>-9.4444676422768506E-2</v>
      </c>
      <c r="Q6151">
        <v>6.7363852251446699E-2</v>
      </c>
      <c r="R6151">
        <v>0.97887171231820802</v>
      </c>
      <c r="S6151" t="s">
        <v>12553</v>
      </c>
      <c r="T6151" t="s">
        <v>12802</v>
      </c>
      <c r="U6151" t="s">
        <v>12802</v>
      </c>
      <c r="V6151" t="s">
        <v>12802</v>
      </c>
      <c r="W6151" t="s">
        <v>18880</v>
      </c>
      <c r="X6151">
        <v>2</v>
      </c>
      <c r="Y6151" t="s">
        <v>25082</v>
      </c>
      <c r="Z6151" t="s">
        <v>31469</v>
      </c>
      <c r="AA6151">
        <v>0.38615704108336812</v>
      </c>
      <c r="AB6151" t="str">
        <f>HYPERLINK("Melting_Curves/meltCurve_Q9UPM8_2_AP4E1.pdf", "Melting_Curves/meltCurve_Q9UPM8_2_AP4E1.pdf")</f>
        <v>Melting_Curves/meltCurve_Q9UPM8_2_AP4E1.pdf</v>
      </c>
    </row>
    <row r="6152" spans="1:28" x14ac:dyDescent="0.25">
      <c r="A6152" t="s">
        <v>6156</v>
      </c>
      <c r="B6152">
        <v>0.99542014353169495</v>
      </c>
      <c r="C6152">
        <v>1.0872896099218201</v>
      </c>
      <c r="D6152">
        <v>1.13419079132418</v>
      </c>
      <c r="E6152">
        <v>0.63410592081317496</v>
      </c>
      <c r="F6152">
        <v>0.114076851762584</v>
      </c>
      <c r="G6152">
        <v>7.5575116395012298E-2</v>
      </c>
      <c r="H6152">
        <v>6.2855447475892098E-2</v>
      </c>
      <c r="I6152">
        <v>5.7371220767166303E-2</v>
      </c>
      <c r="J6152">
        <v>5.8404989361642803E-2</v>
      </c>
      <c r="K6152">
        <v>3.4520001829118199E-2</v>
      </c>
      <c r="L6152">
        <v>2817.26827541702</v>
      </c>
      <c r="M6152">
        <v>59.9896787544752</v>
      </c>
      <c r="N6152">
        <v>47.069161897818603</v>
      </c>
      <c r="O6152">
        <v>46.910447731163103</v>
      </c>
      <c r="P6152">
        <v>-0.29939413223279399</v>
      </c>
      <c r="Q6152">
        <v>6.3525105699777304E-2</v>
      </c>
      <c r="R6152">
        <v>0.98621412353401405</v>
      </c>
      <c r="S6152" t="s">
        <v>12554</v>
      </c>
      <c r="T6152" t="s">
        <v>12802</v>
      </c>
      <c r="U6152" t="s">
        <v>12802</v>
      </c>
      <c r="V6152" t="s">
        <v>12802</v>
      </c>
      <c r="W6152" t="s">
        <v>13801</v>
      </c>
      <c r="X6152">
        <v>157</v>
      </c>
      <c r="Y6152" t="s">
        <v>19725</v>
      </c>
      <c r="Z6152" t="s">
        <v>31470</v>
      </c>
      <c r="AA6152">
        <v>0.37585970141904163</v>
      </c>
      <c r="AB6152" t="str">
        <f>HYPERLINK("Melting_Curves/meltCurve_Q9UPN3_MACF1.pdf", "Melting_Curves/meltCurve_Q9UPN3_MACF1.pdf")</f>
        <v>Melting_Curves/meltCurve_Q9UPN3_MACF1.pdf</v>
      </c>
    </row>
    <row r="6153" spans="1:28" x14ac:dyDescent="0.25">
      <c r="A6153" t="s">
        <v>6157</v>
      </c>
      <c r="B6153">
        <v>0.99542014353169495</v>
      </c>
      <c r="C6153">
        <v>0.97294997615921397</v>
      </c>
      <c r="D6153">
        <v>0.88858441959372103</v>
      </c>
      <c r="E6153">
        <v>0.58520654904945502</v>
      </c>
      <c r="F6153">
        <v>0.31393680914409</v>
      </c>
      <c r="G6153">
        <v>0.18400485539849701</v>
      </c>
      <c r="H6153">
        <v>0.113395856499865</v>
      </c>
      <c r="I6153">
        <v>8.0731561598158794E-2</v>
      </c>
      <c r="J6153">
        <v>0.111394527084162</v>
      </c>
      <c r="K6153">
        <v>0.115999962469773</v>
      </c>
      <c r="L6153">
        <v>913.348341748537</v>
      </c>
      <c r="M6153">
        <v>19.386412609697</v>
      </c>
      <c r="N6153">
        <v>47.643996143508502</v>
      </c>
      <c r="O6153">
        <v>46.6201020178273</v>
      </c>
      <c r="P6153">
        <v>-9.3859290800717601E-2</v>
      </c>
      <c r="Q6153">
        <v>9.7188589578124707E-2</v>
      </c>
      <c r="R6153">
        <v>0.998781090720259</v>
      </c>
      <c r="S6153" t="s">
        <v>12555</v>
      </c>
      <c r="T6153" t="s">
        <v>12802</v>
      </c>
      <c r="U6153" t="s">
        <v>12802</v>
      </c>
      <c r="V6153" t="s">
        <v>12802</v>
      </c>
      <c r="W6153" t="s">
        <v>18881</v>
      </c>
      <c r="X6153">
        <v>6</v>
      </c>
      <c r="Y6153" t="s">
        <v>25083</v>
      </c>
      <c r="Z6153" t="s">
        <v>31471</v>
      </c>
      <c r="AA6153">
        <v>0.4140824874527968</v>
      </c>
      <c r="AB6153" t="str">
        <f>HYPERLINK("Melting_Curves/meltCurve_Q9UPN4_2_AZI1.pdf", "Melting_Curves/meltCurve_Q9UPN4_2_AZI1.pdf")</f>
        <v>Melting_Curves/meltCurve_Q9UPN4_2_AZI1.pdf</v>
      </c>
    </row>
    <row r="6154" spans="1:28" x14ac:dyDescent="0.25">
      <c r="A6154" t="s">
        <v>6158</v>
      </c>
      <c r="B6154">
        <v>0.99542014353169495</v>
      </c>
      <c r="C6154">
        <v>0.95793675501745201</v>
      </c>
      <c r="D6154">
        <v>0.94453008021073503</v>
      </c>
      <c r="E6154">
        <v>0.42346214061815002</v>
      </c>
      <c r="F6154">
        <v>0.20344986766102299</v>
      </c>
      <c r="G6154">
        <v>0.110642934716976</v>
      </c>
      <c r="H6154">
        <v>7.4250495112429205E-2</v>
      </c>
      <c r="I6154">
        <v>5.3011829392968599E-2</v>
      </c>
      <c r="J6154">
        <v>5.8668832032046099E-2</v>
      </c>
      <c r="K6154">
        <v>8.1162532421783104E-2</v>
      </c>
      <c r="L6154">
        <v>1382.3352823426501</v>
      </c>
      <c r="M6154">
        <v>30.031932745414402</v>
      </c>
      <c r="N6154">
        <v>46.295673241432198</v>
      </c>
      <c r="O6154">
        <v>45.8262069655772</v>
      </c>
      <c r="P6154">
        <v>-0.15081784798807901</v>
      </c>
      <c r="Q6154">
        <v>7.9464499602002706E-2</v>
      </c>
      <c r="R6154">
        <v>0.99439643906921704</v>
      </c>
      <c r="S6154" t="s">
        <v>12556</v>
      </c>
      <c r="T6154" t="s">
        <v>12802</v>
      </c>
      <c r="U6154" t="s">
        <v>12802</v>
      </c>
      <c r="V6154" t="s">
        <v>12802</v>
      </c>
      <c r="W6154" t="s">
        <v>18882</v>
      </c>
      <c r="X6154">
        <v>17</v>
      </c>
      <c r="Y6154" t="s">
        <v>25084</v>
      </c>
      <c r="Z6154" t="s">
        <v>31472</v>
      </c>
      <c r="AA6154">
        <v>0.36175379734192109</v>
      </c>
      <c r="AB6154" t="str">
        <f>HYPERLINK("Melting_Curves/meltCurve_Q9UPN6_SCAF8.pdf", "Melting_Curves/meltCurve_Q9UPN6_SCAF8.pdf")</f>
        <v>Melting_Curves/meltCurve_Q9UPN6_SCAF8.pdf</v>
      </c>
    </row>
    <row r="6155" spans="1:28" x14ac:dyDescent="0.25">
      <c r="A6155" t="s">
        <v>6159</v>
      </c>
      <c r="B6155">
        <v>0.99542014353169495</v>
      </c>
      <c r="C6155">
        <v>0.90692805031664403</v>
      </c>
      <c r="D6155">
        <v>0.95198175244780203</v>
      </c>
      <c r="E6155">
        <v>0.67550142667232205</v>
      </c>
      <c r="F6155">
        <v>0.38337566825380498</v>
      </c>
      <c r="G6155">
        <v>0.144725576545358</v>
      </c>
      <c r="H6155">
        <v>7.0812824390123805E-2</v>
      </c>
      <c r="I6155">
        <v>4.7576756422322897E-2</v>
      </c>
      <c r="J6155">
        <v>4.2958544277529397E-2</v>
      </c>
      <c r="K6155">
        <v>3.7900223661340701E-2</v>
      </c>
      <c r="L6155">
        <v>903.06411662717301</v>
      </c>
      <c r="M6155">
        <v>18.616314321482399</v>
      </c>
      <c r="N6155">
        <v>48.650811789486497</v>
      </c>
      <c r="O6155">
        <v>47.959938761307001</v>
      </c>
      <c r="P6155">
        <v>-9.4487302760536906E-2</v>
      </c>
      <c r="Q6155">
        <v>2.63573151167131E-2</v>
      </c>
      <c r="R6155">
        <v>0.99491316845497302</v>
      </c>
      <c r="S6155" t="s">
        <v>12557</v>
      </c>
      <c r="T6155" t="s">
        <v>12802</v>
      </c>
      <c r="U6155" t="s">
        <v>12802</v>
      </c>
      <c r="V6155" t="s">
        <v>12802</v>
      </c>
      <c r="W6155" t="s">
        <v>18883</v>
      </c>
      <c r="X6155">
        <v>9</v>
      </c>
      <c r="Y6155" t="s">
        <v>25085</v>
      </c>
      <c r="Z6155" t="s">
        <v>31473</v>
      </c>
      <c r="AA6155">
        <v>0.41450233281945043</v>
      </c>
      <c r="AB6155" t="str">
        <f>HYPERLINK("Melting_Curves/meltCurve_Q9UPN7_PPP6R1.pdf", "Melting_Curves/meltCurve_Q9UPN7_PPP6R1.pdf")</f>
        <v>Melting_Curves/meltCurve_Q9UPN7_PPP6R1.pdf</v>
      </c>
    </row>
    <row r="6156" spans="1:28" x14ac:dyDescent="0.25">
      <c r="A6156" t="s">
        <v>6160</v>
      </c>
      <c r="B6156">
        <v>0.99542014353169495</v>
      </c>
      <c r="C6156">
        <v>0.97387907786313799</v>
      </c>
      <c r="D6156">
        <v>0.94367263700983295</v>
      </c>
      <c r="E6156">
        <v>0.61391811710312505</v>
      </c>
      <c r="F6156">
        <v>0.17216638772711901</v>
      </c>
      <c r="G6156">
        <v>0.109595926867736</v>
      </c>
      <c r="H6156">
        <v>7.8354073239151598E-2</v>
      </c>
      <c r="I6156">
        <v>6.0963094098456398E-2</v>
      </c>
      <c r="J6156">
        <v>7.9504761730778806E-2</v>
      </c>
      <c r="K6156">
        <v>9.4687535362021805E-2</v>
      </c>
      <c r="L6156">
        <v>1518.52722495943</v>
      </c>
      <c r="M6156">
        <v>32.291755615553299</v>
      </c>
      <c r="N6156">
        <v>47.277049835963403</v>
      </c>
      <c r="O6156">
        <v>46.8459872573955</v>
      </c>
      <c r="P6156">
        <v>-0.15871522332256799</v>
      </c>
      <c r="Q6156">
        <v>7.9005159009081297E-2</v>
      </c>
      <c r="R6156">
        <v>0.998868050493394</v>
      </c>
      <c r="S6156" t="s">
        <v>12558</v>
      </c>
      <c r="T6156" t="s">
        <v>12802</v>
      </c>
      <c r="U6156" t="s">
        <v>12802</v>
      </c>
      <c r="V6156" t="s">
        <v>12802</v>
      </c>
      <c r="W6156" t="s">
        <v>18884</v>
      </c>
      <c r="X6156">
        <v>24</v>
      </c>
      <c r="Y6156" t="s">
        <v>25086</v>
      </c>
      <c r="Z6156" t="s">
        <v>31474</v>
      </c>
      <c r="AA6156">
        <v>0.39139257169213182</v>
      </c>
      <c r="AB6156" t="str">
        <f>HYPERLINK("Melting_Curves/meltCurve_Q9UPN9_2_TRIM33.pdf", "Melting_Curves/meltCurve_Q9UPN9_2_TRIM33.pdf")</f>
        <v>Melting_Curves/meltCurve_Q9UPN9_2_TRIM33.pdf</v>
      </c>
    </row>
    <row r="6157" spans="1:28" x14ac:dyDescent="0.25">
      <c r="A6157" t="s">
        <v>6161</v>
      </c>
      <c r="B6157">
        <v>0.99542014353169495</v>
      </c>
      <c r="C6157">
        <v>0.93057326951707697</v>
      </c>
      <c r="D6157">
        <v>0.79652451945314495</v>
      </c>
      <c r="E6157">
        <v>0.44682408920309202</v>
      </c>
      <c r="F6157">
        <v>0.16122418743675701</v>
      </c>
      <c r="G6157">
        <v>6.9983141878874194E-2</v>
      </c>
      <c r="H6157">
        <v>3.90913089467671E-2</v>
      </c>
      <c r="I6157">
        <v>2.6893373914673599E-2</v>
      </c>
      <c r="J6157">
        <v>3.6548007431016202E-2</v>
      </c>
      <c r="K6157">
        <v>2.2530349404139598E-2</v>
      </c>
      <c r="L6157">
        <v>904.68462740653297</v>
      </c>
      <c r="M6157">
        <v>19.715731013441999</v>
      </c>
      <c r="N6157">
        <v>45.988883927481403</v>
      </c>
      <c r="O6157">
        <v>45.422191718369398</v>
      </c>
      <c r="P6157">
        <v>-0.10618603507143699</v>
      </c>
      <c r="Q6157">
        <v>2.1484788989817399E-2</v>
      </c>
      <c r="R6157">
        <v>0.99942952202578506</v>
      </c>
      <c r="S6157" t="s">
        <v>12559</v>
      </c>
      <c r="T6157" t="s">
        <v>12802</v>
      </c>
      <c r="U6157" t="s">
        <v>12802</v>
      </c>
      <c r="V6157" t="s">
        <v>12802</v>
      </c>
      <c r="W6157" t="s">
        <v>18885</v>
      </c>
      <c r="X6157">
        <v>3</v>
      </c>
      <c r="Y6157" t="s">
        <v>25087</v>
      </c>
      <c r="Z6157" t="s">
        <v>31475</v>
      </c>
      <c r="AA6157">
        <v>0.32450797196341252</v>
      </c>
      <c r="AB6157" t="str">
        <f>HYPERLINK("Melting_Curves/meltCurve_Q9UPR3_SMG5.pdf", "Melting_Curves/meltCurve_Q9UPR3_SMG5.pdf")</f>
        <v>Melting_Curves/meltCurve_Q9UPR3_SMG5.pdf</v>
      </c>
    </row>
    <row r="6158" spans="1:28" x14ac:dyDescent="0.25">
      <c r="A6158" t="s">
        <v>6162</v>
      </c>
      <c r="B6158">
        <v>0.99542014353169495</v>
      </c>
      <c r="C6158">
        <v>0.93421996946192198</v>
      </c>
      <c r="D6158">
        <v>0.96642826355969003</v>
      </c>
      <c r="E6158">
        <v>0.63654914125347295</v>
      </c>
      <c r="F6158">
        <v>0.26384591361820797</v>
      </c>
      <c r="G6158">
        <v>0.13845065040323401</v>
      </c>
      <c r="H6158">
        <v>7.1729470851442101E-2</v>
      </c>
      <c r="I6158">
        <v>6.0559850297070103E-2</v>
      </c>
      <c r="J6158">
        <v>7.0585356833029703E-2</v>
      </c>
      <c r="K6158">
        <v>8.6131516620755605E-2</v>
      </c>
      <c r="L6158">
        <v>1184.1748643406199</v>
      </c>
      <c r="M6158">
        <v>24.930559533182102</v>
      </c>
      <c r="N6158">
        <v>47.796012345232199</v>
      </c>
      <c r="O6158">
        <v>47.196479362317298</v>
      </c>
      <c r="P6158">
        <v>-0.122580527823601</v>
      </c>
      <c r="Q6158">
        <v>7.1775253024057101E-2</v>
      </c>
      <c r="R6158">
        <v>0.99654568654282905</v>
      </c>
      <c r="S6158" t="s">
        <v>12560</v>
      </c>
      <c r="T6158" t="s">
        <v>12802</v>
      </c>
      <c r="U6158" t="s">
        <v>12802</v>
      </c>
      <c r="V6158" t="s">
        <v>12802</v>
      </c>
      <c r="W6158" t="s">
        <v>18886</v>
      </c>
      <c r="X6158">
        <v>14</v>
      </c>
      <c r="Y6158" t="s">
        <v>25088</v>
      </c>
      <c r="Z6158" t="s">
        <v>31476</v>
      </c>
      <c r="AA6158">
        <v>0.40451676070217502</v>
      </c>
      <c r="AB6158" t="str">
        <f>HYPERLINK("Melting_Curves/meltCurve_Q9UPT5_2_EXOC7.pdf", "Melting_Curves/meltCurve_Q9UPT5_2_EXOC7.pdf")</f>
        <v>Melting_Curves/meltCurve_Q9UPT5_2_EXOC7.pdf</v>
      </c>
    </row>
    <row r="6159" spans="1:28" x14ac:dyDescent="0.25">
      <c r="A6159" t="s">
        <v>6163</v>
      </c>
      <c r="B6159">
        <v>0.99542014353169495</v>
      </c>
      <c r="C6159">
        <v>0.94206166442018102</v>
      </c>
      <c r="D6159">
        <v>0.83923959433175799</v>
      </c>
      <c r="E6159">
        <v>0.65352926778693299</v>
      </c>
      <c r="F6159">
        <v>0.34963174412890402</v>
      </c>
      <c r="G6159">
        <v>0.19825865312471699</v>
      </c>
      <c r="H6159">
        <v>0.114476930112463</v>
      </c>
      <c r="I6159">
        <v>6.6300784796150702E-2</v>
      </c>
      <c r="J6159">
        <v>9.3085710533876098E-2</v>
      </c>
      <c r="K6159">
        <v>9.4505259510892697E-2</v>
      </c>
      <c r="L6159">
        <v>756.26655817460403</v>
      </c>
      <c r="M6159">
        <v>15.828127455310399</v>
      </c>
      <c r="N6159">
        <v>48.188805978921202</v>
      </c>
      <c r="O6159">
        <v>47.036748663027304</v>
      </c>
      <c r="P6159">
        <v>-7.8846476775318294E-2</v>
      </c>
      <c r="Q6159">
        <v>6.2838372693130196E-2</v>
      </c>
      <c r="R6159">
        <v>0.99746914724399605</v>
      </c>
      <c r="S6159" t="s">
        <v>12561</v>
      </c>
      <c r="T6159" t="s">
        <v>12802</v>
      </c>
      <c r="U6159" t="s">
        <v>12802</v>
      </c>
      <c r="V6159" t="s">
        <v>12802</v>
      </c>
      <c r="W6159" t="s">
        <v>18887</v>
      </c>
      <c r="X6159">
        <v>3</v>
      </c>
      <c r="Y6159" t="s">
        <v>25089</v>
      </c>
      <c r="Z6159" t="s">
        <v>31477</v>
      </c>
      <c r="AA6159">
        <v>0.41848859921600018</v>
      </c>
      <c r="AB6159" t="str">
        <f>HYPERLINK("Melting_Curves/meltCurve_Q9UPT9_2_USP22.pdf", "Melting_Curves/meltCurve_Q9UPT9_2_USP22.pdf")</f>
        <v>Melting_Curves/meltCurve_Q9UPT9_2_USP22.pdf</v>
      </c>
    </row>
    <row r="6160" spans="1:28" x14ac:dyDescent="0.25">
      <c r="A6160" t="s">
        <v>6164</v>
      </c>
      <c r="B6160">
        <v>0.99542014353169495</v>
      </c>
      <c r="C6160">
        <v>0.90912685500711599</v>
      </c>
      <c r="D6160">
        <v>0.95515225871158405</v>
      </c>
      <c r="E6160">
        <v>0.61998551747583197</v>
      </c>
      <c r="F6160">
        <v>0.27191106138513399</v>
      </c>
      <c r="G6160">
        <v>0.12711020337386</v>
      </c>
      <c r="H6160">
        <v>7.0603686522989706E-2</v>
      </c>
      <c r="I6160">
        <v>5.0532741043954499E-2</v>
      </c>
      <c r="J6160">
        <v>5.7508986492505097E-2</v>
      </c>
      <c r="K6160">
        <v>5.6528636690211E-2</v>
      </c>
      <c r="L6160">
        <v>1069.59174732682</v>
      </c>
      <c r="M6160">
        <v>22.509221901497298</v>
      </c>
      <c r="N6160">
        <v>47.756830553354</v>
      </c>
      <c r="O6160">
        <v>47.1476548983443</v>
      </c>
      <c r="P6160">
        <v>-0.113002151355878</v>
      </c>
      <c r="Q6160">
        <v>5.3245317779675699E-2</v>
      </c>
      <c r="R6160">
        <v>0.99492516969202205</v>
      </c>
      <c r="S6160" t="s">
        <v>12562</v>
      </c>
      <c r="T6160" t="s">
        <v>12802</v>
      </c>
      <c r="U6160" t="s">
        <v>12802</v>
      </c>
      <c r="V6160" t="s">
        <v>12802</v>
      </c>
      <c r="W6160" t="s">
        <v>18888</v>
      </c>
      <c r="X6160">
        <v>28</v>
      </c>
      <c r="Y6160" t="s">
        <v>25090</v>
      </c>
      <c r="Z6160" t="s">
        <v>31478</v>
      </c>
      <c r="AA6160">
        <v>0.39503947752598861</v>
      </c>
      <c r="AB6160" t="str">
        <f>HYPERLINK("Melting_Curves/meltCurve_Q9UPU5_USP24.pdf", "Melting_Curves/meltCurve_Q9UPU5_USP24.pdf")</f>
        <v>Melting_Curves/meltCurve_Q9UPU5_USP24.pdf</v>
      </c>
    </row>
    <row r="6161" spans="1:28" x14ac:dyDescent="0.25">
      <c r="A6161" t="s">
        <v>6165</v>
      </c>
      <c r="B6161">
        <v>0.99542014353169495</v>
      </c>
      <c r="C6161">
        <v>0.995676606173167</v>
      </c>
      <c r="D6161">
        <v>0.96113144095518399</v>
      </c>
      <c r="E6161">
        <v>0.94280178392261604</v>
      </c>
      <c r="F6161">
        <v>0.55404717046298302</v>
      </c>
      <c r="G6161">
        <v>0.120656910853007</v>
      </c>
      <c r="H6161">
        <v>7.1210852463372595E-2</v>
      </c>
      <c r="I6161">
        <v>4.8971585061841197E-2</v>
      </c>
      <c r="J6161">
        <v>4.7114117842157403E-2</v>
      </c>
      <c r="K6161">
        <v>6.1489673056336E-2</v>
      </c>
      <c r="L6161">
        <v>1859.27262063529</v>
      </c>
      <c r="M6161">
        <v>36.942023421412898</v>
      </c>
      <c r="N6161">
        <v>50.479793385636498</v>
      </c>
      <c r="O6161">
        <v>50.182688645221397</v>
      </c>
      <c r="P6161">
        <v>-0.174451939932047</v>
      </c>
      <c r="Q6161">
        <v>5.2088740219886902E-2</v>
      </c>
      <c r="R6161">
        <v>0.99895623564272795</v>
      </c>
      <c r="S6161" t="s">
        <v>12563</v>
      </c>
      <c r="T6161" t="s">
        <v>12802</v>
      </c>
      <c r="U6161" t="s">
        <v>12802</v>
      </c>
      <c r="V6161" t="s">
        <v>12802</v>
      </c>
      <c r="W6161" t="s">
        <v>18889</v>
      </c>
      <c r="X6161">
        <v>8</v>
      </c>
      <c r="Y6161" t="s">
        <v>25091</v>
      </c>
      <c r="Z6161" t="s">
        <v>31479</v>
      </c>
      <c r="AA6161">
        <v>0.47712566946049079</v>
      </c>
      <c r="AB6161" t="str">
        <f>HYPERLINK("Melting_Curves/meltCurve_Q9UPY8_MAPRE3.pdf", "Melting_Curves/meltCurve_Q9UPY8_MAPRE3.pdf")</f>
        <v>Melting_Curves/meltCurve_Q9UPY8_MAPRE3.pdf</v>
      </c>
    </row>
    <row r="6162" spans="1:28" x14ac:dyDescent="0.25">
      <c r="A6162" t="s">
        <v>6166</v>
      </c>
      <c r="B6162">
        <v>0.99542014353169495</v>
      </c>
      <c r="C6162">
        <v>1.44919467177573</v>
      </c>
      <c r="D6162">
        <v>1.4028147620436799</v>
      </c>
      <c r="E6162">
        <v>1.0377135624348599</v>
      </c>
      <c r="F6162">
        <v>0.85694871715211196</v>
      </c>
      <c r="G6162">
        <v>0.164888993630184</v>
      </c>
      <c r="H6162">
        <v>4.0745989294607501E-2</v>
      </c>
      <c r="I6162">
        <v>0</v>
      </c>
      <c r="J6162">
        <v>0</v>
      </c>
      <c r="K6162">
        <v>0</v>
      </c>
      <c r="L6162">
        <v>2584.70397018735</v>
      </c>
      <c r="M6162">
        <v>49.697716482076402</v>
      </c>
      <c r="N6162">
        <v>52.023861231620003</v>
      </c>
      <c r="O6162">
        <v>51.924503483154901</v>
      </c>
      <c r="P6162">
        <v>-0.23753690777938699</v>
      </c>
      <c r="Q6162">
        <v>7.28032613794869E-3</v>
      </c>
      <c r="R6162">
        <v>0.89096676799860797</v>
      </c>
      <c r="S6162" t="s">
        <v>12564</v>
      </c>
      <c r="T6162" t="s">
        <v>12802</v>
      </c>
      <c r="U6162" t="s">
        <v>12802</v>
      </c>
      <c r="V6162" t="s">
        <v>12802</v>
      </c>
      <c r="W6162" t="s">
        <v>18890</v>
      </c>
      <c r="X6162">
        <v>8</v>
      </c>
      <c r="Y6162" t="s">
        <v>25091</v>
      </c>
      <c r="Z6162" t="s">
        <v>31480</v>
      </c>
      <c r="AA6162">
        <v>0.5062260864719843</v>
      </c>
      <c r="AB6162" t="str">
        <f>HYPERLINK("Melting_Curves/meltCurve_Q9UPY8_2_MAPRE3.pdf", "Melting_Curves/meltCurve_Q9UPY8_2_MAPRE3.pdf")</f>
        <v>Melting_Curves/meltCurve_Q9UPY8_2_MAPRE3.pdf</v>
      </c>
    </row>
    <row r="6163" spans="1:28" x14ac:dyDescent="0.25">
      <c r="A6163" t="s">
        <v>6167</v>
      </c>
      <c r="B6163">
        <v>0.99542014353169495</v>
      </c>
      <c r="C6163">
        <v>0.88297342817398405</v>
      </c>
      <c r="D6163">
        <v>0.73095571352706201</v>
      </c>
      <c r="E6163">
        <v>0.22963575653785601</v>
      </c>
      <c r="F6163">
        <v>0.12922097958862</v>
      </c>
      <c r="G6163">
        <v>6.00772845346196E-2</v>
      </c>
      <c r="H6163">
        <v>4.70259320981289E-2</v>
      </c>
      <c r="I6163">
        <v>3.6740797617824797E-2</v>
      </c>
      <c r="J6163">
        <v>3.4502004075217203E-2</v>
      </c>
      <c r="K6163">
        <v>5.59501709742974E-2</v>
      </c>
      <c r="L6163">
        <v>1088.4693265849301</v>
      </c>
      <c r="M6163">
        <v>24.562979493682299</v>
      </c>
      <c r="N6163">
        <v>44.4867854002255</v>
      </c>
      <c r="O6163">
        <v>44.022845696881603</v>
      </c>
      <c r="P6163">
        <v>-0.13312445234601</v>
      </c>
      <c r="Q6163">
        <v>4.56483380654212E-2</v>
      </c>
      <c r="R6163">
        <v>0.99451755507546202</v>
      </c>
      <c r="S6163" t="s">
        <v>12565</v>
      </c>
      <c r="T6163" t="s">
        <v>12802</v>
      </c>
      <c r="U6163" t="s">
        <v>12802</v>
      </c>
      <c r="V6163" t="s">
        <v>12802</v>
      </c>
      <c r="W6163" t="s">
        <v>18891</v>
      </c>
      <c r="X6163">
        <v>1</v>
      </c>
      <c r="Y6163" t="s">
        <v>25092</v>
      </c>
      <c r="Z6163" t="s">
        <v>31481</v>
      </c>
      <c r="AA6163">
        <v>0.28642746585817153</v>
      </c>
      <c r="AB6163" t="str">
        <f>HYPERLINK("Melting_Curves/meltCurve_Q9UPZ3_2_HPS5.pdf", "Melting_Curves/meltCurve_Q9UPZ3_2_HPS5.pdf")</f>
        <v>Melting_Curves/meltCurve_Q9UPZ3_2_HPS5.pdf</v>
      </c>
    </row>
    <row r="6164" spans="1:28" x14ac:dyDescent="0.25">
      <c r="A6164" t="s">
        <v>6168</v>
      </c>
      <c r="B6164">
        <v>0.99542014353169495</v>
      </c>
      <c r="C6164">
        <v>1.0058871103395399</v>
      </c>
      <c r="D6164">
        <v>0.91295864224897105</v>
      </c>
      <c r="E6164">
        <v>0.86360492352685403</v>
      </c>
      <c r="F6164">
        <v>0.46117987793350301</v>
      </c>
      <c r="G6164">
        <v>0.18146116033387999</v>
      </c>
      <c r="H6164">
        <v>6.6759660274397004E-2</v>
      </c>
      <c r="I6164">
        <v>5.3388400634817798E-2</v>
      </c>
      <c r="J6164">
        <v>8.0860797700643597E-2</v>
      </c>
      <c r="K6164">
        <v>4.8305207246185498E-2</v>
      </c>
      <c r="L6164">
        <v>1224.7912840638201</v>
      </c>
      <c r="M6164">
        <v>24.6507576941613</v>
      </c>
      <c r="N6164">
        <v>49.904656673935598</v>
      </c>
      <c r="O6164">
        <v>49.362226468210402</v>
      </c>
      <c r="P6164">
        <v>-0.11845011525263401</v>
      </c>
      <c r="Q6164">
        <v>5.1245668127952303E-2</v>
      </c>
      <c r="R6164">
        <v>0.99637155211766304</v>
      </c>
      <c r="S6164" t="s">
        <v>12566</v>
      </c>
      <c r="T6164" t="s">
        <v>12802</v>
      </c>
      <c r="U6164" t="s">
        <v>12802</v>
      </c>
      <c r="V6164" t="s">
        <v>12802</v>
      </c>
      <c r="W6164" t="s">
        <v>18892</v>
      </c>
      <c r="X6164">
        <v>6</v>
      </c>
      <c r="Y6164" t="s">
        <v>25093</v>
      </c>
      <c r="Z6164" t="s">
        <v>31482</v>
      </c>
      <c r="AA6164">
        <v>0.46092834491190421</v>
      </c>
      <c r="AB6164" t="str">
        <f>HYPERLINK("Melting_Curves/meltCurve_Q9UQ13_2_SHOC2.pdf", "Melting_Curves/meltCurve_Q9UQ13_2_SHOC2.pdf")</f>
        <v>Melting_Curves/meltCurve_Q9UQ13_2_SHOC2.pdf</v>
      </c>
    </row>
    <row r="6165" spans="1:28" x14ac:dyDescent="0.25">
      <c r="A6165" t="s">
        <v>6169</v>
      </c>
      <c r="B6165">
        <v>0.99542014353169495</v>
      </c>
      <c r="C6165">
        <v>0.80364688159249698</v>
      </c>
      <c r="D6165">
        <v>0.72556008395566696</v>
      </c>
      <c r="E6165">
        <v>0.52158145534340505</v>
      </c>
      <c r="F6165">
        <v>0.274604786434549</v>
      </c>
      <c r="G6165">
        <v>0.11500105368850699</v>
      </c>
      <c r="H6165">
        <v>6.1148441460971502E-2</v>
      </c>
      <c r="I6165">
        <v>4.3291141636656302E-2</v>
      </c>
      <c r="J6165">
        <v>5.9670631412027303E-2</v>
      </c>
      <c r="K6165">
        <v>9.62359124181527E-2</v>
      </c>
      <c r="L6165">
        <v>589.37528310975699</v>
      </c>
      <c r="M6165">
        <v>12.801876031150501</v>
      </c>
      <c r="N6165">
        <v>46.207373439169203</v>
      </c>
      <c r="O6165">
        <v>44.958225432187199</v>
      </c>
      <c r="P6165">
        <v>-6.9570733587543093E-2</v>
      </c>
      <c r="Q6165">
        <v>2.2896496209934902E-2</v>
      </c>
      <c r="R6165">
        <v>0.98639634220946604</v>
      </c>
      <c r="S6165" t="s">
        <v>12567</v>
      </c>
      <c r="T6165" t="s">
        <v>12802</v>
      </c>
      <c r="U6165" t="s">
        <v>12802</v>
      </c>
      <c r="V6165" t="s">
        <v>12802</v>
      </c>
      <c r="W6165" t="s">
        <v>18893</v>
      </c>
      <c r="X6165">
        <v>35</v>
      </c>
      <c r="Y6165" t="s">
        <v>25094</v>
      </c>
      <c r="Z6165" t="s">
        <v>31483</v>
      </c>
      <c r="AA6165">
        <v>0.34735175634983939</v>
      </c>
      <c r="AB6165" t="str">
        <f>HYPERLINK("Melting_Curves/meltCurve_Q9UQ35_SRRM2.pdf", "Melting_Curves/meltCurve_Q9UQ35_SRRM2.pdf")</f>
        <v>Melting_Curves/meltCurve_Q9UQ35_SRRM2.pdf</v>
      </c>
    </row>
    <row r="6166" spans="1:28" x14ac:dyDescent="0.25">
      <c r="A6166" t="s">
        <v>6170</v>
      </c>
      <c r="B6166">
        <v>0.99542014353169495</v>
      </c>
      <c r="C6166">
        <v>1.2780204072136701</v>
      </c>
      <c r="D6166">
        <v>0.99542724602411703</v>
      </c>
      <c r="E6166">
        <v>0.85332584555244795</v>
      </c>
      <c r="F6166">
        <v>0.63170547895342999</v>
      </c>
      <c r="G6166">
        <v>0.24933714425258</v>
      </c>
      <c r="H6166">
        <v>0.101853697721977</v>
      </c>
      <c r="I6166">
        <v>0.114816159599218</v>
      </c>
      <c r="J6166">
        <v>0.113103662590449</v>
      </c>
      <c r="K6166">
        <v>0.16257259532106999</v>
      </c>
      <c r="L6166">
        <v>1330.1175574275701</v>
      </c>
      <c r="M6166">
        <v>26.308231827295401</v>
      </c>
      <c r="N6166">
        <v>51.043985335626601</v>
      </c>
      <c r="O6166">
        <v>50.269588539460599</v>
      </c>
      <c r="P6166">
        <v>-0.116368204897323</v>
      </c>
      <c r="Q6166">
        <v>0.110587753472558</v>
      </c>
      <c r="R6166">
        <v>0.95262462204425202</v>
      </c>
      <c r="S6166" t="s">
        <v>12568</v>
      </c>
      <c r="T6166" t="s">
        <v>12802</v>
      </c>
      <c r="U6166" t="s">
        <v>12802</v>
      </c>
      <c r="V6166" t="s">
        <v>12802</v>
      </c>
      <c r="W6166" t="s">
        <v>18894</v>
      </c>
      <c r="X6166">
        <v>2</v>
      </c>
      <c r="Y6166" t="s">
        <v>25095</v>
      </c>
      <c r="Z6166" t="s">
        <v>31484</v>
      </c>
      <c r="AA6166">
        <v>0.51967205283394724</v>
      </c>
      <c r="AB6166" t="str">
        <f>HYPERLINK("Melting_Curves/meltCurve_Q9UQ53_2_MGAT4B.pdf", "Melting_Curves/meltCurve_Q9UQ53_2_MGAT4B.pdf")</f>
        <v>Melting_Curves/meltCurve_Q9UQ53_2_MGAT4B.pdf</v>
      </c>
    </row>
    <row r="6167" spans="1:28" x14ac:dyDescent="0.25">
      <c r="A6167" t="s">
        <v>6171</v>
      </c>
      <c r="B6167">
        <v>0.99542014353169495</v>
      </c>
      <c r="C6167">
        <v>1.03310415962627</v>
      </c>
      <c r="D6167">
        <v>0.99846389407364999</v>
      </c>
      <c r="E6167">
        <v>0.922989694649887</v>
      </c>
      <c r="F6167">
        <v>0.52653261704569998</v>
      </c>
      <c r="G6167">
        <v>0.21347512832129201</v>
      </c>
      <c r="H6167">
        <v>6.8316816047004597E-2</v>
      </c>
      <c r="I6167">
        <v>4.5193448702195702E-2</v>
      </c>
      <c r="J6167">
        <v>4.4907085201337099E-2</v>
      </c>
      <c r="K6167">
        <v>4.62255264010418E-2</v>
      </c>
      <c r="L6167">
        <v>1355.6558392393699</v>
      </c>
      <c r="M6167">
        <v>26.9059364118792</v>
      </c>
      <c r="N6167">
        <v>50.552972775001898</v>
      </c>
      <c r="O6167">
        <v>50.1091525706981</v>
      </c>
      <c r="P6167">
        <v>-0.12849819131824899</v>
      </c>
      <c r="Q6167">
        <v>4.2758424382042803E-2</v>
      </c>
      <c r="R6167">
        <v>0.99855887991720105</v>
      </c>
      <c r="S6167" t="s">
        <v>12569</v>
      </c>
      <c r="T6167" t="s">
        <v>12802</v>
      </c>
      <c r="U6167" t="s">
        <v>12802</v>
      </c>
      <c r="V6167" t="s">
        <v>12802</v>
      </c>
      <c r="W6167" t="s">
        <v>18895</v>
      </c>
      <c r="X6167">
        <v>39</v>
      </c>
      <c r="Y6167" t="s">
        <v>25096</v>
      </c>
      <c r="Z6167" t="s">
        <v>31485</v>
      </c>
      <c r="AA6167">
        <v>0.47715254626134418</v>
      </c>
      <c r="AB6167" t="str">
        <f>HYPERLINK("Melting_Curves/meltCurve_Q9UQ80_PA2G4.pdf", "Melting_Curves/meltCurve_Q9UQ80_PA2G4.pdf")</f>
        <v>Melting_Curves/meltCurve_Q9UQ80_PA2G4.pdf</v>
      </c>
    </row>
    <row r="6168" spans="1:28" x14ac:dyDescent="0.25">
      <c r="A6168" t="s">
        <v>6172</v>
      </c>
      <c r="B6168">
        <v>0.99542014353169495</v>
      </c>
      <c r="C6168">
        <v>0.976553576908469</v>
      </c>
      <c r="D6168">
        <v>1.0179565126355701</v>
      </c>
      <c r="E6168">
        <v>0.40425636434155099</v>
      </c>
      <c r="F6168">
        <v>0.23717923768059901</v>
      </c>
      <c r="G6168">
        <v>0.11468835427007699</v>
      </c>
      <c r="H6168">
        <v>6.3644583146044501E-2</v>
      </c>
      <c r="I6168">
        <v>4.6272744485374197E-2</v>
      </c>
      <c r="J6168">
        <v>2.4477565162943599E-2</v>
      </c>
      <c r="K6168">
        <v>6.42697276590702E-2</v>
      </c>
      <c r="L6168">
        <v>1755.50437095746</v>
      </c>
      <c r="M6168">
        <v>38.104531835978896</v>
      </c>
      <c r="N6168">
        <v>46.2845159726619</v>
      </c>
      <c r="O6168">
        <v>45.944409422699799</v>
      </c>
      <c r="P6168">
        <v>-0.19061144458652199</v>
      </c>
      <c r="Q6168">
        <v>8.0685911492848497E-2</v>
      </c>
      <c r="R6168">
        <v>0.98364197781533802</v>
      </c>
      <c r="S6168" t="s">
        <v>12570</v>
      </c>
      <c r="T6168" t="s">
        <v>12802</v>
      </c>
      <c r="U6168" t="s">
        <v>12802</v>
      </c>
      <c r="V6168" t="s">
        <v>12802</v>
      </c>
      <c r="W6168" t="s">
        <v>18896</v>
      </c>
      <c r="X6168">
        <v>2</v>
      </c>
      <c r="Y6168" t="s">
        <v>25097</v>
      </c>
      <c r="Z6168" t="s">
        <v>31486</v>
      </c>
      <c r="AA6168">
        <v>0.36187960023085869</v>
      </c>
      <c r="AB6168" t="str">
        <f>HYPERLINK("Melting_Curves/meltCurve_Q9UQ84_4_EXO1.pdf", "Melting_Curves/meltCurve_Q9UQ84_4_EXO1.pdf")</f>
        <v>Melting_Curves/meltCurve_Q9UQ84_4_EXO1.pdf</v>
      </c>
    </row>
    <row r="6169" spans="1:28" x14ac:dyDescent="0.25">
      <c r="A6169" t="s">
        <v>6173</v>
      </c>
      <c r="B6169">
        <v>0.99542014353169495</v>
      </c>
      <c r="C6169">
        <v>0.87162331293772799</v>
      </c>
      <c r="D6169">
        <v>0.917362486006295</v>
      </c>
      <c r="E6169">
        <v>0.74847199386893704</v>
      </c>
      <c r="F6169">
        <v>0.60252416337732495</v>
      </c>
      <c r="G6169">
        <v>0.32155018710893202</v>
      </c>
      <c r="H6169">
        <v>0.23986004871177399</v>
      </c>
      <c r="I6169">
        <v>0.14637937285744601</v>
      </c>
      <c r="J6169">
        <v>0.108598747350922</v>
      </c>
      <c r="K6169">
        <v>0.112047949912689</v>
      </c>
      <c r="L6169">
        <v>596.83474646628895</v>
      </c>
      <c r="M6169">
        <v>11.7449097053949</v>
      </c>
      <c r="N6169">
        <v>51.1525778823422</v>
      </c>
      <c r="O6169">
        <v>49.410383551676603</v>
      </c>
      <c r="P6169">
        <v>-5.7233532289554197E-2</v>
      </c>
      <c r="Q6169">
        <v>3.7135177211604899E-2</v>
      </c>
      <c r="R6169">
        <v>0.98802578235292404</v>
      </c>
      <c r="S6169" t="s">
        <v>12571</v>
      </c>
      <c r="T6169" t="s">
        <v>12802</v>
      </c>
      <c r="U6169" t="s">
        <v>12802</v>
      </c>
      <c r="V6169" t="s">
        <v>12802</v>
      </c>
      <c r="W6169" t="s">
        <v>18897</v>
      </c>
      <c r="X6169">
        <v>7</v>
      </c>
      <c r="Y6169" t="s">
        <v>25098</v>
      </c>
      <c r="Z6169" t="s">
        <v>31487</v>
      </c>
      <c r="AA6169">
        <v>0.50657361085345631</v>
      </c>
      <c r="AB6169" t="str">
        <f>HYPERLINK("Melting_Curves/meltCurve_Q9UQ90_SPG7.pdf", "Melting_Curves/meltCurve_Q9UQ90_SPG7.pdf")</f>
        <v>Melting_Curves/meltCurve_Q9UQ90_SPG7.pdf</v>
      </c>
    </row>
    <row r="6170" spans="1:28" x14ac:dyDescent="0.25">
      <c r="A6170" t="s">
        <v>6174</v>
      </c>
      <c r="B6170">
        <v>0.99542014353169495</v>
      </c>
      <c r="C6170">
        <v>0.93934920497948005</v>
      </c>
      <c r="D6170">
        <v>0.93965860329687401</v>
      </c>
      <c r="E6170">
        <v>0.71505753117019699</v>
      </c>
      <c r="F6170">
        <v>0.39356834057476903</v>
      </c>
      <c r="G6170">
        <v>0.190628897731519</v>
      </c>
      <c r="H6170">
        <v>0.102868884791754</v>
      </c>
      <c r="I6170">
        <v>6.0692468279826099E-2</v>
      </c>
      <c r="J6170">
        <v>7.35258796652348E-2</v>
      </c>
      <c r="K6170">
        <v>8.8897244425372599E-2</v>
      </c>
      <c r="L6170">
        <v>936.65588830240995</v>
      </c>
      <c r="M6170">
        <v>19.271517203578401</v>
      </c>
      <c r="N6170">
        <v>48.943586926188097</v>
      </c>
      <c r="O6170">
        <v>48.088856907398998</v>
      </c>
      <c r="P6170">
        <v>-9.39058631897257E-2</v>
      </c>
      <c r="Q6170">
        <v>6.2729646064343197E-2</v>
      </c>
      <c r="R6170">
        <v>0.99779325861905799</v>
      </c>
      <c r="S6170" t="s">
        <v>12572</v>
      </c>
      <c r="T6170" t="s">
        <v>12802</v>
      </c>
      <c r="U6170" t="s">
        <v>12802</v>
      </c>
      <c r="V6170" t="s">
        <v>12802</v>
      </c>
      <c r="W6170" t="s">
        <v>18898</v>
      </c>
      <c r="X6170">
        <v>16</v>
      </c>
      <c r="Y6170" t="s">
        <v>25099</v>
      </c>
      <c r="Z6170" t="s">
        <v>31488</v>
      </c>
      <c r="AA6170">
        <v>0.43844748779056991</v>
      </c>
      <c r="AB6170" t="str">
        <f>HYPERLINK("Melting_Curves/meltCurve_Q9UQB8_3_BAIAP2.pdf", "Melting_Curves/meltCurve_Q9UQB8_3_BAIAP2.pdf")</f>
        <v>Melting_Curves/meltCurve_Q9UQB8_3_BAIAP2.pdf</v>
      </c>
    </row>
    <row r="6171" spans="1:28" x14ac:dyDescent="0.25">
      <c r="A6171" t="s">
        <v>6175</v>
      </c>
      <c r="B6171">
        <v>0.99542014353169495</v>
      </c>
      <c r="C6171">
        <v>0.82907274384524998</v>
      </c>
      <c r="D6171">
        <v>0.590191873317086</v>
      </c>
      <c r="E6171">
        <v>0.273740063694486</v>
      </c>
      <c r="F6171">
        <v>0.160848914078699</v>
      </c>
      <c r="G6171">
        <v>9.5919942827314197E-2</v>
      </c>
      <c r="H6171">
        <v>6.9577337341563003E-2</v>
      </c>
      <c r="I6171">
        <v>5.1007541553818703E-2</v>
      </c>
      <c r="J6171">
        <v>5.6693157070681302E-2</v>
      </c>
      <c r="K6171">
        <v>6.7148748319324603E-2</v>
      </c>
      <c r="L6171">
        <v>769.50470295150797</v>
      </c>
      <c r="M6171">
        <v>17.660444473443601</v>
      </c>
      <c r="N6171">
        <v>43.882724157394598</v>
      </c>
      <c r="O6171">
        <v>43.025070466899201</v>
      </c>
      <c r="P6171">
        <v>-9.65950947646982E-2</v>
      </c>
      <c r="Q6171">
        <v>5.87351651046749E-2</v>
      </c>
      <c r="R6171">
        <v>0.99799355782222499</v>
      </c>
      <c r="S6171" t="s">
        <v>12573</v>
      </c>
      <c r="T6171" t="s">
        <v>12802</v>
      </c>
      <c r="U6171" t="s">
        <v>12802</v>
      </c>
      <c r="V6171" t="s">
        <v>12802</v>
      </c>
      <c r="W6171" t="s">
        <v>18899</v>
      </c>
      <c r="X6171">
        <v>7</v>
      </c>
      <c r="Y6171" t="s">
        <v>25100</v>
      </c>
      <c r="Z6171" t="s">
        <v>31489</v>
      </c>
      <c r="AA6171">
        <v>0.28177618151619782</v>
      </c>
      <c r="AB6171" t="str">
        <f>HYPERLINK("Melting_Curves/meltCurve_Q9UQC2_2_GAB2.pdf", "Melting_Curves/meltCurve_Q9UQC2_2_GAB2.pdf")</f>
        <v>Melting_Curves/meltCurve_Q9UQC2_2_GAB2.pdf</v>
      </c>
    </row>
    <row r="6172" spans="1:28" x14ac:dyDescent="0.25">
      <c r="A6172" t="s">
        <v>6176</v>
      </c>
      <c r="B6172">
        <v>0.99542014353169495</v>
      </c>
      <c r="C6172">
        <v>0.88244487313748898</v>
      </c>
      <c r="D6172">
        <v>0.95755133952204496</v>
      </c>
      <c r="E6172">
        <v>0.70478138986918104</v>
      </c>
      <c r="F6172">
        <v>0.52693420921394496</v>
      </c>
      <c r="G6172">
        <v>0.24151440100062599</v>
      </c>
      <c r="H6172">
        <v>9.5707920655423995E-2</v>
      </c>
      <c r="I6172">
        <v>4.7413006796248797E-2</v>
      </c>
      <c r="J6172">
        <v>4.3533078147647203E-2</v>
      </c>
      <c r="K6172">
        <v>4.6317862486570098E-2</v>
      </c>
      <c r="L6172">
        <v>741.01850210955797</v>
      </c>
      <c r="M6172">
        <v>14.846477488220801</v>
      </c>
      <c r="N6172">
        <v>49.912084451584001</v>
      </c>
      <c r="O6172">
        <v>49.032783678137498</v>
      </c>
      <c r="P6172">
        <v>-7.5704658398761296E-2</v>
      </c>
      <c r="Q6172">
        <v>0</v>
      </c>
      <c r="R6172">
        <v>0.98895617741472397</v>
      </c>
      <c r="S6172" t="s">
        <v>12574</v>
      </c>
      <c r="T6172" t="s">
        <v>12802</v>
      </c>
      <c r="U6172" t="s">
        <v>12802</v>
      </c>
      <c r="V6172" t="s">
        <v>12802</v>
      </c>
      <c r="W6172" t="s">
        <v>18900</v>
      </c>
      <c r="X6172">
        <v>56</v>
      </c>
      <c r="Y6172" t="s">
        <v>25101</v>
      </c>
      <c r="Z6172" t="s">
        <v>31490</v>
      </c>
      <c r="AA6172">
        <v>0.45167992482259528</v>
      </c>
      <c r="AB6172" t="str">
        <f>HYPERLINK("Melting_Curves/meltCurve_Q9UQE7_SMC3.pdf", "Melting_Curves/meltCurve_Q9UQE7_SMC3.pdf")</f>
        <v>Melting_Curves/meltCurve_Q9UQE7_SMC3.pdf</v>
      </c>
    </row>
    <row r="6173" spans="1:28" x14ac:dyDescent="0.25">
      <c r="A6173" t="s">
        <v>6177</v>
      </c>
      <c r="B6173">
        <v>0.99542014353169495</v>
      </c>
      <c r="C6173">
        <v>0.88672576619708598</v>
      </c>
      <c r="D6173">
        <v>0.80604561320546797</v>
      </c>
      <c r="E6173">
        <v>0.66958049958668997</v>
      </c>
      <c r="F6173">
        <v>0.186336957758864</v>
      </c>
      <c r="G6173">
        <v>7.7400320033652201E-2</v>
      </c>
      <c r="H6173">
        <v>4.3743012658784199E-2</v>
      </c>
      <c r="I6173">
        <v>3.6794571911503697E-2</v>
      </c>
      <c r="J6173">
        <v>1.70804715504486E-2</v>
      </c>
      <c r="K6173">
        <v>1.7698277256744301E-2</v>
      </c>
      <c r="L6173">
        <v>899.88880897332797</v>
      </c>
      <c r="M6173">
        <v>19.022101344257401</v>
      </c>
      <c r="N6173">
        <v>47.3316976958384</v>
      </c>
      <c r="O6173">
        <v>46.794008452564903</v>
      </c>
      <c r="P6173">
        <v>-0.10113985547295699</v>
      </c>
      <c r="Q6173">
        <v>4.8309772683667301E-3</v>
      </c>
      <c r="R6173">
        <v>0.98290369220274998</v>
      </c>
      <c r="S6173" t="s">
        <v>12575</v>
      </c>
      <c r="T6173" t="s">
        <v>12802</v>
      </c>
      <c r="U6173" t="s">
        <v>12802</v>
      </c>
      <c r="V6173" t="s">
        <v>12802</v>
      </c>
      <c r="W6173" t="s">
        <v>18901</v>
      </c>
      <c r="X6173">
        <v>2</v>
      </c>
      <c r="Y6173" t="s">
        <v>25102</v>
      </c>
      <c r="Z6173" t="s">
        <v>31491</v>
      </c>
      <c r="AA6173">
        <v>0.3611196741936068</v>
      </c>
      <c r="AB6173" t="str">
        <f>HYPERLINK("Melting_Curves/meltCurve_Q9UQL0_UBE2D4.pdf", "Melting_Curves/meltCurve_Q9UQL0_UBE2D4.pdf")</f>
        <v>Melting_Curves/meltCurve_Q9UQL0_UBE2D4.pdf</v>
      </c>
    </row>
    <row r="6174" spans="1:28" x14ac:dyDescent="0.25">
      <c r="A6174" t="s">
        <v>6178</v>
      </c>
      <c r="B6174">
        <v>0.99542014353169495</v>
      </c>
      <c r="C6174">
        <v>0.77503300329498004</v>
      </c>
      <c r="D6174">
        <v>0.47557265292982698</v>
      </c>
      <c r="E6174">
        <v>0.28400831076724498</v>
      </c>
      <c r="F6174">
        <v>0.13223464140434801</v>
      </c>
      <c r="G6174">
        <v>9.3363458929439799E-2</v>
      </c>
      <c r="H6174">
        <v>5.0870445531664997E-2</v>
      </c>
      <c r="I6174">
        <v>3.2417531768226801E-2</v>
      </c>
      <c r="J6174">
        <v>3.28487557914953E-2</v>
      </c>
      <c r="K6174">
        <v>2.2147352892561301E-2</v>
      </c>
      <c r="L6174">
        <v>681.9564724526</v>
      </c>
      <c r="M6174">
        <v>15.866507226164799</v>
      </c>
      <c r="N6174">
        <v>43.1760527884772</v>
      </c>
      <c r="O6174">
        <v>42.315508152751597</v>
      </c>
      <c r="P6174">
        <v>-9.0502772933010095E-2</v>
      </c>
      <c r="Q6174">
        <v>3.46053165419467E-2</v>
      </c>
      <c r="R6174">
        <v>0.99297000778704503</v>
      </c>
      <c r="S6174" t="s">
        <v>12576</v>
      </c>
      <c r="T6174" t="s">
        <v>12802</v>
      </c>
      <c r="U6174" t="s">
        <v>12802</v>
      </c>
      <c r="V6174" t="s">
        <v>12802</v>
      </c>
      <c r="W6174" t="s">
        <v>18902</v>
      </c>
      <c r="X6174">
        <v>1</v>
      </c>
      <c r="Y6174" t="s">
        <v>25103</v>
      </c>
      <c r="Z6174" t="s">
        <v>31492</v>
      </c>
      <c r="AA6174">
        <v>0.24970129914380981</v>
      </c>
      <c r="AB6174" t="str">
        <f>HYPERLINK("Melting_Curves/meltCurve_Q9UQQ2_SH2B3.pdf", "Melting_Curves/meltCurve_Q9UQQ2_SH2B3.pdf")</f>
        <v>Melting_Curves/meltCurve_Q9UQQ2_SH2B3.pdf</v>
      </c>
    </row>
    <row r="6175" spans="1:28" x14ac:dyDescent="0.25">
      <c r="A6175" t="s">
        <v>6179</v>
      </c>
      <c r="B6175">
        <v>0.99542014353169495</v>
      </c>
      <c r="C6175">
        <v>0.98621995803508</v>
      </c>
      <c r="D6175">
        <v>0.46538962156451702</v>
      </c>
      <c r="E6175">
        <v>0.257932766724351</v>
      </c>
      <c r="F6175">
        <v>0.16489483062985</v>
      </c>
      <c r="G6175">
        <v>9.0289175445072201E-2</v>
      </c>
      <c r="H6175">
        <v>6.8527347361290195E-2</v>
      </c>
      <c r="I6175">
        <v>4.3176832550446298E-2</v>
      </c>
      <c r="J6175">
        <v>4.1816862419350898E-2</v>
      </c>
      <c r="K6175">
        <v>2.1853179739058499E-2</v>
      </c>
      <c r="L6175">
        <v>1069.81461406167</v>
      </c>
      <c r="M6175">
        <v>24.833199437196701</v>
      </c>
      <c r="N6175">
        <v>43.3439226938033</v>
      </c>
      <c r="O6175">
        <v>42.8035709261896</v>
      </c>
      <c r="P6175">
        <v>-0.134866211593901</v>
      </c>
      <c r="Q6175">
        <v>7.0168027685506507E-2</v>
      </c>
      <c r="R6175">
        <v>0.97759974859003496</v>
      </c>
      <c r="S6175" t="s">
        <v>12577</v>
      </c>
      <c r="T6175" t="s">
        <v>12802</v>
      </c>
      <c r="U6175" t="s">
        <v>12802</v>
      </c>
      <c r="V6175" t="s">
        <v>12802</v>
      </c>
      <c r="W6175" t="s">
        <v>18903</v>
      </c>
      <c r="X6175">
        <v>8</v>
      </c>
      <c r="Y6175" t="s">
        <v>25104</v>
      </c>
      <c r="Z6175" t="s">
        <v>31493</v>
      </c>
      <c r="AA6175">
        <v>0.26650750571062037</v>
      </c>
      <c r="AB6175" t="str">
        <f>HYPERLINK("Melting_Curves/meltCurve_Q9UQR0_SCML2.pdf", "Melting_Curves/meltCurve_Q9UQR0_SCML2.pdf")</f>
        <v>Melting_Curves/meltCurve_Q9UQR0_SCML2.pdf</v>
      </c>
    </row>
    <row r="6176" spans="1:28" x14ac:dyDescent="0.25">
      <c r="A6176" t="s">
        <v>6180</v>
      </c>
      <c r="B6176">
        <v>0.99542014353169495</v>
      </c>
      <c r="C6176">
        <v>1.06517668082535</v>
      </c>
      <c r="D6176">
        <v>0.99611275130830501</v>
      </c>
      <c r="E6176">
        <v>0.87091965326343601</v>
      </c>
      <c r="F6176">
        <v>0.59537618470383802</v>
      </c>
      <c r="G6176">
        <v>0.215980639582842</v>
      </c>
      <c r="H6176">
        <v>0.12564752589264799</v>
      </c>
      <c r="I6176">
        <v>9.6756195348963403E-2</v>
      </c>
      <c r="J6176">
        <v>9.7893476554867201E-2</v>
      </c>
      <c r="K6176">
        <v>0.123971484455558</v>
      </c>
      <c r="L6176">
        <v>1335.8089860206201</v>
      </c>
      <c r="M6176">
        <v>26.513716346744399</v>
      </c>
      <c r="N6176">
        <v>50.793999095127198</v>
      </c>
      <c r="O6176">
        <v>50.097805017025799</v>
      </c>
      <c r="P6176">
        <v>-0.119504383915207</v>
      </c>
      <c r="Q6176">
        <v>9.6792701732207095E-2</v>
      </c>
      <c r="R6176">
        <v>0.99539960113832304</v>
      </c>
      <c r="S6176" t="s">
        <v>12578</v>
      </c>
      <c r="T6176" t="s">
        <v>12802</v>
      </c>
      <c r="U6176" t="s">
        <v>12802</v>
      </c>
      <c r="V6176" t="s">
        <v>12802</v>
      </c>
      <c r="W6176" t="s">
        <v>18904</v>
      </c>
      <c r="X6176">
        <v>11</v>
      </c>
      <c r="Y6176" t="s">
        <v>25105</v>
      </c>
      <c r="Z6176" t="s">
        <v>31494</v>
      </c>
      <c r="AA6176">
        <v>0.50676690715013351</v>
      </c>
      <c r="AB6176" t="str">
        <f>HYPERLINK("Melting_Curves/meltCurve_Q9Y217_MTMR6.pdf", "Melting_Curves/meltCurve_Q9Y217_MTMR6.pdf")</f>
        <v>Melting_Curves/meltCurve_Q9Y217_MTMR6.pdf</v>
      </c>
    </row>
    <row r="6177" spans="1:28" x14ac:dyDescent="0.25">
      <c r="A6177" t="s">
        <v>6181</v>
      </c>
      <c r="B6177">
        <v>0.99542014353169495</v>
      </c>
      <c r="C6177">
        <v>0.89856401280932796</v>
      </c>
      <c r="D6177">
        <v>0.76382338884616896</v>
      </c>
      <c r="E6177">
        <v>0.60576507100033194</v>
      </c>
      <c r="F6177">
        <v>0.51059419698034203</v>
      </c>
      <c r="G6177">
        <v>0.146060380118467</v>
      </c>
      <c r="H6177">
        <v>0.124618328190016</v>
      </c>
      <c r="I6177">
        <v>6.0045558023923203E-2</v>
      </c>
      <c r="J6177">
        <v>2.06837677554755E-2</v>
      </c>
      <c r="K6177">
        <v>4.60577865158045E-2</v>
      </c>
      <c r="L6177">
        <v>573.334300472677</v>
      </c>
      <c r="M6177">
        <v>11.859538634216101</v>
      </c>
      <c r="N6177">
        <v>48.343727249142503</v>
      </c>
      <c r="O6177">
        <v>47.030657220159199</v>
      </c>
      <c r="P6177">
        <v>-6.3057442271809996E-2</v>
      </c>
      <c r="Q6177">
        <v>0</v>
      </c>
      <c r="R6177">
        <v>0.97990857561612799</v>
      </c>
      <c r="S6177" t="s">
        <v>12579</v>
      </c>
      <c r="T6177" t="s">
        <v>12802</v>
      </c>
      <c r="U6177" t="s">
        <v>12802</v>
      </c>
      <c r="V6177" t="s">
        <v>12802</v>
      </c>
      <c r="W6177" t="s">
        <v>18905</v>
      </c>
      <c r="X6177">
        <v>1</v>
      </c>
      <c r="Y6177" t="s">
        <v>25106</v>
      </c>
      <c r="Z6177" t="s">
        <v>31495</v>
      </c>
      <c r="AA6177">
        <v>0.40941083323833471</v>
      </c>
      <c r="AB6177" t="str">
        <f>HYPERLINK("Melting_Curves/meltCurve_Q9Y219_JAG2.pdf", "Melting_Curves/meltCurve_Q9Y219_JAG2.pdf")</f>
        <v>Melting_Curves/meltCurve_Q9Y219_JAG2.pdf</v>
      </c>
    </row>
    <row r="6178" spans="1:28" x14ac:dyDescent="0.25">
      <c r="A6178" t="s">
        <v>6182</v>
      </c>
      <c r="B6178">
        <v>0.99542014353169495</v>
      </c>
      <c r="C6178">
        <v>0.89314186858873701</v>
      </c>
      <c r="D6178">
        <v>0.90130802868735904</v>
      </c>
      <c r="E6178">
        <v>0.72938501340822404</v>
      </c>
      <c r="F6178">
        <v>0.61036559705610904</v>
      </c>
      <c r="G6178">
        <v>0.36132216072206602</v>
      </c>
      <c r="H6178">
        <v>0.1784631167937</v>
      </c>
      <c r="I6178">
        <v>7.0011617962155007E-2</v>
      </c>
      <c r="J6178">
        <v>6.8209512926056398E-2</v>
      </c>
      <c r="K6178">
        <v>7.6549340803397203E-2</v>
      </c>
      <c r="L6178">
        <v>622.64626125016696</v>
      </c>
      <c r="M6178">
        <v>12.1998192356755</v>
      </c>
      <c r="N6178">
        <v>51.037335623999802</v>
      </c>
      <c r="O6178">
        <v>49.724127375970802</v>
      </c>
      <c r="P6178">
        <v>-6.1351394852547203E-2</v>
      </c>
      <c r="Q6178">
        <v>0</v>
      </c>
      <c r="R6178">
        <v>0.98895838846414696</v>
      </c>
      <c r="S6178" t="s">
        <v>12580</v>
      </c>
      <c r="T6178" t="s">
        <v>12802</v>
      </c>
      <c r="U6178" t="s">
        <v>12802</v>
      </c>
      <c r="V6178" t="s">
        <v>12802</v>
      </c>
      <c r="W6178" t="s">
        <v>18906</v>
      </c>
      <c r="X6178">
        <v>11</v>
      </c>
      <c r="Y6178" t="s">
        <v>25107</v>
      </c>
      <c r="Z6178" t="s">
        <v>31496</v>
      </c>
      <c r="AA6178">
        <v>0.49344128534088649</v>
      </c>
      <c r="AB6178" t="str">
        <f>HYPERLINK("Melting_Curves/meltCurve_Q9Y223_GNE.pdf", "Melting_Curves/meltCurve_Q9Y223_GNE.pdf")</f>
        <v>Melting_Curves/meltCurve_Q9Y223_GNE.pdf</v>
      </c>
    </row>
    <row r="6179" spans="1:28" x14ac:dyDescent="0.25">
      <c r="A6179" t="s">
        <v>6183</v>
      </c>
      <c r="B6179">
        <v>0.99542014353169495</v>
      </c>
      <c r="C6179">
        <v>0.89636969317944803</v>
      </c>
      <c r="D6179">
        <v>0.93806304035879695</v>
      </c>
      <c r="E6179">
        <v>0.77048784471580301</v>
      </c>
      <c r="F6179">
        <v>0.51340441630008304</v>
      </c>
      <c r="G6179">
        <v>0.29811857571304401</v>
      </c>
      <c r="H6179">
        <v>0.17018283353157301</v>
      </c>
      <c r="I6179">
        <v>0.10092183754513299</v>
      </c>
      <c r="J6179">
        <v>0.10271613920481799</v>
      </c>
      <c r="K6179">
        <v>8.82318734692248E-2</v>
      </c>
      <c r="L6179">
        <v>747.46896892201403</v>
      </c>
      <c r="M6179">
        <v>14.961125964534199</v>
      </c>
      <c r="N6179">
        <v>50.378618282058397</v>
      </c>
      <c r="O6179">
        <v>49.093634595981698</v>
      </c>
      <c r="P6179">
        <v>-7.1748252257204104E-2</v>
      </c>
      <c r="Q6179">
        <v>5.8353354611844703E-2</v>
      </c>
      <c r="R6179">
        <v>0.99414459961715196</v>
      </c>
      <c r="S6179" t="s">
        <v>12581</v>
      </c>
      <c r="T6179" t="s">
        <v>12802</v>
      </c>
      <c r="U6179" t="s">
        <v>12802</v>
      </c>
      <c r="V6179" t="s">
        <v>12802</v>
      </c>
      <c r="W6179" t="s">
        <v>18907</v>
      </c>
      <c r="X6179">
        <v>15</v>
      </c>
      <c r="Y6179" t="s">
        <v>25108</v>
      </c>
      <c r="Z6179" t="s">
        <v>31497</v>
      </c>
      <c r="AA6179">
        <v>0.48495048793054268</v>
      </c>
      <c r="AB6179" t="str">
        <f>HYPERLINK("Melting_Curves/meltCurve_Q9Y224_C14orf166.pdf", "Melting_Curves/meltCurve_Q9Y224_C14orf166.pdf")</f>
        <v>Melting_Curves/meltCurve_Q9Y224_C14orf166.pdf</v>
      </c>
    </row>
    <row r="6180" spans="1:28" x14ac:dyDescent="0.25">
      <c r="A6180" t="s">
        <v>6184</v>
      </c>
      <c r="B6180">
        <v>0.99542014353169495</v>
      </c>
      <c r="C6180">
        <v>0.92113680246747898</v>
      </c>
      <c r="D6180">
        <v>0.91509347801873098</v>
      </c>
      <c r="E6180">
        <v>0.73694242614026795</v>
      </c>
      <c r="F6180">
        <v>0.55724514873315401</v>
      </c>
      <c r="G6180">
        <v>0.41802778216929998</v>
      </c>
      <c r="H6180">
        <v>0.235606649150915</v>
      </c>
      <c r="I6180">
        <v>0.156333054923812</v>
      </c>
      <c r="J6180">
        <v>0.21120616374776</v>
      </c>
      <c r="K6180">
        <v>0.24552117515456601</v>
      </c>
      <c r="L6180">
        <v>663.84731016972501</v>
      </c>
      <c r="M6180">
        <v>13.395695140365399</v>
      </c>
      <c r="N6180">
        <v>51.048184986296199</v>
      </c>
      <c r="O6180">
        <v>48.491448376285597</v>
      </c>
      <c r="P6180">
        <v>-5.78878139626436E-2</v>
      </c>
      <c r="Q6180">
        <v>0.16193280335627699</v>
      </c>
      <c r="R6180">
        <v>0.98543956336341298</v>
      </c>
      <c r="S6180" t="s">
        <v>12582</v>
      </c>
      <c r="T6180" t="s">
        <v>12802</v>
      </c>
      <c r="U6180" t="s">
        <v>12802</v>
      </c>
      <c r="V6180" t="s">
        <v>12802</v>
      </c>
      <c r="W6180" t="s">
        <v>18908</v>
      </c>
      <c r="X6180">
        <v>2</v>
      </c>
      <c r="Y6180" t="s">
        <v>25109</v>
      </c>
      <c r="Z6180" t="s">
        <v>31498</v>
      </c>
      <c r="AA6180">
        <v>0.53360597112732455</v>
      </c>
      <c r="AB6180" t="str">
        <f>HYPERLINK("Melting_Curves/meltCurve_Q9Y225_RNF24.pdf", "Melting_Curves/meltCurve_Q9Y225_RNF24.pdf")</f>
        <v>Melting_Curves/meltCurve_Q9Y225_RNF24.pdf</v>
      </c>
    </row>
    <row r="6181" spans="1:28" x14ac:dyDescent="0.25">
      <c r="A6181" t="s">
        <v>6185</v>
      </c>
      <c r="B6181">
        <v>0.99542014353169495</v>
      </c>
      <c r="C6181">
        <v>0.86339664218909895</v>
      </c>
      <c r="D6181">
        <v>0.886641855158942</v>
      </c>
      <c r="E6181">
        <v>0.66748880906264296</v>
      </c>
      <c r="F6181">
        <v>0.56147086711755001</v>
      </c>
      <c r="G6181">
        <v>0.38277386117059897</v>
      </c>
      <c r="H6181">
        <v>0.407933989689099</v>
      </c>
      <c r="I6181">
        <v>0.39931470638043098</v>
      </c>
      <c r="J6181">
        <v>0.46391916244284498</v>
      </c>
      <c r="K6181">
        <v>0.230686289923104</v>
      </c>
      <c r="L6181">
        <v>567.94923455215599</v>
      </c>
      <c r="M6181">
        <v>12.083216497619199</v>
      </c>
      <c r="N6181">
        <v>51.530031287386699</v>
      </c>
      <c r="O6181">
        <v>45.771297734840097</v>
      </c>
      <c r="P6181">
        <v>-4.4424802971514799E-2</v>
      </c>
      <c r="Q6181">
        <v>0.32703223692676597</v>
      </c>
      <c r="R6181">
        <v>0.93423369701960701</v>
      </c>
      <c r="S6181" t="s">
        <v>12583</v>
      </c>
      <c r="T6181" t="s">
        <v>12802</v>
      </c>
      <c r="U6181" t="s">
        <v>12802</v>
      </c>
      <c r="V6181" t="s">
        <v>12802</v>
      </c>
      <c r="W6181" t="s">
        <v>18909</v>
      </c>
      <c r="X6181">
        <v>31</v>
      </c>
      <c r="Y6181" t="s">
        <v>25110</v>
      </c>
      <c r="Z6181" t="s">
        <v>31499</v>
      </c>
      <c r="AA6181">
        <v>0.57329342377381798</v>
      </c>
      <c r="AB6181" t="str">
        <f>HYPERLINK("Melting_Curves/meltCurve_Q9Y230_RUVBL2.pdf", "Melting_Curves/meltCurve_Q9Y230_RUVBL2.pdf")</f>
        <v>Melting_Curves/meltCurve_Q9Y230_RUVBL2.pdf</v>
      </c>
    </row>
    <row r="6182" spans="1:28" x14ac:dyDescent="0.25">
      <c r="A6182" t="s">
        <v>6186</v>
      </c>
      <c r="B6182">
        <v>0.99542014353169495</v>
      </c>
      <c r="C6182">
        <v>0.77292843797581801</v>
      </c>
      <c r="D6182">
        <v>0.80601405156591199</v>
      </c>
      <c r="E6182">
        <v>0.54676424723151895</v>
      </c>
      <c r="F6182">
        <v>0.49754531864481399</v>
      </c>
      <c r="G6182">
        <v>0.286680614335872</v>
      </c>
      <c r="H6182">
        <v>0.20421395322220101</v>
      </c>
      <c r="I6182">
        <v>0.15244391567580701</v>
      </c>
      <c r="J6182">
        <v>0.21590498551235501</v>
      </c>
      <c r="K6182">
        <v>0.25980546369889601</v>
      </c>
      <c r="L6182">
        <v>492.34248904709398</v>
      </c>
      <c r="M6182">
        <v>10.580253115634401</v>
      </c>
      <c r="N6182">
        <v>48.214573331396799</v>
      </c>
      <c r="O6182">
        <v>44.963995345348998</v>
      </c>
      <c r="P6182">
        <v>-4.9774369157293899E-2</v>
      </c>
      <c r="Q6182">
        <v>0.154206324398491</v>
      </c>
      <c r="R6182">
        <v>0.95509893088320197</v>
      </c>
      <c r="S6182" t="s">
        <v>12584</v>
      </c>
      <c r="T6182" t="s">
        <v>12802</v>
      </c>
      <c r="U6182" t="s">
        <v>12802</v>
      </c>
      <c r="V6182" t="s">
        <v>12802</v>
      </c>
      <c r="W6182" t="s">
        <v>18910</v>
      </c>
      <c r="X6182">
        <v>1</v>
      </c>
      <c r="Y6182" t="s">
        <v>25111</v>
      </c>
      <c r="Z6182" t="s">
        <v>31500</v>
      </c>
      <c r="AA6182">
        <v>0.45767806712120812</v>
      </c>
      <c r="AB6182" t="str">
        <f>HYPERLINK("Melting_Curves/meltCurve_Q9Y232_2_CDYL.pdf", "Melting_Curves/meltCurve_Q9Y232_2_CDYL.pdf")</f>
        <v>Melting_Curves/meltCurve_Q9Y232_2_CDYL.pdf</v>
      </c>
    </row>
    <row r="6183" spans="1:28" x14ac:dyDescent="0.25">
      <c r="A6183" t="s">
        <v>6187</v>
      </c>
      <c r="B6183">
        <v>0.99542014353169495</v>
      </c>
      <c r="C6183">
        <v>1.0636207484242</v>
      </c>
      <c r="D6183">
        <v>1.0332890434170099</v>
      </c>
      <c r="E6183">
        <v>0.99218504257067297</v>
      </c>
      <c r="F6183">
        <v>0.77843910075746003</v>
      </c>
      <c r="G6183">
        <v>0.626526200657745</v>
      </c>
      <c r="H6183">
        <v>0.30191151985322101</v>
      </c>
      <c r="I6183">
        <v>0.20902836647558801</v>
      </c>
      <c r="J6183">
        <v>0.26253567351944201</v>
      </c>
      <c r="K6183">
        <v>0.31054794802928598</v>
      </c>
      <c r="L6183">
        <v>1245.53216082881</v>
      </c>
      <c r="M6183">
        <v>23.492476597522401</v>
      </c>
      <c r="N6183">
        <v>54.540539587061403</v>
      </c>
      <c r="O6183">
        <v>52.638656807408303</v>
      </c>
      <c r="P6183">
        <v>-8.4747597346899906E-2</v>
      </c>
      <c r="Q6183">
        <v>0.24045079981366199</v>
      </c>
      <c r="R6183">
        <v>0.97805871028078295</v>
      </c>
      <c r="S6183" t="s">
        <v>12585</v>
      </c>
      <c r="T6183" t="s">
        <v>12802</v>
      </c>
      <c r="U6183" t="s">
        <v>12802</v>
      </c>
      <c r="V6183" t="s">
        <v>12802</v>
      </c>
      <c r="W6183" t="s">
        <v>18911</v>
      </c>
      <c r="X6183">
        <v>7</v>
      </c>
      <c r="Y6183" t="s">
        <v>25112</v>
      </c>
      <c r="Z6183" t="s">
        <v>31501</v>
      </c>
      <c r="AA6183">
        <v>0.65346041379191067</v>
      </c>
      <c r="AB6183" t="str">
        <f>HYPERLINK("Melting_Curves/meltCurve_Q9Y237_PIN4.pdf", "Melting_Curves/meltCurve_Q9Y237_PIN4.pdf")</f>
        <v>Melting_Curves/meltCurve_Q9Y237_PIN4.pdf</v>
      </c>
    </row>
    <row r="6184" spans="1:28" x14ac:dyDescent="0.25">
      <c r="A6184" t="s">
        <v>6188</v>
      </c>
      <c r="B6184">
        <v>0.99542014353169495</v>
      </c>
      <c r="C6184">
        <v>0.91114041100492404</v>
      </c>
      <c r="D6184">
        <v>0.89921073708313004</v>
      </c>
      <c r="E6184">
        <v>0.78556455772838596</v>
      </c>
      <c r="F6184">
        <v>0.58977429417673599</v>
      </c>
      <c r="G6184">
        <v>0.41919704680680298</v>
      </c>
      <c r="H6184">
        <v>0.34677021349888798</v>
      </c>
      <c r="I6184">
        <v>0.294175938225755</v>
      </c>
      <c r="J6184">
        <v>0.414308908712194</v>
      </c>
      <c r="K6184">
        <v>0.54545590156926305</v>
      </c>
      <c r="L6184">
        <v>917.90711642451595</v>
      </c>
      <c r="M6184">
        <v>19.239157074479699</v>
      </c>
      <c r="N6184">
        <v>51.788504693515399</v>
      </c>
      <c r="O6184">
        <v>47.203872344567003</v>
      </c>
      <c r="P6184">
        <v>-6.21477460860419E-2</v>
      </c>
      <c r="Q6184">
        <v>0.39009739855672199</v>
      </c>
      <c r="R6184">
        <v>0.91929105644681797</v>
      </c>
      <c r="S6184" t="s">
        <v>12586</v>
      </c>
      <c r="T6184" t="s">
        <v>12802</v>
      </c>
      <c r="U6184" t="s">
        <v>12802</v>
      </c>
      <c r="V6184" t="s">
        <v>12802</v>
      </c>
      <c r="W6184" t="s">
        <v>18912</v>
      </c>
      <c r="X6184">
        <v>2</v>
      </c>
      <c r="Y6184" t="s">
        <v>25113</v>
      </c>
      <c r="Z6184" t="s">
        <v>31502</v>
      </c>
      <c r="AA6184">
        <v>0.61645704969106874</v>
      </c>
      <c r="AB6184" t="str">
        <f>HYPERLINK("Melting_Curves/meltCurve_Q9Y241_HIGD1A.pdf", "Melting_Curves/meltCurve_Q9Y241_HIGD1A.pdf")</f>
        <v>Melting_Curves/meltCurve_Q9Y241_HIGD1A.pdf</v>
      </c>
    </row>
    <row r="6185" spans="1:28" x14ac:dyDescent="0.25">
      <c r="A6185" t="s">
        <v>6189</v>
      </c>
      <c r="B6185">
        <v>0.99542014353169495</v>
      </c>
      <c r="C6185">
        <v>0.97186665714880105</v>
      </c>
      <c r="D6185">
        <v>0.972695741695359</v>
      </c>
      <c r="E6185">
        <v>0.86573384464709202</v>
      </c>
      <c r="F6185">
        <v>0.63675616502327204</v>
      </c>
      <c r="G6185">
        <v>0.330560487993587</v>
      </c>
      <c r="H6185">
        <v>0.15656196112857201</v>
      </c>
      <c r="I6185">
        <v>0.110224510634487</v>
      </c>
      <c r="J6185">
        <v>0.11941131955840301</v>
      </c>
      <c r="K6185">
        <v>0.147096869390556</v>
      </c>
      <c r="L6185">
        <v>1068.7645465271801</v>
      </c>
      <c r="M6185">
        <v>20.988637075664101</v>
      </c>
      <c r="N6185">
        <v>51.5041697769975</v>
      </c>
      <c r="O6185">
        <v>50.465600195098801</v>
      </c>
      <c r="P6185">
        <v>-9.2982725535725799E-2</v>
      </c>
      <c r="Q6185">
        <v>0.105743968532492</v>
      </c>
      <c r="R6185">
        <v>0.99714240456293901</v>
      </c>
      <c r="S6185" t="s">
        <v>12587</v>
      </c>
      <c r="T6185" t="s">
        <v>12802</v>
      </c>
      <c r="U6185" t="s">
        <v>12802</v>
      </c>
      <c r="V6185" t="s">
        <v>12802</v>
      </c>
      <c r="W6185" t="s">
        <v>18913</v>
      </c>
      <c r="X6185">
        <v>4</v>
      </c>
      <c r="Y6185" t="s">
        <v>25114</v>
      </c>
      <c r="Z6185" t="s">
        <v>31503</v>
      </c>
      <c r="AA6185">
        <v>0.53150690040290993</v>
      </c>
      <c r="AB6185" t="str">
        <f>HYPERLINK("Melting_Curves/meltCurve_Q9Y244_POMP.pdf", "Melting_Curves/meltCurve_Q9Y244_POMP.pdf")</f>
        <v>Melting_Curves/meltCurve_Q9Y244_POMP.pdf</v>
      </c>
    </row>
    <row r="6186" spans="1:28" x14ac:dyDescent="0.25">
      <c r="A6186" t="s">
        <v>6190</v>
      </c>
      <c r="B6186">
        <v>0.99542014353169495</v>
      </c>
      <c r="C6186">
        <v>0.99686325705997703</v>
      </c>
      <c r="D6186">
        <v>0.96611820335209397</v>
      </c>
      <c r="E6186">
        <v>0.92656737782416998</v>
      </c>
      <c r="F6186">
        <v>0.55757901654595599</v>
      </c>
      <c r="G6186">
        <v>0.19839320524159601</v>
      </c>
      <c r="H6186">
        <v>9.5509606161104904E-2</v>
      </c>
      <c r="I6186">
        <v>5.3856354092328203E-2</v>
      </c>
      <c r="J6186">
        <v>6.47182436972282E-2</v>
      </c>
      <c r="K6186">
        <v>6.0258806566624003E-2</v>
      </c>
      <c r="L6186">
        <v>1424.8366015148399</v>
      </c>
      <c r="M6186">
        <v>28.2462507597503</v>
      </c>
      <c r="N6186">
        <v>50.667278793322403</v>
      </c>
      <c r="O6186">
        <v>50.192569010941803</v>
      </c>
      <c r="P6186">
        <v>-0.13243616087281501</v>
      </c>
      <c r="Q6186">
        <v>5.8670361773496098E-2</v>
      </c>
      <c r="R6186">
        <v>0.99937928916848295</v>
      </c>
      <c r="S6186" t="s">
        <v>12588</v>
      </c>
      <c r="T6186" t="s">
        <v>12802</v>
      </c>
      <c r="U6186" t="s">
        <v>12802</v>
      </c>
      <c r="V6186" t="s">
        <v>12802</v>
      </c>
      <c r="W6186" t="s">
        <v>18914</v>
      </c>
      <c r="X6186">
        <v>5</v>
      </c>
      <c r="Y6186" t="s">
        <v>25115</v>
      </c>
      <c r="Z6186" t="s">
        <v>31504</v>
      </c>
      <c r="AA6186">
        <v>0.48703559807324248</v>
      </c>
      <c r="AB6186" t="str">
        <f>HYPERLINK("Melting_Curves/meltCurve_Q9Y248_GINS2.pdf", "Melting_Curves/meltCurve_Q9Y248_GINS2.pdf")</f>
        <v>Melting_Curves/meltCurve_Q9Y248_GINS2.pdf</v>
      </c>
    </row>
    <row r="6187" spans="1:28" x14ac:dyDescent="0.25">
      <c r="A6187" t="s">
        <v>6191</v>
      </c>
      <c r="B6187">
        <v>0.99542014353169495</v>
      </c>
      <c r="C6187">
        <v>0.98576535499954898</v>
      </c>
      <c r="D6187">
        <v>0.994337171516674</v>
      </c>
      <c r="E6187">
        <v>0.87039823571530095</v>
      </c>
      <c r="F6187">
        <v>0.82784958451836799</v>
      </c>
      <c r="G6187">
        <v>0.53403288980285102</v>
      </c>
      <c r="H6187">
        <v>0.85916070633711095</v>
      </c>
      <c r="I6187">
        <v>0.79388044828457904</v>
      </c>
      <c r="J6187">
        <v>0.48373865493096202</v>
      </c>
      <c r="K6187">
        <v>0.322433426198523</v>
      </c>
      <c r="L6187">
        <v>373.02417208067601</v>
      </c>
      <c r="M6187">
        <v>5.7380578331629399</v>
      </c>
      <c r="N6187">
        <v>65.0087857118356</v>
      </c>
      <c r="O6187">
        <v>58.411122587690897</v>
      </c>
      <c r="P6187">
        <v>-2.4652118272077798E-2</v>
      </c>
      <c r="Q6187">
        <v>0</v>
      </c>
      <c r="R6187">
        <v>0.70481478515945295</v>
      </c>
      <c r="S6187" t="s">
        <v>12589</v>
      </c>
      <c r="T6187" t="s">
        <v>12802</v>
      </c>
      <c r="U6187" t="s">
        <v>12802</v>
      </c>
      <c r="V6187" t="s">
        <v>12802</v>
      </c>
      <c r="W6187" t="s">
        <v>18915</v>
      </c>
      <c r="X6187">
        <v>1</v>
      </c>
      <c r="Y6187" t="s">
        <v>25116</v>
      </c>
      <c r="Z6187" t="s">
        <v>31505</v>
      </c>
      <c r="AA6187">
        <v>0.77608464490907891</v>
      </c>
      <c r="AB6187" t="str">
        <f>HYPERLINK("Melting_Curves/meltCurve_Q9Y250_5_LZTS1.pdf", "Melting_Curves/meltCurve_Q9Y250_5_LZTS1.pdf")</f>
        <v>Melting_Curves/meltCurve_Q9Y250_5_LZTS1.pdf</v>
      </c>
    </row>
    <row r="6188" spans="1:28" x14ac:dyDescent="0.25">
      <c r="A6188" t="s">
        <v>6192</v>
      </c>
      <c r="B6188">
        <v>0.99542014353169495</v>
      </c>
      <c r="C6188">
        <v>0.984086301326628</v>
      </c>
      <c r="D6188">
        <v>0.88740576121500803</v>
      </c>
      <c r="E6188">
        <v>0.57255318791697296</v>
      </c>
      <c r="F6188">
        <v>0.14077950445449799</v>
      </c>
      <c r="G6188">
        <v>8.7473029463255497E-2</v>
      </c>
      <c r="H6188">
        <v>4.4412402794689498E-2</v>
      </c>
      <c r="I6188">
        <v>3.5582647659562899E-2</v>
      </c>
      <c r="J6188">
        <v>3.4551525115380302E-2</v>
      </c>
      <c r="K6188">
        <v>3.5292056222901498E-2</v>
      </c>
      <c r="L6188">
        <v>1241.7995780358301</v>
      </c>
      <c r="M6188">
        <v>26.5173620366145</v>
      </c>
      <c r="N6188">
        <v>46.958785588984099</v>
      </c>
      <c r="O6188">
        <v>46.565797079196898</v>
      </c>
      <c r="P6188">
        <v>-0.13736159379405799</v>
      </c>
      <c r="Q6188">
        <v>3.5155516782240603E-2</v>
      </c>
      <c r="R6188">
        <v>0.998118970268983</v>
      </c>
      <c r="S6188" t="s">
        <v>12590</v>
      </c>
      <c r="T6188" t="s">
        <v>12802</v>
      </c>
      <c r="U6188" t="s">
        <v>12802</v>
      </c>
      <c r="V6188" t="s">
        <v>12802</v>
      </c>
      <c r="W6188" t="s">
        <v>18916</v>
      </c>
      <c r="X6188">
        <v>23</v>
      </c>
      <c r="Y6188" t="s">
        <v>25117</v>
      </c>
      <c r="Z6188" t="s">
        <v>31506</v>
      </c>
      <c r="AA6188">
        <v>0.35846867628694812</v>
      </c>
      <c r="AB6188" t="str">
        <f>HYPERLINK("Melting_Curves/meltCurve_Q9Y263_PLAA.pdf", "Melting_Curves/meltCurve_Q9Y263_PLAA.pdf")</f>
        <v>Melting_Curves/meltCurve_Q9Y263_PLAA.pdf</v>
      </c>
    </row>
    <row r="6189" spans="1:28" x14ac:dyDescent="0.25">
      <c r="A6189" t="s">
        <v>6193</v>
      </c>
      <c r="B6189">
        <v>0.99542014353169495</v>
      </c>
      <c r="C6189">
        <v>0.85579560969649304</v>
      </c>
      <c r="D6189">
        <v>0.90000021331624902</v>
      </c>
      <c r="E6189">
        <v>0.68740274701262205</v>
      </c>
      <c r="F6189">
        <v>0.59703777100569499</v>
      </c>
      <c r="G6189">
        <v>0.413260008612021</v>
      </c>
      <c r="H6189">
        <v>0.44787938611300898</v>
      </c>
      <c r="I6189">
        <v>0.443697217424113</v>
      </c>
      <c r="J6189">
        <v>0.53858161455905895</v>
      </c>
      <c r="K6189">
        <v>0.26936217159234099</v>
      </c>
      <c r="L6189">
        <v>566.08941143350296</v>
      </c>
      <c r="M6189">
        <v>12.0845275698781</v>
      </c>
      <c r="N6189">
        <v>53.099091558227798</v>
      </c>
      <c r="O6189">
        <v>45.6167311455796</v>
      </c>
      <c r="P6189">
        <v>-4.1099943931674598E-2</v>
      </c>
      <c r="Q6189">
        <v>0.37956866668823902</v>
      </c>
      <c r="R6189">
        <v>0.90036112089006903</v>
      </c>
      <c r="S6189" t="s">
        <v>12591</v>
      </c>
      <c r="T6189" t="s">
        <v>12802</v>
      </c>
      <c r="U6189" t="s">
        <v>12802</v>
      </c>
      <c r="V6189" t="s">
        <v>12802</v>
      </c>
      <c r="W6189" t="s">
        <v>18917</v>
      </c>
      <c r="X6189">
        <v>29</v>
      </c>
      <c r="Y6189" t="s">
        <v>25118</v>
      </c>
      <c r="Z6189" t="s">
        <v>31507</v>
      </c>
      <c r="AA6189">
        <v>0.60346464959533719</v>
      </c>
      <c r="AB6189" t="str">
        <f>HYPERLINK("Melting_Curves/meltCurve_Q9Y265_RUVBL1.pdf", "Melting_Curves/meltCurve_Q9Y265_RUVBL1.pdf")</f>
        <v>Melting_Curves/meltCurve_Q9Y265_RUVBL1.pdf</v>
      </c>
    </row>
    <row r="6190" spans="1:28" x14ac:dyDescent="0.25">
      <c r="A6190" t="s">
        <v>6194</v>
      </c>
      <c r="B6190">
        <v>0.99542014353169495</v>
      </c>
      <c r="C6190">
        <v>1.03637714406168</v>
      </c>
      <c r="D6190">
        <v>0.99515685517670704</v>
      </c>
      <c r="E6190">
        <v>0.92647854899137205</v>
      </c>
      <c r="F6190">
        <v>0.60571217004077005</v>
      </c>
      <c r="G6190">
        <v>0.21299216885555</v>
      </c>
      <c r="H6190">
        <v>7.4642534044748701E-2</v>
      </c>
      <c r="I6190">
        <v>5.3197633454985502E-2</v>
      </c>
      <c r="J6190">
        <v>5.3952927959114702E-2</v>
      </c>
      <c r="K6190">
        <v>6.47608906825759E-2</v>
      </c>
      <c r="L6190">
        <v>1451.1277693761399</v>
      </c>
      <c r="M6190">
        <v>28.5727714755911</v>
      </c>
      <c r="N6190">
        <v>50.979091583463997</v>
      </c>
      <c r="O6190">
        <v>50.540264373024002</v>
      </c>
      <c r="P6190">
        <v>-0.13412757916892301</v>
      </c>
      <c r="Q6190">
        <v>5.1014042698001499E-2</v>
      </c>
      <c r="R6190">
        <v>0.999055513298994</v>
      </c>
      <c r="S6190" t="s">
        <v>12592</v>
      </c>
      <c r="T6190" t="s">
        <v>12802</v>
      </c>
      <c r="U6190" t="s">
        <v>12802</v>
      </c>
      <c r="V6190" t="s">
        <v>12802</v>
      </c>
      <c r="W6190" t="s">
        <v>18918</v>
      </c>
      <c r="X6190">
        <v>36</v>
      </c>
      <c r="Y6190" t="s">
        <v>25119</v>
      </c>
      <c r="Z6190" t="s">
        <v>31508</v>
      </c>
      <c r="AA6190">
        <v>0.49361999020831332</v>
      </c>
      <c r="AB6190" t="str">
        <f>HYPERLINK("Melting_Curves/meltCurve_Q9Y266_NUDC.pdf", "Melting_Curves/meltCurve_Q9Y266_NUDC.pdf")</f>
        <v>Melting_Curves/meltCurve_Q9Y266_NUDC.pdf</v>
      </c>
    </row>
    <row r="6191" spans="1:28" x14ac:dyDescent="0.25">
      <c r="A6191" t="s">
        <v>6195</v>
      </c>
      <c r="B6191">
        <v>0.99542014353169495</v>
      </c>
      <c r="C6191">
        <v>0.78537497282244895</v>
      </c>
      <c r="D6191">
        <v>0.88554459707539801</v>
      </c>
      <c r="E6191">
        <v>0.723899234583397</v>
      </c>
      <c r="F6191">
        <v>0.650610402126656</v>
      </c>
      <c r="G6191">
        <v>0.38204357706002101</v>
      </c>
      <c r="H6191">
        <v>0.227772714804716</v>
      </c>
      <c r="I6191">
        <v>7.0654833885358301E-2</v>
      </c>
      <c r="J6191">
        <v>6.5630093009619805E-2</v>
      </c>
      <c r="K6191">
        <v>7.9764209214003803E-2</v>
      </c>
      <c r="L6191">
        <v>562.94170251567698</v>
      </c>
      <c r="M6191">
        <v>10.986246371553801</v>
      </c>
      <c r="N6191">
        <v>51.240585830514398</v>
      </c>
      <c r="O6191">
        <v>49.630644826548703</v>
      </c>
      <c r="P6191">
        <v>-5.5358794407986897E-2</v>
      </c>
      <c r="Q6191">
        <v>0</v>
      </c>
      <c r="R6191">
        <v>0.960691400381949</v>
      </c>
      <c r="S6191" t="s">
        <v>12593</v>
      </c>
      <c r="T6191" t="s">
        <v>12802</v>
      </c>
      <c r="U6191" t="s">
        <v>12802</v>
      </c>
      <c r="V6191" t="s">
        <v>12802</v>
      </c>
      <c r="W6191" t="s">
        <v>18919</v>
      </c>
      <c r="X6191">
        <v>8</v>
      </c>
      <c r="Y6191" t="s">
        <v>25120</v>
      </c>
      <c r="Z6191" t="s">
        <v>31509</v>
      </c>
      <c r="AA6191">
        <v>0.50226787047162036</v>
      </c>
      <c r="AB6191" t="str">
        <f>HYPERLINK("Melting_Curves/meltCurve_Q9Y276_BCS1L.pdf", "Melting_Curves/meltCurve_Q9Y276_BCS1L.pdf")</f>
        <v>Melting_Curves/meltCurve_Q9Y276_BCS1L.pdf</v>
      </c>
    </row>
    <row r="6192" spans="1:28" x14ac:dyDescent="0.25">
      <c r="A6192" t="s">
        <v>6196</v>
      </c>
      <c r="B6192">
        <v>0.99542014353169495</v>
      </c>
      <c r="C6192">
        <v>0.78410643913342104</v>
      </c>
      <c r="D6192">
        <v>0.90840151630032095</v>
      </c>
      <c r="E6192">
        <v>0.72746696476490103</v>
      </c>
      <c r="F6192">
        <v>0.50515773225743499</v>
      </c>
      <c r="G6192">
        <v>0.281885210655136</v>
      </c>
      <c r="H6192">
        <v>0.22462856827274</v>
      </c>
      <c r="I6192">
        <v>0.17121198207693999</v>
      </c>
      <c r="J6192">
        <v>0.26270427363355298</v>
      </c>
      <c r="K6192">
        <v>0.30947568427738598</v>
      </c>
      <c r="L6192">
        <v>749.40251084005399</v>
      </c>
      <c r="M6192">
        <v>15.6298027792092</v>
      </c>
      <c r="N6192">
        <v>49.707926759253098</v>
      </c>
      <c r="O6192">
        <v>47.182727652080402</v>
      </c>
      <c r="P6192">
        <v>-6.5215497732251507E-2</v>
      </c>
      <c r="Q6192">
        <v>0.21258643770001401</v>
      </c>
      <c r="R6192">
        <v>0.93706897187313298</v>
      </c>
      <c r="S6192" t="s">
        <v>12594</v>
      </c>
      <c r="T6192" t="s">
        <v>12802</v>
      </c>
      <c r="U6192" t="s">
        <v>12802</v>
      </c>
      <c r="V6192" t="s">
        <v>12802</v>
      </c>
      <c r="W6192" t="s">
        <v>18920</v>
      </c>
      <c r="X6192">
        <v>14</v>
      </c>
      <c r="Y6192" t="s">
        <v>25121</v>
      </c>
      <c r="Z6192" t="s">
        <v>31510</v>
      </c>
      <c r="AA6192">
        <v>0.51610008813473374</v>
      </c>
      <c r="AB6192" t="str">
        <f>HYPERLINK("Melting_Curves/meltCurve_Q9Y277_VDAC3.pdf", "Melting_Curves/meltCurve_Q9Y277_VDAC3.pdf")</f>
        <v>Melting_Curves/meltCurve_Q9Y277_VDAC3.pdf</v>
      </c>
    </row>
    <row r="6193" spans="1:28" x14ac:dyDescent="0.25">
      <c r="A6193" t="s">
        <v>6197</v>
      </c>
      <c r="B6193">
        <v>0.99542014353169495</v>
      </c>
      <c r="C6193">
        <v>1.1300538818039501</v>
      </c>
      <c r="D6193">
        <v>1.13281308296336</v>
      </c>
      <c r="E6193">
        <v>0.95407123843410002</v>
      </c>
      <c r="F6193">
        <v>0.85581904526498898</v>
      </c>
      <c r="G6193">
        <v>0.54367483235888003</v>
      </c>
      <c r="H6193">
        <v>0.170489875740722</v>
      </c>
      <c r="I6193">
        <v>0.11004114278023</v>
      </c>
      <c r="J6193">
        <v>0.106062686576937</v>
      </c>
      <c r="K6193">
        <v>0.109197030696581</v>
      </c>
      <c r="L6193">
        <v>1528.81118606722</v>
      </c>
      <c r="M6193">
        <v>28.550342679533099</v>
      </c>
      <c r="N6193">
        <v>53.919700369931498</v>
      </c>
      <c r="O6193">
        <v>53.287267199100903</v>
      </c>
      <c r="P6193">
        <v>-0.12197863708753499</v>
      </c>
      <c r="Q6193">
        <v>8.93480070176981E-2</v>
      </c>
      <c r="R6193">
        <v>0.97854001194244999</v>
      </c>
      <c r="S6193" t="s">
        <v>12595</v>
      </c>
      <c r="T6193" t="s">
        <v>12802</v>
      </c>
      <c r="U6193" t="s">
        <v>12802</v>
      </c>
      <c r="V6193" t="s">
        <v>12802</v>
      </c>
      <c r="W6193" t="s">
        <v>18921</v>
      </c>
      <c r="X6193">
        <v>9</v>
      </c>
      <c r="Y6193" t="s">
        <v>25122</v>
      </c>
      <c r="Z6193" t="s">
        <v>31511</v>
      </c>
      <c r="AA6193">
        <v>0.59801951641135531</v>
      </c>
      <c r="AB6193" t="str">
        <f>HYPERLINK("Melting_Curves/meltCurve_Q9Y281_CFL2.pdf", "Melting_Curves/meltCurve_Q9Y281_CFL2.pdf")</f>
        <v>Melting_Curves/meltCurve_Q9Y281_CFL2.pdf</v>
      </c>
    </row>
    <row r="6194" spans="1:28" x14ac:dyDescent="0.25">
      <c r="A6194" t="s">
        <v>6198</v>
      </c>
      <c r="B6194">
        <v>0.99542014353169495</v>
      </c>
      <c r="C6194">
        <v>0.85786425349719397</v>
      </c>
      <c r="D6194">
        <v>0.88947685556758005</v>
      </c>
      <c r="E6194">
        <v>0.82719468168419397</v>
      </c>
      <c r="F6194">
        <v>0.74855538631088503</v>
      </c>
      <c r="G6194">
        <v>0.50755721449796998</v>
      </c>
      <c r="H6194">
        <v>0.422324840498635</v>
      </c>
      <c r="I6194">
        <v>0.39340882823763301</v>
      </c>
      <c r="J6194">
        <v>0.51930988627953401</v>
      </c>
      <c r="K6194">
        <v>0.51914561646073198</v>
      </c>
      <c r="L6194">
        <v>642.02251787615705</v>
      </c>
      <c r="M6194">
        <v>13.1668638794273</v>
      </c>
      <c r="N6194">
        <v>57.482009467754501</v>
      </c>
      <c r="O6194">
        <v>47.676876528227503</v>
      </c>
      <c r="P6194">
        <v>-3.9210088171245501E-2</v>
      </c>
      <c r="Q6194">
        <v>0.43218054259506</v>
      </c>
      <c r="R6194">
        <v>0.89385159795372404</v>
      </c>
      <c r="S6194" t="s">
        <v>12596</v>
      </c>
      <c r="T6194" t="s">
        <v>12802</v>
      </c>
      <c r="U6194" t="s">
        <v>12802</v>
      </c>
      <c r="V6194" t="s">
        <v>12802</v>
      </c>
      <c r="W6194" t="s">
        <v>18922</v>
      </c>
      <c r="X6194">
        <v>3</v>
      </c>
      <c r="Y6194" t="s">
        <v>25123</v>
      </c>
      <c r="Z6194" t="s">
        <v>31512</v>
      </c>
      <c r="AA6194">
        <v>0.66977461863516596</v>
      </c>
      <c r="AB6194" t="str">
        <f>HYPERLINK("Melting_Curves/meltCurve_Q9Y289_SLC5A6.pdf", "Melting_Curves/meltCurve_Q9Y289_SLC5A6.pdf")</f>
        <v>Melting_Curves/meltCurve_Q9Y289_SLC5A6.pdf</v>
      </c>
    </row>
    <row r="6195" spans="1:28" x14ac:dyDescent="0.25">
      <c r="A6195" t="s">
        <v>6199</v>
      </c>
      <c r="B6195">
        <v>0.99542014353169495</v>
      </c>
      <c r="C6195">
        <v>0.90517363134972395</v>
      </c>
      <c r="D6195">
        <v>1.0134340345094</v>
      </c>
      <c r="E6195">
        <v>0.81833679334284704</v>
      </c>
      <c r="F6195">
        <v>0.48755107769807698</v>
      </c>
      <c r="G6195">
        <v>0.19350293449092101</v>
      </c>
      <c r="H6195">
        <v>5.1447964500061498E-2</v>
      </c>
      <c r="I6195">
        <v>3.23233946283858E-2</v>
      </c>
      <c r="J6195">
        <v>3.9903382576760599E-2</v>
      </c>
      <c r="K6195">
        <v>3.7512020407375099E-2</v>
      </c>
      <c r="L6195">
        <v>1108.1099611545301</v>
      </c>
      <c r="M6195">
        <v>22.197508690059301</v>
      </c>
      <c r="N6195">
        <v>50.025019061912602</v>
      </c>
      <c r="O6195">
        <v>49.520607296218103</v>
      </c>
      <c r="P6195">
        <v>-0.10952424121040299</v>
      </c>
      <c r="Q6195">
        <v>2.26668778388396E-2</v>
      </c>
      <c r="R6195">
        <v>0.99349091161686398</v>
      </c>
      <c r="S6195" t="s">
        <v>12597</v>
      </c>
      <c r="T6195" t="s">
        <v>12802</v>
      </c>
      <c r="U6195" t="s">
        <v>12802</v>
      </c>
      <c r="V6195" t="s">
        <v>12802</v>
      </c>
      <c r="W6195" t="s">
        <v>18923</v>
      </c>
      <c r="X6195">
        <v>5</v>
      </c>
      <c r="Y6195" t="s">
        <v>25124</v>
      </c>
      <c r="Z6195" t="s">
        <v>31513</v>
      </c>
      <c r="AA6195">
        <v>0.45425933119884643</v>
      </c>
      <c r="AB6195" t="str">
        <f>HYPERLINK("Melting_Curves/meltCurve_Q9Y294_ASF1A.pdf", "Melting_Curves/meltCurve_Q9Y294_ASF1A.pdf")</f>
        <v>Melting_Curves/meltCurve_Q9Y294_ASF1A.pdf</v>
      </c>
    </row>
    <row r="6196" spans="1:28" x14ac:dyDescent="0.25">
      <c r="A6196" t="s">
        <v>6200</v>
      </c>
      <c r="B6196">
        <v>0.99542014353169495</v>
      </c>
      <c r="C6196">
        <v>0.99135049866783798</v>
      </c>
      <c r="D6196">
        <v>0.96777284742409597</v>
      </c>
      <c r="E6196">
        <v>0.92365673094797796</v>
      </c>
      <c r="F6196">
        <v>0.72635182811203303</v>
      </c>
      <c r="G6196">
        <v>0.54008593745855504</v>
      </c>
      <c r="H6196">
        <v>0.20381534650251801</v>
      </c>
      <c r="I6196">
        <v>5.2727577253281699E-2</v>
      </c>
      <c r="J6196">
        <v>4.1483451648986001E-2</v>
      </c>
      <c r="K6196">
        <v>4.3981697216243502E-2</v>
      </c>
      <c r="L6196">
        <v>965.74788214088005</v>
      </c>
      <c r="M6196">
        <v>18.049259066409199</v>
      </c>
      <c r="N6196">
        <v>53.506234079924603</v>
      </c>
      <c r="O6196">
        <v>52.862399057865296</v>
      </c>
      <c r="P6196">
        <v>-8.5363795407609203E-2</v>
      </c>
      <c r="Q6196">
        <v>0</v>
      </c>
      <c r="R6196">
        <v>0.99419657458450905</v>
      </c>
      <c r="S6196" t="s">
        <v>12598</v>
      </c>
      <c r="T6196" t="s">
        <v>12802</v>
      </c>
      <c r="U6196" t="s">
        <v>12802</v>
      </c>
      <c r="V6196" t="s">
        <v>12802</v>
      </c>
      <c r="W6196" t="s">
        <v>18924</v>
      </c>
      <c r="X6196">
        <v>19</v>
      </c>
      <c r="Y6196" t="s">
        <v>25125</v>
      </c>
      <c r="Z6196" t="s">
        <v>31514</v>
      </c>
      <c r="AA6196">
        <v>0.56431886197404602</v>
      </c>
      <c r="AB6196" t="str">
        <f>HYPERLINK("Melting_Curves/meltCurve_Q9Y295_DRG1.pdf", "Melting_Curves/meltCurve_Q9Y295_DRG1.pdf")</f>
        <v>Melting_Curves/meltCurve_Q9Y295_DRG1.pdf</v>
      </c>
    </row>
    <row r="6197" spans="1:28" x14ac:dyDescent="0.25">
      <c r="A6197" t="s">
        <v>6201</v>
      </c>
      <c r="B6197">
        <v>0.99542014353169495</v>
      </c>
      <c r="C6197">
        <v>0.90904296386108396</v>
      </c>
      <c r="D6197">
        <v>0.88256717951855901</v>
      </c>
      <c r="E6197">
        <v>0.55166898257751096</v>
      </c>
      <c r="F6197">
        <v>0.298794891019526</v>
      </c>
      <c r="G6197">
        <v>6.9408466739924193E-2</v>
      </c>
      <c r="H6197">
        <v>4.4093793581279302E-2</v>
      </c>
      <c r="I6197">
        <v>2.6822957669579098E-2</v>
      </c>
      <c r="J6197">
        <v>2.4685557273339799E-2</v>
      </c>
      <c r="K6197">
        <v>3.1164258770868401E-2</v>
      </c>
      <c r="L6197">
        <v>847.62223451338195</v>
      </c>
      <c r="M6197">
        <v>17.9362726330159</v>
      </c>
      <c r="N6197">
        <v>47.3088948505915</v>
      </c>
      <c r="O6197">
        <v>46.681754480579897</v>
      </c>
      <c r="P6197">
        <v>-9.5132938847411197E-2</v>
      </c>
      <c r="Q6197">
        <v>9.6605043987952194E-3</v>
      </c>
      <c r="R6197">
        <v>0.99534316148333601</v>
      </c>
      <c r="S6197" t="s">
        <v>12599</v>
      </c>
      <c r="T6197" t="s">
        <v>12802</v>
      </c>
      <c r="U6197" t="s">
        <v>12802</v>
      </c>
      <c r="V6197" t="s">
        <v>12802</v>
      </c>
      <c r="W6197" t="s">
        <v>18925</v>
      </c>
      <c r="X6197">
        <v>18</v>
      </c>
      <c r="Y6197" t="s">
        <v>25126</v>
      </c>
      <c r="Z6197" t="s">
        <v>31515</v>
      </c>
      <c r="AA6197">
        <v>0.36425773963074959</v>
      </c>
      <c r="AB6197" t="str">
        <f>HYPERLINK("Melting_Curves/meltCurve_Q9Y2A7_NCKAP1.pdf", "Melting_Curves/meltCurve_Q9Y2A7_NCKAP1.pdf")</f>
        <v>Melting_Curves/meltCurve_Q9Y2A7_NCKAP1.pdf</v>
      </c>
    </row>
    <row r="6198" spans="1:28" x14ac:dyDescent="0.25">
      <c r="A6198" t="s">
        <v>6202</v>
      </c>
      <c r="B6198">
        <v>0.99542014353169495</v>
      </c>
      <c r="C6198">
        <v>0.97323808675278201</v>
      </c>
      <c r="D6198">
        <v>0.96507574635928695</v>
      </c>
      <c r="E6198">
        <v>0.94428340170977298</v>
      </c>
      <c r="F6198">
        <v>0.77862570023389999</v>
      </c>
      <c r="G6198">
        <v>0.55294011222725403</v>
      </c>
      <c r="H6198">
        <v>0.22539517474023299</v>
      </c>
      <c r="I6198">
        <v>0.176551299635232</v>
      </c>
      <c r="J6198">
        <v>0.25573841074293202</v>
      </c>
      <c r="K6198">
        <v>0.34684704939879102</v>
      </c>
      <c r="L6198">
        <v>1354.4052493268</v>
      </c>
      <c r="M6198">
        <v>25.902415064084501</v>
      </c>
      <c r="N6198">
        <v>53.630156922864501</v>
      </c>
      <c r="O6198">
        <v>51.980089087676298</v>
      </c>
      <c r="P6198">
        <v>-9.4877588544969804E-2</v>
      </c>
      <c r="Q6198">
        <v>0.238420372357633</v>
      </c>
      <c r="R6198">
        <v>0.97029295378007097</v>
      </c>
      <c r="S6198" t="s">
        <v>12600</v>
      </c>
      <c r="T6198" t="s">
        <v>12802</v>
      </c>
      <c r="U6198" t="s">
        <v>12802</v>
      </c>
      <c r="V6198" t="s">
        <v>12802</v>
      </c>
      <c r="W6198" t="s">
        <v>18926</v>
      </c>
      <c r="X6198">
        <v>14</v>
      </c>
      <c r="Y6198" t="s">
        <v>25127</v>
      </c>
      <c r="Z6198" t="s">
        <v>31516</v>
      </c>
      <c r="AA6198">
        <v>0.63287285864104836</v>
      </c>
      <c r="AB6198" t="str">
        <f>HYPERLINK("Melting_Curves/meltCurve_Q9Y2B0_CNPY2.pdf", "Melting_Curves/meltCurve_Q9Y2B0_CNPY2.pdf")</f>
        <v>Melting_Curves/meltCurve_Q9Y2B0_CNPY2.pdf</v>
      </c>
    </row>
    <row r="6199" spans="1:28" x14ac:dyDescent="0.25">
      <c r="A6199" t="s">
        <v>6203</v>
      </c>
      <c r="B6199">
        <v>0.99542014353169495</v>
      </c>
      <c r="C6199">
        <v>1.0247384972951099</v>
      </c>
      <c r="D6199">
        <v>0.91058461031716897</v>
      </c>
      <c r="E6199">
        <v>0.49018038496920402</v>
      </c>
      <c r="F6199">
        <v>0.24158520507929299</v>
      </c>
      <c r="G6199">
        <v>0</v>
      </c>
      <c r="H6199">
        <v>5.8498407172086299E-2</v>
      </c>
      <c r="I6199">
        <v>0</v>
      </c>
      <c r="J6199">
        <v>0</v>
      </c>
      <c r="K6199">
        <v>0</v>
      </c>
      <c r="L6199">
        <v>1062.1656243493401</v>
      </c>
      <c r="M6199">
        <v>22.6770973766872</v>
      </c>
      <c r="N6199">
        <v>46.855098996188403</v>
      </c>
      <c r="O6199">
        <v>46.479023403164703</v>
      </c>
      <c r="P6199">
        <v>-0.121495007488392</v>
      </c>
      <c r="Q6199">
        <v>3.9541259710103001E-3</v>
      </c>
      <c r="R6199">
        <v>0.99308182000581302</v>
      </c>
      <c r="S6199" t="s">
        <v>12601</v>
      </c>
      <c r="T6199" t="s">
        <v>12802</v>
      </c>
      <c r="U6199" t="s">
        <v>12802</v>
      </c>
      <c r="V6199" t="s">
        <v>12802</v>
      </c>
      <c r="W6199" t="s">
        <v>18927</v>
      </c>
      <c r="X6199">
        <v>2</v>
      </c>
      <c r="Y6199" t="s">
        <v>25128</v>
      </c>
      <c r="Z6199" t="s">
        <v>31517</v>
      </c>
      <c r="AA6199">
        <v>0.34076775593439301</v>
      </c>
      <c r="AB6199" t="str">
        <f>HYPERLINK("Melting_Curves/meltCurve_Q9Y2D8_2_SSX2IP.pdf", "Melting_Curves/meltCurve_Q9Y2D8_2_SSX2IP.pdf")</f>
        <v>Melting_Curves/meltCurve_Q9Y2D8_2_SSX2IP.pdf</v>
      </c>
    </row>
    <row r="6200" spans="1:28" x14ac:dyDescent="0.25">
      <c r="A6200" t="s">
        <v>6204</v>
      </c>
      <c r="B6200">
        <v>0.99542014353169495</v>
      </c>
      <c r="C6200">
        <v>0.97591887069232197</v>
      </c>
      <c r="D6200">
        <v>1.0409089398417899</v>
      </c>
      <c r="E6200">
        <v>0.96936622002100103</v>
      </c>
      <c r="F6200">
        <v>0.62427307943830901</v>
      </c>
      <c r="G6200">
        <v>0.46975474115594901</v>
      </c>
      <c r="H6200">
        <v>0.26366797722444602</v>
      </c>
      <c r="I6200">
        <v>0.16748472811239901</v>
      </c>
      <c r="J6200">
        <v>0.13529581994693099</v>
      </c>
      <c r="K6200">
        <v>5.5149205510560698E-2</v>
      </c>
      <c r="L6200">
        <v>871.36616702617096</v>
      </c>
      <c r="M6200">
        <v>16.5979661770169</v>
      </c>
      <c r="N6200">
        <v>52.987772236763703</v>
      </c>
      <c r="O6200">
        <v>51.754068934349903</v>
      </c>
      <c r="P6200">
        <v>-7.4484434094519797E-2</v>
      </c>
      <c r="Q6200">
        <v>7.1064312311162905E-2</v>
      </c>
      <c r="R6200">
        <v>0.98697129636285996</v>
      </c>
      <c r="S6200" t="s">
        <v>12602</v>
      </c>
      <c r="T6200" t="s">
        <v>12802</v>
      </c>
      <c r="U6200" t="s">
        <v>12802</v>
      </c>
      <c r="V6200" t="s">
        <v>12802</v>
      </c>
      <c r="W6200" t="s">
        <v>18928</v>
      </c>
      <c r="X6200">
        <v>3</v>
      </c>
      <c r="Y6200" t="s">
        <v>25129</v>
      </c>
      <c r="Z6200" t="s">
        <v>31518</v>
      </c>
      <c r="AA6200">
        <v>0.56629437690287643</v>
      </c>
      <c r="AB6200" t="str">
        <f>HYPERLINK("Melting_Curves/meltCurve_Q9Y2G2_4_CARD8.pdf", "Melting_Curves/meltCurve_Q9Y2G2_4_CARD8.pdf")</f>
        <v>Melting_Curves/meltCurve_Q9Y2G2_4_CARD8.pdf</v>
      </c>
    </row>
    <row r="6201" spans="1:28" x14ac:dyDescent="0.25">
      <c r="A6201" t="s">
        <v>6205</v>
      </c>
      <c r="B6201">
        <v>0.99542014353169495</v>
      </c>
      <c r="C6201">
        <v>1.02016708588253</v>
      </c>
      <c r="D6201">
        <v>1.0190362341688199</v>
      </c>
      <c r="E6201">
        <v>0.91224093275532803</v>
      </c>
      <c r="F6201">
        <v>0.78576344151621302</v>
      </c>
      <c r="G6201">
        <v>0.56770337777689905</v>
      </c>
      <c r="H6201">
        <v>0.41322143950018703</v>
      </c>
      <c r="I6201">
        <v>0.20988729906846901</v>
      </c>
      <c r="J6201">
        <v>0.121869018538917</v>
      </c>
      <c r="K6201">
        <v>0.101280065131824</v>
      </c>
      <c r="L6201">
        <v>730.88668175123098</v>
      </c>
      <c r="M6201">
        <v>13.232158080869601</v>
      </c>
      <c r="N6201">
        <v>55.236726522883302</v>
      </c>
      <c r="O6201">
        <v>54.019789954377899</v>
      </c>
      <c r="P6201">
        <v>-6.1239655633108299E-2</v>
      </c>
      <c r="Q6201">
        <v>1.3045615615741801E-4</v>
      </c>
      <c r="R6201">
        <v>0.99635610344778303</v>
      </c>
      <c r="S6201" t="s">
        <v>12603</v>
      </c>
      <c r="T6201" t="s">
        <v>12802</v>
      </c>
      <c r="U6201" t="s">
        <v>12802</v>
      </c>
      <c r="V6201" t="s">
        <v>12802</v>
      </c>
      <c r="W6201" t="s">
        <v>18929</v>
      </c>
      <c r="X6201">
        <v>15</v>
      </c>
      <c r="Y6201" t="s">
        <v>25130</v>
      </c>
      <c r="Z6201" t="s">
        <v>31519</v>
      </c>
      <c r="AA6201">
        <v>0.62157319018706048</v>
      </c>
      <c r="AB6201" t="str">
        <f>HYPERLINK("Melting_Curves/meltCurve_Q9Y2G3_ATP11B.pdf", "Melting_Curves/meltCurve_Q9Y2G3_ATP11B.pdf")</f>
        <v>Melting_Curves/meltCurve_Q9Y2G3_ATP11B.pdf</v>
      </c>
    </row>
    <row r="6202" spans="1:28" x14ac:dyDescent="0.25">
      <c r="A6202" t="s">
        <v>6206</v>
      </c>
      <c r="B6202">
        <v>0.99542014353169495</v>
      </c>
      <c r="C6202">
        <v>1.1322443125822801</v>
      </c>
      <c r="D6202">
        <v>1.11541393055743</v>
      </c>
      <c r="E6202">
        <v>1.0057319158540401</v>
      </c>
      <c r="F6202">
        <v>0.58840722118392097</v>
      </c>
      <c r="G6202">
        <v>0.184320986209878</v>
      </c>
      <c r="H6202">
        <v>0.11306686611634099</v>
      </c>
      <c r="I6202">
        <v>8.6393582481938999E-2</v>
      </c>
      <c r="J6202">
        <v>0.116844916022575</v>
      </c>
      <c r="K6202">
        <v>0.114289913993752</v>
      </c>
      <c r="L6202">
        <v>2197.24488096407</v>
      </c>
      <c r="M6202">
        <v>43.583959916680598</v>
      </c>
      <c r="N6202">
        <v>50.704432998793898</v>
      </c>
      <c r="O6202">
        <v>50.308268595370897</v>
      </c>
      <c r="P6202">
        <v>-0.192664705172371</v>
      </c>
      <c r="Q6202">
        <v>0.110441882271288</v>
      </c>
      <c r="R6202">
        <v>0.98336925767787298</v>
      </c>
      <c r="S6202" t="s">
        <v>12604</v>
      </c>
      <c r="T6202" t="s">
        <v>12802</v>
      </c>
      <c r="U6202" t="s">
        <v>12802</v>
      </c>
      <c r="V6202" t="s">
        <v>12802</v>
      </c>
      <c r="W6202" t="s">
        <v>18930</v>
      </c>
      <c r="X6202">
        <v>6</v>
      </c>
      <c r="Y6202" t="s">
        <v>25131</v>
      </c>
      <c r="Z6202" t="s">
        <v>31520</v>
      </c>
      <c r="AA6202">
        <v>0.51080190350830412</v>
      </c>
      <c r="AB6202" t="str">
        <f>HYPERLINK("Melting_Curves/meltCurve_Q9Y2G5_POFUT2.pdf", "Melting_Curves/meltCurve_Q9Y2G5_POFUT2.pdf")</f>
        <v>Melting_Curves/meltCurve_Q9Y2G5_POFUT2.pdf</v>
      </c>
    </row>
    <row r="6203" spans="1:28" x14ac:dyDescent="0.25">
      <c r="A6203" t="s">
        <v>6207</v>
      </c>
      <c r="B6203">
        <v>0.99542014353169495</v>
      </c>
      <c r="C6203">
        <v>0.95296874602175996</v>
      </c>
      <c r="D6203">
        <v>0.86901901779378699</v>
      </c>
      <c r="E6203">
        <v>0.78697706111124899</v>
      </c>
      <c r="F6203">
        <v>0.69591450094121099</v>
      </c>
      <c r="G6203">
        <v>0.41750575042506499</v>
      </c>
      <c r="H6203">
        <v>0.24079813280717399</v>
      </c>
      <c r="I6203">
        <v>0.122073195691303</v>
      </c>
      <c r="J6203">
        <v>0.10492427371174901</v>
      </c>
      <c r="K6203">
        <v>0.122092704745316</v>
      </c>
      <c r="L6203">
        <v>609.04202064324704</v>
      </c>
      <c r="M6203">
        <v>11.636759170946201</v>
      </c>
      <c r="N6203">
        <v>52.3717975311557</v>
      </c>
      <c r="O6203">
        <v>50.8638049304977</v>
      </c>
      <c r="P6203">
        <v>-5.6995739900024198E-2</v>
      </c>
      <c r="Q6203">
        <v>3.7661626882148601E-3</v>
      </c>
      <c r="R6203">
        <v>0.98837392375692501</v>
      </c>
      <c r="S6203" t="s">
        <v>12605</v>
      </c>
      <c r="T6203" t="s">
        <v>12802</v>
      </c>
      <c r="U6203" t="s">
        <v>12802</v>
      </c>
      <c r="V6203" t="s">
        <v>12802</v>
      </c>
      <c r="W6203" t="s">
        <v>18931</v>
      </c>
      <c r="X6203">
        <v>7</v>
      </c>
      <c r="Y6203" t="s">
        <v>25132</v>
      </c>
      <c r="Z6203" t="s">
        <v>31521</v>
      </c>
      <c r="AA6203">
        <v>0.53639292367812885</v>
      </c>
      <c r="AB6203" t="str">
        <f>HYPERLINK("Melting_Curves/meltCurve_Q9Y2H0_3_DLGAP4.pdf", "Melting_Curves/meltCurve_Q9Y2H0_3_DLGAP4.pdf")</f>
        <v>Melting_Curves/meltCurve_Q9Y2H0_3_DLGAP4.pdf</v>
      </c>
    </row>
    <row r="6204" spans="1:28" x14ac:dyDescent="0.25">
      <c r="A6204" t="s">
        <v>6208</v>
      </c>
      <c r="B6204">
        <v>0.99542014353169495</v>
      </c>
      <c r="C6204">
        <v>0.96110937353744996</v>
      </c>
      <c r="D6204">
        <v>0.89297713009499502</v>
      </c>
      <c r="E6204">
        <v>0.73227351616941905</v>
      </c>
      <c r="F6204">
        <v>0.26527855156472002</v>
      </c>
      <c r="G6204">
        <v>0.112369764515759</v>
      </c>
      <c r="H6204">
        <v>0.14329243600210601</v>
      </c>
      <c r="I6204">
        <v>5.5111707996074698E-2</v>
      </c>
      <c r="J6204">
        <v>0.104989031147038</v>
      </c>
      <c r="K6204">
        <v>0.15365267386676201</v>
      </c>
      <c r="L6204">
        <v>1389.15630767788</v>
      </c>
      <c r="M6204">
        <v>29.091903064442199</v>
      </c>
      <c r="N6204">
        <v>48.138914862653102</v>
      </c>
      <c r="O6204">
        <v>47.526698041680397</v>
      </c>
      <c r="P6204">
        <v>-0.13702664316459301</v>
      </c>
      <c r="Q6204">
        <v>0.104578913564062</v>
      </c>
      <c r="R6204">
        <v>0.99023211630671104</v>
      </c>
      <c r="S6204" t="s">
        <v>12606</v>
      </c>
      <c r="T6204" t="s">
        <v>12802</v>
      </c>
      <c r="U6204" t="s">
        <v>12802</v>
      </c>
      <c r="V6204" t="s">
        <v>12802</v>
      </c>
      <c r="W6204" t="s">
        <v>18932</v>
      </c>
      <c r="X6204">
        <v>4</v>
      </c>
      <c r="Y6204" t="s">
        <v>25133</v>
      </c>
      <c r="Z6204" t="s">
        <v>31522</v>
      </c>
      <c r="AA6204">
        <v>0.4310714695968661</v>
      </c>
      <c r="AB6204" t="str">
        <f>HYPERLINK("Melting_Curves/meltCurve_Q9Y2H1_STK38L.pdf", "Melting_Curves/meltCurve_Q9Y2H1_STK38L.pdf")</f>
        <v>Melting_Curves/meltCurve_Q9Y2H1_STK38L.pdf</v>
      </c>
    </row>
    <row r="6205" spans="1:28" x14ac:dyDescent="0.25">
      <c r="A6205" t="s">
        <v>6209</v>
      </c>
      <c r="B6205">
        <v>0.99542014353169495</v>
      </c>
      <c r="C6205">
        <v>1.0686204955521399</v>
      </c>
      <c r="D6205">
        <v>0.92484521190169899</v>
      </c>
      <c r="E6205">
        <v>0.64443018093541504</v>
      </c>
      <c r="F6205">
        <v>0.24209809503596699</v>
      </c>
      <c r="G6205">
        <v>0.16258577416466399</v>
      </c>
      <c r="H6205">
        <v>9.5122810059295904E-2</v>
      </c>
      <c r="I6205">
        <v>8.3353450904079598E-2</v>
      </c>
      <c r="J6205">
        <v>7.1969643148163204E-2</v>
      </c>
      <c r="K6205">
        <v>0.103054647522035</v>
      </c>
      <c r="L6205">
        <v>1248.9294029626201</v>
      </c>
      <c r="M6205">
        <v>26.383476270895802</v>
      </c>
      <c r="N6205">
        <v>47.7012371144681</v>
      </c>
      <c r="O6205">
        <v>47.068122949274901</v>
      </c>
      <c r="P6205">
        <v>-0.12736923967181599</v>
      </c>
      <c r="Q6205">
        <v>9.1103070534204994E-2</v>
      </c>
      <c r="R6205">
        <v>0.99495541097770601</v>
      </c>
      <c r="S6205" t="s">
        <v>12607</v>
      </c>
      <c r="T6205" t="s">
        <v>12802</v>
      </c>
      <c r="U6205" t="s">
        <v>12802</v>
      </c>
      <c r="V6205" t="s">
        <v>12802</v>
      </c>
      <c r="W6205" t="s">
        <v>18933</v>
      </c>
      <c r="X6205">
        <v>10</v>
      </c>
      <c r="Y6205" t="s">
        <v>25134</v>
      </c>
      <c r="Z6205" t="s">
        <v>31523</v>
      </c>
      <c r="AA6205">
        <v>0.41118135330953332</v>
      </c>
      <c r="AB6205" t="str">
        <f>HYPERLINK("Melting_Curves/meltCurve_Q9Y2I1_NISCH.pdf", "Melting_Curves/meltCurve_Q9Y2I1_NISCH.pdf")</f>
        <v>Melting_Curves/meltCurve_Q9Y2I1_NISCH.pdf</v>
      </c>
    </row>
    <row r="6206" spans="1:28" x14ac:dyDescent="0.25">
      <c r="A6206" t="s">
        <v>6210</v>
      </c>
      <c r="B6206">
        <v>0.99542014353169495</v>
      </c>
      <c r="C6206">
        <v>0.87622129620357603</v>
      </c>
      <c r="D6206">
        <v>0.92280500178827796</v>
      </c>
      <c r="E6206">
        <v>0.66311828804129302</v>
      </c>
      <c r="F6206">
        <v>0.261376231153997</v>
      </c>
      <c r="G6206">
        <v>0.124186094274795</v>
      </c>
      <c r="H6206">
        <v>6.9799174478912707E-2</v>
      </c>
      <c r="I6206">
        <v>5.52606234666271E-2</v>
      </c>
      <c r="J6206">
        <v>5.3649989052371803E-2</v>
      </c>
      <c r="K6206">
        <v>5.5052703762737798E-2</v>
      </c>
      <c r="L6206">
        <v>1057.4267353903999</v>
      </c>
      <c r="M6206">
        <v>22.185888721972699</v>
      </c>
      <c r="N6206">
        <v>47.884070634204903</v>
      </c>
      <c r="O6206">
        <v>47.279953022506703</v>
      </c>
      <c r="P6206">
        <v>-0.111581852610594</v>
      </c>
      <c r="Q6206">
        <v>4.88598302962924E-2</v>
      </c>
      <c r="R6206">
        <v>0.99102788247865103</v>
      </c>
      <c r="S6206" t="s">
        <v>12608</v>
      </c>
      <c r="T6206" t="s">
        <v>12802</v>
      </c>
      <c r="U6206" t="s">
        <v>12802</v>
      </c>
      <c r="V6206" t="s">
        <v>12802</v>
      </c>
      <c r="W6206" t="s">
        <v>18934</v>
      </c>
      <c r="X6206">
        <v>6</v>
      </c>
      <c r="Y6206" t="s">
        <v>25135</v>
      </c>
      <c r="Z6206" t="s">
        <v>31524</v>
      </c>
      <c r="AA6206">
        <v>0.39710917401380902</v>
      </c>
      <c r="AB6206" t="str">
        <f>HYPERLINK("Melting_Curves/meltCurve_Q9Y2I7_PIKFYVE.pdf", "Melting_Curves/meltCurve_Q9Y2I7_PIKFYVE.pdf")</f>
        <v>Melting_Curves/meltCurve_Q9Y2I7_PIKFYVE.pdf</v>
      </c>
    </row>
    <row r="6207" spans="1:28" x14ac:dyDescent="0.25">
      <c r="A6207" t="s">
        <v>6211</v>
      </c>
      <c r="B6207">
        <v>0.99542014353169495</v>
      </c>
      <c r="C6207">
        <v>0.945740000517303</v>
      </c>
      <c r="D6207">
        <v>0.94654705737377898</v>
      </c>
      <c r="E6207">
        <v>0.68938426718115497</v>
      </c>
      <c r="F6207">
        <v>0.41904031952555598</v>
      </c>
      <c r="G6207">
        <v>0.151735361370681</v>
      </c>
      <c r="H6207">
        <v>7.36838476846816E-2</v>
      </c>
      <c r="I6207">
        <v>5.7417406294894197E-2</v>
      </c>
      <c r="J6207">
        <v>8.8876875782177706E-2</v>
      </c>
      <c r="K6207">
        <v>7.9890946640952504E-2</v>
      </c>
      <c r="L6207">
        <v>948.19911272551099</v>
      </c>
      <c r="M6207">
        <v>19.524819364785401</v>
      </c>
      <c r="N6207">
        <v>48.857373129830201</v>
      </c>
      <c r="O6207">
        <v>48.062973683340701</v>
      </c>
      <c r="P6207">
        <v>-9.5940521504491103E-2</v>
      </c>
      <c r="Q6207">
        <v>5.5352081481371197E-2</v>
      </c>
      <c r="R6207">
        <v>0.995689241194328</v>
      </c>
      <c r="S6207" t="s">
        <v>12609</v>
      </c>
      <c r="T6207" t="s">
        <v>12802</v>
      </c>
      <c r="U6207" t="s">
        <v>12802</v>
      </c>
      <c r="V6207" t="s">
        <v>12802</v>
      </c>
      <c r="W6207" t="s">
        <v>18935</v>
      </c>
      <c r="X6207">
        <v>4</v>
      </c>
      <c r="Y6207" t="s">
        <v>25136</v>
      </c>
      <c r="Z6207" t="s">
        <v>31525</v>
      </c>
      <c r="AA6207">
        <v>0.43247364271995792</v>
      </c>
      <c r="AB6207" t="str">
        <f>HYPERLINK("Melting_Curves/meltCurve_Q9Y2I8_WDR37.pdf", "Melting_Curves/meltCurve_Q9Y2I8_WDR37.pdf")</f>
        <v>Melting_Curves/meltCurve_Q9Y2I8_WDR37.pdf</v>
      </c>
    </row>
    <row r="6208" spans="1:28" x14ac:dyDescent="0.25">
      <c r="A6208" t="s">
        <v>6212</v>
      </c>
      <c r="B6208">
        <v>0.99542014353169495</v>
      </c>
      <c r="C6208">
        <v>0.92909532860797195</v>
      </c>
      <c r="D6208">
        <v>0.93867455950224898</v>
      </c>
      <c r="E6208">
        <v>0.60765983080173203</v>
      </c>
      <c r="F6208">
        <v>0.19905045608163</v>
      </c>
      <c r="G6208">
        <v>0.106839782479107</v>
      </c>
      <c r="H6208">
        <v>6.4429117582364206E-2</v>
      </c>
      <c r="I6208">
        <v>5.7928160985288801E-2</v>
      </c>
      <c r="J6208">
        <v>4.1681404969422201E-2</v>
      </c>
      <c r="K6208">
        <v>5.3058576882767702E-2</v>
      </c>
      <c r="L6208">
        <v>1246.13861330741</v>
      </c>
      <c r="M6208">
        <v>26.419501337100701</v>
      </c>
      <c r="N6208">
        <v>47.369741398580203</v>
      </c>
      <c r="O6208">
        <v>46.899627049827899</v>
      </c>
      <c r="P6208">
        <v>-0.13331622109815899</v>
      </c>
      <c r="Q6208">
        <v>5.3363866584475901E-2</v>
      </c>
      <c r="R6208">
        <v>0.99695273582222399</v>
      </c>
      <c r="S6208" t="s">
        <v>12610</v>
      </c>
      <c r="T6208" t="s">
        <v>12802</v>
      </c>
      <c r="U6208" t="s">
        <v>12802</v>
      </c>
      <c r="V6208" t="s">
        <v>12802</v>
      </c>
      <c r="W6208" t="s">
        <v>18936</v>
      </c>
      <c r="X6208">
        <v>8</v>
      </c>
      <c r="Y6208" t="s">
        <v>25137</v>
      </c>
      <c r="Z6208" t="s">
        <v>31526</v>
      </c>
      <c r="AA6208">
        <v>0.38132301219406722</v>
      </c>
      <c r="AB6208" t="str">
        <f>HYPERLINK("Melting_Curves/meltCurve_Q9Y2K6_USP20.pdf", "Melting_Curves/meltCurve_Q9Y2K6_USP20.pdf")</f>
        <v>Melting_Curves/meltCurve_Q9Y2K6_USP20.pdf</v>
      </c>
    </row>
    <row r="6209" spans="1:28" x14ac:dyDescent="0.25">
      <c r="A6209" t="s">
        <v>6213</v>
      </c>
      <c r="B6209">
        <v>0.99542014353169495</v>
      </c>
      <c r="C6209">
        <v>1.09166341314645</v>
      </c>
      <c r="D6209">
        <v>1.0774901822943399</v>
      </c>
      <c r="E6209">
        <v>0.80195497021282702</v>
      </c>
      <c r="F6209">
        <v>0.44090465383977001</v>
      </c>
      <c r="G6209">
        <v>0.16501341064766301</v>
      </c>
      <c r="H6209">
        <v>9.9334537834596406E-2</v>
      </c>
      <c r="I6209">
        <v>7.9044863190102399E-2</v>
      </c>
      <c r="J6209">
        <v>7.6012589775621003E-2</v>
      </c>
      <c r="K6209">
        <v>7.31157344343875E-2</v>
      </c>
      <c r="L6209">
        <v>1302.1555004587899</v>
      </c>
      <c r="M6209">
        <v>26.416192204549102</v>
      </c>
      <c r="N6209">
        <v>49.598510257828501</v>
      </c>
      <c r="O6209">
        <v>49.013947412245699</v>
      </c>
      <c r="P6209">
        <v>-0.12464853225110401</v>
      </c>
      <c r="Q6209">
        <v>7.4893077169638195E-2</v>
      </c>
      <c r="R6209">
        <v>0.98947444811665297</v>
      </c>
      <c r="S6209" t="s">
        <v>12611</v>
      </c>
      <c r="T6209" t="s">
        <v>12802</v>
      </c>
      <c r="U6209" t="s">
        <v>12802</v>
      </c>
      <c r="V6209" t="s">
        <v>12802</v>
      </c>
      <c r="W6209" t="s">
        <v>18937</v>
      </c>
      <c r="X6209">
        <v>8</v>
      </c>
      <c r="Y6209" t="s">
        <v>25138</v>
      </c>
      <c r="Z6209" t="s">
        <v>31527</v>
      </c>
      <c r="AA6209">
        <v>0.46120596194726787</v>
      </c>
      <c r="AB6209" t="str">
        <f>HYPERLINK("Melting_Curves/meltCurve_Q9Y2K7_KDM2A.pdf", "Melting_Curves/meltCurve_Q9Y2K7_KDM2A.pdf")</f>
        <v>Melting_Curves/meltCurve_Q9Y2K7_KDM2A.pdf</v>
      </c>
    </row>
    <row r="6210" spans="1:28" x14ac:dyDescent="0.25">
      <c r="A6210" t="s">
        <v>6214</v>
      </c>
      <c r="B6210">
        <v>0.99542014353169495</v>
      </c>
      <c r="C6210">
        <v>0.959436842981504</v>
      </c>
      <c r="D6210">
        <v>0.82449243124120497</v>
      </c>
      <c r="E6210">
        <v>0.35763503445347</v>
      </c>
      <c r="F6210">
        <v>0.144456908875677</v>
      </c>
      <c r="G6210">
        <v>8.5376215701327807E-2</v>
      </c>
      <c r="H6210">
        <v>5.0580737629726598E-2</v>
      </c>
      <c r="I6210">
        <v>3.06547565187072E-2</v>
      </c>
      <c r="J6210">
        <v>3.3925544224547403E-2</v>
      </c>
      <c r="K6210">
        <v>3.4527997726427201E-2</v>
      </c>
      <c r="L6210">
        <v>1121.1197709563201</v>
      </c>
      <c r="M6210">
        <v>24.686358699892899</v>
      </c>
      <c r="N6210">
        <v>45.579945822835001</v>
      </c>
      <c r="O6210">
        <v>45.119679711437499</v>
      </c>
      <c r="P6210">
        <v>-0.130924311637447</v>
      </c>
      <c r="Q6210">
        <v>4.2843102209036699E-2</v>
      </c>
      <c r="R6210">
        <v>0.99874228318457503</v>
      </c>
      <c r="S6210" t="s">
        <v>12612</v>
      </c>
      <c r="T6210" t="s">
        <v>12802</v>
      </c>
      <c r="U6210" t="s">
        <v>12802</v>
      </c>
      <c r="V6210" t="s">
        <v>12802</v>
      </c>
      <c r="W6210" t="s">
        <v>18938</v>
      </c>
      <c r="X6210">
        <v>31</v>
      </c>
      <c r="Y6210" t="s">
        <v>25139</v>
      </c>
      <c r="Z6210" t="s">
        <v>31528</v>
      </c>
      <c r="AA6210">
        <v>0.31940229652008961</v>
      </c>
      <c r="AB6210" t="str">
        <f>HYPERLINK("Melting_Curves/meltCurve_Q9Y2L1_DIS3.pdf", "Melting_Curves/meltCurve_Q9Y2L1_DIS3.pdf")</f>
        <v>Melting_Curves/meltCurve_Q9Y2L1_DIS3.pdf</v>
      </c>
    </row>
    <row r="6211" spans="1:28" x14ac:dyDescent="0.25">
      <c r="A6211" t="s">
        <v>6215</v>
      </c>
      <c r="B6211">
        <v>0.99542014353169495</v>
      </c>
      <c r="C6211">
        <v>1.0390979021909399</v>
      </c>
      <c r="D6211">
        <v>1.2067645952977299</v>
      </c>
      <c r="E6211">
        <v>0.93222982042573499</v>
      </c>
      <c r="F6211">
        <v>0.37618043680739199</v>
      </c>
      <c r="G6211">
        <v>0.21120188537985601</v>
      </c>
      <c r="H6211">
        <v>0.13042369492707401</v>
      </c>
      <c r="I6211">
        <v>0.112718415144161</v>
      </c>
      <c r="J6211">
        <v>8.3199808920616403E-2</v>
      </c>
      <c r="K6211">
        <v>8.7968411774973096E-2</v>
      </c>
      <c r="L6211">
        <v>2062.69660288656</v>
      </c>
      <c r="M6211">
        <v>41.895067706334501</v>
      </c>
      <c r="N6211">
        <v>49.551951439221497</v>
      </c>
      <c r="O6211">
        <v>49.123052370691703</v>
      </c>
      <c r="P6211">
        <v>-0.18814345861690299</v>
      </c>
      <c r="Q6211">
        <v>0.117589199990948</v>
      </c>
      <c r="R6211">
        <v>0.97311413096735599</v>
      </c>
      <c r="S6211" t="s">
        <v>12613</v>
      </c>
      <c r="T6211" t="s">
        <v>12802</v>
      </c>
      <c r="U6211" t="s">
        <v>12802</v>
      </c>
      <c r="V6211" t="s">
        <v>12802</v>
      </c>
      <c r="W6211" t="s">
        <v>18939</v>
      </c>
      <c r="X6211">
        <v>1</v>
      </c>
      <c r="Y6211" t="s">
        <v>25140</v>
      </c>
      <c r="Z6211" t="s">
        <v>31529</v>
      </c>
      <c r="AA6211">
        <v>0.48019594108538372</v>
      </c>
      <c r="AB6211" t="str">
        <f>HYPERLINK("Melting_Curves/meltCurve_Q9Y2P8_RCL1.pdf", "Melting_Curves/meltCurve_Q9Y2P8_RCL1.pdf")</f>
        <v>Melting_Curves/meltCurve_Q9Y2P8_RCL1.pdf</v>
      </c>
    </row>
    <row r="6212" spans="1:28" x14ac:dyDescent="0.25">
      <c r="A6212" t="s">
        <v>6216</v>
      </c>
      <c r="B6212">
        <v>0.99542014353169495</v>
      </c>
      <c r="C6212">
        <v>1.0434930205036399</v>
      </c>
      <c r="D6212">
        <v>1.03119368250768</v>
      </c>
      <c r="E6212">
        <v>1.0197921076065</v>
      </c>
      <c r="F6212">
        <v>0.74318416372954399</v>
      </c>
      <c r="G6212">
        <v>0.27377032585511202</v>
      </c>
      <c r="H6212">
        <v>7.1928658363902095E-2</v>
      </c>
      <c r="I6212">
        <v>5.0459096139099102E-2</v>
      </c>
      <c r="J6212">
        <v>6.3612014657995194E-2</v>
      </c>
      <c r="K6212">
        <v>5.5073000596075498E-2</v>
      </c>
      <c r="L6212">
        <v>1743.0996972713101</v>
      </c>
      <c r="M6212">
        <v>33.658720232165699</v>
      </c>
      <c r="N6212">
        <v>51.956037132948403</v>
      </c>
      <c r="O6212">
        <v>51.605684481878399</v>
      </c>
      <c r="P6212">
        <v>-0.154622686793741</v>
      </c>
      <c r="Q6212">
        <v>5.1731444686091102E-2</v>
      </c>
      <c r="R6212">
        <v>0.99726136321252001</v>
      </c>
      <c r="S6212" t="s">
        <v>12614</v>
      </c>
      <c r="T6212" t="s">
        <v>12802</v>
      </c>
      <c r="U6212" t="s">
        <v>12802</v>
      </c>
      <c r="V6212" t="s">
        <v>12802</v>
      </c>
      <c r="W6212" t="s">
        <v>18940</v>
      </c>
      <c r="X6212">
        <v>11</v>
      </c>
      <c r="Y6212" t="s">
        <v>25141</v>
      </c>
      <c r="Z6212" t="s">
        <v>31530</v>
      </c>
      <c r="AA6212">
        <v>0.52391841029374264</v>
      </c>
      <c r="AB6212" t="str">
        <f>HYPERLINK("Melting_Curves/meltCurve_Q9Y2Q3_GSTK1.pdf", "Melting_Curves/meltCurve_Q9Y2Q3_GSTK1.pdf")</f>
        <v>Melting_Curves/meltCurve_Q9Y2Q3_GSTK1.pdf</v>
      </c>
    </row>
    <row r="6213" spans="1:28" x14ac:dyDescent="0.25">
      <c r="A6213" t="s">
        <v>6217</v>
      </c>
      <c r="B6213">
        <v>0.99542014353169495</v>
      </c>
      <c r="C6213">
        <v>0.97941617283121196</v>
      </c>
      <c r="D6213">
        <v>0.89857579677796096</v>
      </c>
      <c r="E6213">
        <v>0.80282567769456303</v>
      </c>
      <c r="F6213">
        <v>0.60243359908859195</v>
      </c>
      <c r="G6213">
        <v>0.48730809833781102</v>
      </c>
      <c r="H6213">
        <v>0.274954656435908</v>
      </c>
      <c r="I6213">
        <v>0.28783878545705099</v>
      </c>
      <c r="J6213">
        <v>0.57110414906802998</v>
      </c>
      <c r="K6213">
        <v>0.55689702977284905</v>
      </c>
      <c r="L6213">
        <v>1029.72444570166</v>
      </c>
      <c r="M6213">
        <v>21.545672618201799</v>
      </c>
      <c r="N6213">
        <v>52.437881131508902</v>
      </c>
      <c r="O6213">
        <v>47.386641409577301</v>
      </c>
      <c r="P6213">
        <v>-6.5263880416829095E-2</v>
      </c>
      <c r="Q6213">
        <v>0.42585948293248399</v>
      </c>
      <c r="R6213">
        <v>0.85754370845864603</v>
      </c>
      <c r="S6213" t="s">
        <v>12615</v>
      </c>
      <c r="T6213" t="s">
        <v>12802</v>
      </c>
      <c r="U6213" t="s">
        <v>12802</v>
      </c>
      <c r="V6213" t="s">
        <v>12802</v>
      </c>
      <c r="W6213" t="s">
        <v>18941</v>
      </c>
      <c r="X6213">
        <v>4</v>
      </c>
      <c r="Y6213" t="s">
        <v>25142</v>
      </c>
      <c r="Z6213" t="s">
        <v>31531</v>
      </c>
      <c r="AA6213">
        <v>0.63894157792008133</v>
      </c>
      <c r="AB6213" t="str">
        <f>HYPERLINK("Melting_Curves/meltCurve_Q9Y2Q5_LAMTOR2.pdf", "Melting_Curves/meltCurve_Q9Y2Q5_LAMTOR2.pdf")</f>
        <v>Melting_Curves/meltCurve_Q9Y2Q5_LAMTOR2.pdf</v>
      </c>
    </row>
    <row r="6214" spans="1:28" x14ac:dyDescent="0.25">
      <c r="A6214" t="s">
        <v>6218</v>
      </c>
      <c r="B6214">
        <v>0.99542014353169495</v>
      </c>
      <c r="C6214">
        <v>0.97572073117797098</v>
      </c>
      <c r="D6214">
        <v>0.99446031383284506</v>
      </c>
      <c r="E6214">
        <v>1.23855915776857</v>
      </c>
      <c r="F6214">
        <v>0.78299683095650396</v>
      </c>
      <c r="G6214">
        <v>0.22367890896982101</v>
      </c>
      <c r="H6214">
        <v>9.1712281344226404E-2</v>
      </c>
      <c r="I6214">
        <v>5.84709194815499E-2</v>
      </c>
      <c r="J6214">
        <v>7.3975014222327495E-2</v>
      </c>
      <c r="K6214">
        <v>6.5921932598526994E-2</v>
      </c>
      <c r="L6214">
        <v>2318.9874079504102</v>
      </c>
      <c r="M6214">
        <v>44.863978334459802</v>
      </c>
      <c r="N6214">
        <v>51.8692976770934</v>
      </c>
      <c r="O6214">
        <v>51.586920232846197</v>
      </c>
      <c r="P6214">
        <v>-0.201745143670019</v>
      </c>
      <c r="Q6214">
        <v>7.2093414521108401E-2</v>
      </c>
      <c r="R6214">
        <v>0.97082931563038299</v>
      </c>
      <c r="S6214" t="s">
        <v>12616</v>
      </c>
      <c r="T6214" t="s">
        <v>12802</v>
      </c>
      <c r="U6214" t="s">
        <v>12802</v>
      </c>
      <c r="V6214" t="s">
        <v>12802</v>
      </c>
      <c r="W6214" t="s">
        <v>18942</v>
      </c>
      <c r="X6214">
        <v>7</v>
      </c>
      <c r="Y6214" t="s">
        <v>25143</v>
      </c>
      <c r="Z6214" t="s">
        <v>31532</v>
      </c>
      <c r="AA6214">
        <v>0.52906567401894766</v>
      </c>
      <c r="AB6214" t="str">
        <f>HYPERLINK("Melting_Curves/meltCurve_Q9Y2Q9_MRPS28.pdf", "Melting_Curves/meltCurve_Q9Y2Q9_MRPS28.pdf")</f>
        <v>Melting_Curves/meltCurve_Q9Y2Q9_MRPS28.pdf</v>
      </c>
    </row>
    <row r="6215" spans="1:28" x14ac:dyDescent="0.25">
      <c r="A6215" t="s">
        <v>6219</v>
      </c>
      <c r="B6215">
        <v>0.99542014353169495</v>
      </c>
      <c r="C6215">
        <v>0.90831081275362502</v>
      </c>
      <c r="D6215">
        <v>0.97818824888606304</v>
      </c>
      <c r="E6215">
        <v>0.73176394691347602</v>
      </c>
      <c r="F6215">
        <v>0.56966392099677399</v>
      </c>
      <c r="G6215">
        <v>0.35250905415678102</v>
      </c>
      <c r="H6215">
        <v>0.281746849247061</v>
      </c>
      <c r="I6215">
        <v>0.24507387385460799</v>
      </c>
      <c r="J6215">
        <v>0.35560744956641299</v>
      </c>
      <c r="K6215">
        <v>0.42358463144637098</v>
      </c>
      <c r="L6215">
        <v>1003.08600865829</v>
      </c>
      <c r="M6215">
        <v>20.885001044261902</v>
      </c>
      <c r="N6215">
        <v>50.477242266028497</v>
      </c>
      <c r="O6215">
        <v>47.595169276196302</v>
      </c>
      <c r="P6215">
        <v>-7.4771329149169397E-2</v>
      </c>
      <c r="Q6215">
        <v>0.31842811580722102</v>
      </c>
      <c r="R6215">
        <v>0.95601549306288203</v>
      </c>
      <c r="S6215" t="s">
        <v>12617</v>
      </c>
      <c r="T6215" t="s">
        <v>12802</v>
      </c>
      <c r="U6215" t="s">
        <v>12802</v>
      </c>
      <c r="V6215" t="s">
        <v>12802</v>
      </c>
      <c r="W6215" t="s">
        <v>18943</v>
      </c>
      <c r="X6215">
        <v>6</v>
      </c>
      <c r="Y6215" t="s">
        <v>25144</v>
      </c>
      <c r="Z6215" t="s">
        <v>31533</v>
      </c>
      <c r="AA6215">
        <v>0.57724520125159529</v>
      </c>
      <c r="AB6215" t="str">
        <f>HYPERLINK("Melting_Curves/meltCurve_Q9Y2R0_COA3.pdf", "Melting_Curves/meltCurve_Q9Y2R0_COA3.pdf")</f>
        <v>Melting_Curves/meltCurve_Q9Y2R0_COA3.pdf</v>
      </c>
    </row>
    <row r="6216" spans="1:28" x14ac:dyDescent="0.25">
      <c r="A6216" t="s">
        <v>6220</v>
      </c>
      <c r="B6216">
        <v>0.99542014353169495</v>
      </c>
      <c r="C6216">
        <v>0.97857426637907097</v>
      </c>
      <c r="D6216">
        <v>0.95152050069871597</v>
      </c>
      <c r="E6216">
        <v>0.60139190651857599</v>
      </c>
      <c r="F6216">
        <v>0.229280245985505</v>
      </c>
      <c r="G6216">
        <v>0.130974873407425</v>
      </c>
      <c r="H6216">
        <v>7.4331474952073207E-2</v>
      </c>
      <c r="I6216">
        <v>7.5835841958535502E-2</v>
      </c>
      <c r="J6216">
        <v>0.11833536082731699</v>
      </c>
      <c r="K6216">
        <v>0.143112253101701</v>
      </c>
      <c r="L6216">
        <v>1366.6779242646701</v>
      </c>
      <c r="M6216">
        <v>29.088163454575401</v>
      </c>
      <c r="N6216">
        <v>47.361910355628801</v>
      </c>
      <c r="O6216">
        <v>46.763607852737401</v>
      </c>
      <c r="P6216">
        <v>-0.13940169587030499</v>
      </c>
      <c r="Q6216">
        <v>0.10356964116754599</v>
      </c>
      <c r="R6216">
        <v>0.99719619687700101</v>
      </c>
      <c r="S6216" t="s">
        <v>12618</v>
      </c>
      <c r="T6216" t="s">
        <v>12802</v>
      </c>
      <c r="U6216" t="s">
        <v>12802</v>
      </c>
      <c r="V6216" t="s">
        <v>12802</v>
      </c>
      <c r="W6216" t="s">
        <v>18944</v>
      </c>
      <c r="X6216">
        <v>5</v>
      </c>
      <c r="Y6216" t="s">
        <v>25145</v>
      </c>
      <c r="Z6216" t="s">
        <v>31534</v>
      </c>
      <c r="AA6216">
        <v>0.4074453658132049</v>
      </c>
      <c r="AB6216" t="str">
        <f>HYPERLINK("Melting_Curves/meltCurve_Q9Y2S0_POLR1D.pdf", "Melting_Curves/meltCurve_Q9Y2S0_POLR1D.pdf")</f>
        <v>Melting_Curves/meltCurve_Q9Y2S0_POLR1D.pdf</v>
      </c>
    </row>
    <row r="6217" spans="1:28" x14ac:dyDescent="0.25">
      <c r="A6217" t="s">
        <v>6221</v>
      </c>
      <c r="B6217">
        <v>0.99542014353169495</v>
      </c>
      <c r="C6217">
        <v>1.0250057738984699</v>
      </c>
      <c r="D6217">
        <v>1.0976926369350499</v>
      </c>
      <c r="E6217">
        <v>1.00473807366558</v>
      </c>
      <c r="F6217">
        <v>0.89587984629117401</v>
      </c>
      <c r="G6217">
        <v>0.76645973531918998</v>
      </c>
      <c r="H6217">
        <v>0.64370689037959306</v>
      </c>
      <c r="I6217">
        <v>0.61038901147479896</v>
      </c>
      <c r="J6217">
        <v>0.92342157187250296</v>
      </c>
      <c r="K6217">
        <v>1.2958365725902099</v>
      </c>
      <c r="L6217">
        <v>15000</v>
      </c>
      <c r="M6217">
        <v>224.25133163202</v>
      </c>
      <c r="O6217">
        <v>66.883911817010897</v>
      </c>
      <c r="P6217">
        <v>0.419105496925678</v>
      </c>
      <c r="Q6217">
        <v>1.5</v>
      </c>
      <c r="R6217">
        <v>8.2852958174048905E-2</v>
      </c>
      <c r="S6217" t="s">
        <v>12619</v>
      </c>
      <c r="T6217" t="s">
        <v>12802</v>
      </c>
      <c r="U6217" t="s">
        <v>12802</v>
      </c>
      <c r="V6217" t="s">
        <v>12802</v>
      </c>
      <c r="W6217" t="s">
        <v>18945</v>
      </c>
      <c r="X6217">
        <v>5</v>
      </c>
      <c r="Y6217" t="s">
        <v>25146</v>
      </c>
      <c r="Z6217" t="s">
        <v>31535</v>
      </c>
      <c r="AA6217">
        <v>1.004418056303378</v>
      </c>
      <c r="AB6217" t="str">
        <f>HYPERLINK("Melting_Curves/meltCurve_Q9Y2S6_TMA7.pdf", "Melting_Curves/meltCurve_Q9Y2S6_TMA7.pdf")</f>
        <v>Melting_Curves/meltCurve_Q9Y2S6_TMA7.pdf</v>
      </c>
    </row>
    <row r="6218" spans="1:28" x14ac:dyDescent="0.25">
      <c r="A6218" t="s">
        <v>6222</v>
      </c>
      <c r="B6218">
        <v>0.99542014353169495</v>
      </c>
      <c r="C6218">
        <v>1.05007997152083</v>
      </c>
      <c r="D6218">
        <v>0.99533753794524304</v>
      </c>
      <c r="E6218">
        <v>0.85296283083497404</v>
      </c>
      <c r="F6218">
        <v>0.61163984296221496</v>
      </c>
      <c r="G6218">
        <v>0.30836807194816102</v>
      </c>
      <c r="H6218">
        <v>0.12817126564408701</v>
      </c>
      <c r="I6218">
        <v>7.7937419084604706E-2</v>
      </c>
      <c r="J6218">
        <v>7.1048477636191099E-2</v>
      </c>
      <c r="K6218">
        <v>0.100328688551586</v>
      </c>
      <c r="L6218">
        <v>1046.810209688</v>
      </c>
      <c r="M6218">
        <v>20.552661354452798</v>
      </c>
      <c r="N6218">
        <v>51.271627918893003</v>
      </c>
      <c r="O6218">
        <v>50.458239419554999</v>
      </c>
      <c r="P6218">
        <v>-9.53714017569397E-2</v>
      </c>
      <c r="Q6218">
        <v>6.3453128078356499E-2</v>
      </c>
      <c r="R6218">
        <v>0.99655796969751098</v>
      </c>
      <c r="S6218" t="s">
        <v>12620</v>
      </c>
      <c r="T6218" t="s">
        <v>12802</v>
      </c>
      <c r="U6218" t="s">
        <v>12802</v>
      </c>
      <c r="V6218" t="s">
        <v>12802</v>
      </c>
      <c r="W6218" t="s">
        <v>18946</v>
      </c>
      <c r="X6218">
        <v>19</v>
      </c>
      <c r="Y6218" t="s">
        <v>25147</v>
      </c>
      <c r="Z6218" t="s">
        <v>31536</v>
      </c>
      <c r="AA6218">
        <v>0.51013729520821438</v>
      </c>
      <c r="AB6218" t="str">
        <f>HYPERLINK("Melting_Curves/meltCurve_Q9Y2S7_POLDIP2.pdf", "Melting_Curves/meltCurve_Q9Y2S7_POLDIP2.pdf")</f>
        <v>Melting_Curves/meltCurve_Q9Y2S7_POLDIP2.pdf</v>
      </c>
    </row>
    <row r="6219" spans="1:28" x14ac:dyDescent="0.25">
      <c r="A6219" t="s">
        <v>6223</v>
      </c>
      <c r="B6219">
        <v>0.99542014353169495</v>
      </c>
      <c r="C6219">
        <v>0.89367115306225298</v>
      </c>
      <c r="D6219">
        <v>0.85866585447250798</v>
      </c>
      <c r="E6219">
        <v>0.65883743977643505</v>
      </c>
      <c r="F6219">
        <v>0.35896457907319701</v>
      </c>
      <c r="G6219">
        <v>0.140989128996724</v>
      </c>
      <c r="H6219">
        <v>8.8652055372881094E-2</v>
      </c>
      <c r="I6219">
        <v>6.3527034024302001E-2</v>
      </c>
      <c r="J6219">
        <v>7.2423800772718497E-2</v>
      </c>
      <c r="K6219">
        <v>6.9157563590874396E-2</v>
      </c>
      <c r="L6219">
        <v>780.34195305104299</v>
      </c>
      <c r="M6219">
        <v>16.2847758031625</v>
      </c>
      <c r="N6219">
        <v>48.1670571625137</v>
      </c>
      <c r="O6219">
        <v>47.213400724037598</v>
      </c>
      <c r="P6219">
        <v>-8.2760749293349103E-2</v>
      </c>
      <c r="Q6219">
        <v>4.0298922270102497E-2</v>
      </c>
      <c r="R6219">
        <v>0.99378398560333103</v>
      </c>
      <c r="S6219" t="s">
        <v>12621</v>
      </c>
      <c r="T6219" t="s">
        <v>12802</v>
      </c>
      <c r="U6219" t="s">
        <v>12802</v>
      </c>
      <c r="V6219" t="s">
        <v>12802</v>
      </c>
      <c r="W6219" t="s">
        <v>18947</v>
      </c>
      <c r="X6219">
        <v>13</v>
      </c>
      <c r="Y6219" t="s">
        <v>25148</v>
      </c>
      <c r="Z6219" t="s">
        <v>31537</v>
      </c>
      <c r="AA6219">
        <v>0.40795534341885892</v>
      </c>
      <c r="AB6219" t="str">
        <f>HYPERLINK("Melting_Curves/meltCurve_Q9Y2T2_AP3M1.pdf", "Melting_Curves/meltCurve_Q9Y2T2_AP3M1.pdf")</f>
        <v>Melting_Curves/meltCurve_Q9Y2T2_AP3M1.pdf</v>
      </c>
    </row>
    <row r="6220" spans="1:28" x14ac:dyDescent="0.25">
      <c r="A6220" t="s">
        <v>6224</v>
      </c>
      <c r="B6220">
        <v>0.99542014353169495</v>
      </c>
      <c r="C6220">
        <v>1.0880763204588799</v>
      </c>
      <c r="D6220">
        <v>0.86373733343642201</v>
      </c>
      <c r="E6220">
        <v>0.79414120533199495</v>
      </c>
      <c r="F6220">
        <v>0.57464525917349796</v>
      </c>
      <c r="G6220">
        <v>0.31038889351154197</v>
      </c>
      <c r="H6220">
        <v>0.116801476927335</v>
      </c>
      <c r="I6220">
        <v>7.3042892110037602E-2</v>
      </c>
      <c r="J6220">
        <v>3.25185255660638E-2</v>
      </c>
      <c r="K6220">
        <v>2.4406611130595501E-2</v>
      </c>
      <c r="L6220">
        <v>779.28621582549204</v>
      </c>
      <c r="M6220">
        <v>15.3259089147863</v>
      </c>
      <c r="N6220">
        <v>50.847635465459803</v>
      </c>
      <c r="O6220">
        <v>50.005501772371801</v>
      </c>
      <c r="P6220">
        <v>-7.6628209685691201E-2</v>
      </c>
      <c r="Q6220">
        <v>0</v>
      </c>
      <c r="R6220">
        <v>0.98854805244237498</v>
      </c>
      <c r="S6220" t="s">
        <v>12622</v>
      </c>
      <c r="T6220" t="s">
        <v>12802</v>
      </c>
      <c r="U6220" t="s">
        <v>12802</v>
      </c>
      <c r="V6220" t="s">
        <v>12802</v>
      </c>
      <c r="W6220" t="s">
        <v>18948</v>
      </c>
      <c r="X6220">
        <v>1</v>
      </c>
      <c r="Y6220" t="s">
        <v>25149</v>
      </c>
      <c r="Z6220" t="s">
        <v>31538</v>
      </c>
      <c r="AA6220">
        <v>0.4812722009532282</v>
      </c>
      <c r="AB6220" t="str">
        <f>HYPERLINK("Melting_Curves/meltCurve_Q9Y2U5_MAP3K2.pdf", "Melting_Curves/meltCurve_Q9Y2U5_MAP3K2.pdf")</f>
        <v>Melting_Curves/meltCurve_Q9Y2U5_MAP3K2.pdf</v>
      </c>
    </row>
    <row r="6221" spans="1:28" x14ac:dyDescent="0.25">
      <c r="A6221" t="s">
        <v>6225</v>
      </c>
      <c r="B6221">
        <v>0.99542014353169495</v>
      </c>
      <c r="C6221">
        <v>0.98221838652034599</v>
      </c>
      <c r="D6221">
        <v>0.89893660251890195</v>
      </c>
      <c r="E6221">
        <v>0.55006564343225195</v>
      </c>
      <c r="F6221">
        <v>0.148854123904793</v>
      </c>
      <c r="G6221">
        <v>9.4279174026023094E-2</v>
      </c>
      <c r="H6221">
        <v>8.9969402653414202E-2</v>
      </c>
      <c r="I6221">
        <v>7.7102813820015798E-2</v>
      </c>
      <c r="J6221">
        <v>8.36025536315535E-2</v>
      </c>
      <c r="K6221">
        <v>8.9099196641814593E-2</v>
      </c>
      <c r="L6221">
        <v>1371.47706290058</v>
      </c>
      <c r="M6221">
        <v>29.4646576832757</v>
      </c>
      <c r="N6221">
        <v>46.820105330191502</v>
      </c>
      <c r="O6221">
        <v>46.333686435946298</v>
      </c>
      <c r="P6221">
        <v>-0.14640980674668699</v>
      </c>
      <c r="Q6221">
        <v>7.90785870407264E-2</v>
      </c>
      <c r="R6221">
        <v>0.99863093371622402</v>
      </c>
      <c r="S6221" t="s">
        <v>12623</v>
      </c>
      <c r="T6221" t="s">
        <v>12802</v>
      </c>
      <c r="U6221" t="s">
        <v>12802</v>
      </c>
      <c r="V6221" t="s">
        <v>12802</v>
      </c>
      <c r="W6221" t="s">
        <v>18949</v>
      </c>
      <c r="X6221">
        <v>14</v>
      </c>
      <c r="Y6221" t="s">
        <v>25150</v>
      </c>
      <c r="Z6221" t="s">
        <v>31539</v>
      </c>
      <c r="AA6221">
        <v>0.37763621848485418</v>
      </c>
      <c r="AB6221" t="str">
        <f>HYPERLINK("Melting_Curves/meltCurve_Q9Y2U8_LEMD3.pdf", "Melting_Curves/meltCurve_Q9Y2U8_LEMD3.pdf")</f>
        <v>Melting_Curves/meltCurve_Q9Y2U8_LEMD3.pdf</v>
      </c>
    </row>
    <row r="6222" spans="1:28" x14ac:dyDescent="0.25">
      <c r="A6222" t="s">
        <v>6226</v>
      </c>
      <c r="B6222">
        <v>0.99542014353169495</v>
      </c>
      <c r="C6222">
        <v>1.03149487947393</v>
      </c>
      <c r="D6222">
        <v>0.91289628816013801</v>
      </c>
      <c r="E6222">
        <v>0.76653384103074096</v>
      </c>
      <c r="F6222">
        <v>0.60381884870204805</v>
      </c>
      <c r="G6222">
        <v>0.36408767990992902</v>
      </c>
      <c r="H6222">
        <v>0.15549045756867799</v>
      </c>
      <c r="I6222">
        <v>8.4942489997078499E-2</v>
      </c>
      <c r="J6222">
        <v>0.10069235556237099</v>
      </c>
      <c r="K6222">
        <v>0.13129285690258699</v>
      </c>
      <c r="L6222">
        <v>759.03386164805602</v>
      </c>
      <c r="M6222">
        <v>14.954767822951201</v>
      </c>
      <c r="N6222">
        <v>51.170156772468097</v>
      </c>
      <c r="O6222">
        <v>49.873689647698299</v>
      </c>
      <c r="P6222">
        <v>-7.06909968037083E-2</v>
      </c>
      <c r="Q6222">
        <v>5.7087214408359101E-2</v>
      </c>
      <c r="R6222">
        <v>0.99098402782031303</v>
      </c>
      <c r="S6222" t="s">
        <v>12624</v>
      </c>
      <c r="T6222" t="s">
        <v>12802</v>
      </c>
      <c r="U6222" t="s">
        <v>12802</v>
      </c>
      <c r="V6222" t="s">
        <v>12802</v>
      </c>
      <c r="W6222" t="s">
        <v>18950</v>
      </c>
      <c r="X6222">
        <v>7</v>
      </c>
      <c r="Y6222" t="s">
        <v>20115</v>
      </c>
      <c r="Z6222" t="s">
        <v>31540</v>
      </c>
      <c r="AA6222">
        <v>0.50867804584603971</v>
      </c>
      <c r="AB6222" t="str">
        <f>HYPERLINK("Melting_Curves/meltCurve_Q9Y2V2_CARHSP1.pdf", "Melting_Curves/meltCurve_Q9Y2V2_CARHSP1.pdf")</f>
        <v>Melting_Curves/meltCurve_Q9Y2V2_CARHSP1.pdf</v>
      </c>
    </row>
    <row r="6223" spans="1:28" x14ac:dyDescent="0.25">
      <c r="A6223" t="s">
        <v>6227</v>
      </c>
      <c r="B6223">
        <v>0.99542014353169495</v>
      </c>
      <c r="C6223">
        <v>0.801127791898952</v>
      </c>
      <c r="D6223">
        <v>0.62224363951282802</v>
      </c>
      <c r="E6223">
        <v>0.31601709864546401</v>
      </c>
      <c r="F6223">
        <v>0.182825749807219</v>
      </c>
      <c r="G6223">
        <v>9.4930635945722E-2</v>
      </c>
      <c r="H6223">
        <v>5.9380876123909299E-2</v>
      </c>
      <c r="I6223">
        <v>3.6588384410931499E-2</v>
      </c>
      <c r="J6223">
        <v>3.1643110859368599E-2</v>
      </c>
      <c r="K6223">
        <v>4.05744720474637E-2</v>
      </c>
      <c r="L6223">
        <v>658.45644082424599</v>
      </c>
      <c r="M6223">
        <v>14.924782361871401</v>
      </c>
      <c r="N6223">
        <v>44.2986785216589</v>
      </c>
      <c r="O6223">
        <v>43.3490152584531</v>
      </c>
      <c r="P6223">
        <v>-8.3544851957332605E-2</v>
      </c>
      <c r="Q6223">
        <v>2.9476608059109101E-2</v>
      </c>
      <c r="R6223">
        <v>0.99636617300258001</v>
      </c>
      <c r="S6223" t="s">
        <v>12625</v>
      </c>
      <c r="T6223" t="s">
        <v>12802</v>
      </c>
      <c r="U6223" t="s">
        <v>12802</v>
      </c>
      <c r="V6223" t="s">
        <v>12802</v>
      </c>
      <c r="W6223" t="s">
        <v>18951</v>
      </c>
      <c r="X6223">
        <v>3</v>
      </c>
      <c r="Y6223" t="s">
        <v>25151</v>
      </c>
      <c r="Z6223" t="s">
        <v>31541</v>
      </c>
      <c r="AA6223">
        <v>0.28397310616283722</v>
      </c>
      <c r="AB6223" t="str">
        <f>HYPERLINK("Melting_Curves/meltCurve_Q9Y2V7_2_COG6.pdf", "Melting_Curves/meltCurve_Q9Y2V7_2_COG6.pdf")</f>
        <v>Melting_Curves/meltCurve_Q9Y2V7_2_COG6.pdf</v>
      </c>
    </row>
    <row r="6224" spans="1:28" x14ac:dyDescent="0.25">
      <c r="A6224" t="s">
        <v>6228</v>
      </c>
      <c r="B6224">
        <v>0.99542014353169495</v>
      </c>
      <c r="C6224">
        <v>0.90065399891582298</v>
      </c>
      <c r="D6224">
        <v>0.96741620505856696</v>
      </c>
      <c r="E6224">
        <v>0.72150146694068196</v>
      </c>
      <c r="F6224">
        <v>0.49263482358260802</v>
      </c>
      <c r="G6224">
        <v>0.250682004093921</v>
      </c>
      <c r="H6224">
        <v>0.17417585322954299</v>
      </c>
      <c r="I6224">
        <v>0.13763964501013701</v>
      </c>
      <c r="J6224">
        <v>0.275338442496532</v>
      </c>
      <c r="K6224">
        <v>0.37381144917640402</v>
      </c>
      <c r="L6224">
        <v>1101.1594519928601</v>
      </c>
      <c r="M6224">
        <v>22.926105879527999</v>
      </c>
      <c r="N6224">
        <v>49.373743809809703</v>
      </c>
      <c r="O6224">
        <v>47.669857939561297</v>
      </c>
      <c r="P6224">
        <v>-9.2342916629819194E-2</v>
      </c>
      <c r="Q6224">
        <v>0.231986475780325</v>
      </c>
      <c r="R6224">
        <v>0.95042613676921595</v>
      </c>
      <c r="S6224" t="s">
        <v>12626</v>
      </c>
      <c r="T6224" t="s">
        <v>12802</v>
      </c>
      <c r="U6224" t="s">
        <v>12802</v>
      </c>
      <c r="V6224" t="s">
        <v>12802</v>
      </c>
      <c r="W6224" t="s">
        <v>18952</v>
      </c>
      <c r="X6224">
        <v>17</v>
      </c>
      <c r="Y6224" t="s">
        <v>25152</v>
      </c>
      <c r="Z6224" t="s">
        <v>31542</v>
      </c>
      <c r="AA6224">
        <v>0.52214233670524235</v>
      </c>
      <c r="AB6224" t="str">
        <f>HYPERLINK("Melting_Curves/meltCurve_Q9Y2W1_THRAP3.pdf", "Melting_Curves/meltCurve_Q9Y2W1_THRAP3.pdf")</f>
        <v>Melting_Curves/meltCurve_Q9Y2W1_THRAP3.pdf</v>
      </c>
    </row>
    <row r="6225" spans="1:28" x14ac:dyDescent="0.25">
      <c r="A6225" t="s">
        <v>6229</v>
      </c>
      <c r="B6225">
        <v>0.99542014353169495</v>
      </c>
      <c r="C6225">
        <v>0.89112550859019302</v>
      </c>
      <c r="D6225">
        <v>0.87741412650202</v>
      </c>
      <c r="E6225">
        <v>0.74062376942672903</v>
      </c>
      <c r="F6225">
        <v>0.57872412636053705</v>
      </c>
      <c r="G6225">
        <v>0.377733793587404</v>
      </c>
      <c r="H6225">
        <v>0.116035653838982</v>
      </c>
      <c r="I6225">
        <v>8.7563669754356102E-2</v>
      </c>
      <c r="J6225">
        <v>5.0022145765200698E-2</v>
      </c>
      <c r="K6225">
        <v>5.4066069906909202E-2</v>
      </c>
      <c r="L6225">
        <v>638.40581701632402</v>
      </c>
      <c r="M6225">
        <v>12.5757638643418</v>
      </c>
      <c r="N6225">
        <v>50.764775927500999</v>
      </c>
      <c r="O6225">
        <v>49.532433427739697</v>
      </c>
      <c r="P6225">
        <v>-6.3485127819351603E-2</v>
      </c>
      <c r="Q6225">
        <v>0</v>
      </c>
      <c r="R6225">
        <v>0.98691657136968403</v>
      </c>
      <c r="S6225" t="s">
        <v>12627</v>
      </c>
      <c r="T6225" t="s">
        <v>12802</v>
      </c>
      <c r="U6225" t="s">
        <v>12802</v>
      </c>
      <c r="V6225" t="s">
        <v>12802</v>
      </c>
      <c r="W6225" t="s">
        <v>18953</v>
      </c>
      <c r="X6225">
        <v>14</v>
      </c>
      <c r="Y6225" t="s">
        <v>25153</v>
      </c>
      <c r="Z6225" t="s">
        <v>31543</v>
      </c>
      <c r="AA6225">
        <v>0.48404910701592629</v>
      </c>
      <c r="AB6225" t="str">
        <f>HYPERLINK("Melting_Curves/meltCurve_Q9Y2X3_NOP58.pdf", "Melting_Curves/meltCurve_Q9Y2X3_NOP58.pdf")</f>
        <v>Melting_Curves/meltCurve_Q9Y2X3_NOP58.pdf</v>
      </c>
    </row>
    <row r="6226" spans="1:28" x14ac:dyDescent="0.25">
      <c r="A6226" t="s">
        <v>6230</v>
      </c>
      <c r="B6226">
        <v>0.99542014353169495</v>
      </c>
      <c r="C6226">
        <v>0.91798844476358399</v>
      </c>
      <c r="D6226">
        <v>0.90424866091436495</v>
      </c>
      <c r="E6226">
        <v>0.78095487593582902</v>
      </c>
      <c r="F6226">
        <v>0.66858557952705799</v>
      </c>
      <c r="G6226">
        <v>0.83390151927316003</v>
      </c>
      <c r="H6226">
        <v>0.72469962185480297</v>
      </c>
      <c r="I6226">
        <v>0.43830072313480101</v>
      </c>
      <c r="J6226">
        <v>0.37297254567577098</v>
      </c>
      <c r="K6226">
        <v>0.40485926220444302</v>
      </c>
      <c r="L6226">
        <v>326.47648456207702</v>
      </c>
      <c r="M6226">
        <v>5.2963324862823002</v>
      </c>
      <c r="N6226">
        <v>61.642002079303303</v>
      </c>
      <c r="O6226">
        <v>54.497668336772101</v>
      </c>
      <c r="P6226">
        <v>-2.4418215345535801E-2</v>
      </c>
      <c r="Q6226">
        <v>0</v>
      </c>
      <c r="R6226">
        <v>0.85685743686992599</v>
      </c>
      <c r="S6226" t="s">
        <v>12628</v>
      </c>
      <c r="T6226" t="s">
        <v>12802</v>
      </c>
      <c r="U6226" t="s">
        <v>12802</v>
      </c>
      <c r="V6226" t="s">
        <v>12802</v>
      </c>
      <c r="W6226" t="s">
        <v>18954</v>
      </c>
      <c r="X6226">
        <v>3</v>
      </c>
      <c r="Y6226" t="s">
        <v>25154</v>
      </c>
      <c r="Z6226" t="s">
        <v>31544</v>
      </c>
      <c r="AA6226">
        <v>0.71258780980380676</v>
      </c>
      <c r="AB6226" t="str">
        <f>HYPERLINK("Melting_Curves/meltCurve_Q9Y2Y1_POLR3K.pdf", "Melting_Curves/meltCurve_Q9Y2Y1_POLR3K.pdf")</f>
        <v>Melting_Curves/meltCurve_Q9Y2Y1_POLR3K.pdf</v>
      </c>
    </row>
    <row r="6227" spans="1:28" x14ac:dyDescent="0.25">
      <c r="A6227" t="s">
        <v>6231</v>
      </c>
      <c r="B6227">
        <v>0.99542014353169495</v>
      </c>
      <c r="C6227">
        <v>1.0047584236517899</v>
      </c>
      <c r="D6227">
        <v>1.0254752054227301</v>
      </c>
      <c r="E6227">
        <v>0.88015639327153405</v>
      </c>
      <c r="F6227">
        <v>0.57313264545355103</v>
      </c>
      <c r="G6227">
        <v>0.28362718281653299</v>
      </c>
      <c r="H6227">
        <v>7.5498206230650997E-2</v>
      </c>
      <c r="I6227">
        <v>4.6395418759949202E-2</v>
      </c>
      <c r="J6227">
        <v>5.3637634928472698E-2</v>
      </c>
      <c r="K6227">
        <v>5.6374763114953999E-2</v>
      </c>
      <c r="L6227">
        <v>1131.29505593009</v>
      </c>
      <c r="M6227">
        <v>22.256435338903898</v>
      </c>
      <c r="N6227">
        <v>51.002181758013798</v>
      </c>
      <c r="O6227">
        <v>50.425021813695899</v>
      </c>
      <c r="P6227">
        <v>-0.10635365516616301</v>
      </c>
      <c r="Q6227">
        <v>3.6185477789823201E-2</v>
      </c>
      <c r="R6227">
        <v>0.99756018639855104</v>
      </c>
      <c r="S6227" t="s">
        <v>12629</v>
      </c>
      <c r="T6227" t="s">
        <v>12802</v>
      </c>
      <c r="U6227" t="s">
        <v>12802</v>
      </c>
      <c r="V6227" t="s">
        <v>12802</v>
      </c>
      <c r="W6227" t="s">
        <v>18955</v>
      </c>
      <c r="X6227">
        <v>18</v>
      </c>
      <c r="Y6227" t="s">
        <v>25155</v>
      </c>
      <c r="Z6227" t="s">
        <v>31545</v>
      </c>
      <c r="AA6227">
        <v>0.49100558145549589</v>
      </c>
      <c r="AB6227" t="str">
        <f>HYPERLINK("Melting_Curves/meltCurve_Q9Y2Z0_2_SUGT1.pdf", "Melting_Curves/meltCurve_Q9Y2Z0_2_SUGT1.pdf")</f>
        <v>Melting_Curves/meltCurve_Q9Y2Z0_2_SUGT1.pdf</v>
      </c>
    </row>
    <row r="6228" spans="1:28" x14ac:dyDescent="0.25">
      <c r="A6228" t="s">
        <v>6232</v>
      </c>
      <c r="B6228">
        <v>0.99542014353169495</v>
      </c>
      <c r="C6228">
        <v>0.93112103973579097</v>
      </c>
      <c r="D6228">
        <v>0.7971084266042</v>
      </c>
      <c r="E6228">
        <v>0.58912330066081098</v>
      </c>
      <c r="F6228">
        <v>0.25817898118014998</v>
      </c>
      <c r="G6228">
        <v>0.128832530157582</v>
      </c>
      <c r="H6228">
        <v>5.9685257350696297E-2</v>
      </c>
      <c r="I6228">
        <v>4.5820993152053797E-2</v>
      </c>
      <c r="J6228">
        <v>4.4962897718908802E-2</v>
      </c>
      <c r="K6228">
        <v>4.5604589290201399E-2</v>
      </c>
      <c r="L6228">
        <v>763.64964434258502</v>
      </c>
      <c r="M6228">
        <v>16.240883911120001</v>
      </c>
      <c r="N6228">
        <v>47.1614461439599</v>
      </c>
      <c r="O6228">
        <v>46.324653029523297</v>
      </c>
      <c r="P6228">
        <v>-8.5572846898547203E-2</v>
      </c>
      <c r="Q6228">
        <v>2.3737956761817301E-2</v>
      </c>
      <c r="R6228">
        <v>0.997272095345628</v>
      </c>
      <c r="S6228" t="s">
        <v>12630</v>
      </c>
      <c r="T6228" t="s">
        <v>12802</v>
      </c>
      <c r="U6228" t="s">
        <v>12802</v>
      </c>
      <c r="V6228" t="s">
        <v>12802</v>
      </c>
      <c r="W6228" t="s">
        <v>18956</v>
      </c>
      <c r="X6228">
        <v>7</v>
      </c>
      <c r="Y6228" t="s">
        <v>25156</v>
      </c>
      <c r="Z6228" t="s">
        <v>31546</v>
      </c>
      <c r="AA6228">
        <v>0.36882730437887529</v>
      </c>
      <c r="AB6228" t="str">
        <f>HYPERLINK("Melting_Curves/meltCurve_Q9Y2Z2_5_MTO1.pdf", "Melting_Curves/meltCurve_Q9Y2Z2_5_MTO1.pdf")</f>
        <v>Melting_Curves/meltCurve_Q9Y2Z2_5_MTO1.pdf</v>
      </c>
    </row>
    <row r="6229" spans="1:28" x14ac:dyDescent="0.25">
      <c r="A6229" t="s">
        <v>6233</v>
      </c>
      <c r="B6229">
        <v>0.99542014353169495</v>
      </c>
      <c r="C6229">
        <v>0.97259921807151295</v>
      </c>
      <c r="D6229">
        <v>0.89472220738310304</v>
      </c>
      <c r="E6229">
        <v>0.57449961552961304</v>
      </c>
      <c r="F6229">
        <v>0.22773523119169201</v>
      </c>
      <c r="G6229">
        <v>0.19591729315588099</v>
      </c>
      <c r="H6229">
        <v>0.13454457433949901</v>
      </c>
      <c r="I6229">
        <v>0.104573633152474</v>
      </c>
      <c r="J6229">
        <v>0.132804904234129</v>
      </c>
      <c r="K6229">
        <v>0.126572561515511</v>
      </c>
      <c r="L6229">
        <v>1139.6900624186101</v>
      </c>
      <c r="M6229">
        <v>24.457430027203301</v>
      </c>
      <c r="N6229">
        <v>47.158799896680101</v>
      </c>
      <c r="O6229">
        <v>46.290750498377399</v>
      </c>
      <c r="P6229">
        <v>-0.11544413348075901</v>
      </c>
      <c r="Q6229">
        <v>0.126005189075799</v>
      </c>
      <c r="R6229">
        <v>0.99761552012975496</v>
      </c>
      <c r="S6229" t="s">
        <v>12631</v>
      </c>
      <c r="T6229" t="s">
        <v>12802</v>
      </c>
      <c r="U6229" t="s">
        <v>12802</v>
      </c>
      <c r="V6229" t="s">
        <v>12802</v>
      </c>
      <c r="W6229" t="s">
        <v>18957</v>
      </c>
      <c r="X6229">
        <v>11</v>
      </c>
      <c r="Y6229" t="s">
        <v>25157</v>
      </c>
      <c r="Z6229" t="s">
        <v>31547</v>
      </c>
      <c r="AA6229">
        <v>0.41328251163757818</v>
      </c>
      <c r="AB6229" t="str">
        <f>HYPERLINK("Melting_Curves/meltCurve_Q9Y2Z4_YARS2.pdf", "Melting_Curves/meltCurve_Q9Y2Z4_YARS2.pdf")</f>
        <v>Melting_Curves/meltCurve_Q9Y2Z4_YARS2.pdf</v>
      </c>
    </row>
    <row r="6230" spans="1:28" x14ac:dyDescent="0.25">
      <c r="A6230" t="s">
        <v>6234</v>
      </c>
      <c r="B6230">
        <v>0.99542014353169495</v>
      </c>
      <c r="C6230">
        <v>0.94267301400070003</v>
      </c>
      <c r="D6230">
        <v>0.94915483207933704</v>
      </c>
      <c r="E6230">
        <v>0.81025164161626695</v>
      </c>
      <c r="F6230">
        <v>0.84141760464456405</v>
      </c>
      <c r="G6230">
        <v>0.53593028992979197</v>
      </c>
      <c r="H6230">
        <v>0.45368388018817202</v>
      </c>
      <c r="I6230">
        <v>0.20861972042399801</v>
      </c>
      <c r="J6230">
        <v>0.195013549706232</v>
      </c>
      <c r="K6230">
        <v>0.18673610814504801</v>
      </c>
      <c r="L6230">
        <v>602.13417644502204</v>
      </c>
      <c r="M6230">
        <v>10.940472739034201</v>
      </c>
      <c r="N6230">
        <v>55.353176295923397</v>
      </c>
      <c r="O6230">
        <v>53.294331495745098</v>
      </c>
      <c r="P6230">
        <v>-4.9785085294552597E-2</v>
      </c>
      <c r="Q6230">
        <v>3.0261618049072399E-2</v>
      </c>
      <c r="R6230">
        <v>0.97488729392802398</v>
      </c>
      <c r="S6230" t="s">
        <v>12632</v>
      </c>
      <c r="T6230" t="s">
        <v>12802</v>
      </c>
      <c r="U6230" t="s">
        <v>12802</v>
      </c>
      <c r="V6230" t="s">
        <v>12802</v>
      </c>
      <c r="W6230" t="s">
        <v>18958</v>
      </c>
      <c r="X6230">
        <v>3</v>
      </c>
      <c r="Y6230" t="s">
        <v>25158</v>
      </c>
      <c r="Z6230" t="s">
        <v>31548</v>
      </c>
      <c r="AA6230">
        <v>0.62615142519022726</v>
      </c>
      <c r="AB6230" t="str">
        <f>HYPERLINK("Melting_Curves/meltCurve_Q9Y2Z9_3_COQ6.pdf", "Melting_Curves/meltCurve_Q9Y2Z9_3_COQ6.pdf")</f>
        <v>Melting_Curves/meltCurve_Q9Y2Z9_3_COQ6.pdf</v>
      </c>
    </row>
    <row r="6231" spans="1:28" x14ac:dyDescent="0.25">
      <c r="A6231" t="s">
        <v>6235</v>
      </c>
      <c r="B6231">
        <v>0.99542014353169495</v>
      </c>
      <c r="C6231">
        <v>0.92460471587029702</v>
      </c>
      <c r="D6231">
        <v>0.93271419024537905</v>
      </c>
      <c r="E6231">
        <v>0.81092300888666902</v>
      </c>
      <c r="F6231">
        <v>0.637420406017008</v>
      </c>
      <c r="G6231">
        <v>0.39169994957373</v>
      </c>
      <c r="H6231">
        <v>0.19853585307560301</v>
      </c>
      <c r="I6231">
        <v>0.11384501453370301</v>
      </c>
      <c r="J6231">
        <v>6.5619560504948798E-2</v>
      </c>
      <c r="K6231">
        <v>6.8591828469954694E-2</v>
      </c>
      <c r="L6231">
        <v>689.33336172773204</v>
      </c>
      <c r="M6231">
        <v>13.273913692059301</v>
      </c>
      <c r="N6231">
        <v>51.9314450758432</v>
      </c>
      <c r="O6231">
        <v>50.795246662300997</v>
      </c>
      <c r="P6231">
        <v>-6.5341140780498699E-2</v>
      </c>
      <c r="Q6231">
        <v>0</v>
      </c>
      <c r="R6231">
        <v>0.99621075238366397</v>
      </c>
      <c r="S6231" t="s">
        <v>12633</v>
      </c>
      <c r="T6231" t="s">
        <v>12802</v>
      </c>
      <c r="U6231" t="s">
        <v>12802</v>
      </c>
      <c r="V6231" t="s">
        <v>12802</v>
      </c>
      <c r="W6231" t="s">
        <v>18959</v>
      </c>
      <c r="X6231">
        <v>8</v>
      </c>
      <c r="Y6231" t="s">
        <v>25159</v>
      </c>
      <c r="Z6231" t="s">
        <v>31549</v>
      </c>
      <c r="AA6231">
        <v>0.51959899432342715</v>
      </c>
      <c r="AB6231" t="str">
        <f>HYPERLINK("Melting_Curves/meltCurve_Q9Y303_AMDHD2.pdf", "Melting_Curves/meltCurve_Q9Y303_AMDHD2.pdf")</f>
        <v>Melting_Curves/meltCurve_Q9Y303_AMDHD2.pdf</v>
      </c>
    </row>
    <row r="6232" spans="1:28" x14ac:dyDescent="0.25">
      <c r="A6232" t="s">
        <v>6236</v>
      </c>
      <c r="B6232">
        <v>0.99542014353169495</v>
      </c>
      <c r="C6232">
        <v>0.90338737022899396</v>
      </c>
      <c r="D6232">
        <v>0.56996560122973305</v>
      </c>
      <c r="E6232">
        <v>0.55190514333017604</v>
      </c>
      <c r="F6232">
        <v>0.55949166271539996</v>
      </c>
      <c r="G6232">
        <v>0.15138826457622501</v>
      </c>
      <c r="H6232">
        <v>0</v>
      </c>
      <c r="I6232">
        <v>0</v>
      </c>
      <c r="J6232">
        <v>0</v>
      </c>
      <c r="K6232">
        <v>0</v>
      </c>
      <c r="L6232">
        <v>523.78051894432497</v>
      </c>
      <c r="M6232">
        <v>11.132560232004399</v>
      </c>
      <c r="N6232">
        <v>47.049421489553097</v>
      </c>
      <c r="O6232">
        <v>45.607802305787601</v>
      </c>
      <c r="P6232">
        <v>-6.10429601627984E-2</v>
      </c>
      <c r="Q6232">
        <v>0</v>
      </c>
      <c r="R6232">
        <v>0.92112094242436604</v>
      </c>
      <c r="S6232" t="s">
        <v>12634</v>
      </c>
      <c r="T6232" t="s">
        <v>12802</v>
      </c>
      <c r="U6232" t="s">
        <v>12802</v>
      </c>
      <c r="V6232" t="s">
        <v>12802</v>
      </c>
      <c r="W6232" t="s">
        <v>18960</v>
      </c>
      <c r="X6232">
        <v>8</v>
      </c>
      <c r="Y6232" t="s">
        <v>25159</v>
      </c>
      <c r="Z6232" t="s">
        <v>31550</v>
      </c>
      <c r="AA6232">
        <v>0.37179332321015762</v>
      </c>
      <c r="AB6232" t="str">
        <f>HYPERLINK("Melting_Curves/meltCurve_Q9Y303_2_AMDHD2.pdf", "Melting_Curves/meltCurve_Q9Y303_2_AMDHD2.pdf")</f>
        <v>Melting_Curves/meltCurve_Q9Y303_2_AMDHD2.pdf</v>
      </c>
    </row>
    <row r="6233" spans="1:28" x14ac:dyDescent="0.25">
      <c r="A6233" t="s">
        <v>6237</v>
      </c>
      <c r="B6233">
        <v>0.99542014353169495</v>
      </c>
      <c r="C6233">
        <v>0.95515982280016798</v>
      </c>
      <c r="D6233">
        <v>0.96476077473426003</v>
      </c>
      <c r="E6233">
        <v>0.83498339701151303</v>
      </c>
      <c r="F6233">
        <v>0.69803642487710504</v>
      </c>
      <c r="G6233">
        <v>0.19403080660113101</v>
      </c>
      <c r="H6233">
        <v>0.117268527748288</v>
      </c>
      <c r="I6233">
        <v>7.7553795588836003E-2</v>
      </c>
      <c r="J6233">
        <v>9.3606017205895606E-2</v>
      </c>
      <c r="K6233">
        <v>7.0520360071193999E-2</v>
      </c>
      <c r="L6233">
        <v>1390.60258114111</v>
      </c>
      <c r="M6233">
        <v>27.264189105942599</v>
      </c>
      <c r="N6233">
        <v>51.280859750138298</v>
      </c>
      <c r="O6233">
        <v>50.732701659931102</v>
      </c>
      <c r="P6233">
        <v>-0.12518103588597099</v>
      </c>
      <c r="Q6233">
        <v>6.8270601743177395E-2</v>
      </c>
      <c r="R6233">
        <v>0.98714136694649002</v>
      </c>
      <c r="S6233" t="s">
        <v>12635</v>
      </c>
      <c r="T6233" t="s">
        <v>12802</v>
      </c>
      <c r="U6233" t="s">
        <v>12802</v>
      </c>
      <c r="V6233" t="s">
        <v>12802</v>
      </c>
      <c r="W6233" t="s">
        <v>18961</v>
      </c>
      <c r="X6233">
        <v>12</v>
      </c>
      <c r="Y6233" t="s">
        <v>25160</v>
      </c>
      <c r="Z6233" t="s">
        <v>31551</v>
      </c>
      <c r="AA6233">
        <v>0.51020634821471833</v>
      </c>
      <c r="AB6233" t="str">
        <f>HYPERLINK("Melting_Curves/meltCurve_Q9Y305_ACOT9.pdf", "Melting_Curves/meltCurve_Q9Y305_ACOT9.pdf")</f>
        <v>Melting_Curves/meltCurve_Q9Y305_ACOT9.pdf</v>
      </c>
    </row>
    <row r="6234" spans="1:28" x14ac:dyDescent="0.25">
      <c r="A6234" t="s">
        <v>6238</v>
      </c>
      <c r="B6234">
        <v>0.99542014353169495</v>
      </c>
      <c r="C6234">
        <v>1.0177982156962</v>
      </c>
      <c r="D6234">
        <v>0.98924073280349101</v>
      </c>
      <c r="E6234">
        <v>0.63723566673647503</v>
      </c>
      <c r="F6234">
        <v>0.15418247758438999</v>
      </c>
      <c r="G6234">
        <v>9.5391889087323795E-2</v>
      </c>
      <c r="H6234">
        <v>5.4583362071064997E-2</v>
      </c>
      <c r="I6234">
        <v>3.74439904794798E-2</v>
      </c>
      <c r="J6234">
        <v>4.3044348130371501E-2</v>
      </c>
      <c r="K6234">
        <v>4.0518245117462499E-2</v>
      </c>
      <c r="L6234">
        <v>1676.7096496087199</v>
      </c>
      <c r="M6234">
        <v>35.485884473050099</v>
      </c>
      <c r="N6234">
        <v>47.393045299394501</v>
      </c>
      <c r="O6234">
        <v>47.100745401687</v>
      </c>
      <c r="P6234">
        <v>-0.17878976383831199</v>
      </c>
      <c r="Q6234">
        <v>5.0765885091073597E-2</v>
      </c>
      <c r="R6234">
        <v>0.99884592973824804</v>
      </c>
      <c r="S6234" t="s">
        <v>12636</v>
      </c>
      <c r="T6234" t="s">
        <v>12802</v>
      </c>
      <c r="U6234" t="s">
        <v>12802</v>
      </c>
      <c r="V6234" t="s">
        <v>12802</v>
      </c>
      <c r="W6234" t="s">
        <v>18962</v>
      </c>
      <c r="X6234">
        <v>15</v>
      </c>
      <c r="Y6234" t="s">
        <v>25161</v>
      </c>
      <c r="Z6234" t="s">
        <v>31552</v>
      </c>
      <c r="AA6234">
        <v>0.3790375344778259</v>
      </c>
      <c r="AB6234" t="str">
        <f>HYPERLINK("Melting_Curves/meltCurve_Q9Y314_NOSIP.pdf", "Melting_Curves/meltCurve_Q9Y314_NOSIP.pdf")</f>
        <v>Melting_Curves/meltCurve_Q9Y314_NOSIP.pdf</v>
      </c>
    </row>
    <row r="6235" spans="1:28" x14ac:dyDescent="0.25">
      <c r="A6235" t="s">
        <v>6239</v>
      </c>
      <c r="B6235">
        <v>0.99542014353169495</v>
      </c>
      <c r="C6235">
        <v>0.99829913531745695</v>
      </c>
      <c r="D6235">
        <v>0.92036692208772897</v>
      </c>
      <c r="E6235">
        <v>0.86231634526038403</v>
      </c>
      <c r="F6235">
        <v>0.60353357075684699</v>
      </c>
      <c r="G6235">
        <v>0.32309065277714699</v>
      </c>
      <c r="H6235">
        <v>0.110200358916932</v>
      </c>
      <c r="I6235">
        <v>7.6867406585160794E-2</v>
      </c>
      <c r="J6235">
        <v>8.3271998637669195E-2</v>
      </c>
      <c r="K6235">
        <v>8.3231022799334406E-2</v>
      </c>
      <c r="L6235">
        <v>969.42693364938998</v>
      </c>
      <c r="M6235">
        <v>19.0187126780787</v>
      </c>
      <c r="N6235">
        <v>51.260923107441002</v>
      </c>
      <c r="O6235">
        <v>50.4187634534997</v>
      </c>
      <c r="P6235">
        <v>-8.9518615555431294E-2</v>
      </c>
      <c r="Q6235">
        <v>5.0779355192813701E-2</v>
      </c>
      <c r="R6235">
        <v>0.99621944750626601</v>
      </c>
      <c r="S6235" t="s">
        <v>12637</v>
      </c>
      <c r="T6235" t="s">
        <v>12802</v>
      </c>
      <c r="U6235" t="s">
        <v>12802</v>
      </c>
      <c r="V6235" t="s">
        <v>12802</v>
      </c>
      <c r="W6235" t="s">
        <v>18963</v>
      </c>
      <c r="X6235">
        <v>8</v>
      </c>
      <c r="Y6235" t="s">
        <v>25162</v>
      </c>
      <c r="Z6235" t="s">
        <v>31553</v>
      </c>
      <c r="AA6235">
        <v>0.50637259321043959</v>
      </c>
      <c r="AB6235" t="str">
        <f>HYPERLINK("Melting_Curves/meltCurve_Q9Y316_MEMO1.pdf", "Melting_Curves/meltCurve_Q9Y316_MEMO1.pdf")</f>
        <v>Melting_Curves/meltCurve_Q9Y316_MEMO1.pdf</v>
      </c>
    </row>
    <row r="6236" spans="1:28" x14ac:dyDescent="0.25">
      <c r="A6236" t="s">
        <v>6240</v>
      </c>
      <c r="B6236">
        <v>0.99542014353169495</v>
      </c>
      <c r="C6236">
        <v>0.83558768340237599</v>
      </c>
      <c r="D6236">
        <v>0.82201264998437895</v>
      </c>
      <c r="E6236">
        <v>0.62696489861775095</v>
      </c>
      <c r="F6236">
        <v>0.57258787646957798</v>
      </c>
      <c r="G6236">
        <v>0.31430872061766901</v>
      </c>
      <c r="H6236">
        <v>0.113227366773146</v>
      </c>
      <c r="I6236">
        <v>5.6311003447329901E-2</v>
      </c>
      <c r="J6236">
        <v>6.1248559279274799E-2</v>
      </c>
      <c r="K6236">
        <v>6.2508756390588102E-2</v>
      </c>
      <c r="L6236">
        <v>534.17756068176698</v>
      </c>
      <c r="M6236">
        <v>10.801133604038601</v>
      </c>
      <c r="N6236">
        <v>49.455686277464302</v>
      </c>
      <c r="O6236">
        <v>47.8509748190829</v>
      </c>
      <c r="P6236">
        <v>-5.6451529337825601E-2</v>
      </c>
      <c r="Q6236">
        <v>0</v>
      </c>
      <c r="R6236">
        <v>0.973520932630905</v>
      </c>
      <c r="S6236" t="s">
        <v>12638</v>
      </c>
      <c r="T6236" t="s">
        <v>12802</v>
      </c>
      <c r="U6236" t="s">
        <v>12802</v>
      </c>
      <c r="V6236" t="s">
        <v>12802</v>
      </c>
      <c r="W6236" t="s">
        <v>18964</v>
      </c>
      <c r="X6236">
        <v>9</v>
      </c>
      <c r="Y6236" t="s">
        <v>25163</v>
      </c>
      <c r="Z6236" t="s">
        <v>31554</v>
      </c>
      <c r="AA6236">
        <v>0.44802105507108492</v>
      </c>
      <c r="AB6236" t="str">
        <f>HYPERLINK("Melting_Curves/meltCurve_Q9Y320_2_TMX2.pdf", "Melting_Curves/meltCurve_Q9Y320_2_TMX2.pdf")</f>
        <v>Melting_Curves/meltCurve_Q9Y320_2_TMX2.pdf</v>
      </c>
    </row>
    <row r="6237" spans="1:28" x14ac:dyDescent="0.25">
      <c r="A6237" t="s">
        <v>6241</v>
      </c>
      <c r="B6237">
        <v>0.99542014353169495</v>
      </c>
      <c r="C6237">
        <v>1.0600513791466599</v>
      </c>
      <c r="D6237">
        <v>0.91830989548891595</v>
      </c>
      <c r="E6237">
        <v>0.99774146251102902</v>
      </c>
      <c r="F6237">
        <v>0.89784791328829305</v>
      </c>
      <c r="G6237">
        <v>0.83896889311419098</v>
      </c>
      <c r="H6237">
        <v>0.67575700931869298</v>
      </c>
      <c r="I6237">
        <v>0.66886293636192495</v>
      </c>
      <c r="J6237">
        <v>0.94412020389131301</v>
      </c>
      <c r="K6237">
        <v>1.1363724154339701</v>
      </c>
      <c r="L6237">
        <v>12508.881288172401</v>
      </c>
      <c r="M6237">
        <v>250</v>
      </c>
      <c r="O6237">
        <v>50.0323238900448</v>
      </c>
      <c r="P6237">
        <v>-0.18386077683016699</v>
      </c>
      <c r="Q6237">
        <v>0.85281629117715096</v>
      </c>
      <c r="R6237">
        <v>0.20981563823195801</v>
      </c>
      <c r="S6237" t="s">
        <v>12639</v>
      </c>
      <c r="T6237" t="s">
        <v>12802</v>
      </c>
      <c r="U6237" t="s">
        <v>12802</v>
      </c>
      <c r="V6237" t="s">
        <v>12802</v>
      </c>
      <c r="W6237" t="s">
        <v>18965</v>
      </c>
      <c r="X6237">
        <v>9</v>
      </c>
      <c r="Y6237" t="s">
        <v>25164</v>
      </c>
      <c r="Z6237" t="s">
        <v>31555</v>
      </c>
      <c r="AA6237">
        <v>0.91678311355694087</v>
      </c>
      <c r="AB6237" t="str">
        <f>HYPERLINK("Melting_Curves/meltCurve_Q9Y333_LSM2.pdf", "Melting_Curves/meltCurve_Q9Y333_LSM2.pdf")</f>
        <v>Melting_Curves/meltCurve_Q9Y333_LSM2.pdf</v>
      </c>
    </row>
    <row r="6238" spans="1:28" x14ac:dyDescent="0.25">
      <c r="A6238" t="s">
        <v>6242</v>
      </c>
      <c r="B6238">
        <v>0.99542014353169495</v>
      </c>
      <c r="C6238">
        <v>1.0281019940407401</v>
      </c>
      <c r="D6238">
        <v>0.92076127440780597</v>
      </c>
      <c r="E6238">
        <v>0.44580715777796298</v>
      </c>
      <c r="F6238">
        <v>0.133074791892005</v>
      </c>
      <c r="G6238">
        <v>8.0076102077859104E-2</v>
      </c>
      <c r="H6238">
        <v>4.4201220139442401E-2</v>
      </c>
      <c r="I6238">
        <v>3.35575945705286E-2</v>
      </c>
      <c r="J6238">
        <v>4.97651976245903E-2</v>
      </c>
      <c r="K6238">
        <v>4.1581600866076603E-2</v>
      </c>
      <c r="L6238">
        <v>1446.2184658915501</v>
      </c>
      <c r="M6238">
        <v>31.332849635134</v>
      </c>
      <c r="N6238">
        <v>46.308499777737403</v>
      </c>
      <c r="O6238">
        <v>45.969829582400102</v>
      </c>
      <c r="P6238">
        <v>-0.162079769836798</v>
      </c>
      <c r="Q6238">
        <v>4.88272112652696E-2</v>
      </c>
      <c r="R6238">
        <v>0.99864200150466198</v>
      </c>
      <c r="S6238" t="s">
        <v>12640</v>
      </c>
      <c r="T6238" t="s">
        <v>12802</v>
      </c>
      <c r="U6238" t="s">
        <v>12802</v>
      </c>
      <c r="V6238" t="s">
        <v>12802</v>
      </c>
      <c r="W6238" t="s">
        <v>18966</v>
      </c>
      <c r="X6238">
        <v>10</v>
      </c>
      <c r="Y6238" t="s">
        <v>25165</v>
      </c>
      <c r="Z6238" t="s">
        <v>31556</v>
      </c>
      <c r="AA6238">
        <v>0.34412607900718328</v>
      </c>
      <c r="AB6238" t="str">
        <f>HYPERLINK("Melting_Curves/meltCurve_Q9Y371_SH3GLB1.pdf", "Melting_Curves/meltCurve_Q9Y371_SH3GLB1.pdf")</f>
        <v>Melting_Curves/meltCurve_Q9Y371_SH3GLB1.pdf</v>
      </c>
    </row>
    <row r="6239" spans="1:28" x14ac:dyDescent="0.25">
      <c r="A6239" t="s">
        <v>6243</v>
      </c>
      <c r="B6239">
        <v>0.99542014353169495</v>
      </c>
      <c r="C6239">
        <v>0.96496056640377803</v>
      </c>
      <c r="D6239">
        <v>0.87416699632565797</v>
      </c>
      <c r="E6239">
        <v>0.62497202616768699</v>
      </c>
      <c r="F6239">
        <v>0.49040715715455102</v>
      </c>
      <c r="G6239">
        <v>0.282217324816321</v>
      </c>
      <c r="H6239">
        <v>0.20753735437261001</v>
      </c>
      <c r="I6239">
        <v>0.127191738613461</v>
      </c>
      <c r="J6239">
        <v>0.111901429012913</v>
      </c>
      <c r="K6239">
        <v>6.8248200740109996E-2</v>
      </c>
      <c r="L6239">
        <v>590.54620408405003</v>
      </c>
      <c r="M6239">
        <v>12.0291168707236</v>
      </c>
      <c r="N6239">
        <v>49.510678500796502</v>
      </c>
      <c r="O6239">
        <v>47.795345788607399</v>
      </c>
      <c r="P6239">
        <v>-5.9898775165707401E-2</v>
      </c>
      <c r="Q6239">
        <v>4.82429707002935E-2</v>
      </c>
      <c r="R6239">
        <v>0.99592527370543404</v>
      </c>
      <c r="S6239" t="s">
        <v>12641</v>
      </c>
      <c r="T6239" t="s">
        <v>12802</v>
      </c>
      <c r="U6239" t="s">
        <v>12802</v>
      </c>
      <c r="V6239" t="s">
        <v>12802</v>
      </c>
      <c r="W6239" t="s">
        <v>18967</v>
      </c>
      <c r="X6239">
        <v>3</v>
      </c>
      <c r="Y6239" t="s">
        <v>25166</v>
      </c>
      <c r="Z6239" t="s">
        <v>31557</v>
      </c>
      <c r="AA6239">
        <v>0.45994882036512841</v>
      </c>
      <c r="AB6239" t="str">
        <f>HYPERLINK("Melting_Curves/meltCurve_Q9Y375_NDUFAF1.pdf", "Melting_Curves/meltCurve_Q9Y375_NDUFAF1.pdf")</f>
        <v>Melting_Curves/meltCurve_Q9Y375_NDUFAF1.pdf</v>
      </c>
    </row>
    <row r="6240" spans="1:28" x14ac:dyDescent="0.25">
      <c r="A6240" t="s">
        <v>6244</v>
      </c>
      <c r="B6240">
        <v>0.99542014353169495</v>
      </c>
      <c r="C6240">
        <v>1.0732072556088801</v>
      </c>
      <c r="D6240">
        <v>1.0543619065312899</v>
      </c>
      <c r="E6240">
        <v>1.01634224387039</v>
      </c>
      <c r="F6240">
        <v>0.80773230821363795</v>
      </c>
      <c r="G6240">
        <v>0.67430554677589505</v>
      </c>
      <c r="H6240">
        <v>0.32807761723301399</v>
      </c>
      <c r="I6240">
        <v>8.3855967578351995E-2</v>
      </c>
      <c r="J6240">
        <v>5.6297268298081397E-2</v>
      </c>
      <c r="K6240">
        <v>5.8896052368930897E-2</v>
      </c>
      <c r="L6240">
        <v>1114.0384860905399</v>
      </c>
      <c r="M6240">
        <v>20.161094542553101</v>
      </c>
      <c r="N6240">
        <v>55.256905882302398</v>
      </c>
      <c r="O6240">
        <v>54.721825615461299</v>
      </c>
      <c r="P6240">
        <v>-9.2109153051283296E-2</v>
      </c>
      <c r="Q6240">
        <v>1.02301877282348E-5</v>
      </c>
      <c r="R6240">
        <v>0.98791435256158999</v>
      </c>
      <c r="S6240" t="s">
        <v>12642</v>
      </c>
      <c r="T6240" t="s">
        <v>12802</v>
      </c>
      <c r="U6240" t="s">
        <v>12802</v>
      </c>
      <c r="V6240" t="s">
        <v>12802</v>
      </c>
      <c r="W6240" t="s">
        <v>18968</v>
      </c>
      <c r="X6240">
        <v>19</v>
      </c>
      <c r="Y6240" t="s">
        <v>25167</v>
      </c>
      <c r="Z6240" t="s">
        <v>31558</v>
      </c>
      <c r="AA6240">
        <v>0.61957855260043915</v>
      </c>
      <c r="AB6240" t="str">
        <f>HYPERLINK("Melting_Curves/meltCurve_Q9Y376_CAB39.pdf", "Melting_Curves/meltCurve_Q9Y376_CAB39.pdf")</f>
        <v>Melting_Curves/meltCurve_Q9Y376_CAB39.pdf</v>
      </c>
    </row>
    <row r="6241" spans="1:28" x14ac:dyDescent="0.25">
      <c r="A6241" t="s">
        <v>6245</v>
      </c>
      <c r="B6241">
        <v>0.99542014353169495</v>
      </c>
      <c r="C6241">
        <v>1.0263496756166</v>
      </c>
      <c r="D6241">
        <v>0.97793166940061305</v>
      </c>
      <c r="E6241">
        <v>0.905353676151047</v>
      </c>
      <c r="F6241">
        <v>0.51436237679221297</v>
      </c>
      <c r="G6241">
        <v>0.15586723383833401</v>
      </c>
      <c r="H6241">
        <v>7.7654710111472694E-2</v>
      </c>
      <c r="I6241">
        <v>5.3804824556136201E-2</v>
      </c>
      <c r="J6241">
        <v>5.8653694763673603E-2</v>
      </c>
      <c r="K6241">
        <v>6.6983332886066893E-2</v>
      </c>
      <c r="L6241">
        <v>1503.8526839528399</v>
      </c>
      <c r="M6241">
        <v>30.033833229589199</v>
      </c>
      <c r="N6241">
        <v>50.274188361997901</v>
      </c>
      <c r="O6241">
        <v>49.851539398447102</v>
      </c>
      <c r="P6241">
        <v>-0.14204698571183999</v>
      </c>
      <c r="Q6241">
        <v>5.6901608302669097E-2</v>
      </c>
      <c r="R6241">
        <v>0.99933852925855704</v>
      </c>
      <c r="S6241" t="s">
        <v>12643</v>
      </c>
      <c r="T6241" t="s">
        <v>12802</v>
      </c>
      <c r="U6241" t="s">
        <v>12802</v>
      </c>
      <c r="V6241" t="s">
        <v>12802</v>
      </c>
      <c r="W6241" t="s">
        <v>18969</v>
      </c>
      <c r="X6241">
        <v>37</v>
      </c>
      <c r="Y6241" t="s">
        <v>25168</v>
      </c>
      <c r="Z6241" t="s">
        <v>31559</v>
      </c>
      <c r="AA6241">
        <v>0.47361996737353429</v>
      </c>
      <c r="AB6241" t="str">
        <f>HYPERLINK("Melting_Curves/meltCurve_Q9Y383_LUC7L2.pdf", "Melting_Curves/meltCurve_Q9Y383_LUC7L2.pdf")</f>
        <v>Melting_Curves/meltCurve_Q9Y383_LUC7L2.pdf</v>
      </c>
    </row>
    <row r="6242" spans="1:28" x14ac:dyDescent="0.25">
      <c r="A6242" t="s">
        <v>6246</v>
      </c>
      <c r="B6242">
        <v>0.99542014353169495</v>
      </c>
      <c r="C6242">
        <v>1.0279381744419001</v>
      </c>
      <c r="D6242">
        <v>0.98622715945379202</v>
      </c>
      <c r="E6242">
        <v>0.729419584303307</v>
      </c>
      <c r="F6242">
        <v>0.388485718050531</v>
      </c>
      <c r="G6242">
        <v>0.184104818745013</v>
      </c>
      <c r="H6242">
        <v>0.12672216557744101</v>
      </c>
      <c r="I6242">
        <v>8.5960964733497694E-2</v>
      </c>
      <c r="J6242">
        <v>5.9726081587254502E-2</v>
      </c>
      <c r="K6242">
        <v>0.101405979506987</v>
      </c>
      <c r="L6242">
        <v>1090.1569594258001</v>
      </c>
      <c r="M6242">
        <v>22.4303203796877</v>
      </c>
      <c r="N6242">
        <v>49.002034476638997</v>
      </c>
      <c r="O6242">
        <v>48.2205727424735</v>
      </c>
      <c r="P6242">
        <v>-0.106561479457896</v>
      </c>
      <c r="Q6242">
        <v>8.3677941207957907E-2</v>
      </c>
      <c r="R6242">
        <v>0.99748676369969802</v>
      </c>
      <c r="S6242" t="s">
        <v>12644</v>
      </c>
      <c r="T6242" t="s">
        <v>12802</v>
      </c>
      <c r="U6242" t="s">
        <v>12802</v>
      </c>
      <c r="V6242" t="s">
        <v>12802</v>
      </c>
      <c r="W6242" t="s">
        <v>18970</v>
      </c>
      <c r="X6242">
        <v>2</v>
      </c>
      <c r="Y6242" t="s">
        <v>25169</v>
      </c>
      <c r="Z6242" t="s">
        <v>31560</v>
      </c>
      <c r="AA6242">
        <v>0.44776597519235228</v>
      </c>
      <c r="AB6242" t="str">
        <f>HYPERLINK("Melting_Curves/meltCurve_Q9Y385_UBE2J1.pdf", "Melting_Curves/meltCurve_Q9Y385_UBE2J1.pdf")</f>
        <v>Melting_Curves/meltCurve_Q9Y385_UBE2J1.pdf</v>
      </c>
    </row>
    <row r="6243" spans="1:28" x14ac:dyDescent="0.25">
      <c r="A6243" t="s">
        <v>6247</v>
      </c>
      <c r="B6243">
        <v>0.99542014353169495</v>
      </c>
      <c r="C6243">
        <v>1.01495367200651</v>
      </c>
      <c r="D6243">
        <v>0.77654471949508497</v>
      </c>
      <c r="E6243">
        <v>0.65610140745466905</v>
      </c>
      <c r="F6243">
        <v>0.35788793434884297</v>
      </c>
      <c r="G6243">
        <v>0.22032245733182601</v>
      </c>
      <c r="H6243">
        <v>0.163709448336705</v>
      </c>
      <c r="I6243">
        <v>0.10464436216269001</v>
      </c>
      <c r="J6243">
        <v>0.17749624604394501</v>
      </c>
      <c r="K6243">
        <v>0.18084190760195401</v>
      </c>
      <c r="L6243">
        <v>782.97915130091997</v>
      </c>
      <c r="M6243">
        <v>16.619814877293599</v>
      </c>
      <c r="N6243">
        <v>48.031296983508199</v>
      </c>
      <c r="O6243">
        <v>46.444971291755202</v>
      </c>
      <c r="P6243">
        <v>-7.7268429355625196E-2</v>
      </c>
      <c r="Q6243">
        <v>0.13633508056250401</v>
      </c>
      <c r="R6243">
        <v>0.98561827977855798</v>
      </c>
      <c r="S6243" t="s">
        <v>12645</v>
      </c>
      <c r="T6243" t="s">
        <v>12802</v>
      </c>
      <c r="U6243" t="s">
        <v>12802</v>
      </c>
      <c r="V6243" t="s">
        <v>12802</v>
      </c>
      <c r="W6243" t="s">
        <v>18971</v>
      </c>
      <c r="X6243">
        <v>3</v>
      </c>
      <c r="Y6243" t="s">
        <v>25170</v>
      </c>
      <c r="Z6243" t="s">
        <v>31561</v>
      </c>
      <c r="AA6243">
        <v>0.44352122583147241</v>
      </c>
      <c r="AB6243" t="str">
        <f>HYPERLINK("Melting_Curves/meltCurve_Q9Y388_RBMX2.pdf", "Melting_Curves/meltCurve_Q9Y388_RBMX2.pdf")</f>
        <v>Melting_Curves/meltCurve_Q9Y388_RBMX2.pdf</v>
      </c>
    </row>
    <row r="6244" spans="1:28" x14ac:dyDescent="0.25">
      <c r="A6244" t="s">
        <v>6248</v>
      </c>
      <c r="B6244">
        <v>0.99542014353169495</v>
      </c>
      <c r="C6244">
        <v>0.97332198628537003</v>
      </c>
      <c r="D6244">
        <v>0.93045475365977703</v>
      </c>
      <c r="E6244">
        <v>0.88619422692707595</v>
      </c>
      <c r="F6244">
        <v>0.79373509377532303</v>
      </c>
      <c r="G6244">
        <v>0.68293264625857297</v>
      </c>
      <c r="H6244">
        <v>0.51079713338413202</v>
      </c>
      <c r="I6244">
        <v>0.44096093240675599</v>
      </c>
      <c r="J6244">
        <v>0.27005600039334299</v>
      </c>
      <c r="K6244">
        <v>0.112969696120573</v>
      </c>
      <c r="L6244">
        <v>565.59123387719103</v>
      </c>
      <c r="M6244">
        <v>9.8135256134766706</v>
      </c>
      <c r="N6244">
        <v>57.633856778545002</v>
      </c>
      <c r="O6244">
        <v>55.393578950416298</v>
      </c>
      <c r="P6244">
        <v>-4.4313144436843699E-2</v>
      </c>
      <c r="Q6244">
        <v>0</v>
      </c>
      <c r="R6244">
        <v>0.98184184523933105</v>
      </c>
      <c r="S6244" t="s">
        <v>12646</v>
      </c>
      <c r="T6244" t="s">
        <v>12802</v>
      </c>
      <c r="U6244" t="s">
        <v>12802</v>
      </c>
      <c r="V6244" t="s">
        <v>12802</v>
      </c>
      <c r="W6244" t="s">
        <v>18972</v>
      </c>
      <c r="X6244">
        <v>7</v>
      </c>
      <c r="Y6244" t="s">
        <v>25171</v>
      </c>
      <c r="Z6244" t="s">
        <v>31562</v>
      </c>
      <c r="AA6244">
        <v>0.6813294521626424</v>
      </c>
      <c r="AB6244" t="str">
        <f>HYPERLINK("Melting_Curves/meltCurve_Q9Y394_2_DHRS7.pdf", "Melting_Curves/meltCurve_Q9Y394_2_DHRS7.pdf")</f>
        <v>Melting_Curves/meltCurve_Q9Y394_2_DHRS7.pdf</v>
      </c>
    </row>
    <row r="6245" spans="1:28" x14ac:dyDescent="0.25">
      <c r="A6245" t="s">
        <v>6249</v>
      </c>
      <c r="B6245">
        <v>0.99542014353169495</v>
      </c>
      <c r="C6245">
        <v>0.94331762643318595</v>
      </c>
      <c r="D6245">
        <v>1.5196953780392</v>
      </c>
      <c r="E6245">
        <v>1.32210791635448</v>
      </c>
      <c r="F6245">
        <v>0.33861370297280802</v>
      </c>
      <c r="G6245">
        <v>0.16669094445826799</v>
      </c>
      <c r="H6245">
        <v>0.111113582318577</v>
      </c>
      <c r="I6245">
        <v>4.8766411284480699E-2</v>
      </c>
      <c r="J6245">
        <v>0</v>
      </c>
      <c r="K6245">
        <v>7.3286299393401699E-2</v>
      </c>
      <c r="L6245">
        <v>12502.867618333101</v>
      </c>
      <c r="M6245">
        <v>250</v>
      </c>
      <c r="N6245">
        <v>50.046360028196297</v>
      </c>
      <c r="O6245">
        <v>50.008267056715901</v>
      </c>
      <c r="P6245">
        <v>-1.1498455091547199</v>
      </c>
      <c r="Q6245">
        <v>7.9971444839147102E-2</v>
      </c>
      <c r="R6245">
        <v>0.87135594024735796</v>
      </c>
      <c r="S6245" t="s">
        <v>12647</v>
      </c>
      <c r="T6245" t="s">
        <v>12802</v>
      </c>
      <c r="U6245" t="s">
        <v>12802</v>
      </c>
      <c r="V6245" t="s">
        <v>12802</v>
      </c>
      <c r="W6245" t="s">
        <v>18973</v>
      </c>
      <c r="X6245">
        <v>4</v>
      </c>
      <c r="Y6245" t="s">
        <v>25172</v>
      </c>
      <c r="Z6245" t="s">
        <v>31563</v>
      </c>
      <c r="AA6245">
        <v>0.4790830078194947</v>
      </c>
      <c r="AB6245" t="str">
        <f>HYPERLINK("Melting_Curves/meltCurve_Q9Y399_MRPS2.pdf", "Melting_Curves/meltCurve_Q9Y399_MRPS2.pdf")</f>
        <v>Melting_Curves/meltCurve_Q9Y399_MRPS2.pdf</v>
      </c>
    </row>
    <row r="6246" spans="1:28" x14ac:dyDescent="0.25">
      <c r="A6246" t="s">
        <v>6250</v>
      </c>
      <c r="B6246">
        <v>0.99542014353169495</v>
      </c>
      <c r="C6246">
        <v>0.93928237453577201</v>
      </c>
      <c r="D6246">
        <v>0.96634071799650401</v>
      </c>
      <c r="E6246">
        <v>0.77641986350060599</v>
      </c>
      <c r="F6246">
        <v>0.59995103731990296</v>
      </c>
      <c r="G6246">
        <v>0.31576186250159499</v>
      </c>
      <c r="H6246">
        <v>0.14049845452890899</v>
      </c>
      <c r="I6246">
        <v>9.6032567847907299E-2</v>
      </c>
      <c r="J6246">
        <v>0.115779129732913</v>
      </c>
      <c r="K6246">
        <v>0.110780624072047</v>
      </c>
      <c r="L6246">
        <v>841.95312396549105</v>
      </c>
      <c r="M6246">
        <v>16.6720819187051</v>
      </c>
      <c r="N6246">
        <v>50.9592399074768</v>
      </c>
      <c r="O6246">
        <v>49.790981914754802</v>
      </c>
      <c r="P6246">
        <v>-7.7885695297082794E-2</v>
      </c>
      <c r="Q6246">
        <v>6.9642734518275795E-2</v>
      </c>
      <c r="R6246">
        <v>0.99330086264905404</v>
      </c>
      <c r="S6246" t="s">
        <v>12648</v>
      </c>
      <c r="T6246" t="s">
        <v>12802</v>
      </c>
      <c r="U6246" t="s">
        <v>12802</v>
      </c>
      <c r="V6246" t="s">
        <v>12802</v>
      </c>
      <c r="W6246" t="s">
        <v>18974</v>
      </c>
      <c r="X6246">
        <v>6</v>
      </c>
      <c r="Y6246" t="s">
        <v>25173</v>
      </c>
      <c r="Z6246" t="s">
        <v>31564</v>
      </c>
      <c r="AA6246">
        <v>0.50472892492078858</v>
      </c>
      <c r="AB6246" t="str">
        <f>HYPERLINK("Melting_Curves/meltCurve_Q9Y3A3_MOB4.pdf", "Melting_Curves/meltCurve_Q9Y3A3_MOB4.pdf")</f>
        <v>Melting_Curves/meltCurve_Q9Y3A3_MOB4.pdf</v>
      </c>
    </row>
    <row r="6247" spans="1:28" x14ac:dyDescent="0.25">
      <c r="A6247" t="s">
        <v>6251</v>
      </c>
      <c r="B6247">
        <v>0.99542014353169495</v>
      </c>
      <c r="C6247">
        <v>1.0103774350015899</v>
      </c>
      <c r="D6247">
        <v>0.94896642749861104</v>
      </c>
      <c r="E6247">
        <v>0.83256322993321996</v>
      </c>
      <c r="F6247">
        <v>0.34416240552792399</v>
      </c>
      <c r="G6247">
        <v>0.11223068392648899</v>
      </c>
      <c r="H6247">
        <v>6.6628199947809302E-2</v>
      </c>
      <c r="I6247">
        <v>4.3285826633754097E-2</v>
      </c>
      <c r="J6247">
        <v>4.6148275064612103E-2</v>
      </c>
      <c r="K6247">
        <v>4.57414302403263E-2</v>
      </c>
      <c r="L6247">
        <v>1451.328369203</v>
      </c>
      <c r="M6247">
        <v>29.6716301215024</v>
      </c>
      <c r="N6247">
        <v>49.076176155714499</v>
      </c>
      <c r="O6247">
        <v>48.692457179411001</v>
      </c>
      <c r="P6247">
        <v>-0.14518700659269801</v>
      </c>
      <c r="Q6247">
        <v>4.6973701216158799E-2</v>
      </c>
      <c r="R6247">
        <v>0.99905557331333805</v>
      </c>
      <c r="S6247" t="s">
        <v>12649</v>
      </c>
      <c r="T6247" t="s">
        <v>12802</v>
      </c>
      <c r="U6247" t="s">
        <v>12802</v>
      </c>
      <c r="V6247" t="s">
        <v>12802</v>
      </c>
      <c r="W6247" t="s">
        <v>18975</v>
      </c>
      <c r="X6247">
        <v>21</v>
      </c>
      <c r="Y6247" t="s">
        <v>25174</v>
      </c>
      <c r="Z6247" t="s">
        <v>31565</v>
      </c>
      <c r="AA6247">
        <v>0.43128717599213151</v>
      </c>
      <c r="AB6247" t="str">
        <f>HYPERLINK("Melting_Curves/meltCurve_Q9Y3A5_SBDS.pdf", "Melting_Curves/meltCurve_Q9Y3A5_SBDS.pdf")</f>
        <v>Melting_Curves/meltCurve_Q9Y3A5_SBDS.pdf</v>
      </c>
    </row>
    <row r="6248" spans="1:28" x14ac:dyDescent="0.25">
      <c r="A6248" t="s">
        <v>6252</v>
      </c>
      <c r="B6248">
        <v>0.99542014353169495</v>
      </c>
      <c r="C6248">
        <v>0.851150611624368</v>
      </c>
      <c r="D6248">
        <v>0.870575370124687</v>
      </c>
      <c r="E6248">
        <v>0.63906290834927404</v>
      </c>
      <c r="F6248">
        <v>0.43606538016290602</v>
      </c>
      <c r="G6248">
        <v>0.127293024197314</v>
      </c>
      <c r="H6248">
        <v>6.4467001011271993E-2</v>
      </c>
      <c r="I6248">
        <v>4.4893712988358397E-2</v>
      </c>
      <c r="J6248">
        <v>4.5193071059689303E-2</v>
      </c>
      <c r="K6248">
        <v>5.7852574738106698E-2</v>
      </c>
      <c r="L6248">
        <v>694.62096869008201</v>
      </c>
      <c r="M6248">
        <v>14.352026370511</v>
      </c>
      <c r="N6248">
        <v>48.410653765039001</v>
      </c>
      <c r="O6248">
        <v>47.488265940767803</v>
      </c>
      <c r="P6248">
        <v>-7.5432267206724593E-2</v>
      </c>
      <c r="Q6248">
        <v>1.75283330572839E-3</v>
      </c>
      <c r="R6248">
        <v>0.98436590975364702</v>
      </c>
      <c r="S6248" t="s">
        <v>12650</v>
      </c>
      <c r="T6248" t="s">
        <v>12802</v>
      </c>
      <c r="U6248" t="s">
        <v>12802</v>
      </c>
      <c r="V6248" t="s">
        <v>12802</v>
      </c>
      <c r="W6248" t="s">
        <v>18976</v>
      </c>
      <c r="X6248">
        <v>2</v>
      </c>
      <c r="Y6248" t="s">
        <v>25175</v>
      </c>
      <c r="Z6248" t="s">
        <v>31566</v>
      </c>
      <c r="AA6248">
        <v>0.40444931170568132</v>
      </c>
      <c r="AB6248" t="str">
        <f>HYPERLINK("Melting_Curves/meltCurve_Q9Y3A6_TMED5.pdf", "Melting_Curves/meltCurve_Q9Y3A6_TMED5.pdf")</f>
        <v>Melting_Curves/meltCurve_Q9Y3A6_TMED5.pdf</v>
      </c>
    </row>
    <row r="6249" spans="1:28" x14ac:dyDescent="0.25">
      <c r="A6249" t="s">
        <v>6253</v>
      </c>
      <c r="B6249">
        <v>0.99542014353169495</v>
      </c>
      <c r="C6249">
        <v>0.90790266513159601</v>
      </c>
      <c r="D6249">
        <v>0.94731967001000905</v>
      </c>
      <c r="E6249">
        <v>0.75809563736032903</v>
      </c>
      <c r="F6249">
        <v>0.668299236595849</v>
      </c>
      <c r="G6249">
        <v>0.44412255221574598</v>
      </c>
      <c r="H6249">
        <v>0.34118834979241902</v>
      </c>
      <c r="I6249">
        <v>0.14801535644161201</v>
      </c>
      <c r="J6249">
        <v>0.129456176433909</v>
      </c>
      <c r="K6249">
        <v>0.113306904909156</v>
      </c>
      <c r="L6249">
        <v>548.20706290318105</v>
      </c>
      <c r="M6249">
        <v>10.3784041333604</v>
      </c>
      <c r="N6249">
        <v>52.821900090735198</v>
      </c>
      <c r="O6249">
        <v>50.973658888130899</v>
      </c>
      <c r="P6249">
        <v>-5.0922295201521903E-2</v>
      </c>
      <c r="Q6249">
        <v>0</v>
      </c>
      <c r="R6249">
        <v>0.98940010798702305</v>
      </c>
      <c r="S6249" t="s">
        <v>12651</v>
      </c>
      <c r="T6249" t="s">
        <v>12802</v>
      </c>
      <c r="U6249" t="s">
        <v>12802</v>
      </c>
      <c r="V6249" t="s">
        <v>12802</v>
      </c>
      <c r="W6249" t="s">
        <v>18977</v>
      </c>
      <c r="X6249">
        <v>3</v>
      </c>
      <c r="Y6249" t="s">
        <v>25176</v>
      </c>
      <c r="Z6249" t="s">
        <v>31567</v>
      </c>
      <c r="AA6249">
        <v>0.55037560517403716</v>
      </c>
      <c r="AB6249" t="str">
        <f>HYPERLINK("Melting_Curves/meltCurve_Q9Y3B3_TMED7.pdf", "Melting_Curves/meltCurve_Q9Y3B3_TMED7.pdf")</f>
        <v>Melting_Curves/meltCurve_Q9Y3B3_TMED7.pdf</v>
      </c>
    </row>
    <row r="6250" spans="1:28" x14ac:dyDescent="0.25">
      <c r="A6250" t="s">
        <v>6254</v>
      </c>
      <c r="B6250">
        <v>0.99542014353169495</v>
      </c>
      <c r="C6250">
        <v>0.84052758868312205</v>
      </c>
      <c r="D6250">
        <v>0.64757823345578103</v>
      </c>
      <c r="E6250">
        <v>0.43119003862198502</v>
      </c>
      <c r="F6250">
        <v>0.21663236042665601</v>
      </c>
      <c r="G6250">
        <v>0.124198563568326</v>
      </c>
      <c r="H6250">
        <v>6.5681094844881896E-2</v>
      </c>
      <c r="I6250">
        <v>4.6147437534016698E-2</v>
      </c>
      <c r="J6250">
        <v>3.5313559001347097E-2</v>
      </c>
      <c r="K6250">
        <v>4.61854005216321E-2</v>
      </c>
      <c r="L6250">
        <v>604.16920011041202</v>
      </c>
      <c r="M6250">
        <v>13.388251615378501</v>
      </c>
      <c r="N6250">
        <v>45.274123559484103</v>
      </c>
      <c r="O6250">
        <v>44.1556976325828</v>
      </c>
      <c r="P6250">
        <v>-7.4197557113194798E-2</v>
      </c>
      <c r="Q6250">
        <v>2.1312421458507601E-2</v>
      </c>
      <c r="R6250">
        <v>0.99713127715446903</v>
      </c>
      <c r="S6250" t="s">
        <v>12652</v>
      </c>
      <c r="T6250" t="s">
        <v>12802</v>
      </c>
      <c r="U6250" t="s">
        <v>12802</v>
      </c>
      <c r="V6250" t="s">
        <v>12802</v>
      </c>
      <c r="W6250" t="s">
        <v>18978</v>
      </c>
      <c r="X6250">
        <v>4</v>
      </c>
      <c r="Y6250" t="s">
        <v>25177</v>
      </c>
      <c r="Z6250" t="s">
        <v>31568</v>
      </c>
      <c r="AA6250">
        <v>0.31532160625175631</v>
      </c>
      <c r="AB6250" t="str">
        <f>HYPERLINK("Melting_Curves/meltCurve_Q9Y3B4_SF3B14.pdf", "Melting_Curves/meltCurve_Q9Y3B4_SF3B14.pdf")</f>
        <v>Melting_Curves/meltCurve_Q9Y3B4_SF3B14.pdf</v>
      </c>
    </row>
    <row r="6251" spans="1:28" x14ac:dyDescent="0.25">
      <c r="A6251" t="s">
        <v>6255</v>
      </c>
      <c r="B6251">
        <v>0.99542014353169495</v>
      </c>
      <c r="C6251">
        <v>0.95695995459108996</v>
      </c>
      <c r="D6251">
        <v>0.98817403401393999</v>
      </c>
      <c r="E6251">
        <v>0.589972953632944</v>
      </c>
      <c r="F6251">
        <v>0.328927077191629</v>
      </c>
      <c r="G6251">
        <v>0.18924302607488999</v>
      </c>
      <c r="H6251">
        <v>0.12002438258985</v>
      </c>
      <c r="I6251">
        <v>0.100026297841201</v>
      </c>
      <c r="J6251">
        <v>9.5674542106517199E-2</v>
      </c>
      <c r="K6251">
        <v>0.116131752240077</v>
      </c>
      <c r="L6251">
        <v>1059.56108865597</v>
      </c>
      <c r="M6251">
        <v>22.3697526336653</v>
      </c>
      <c r="N6251">
        <v>47.888408258030999</v>
      </c>
      <c r="O6251">
        <v>46.9921442156284</v>
      </c>
      <c r="P6251">
        <v>-0.10612123097817</v>
      </c>
      <c r="Q6251">
        <v>0.108303091653219</v>
      </c>
      <c r="R6251">
        <v>0.99314545512070396</v>
      </c>
      <c r="S6251" t="s">
        <v>12653</v>
      </c>
      <c r="T6251" t="s">
        <v>12802</v>
      </c>
      <c r="U6251" t="s">
        <v>12802</v>
      </c>
      <c r="V6251" t="s">
        <v>12802</v>
      </c>
      <c r="W6251" t="s">
        <v>18979</v>
      </c>
      <c r="X6251">
        <v>6</v>
      </c>
      <c r="Y6251" t="s">
        <v>25178</v>
      </c>
      <c r="Z6251" t="s">
        <v>31569</v>
      </c>
      <c r="AA6251">
        <v>0.42579819654417539</v>
      </c>
      <c r="AB6251" t="str">
        <f>HYPERLINK("Melting_Curves/meltCurve_Q9Y3B7_MRPL11.pdf", "Melting_Curves/meltCurve_Q9Y3B7_MRPL11.pdf")</f>
        <v>Melting_Curves/meltCurve_Q9Y3B7_MRPL11.pdf</v>
      </c>
    </row>
    <row r="6252" spans="1:28" x14ac:dyDescent="0.25">
      <c r="A6252" t="s">
        <v>6256</v>
      </c>
      <c r="B6252">
        <v>0.99542014353169495</v>
      </c>
      <c r="C6252">
        <v>0.996698758862958</v>
      </c>
      <c r="D6252">
        <v>0.84517246184926897</v>
      </c>
      <c r="E6252">
        <v>0.84015980665390599</v>
      </c>
      <c r="F6252">
        <v>0.99864182069018004</v>
      </c>
      <c r="G6252">
        <v>1.3004904776515001</v>
      </c>
      <c r="H6252">
        <v>1.0462674338320701</v>
      </c>
      <c r="I6252">
        <v>1.01466849526615</v>
      </c>
      <c r="J6252">
        <v>1.9102137748435</v>
      </c>
      <c r="K6252">
        <v>2.54705756365989</v>
      </c>
      <c r="L6252">
        <v>15000</v>
      </c>
      <c r="M6252">
        <v>242.559411559224</v>
      </c>
      <c r="O6252">
        <v>61.836314004919203</v>
      </c>
      <c r="P6252">
        <v>0.49032556703972702</v>
      </c>
      <c r="Q6252">
        <v>1.5</v>
      </c>
      <c r="R6252">
        <v>0.48692842773204897</v>
      </c>
      <c r="S6252" t="s">
        <v>12654</v>
      </c>
      <c r="T6252" t="s">
        <v>12802</v>
      </c>
      <c r="U6252" t="s">
        <v>12802</v>
      </c>
      <c r="V6252" t="s">
        <v>12802</v>
      </c>
      <c r="W6252" t="s">
        <v>18980</v>
      </c>
      <c r="X6252">
        <v>10</v>
      </c>
      <c r="Y6252" t="s">
        <v>25179</v>
      </c>
      <c r="Z6252" t="s">
        <v>31570</v>
      </c>
      <c r="AA6252">
        <v>1.085933697512331</v>
      </c>
      <c r="AB6252" t="str">
        <f>HYPERLINK("Melting_Curves/meltCurve_Q9Y3B9_RRP15.pdf", "Melting_Curves/meltCurve_Q9Y3B9_RRP15.pdf")</f>
        <v>Melting_Curves/meltCurve_Q9Y3B9_RRP15.pdf</v>
      </c>
    </row>
    <row r="6253" spans="1:28" x14ac:dyDescent="0.25">
      <c r="A6253" t="s">
        <v>6257</v>
      </c>
      <c r="B6253">
        <v>0.99542014353169495</v>
      </c>
      <c r="C6253">
        <v>0.96357939117679203</v>
      </c>
      <c r="D6253">
        <v>1.0439341183328501</v>
      </c>
      <c r="E6253">
        <v>1.0659115351419299</v>
      </c>
      <c r="F6253">
        <v>0.86185340453903603</v>
      </c>
      <c r="G6253">
        <v>0.50962276964415998</v>
      </c>
      <c r="H6253">
        <v>0.37688969976842202</v>
      </c>
      <c r="I6253">
        <v>0.492797378405742</v>
      </c>
      <c r="J6253">
        <v>0.574004246147923</v>
      </c>
      <c r="K6253">
        <v>1.0614033929532001</v>
      </c>
      <c r="L6253">
        <v>12581.533850301001</v>
      </c>
      <c r="M6253">
        <v>250</v>
      </c>
      <c r="O6253">
        <v>50.322914858258102</v>
      </c>
      <c r="P6253">
        <v>-0.49313581514932497</v>
      </c>
      <c r="Q6253">
        <v>0.60294349420408999</v>
      </c>
      <c r="R6253">
        <v>0.57001696379084799</v>
      </c>
      <c r="S6253" t="s">
        <v>12655</v>
      </c>
      <c r="T6253" t="s">
        <v>12802</v>
      </c>
      <c r="U6253" t="s">
        <v>12802</v>
      </c>
      <c r="V6253" t="s">
        <v>12802</v>
      </c>
      <c r="W6253" t="s">
        <v>18981</v>
      </c>
      <c r="X6253">
        <v>4</v>
      </c>
      <c r="Y6253" t="s">
        <v>25180</v>
      </c>
      <c r="Z6253" t="s">
        <v>31571</v>
      </c>
      <c r="AA6253">
        <v>0.77935285480261052</v>
      </c>
      <c r="AB6253" t="str">
        <f>HYPERLINK("Melting_Curves/meltCurve_Q9Y3C1_NOP16.pdf", "Melting_Curves/meltCurve_Q9Y3C1_NOP16.pdf")</f>
        <v>Melting_Curves/meltCurve_Q9Y3C1_NOP16.pdf</v>
      </c>
    </row>
    <row r="6254" spans="1:28" x14ac:dyDescent="0.25">
      <c r="A6254" t="s">
        <v>6258</v>
      </c>
      <c r="B6254">
        <v>0.99542014353169495</v>
      </c>
      <c r="C6254">
        <v>1.05601372855666</v>
      </c>
      <c r="D6254">
        <v>0.88281959123300402</v>
      </c>
      <c r="E6254">
        <v>0.80213512414697097</v>
      </c>
      <c r="F6254">
        <v>0.67990939279198803</v>
      </c>
      <c r="G6254">
        <v>0.55851833056677502</v>
      </c>
      <c r="H6254">
        <v>0.28178903013116902</v>
      </c>
      <c r="I6254">
        <v>8.6248092694659995E-2</v>
      </c>
      <c r="J6254">
        <v>5.1762584274291298E-2</v>
      </c>
      <c r="K6254">
        <v>4.8090410815014903E-2</v>
      </c>
      <c r="L6254">
        <v>703.56389643806494</v>
      </c>
      <c r="M6254">
        <v>13.2252760462809</v>
      </c>
      <c r="N6254">
        <v>53.1984276600435</v>
      </c>
      <c r="O6254">
        <v>52.0262528106052</v>
      </c>
      <c r="P6254">
        <v>-6.3561477567174396E-2</v>
      </c>
      <c r="Q6254">
        <v>0</v>
      </c>
      <c r="R6254">
        <v>0.97862277579834001</v>
      </c>
      <c r="S6254" t="s">
        <v>12656</v>
      </c>
      <c r="T6254" t="s">
        <v>12802</v>
      </c>
      <c r="U6254" t="s">
        <v>12802</v>
      </c>
      <c r="V6254" t="s">
        <v>12802</v>
      </c>
      <c r="W6254" t="s">
        <v>18982</v>
      </c>
      <c r="X6254">
        <v>3</v>
      </c>
      <c r="Y6254" t="s">
        <v>25181</v>
      </c>
      <c r="Z6254" t="s">
        <v>31572</v>
      </c>
      <c r="AA6254">
        <v>0.55934440071362201</v>
      </c>
      <c r="AB6254" t="str">
        <f>HYPERLINK("Melting_Curves/meltCurve_Q9Y3C4_2_TPRKB.pdf", "Melting_Curves/meltCurve_Q9Y3C4_2_TPRKB.pdf")</f>
        <v>Melting_Curves/meltCurve_Q9Y3C4_2_TPRKB.pdf</v>
      </c>
    </row>
    <row r="6255" spans="1:28" x14ac:dyDescent="0.25">
      <c r="A6255" t="s">
        <v>6259</v>
      </c>
      <c r="B6255">
        <v>0.99542014353169495</v>
      </c>
      <c r="C6255">
        <v>0.935511515664602</v>
      </c>
      <c r="D6255">
        <v>0.87402225922607302</v>
      </c>
      <c r="E6255">
        <v>0.761785800905452</v>
      </c>
      <c r="F6255">
        <v>0.71266808060291398</v>
      </c>
      <c r="G6255">
        <v>0.60713088454661202</v>
      </c>
      <c r="H6255">
        <v>0.38688579985407401</v>
      </c>
      <c r="I6255">
        <v>0.36860460525148597</v>
      </c>
      <c r="J6255">
        <v>0.40145065244950601</v>
      </c>
      <c r="K6255">
        <v>0.410894529479366</v>
      </c>
      <c r="L6255">
        <v>492.66160291801202</v>
      </c>
      <c r="M6255">
        <v>9.7607915696450398</v>
      </c>
      <c r="N6255">
        <v>55.958971484654199</v>
      </c>
      <c r="O6255">
        <v>48.491694738353303</v>
      </c>
      <c r="P6255">
        <v>-3.4844269533099499E-2</v>
      </c>
      <c r="Q6255">
        <v>0.30794271101550102</v>
      </c>
      <c r="R6255">
        <v>0.96536820862830397</v>
      </c>
      <c r="S6255" t="s">
        <v>12657</v>
      </c>
      <c r="T6255" t="s">
        <v>12802</v>
      </c>
      <c r="U6255" t="s">
        <v>12802</v>
      </c>
      <c r="V6255" t="s">
        <v>12802</v>
      </c>
      <c r="W6255" t="s">
        <v>18983</v>
      </c>
      <c r="X6255">
        <v>3</v>
      </c>
      <c r="Y6255" t="s">
        <v>25182</v>
      </c>
      <c r="Z6255" t="s">
        <v>31573</v>
      </c>
      <c r="AA6255">
        <v>0.64159631573548781</v>
      </c>
      <c r="AB6255" t="str">
        <f>HYPERLINK("Melting_Curves/meltCurve_Q9Y3C5_RNF11.pdf", "Melting_Curves/meltCurve_Q9Y3C5_RNF11.pdf")</f>
        <v>Melting_Curves/meltCurve_Q9Y3C5_RNF11.pdf</v>
      </c>
    </row>
    <row r="6256" spans="1:28" x14ac:dyDescent="0.25">
      <c r="A6256" t="s">
        <v>6260</v>
      </c>
      <c r="B6256">
        <v>0.99542014353169495</v>
      </c>
      <c r="C6256">
        <v>1.0790403935860999</v>
      </c>
      <c r="D6256">
        <v>1.04519049804968</v>
      </c>
      <c r="E6256">
        <v>0.71614066915039598</v>
      </c>
      <c r="F6256">
        <v>0.333480239440896</v>
      </c>
      <c r="G6256">
        <v>0.191372614431469</v>
      </c>
      <c r="H6256">
        <v>9.7065059571056794E-2</v>
      </c>
      <c r="I6256">
        <v>5.1421986545248002E-2</v>
      </c>
      <c r="J6256">
        <v>5.62872388453022E-2</v>
      </c>
      <c r="K6256">
        <v>5.13905514503879E-2</v>
      </c>
      <c r="L6256">
        <v>1194.71333562522</v>
      </c>
      <c r="M6256">
        <v>24.661799973955301</v>
      </c>
      <c r="N6256">
        <v>48.723928110652999</v>
      </c>
      <c r="O6256">
        <v>48.128704082499901</v>
      </c>
      <c r="P6256">
        <v>-0.11963953671050399</v>
      </c>
      <c r="Q6256">
        <v>6.60832460275248E-2</v>
      </c>
      <c r="R6256">
        <v>0.98959517536777397</v>
      </c>
      <c r="S6256" t="s">
        <v>12658</v>
      </c>
      <c r="T6256" t="s">
        <v>12802</v>
      </c>
      <c r="U6256" t="s">
        <v>12802</v>
      </c>
      <c r="V6256" t="s">
        <v>12802</v>
      </c>
      <c r="W6256" t="s">
        <v>18984</v>
      </c>
      <c r="X6256">
        <v>8</v>
      </c>
      <c r="Y6256" t="s">
        <v>25183</v>
      </c>
      <c r="Z6256" t="s">
        <v>31574</v>
      </c>
      <c r="AA6256">
        <v>0.43056376197562629</v>
      </c>
      <c r="AB6256" t="str">
        <f>HYPERLINK("Melting_Curves/meltCurve_Q9Y3C6_PPIL1.pdf", "Melting_Curves/meltCurve_Q9Y3C6_PPIL1.pdf")</f>
        <v>Melting_Curves/meltCurve_Q9Y3C6_PPIL1.pdf</v>
      </c>
    </row>
    <row r="6257" spans="1:28" x14ac:dyDescent="0.25">
      <c r="A6257" t="s">
        <v>6261</v>
      </c>
      <c r="B6257">
        <v>0.99542014353169495</v>
      </c>
      <c r="C6257">
        <v>1.01847006476335</v>
      </c>
      <c r="D6257">
        <v>1.00285571773132</v>
      </c>
      <c r="E6257">
        <v>1.0202291793976499</v>
      </c>
      <c r="F6257">
        <v>0.83329576273627304</v>
      </c>
      <c r="G6257">
        <v>0.73329869139547998</v>
      </c>
      <c r="H6257">
        <v>0.45254977421293902</v>
      </c>
      <c r="I6257">
        <v>0.24099808874624501</v>
      </c>
      <c r="J6257">
        <v>0.114939298467928</v>
      </c>
      <c r="K6257">
        <v>9.4118525986697996E-2</v>
      </c>
      <c r="L6257">
        <v>919.45402354715304</v>
      </c>
      <c r="M6257">
        <v>16.2130628902583</v>
      </c>
      <c r="N6257">
        <v>56.718068549321202</v>
      </c>
      <c r="O6257">
        <v>55.8689872696877</v>
      </c>
      <c r="P6257">
        <v>-7.2478466424660701E-2</v>
      </c>
      <c r="Q6257">
        <v>1.05309230971442E-3</v>
      </c>
      <c r="R6257">
        <v>0.99439242808239203</v>
      </c>
      <c r="S6257" t="s">
        <v>12659</v>
      </c>
      <c r="T6257" t="s">
        <v>12802</v>
      </c>
      <c r="U6257" t="s">
        <v>12802</v>
      </c>
      <c r="V6257" t="s">
        <v>12802</v>
      </c>
      <c r="W6257" t="s">
        <v>18985</v>
      </c>
      <c r="X6257">
        <v>10</v>
      </c>
      <c r="Y6257" t="s">
        <v>25184</v>
      </c>
      <c r="Z6257" t="s">
        <v>31575</v>
      </c>
      <c r="AA6257">
        <v>0.66694988040475911</v>
      </c>
      <c r="AB6257" t="str">
        <f>HYPERLINK("Melting_Curves/meltCurve_Q9Y3C8_UFC1.pdf", "Melting_Curves/meltCurve_Q9Y3C8_UFC1.pdf")</f>
        <v>Melting_Curves/meltCurve_Q9Y3C8_UFC1.pdf</v>
      </c>
    </row>
    <row r="6258" spans="1:28" x14ac:dyDescent="0.25">
      <c r="A6258" t="s">
        <v>6262</v>
      </c>
      <c r="B6258">
        <v>0.99542014353169495</v>
      </c>
      <c r="C6258">
        <v>0.84181707961211405</v>
      </c>
      <c r="D6258">
        <v>0.83608490063604302</v>
      </c>
      <c r="E6258">
        <v>0.52615805241249203</v>
      </c>
      <c r="F6258">
        <v>0.24235158899464099</v>
      </c>
      <c r="G6258">
        <v>0.160098182945315</v>
      </c>
      <c r="H6258">
        <v>0.11730492117743101</v>
      </c>
      <c r="I6258">
        <v>8.89627427842858E-2</v>
      </c>
      <c r="J6258">
        <v>9.73803127847373E-2</v>
      </c>
      <c r="K6258">
        <v>0.102673231115445</v>
      </c>
      <c r="L6258">
        <v>771.52426981080998</v>
      </c>
      <c r="M6258">
        <v>16.694693159659199</v>
      </c>
      <c r="N6258">
        <v>46.714366991320396</v>
      </c>
      <c r="O6258">
        <v>45.565938257707998</v>
      </c>
      <c r="P6258">
        <v>-8.4099257526180402E-2</v>
      </c>
      <c r="Q6258">
        <v>8.1910109186153199E-2</v>
      </c>
      <c r="R6258">
        <v>0.98920766649579495</v>
      </c>
      <c r="S6258" t="s">
        <v>12660</v>
      </c>
      <c r="T6258" t="s">
        <v>12802</v>
      </c>
      <c r="U6258" t="s">
        <v>12802</v>
      </c>
      <c r="V6258" t="s">
        <v>12802</v>
      </c>
      <c r="W6258" t="s">
        <v>18986</v>
      </c>
      <c r="X6258">
        <v>6</v>
      </c>
      <c r="Y6258" t="s">
        <v>25185</v>
      </c>
      <c r="Z6258" t="s">
        <v>31576</v>
      </c>
      <c r="AA6258">
        <v>0.38104340637089429</v>
      </c>
      <c r="AB6258" t="str">
        <f>HYPERLINK("Melting_Curves/meltCurve_Q9Y3D0_FAM96B.pdf", "Melting_Curves/meltCurve_Q9Y3D0_FAM96B.pdf")</f>
        <v>Melting_Curves/meltCurve_Q9Y3D0_FAM96B.pdf</v>
      </c>
    </row>
    <row r="6259" spans="1:28" x14ac:dyDescent="0.25">
      <c r="A6259" t="s">
        <v>6263</v>
      </c>
      <c r="B6259">
        <v>0.99542014353169495</v>
      </c>
      <c r="C6259">
        <v>0.95849415373055402</v>
      </c>
      <c r="D6259">
        <v>0.87870314072383404</v>
      </c>
      <c r="E6259">
        <v>0.843827192253092</v>
      </c>
      <c r="F6259">
        <v>0.54734032435371804</v>
      </c>
      <c r="G6259">
        <v>0.37016458643715</v>
      </c>
      <c r="H6259">
        <v>0.21708189087056001</v>
      </c>
      <c r="I6259">
        <v>0.244805701880668</v>
      </c>
      <c r="J6259">
        <v>0.288539016676301</v>
      </c>
      <c r="K6259">
        <v>0.30538989223683499</v>
      </c>
      <c r="L6259">
        <v>1004.26834869321</v>
      </c>
      <c r="M6259">
        <v>20.4546309082066</v>
      </c>
      <c r="N6259">
        <v>50.8536198331443</v>
      </c>
      <c r="O6259">
        <v>48.635312590666999</v>
      </c>
      <c r="P6259">
        <v>-7.8513286166460403E-2</v>
      </c>
      <c r="Q6259">
        <v>0.25329291429609802</v>
      </c>
      <c r="R6259">
        <v>0.98032870999641097</v>
      </c>
      <c r="S6259" t="s">
        <v>12661</v>
      </c>
      <c r="T6259" t="s">
        <v>12802</v>
      </c>
      <c r="U6259" t="s">
        <v>12802</v>
      </c>
      <c r="V6259" t="s">
        <v>12802</v>
      </c>
      <c r="W6259" t="s">
        <v>18987</v>
      </c>
      <c r="X6259">
        <v>3</v>
      </c>
      <c r="Y6259" t="s">
        <v>25186</v>
      </c>
      <c r="Z6259" t="s">
        <v>31577</v>
      </c>
      <c r="AA6259">
        <v>0.56384252808001989</v>
      </c>
      <c r="AB6259" t="str">
        <f>HYPERLINK("Melting_Curves/meltCurve_Q9Y3D2_MSRB2.pdf", "Melting_Curves/meltCurve_Q9Y3D2_MSRB2.pdf")</f>
        <v>Melting_Curves/meltCurve_Q9Y3D2_MSRB2.pdf</v>
      </c>
    </row>
    <row r="6260" spans="1:28" x14ac:dyDescent="0.25">
      <c r="A6260" t="s">
        <v>6264</v>
      </c>
      <c r="B6260">
        <v>0.99542014353169495</v>
      </c>
      <c r="C6260">
        <v>0.98613910787544901</v>
      </c>
      <c r="D6260">
        <v>1.0035549131099599</v>
      </c>
      <c r="E6260">
        <v>0.84525508226874402</v>
      </c>
      <c r="F6260">
        <v>0.73664313717448104</v>
      </c>
      <c r="G6260">
        <v>0.46552485016157802</v>
      </c>
      <c r="H6260">
        <v>0.38889182805932498</v>
      </c>
      <c r="I6260">
        <v>0.32763253153015198</v>
      </c>
      <c r="J6260">
        <v>0.43328122966958998</v>
      </c>
      <c r="K6260">
        <v>0.53831651039730699</v>
      </c>
      <c r="L6260">
        <v>1205.10899167001</v>
      </c>
      <c r="M6260">
        <v>24.193465880626199</v>
      </c>
      <c r="N6260">
        <v>53.693614577242201</v>
      </c>
      <c r="O6260">
        <v>49.474770326200897</v>
      </c>
      <c r="P6260">
        <v>-7.1756547999917306E-2</v>
      </c>
      <c r="Q6260">
        <v>0.41305076317425898</v>
      </c>
      <c r="R6260">
        <v>0.94733698809456002</v>
      </c>
      <c r="S6260" t="s">
        <v>12662</v>
      </c>
      <c r="T6260" t="s">
        <v>12802</v>
      </c>
      <c r="U6260" t="s">
        <v>12802</v>
      </c>
      <c r="V6260" t="s">
        <v>12802</v>
      </c>
      <c r="W6260" t="s">
        <v>18988</v>
      </c>
      <c r="X6260">
        <v>5</v>
      </c>
      <c r="Y6260" t="s">
        <v>25187</v>
      </c>
      <c r="Z6260" t="s">
        <v>31578</v>
      </c>
      <c r="AA6260">
        <v>0.66915708041009891</v>
      </c>
      <c r="AB6260" t="str">
        <f>HYPERLINK("Melting_Curves/meltCurve_Q9Y3D6_FIS1.pdf", "Melting_Curves/meltCurve_Q9Y3D6_FIS1.pdf")</f>
        <v>Melting_Curves/meltCurve_Q9Y3D6_FIS1.pdf</v>
      </c>
    </row>
    <row r="6261" spans="1:28" x14ac:dyDescent="0.25">
      <c r="A6261" t="s">
        <v>6265</v>
      </c>
      <c r="B6261">
        <v>0.99542014353169495</v>
      </c>
      <c r="C6261">
        <v>1.0510057618961</v>
      </c>
      <c r="D6261">
        <v>0.91769680650762697</v>
      </c>
      <c r="E6261">
        <v>0.72290063013164996</v>
      </c>
      <c r="F6261">
        <v>0.169940732360645</v>
      </c>
      <c r="G6261">
        <v>0.103139757443328</v>
      </c>
      <c r="H6261">
        <v>6.9821893963606094E-2</v>
      </c>
      <c r="I6261">
        <v>4.8254999318857801E-2</v>
      </c>
      <c r="J6261">
        <v>4.8052368489593399E-2</v>
      </c>
      <c r="K6261">
        <v>5.04155601018711E-2</v>
      </c>
      <c r="L6261">
        <v>1703.9361414689699</v>
      </c>
      <c r="M6261">
        <v>35.760514777326001</v>
      </c>
      <c r="N6261">
        <v>47.811882991959699</v>
      </c>
      <c r="O6261">
        <v>47.500265967195602</v>
      </c>
      <c r="P6261">
        <v>-0.177389128889689</v>
      </c>
      <c r="Q6261">
        <v>5.7507546586448403E-2</v>
      </c>
      <c r="R6261">
        <v>0.99519294035122996</v>
      </c>
      <c r="S6261" t="s">
        <v>12663</v>
      </c>
      <c r="T6261" t="s">
        <v>12802</v>
      </c>
      <c r="U6261" t="s">
        <v>12802</v>
      </c>
      <c r="V6261" t="s">
        <v>12802</v>
      </c>
      <c r="W6261" t="s">
        <v>18989</v>
      </c>
      <c r="X6261">
        <v>3</v>
      </c>
      <c r="Y6261" t="s">
        <v>22578</v>
      </c>
      <c r="Z6261" t="s">
        <v>31579</v>
      </c>
      <c r="AA6261">
        <v>0.39593792339099643</v>
      </c>
      <c r="AB6261" t="str">
        <f>HYPERLINK("Melting_Curves/meltCurve_Q9Y3D8_2_TAF9.pdf", "Melting_Curves/meltCurve_Q9Y3D8_2_TAF9.pdf")</f>
        <v>Melting_Curves/meltCurve_Q9Y3D8_2_TAF9.pdf</v>
      </c>
    </row>
    <row r="6262" spans="1:28" x14ac:dyDescent="0.25">
      <c r="A6262" t="s">
        <v>6266</v>
      </c>
      <c r="B6262">
        <v>0.99542014353169495</v>
      </c>
      <c r="C6262">
        <v>0.95005777853319995</v>
      </c>
      <c r="D6262">
        <v>1.02412407200327</v>
      </c>
      <c r="E6262">
        <v>0.98811472781759802</v>
      </c>
      <c r="F6262">
        <v>0.254072598766799</v>
      </c>
      <c r="G6262">
        <v>0.13752785783500701</v>
      </c>
      <c r="H6262">
        <v>8.8905914669843406E-2</v>
      </c>
      <c r="I6262">
        <v>7.6362053077849906E-2</v>
      </c>
      <c r="J6262">
        <v>0.108763362005642</v>
      </c>
      <c r="K6262">
        <v>0.13854144672941501</v>
      </c>
      <c r="L6262">
        <v>3765.4046055889398</v>
      </c>
      <c r="M6262">
        <v>76.646588694063098</v>
      </c>
      <c r="N6262">
        <v>49.286131373768598</v>
      </c>
      <c r="O6262">
        <v>49.093428279311503</v>
      </c>
      <c r="P6262">
        <v>-0.347488514179986</v>
      </c>
      <c r="Q6262">
        <v>0.109711227407087</v>
      </c>
      <c r="R6262">
        <v>0.99652070507653701</v>
      </c>
      <c r="S6262" t="s">
        <v>12664</v>
      </c>
      <c r="T6262" t="s">
        <v>12802</v>
      </c>
      <c r="U6262" t="s">
        <v>12802</v>
      </c>
      <c r="V6262" t="s">
        <v>12802</v>
      </c>
      <c r="W6262" t="s">
        <v>18990</v>
      </c>
      <c r="X6262">
        <v>3</v>
      </c>
      <c r="Y6262" t="s">
        <v>25188</v>
      </c>
      <c r="Z6262" t="s">
        <v>31580</v>
      </c>
      <c r="AA6262">
        <v>0.47040920600667352</v>
      </c>
      <c r="AB6262" t="str">
        <f>HYPERLINK("Melting_Curves/meltCurve_Q9Y3D9_MRPS23.pdf", "Melting_Curves/meltCurve_Q9Y3D9_MRPS23.pdf")</f>
        <v>Melting_Curves/meltCurve_Q9Y3D9_MRPS23.pdf</v>
      </c>
    </row>
    <row r="6263" spans="1:28" x14ac:dyDescent="0.25">
      <c r="A6263" t="s">
        <v>6267</v>
      </c>
      <c r="B6263">
        <v>0.99542014353169495</v>
      </c>
      <c r="C6263">
        <v>1.0048027357535401</v>
      </c>
      <c r="D6263">
        <v>1.02334442633029</v>
      </c>
      <c r="E6263">
        <v>1.1847273401103999</v>
      </c>
      <c r="F6263">
        <v>0.93370160428744997</v>
      </c>
      <c r="G6263">
        <v>0.647729847524813</v>
      </c>
      <c r="H6263">
        <v>0.48886042263902302</v>
      </c>
      <c r="I6263">
        <v>0.30268492584469903</v>
      </c>
      <c r="J6263">
        <v>0.41595610423966101</v>
      </c>
      <c r="K6263">
        <v>0.60441194225080297</v>
      </c>
      <c r="L6263">
        <v>2229.7591317025399</v>
      </c>
      <c r="M6263">
        <v>42.035581013222398</v>
      </c>
      <c r="N6263">
        <v>56.0380042237881</v>
      </c>
      <c r="O6263">
        <v>52.924941877160201</v>
      </c>
      <c r="P6263">
        <v>-0.10979301079493201</v>
      </c>
      <c r="Q6263">
        <v>0.447060966593397</v>
      </c>
      <c r="R6263">
        <v>0.89994924902739504</v>
      </c>
      <c r="S6263" t="s">
        <v>12665</v>
      </c>
      <c r="T6263" t="s">
        <v>12802</v>
      </c>
      <c r="U6263" t="s">
        <v>12802</v>
      </c>
      <c r="V6263" t="s">
        <v>12802</v>
      </c>
      <c r="W6263" t="s">
        <v>18991</v>
      </c>
      <c r="X6263">
        <v>5</v>
      </c>
      <c r="Y6263" t="s">
        <v>25189</v>
      </c>
      <c r="Z6263" t="s">
        <v>31581</v>
      </c>
      <c r="AA6263">
        <v>0.74461173820782611</v>
      </c>
      <c r="AB6263" t="str">
        <f>HYPERLINK("Melting_Curves/meltCurve_Q9Y3E1_HDGFRP3.pdf", "Melting_Curves/meltCurve_Q9Y3E1_HDGFRP3.pdf")</f>
        <v>Melting_Curves/meltCurve_Q9Y3E1_HDGFRP3.pdf</v>
      </c>
    </row>
    <row r="6264" spans="1:28" x14ac:dyDescent="0.25">
      <c r="A6264" t="s">
        <v>6268</v>
      </c>
      <c r="B6264">
        <v>0.99542014353169495</v>
      </c>
      <c r="C6264">
        <v>0.98877454943048504</v>
      </c>
      <c r="D6264">
        <v>0.91576520421197205</v>
      </c>
      <c r="E6264">
        <v>0.93227098949661502</v>
      </c>
      <c r="F6264">
        <v>0.64867751073726698</v>
      </c>
      <c r="G6264">
        <v>0.27465198332603802</v>
      </c>
      <c r="H6264">
        <v>7.0617100120391602E-2</v>
      </c>
      <c r="I6264">
        <v>5.1270549372259E-2</v>
      </c>
      <c r="J6264">
        <v>4.1196193231718498E-2</v>
      </c>
      <c r="K6264">
        <v>5.2905180443984297E-2</v>
      </c>
      <c r="L6264">
        <v>1280.3515424955599</v>
      </c>
      <c r="M6264">
        <v>24.949857693132898</v>
      </c>
      <c r="N6264">
        <v>51.4590549147864</v>
      </c>
      <c r="O6264">
        <v>50.990726245450503</v>
      </c>
      <c r="P6264">
        <v>-0.118255986043353</v>
      </c>
      <c r="Q6264">
        <v>3.3280760096805001E-2</v>
      </c>
      <c r="R6264">
        <v>0.99585964198930399</v>
      </c>
      <c r="S6264" t="s">
        <v>12666</v>
      </c>
      <c r="T6264" t="s">
        <v>12802</v>
      </c>
      <c r="U6264" t="s">
        <v>12802</v>
      </c>
      <c r="V6264" t="s">
        <v>12802</v>
      </c>
      <c r="W6264" t="s">
        <v>18992</v>
      </c>
      <c r="X6264">
        <v>4</v>
      </c>
      <c r="Y6264" t="s">
        <v>25190</v>
      </c>
      <c r="Z6264" t="s">
        <v>31582</v>
      </c>
      <c r="AA6264">
        <v>0.50320783148392889</v>
      </c>
      <c r="AB6264" t="str">
        <f>HYPERLINK("Melting_Curves/meltCurve_Q9Y3E7_4_CHMP3.pdf", "Melting_Curves/meltCurve_Q9Y3E7_4_CHMP3.pdf")</f>
        <v>Melting_Curves/meltCurve_Q9Y3E7_4_CHMP3.pdf</v>
      </c>
    </row>
    <row r="6265" spans="1:28" x14ac:dyDescent="0.25">
      <c r="A6265" t="s">
        <v>6269</v>
      </c>
      <c r="B6265">
        <v>0.99542014353169495</v>
      </c>
      <c r="C6265">
        <v>0.94390320179701803</v>
      </c>
      <c r="D6265">
        <v>0.92803378066143205</v>
      </c>
      <c r="E6265">
        <v>0.648143518674687</v>
      </c>
      <c r="F6265">
        <v>0.509683368424385</v>
      </c>
      <c r="G6265">
        <v>0.51567737577314698</v>
      </c>
      <c r="H6265">
        <v>0.36276506856253399</v>
      </c>
      <c r="I6265">
        <v>0.24694272433388001</v>
      </c>
      <c r="J6265">
        <v>0.14635429486878199</v>
      </c>
      <c r="K6265">
        <v>6.4072704035981407E-2</v>
      </c>
      <c r="L6265">
        <v>441.85499654224901</v>
      </c>
      <c r="M6265">
        <v>8.4791870689626592</v>
      </c>
      <c r="N6265">
        <v>52.110537566431901</v>
      </c>
      <c r="O6265">
        <v>49.454390517560299</v>
      </c>
      <c r="P6265">
        <v>-4.2902652418079799E-2</v>
      </c>
      <c r="Q6265">
        <v>0</v>
      </c>
      <c r="R6265">
        <v>0.96863485456327303</v>
      </c>
      <c r="S6265" t="s">
        <v>12667</v>
      </c>
      <c r="T6265" t="s">
        <v>12802</v>
      </c>
      <c r="U6265" t="s">
        <v>12802</v>
      </c>
      <c r="V6265" t="s">
        <v>12802</v>
      </c>
      <c r="W6265" t="s">
        <v>18993</v>
      </c>
      <c r="X6265">
        <v>19</v>
      </c>
      <c r="Y6265" t="s">
        <v>25191</v>
      </c>
      <c r="Z6265" t="s">
        <v>31583</v>
      </c>
      <c r="AA6265">
        <v>0.53129646737816938</v>
      </c>
      <c r="AB6265" t="str">
        <f>HYPERLINK("Melting_Curves/meltCurve_Q9Y3F4_STRAP.pdf", "Melting_Curves/meltCurve_Q9Y3F4_STRAP.pdf")</f>
        <v>Melting_Curves/meltCurve_Q9Y3F4_STRAP.pdf</v>
      </c>
    </row>
    <row r="6266" spans="1:28" x14ac:dyDescent="0.25">
      <c r="A6266" t="s">
        <v>6270</v>
      </c>
      <c r="B6266">
        <v>0.99542014353169495</v>
      </c>
      <c r="C6266">
        <v>0.91513325136980095</v>
      </c>
      <c r="D6266">
        <v>0.935930920679659</v>
      </c>
      <c r="E6266">
        <v>0.80249635293572896</v>
      </c>
      <c r="F6266">
        <v>0.59565055447874704</v>
      </c>
      <c r="G6266">
        <v>0.50700508640855602</v>
      </c>
      <c r="H6266">
        <v>0.28715556782597201</v>
      </c>
      <c r="I6266">
        <v>0.121631051052982</v>
      </c>
      <c r="J6266">
        <v>9.20919915066164E-2</v>
      </c>
      <c r="K6266">
        <v>8.9601067918455901E-2</v>
      </c>
      <c r="L6266">
        <v>592.86630544228501</v>
      </c>
      <c r="M6266">
        <v>11.2776673103404</v>
      </c>
      <c r="N6266">
        <v>52.569939510779797</v>
      </c>
      <c r="O6266">
        <v>50.998359027312901</v>
      </c>
      <c r="P6266">
        <v>-5.5301404655190602E-2</v>
      </c>
      <c r="Q6266">
        <v>0</v>
      </c>
      <c r="R6266">
        <v>0.98917140976547502</v>
      </c>
      <c r="S6266" t="s">
        <v>12668</v>
      </c>
      <c r="T6266" t="s">
        <v>12802</v>
      </c>
      <c r="U6266" t="s">
        <v>12802</v>
      </c>
      <c r="V6266" t="s">
        <v>12802</v>
      </c>
      <c r="W6266" t="s">
        <v>18994</v>
      </c>
      <c r="X6266">
        <v>26</v>
      </c>
      <c r="Y6266" t="s">
        <v>25192</v>
      </c>
      <c r="Z6266" t="s">
        <v>31584</v>
      </c>
      <c r="AA6266">
        <v>0.54210740262568236</v>
      </c>
      <c r="AB6266" t="str">
        <f>HYPERLINK("Melting_Curves/meltCurve_Q9Y3I0_C22orf28.pdf", "Melting_Curves/meltCurve_Q9Y3I0_C22orf28.pdf")</f>
        <v>Melting_Curves/meltCurve_Q9Y3I0_C22orf28.pdf</v>
      </c>
    </row>
    <row r="6267" spans="1:28" x14ac:dyDescent="0.25">
      <c r="A6267" t="s">
        <v>6271</v>
      </c>
      <c r="B6267">
        <v>0.99542014353169495</v>
      </c>
      <c r="C6267">
        <v>0.69294619769588595</v>
      </c>
      <c r="D6267">
        <v>0.61088756477263395</v>
      </c>
      <c r="E6267">
        <v>0.48084810272898099</v>
      </c>
      <c r="F6267">
        <v>0.34220789520956202</v>
      </c>
      <c r="G6267">
        <v>0.162144962221796</v>
      </c>
      <c r="H6267">
        <v>8.7528727906739198E-2</v>
      </c>
      <c r="I6267">
        <v>4.22055604248886E-2</v>
      </c>
      <c r="J6267">
        <v>3.7056220745792297E-2</v>
      </c>
      <c r="K6267">
        <v>3.6361194349949402E-2</v>
      </c>
      <c r="L6267">
        <v>440.889053388771</v>
      </c>
      <c r="M6267">
        <v>9.7090591187121404</v>
      </c>
      <c r="N6267">
        <v>45.410070386086801</v>
      </c>
      <c r="O6267">
        <v>43.609213172485099</v>
      </c>
      <c r="P6267">
        <v>-5.5689724839092403E-2</v>
      </c>
      <c r="Q6267">
        <v>0</v>
      </c>
      <c r="R6267">
        <v>0.97304471066334697</v>
      </c>
      <c r="S6267" t="s">
        <v>12669</v>
      </c>
      <c r="T6267" t="s">
        <v>12802</v>
      </c>
      <c r="U6267" t="s">
        <v>12802</v>
      </c>
      <c r="V6267" t="s">
        <v>12802</v>
      </c>
      <c r="W6267" t="s">
        <v>18995</v>
      </c>
      <c r="X6267">
        <v>6</v>
      </c>
      <c r="Y6267" t="s">
        <v>25193</v>
      </c>
      <c r="Z6267" t="s">
        <v>31585</v>
      </c>
      <c r="AA6267">
        <v>0.33075419281433138</v>
      </c>
      <c r="AB6267" t="str">
        <f>HYPERLINK("Melting_Curves/meltCurve_Q9Y3I1_FBXO7.pdf", "Melting_Curves/meltCurve_Q9Y3I1_FBXO7.pdf")</f>
        <v>Melting_Curves/meltCurve_Q9Y3I1_FBXO7.pdf</v>
      </c>
    </row>
    <row r="6268" spans="1:28" x14ac:dyDescent="0.25">
      <c r="A6268" t="s">
        <v>6272</v>
      </c>
      <c r="B6268">
        <v>0.99542014353169495</v>
      </c>
      <c r="C6268">
        <v>0.99659378024862599</v>
      </c>
      <c r="D6268">
        <v>0.887094601612751</v>
      </c>
      <c r="E6268">
        <v>0.77853375381031598</v>
      </c>
      <c r="F6268">
        <v>0.57314799410002804</v>
      </c>
      <c r="G6268">
        <v>0.30116051758756002</v>
      </c>
      <c r="H6268">
        <v>0.115411671781048</v>
      </c>
      <c r="I6268">
        <v>7.7344983890926894E-2</v>
      </c>
      <c r="J6268">
        <v>8.0831304455935102E-2</v>
      </c>
      <c r="K6268">
        <v>8.7921585500595395E-2</v>
      </c>
      <c r="L6268">
        <v>781.05805596642097</v>
      </c>
      <c r="M6268">
        <v>15.4887025180203</v>
      </c>
      <c r="N6268">
        <v>50.661876625585997</v>
      </c>
      <c r="O6268">
        <v>49.609428225781897</v>
      </c>
      <c r="P6268">
        <v>-7.5362572553413595E-2</v>
      </c>
      <c r="Q6268">
        <v>3.4557962399788297E-2</v>
      </c>
      <c r="R6268">
        <v>0.99434102655980405</v>
      </c>
      <c r="S6268" t="s">
        <v>12670</v>
      </c>
      <c r="T6268" t="s">
        <v>12802</v>
      </c>
      <c r="U6268" t="s">
        <v>12802</v>
      </c>
      <c r="V6268" t="s">
        <v>12802</v>
      </c>
      <c r="W6268" t="s">
        <v>16831</v>
      </c>
      <c r="X6268">
        <v>16</v>
      </c>
      <c r="Y6268" t="s">
        <v>23060</v>
      </c>
      <c r="Z6268" t="s">
        <v>31586</v>
      </c>
      <c r="AA6268">
        <v>0.48568275216070778</v>
      </c>
      <c r="AB6268" t="str">
        <f>HYPERLINK("Melting_Curves/meltCurve_Q9Y3L3_SH3BP1.pdf", "Melting_Curves/meltCurve_Q9Y3L3_SH3BP1.pdf")</f>
        <v>Melting_Curves/meltCurve_Q9Y3L3_SH3BP1.pdf</v>
      </c>
    </row>
    <row r="6269" spans="1:28" x14ac:dyDescent="0.25">
      <c r="A6269" t="s">
        <v>6273</v>
      </c>
      <c r="B6269">
        <v>0.99542014353169495</v>
      </c>
      <c r="C6269">
        <v>0.97056742265551299</v>
      </c>
      <c r="D6269">
        <v>0.82327916970775905</v>
      </c>
      <c r="E6269">
        <v>0.74829073705687199</v>
      </c>
      <c r="F6269">
        <v>0.62528317361682295</v>
      </c>
      <c r="G6269">
        <v>0.54991400524662704</v>
      </c>
      <c r="H6269">
        <v>0.40539299210576701</v>
      </c>
      <c r="I6269">
        <v>0.34816697050070999</v>
      </c>
      <c r="J6269">
        <v>0.44672240589391599</v>
      </c>
      <c r="K6269">
        <v>0.44392677033346101</v>
      </c>
      <c r="L6269">
        <v>564.24266119265701</v>
      </c>
      <c r="M6269">
        <v>11.790775873699401</v>
      </c>
      <c r="N6269">
        <v>54.432571159112101</v>
      </c>
      <c r="O6269">
        <v>46.540277002460698</v>
      </c>
      <c r="P6269">
        <v>-3.9295768609589603E-2</v>
      </c>
      <c r="Q6269">
        <v>0.37973068022071399</v>
      </c>
      <c r="R6269">
        <v>0.96699642942234099</v>
      </c>
      <c r="S6269" t="s">
        <v>12671</v>
      </c>
      <c r="T6269" t="s">
        <v>12802</v>
      </c>
      <c r="U6269" t="s">
        <v>12802</v>
      </c>
      <c r="V6269" t="s">
        <v>12802</v>
      </c>
      <c r="W6269" t="s">
        <v>18996</v>
      </c>
      <c r="X6269">
        <v>8</v>
      </c>
      <c r="Y6269" t="s">
        <v>25194</v>
      </c>
      <c r="Z6269" t="s">
        <v>31587</v>
      </c>
      <c r="AA6269">
        <v>0.62422842886061336</v>
      </c>
      <c r="AB6269" t="str">
        <f>HYPERLINK("Melting_Curves/meltCurve_Q9Y3L5_RAP2C.pdf", "Melting_Curves/meltCurve_Q9Y3L5_RAP2C.pdf")</f>
        <v>Melting_Curves/meltCurve_Q9Y3L5_RAP2C.pdf</v>
      </c>
    </row>
    <row r="6270" spans="1:28" x14ac:dyDescent="0.25">
      <c r="A6270" t="s">
        <v>6274</v>
      </c>
      <c r="B6270">
        <v>0.99542014353169495</v>
      </c>
      <c r="C6270">
        <v>0.97263080863148099</v>
      </c>
      <c r="D6270">
        <v>0.91887824994002198</v>
      </c>
      <c r="E6270">
        <v>0.733255197445424</v>
      </c>
      <c r="F6270">
        <v>0.41121032835874699</v>
      </c>
      <c r="G6270">
        <v>0.19265291962120601</v>
      </c>
      <c r="H6270">
        <v>0.10316832067345599</v>
      </c>
      <c r="I6270">
        <v>6.9094111312485801E-2</v>
      </c>
      <c r="J6270">
        <v>6.3990473474370799E-2</v>
      </c>
      <c r="K6270">
        <v>6.7740019946521596E-2</v>
      </c>
      <c r="L6270">
        <v>909.935916318522</v>
      </c>
      <c r="M6270">
        <v>18.625804892806102</v>
      </c>
      <c r="N6270">
        <v>49.141902383033297</v>
      </c>
      <c r="O6270">
        <v>48.300839625888003</v>
      </c>
      <c r="P6270">
        <v>-9.1418037953284806E-2</v>
      </c>
      <c r="Q6270">
        <v>5.1772405987174398E-2</v>
      </c>
      <c r="R6270">
        <v>0.99964975196969996</v>
      </c>
      <c r="S6270" t="s">
        <v>12672</v>
      </c>
      <c r="T6270" t="s">
        <v>12802</v>
      </c>
      <c r="U6270" t="s">
        <v>12802</v>
      </c>
      <c r="V6270" t="s">
        <v>12802</v>
      </c>
      <c r="W6270" t="s">
        <v>18997</v>
      </c>
      <c r="X6270">
        <v>13</v>
      </c>
      <c r="Y6270" t="s">
        <v>25195</v>
      </c>
      <c r="Z6270" t="s">
        <v>31588</v>
      </c>
      <c r="AA6270">
        <v>0.44063853743304859</v>
      </c>
      <c r="AB6270" t="str">
        <f>HYPERLINK("Melting_Curves/meltCurve_Q9Y3P9_RABGAP1.pdf", "Melting_Curves/meltCurve_Q9Y3P9_RABGAP1.pdf")</f>
        <v>Melting_Curves/meltCurve_Q9Y3P9_RABGAP1.pdf</v>
      </c>
    </row>
    <row r="6271" spans="1:28" x14ac:dyDescent="0.25">
      <c r="A6271" t="s">
        <v>6275</v>
      </c>
      <c r="B6271">
        <v>0.99542014353169495</v>
      </c>
      <c r="C6271">
        <v>1.0422668764946399</v>
      </c>
      <c r="D6271">
        <v>0.86768869301291196</v>
      </c>
      <c r="E6271">
        <v>0.84371534336626897</v>
      </c>
      <c r="F6271">
        <v>0.51429438436263597</v>
      </c>
      <c r="G6271">
        <v>0.32262657183174398</v>
      </c>
      <c r="H6271">
        <v>0.104481980701244</v>
      </c>
      <c r="I6271">
        <v>0.114870493125747</v>
      </c>
      <c r="J6271">
        <v>0.17173448610466799</v>
      </c>
      <c r="K6271">
        <v>0.485170375655679</v>
      </c>
      <c r="L6271">
        <v>1229.8616346896099</v>
      </c>
      <c r="M6271">
        <v>25.078225056788799</v>
      </c>
      <c r="N6271">
        <v>50.206390433347103</v>
      </c>
      <c r="O6271">
        <v>48.732375092395301</v>
      </c>
      <c r="P6271">
        <v>-0.10026836519278599</v>
      </c>
      <c r="Q6271">
        <v>0.220638517631354</v>
      </c>
      <c r="R6271">
        <v>0.90295086919054901</v>
      </c>
      <c r="S6271" t="s">
        <v>12673</v>
      </c>
      <c r="T6271" t="s">
        <v>12802</v>
      </c>
      <c r="U6271" t="s">
        <v>12802</v>
      </c>
      <c r="V6271" t="s">
        <v>12802</v>
      </c>
      <c r="W6271" t="s">
        <v>18998</v>
      </c>
      <c r="X6271">
        <v>1</v>
      </c>
      <c r="Y6271" t="s">
        <v>25196</v>
      </c>
      <c r="Z6271" t="s">
        <v>31589</v>
      </c>
      <c r="AA6271">
        <v>0.54014612870811485</v>
      </c>
      <c r="AB6271" t="str">
        <f>HYPERLINK("Melting_Curves/meltCurve_Q9Y3Q3_TMED3.pdf", "Melting_Curves/meltCurve_Q9Y3Q3_TMED3.pdf")</f>
        <v>Melting_Curves/meltCurve_Q9Y3Q3_TMED3.pdf</v>
      </c>
    </row>
    <row r="6272" spans="1:28" x14ac:dyDescent="0.25">
      <c r="A6272" t="s">
        <v>6276</v>
      </c>
      <c r="B6272">
        <v>0.99542014353169495</v>
      </c>
      <c r="C6272">
        <v>1.0418110789456501</v>
      </c>
      <c r="D6272">
        <v>0.93043945638177705</v>
      </c>
      <c r="E6272">
        <v>0.75028074779342502</v>
      </c>
      <c r="F6272">
        <v>0.43303315773377599</v>
      </c>
      <c r="G6272">
        <v>0.18637248365312101</v>
      </c>
      <c r="H6272">
        <v>8.5823809917594196E-2</v>
      </c>
      <c r="I6272">
        <v>5.62481025919392E-2</v>
      </c>
      <c r="J6272">
        <v>7.14249266410351E-2</v>
      </c>
      <c r="K6272">
        <v>8.3446728359421393E-2</v>
      </c>
      <c r="L6272">
        <v>997.08918032355098</v>
      </c>
      <c r="M6272">
        <v>20.3333591527872</v>
      </c>
      <c r="N6272">
        <v>49.327115592391699</v>
      </c>
      <c r="O6272">
        <v>48.570197194383297</v>
      </c>
      <c r="P6272">
        <v>-9.8766395460767806E-2</v>
      </c>
      <c r="Q6272">
        <v>5.6337519234684101E-2</v>
      </c>
      <c r="R6272">
        <v>0.99728693243168498</v>
      </c>
      <c r="S6272" t="s">
        <v>12674</v>
      </c>
      <c r="T6272" t="s">
        <v>12802</v>
      </c>
      <c r="U6272" t="s">
        <v>12802</v>
      </c>
      <c r="V6272" t="s">
        <v>12802</v>
      </c>
      <c r="W6272" t="s">
        <v>18999</v>
      </c>
      <c r="X6272">
        <v>13</v>
      </c>
      <c r="Y6272" t="s">
        <v>25197</v>
      </c>
      <c r="Z6272" t="s">
        <v>31590</v>
      </c>
      <c r="AA6272">
        <v>0.44703305697307449</v>
      </c>
      <c r="AB6272" t="str">
        <f>HYPERLINK("Melting_Curves/meltCurve_Q9Y3Q8_TSC22D4.pdf", "Melting_Curves/meltCurve_Q9Y3Q8_TSC22D4.pdf")</f>
        <v>Melting_Curves/meltCurve_Q9Y3Q8_TSC22D4.pdf</v>
      </c>
    </row>
    <row r="6273" spans="1:28" x14ac:dyDescent="0.25">
      <c r="A6273" t="s">
        <v>6277</v>
      </c>
      <c r="B6273">
        <v>0.99542014353169495</v>
      </c>
      <c r="C6273">
        <v>0.86276049736862503</v>
      </c>
      <c r="D6273">
        <v>0.76143882445804301</v>
      </c>
      <c r="E6273">
        <v>0.47930772663696403</v>
      </c>
      <c r="F6273">
        <v>0.27409962377708103</v>
      </c>
      <c r="G6273">
        <v>0.21516921921849599</v>
      </c>
      <c r="H6273">
        <v>0.13958132448347199</v>
      </c>
      <c r="I6273">
        <v>0.10979377787143101</v>
      </c>
      <c r="J6273">
        <v>0.149694286328551</v>
      </c>
      <c r="K6273">
        <v>0.17101903816654501</v>
      </c>
      <c r="L6273">
        <v>705.72799994886998</v>
      </c>
      <c r="M6273">
        <v>15.560765704006799</v>
      </c>
      <c r="N6273">
        <v>46.242173102775197</v>
      </c>
      <c r="O6273">
        <v>44.6238215048282</v>
      </c>
      <c r="P6273">
        <v>-7.59125664680491E-2</v>
      </c>
      <c r="Q6273">
        <v>0.12929413992414199</v>
      </c>
      <c r="R6273">
        <v>0.99363217513234203</v>
      </c>
      <c r="S6273" t="s">
        <v>12675</v>
      </c>
      <c r="T6273" t="s">
        <v>12802</v>
      </c>
      <c r="U6273" t="s">
        <v>12802</v>
      </c>
      <c r="V6273" t="s">
        <v>12802</v>
      </c>
      <c r="W6273" t="s">
        <v>19000</v>
      </c>
      <c r="X6273">
        <v>10</v>
      </c>
      <c r="Y6273" t="s">
        <v>25198</v>
      </c>
      <c r="Z6273" t="s">
        <v>31591</v>
      </c>
      <c r="AA6273">
        <v>0.39076417199181079</v>
      </c>
      <c r="AB6273" t="str">
        <f>HYPERLINK("Melting_Curves/meltCurve_Q9Y3S2_ZNF330.pdf", "Melting_Curves/meltCurve_Q9Y3S2_ZNF330.pdf")</f>
        <v>Melting_Curves/meltCurve_Q9Y3S2_ZNF330.pdf</v>
      </c>
    </row>
    <row r="6274" spans="1:28" x14ac:dyDescent="0.25">
      <c r="A6274" t="s">
        <v>6278</v>
      </c>
      <c r="B6274">
        <v>0.99542014353169495</v>
      </c>
      <c r="C6274">
        <v>1.01034707023828</v>
      </c>
      <c r="D6274">
        <v>0.98086270320789504</v>
      </c>
      <c r="E6274">
        <v>0.77225226726373097</v>
      </c>
      <c r="F6274">
        <v>0.33464943105793699</v>
      </c>
      <c r="G6274">
        <v>0.165067203951692</v>
      </c>
      <c r="H6274">
        <v>7.8962752447701803E-2</v>
      </c>
      <c r="I6274">
        <v>4.7405111046598697E-2</v>
      </c>
      <c r="J6274">
        <v>5.3519639982457297E-2</v>
      </c>
      <c r="K6274">
        <v>3.0395301724405199E-2</v>
      </c>
      <c r="L6274">
        <v>1213.5588485498399</v>
      </c>
      <c r="M6274">
        <v>24.922084883646999</v>
      </c>
      <c r="N6274">
        <v>48.8992400656321</v>
      </c>
      <c r="O6274">
        <v>48.3838434318873</v>
      </c>
      <c r="P6274">
        <v>-0.12238318392370599</v>
      </c>
      <c r="Q6274">
        <v>4.9631933777979198E-2</v>
      </c>
      <c r="R6274">
        <v>0.99850229540116897</v>
      </c>
      <c r="S6274" t="s">
        <v>12676</v>
      </c>
      <c r="T6274" t="s">
        <v>12802</v>
      </c>
      <c r="U6274" t="s">
        <v>12802</v>
      </c>
      <c r="V6274" t="s">
        <v>12802</v>
      </c>
      <c r="W6274" t="s">
        <v>19001</v>
      </c>
      <c r="X6274">
        <v>4</v>
      </c>
      <c r="Y6274" t="s">
        <v>25199</v>
      </c>
      <c r="Z6274" t="s">
        <v>31592</v>
      </c>
      <c r="AA6274">
        <v>0.42831774484444918</v>
      </c>
      <c r="AB6274" t="str">
        <f>HYPERLINK("Melting_Curves/meltCurve_Q9Y3T6_R3HCC1.pdf", "Melting_Curves/meltCurve_Q9Y3T6_R3HCC1.pdf")</f>
        <v>Melting_Curves/meltCurve_Q9Y3T6_R3HCC1.pdf</v>
      </c>
    </row>
    <row r="6275" spans="1:28" x14ac:dyDescent="0.25">
      <c r="A6275" t="s">
        <v>6279</v>
      </c>
      <c r="B6275">
        <v>0.99542014353169495</v>
      </c>
      <c r="C6275">
        <v>0.90792021720366001</v>
      </c>
      <c r="D6275">
        <v>0.88301619135717102</v>
      </c>
      <c r="E6275">
        <v>0.82779458343760004</v>
      </c>
      <c r="F6275">
        <v>0.44327465384772802</v>
      </c>
      <c r="G6275">
        <v>0.16223657428857099</v>
      </c>
      <c r="H6275">
        <v>0.100429754715869</v>
      </c>
      <c r="I6275">
        <v>7.3895691850058703E-2</v>
      </c>
      <c r="J6275">
        <v>8.0175912505113495E-2</v>
      </c>
      <c r="K6275">
        <v>0.10257780310847101</v>
      </c>
      <c r="L6275">
        <v>1124.9925666306101</v>
      </c>
      <c r="M6275">
        <v>22.849294379034198</v>
      </c>
      <c r="N6275">
        <v>49.573428474904297</v>
      </c>
      <c r="O6275">
        <v>48.862860832555903</v>
      </c>
      <c r="P6275">
        <v>-0.108472638237103</v>
      </c>
      <c r="Q6275">
        <v>7.2149625267577996E-2</v>
      </c>
      <c r="R6275">
        <v>0.98799194851511096</v>
      </c>
      <c r="S6275" t="s">
        <v>12677</v>
      </c>
      <c r="T6275" t="s">
        <v>12802</v>
      </c>
      <c r="U6275" t="s">
        <v>12802</v>
      </c>
      <c r="V6275" t="s">
        <v>12802</v>
      </c>
      <c r="W6275" t="s">
        <v>19002</v>
      </c>
      <c r="X6275">
        <v>12</v>
      </c>
      <c r="Y6275" t="s">
        <v>25200</v>
      </c>
      <c r="Z6275" t="s">
        <v>31593</v>
      </c>
      <c r="AA6275">
        <v>0.46012241177702667</v>
      </c>
      <c r="AB6275" t="str">
        <f>HYPERLINK("Melting_Curves/meltCurve_Q9Y3T9_NOC2L.pdf", "Melting_Curves/meltCurve_Q9Y3T9_NOC2L.pdf")</f>
        <v>Melting_Curves/meltCurve_Q9Y3T9_NOC2L.pdf</v>
      </c>
    </row>
    <row r="6276" spans="1:28" x14ac:dyDescent="0.25">
      <c r="A6276" t="s">
        <v>6280</v>
      </c>
      <c r="B6276">
        <v>0.99542014353169495</v>
      </c>
      <c r="C6276">
        <v>1.0527822068894299</v>
      </c>
      <c r="D6276">
        <v>0.98932964548348301</v>
      </c>
      <c r="E6276">
        <v>0.94694510563891099</v>
      </c>
      <c r="F6276">
        <v>0.77884394059965401</v>
      </c>
      <c r="G6276">
        <v>0.55738095091623896</v>
      </c>
      <c r="H6276">
        <v>0.75203379611536403</v>
      </c>
      <c r="I6276">
        <v>1.17916891439653</v>
      </c>
      <c r="J6276">
        <v>2.1644480782339799</v>
      </c>
      <c r="K6276">
        <v>2.7981557872480298</v>
      </c>
      <c r="L6276">
        <v>15000</v>
      </c>
      <c r="M6276">
        <v>245.31936042516</v>
      </c>
      <c r="O6276">
        <v>61.1407234004987</v>
      </c>
      <c r="P6276">
        <v>0.50154657092326305</v>
      </c>
      <c r="Q6276">
        <v>1.5</v>
      </c>
      <c r="R6276">
        <v>0.45110785564634898</v>
      </c>
      <c r="S6276" t="s">
        <v>12678</v>
      </c>
      <c r="T6276" t="s">
        <v>12802</v>
      </c>
      <c r="U6276" t="s">
        <v>12802</v>
      </c>
      <c r="V6276" t="s">
        <v>12802</v>
      </c>
      <c r="W6276" t="s">
        <v>19003</v>
      </c>
      <c r="X6276">
        <v>14</v>
      </c>
      <c r="Y6276" t="s">
        <v>25201</v>
      </c>
      <c r="Z6276" t="s">
        <v>31594</v>
      </c>
      <c r="AA6276">
        <v>1.0975311645674219</v>
      </c>
      <c r="AB6276" t="str">
        <f>HYPERLINK("Melting_Curves/meltCurve_Q9Y3X0_CCDC9.pdf", "Melting_Curves/meltCurve_Q9Y3X0_CCDC9.pdf")</f>
        <v>Melting_Curves/meltCurve_Q9Y3X0_CCDC9.pdf</v>
      </c>
    </row>
    <row r="6277" spans="1:28" x14ac:dyDescent="0.25">
      <c r="A6277" t="s">
        <v>6281</v>
      </c>
      <c r="B6277">
        <v>0.99542014353169495</v>
      </c>
      <c r="C6277">
        <v>0.759964300100051</v>
      </c>
      <c r="D6277">
        <v>0.81086034341004398</v>
      </c>
      <c r="E6277">
        <v>0.64842558388549199</v>
      </c>
      <c r="F6277">
        <v>0.36175364072014699</v>
      </c>
      <c r="G6277">
        <v>0.12831565776450199</v>
      </c>
      <c r="H6277">
        <v>4.2706998368020103E-2</v>
      </c>
      <c r="I6277">
        <v>2.3864453282213999E-2</v>
      </c>
      <c r="J6277">
        <v>3.4220889091050699E-2</v>
      </c>
      <c r="K6277">
        <v>4.6105877513162599E-2</v>
      </c>
      <c r="L6277">
        <v>628.40333142475799</v>
      </c>
      <c r="M6277">
        <v>13.1881935353016</v>
      </c>
      <c r="N6277">
        <v>47.648930077749498</v>
      </c>
      <c r="O6277">
        <v>46.593358205069798</v>
      </c>
      <c r="P6277">
        <v>-7.0774053015166205E-2</v>
      </c>
      <c r="Q6277">
        <v>0</v>
      </c>
      <c r="R6277">
        <v>0.96815790179608197</v>
      </c>
      <c r="S6277" t="s">
        <v>12679</v>
      </c>
      <c r="T6277" t="s">
        <v>12802</v>
      </c>
      <c r="U6277" t="s">
        <v>12802</v>
      </c>
      <c r="V6277" t="s">
        <v>12802</v>
      </c>
      <c r="W6277" t="s">
        <v>19004</v>
      </c>
      <c r="X6277">
        <v>2</v>
      </c>
      <c r="Y6277" t="s">
        <v>25202</v>
      </c>
      <c r="Z6277" t="s">
        <v>31595</v>
      </c>
      <c r="AA6277">
        <v>0.38246057149826412</v>
      </c>
      <c r="AB6277" t="str">
        <f>HYPERLINK("Melting_Curves/meltCurve_Q9Y3Y2_4_CHTOP.pdf", "Melting_Curves/meltCurve_Q9Y3Y2_4_CHTOP.pdf")</f>
        <v>Melting_Curves/meltCurve_Q9Y3Y2_4_CHTOP.pdf</v>
      </c>
    </row>
    <row r="6278" spans="1:28" x14ac:dyDescent="0.25">
      <c r="A6278" t="s">
        <v>6282</v>
      </c>
      <c r="B6278">
        <v>0.99542014353169495</v>
      </c>
      <c r="C6278">
        <v>0.97311592974404904</v>
      </c>
      <c r="D6278">
        <v>1.01285052218238</v>
      </c>
      <c r="E6278">
        <v>0.90442171365360702</v>
      </c>
      <c r="F6278">
        <v>0.69641026052534305</v>
      </c>
      <c r="G6278">
        <v>0.36125555842523299</v>
      </c>
      <c r="H6278">
        <v>0.14470913714485201</v>
      </c>
      <c r="I6278">
        <v>8.6568175107762393E-2</v>
      </c>
      <c r="J6278">
        <v>5.5249149193561803E-2</v>
      </c>
      <c r="K6278">
        <v>5.1033963713532603E-2</v>
      </c>
      <c r="L6278">
        <v>1086.62653147123</v>
      </c>
      <c r="M6278">
        <v>20.899196394449401</v>
      </c>
      <c r="N6278">
        <v>52.195360480057701</v>
      </c>
      <c r="O6278">
        <v>51.524682384928298</v>
      </c>
      <c r="P6278">
        <v>-9.7473432818679207E-2</v>
      </c>
      <c r="Q6278">
        <v>3.8785939658843603E-2</v>
      </c>
      <c r="R6278">
        <v>0.99890751245758902</v>
      </c>
      <c r="S6278" t="s">
        <v>12680</v>
      </c>
      <c r="T6278" t="s">
        <v>12802</v>
      </c>
      <c r="U6278" t="s">
        <v>12802</v>
      </c>
      <c r="V6278" t="s">
        <v>12802</v>
      </c>
      <c r="W6278" t="s">
        <v>19005</v>
      </c>
      <c r="X6278">
        <v>22</v>
      </c>
      <c r="Y6278" t="s">
        <v>25203</v>
      </c>
      <c r="Z6278" t="s">
        <v>31596</v>
      </c>
      <c r="AA6278">
        <v>0.53076607787690278</v>
      </c>
      <c r="AB6278" t="str">
        <f>HYPERLINK("Melting_Curves/meltCurve_Q9Y3Z3_SAMHD1.pdf", "Melting_Curves/meltCurve_Q9Y3Z3_SAMHD1.pdf")</f>
        <v>Melting_Curves/meltCurve_Q9Y3Z3_SAMHD1.pdf</v>
      </c>
    </row>
    <row r="6279" spans="1:28" x14ac:dyDescent="0.25">
      <c r="A6279" t="s">
        <v>6283</v>
      </c>
      <c r="B6279">
        <v>0.99542014353169495</v>
      </c>
      <c r="C6279">
        <v>0.86888356280207801</v>
      </c>
      <c r="D6279">
        <v>1.1514080895682799</v>
      </c>
      <c r="E6279">
        <v>0.84297242133085204</v>
      </c>
      <c r="F6279">
        <v>0.55909298266649299</v>
      </c>
      <c r="G6279">
        <v>0.23039389166114399</v>
      </c>
      <c r="H6279">
        <v>5.3694082752382501E-2</v>
      </c>
      <c r="I6279">
        <v>0</v>
      </c>
      <c r="J6279">
        <v>0</v>
      </c>
      <c r="K6279">
        <v>0</v>
      </c>
      <c r="L6279">
        <v>1167.29326959029</v>
      </c>
      <c r="M6279">
        <v>23.013135982868999</v>
      </c>
      <c r="N6279">
        <v>50.722916704410999</v>
      </c>
      <c r="O6279">
        <v>50.344578294877003</v>
      </c>
      <c r="P6279">
        <v>-0.114280288745393</v>
      </c>
      <c r="Q6279">
        <v>0</v>
      </c>
      <c r="R6279">
        <v>0.97559307310489995</v>
      </c>
      <c r="S6279" t="s">
        <v>12681</v>
      </c>
      <c r="T6279" t="s">
        <v>12802</v>
      </c>
      <c r="U6279" t="s">
        <v>12802</v>
      </c>
      <c r="V6279" t="s">
        <v>12802</v>
      </c>
      <c r="W6279" t="s">
        <v>19006</v>
      </c>
      <c r="X6279">
        <v>2</v>
      </c>
      <c r="Y6279" t="s">
        <v>25204</v>
      </c>
      <c r="Z6279" t="s">
        <v>31597</v>
      </c>
      <c r="AA6279">
        <v>0.46768786620435321</v>
      </c>
      <c r="AB6279" t="str">
        <f>HYPERLINK("Melting_Curves/meltCurve_Q9Y426_2_C2CD2.pdf", "Melting_Curves/meltCurve_Q9Y426_2_C2CD2.pdf")</f>
        <v>Melting_Curves/meltCurve_Q9Y426_2_C2CD2.pdf</v>
      </c>
    </row>
    <row r="6280" spans="1:28" x14ac:dyDescent="0.25">
      <c r="A6280" t="s">
        <v>6284</v>
      </c>
      <c r="B6280">
        <v>0.99542014353169495</v>
      </c>
      <c r="C6280">
        <v>0.97600043956036098</v>
      </c>
      <c r="D6280">
        <v>0.87863810917670904</v>
      </c>
      <c r="E6280">
        <v>0.500063574421583</v>
      </c>
      <c r="F6280">
        <v>0.207356868691391</v>
      </c>
      <c r="G6280">
        <v>0.12917051112911301</v>
      </c>
      <c r="H6280">
        <v>9.6165421038409707E-2</v>
      </c>
      <c r="I6280">
        <v>7.5747329410462E-2</v>
      </c>
      <c r="J6280">
        <v>8.2400531229158705E-2</v>
      </c>
      <c r="K6280">
        <v>0.100653280784719</v>
      </c>
      <c r="L6280">
        <v>1114.05119242922</v>
      </c>
      <c r="M6280">
        <v>24.084675972065199</v>
      </c>
      <c r="N6280">
        <v>46.6301314815274</v>
      </c>
      <c r="O6280">
        <v>45.940255526111798</v>
      </c>
      <c r="P6280">
        <v>-0.119540986458363</v>
      </c>
      <c r="Q6280">
        <v>8.7941588238079793E-2</v>
      </c>
      <c r="R6280">
        <v>0.99957321411532496</v>
      </c>
      <c r="S6280" t="s">
        <v>12682</v>
      </c>
      <c r="T6280" t="s">
        <v>12802</v>
      </c>
      <c r="U6280" t="s">
        <v>12802</v>
      </c>
      <c r="V6280" t="s">
        <v>12802</v>
      </c>
      <c r="W6280" t="s">
        <v>19007</v>
      </c>
      <c r="X6280">
        <v>18</v>
      </c>
      <c r="Y6280" t="s">
        <v>25205</v>
      </c>
      <c r="Z6280" t="s">
        <v>31598</v>
      </c>
      <c r="AA6280">
        <v>0.37751037107479579</v>
      </c>
      <c r="AB6280" t="str">
        <f>HYPERLINK("Melting_Curves/meltCurve_Q9Y446_PKP3.pdf", "Melting_Curves/meltCurve_Q9Y446_PKP3.pdf")</f>
        <v>Melting_Curves/meltCurve_Q9Y446_PKP3.pdf</v>
      </c>
    </row>
    <row r="6281" spans="1:28" x14ac:dyDescent="0.25">
      <c r="A6281" t="s">
        <v>6285</v>
      </c>
      <c r="B6281">
        <v>0.99542014353169495</v>
      </c>
      <c r="C6281">
        <v>0.86337553736586903</v>
      </c>
      <c r="D6281">
        <v>0.80069875143623703</v>
      </c>
      <c r="E6281">
        <v>0.51010561424429002</v>
      </c>
      <c r="F6281">
        <v>0.41604309651385502</v>
      </c>
      <c r="G6281">
        <v>0.299050832247993</v>
      </c>
      <c r="H6281">
        <v>0.25848393372907902</v>
      </c>
      <c r="I6281">
        <v>0.167704480708885</v>
      </c>
      <c r="J6281">
        <v>0.104189335244572</v>
      </c>
      <c r="K6281">
        <v>0.12476232978775501</v>
      </c>
      <c r="L6281">
        <v>494.54011825214701</v>
      </c>
      <c r="M6281">
        <v>10.4805559942149</v>
      </c>
      <c r="N6281">
        <v>48.085676234805497</v>
      </c>
      <c r="O6281">
        <v>45.565608917163999</v>
      </c>
      <c r="P6281">
        <v>-5.2406613064720199E-2</v>
      </c>
      <c r="Q6281">
        <v>8.8991391575810999E-2</v>
      </c>
      <c r="R6281">
        <v>0.98726815113802002</v>
      </c>
      <c r="S6281" t="s">
        <v>12683</v>
      </c>
      <c r="T6281" t="s">
        <v>12802</v>
      </c>
      <c r="U6281" t="s">
        <v>12802</v>
      </c>
      <c r="V6281" t="s">
        <v>12802</v>
      </c>
      <c r="W6281" t="s">
        <v>19008</v>
      </c>
      <c r="X6281">
        <v>7</v>
      </c>
      <c r="Y6281" t="s">
        <v>25206</v>
      </c>
      <c r="Z6281" t="s">
        <v>31599</v>
      </c>
      <c r="AA6281">
        <v>0.4346580834094092</v>
      </c>
      <c r="AB6281" t="str">
        <f>HYPERLINK("Melting_Curves/meltCurve_Q9Y448_KNSTRN.pdf", "Melting_Curves/meltCurve_Q9Y448_KNSTRN.pdf")</f>
        <v>Melting_Curves/meltCurve_Q9Y448_KNSTRN.pdf</v>
      </c>
    </row>
    <row r="6282" spans="1:28" x14ac:dyDescent="0.25">
      <c r="A6282" t="s">
        <v>6286</v>
      </c>
      <c r="B6282">
        <v>0.99542014353169495</v>
      </c>
      <c r="C6282">
        <v>1.02670995429617</v>
      </c>
      <c r="D6282">
        <v>1.0165436981587299</v>
      </c>
      <c r="E6282">
        <v>0.96353077237337303</v>
      </c>
      <c r="F6282">
        <v>0.65709335734351304</v>
      </c>
      <c r="G6282">
        <v>0.25155039654521</v>
      </c>
      <c r="H6282">
        <v>7.6184682803729906E-2</v>
      </c>
      <c r="I6282">
        <v>5.3299427912517398E-2</v>
      </c>
      <c r="J6282">
        <v>5.61233625127181E-2</v>
      </c>
      <c r="K6282">
        <v>5.3845204479242799E-2</v>
      </c>
      <c r="L6282">
        <v>1496.3324241349401</v>
      </c>
      <c r="M6282">
        <v>29.192729634256999</v>
      </c>
      <c r="N6282">
        <v>51.437024787885399</v>
      </c>
      <c r="O6282">
        <v>51.018307773832099</v>
      </c>
      <c r="P6282">
        <v>-0.13610518918984299</v>
      </c>
      <c r="Q6282">
        <v>4.8556833579172398E-2</v>
      </c>
      <c r="R6282">
        <v>0.99907082131376601</v>
      </c>
      <c r="S6282" t="s">
        <v>12684</v>
      </c>
      <c r="T6282" t="s">
        <v>12802</v>
      </c>
      <c r="U6282" t="s">
        <v>12802</v>
      </c>
      <c r="V6282" t="s">
        <v>12802</v>
      </c>
      <c r="W6282" t="s">
        <v>19009</v>
      </c>
      <c r="X6282">
        <v>28</v>
      </c>
      <c r="Y6282" t="s">
        <v>25207</v>
      </c>
      <c r="Z6282" t="s">
        <v>31600</v>
      </c>
      <c r="AA6282">
        <v>0.50698640476322998</v>
      </c>
      <c r="AB6282" t="str">
        <f>HYPERLINK("Melting_Curves/meltCurve_Q9Y450_4_HBS1L.pdf", "Melting_Curves/meltCurve_Q9Y450_4_HBS1L.pdf")</f>
        <v>Melting_Curves/meltCurve_Q9Y450_4_HBS1L.pdf</v>
      </c>
    </row>
    <row r="6283" spans="1:28" x14ac:dyDescent="0.25">
      <c r="A6283" t="s">
        <v>6287</v>
      </c>
      <c r="B6283">
        <v>0.99542014353169495</v>
      </c>
      <c r="C6283">
        <v>0.94082510326562496</v>
      </c>
      <c r="D6283">
        <v>0.91561264066935999</v>
      </c>
      <c r="E6283">
        <v>0.72979771153259998</v>
      </c>
      <c r="F6283">
        <v>0.52268990402717597</v>
      </c>
      <c r="G6283">
        <v>0.27760732197094101</v>
      </c>
      <c r="H6283">
        <v>0.14213955925796701</v>
      </c>
      <c r="I6283">
        <v>8.0290677172431102E-2</v>
      </c>
      <c r="J6283">
        <v>6.7070301593847095E-2</v>
      </c>
      <c r="K6283">
        <v>5.4866955476560099E-2</v>
      </c>
      <c r="L6283">
        <v>697.90554474736996</v>
      </c>
      <c r="M6283">
        <v>13.9414348038655</v>
      </c>
      <c r="N6283">
        <v>50.170501065319598</v>
      </c>
      <c r="O6283">
        <v>49.063574691609702</v>
      </c>
      <c r="P6283">
        <v>-6.9971252298993203E-2</v>
      </c>
      <c r="Q6283">
        <v>1.51435417247119E-2</v>
      </c>
      <c r="R6283">
        <v>0.99830039730798403</v>
      </c>
      <c r="S6283" t="s">
        <v>12685</v>
      </c>
      <c r="T6283" t="s">
        <v>12802</v>
      </c>
      <c r="U6283" t="s">
        <v>12802</v>
      </c>
      <c r="V6283" t="s">
        <v>12802</v>
      </c>
      <c r="W6283" t="s">
        <v>19010</v>
      </c>
      <c r="X6283">
        <v>5</v>
      </c>
      <c r="Y6283" t="s">
        <v>25208</v>
      </c>
      <c r="Z6283" t="s">
        <v>31601</v>
      </c>
      <c r="AA6283">
        <v>0.46663046042612139</v>
      </c>
      <c r="AB6283" t="str">
        <f>HYPERLINK("Melting_Curves/meltCurve_Q9Y478_PRKAB1.pdf", "Melting_Curves/meltCurve_Q9Y478_PRKAB1.pdf")</f>
        <v>Melting_Curves/meltCurve_Q9Y478_PRKAB1.pdf</v>
      </c>
    </row>
    <row r="6284" spans="1:28" x14ac:dyDescent="0.25">
      <c r="A6284" t="s">
        <v>6288</v>
      </c>
      <c r="B6284">
        <v>0.99542014353169495</v>
      </c>
      <c r="C6284">
        <v>0.91640934179770095</v>
      </c>
      <c r="D6284">
        <v>1.00415049275591</v>
      </c>
      <c r="E6284">
        <v>0.69277576382044603</v>
      </c>
      <c r="F6284">
        <v>0.62499276696333805</v>
      </c>
      <c r="G6284">
        <v>0.28919818251929602</v>
      </c>
      <c r="H6284">
        <v>0.19764906658991699</v>
      </c>
      <c r="I6284">
        <v>9.8261357251353001E-2</v>
      </c>
      <c r="J6284">
        <v>0.117759868136031</v>
      </c>
      <c r="K6284">
        <v>0.10920083941637999</v>
      </c>
      <c r="L6284">
        <v>735.184302231326</v>
      </c>
      <c r="M6284">
        <v>14.599740914675801</v>
      </c>
      <c r="N6284">
        <v>50.831814822960403</v>
      </c>
      <c r="O6284">
        <v>49.439516888573799</v>
      </c>
      <c r="P6284">
        <v>-6.9118750792443603E-2</v>
      </c>
      <c r="Q6284">
        <v>6.3869614804019995E-2</v>
      </c>
      <c r="R6284">
        <v>0.97934074573221397</v>
      </c>
      <c r="S6284" t="s">
        <v>12686</v>
      </c>
      <c r="T6284" t="s">
        <v>12802</v>
      </c>
      <c r="U6284" t="s">
        <v>12802</v>
      </c>
      <c r="V6284" t="s">
        <v>12802</v>
      </c>
      <c r="W6284" t="s">
        <v>19011</v>
      </c>
      <c r="X6284">
        <v>10</v>
      </c>
      <c r="Y6284" t="s">
        <v>25209</v>
      </c>
      <c r="Z6284" t="s">
        <v>31602</v>
      </c>
      <c r="AA6284">
        <v>0.50070202587453361</v>
      </c>
      <c r="AB6284" t="str">
        <f>HYPERLINK("Melting_Curves/meltCurve_Q9Y487_ATP6V0A2.pdf", "Melting_Curves/meltCurve_Q9Y487_ATP6V0A2.pdf")</f>
        <v>Melting_Curves/meltCurve_Q9Y487_ATP6V0A2.pdf</v>
      </c>
    </row>
    <row r="6285" spans="1:28" x14ac:dyDescent="0.25">
      <c r="A6285" t="s">
        <v>6289</v>
      </c>
      <c r="B6285">
        <v>0.99542014353169495</v>
      </c>
      <c r="C6285">
        <v>0.93145267701642198</v>
      </c>
      <c r="D6285">
        <v>0.95206853946411596</v>
      </c>
      <c r="E6285">
        <v>0.75277638145527104</v>
      </c>
      <c r="F6285">
        <v>0.23627664356557901</v>
      </c>
      <c r="G6285">
        <v>8.17355460940275E-2</v>
      </c>
      <c r="H6285">
        <v>4.9676375677046199E-2</v>
      </c>
      <c r="I6285">
        <v>3.31315324466432E-2</v>
      </c>
      <c r="J6285">
        <v>3.2894176373211598E-2</v>
      </c>
      <c r="K6285">
        <v>3.5218166748742299E-2</v>
      </c>
      <c r="L6285">
        <v>1487.46178425588</v>
      </c>
      <c r="M6285">
        <v>30.910681060875799</v>
      </c>
      <c r="N6285">
        <v>48.239612778033397</v>
      </c>
      <c r="O6285">
        <v>47.921227464340099</v>
      </c>
      <c r="P6285">
        <v>-0.15537063228991399</v>
      </c>
      <c r="Q6285">
        <v>3.6513213827503603E-2</v>
      </c>
      <c r="R6285">
        <v>0.99681971741944397</v>
      </c>
      <c r="S6285" t="s">
        <v>12687</v>
      </c>
      <c r="T6285" t="s">
        <v>12802</v>
      </c>
      <c r="U6285" t="s">
        <v>12802</v>
      </c>
      <c r="V6285" t="s">
        <v>12802</v>
      </c>
      <c r="W6285" t="s">
        <v>19012</v>
      </c>
      <c r="X6285">
        <v>134</v>
      </c>
      <c r="Y6285" t="s">
        <v>25210</v>
      </c>
      <c r="Z6285" t="s">
        <v>31603</v>
      </c>
      <c r="AA6285">
        <v>0.39907294466533377</v>
      </c>
      <c r="AB6285" t="str">
        <f>HYPERLINK("Melting_Curves/meltCurve_Q9Y490_TLN1.pdf", "Melting_Curves/meltCurve_Q9Y490_TLN1.pdf")</f>
        <v>Melting_Curves/meltCurve_Q9Y490_TLN1.pdf</v>
      </c>
    </row>
    <row r="6286" spans="1:28" x14ac:dyDescent="0.25">
      <c r="A6286" t="s">
        <v>6290</v>
      </c>
      <c r="B6286">
        <v>0.99542014353169495</v>
      </c>
      <c r="C6286">
        <v>0.88457075169986898</v>
      </c>
      <c r="D6286">
        <v>0.91950555876829199</v>
      </c>
      <c r="E6286">
        <v>0.73935546169259803</v>
      </c>
      <c r="F6286">
        <v>0.54880461253740898</v>
      </c>
      <c r="G6286">
        <v>0.181774138473494</v>
      </c>
      <c r="H6286">
        <v>0.103842082300068</v>
      </c>
      <c r="I6286">
        <v>8.1107174799569207E-2</v>
      </c>
      <c r="J6286">
        <v>7.5730514674697297E-2</v>
      </c>
      <c r="K6286">
        <v>7.3630418039870901E-2</v>
      </c>
      <c r="L6286">
        <v>828.68887434189799</v>
      </c>
      <c r="M6286">
        <v>16.6916292085516</v>
      </c>
      <c r="N6286">
        <v>49.882940937285298</v>
      </c>
      <c r="O6286">
        <v>48.9507928135558</v>
      </c>
      <c r="P6286">
        <v>-8.2016545447418404E-2</v>
      </c>
      <c r="Q6286">
        <v>3.7958907658011097E-2</v>
      </c>
      <c r="R6286">
        <v>0.98480165377949902</v>
      </c>
      <c r="S6286" t="s">
        <v>12688</v>
      </c>
      <c r="T6286" t="s">
        <v>12802</v>
      </c>
      <c r="U6286" t="s">
        <v>12802</v>
      </c>
      <c r="V6286" t="s">
        <v>12802</v>
      </c>
      <c r="W6286" t="s">
        <v>19013</v>
      </c>
      <c r="X6286">
        <v>7</v>
      </c>
      <c r="Y6286" t="s">
        <v>25211</v>
      </c>
      <c r="Z6286" t="s">
        <v>31604</v>
      </c>
      <c r="AA6286">
        <v>0.46074989772165492</v>
      </c>
      <c r="AB6286" t="str">
        <f>HYPERLINK("Melting_Curves/meltCurve_Q9Y4B6_3_VPRBP.pdf", "Melting_Curves/meltCurve_Q9Y4B6_3_VPRBP.pdf")</f>
        <v>Melting_Curves/meltCurve_Q9Y4B6_3_VPRBP.pdf</v>
      </c>
    </row>
    <row r="6287" spans="1:28" x14ac:dyDescent="0.25">
      <c r="A6287" t="s">
        <v>6291</v>
      </c>
      <c r="B6287">
        <v>0.99542014353169495</v>
      </c>
      <c r="C6287">
        <v>0.97132963957735197</v>
      </c>
      <c r="D6287">
        <v>0.88469729931542596</v>
      </c>
      <c r="E6287">
        <v>0.42334401274831102</v>
      </c>
      <c r="F6287">
        <v>0.15439248569262101</v>
      </c>
      <c r="G6287">
        <v>7.3804639896602395E-2</v>
      </c>
      <c r="H6287">
        <v>4.62714380043509E-2</v>
      </c>
      <c r="I6287">
        <v>3.1344068474101497E-2</v>
      </c>
      <c r="J6287">
        <v>4.9302909271814299E-2</v>
      </c>
      <c r="K6287">
        <v>5.0488181370750701E-2</v>
      </c>
      <c r="L6287">
        <v>1228.95643637893</v>
      </c>
      <c r="M6287">
        <v>26.741574336326799</v>
      </c>
      <c r="N6287">
        <v>46.127300411744201</v>
      </c>
      <c r="O6287">
        <v>45.702082621299198</v>
      </c>
      <c r="P6287">
        <v>-0.13939866178508201</v>
      </c>
      <c r="Q6287">
        <v>4.7065293415585401E-2</v>
      </c>
      <c r="R6287">
        <v>0.999194394718525</v>
      </c>
      <c r="S6287" t="s">
        <v>12689</v>
      </c>
      <c r="T6287" t="s">
        <v>12802</v>
      </c>
      <c r="U6287" t="s">
        <v>12802</v>
      </c>
      <c r="V6287" t="s">
        <v>12802</v>
      </c>
      <c r="W6287" t="s">
        <v>19014</v>
      </c>
      <c r="X6287">
        <v>12</v>
      </c>
      <c r="Y6287" t="s">
        <v>25212</v>
      </c>
      <c r="Z6287" t="s">
        <v>31605</v>
      </c>
      <c r="AA6287">
        <v>0.33844630222796979</v>
      </c>
      <c r="AB6287" t="str">
        <f>HYPERLINK("Melting_Curves/meltCurve_Q9Y4C2_2_FAM115A.pdf", "Melting_Curves/meltCurve_Q9Y4C2_2_FAM115A.pdf")</f>
        <v>Melting_Curves/meltCurve_Q9Y4C2_2_FAM115A.pdf</v>
      </c>
    </row>
    <row r="6288" spans="1:28" x14ac:dyDescent="0.25">
      <c r="A6288" t="s">
        <v>6292</v>
      </c>
      <c r="B6288">
        <v>0.99542014353169495</v>
      </c>
      <c r="C6288">
        <v>0.91275530139956296</v>
      </c>
      <c r="D6288">
        <v>0.97798265945457097</v>
      </c>
      <c r="E6288">
        <v>0.80532436317876399</v>
      </c>
      <c r="F6288">
        <v>0.21233413534675499</v>
      </c>
      <c r="G6288">
        <v>0.114197588763056</v>
      </c>
      <c r="H6288">
        <v>7.3708616553064696E-2</v>
      </c>
      <c r="I6288">
        <v>4.8945679023145998E-2</v>
      </c>
      <c r="J6288">
        <v>4.9042082336060097E-2</v>
      </c>
      <c r="K6288">
        <v>4.9780125093886698E-2</v>
      </c>
      <c r="L6288">
        <v>1877.10713665255</v>
      </c>
      <c r="M6288">
        <v>38.975649725785701</v>
      </c>
      <c r="N6288">
        <v>48.325455269766302</v>
      </c>
      <c r="O6288">
        <v>48.034739724570997</v>
      </c>
      <c r="P6288">
        <v>-0.190254482838772</v>
      </c>
      <c r="Q6288">
        <v>6.2100794396522503E-2</v>
      </c>
      <c r="R6288">
        <v>0.99423260598256002</v>
      </c>
      <c r="S6288" t="s">
        <v>12690</v>
      </c>
      <c r="T6288" t="s">
        <v>12802</v>
      </c>
      <c r="U6288" t="s">
        <v>12802</v>
      </c>
      <c r="V6288" t="s">
        <v>12802</v>
      </c>
      <c r="W6288" t="s">
        <v>19015</v>
      </c>
      <c r="X6288">
        <v>29</v>
      </c>
      <c r="Y6288" t="s">
        <v>25213</v>
      </c>
      <c r="Z6288" t="s">
        <v>31606</v>
      </c>
      <c r="AA6288">
        <v>0.41432110664712052</v>
      </c>
      <c r="AB6288" t="str">
        <f>HYPERLINK("Melting_Curves/meltCurve_Q9Y4E8_USP15.pdf", "Melting_Curves/meltCurve_Q9Y4E8_USP15.pdf")</f>
        <v>Melting_Curves/meltCurve_Q9Y4E8_USP15.pdf</v>
      </c>
    </row>
    <row r="6289" spans="1:28" x14ac:dyDescent="0.25">
      <c r="A6289" t="s">
        <v>6293</v>
      </c>
      <c r="B6289">
        <v>0.99542014353169495</v>
      </c>
      <c r="C6289">
        <v>0.91212999579129905</v>
      </c>
      <c r="D6289">
        <v>0.781900500801058</v>
      </c>
      <c r="E6289">
        <v>0.58765860930847902</v>
      </c>
      <c r="F6289">
        <v>0.275489048551119</v>
      </c>
      <c r="G6289">
        <v>9.9647482944023105E-2</v>
      </c>
      <c r="H6289">
        <v>7.6990186960468707E-2</v>
      </c>
      <c r="I6289">
        <v>5.6849223398856903E-2</v>
      </c>
      <c r="J6289">
        <v>6.1512459829165402E-2</v>
      </c>
      <c r="K6289">
        <v>5.2127311306459201E-2</v>
      </c>
      <c r="L6289">
        <v>738.48050478143705</v>
      </c>
      <c r="M6289">
        <v>15.7482416526998</v>
      </c>
      <c r="N6289">
        <v>47.077252663467803</v>
      </c>
      <c r="O6289">
        <v>46.156284733931201</v>
      </c>
      <c r="P6289">
        <v>-8.2754480846239403E-2</v>
      </c>
      <c r="Q6289">
        <v>2.99053641616083E-2</v>
      </c>
      <c r="R6289">
        <v>0.99501488807967797</v>
      </c>
      <c r="S6289" t="s">
        <v>12691</v>
      </c>
      <c r="T6289" t="s">
        <v>12802</v>
      </c>
      <c r="U6289" t="s">
        <v>12802</v>
      </c>
      <c r="V6289" t="s">
        <v>12802</v>
      </c>
      <c r="W6289" t="s">
        <v>19016</v>
      </c>
      <c r="X6289">
        <v>7</v>
      </c>
      <c r="Y6289" t="s">
        <v>25214</v>
      </c>
      <c r="Z6289" t="s">
        <v>31607</v>
      </c>
      <c r="AA6289">
        <v>0.36984134175022593</v>
      </c>
      <c r="AB6289" t="str">
        <f>HYPERLINK("Melting_Curves/meltCurve_Q9Y4G8_RAPGEF2.pdf", "Melting_Curves/meltCurve_Q9Y4G8_RAPGEF2.pdf")</f>
        <v>Melting_Curves/meltCurve_Q9Y4G8_RAPGEF2.pdf</v>
      </c>
    </row>
    <row r="6290" spans="1:28" x14ac:dyDescent="0.25">
      <c r="A6290" t="s">
        <v>6294</v>
      </c>
      <c r="B6290">
        <v>0.99542014353169495</v>
      </c>
      <c r="C6290">
        <v>0.93174472650907503</v>
      </c>
      <c r="D6290">
        <v>0.97359352311681402</v>
      </c>
      <c r="E6290">
        <v>0.84831546214756703</v>
      </c>
      <c r="F6290">
        <v>0.49742190150481302</v>
      </c>
      <c r="G6290">
        <v>0.109969338298881</v>
      </c>
      <c r="H6290">
        <v>5.8556365639224998E-2</v>
      </c>
      <c r="I6290">
        <v>3.6401789862369902E-2</v>
      </c>
      <c r="J6290">
        <v>4.1822496175295702E-2</v>
      </c>
      <c r="K6290">
        <v>4.9358786343569702E-2</v>
      </c>
      <c r="L6290">
        <v>1351.02466323252</v>
      </c>
      <c r="M6290">
        <v>27.1071063181463</v>
      </c>
      <c r="N6290">
        <v>49.962392185101798</v>
      </c>
      <c r="O6290">
        <v>49.5713603448093</v>
      </c>
      <c r="P6290">
        <v>-0.13232554276637801</v>
      </c>
      <c r="Q6290">
        <v>3.2062938551524901E-2</v>
      </c>
      <c r="R6290">
        <v>0.99546060885947596</v>
      </c>
      <c r="S6290" t="s">
        <v>12692</v>
      </c>
      <c r="T6290" t="s">
        <v>12802</v>
      </c>
      <c r="U6290" t="s">
        <v>12802</v>
      </c>
      <c r="V6290" t="s">
        <v>12802</v>
      </c>
      <c r="W6290" t="s">
        <v>19017</v>
      </c>
      <c r="X6290">
        <v>8</v>
      </c>
      <c r="Y6290" t="s">
        <v>25215</v>
      </c>
      <c r="Z6290" t="s">
        <v>31608</v>
      </c>
      <c r="AA6290">
        <v>0.45357598556295659</v>
      </c>
      <c r="AB6290" t="str">
        <f>HYPERLINK("Melting_Curves/meltCurve_Q9Y4K3_TRAF6.pdf", "Melting_Curves/meltCurve_Q9Y4K3_TRAF6.pdf")</f>
        <v>Melting_Curves/meltCurve_Q9Y4K3_TRAF6.pdf</v>
      </c>
    </row>
    <row r="6291" spans="1:28" x14ac:dyDescent="0.25">
      <c r="A6291" t="s">
        <v>6295</v>
      </c>
      <c r="B6291">
        <v>0.99542014353169495</v>
      </c>
      <c r="C6291">
        <v>0.92712006772112099</v>
      </c>
      <c r="D6291">
        <v>0.98423183203041997</v>
      </c>
      <c r="E6291">
        <v>0.830723869273291</v>
      </c>
      <c r="F6291">
        <v>0.56963355031371199</v>
      </c>
      <c r="G6291">
        <v>0.27602611343086503</v>
      </c>
      <c r="H6291">
        <v>0.12876344745653001</v>
      </c>
      <c r="I6291">
        <v>8.7737746722906296E-2</v>
      </c>
      <c r="J6291">
        <v>0.109645296034274</v>
      </c>
      <c r="K6291">
        <v>0.13154843614047099</v>
      </c>
      <c r="L6291">
        <v>1045.7601858824601</v>
      </c>
      <c r="M6291">
        <v>20.809888270391699</v>
      </c>
      <c r="N6291">
        <v>50.745211177209001</v>
      </c>
      <c r="O6291">
        <v>49.7958872505166</v>
      </c>
      <c r="P6291">
        <v>-9.4931318185642599E-2</v>
      </c>
      <c r="Q6291">
        <v>9.1382399263934405E-2</v>
      </c>
      <c r="R6291">
        <v>0.99415354339640705</v>
      </c>
      <c r="S6291" t="s">
        <v>12693</v>
      </c>
      <c r="T6291" t="s">
        <v>12802</v>
      </c>
      <c r="U6291" t="s">
        <v>12802</v>
      </c>
      <c r="V6291" t="s">
        <v>12802</v>
      </c>
      <c r="W6291" t="s">
        <v>19018</v>
      </c>
      <c r="X6291">
        <v>4</v>
      </c>
      <c r="Y6291" t="s">
        <v>25216</v>
      </c>
      <c r="Z6291" t="s">
        <v>31609</v>
      </c>
      <c r="AA6291">
        <v>0.5039344887676086</v>
      </c>
      <c r="AB6291" t="str">
        <f>HYPERLINK("Melting_Curves/meltCurve_Q9Y4K4_MAP4K5.pdf", "Melting_Curves/meltCurve_Q9Y4K4_MAP4K5.pdf")</f>
        <v>Melting_Curves/meltCurve_Q9Y4K4_MAP4K5.pdf</v>
      </c>
    </row>
    <row r="6292" spans="1:28" x14ac:dyDescent="0.25">
      <c r="A6292" t="s">
        <v>6296</v>
      </c>
      <c r="B6292">
        <v>0.99542014353169495</v>
      </c>
      <c r="C6292">
        <v>0.99633053032866503</v>
      </c>
      <c r="D6292">
        <v>0.85377783488980497</v>
      </c>
      <c r="E6292">
        <v>0.492669086875688</v>
      </c>
      <c r="F6292">
        <v>0.16503257847890501</v>
      </c>
      <c r="G6292">
        <v>0.11471918116773</v>
      </c>
      <c r="H6292">
        <v>7.0464325359704996E-2</v>
      </c>
      <c r="I6292">
        <v>4.9820248527330198E-2</v>
      </c>
      <c r="J6292">
        <v>4.8739042303928899E-2</v>
      </c>
      <c r="K6292">
        <v>4.9809850095463903E-2</v>
      </c>
      <c r="L6292">
        <v>1086.3622252709599</v>
      </c>
      <c r="M6292">
        <v>23.490550666063601</v>
      </c>
      <c r="N6292">
        <v>46.474391864649803</v>
      </c>
      <c r="O6292">
        <v>45.915530874389603</v>
      </c>
      <c r="P6292">
        <v>-0.12095304176622999</v>
      </c>
      <c r="Q6292">
        <v>5.4338471293602898E-2</v>
      </c>
      <c r="R6292">
        <v>0.99890468063910898</v>
      </c>
      <c r="S6292" t="s">
        <v>12694</v>
      </c>
      <c r="T6292" t="s">
        <v>12802</v>
      </c>
      <c r="U6292" t="s">
        <v>12802</v>
      </c>
      <c r="V6292" t="s">
        <v>12802</v>
      </c>
      <c r="W6292" t="s">
        <v>19019</v>
      </c>
      <c r="X6292">
        <v>9</v>
      </c>
      <c r="Y6292" t="s">
        <v>25217</v>
      </c>
      <c r="Z6292" t="s">
        <v>31610</v>
      </c>
      <c r="AA6292">
        <v>0.35473960865843751</v>
      </c>
      <c r="AB6292" t="str">
        <f>HYPERLINK("Melting_Curves/meltCurve_Q9Y4P1_6_ATG4B.pdf", "Melting_Curves/meltCurve_Q9Y4P1_6_ATG4B.pdf")</f>
        <v>Melting_Curves/meltCurve_Q9Y4P1_6_ATG4B.pdf</v>
      </c>
    </row>
    <row r="6293" spans="1:28" x14ac:dyDescent="0.25">
      <c r="A6293" t="s">
        <v>6297</v>
      </c>
      <c r="B6293">
        <v>0.99542014353169495</v>
      </c>
      <c r="C6293">
        <v>0.80692018037131097</v>
      </c>
      <c r="D6293">
        <v>0.72170873559703497</v>
      </c>
      <c r="E6293">
        <v>0.339946069995685</v>
      </c>
      <c r="F6293">
        <v>0.15452652970163</v>
      </c>
      <c r="G6293">
        <v>6.4070586764465406E-2</v>
      </c>
      <c r="H6293">
        <v>3.8733339559864001E-2</v>
      </c>
      <c r="I6293">
        <v>2.8091383840223701E-2</v>
      </c>
      <c r="J6293">
        <v>2.9459737828710201E-2</v>
      </c>
      <c r="K6293">
        <v>3.7149855089153597E-2</v>
      </c>
      <c r="L6293">
        <v>733.47865130053594</v>
      </c>
      <c r="M6293">
        <v>16.384134459203501</v>
      </c>
      <c r="N6293">
        <v>44.862238997257997</v>
      </c>
      <c r="O6293">
        <v>44.116645116675997</v>
      </c>
      <c r="P6293">
        <v>-9.1275290648357404E-2</v>
      </c>
      <c r="Q6293">
        <v>1.6982701100969898E-2</v>
      </c>
      <c r="R6293">
        <v>0.99215882930546495</v>
      </c>
      <c r="S6293" t="s">
        <v>12695</v>
      </c>
      <c r="T6293" t="s">
        <v>12802</v>
      </c>
      <c r="U6293" t="s">
        <v>12802</v>
      </c>
      <c r="V6293" t="s">
        <v>12802</v>
      </c>
      <c r="W6293" t="s">
        <v>19020</v>
      </c>
      <c r="X6293">
        <v>8</v>
      </c>
      <c r="Y6293" t="s">
        <v>25218</v>
      </c>
      <c r="Z6293" t="s">
        <v>31611</v>
      </c>
      <c r="AA6293">
        <v>0.291205339204193</v>
      </c>
      <c r="AB6293" t="str">
        <f>HYPERLINK("Melting_Curves/meltCurve_Q9Y4R8_TELO2.pdf", "Melting_Curves/meltCurve_Q9Y4R8_TELO2.pdf")</f>
        <v>Melting_Curves/meltCurve_Q9Y4R8_TELO2.pdf</v>
      </c>
    </row>
    <row r="6294" spans="1:28" x14ac:dyDescent="0.25">
      <c r="A6294" t="s">
        <v>6298</v>
      </c>
      <c r="B6294">
        <v>0.99542014353169495</v>
      </c>
      <c r="C6294">
        <v>0.67122410992279102</v>
      </c>
      <c r="D6294">
        <v>0.47604652220222898</v>
      </c>
      <c r="E6294">
        <v>0.30559083898143402</v>
      </c>
      <c r="F6294">
        <v>0.19543318754154199</v>
      </c>
      <c r="G6294">
        <v>9.6807379605214003E-2</v>
      </c>
      <c r="H6294">
        <v>8.4709180089914293E-2</v>
      </c>
      <c r="I6294">
        <v>4.7316067780758003E-2</v>
      </c>
      <c r="J6294">
        <v>3.9470545775207699E-2</v>
      </c>
      <c r="K6294">
        <v>4.15309198211379E-2</v>
      </c>
      <c r="L6294">
        <v>566.49984052986804</v>
      </c>
      <c r="M6294">
        <v>13.2585661974475</v>
      </c>
      <c r="N6294">
        <v>43.0185277518218</v>
      </c>
      <c r="O6294">
        <v>41.790181229085398</v>
      </c>
      <c r="P6294">
        <v>-7.5921695488076105E-2</v>
      </c>
      <c r="Q6294">
        <v>4.2954629084992799E-2</v>
      </c>
      <c r="R6294">
        <v>0.98148299695397301</v>
      </c>
      <c r="S6294" t="s">
        <v>12696</v>
      </c>
      <c r="T6294" t="s">
        <v>12802</v>
      </c>
      <c r="U6294" t="s">
        <v>12802</v>
      </c>
      <c r="V6294" t="s">
        <v>12802</v>
      </c>
      <c r="W6294" t="s">
        <v>19021</v>
      </c>
      <c r="X6294">
        <v>2</v>
      </c>
      <c r="Y6294" t="s">
        <v>25219</v>
      </c>
      <c r="Z6294" t="s">
        <v>31612</v>
      </c>
      <c r="AA6294">
        <v>0.25906890921970982</v>
      </c>
      <c r="AB6294" t="str">
        <f>HYPERLINK("Melting_Curves/meltCurve_Q9Y4W2_2_LAS1L.pdf", "Melting_Curves/meltCurve_Q9Y4W2_2_LAS1L.pdf")</f>
        <v>Melting_Curves/meltCurve_Q9Y4W2_2_LAS1L.pdf</v>
      </c>
    </row>
    <row r="6295" spans="1:28" x14ac:dyDescent="0.25">
      <c r="A6295" t="s">
        <v>6299</v>
      </c>
      <c r="B6295">
        <v>0.99542014353169495</v>
      </c>
      <c r="C6295">
        <v>0.904397413961881</v>
      </c>
      <c r="D6295">
        <v>0.94353070775826298</v>
      </c>
      <c r="E6295">
        <v>0.74617459657220797</v>
      </c>
      <c r="F6295">
        <v>0.52506547856291297</v>
      </c>
      <c r="G6295">
        <v>0.25665938705081598</v>
      </c>
      <c r="H6295">
        <v>0.14376045204098001</v>
      </c>
      <c r="I6295">
        <v>6.1044889549179797E-2</v>
      </c>
      <c r="J6295">
        <v>4.9610671852990701E-2</v>
      </c>
      <c r="K6295">
        <v>4.6775864759741402E-2</v>
      </c>
      <c r="L6295">
        <v>737.93972222849402</v>
      </c>
      <c r="M6295">
        <v>14.711922916607101</v>
      </c>
      <c r="N6295">
        <v>50.215433784533801</v>
      </c>
      <c r="O6295">
        <v>49.259913133504199</v>
      </c>
      <c r="P6295">
        <v>-7.4064020554701196E-2</v>
      </c>
      <c r="Q6295">
        <v>8.1547204914450295E-3</v>
      </c>
      <c r="R6295">
        <v>0.99487449954648799</v>
      </c>
      <c r="S6295" t="s">
        <v>12697</v>
      </c>
      <c r="T6295" t="s">
        <v>12802</v>
      </c>
      <c r="U6295" t="s">
        <v>12802</v>
      </c>
      <c r="V6295" t="s">
        <v>12802</v>
      </c>
      <c r="W6295" t="s">
        <v>19022</v>
      </c>
      <c r="X6295">
        <v>22</v>
      </c>
      <c r="Y6295" t="s">
        <v>25220</v>
      </c>
      <c r="Z6295" t="s">
        <v>31613</v>
      </c>
      <c r="AA6295">
        <v>0.46441709190463781</v>
      </c>
      <c r="AB6295" t="str">
        <f>HYPERLINK("Melting_Curves/meltCurve_Q9Y4W6_AFG3L2.pdf", "Melting_Curves/meltCurve_Q9Y4W6_AFG3L2.pdf")</f>
        <v>Melting_Curves/meltCurve_Q9Y4W6_AFG3L2.pdf</v>
      </c>
    </row>
    <row r="6296" spans="1:28" x14ac:dyDescent="0.25">
      <c r="A6296" t="s">
        <v>6300</v>
      </c>
      <c r="B6296">
        <v>0.99542014353169495</v>
      </c>
      <c r="C6296">
        <v>0.91858989076178699</v>
      </c>
      <c r="D6296">
        <v>0.92392087307306903</v>
      </c>
      <c r="E6296">
        <v>0.62312604011749895</v>
      </c>
      <c r="F6296">
        <v>0.27607564059579598</v>
      </c>
      <c r="G6296">
        <v>0.18084896511409099</v>
      </c>
      <c r="H6296">
        <v>0.14302298431945201</v>
      </c>
      <c r="I6296">
        <v>0.105120625214303</v>
      </c>
      <c r="J6296">
        <v>0.114729737066816</v>
      </c>
      <c r="K6296">
        <v>0.12412677805476301</v>
      </c>
      <c r="L6296">
        <v>1072.62442849479</v>
      </c>
      <c r="M6296">
        <v>22.7554699957766</v>
      </c>
      <c r="N6296">
        <v>47.694507286517698</v>
      </c>
      <c r="O6296">
        <v>46.777486172556102</v>
      </c>
      <c r="P6296">
        <v>-0.10741600948786</v>
      </c>
      <c r="Q6296">
        <v>0.11677448251047</v>
      </c>
      <c r="R6296">
        <v>0.99561262431059905</v>
      </c>
      <c r="S6296" t="s">
        <v>12698</v>
      </c>
      <c r="T6296" t="s">
        <v>12802</v>
      </c>
      <c r="U6296" t="s">
        <v>12802</v>
      </c>
      <c r="V6296" t="s">
        <v>12802</v>
      </c>
      <c r="W6296" t="s">
        <v>19023</v>
      </c>
      <c r="X6296">
        <v>6</v>
      </c>
      <c r="Y6296" t="s">
        <v>25221</v>
      </c>
      <c r="Z6296" t="s">
        <v>31614</v>
      </c>
      <c r="AA6296">
        <v>0.42418600467725293</v>
      </c>
      <c r="AB6296" t="str">
        <f>HYPERLINK("Melting_Curves/meltCurve_Q9Y4X0_AMMECR1.pdf", "Melting_Curves/meltCurve_Q9Y4X0_AMMECR1.pdf")</f>
        <v>Melting_Curves/meltCurve_Q9Y4X0_AMMECR1.pdf</v>
      </c>
    </row>
    <row r="6297" spans="1:28" x14ac:dyDescent="0.25">
      <c r="A6297" t="s">
        <v>6301</v>
      </c>
      <c r="B6297">
        <v>0.99542014353169495</v>
      </c>
      <c r="C6297">
        <v>1.0054527423325299</v>
      </c>
      <c r="D6297">
        <v>1.01728648737367</v>
      </c>
      <c r="E6297">
        <v>1.00822805670968</v>
      </c>
      <c r="F6297">
        <v>0.82670990681300505</v>
      </c>
      <c r="G6297">
        <v>0.67930190917595101</v>
      </c>
      <c r="H6297">
        <v>0.36578157070783002</v>
      </c>
      <c r="I6297">
        <v>0.13083992645370801</v>
      </c>
      <c r="J6297">
        <v>9.0998103116110604E-2</v>
      </c>
      <c r="K6297">
        <v>8.6113983681089301E-2</v>
      </c>
      <c r="L6297">
        <v>1071.1924942712899</v>
      </c>
      <c r="M6297">
        <v>19.3404525644942</v>
      </c>
      <c r="N6297">
        <v>55.556017874359299</v>
      </c>
      <c r="O6297">
        <v>54.8041763937482</v>
      </c>
      <c r="P6297">
        <v>-8.5695068864303295E-2</v>
      </c>
      <c r="Q6297">
        <v>2.8714942657937802E-2</v>
      </c>
      <c r="R6297">
        <v>0.99475630341879995</v>
      </c>
      <c r="S6297" t="s">
        <v>12699</v>
      </c>
      <c r="T6297" t="s">
        <v>12802</v>
      </c>
      <c r="U6297" t="s">
        <v>12802</v>
      </c>
      <c r="V6297" t="s">
        <v>12802</v>
      </c>
      <c r="W6297" t="s">
        <v>19024</v>
      </c>
      <c r="X6297">
        <v>16</v>
      </c>
      <c r="Y6297" t="s">
        <v>25222</v>
      </c>
      <c r="Z6297" t="s">
        <v>31615</v>
      </c>
      <c r="AA6297">
        <v>0.63499243944097816</v>
      </c>
      <c r="AB6297" t="str">
        <f>HYPERLINK("Melting_Curves/meltCurve_Q9Y4X5_ARIH1.pdf", "Melting_Curves/meltCurve_Q9Y4X5_ARIH1.pdf")</f>
        <v>Melting_Curves/meltCurve_Q9Y4X5_ARIH1.pdf</v>
      </c>
    </row>
    <row r="6298" spans="1:28" x14ac:dyDescent="0.25">
      <c r="A6298" t="s">
        <v>6302</v>
      </c>
      <c r="B6298">
        <v>0.99542014353169495</v>
      </c>
      <c r="C6298">
        <v>1.03220317676278</v>
      </c>
      <c r="D6298">
        <v>1.1292827806764201</v>
      </c>
      <c r="E6298">
        <v>1.0809368887162001</v>
      </c>
      <c r="F6298">
        <v>0.93890893764517902</v>
      </c>
      <c r="G6298">
        <v>0.85562386178651695</v>
      </c>
      <c r="H6298">
        <v>0.50436124035365404</v>
      </c>
      <c r="I6298">
        <v>0.54476291915901898</v>
      </c>
      <c r="J6298">
        <v>0.91080886326606203</v>
      </c>
      <c r="K6298">
        <v>1.18182958653626</v>
      </c>
      <c r="L6298">
        <v>2580.6200991780702</v>
      </c>
      <c r="M6298">
        <v>50.189824557845903</v>
      </c>
      <c r="O6298">
        <v>51.335787117120802</v>
      </c>
      <c r="P6298">
        <v>-5.03047456574389E-2</v>
      </c>
      <c r="Q6298">
        <v>0.794186928029325</v>
      </c>
      <c r="R6298">
        <v>0.28959166977495798</v>
      </c>
      <c r="S6298" t="s">
        <v>12700</v>
      </c>
      <c r="T6298" t="s">
        <v>12802</v>
      </c>
      <c r="U6298" t="s">
        <v>12802</v>
      </c>
      <c r="V6298" t="s">
        <v>12802</v>
      </c>
      <c r="W6298" t="s">
        <v>19025</v>
      </c>
      <c r="X6298">
        <v>7</v>
      </c>
      <c r="Y6298" t="s">
        <v>25223</v>
      </c>
      <c r="Z6298" t="s">
        <v>31616</v>
      </c>
      <c r="AA6298">
        <v>0.89355832182086625</v>
      </c>
      <c r="AB6298" t="str">
        <f>HYPERLINK("Melting_Curves/meltCurve_Q9Y4Z0_LSM4.pdf", "Melting_Curves/meltCurve_Q9Y4Z0_LSM4.pdf")</f>
        <v>Melting_Curves/meltCurve_Q9Y4Z0_LSM4.pdf</v>
      </c>
    </row>
    <row r="6299" spans="1:28" x14ac:dyDescent="0.25">
      <c r="A6299" t="s">
        <v>6303</v>
      </c>
      <c r="B6299">
        <v>0.99542014353169495</v>
      </c>
      <c r="C6299">
        <v>0.87725157455213298</v>
      </c>
      <c r="D6299">
        <v>0.86583823995249798</v>
      </c>
      <c r="E6299">
        <v>0.87279254162318598</v>
      </c>
      <c r="F6299">
        <v>0.50012517780116195</v>
      </c>
      <c r="G6299">
        <v>0.32106995453339499</v>
      </c>
      <c r="H6299">
        <v>0.16583290840909201</v>
      </c>
      <c r="I6299">
        <v>0.113230650582698</v>
      </c>
      <c r="J6299">
        <v>0.132908543967797</v>
      </c>
      <c r="K6299">
        <v>0.13227689565256201</v>
      </c>
      <c r="L6299">
        <v>849.69936814910102</v>
      </c>
      <c r="M6299">
        <v>17.003122169036502</v>
      </c>
      <c r="N6299">
        <v>50.621482413538402</v>
      </c>
      <c r="O6299">
        <v>49.297254238698898</v>
      </c>
      <c r="P6299">
        <v>-7.7795398402053698E-2</v>
      </c>
      <c r="Q6299">
        <v>9.7845052852544301E-2</v>
      </c>
      <c r="R6299">
        <v>0.977434316630438</v>
      </c>
      <c r="S6299" t="s">
        <v>12701</v>
      </c>
      <c r="T6299" t="s">
        <v>12802</v>
      </c>
      <c r="U6299" t="s">
        <v>12802</v>
      </c>
      <c r="V6299" t="s">
        <v>12802</v>
      </c>
      <c r="W6299" t="s">
        <v>19026</v>
      </c>
      <c r="X6299">
        <v>12</v>
      </c>
      <c r="Y6299" t="s">
        <v>25224</v>
      </c>
      <c r="Z6299" t="s">
        <v>31617</v>
      </c>
      <c r="AA6299">
        <v>0.50356617593190778</v>
      </c>
      <c r="AB6299" t="str">
        <f>HYPERLINK("Melting_Curves/meltCurve_Q9Y508_RNF114.pdf", "Melting_Curves/meltCurve_Q9Y508_RNF114.pdf")</f>
        <v>Melting_Curves/meltCurve_Q9Y508_RNF114.pdf</v>
      </c>
    </row>
    <row r="6300" spans="1:28" x14ac:dyDescent="0.25">
      <c r="A6300" t="s">
        <v>6304</v>
      </c>
      <c r="B6300">
        <v>0.99542014353169495</v>
      </c>
      <c r="C6300">
        <v>0.76105779877466995</v>
      </c>
      <c r="D6300">
        <v>0.82555404863112902</v>
      </c>
      <c r="E6300">
        <v>0.55334276339785204</v>
      </c>
      <c r="F6300">
        <v>0.55392727587551005</v>
      </c>
      <c r="G6300">
        <v>0.29014176468307301</v>
      </c>
      <c r="H6300">
        <v>0.19061378641690899</v>
      </c>
      <c r="I6300">
        <v>0.12558733422971899</v>
      </c>
      <c r="J6300">
        <v>0.13270767316917501</v>
      </c>
      <c r="K6300">
        <v>0.123560415419342</v>
      </c>
      <c r="L6300">
        <v>412.40828032937401</v>
      </c>
      <c r="M6300">
        <v>8.4120442055290408</v>
      </c>
      <c r="N6300">
        <v>49.025922706015301</v>
      </c>
      <c r="O6300">
        <v>46.4903220800459</v>
      </c>
      <c r="P6300">
        <v>-4.5277845018240698E-2</v>
      </c>
      <c r="Q6300">
        <v>0</v>
      </c>
      <c r="R6300">
        <v>0.961143563195894</v>
      </c>
      <c r="S6300" t="s">
        <v>12702</v>
      </c>
      <c r="T6300" t="s">
        <v>12802</v>
      </c>
      <c r="U6300" t="s">
        <v>12802</v>
      </c>
      <c r="V6300" t="s">
        <v>12802</v>
      </c>
      <c r="W6300" t="s">
        <v>19027</v>
      </c>
      <c r="X6300">
        <v>14</v>
      </c>
      <c r="Y6300" t="s">
        <v>25225</v>
      </c>
      <c r="Z6300" t="s">
        <v>31618</v>
      </c>
      <c r="AA6300">
        <v>0.44506680557845069</v>
      </c>
      <c r="AB6300" t="str">
        <f>HYPERLINK("Melting_Curves/meltCurve_Q9Y512_SAMM50.pdf", "Melting_Curves/meltCurve_Q9Y512_SAMM50.pdf")</f>
        <v>Melting_Curves/meltCurve_Q9Y512_SAMM50.pdf</v>
      </c>
    </row>
    <row r="6301" spans="1:28" x14ac:dyDescent="0.25">
      <c r="A6301" t="s">
        <v>6305</v>
      </c>
      <c r="B6301">
        <v>0.99542014353169495</v>
      </c>
      <c r="C6301">
        <v>1.02592856004296</v>
      </c>
      <c r="D6301">
        <v>0.82536233014550298</v>
      </c>
      <c r="E6301">
        <v>0.53161857045648797</v>
      </c>
      <c r="F6301">
        <v>0.21740974713012501</v>
      </c>
      <c r="G6301">
        <v>5.4543941785410499E-2</v>
      </c>
      <c r="H6301">
        <v>2.9555346266490898E-2</v>
      </c>
      <c r="I6301">
        <v>1.27744017067341E-2</v>
      </c>
      <c r="J6301">
        <v>1.5886496547476099E-2</v>
      </c>
      <c r="K6301">
        <v>2.1681119484946401E-2</v>
      </c>
      <c r="L6301">
        <v>946.01123580486103</v>
      </c>
      <c r="M6301">
        <v>20.221534826911601</v>
      </c>
      <c r="N6301">
        <v>46.819593318087598</v>
      </c>
      <c r="O6301">
        <v>46.332059802357399</v>
      </c>
      <c r="P6301">
        <v>-0.108245195026605</v>
      </c>
      <c r="Q6301">
        <v>7.9750915189479195E-3</v>
      </c>
      <c r="R6301">
        <v>0.99715216384032201</v>
      </c>
      <c r="S6301" t="s">
        <v>12703</v>
      </c>
      <c r="T6301" t="s">
        <v>12802</v>
      </c>
      <c r="U6301" t="s">
        <v>12802</v>
      </c>
      <c r="V6301" t="s">
        <v>12802</v>
      </c>
      <c r="W6301" t="s">
        <v>19028</v>
      </c>
      <c r="X6301">
        <v>6</v>
      </c>
      <c r="Y6301" t="s">
        <v>25226</v>
      </c>
      <c r="Z6301" t="s">
        <v>31619</v>
      </c>
      <c r="AA6301">
        <v>0.34415352639017133</v>
      </c>
      <c r="AB6301" t="str">
        <f>HYPERLINK("Melting_Curves/meltCurve_Q9Y546_LRRC42.pdf", "Melting_Curves/meltCurve_Q9Y546_LRRC42.pdf")</f>
        <v>Melting_Curves/meltCurve_Q9Y546_LRRC42.pdf</v>
      </c>
    </row>
    <row r="6302" spans="1:28" x14ac:dyDescent="0.25">
      <c r="A6302" t="s">
        <v>6306</v>
      </c>
      <c r="B6302">
        <v>0.99542014353169495</v>
      </c>
      <c r="C6302">
        <v>1.0582523919089499</v>
      </c>
      <c r="D6302">
        <v>0.981711075493376</v>
      </c>
      <c r="E6302">
        <v>1.01143204538366</v>
      </c>
      <c r="F6302">
        <v>0.81237777521904397</v>
      </c>
      <c r="G6302">
        <v>0.450033712983399</v>
      </c>
      <c r="H6302">
        <v>9.5308959324278603E-2</v>
      </c>
      <c r="I6302">
        <v>6.1956647444100697E-2</v>
      </c>
      <c r="J6302">
        <v>6.2265804269455299E-2</v>
      </c>
      <c r="K6302">
        <v>6.5609455882985196E-2</v>
      </c>
      <c r="L6302">
        <v>1545.4055207143199</v>
      </c>
      <c r="M6302">
        <v>29.165467957494499</v>
      </c>
      <c r="N6302">
        <v>53.162656053291997</v>
      </c>
      <c r="O6302">
        <v>52.740275356324297</v>
      </c>
      <c r="P6302">
        <v>-0.13191852751784</v>
      </c>
      <c r="Q6302">
        <v>4.5807355387139002E-2</v>
      </c>
      <c r="R6302">
        <v>0.99536655146155695</v>
      </c>
      <c r="S6302" t="s">
        <v>12704</v>
      </c>
      <c r="T6302" t="s">
        <v>12802</v>
      </c>
      <c r="U6302" t="s">
        <v>12802</v>
      </c>
      <c r="V6302" t="s">
        <v>12802</v>
      </c>
      <c r="W6302" t="s">
        <v>19029</v>
      </c>
      <c r="X6302">
        <v>16</v>
      </c>
      <c r="Y6302" t="s">
        <v>25227</v>
      </c>
      <c r="Z6302" t="s">
        <v>31620</v>
      </c>
      <c r="AA6302">
        <v>0.56071332930603957</v>
      </c>
      <c r="AB6302" t="str">
        <f>HYPERLINK("Melting_Curves/meltCurve_Q9Y570_PPME1.pdf", "Melting_Curves/meltCurve_Q9Y570_PPME1.pdf")</f>
        <v>Melting_Curves/meltCurve_Q9Y570_PPME1.pdf</v>
      </c>
    </row>
    <row r="6303" spans="1:28" x14ac:dyDescent="0.25">
      <c r="A6303" t="s">
        <v>6307</v>
      </c>
      <c r="B6303">
        <v>0.99542014353169495</v>
      </c>
      <c r="C6303">
        <v>1.0545014226878</v>
      </c>
      <c r="D6303">
        <v>0.95288959544857699</v>
      </c>
      <c r="E6303">
        <v>0.79655716048847203</v>
      </c>
      <c r="F6303">
        <v>0.67341915140547104</v>
      </c>
      <c r="G6303">
        <v>0.52987218995749696</v>
      </c>
      <c r="H6303">
        <v>0.41928424305824302</v>
      </c>
      <c r="I6303">
        <v>0.33378925831545703</v>
      </c>
      <c r="J6303">
        <v>0.54493042217966403</v>
      </c>
      <c r="K6303">
        <v>0.62008346138628601</v>
      </c>
      <c r="L6303">
        <v>1033.13331842346</v>
      </c>
      <c r="M6303">
        <v>21.4964932409613</v>
      </c>
      <c r="N6303">
        <v>56.575258761955503</v>
      </c>
      <c r="O6303">
        <v>47.650415678380099</v>
      </c>
      <c r="P6303">
        <v>-5.8611520960010599E-2</v>
      </c>
      <c r="Q6303">
        <v>0.480325249042441</v>
      </c>
      <c r="R6303">
        <v>0.89520034931372705</v>
      </c>
      <c r="S6303" t="s">
        <v>12705</v>
      </c>
      <c r="T6303" t="s">
        <v>12802</v>
      </c>
      <c r="U6303" t="s">
        <v>12802</v>
      </c>
      <c r="V6303" t="s">
        <v>12802</v>
      </c>
      <c r="W6303" t="s">
        <v>19030</v>
      </c>
      <c r="X6303">
        <v>3</v>
      </c>
      <c r="Y6303" t="s">
        <v>25228</v>
      </c>
      <c r="Z6303" t="s">
        <v>31621</v>
      </c>
      <c r="AA6303">
        <v>0.6778733126456481</v>
      </c>
      <c r="AB6303" t="str">
        <f>HYPERLINK("Melting_Curves/meltCurve_Q9Y584_TIMM22.pdf", "Melting_Curves/meltCurve_Q9Y584_TIMM22.pdf")</f>
        <v>Melting_Curves/meltCurve_Q9Y584_TIMM22.pdf</v>
      </c>
    </row>
    <row r="6304" spans="1:28" x14ac:dyDescent="0.25">
      <c r="A6304" t="s">
        <v>6308</v>
      </c>
      <c r="B6304">
        <v>0.99542014353169495</v>
      </c>
      <c r="C6304">
        <v>1.0346995283510101</v>
      </c>
      <c r="D6304">
        <v>0.92260186564466595</v>
      </c>
      <c r="E6304">
        <v>0.783835273718131</v>
      </c>
      <c r="F6304">
        <v>0.482549361320466</v>
      </c>
      <c r="G6304">
        <v>0.22147032269389599</v>
      </c>
      <c r="H6304">
        <v>0.20873406569077799</v>
      </c>
      <c r="I6304">
        <v>0.133265207798652</v>
      </c>
      <c r="J6304">
        <v>0.17055095397608</v>
      </c>
      <c r="K6304">
        <v>0.19950566372054601</v>
      </c>
      <c r="L6304">
        <v>1078.1832403978401</v>
      </c>
      <c r="M6304">
        <v>22.070807168679501</v>
      </c>
      <c r="N6304">
        <v>49.728158031694697</v>
      </c>
      <c r="O6304">
        <v>48.455364482474003</v>
      </c>
      <c r="P6304">
        <v>-9.5515288692088099E-2</v>
      </c>
      <c r="Q6304">
        <v>0.16122213667900601</v>
      </c>
      <c r="R6304">
        <v>0.99371343601476503</v>
      </c>
      <c r="S6304" t="s">
        <v>12706</v>
      </c>
      <c r="T6304" t="s">
        <v>12802</v>
      </c>
      <c r="U6304" t="s">
        <v>12802</v>
      </c>
      <c r="V6304" t="s">
        <v>12802</v>
      </c>
      <c r="W6304" t="s">
        <v>19031</v>
      </c>
      <c r="X6304">
        <v>5</v>
      </c>
      <c r="Y6304" t="s">
        <v>25229</v>
      </c>
      <c r="Z6304" t="s">
        <v>31622</v>
      </c>
      <c r="AA6304">
        <v>0.50176338776643081</v>
      </c>
      <c r="AB6304" t="str">
        <f>HYPERLINK("Melting_Curves/meltCurve_Q9Y597_2_KCTD3.pdf", "Melting_Curves/meltCurve_Q9Y597_2_KCTD3.pdf")</f>
        <v>Melting_Curves/meltCurve_Q9Y597_2_KCTD3.pdf</v>
      </c>
    </row>
    <row r="6305" spans="1:28" x14ac:dyDescent="0.25">
      <c r="A6305" t="s">
        <v>6309</v>
      </c>
      <c r="B6305">
        <v>0.99542014353169495</v>
      </c>
      <c r="C6305">
        <v>0.90604151605366201</v>
      </c>
      <c r="D6305">
        <v>0.91304634269811302</v>
      </c>
      <c r="E6305">
        <v>0.77488891037060104</v>
      </c>
      <c r="F6305">
        <v>0.495611241525174</v>
      </c>
      <c r="G6305">
        <v>0.162761627974992</v>
      </c>
      <c r="H6305">
        <v>8.1832668596495697E-2</v>
      </c>
      <c r="I6305">
        <v>5.1095574151487702E-2</v>
      </c>
      <c r="J6305">
        <v>5.8358562999941098E-2</v>
      </c>
      <c r="K6305">
        <v>6.1850837899180999E-2</v>
      </c>
      <c r="L6305">
        <v>941.28034005530503</v>
      </c>
      <c r="M6305">
        <v>19.003987357719801</v>
      </c>
      <c r="N6305">
        <v>49.700333916115902</v>
      </c>
      <c r="O6305">
        <v>48.992006497821201</v>
      </c>
      <c r="P6305">
        <v>-9.3933047945406203E-2</v>
      </c>
      <c r="Q6305">
        <v>3.1406395260094901E-2</v>
      </c>
      <c r="R6305">
        <v>0.99133286920076702</v>
      </c>
      <c r="S6305" t="s">
        <v>12707</v>
      </c>
      <c r="T6305" t="s">
        <v>12802</v>
      </c>
      <c r="U6305" t="s">
        <v>12802</v>
      </c>
      <c r="V6305" t="s">
        <v>12802</v>
      </c>
      <c r="W6305" t="s">
        <v>19032</v>
      </c>
      <c r="X6305">
        <v>16</v>
      </c>
      <c r="Y6305" t="s">
        <v>25230</v>
      </c>
      <c r="Z6305" t="s">
        <v>31623</v>
      </c>
      <c r="AA6305">
        <v>0.44994653372176951</v>
      </c>
      <c r="AB6305" t="str">
        <f>HYPERLINK("Melting_Curves/meltCurve_Q9Y5A9_YTHDF2.pdf", "Melting_Curves/meltCurve_Q9Y5A9_YTHDF2.pdf")</f>
        <v>Melting_Curves/meltCurve_Q9Y5A9_YTHDF2.pdf</v>
      </c>
    </row>
    <row r="6306" spans="1:28" x14ac:dyDescent="0.25">
      <c r="A6306" t="s">
        <v>6310</v>
      </c>
      <c r="B6306">
        <v>0.99542014353169495</v>
      </c>
      <c r="C6306">
        <v>1.00750430124614</v>
      </c>
      <c r="D6306">
        <v>0.90932611209602598</v>
      </c>
      <c r="E6306">
        <v>0.53977796763697805</v>
      </c>
      <c r="F6306">
        <v>0.198089002991168</v>
      </c>
      <c r="G6306">
        <v>0.128596919206899</v>
      </c>
      <c r="H6306">
        <v>9.40315054424989E-2</v>
      </c>
      <c r="I6306">
        <v>7.2320692747804893E-2</v>
      </c>
      <c r="J6306">
        <v>5.9140497055963998E-2</v>
      </c>
      <c r="K6306">
        <v>4.4486858023385603E-2</v>
      </c>
      <c r="L6306">
        <v>1180.09713853929</v>
      </c>
      <c r="M6306">
        <v>25.2843746172069</v>
      </c>
      <c r="N6306">
        <v>46.950911796689603</v>
      </c>
      <c r="O6306">
        <v>46.383983624482198</v>
      </c>
      <c r="P6306">
        <v>-0.126807292953526</v>
      </c>
      <c r="Q6306">
        <v>6.9504474517233003E-2</v>
      </c>
      <c r="R6306">
        <v>0.99852543077856104</v>
      </c>
      <c r="S6306" t="s">
        <v>12708</v>
      </c>
      <c r="T6306" t="s">
        <v>12802</v>
      </c>
      <c r="U6306" t="s">
        <v>12802</v>
      </c>
      <c r="V6306" t="s">
        <v>12802</v>
      </c>
      <c r="W6306" t="s">
        <v>19033</v>
      </c>
      <c r="X6306">
        <v>12</v>
      </c>
      <c r="Y6306" t="s">
        <v>25231</v>
      </c>
      <c r="Z6306" t="s">
        <v>31624</v>
      </c>
      <c r="AA6306">
        <v>0.37712894698072408</v>
      </c>
      <c r="AB6306" t="str">
        <f>HYPERLINK("Melting_Curves/meltCurve_Q9Y5B0_CTDP1.pdf", "Melting_Curves/meltCurve_Q9Y5B0_CTDP1.pdf")</f>
        <v>Melting_Curves/meltCurve_Q9Y5B0_CTDP1.pdf</v>
      </c>
    </row>
    <row r="6307" spans="1:28" x14ac:dyDescent="0.25">
      <c r="A6307" t="s">
        <v>6311</v>
      </c>
      <c r="B6307">
        <v>0.99542014353169495</v>
      </c>
      <c r="C6307">
        <v>0.92567097147380695</v>
      </c>
      <c r="D6307">
        <v>0.89300189840296895</v>
      </c>
      <c r="E6307">
        <v>0.49289089493898403</v>
      </c>
      <c r="F6307">
        <v>0.24572463295267599</v>
      </c>
      <c r="G6307">
        <v>0.13559845238885099</v>
      </c>
      <c r="H6307">
        <v>9.9933499060972403E-2</v>
      </c>
      <c r="I6307">
        <v>6.9230867235249099E-2</v>
      </c>
      <c r="J6307">
        <v>9.8359064260427606E-2</v>
      </c>
      <c r="K6307">
        <v>9.6110378910986602E-2</v>
      </c>
      <c r="L6307">
        <v>1015.28925341007</v>
      </c>
      <c r="M6307">
        <v>21.918165971613899</v>
      </c>
      <c r="N6307">
        <v>46.737277350050498</v>
      </c>
      <c r="O6307">
        <v>45.941396337054499</v>
      </c>
      <c r="P6307">
        <v>-0.108717500445139</v>
      </c>
      <c r="Q6307">
        <v>8.8514884125811696E-2</v>
      </c>
      <c r="R6307">
        <v>0.99635355188240105</v>
      </c>
      <c r="S6307" t="s">
        <v>12709</v>
      </c>
      <c r="T6307" t="s">
        <v>12802</v>
      </c>
      <c r="U6307" t="s">
        <v>12802</v>
      </c>
      <c r="V6307" t="s">
        <v>12802</v>
      </c>
      <c r="W6307" t="s">
        <v>19034</v>
      </c>
      <c r="X6307">
        <v>8</v>
      </c>
      <c r="Y6307" t="s">
        <v>25232</v>
      </c>
      <c r="Z6307" t="s">
        <v>31625</v>
      </c>
      <c r="AA6307">
        <v>0.38164549273438342</v>
      </c>
      <c r="AB6307" t="str">
        <f>HYPERLINK("Melting_Curves/meltCurve_Q9Y5B6_PAXBP1.pdf", "Melting_Curves/meltCurve_Q9Y5B6_PAXBP1.pdf")</f>
        <v>Melting_Curves/meltCurve_Q9Y5B6_PAXBP1.pdf</v>
      </c>
    </row>
    <row r="6308" spans="1:28" x14ac:dyDescent="0.25">
      <c r="A6308" t="s">
        <v>6312</v>
      </c>
      <c r="B6308">
        <v>0.99542014353169495</v>
      </c>
      <c r="C6308">
        <v>0.98446416751396804</v>
      </c>
      <c r="D6308">
        <v>0.74920421360997302</v>
      </c>
      <c r="E6308">
        <v>0.32515461623313302</v>
      </c>
      <c r="F6308">
        <v>0.128336625078145</v>
      </c>
      <c r="G6308">
        <v>7.3220022223930994E-2</v>
      </c>
      <c r="H6308">
        <v>3.8993220339250401E-2</v>
      </c>
      <c r="I6308">
        <v>3.9304254180334397E-2</v>
      </c>
      <c r="J6308">
        <v>3.05257863244171E-2</v>
      </c>
      <c r="K6308">
        <v>2.5527125298548399E-2</v>
      </c>
      <c r="L6308">
        <v>1060.9655261513501</v>
      </c>
      <c r="M6308">
        <v>23.5897759865917</v>
      </c>
      <c r="N6308">
        <v>45.124710699307201</v>
      </c>
      <c r="O6308">
        <v>44.6561805603463</v>
      </c>
      <c r="P6308">
        <v>-0.127115168394064</v>
      </c>
      <c r="Q6308">
        <v>3.7484355288138503E-2</v>
      </c>
      <c r="R6308">
        <v>0.99886459234059899</v>
      </c>
      <c r="S6308" t="s">
        <v>12710</v>
      </c>
      <c r="T6308" t="s">
        <v>12802</v>
      </c>
      <c r="U6308" t="s">
        <v>12802</v>
      </c>
      <c r="V6308" t="s">
        <v>12802</v>
      </c>
      <c r="W6308" t="s">
        <v>19035</v>
      </c>
      <c r="X6308">
        <v>8</v>
      </c>
      <c r="Y6308" t="s">
        <v>25233</v>
      </c>
      <c r="Z6308" t="s">
        <v>31626</v>
      </c>
      <c r="AA6308">
        <v>0.30230180628201048</v>
      </c>
      <c r="AB6308" t="str">
        <f>HYPERLINK("Melting_Curves/meltCurve_Q9Y5B8_2_NME7.pdf", "Melting_Curves/meltCurve_Q9Y5B8_2_NME7.pdf")</f>
        <v>Melting_Curves/meltCurve_Q9Y5B8_2_NME7.pdf</v>
      </c>
    </row>
    <row r="6309" spans="1:28" x14ac:dyDescent="0.25">
      <c r="A6309" t="s">
        <v>6313</v>
      </c>
      <c r="B6309">
        <v>0.99542014353169495</v>
      </c>
      <c r="C6309">
        <v>0.95743716375065102</v>
      </c>
      <c r="D6309">
        <v>1.0396603117727199</v>
      </c>
      <c r="E6309">
        <v>0.59010749532297002</v>
      </c>
      <c r="F6309">
        <v>0.20542704443639001</v>
      </c>
      <c r="G6309">
        <v>0.109901214819734</v>
      </c>
      <c r="H6309">
        <v>6.8498871508060596E-2</v>
      </c>
      <c r="I6309">
        <v>4.8381327605925201E-2</v>
      </c>
      <c r="J6309">
        <v>4.6612793427908E-2</v>
      </c>
      <c r="K6309">
        <v>4.8178968861165898E-2</v>
      </c>
      <c r="L6309">
        <v>1501.6320589649499</v>
      </c>
      <c r="M6309">
        <v>31.852035524722101</v>
      </c>
      <c r="N6309">
        <v>47.342903271784898</v>
      </c>
      <c r="O6309">
        <v>46.959331686273998</v>
      </c>
      <c r="P6309">
        <v>-0.158953031669649</v>
      </c>
      <c r="Q6309">
        <v>6.2629477217546095E-2</v>
      </c>
      <c r="R6309">
        <v>0.99350176952428004</v>
      </c>
      <c r="S6309" t="s">
        <v>12711</v>
      </c>
      <c r="T6309" t="s">
        <v>12802</v>
      </c>
      <c r="U6309" t="s">
        <v>12802</v>
      </c>
      <c r="V6309" t="s">
        <v>12802</v>
      </c>
      <c r="W6309" t="s">
        <v>19036</v>
      </c>
      <c r="X6309">
        <v>26</v>
      </c>
      <c r="Y6309" t="s">
        <v>25234</v>
      </c>
      <c r="Z6309" t="s">
        <v>31627</v>
      </c>
      <c r="AA6309">
        <v>0.38442537830930978</v>
      </c>
      <c r="AB6309" t="str">
        <f>HYPERLINK("Melting_Curves/meltCurve_Q9Y5B9_SUPT16H.pdf", "Melting_Curves/meltCurve_Q9Y5B9_SUPT16H.pdf")</f>
        <v>Melting_Curves/meltCurve_Q9Y5B9_SUPT16H.pdf</v>
      </c>
    </row>
    <row r="6310" spans="1:28" x14ac:dyDescent="0.25">
      <c r="A6310" t="s">
        <v>6314</v>
      </c>
      <c r="B6310">
        <v>0.99542014353169495</v>
      </c>
      <c r="C6310">
        <v>0.936129143312876</v>
      </c>
      <c r="D6310">
        <v>0.92108408019737698</v>
      </c>
      <c r="E6310">
        <v>0.98827683451672699</v>
      </c>
      <c r="F6310">
        <v>0.68203820368770796</v>
      </c>
      <c r="G6310">
        <v>0.210892842581651</v>
      </c>
      <c r="H6310">
        <v>0.146615353167868</v>
      </c>
      <c r="I6310">
        <v>0.14837175775728101</v>
      </c>
      <c r="J6310">
        <v>0.11044967275817399</v>
      </c>
      <c r="K6310">
        <v>0.169145237349762</v>
      </c>
      <c r="L6310">
        <v>2234.6942573342199</v>
      </c>
      <c r="M6310">
        <v>43.984906183272003</v>
      </c>
      <c r="N6310">
        <v>51.195418487120598</v>
      </c>
      <c r="O6310">
        <v>50.7012519801997</v>
      </c>
      <c r="P6310">
        <v>-0.18604267915516301</v>
      </c>
      <c r="Q6310">
        <v>0.14219815944491801</v>
      </c>
      <c r="R6310">
        <v>0.99177919532913095</v>
      </c>
      <c r="S6310" t="s">
        <v>12712</v>
      </c>
      <c r="T6310" t="s">
        <v>12802</v>
      </c>
      <c r="U6310" t="s">
        <v>12802</v>
      </c>
      <c r="V6310" t="s">
        <v>12802</v>
      </c>
      <c r="W6310" t="s">
        <v>19037</v>
      </c>
      <c r="X6310">
        <v>1</v>
      </c>
      <c r="Y6310" t="s">
        <v>25235</v>
      </c>
      <c r="Z6310" t="s">
        <v>31628</v>
      </c>
      <c r="AA6310">
        <v>0.53944345832127283</v>
      </c>
      <c r="AB6310" t="str">
        <f>HYPERLINK("Melting_Curves/meltCurve_Q9Y5J1_UTP18.pdf", "Melting_Curves/meltCurve_Q9Y5J1_UTP18.pdf")</f>
        <v>Melting_Curves/meltCurve_Q9Y5J1_UTP18.pdf</v>
      </c>
    </row>
    <row r="6311" spans="1:28" x14ac:dyDescent="0.25">
      <c r="A6311" t="s">
        <v>6315</v>
      </c>
      <c r="B6311">
        <v>0.99542014353169495</v>
      </c>
      <c r="C6311">
        <v>1.02572325072249</v>
      </c>
      <c r="D6311">
        <v>1.0710964167493999</v>
      </c>
      <c r="E6311">
        <v>1.00975354722041</v>
      </c>
      <c r="F6311">
        <v>0.84985928619106699</v>
      </c>
      <c r="G6311">
        <v>0.59302902102393296</v>
      </c>
      <c r="H6311">
        <v>0.30830699839900799</v>
      </c>
      <c r="I6311">
        <v>0.183098169153776</v>
      </c>
      <c r="J6311">
        <v>0.22631397896479399</v>
      </c>
      <c r="K6311">
        <v>0.13780831235809901</v>
      </c>
      <c r="L6311">
        <v>1292.1449093558499</v>
      </c>
      <c r="M6311">
        <v>24.011775204337098</v>
      </c>
      <c r="N6311">
        <v>54.683079751296297</v>
      </c>
      <c r="O6311">
        <v>53.443894144883402</v>
      </c>
      <c r="P6311">
        <v>-9.4489750800651195E-2</v>
      </c>
      <c r="Q6311">
        <v>0.15877597485367601</v>
      </c>
      <c r="R6311">
        <v>0.99173779996725997</v>
      </c>
      <c r="S6311" t="s">
        <v>12713</v>
      </c>
      <c r="T6311" t="s">
        <v>12802</v>
      </c>
      <c r="U6311" t="s">
        <v>12802</v>
      </c>
      <c r="V6311" t="s">
        <v>12802</v>
      </c>
      <c r="W6311" t="s">
        <v>19038</v>
      </c>
      <c r="X6311">
        <v>3</v>
      </c>
      <c r="Y6311" t="s">
        <v>25236</v>
      </c>
      <c r="Z6311" t="s">
        <v>31629</v>
      </c>
      <c r="AA6311">
        <v>0.63808780892599681</v>
      </c>
      <c r="AB6311" t="str">
        <f>HYPERLINK("Melting_Curves/meltCurve_Q9Y5J6_TIMM10B.pdf", "Melting_Curves/meltCurve_Q9Y5J6_TIMM10B.pdf")</f>
        <v>Melting_Curves/meltCurve_Q9Y5J6_TIMM10B.pdf</v>
      </c>
    </row>
    <row r="6312" spans="1:28" x14ac:dyDescent="0.25">
      <c r="A6312" t="s">
        <v>6316</v>
      </c>
      <c r="B6312">
        <v>0.99542014353169495</v>
      </c>
      <c r="C6312">
        <v>1.0192255370028001</v>
      </c>
      <c r="D6312">
        <v>1.01892522835433</v>
      </c>
      <c r="E6312">
        <v>0.99176570393646901</v>
      </c>
      <c r="F6312">
        <v>0.824963220321424</v>
      </c>
      <c r="G6312">
        <v>0.594085919737113</v>
      </c>
      <c r="H6312">
        <v>0.44929864696506</v>
      </c>
      <c r="I6312">
        <v>0.45646891255897898</v>
      </c>
      <c r="J6312">
        <v>0.65216279838406599</v>
      </c>
      <c r="K6312">
        <v>0.64374237354181696</v>
      </c>
      <c r="L6312">
        <v>2411.2321568457801</v>
      </c>
      <c r="M6312">
        <v>47.578713575205697</v>
      </c>
      <c r="O6312">
        <v>50.5895134774916</v>
      </c>
      <c r="P6312">
        <v>-0.105038646579196</v>
      </c>
      <c r="Q6312">
        <v>0.55325831594137198</v>
      </c>
      <c r="R6312">
        <v>0.91921363284912205</v>
      </c>
      <c r="S6312" t="s">
        <v>12714</v>
      </c>
      <c r="T6312" t="s">
        <v>12802</v>
      </c>
      <c r="U6312" t="s">
        <v>12802</v>
      </c>
      <c r="V6312" t="s">
        <v>12802</v>
      </c>
      <c r="W6312" t="s">
        <v>19039</v>
      </c>
      <c r="X6312">
        <v>8</v>
      </c>
      <c r="Y6312" t="s">
        <v>25237</v>
      </c>
      <c r="Z6312" t="s">
        <v>31630</v>
      </c>
      <c r="AA6312">
        <v>0.75805795389325614</v>
      </c>
      <c r="AB6312" t="str">
        <f>HYPERLINK("Melting_Curves/meltCurve_Q9Y5J7_TIMM9.pdf", "Melting_Curves/meltCurve_Q9Y5J7_TIMM9.pdf")</f>
        <v>Melting_Curves/meltCurve_Q9Y5J7_TIMM9.pdf</v>
      </c>
    </row>
    <row r="6313" spans="1:28" x14ac:dyDescent="0.25">
      <c r="A6313" t="s">
        <v>6317</v>
      </c>
      <c r="B6313">
        <v>0.99542014353169495</v>
      </c>
      <c r="C6313">
        <v>0.91446730573413004</v>
      </c>
      <c r="D6313">
        <v>0.92459391199695296</v>
      </c>
      <c r="E6313">
        <v>0.52912267255989698</v>
      </c>
      <c r="F6313">
        <v>0.16169559890851101</v>
      </c>
      <c r="G6313">
        <v>9.07896964168938E-2</v>
      </c>
      <c r="H6313">
        <v>6.2929494509304199E-2</v>
      </c>
      <c r="I6313">
        <v>2.4072646378479501E-2</v>
      </c>
      <c r="J6313">
        <v>4.3745344880334699E-2</v>
      </c>
      <c r="K6313">
        <v>7.1477622150703093E-2</v>
      </c>
      <c r="L6313">
        <v>1252.0976737609001</v>
      </c>
      <c r="M6313">
        <v>26.857768925916101</v>
      </c>
      <c r="N6313">
        <v>46.803583911720999</v>
      </c>
      <c r="O6313">
        <v>46.363418971606798</v>
      </c>
      <c r="P6313">
        <v>-0.13756712370590901</v>
      </c>
      <c r="Q6313">
        <v>5.0104619848655503E-2</v>
      </c>
      <c r="R6313">
        <v>0.99513820705395595</v>
      </c>
      <c r="S6313" t="s">
        <v>12715</v>
      </c>
      <c r="T6313" t="s">
        <v>12802</v>
      </c>
      <c r="U6313" t="s">
        <v>12802</v>
      </c>
      <c r="V6313" t="s">
        <v>12802</v>
      </c>
      <c r="W6313" t="s">
        <v>19040</v>
      </c>
      <c r="X6313">
        <v>20</v>
      </c>
      <c r="Y6313" t="s">
        <v>22745</v>
      </c>
      <c r="Z6313" t="s">
        <v>31631</v>
      </c>
      <c r="AA6313">
        <v>0.36155221441256491</v>
      </c>
      <c r="AB6313" t="str">
        <f>HYPERLINK("Melting_Curves/meltCurve_Q9Y5K5_2_UCHL5.pdf", "Melting_Curves/meltCurve_Q9Y5K5_2_UCHL5.pdf")</f>
        <v>Melting_Curves/meltCurve_Q9Y5K5_2_UCHL5.pdf</v>
      </c>
    </row>
    <row r="6314" spans="1:28" x14ac:dyDescent="0.25">
      <c r="A6314" t="s">
        <v>6318</v>
      </c>
      <c r="B6314">
        <v>0.99542014353169495</v>
      </c>
      <c r="C6314">
        <v>0.87818657890200502</v>
      </c>
      <c r="D6314">
        <v>0.96904101482803495</v>
      </c>
      <c r="E6314">
        <v>0.80704629895223101</v>
      </c>
      <c r="F6314">
        <v>0.58625378210339296</v>
      </c>
      <c r="G6314">
        <v>0.21871876602648799</v>
      </c>
      <c r="H6314">
        <v>9.3199621309780004E-2</v>
      </c>
      <c r="I6314">
        <v>6.0327320107306598E-2</v>
      </c>
      <c r="J6314">
        <v>6.2877954386485205E-2</v>
      </c>
      <c r="K6314">
        <v>6.7962151293564393E-2</v>
      </c>
      <c r="L6314">
        <v>1004.97679984219</v>
      </c>
      <c r="M6314">
        <v>19.9441387542435</v>
      </c>
      <c r="N6314">
        <v>50.5906911729165</v>
      </c>
      <c r="O6314">
        <v>49.891180819917402</v>
      </c>
      <c r="P6314">
        <v>-9.6132865792999594E-2</v>
      </c>
      <c r="Q6314">
        <v>3.8108316090511303E-2</v>
      </c>
      <c r="R6314">
        <v>0.98721694376677105</v>
      </c>
      <c r="S6314" t="s">
        <v>12716</v>
      </c>
      <c r="T6314" t="s">
        <v>12802</v>
      </c>
      <c r="U6314" t="s">
        <v>12802</v>
      </c>
      <c r="V6314" t="s">
        <v>12802</v>
      </c>
      <c r="W6314" t="s">
        <v>19041</v>
      </c>
      <c r="X6314">
        <v>31</v>
      </c>
      <c r="Y6314" t="s">
        <v>25238</v>
      </c>
      <c r="Z6314" t="s">
        <v>31632</v>
      </c>
      <c r="AA6314">
        <v>0.48012834171454372</v>
      </c>
      <c r="AB6314" t="str">
        <f>HYPERLINK("Melting_Curves/meltCurve_Q9Y5K6_CD2AP.pdf", "Melting_Curves/meltCurve_Q9Y5K6_CD2AP.pdf")</f>
        <v>Melting_Curves/meltCurve_Q9Y5K6_CD2AP.pdf</v>
      </c>
    </row>
    <row r="6315" spans="1:28" x14ac:dyDescent="0.25">
      <c r="A6315" t="s">
        <v>6319</v>
      </c>
      <c r="B6315">
        <v>0.99542014353169495</v>
      </c>
      <c r="C6315">
        <v>0.93599423789279601</v>
      </c>
      <c r="D6315">
        <v>0.935780190047381</v>
      </c>
      <c r="E6315">
        <v>0.78051623286236804</v>
      </c>
      <c r="F6315">
        <v>0.684321170563989</v>
      </c>
      <c r="G6315">
        <v>0.53129283409007899</v>
      </c>
      <c r="H6315">
        <v>0.396516399378252</v>
      </c>
      <c r="I6315">
        <v>0.37102313009550197</v>
      </c>
      <c r="J6315">
        <v>0.37531760079483201</v>
      </c>
      <c r="K6315">
        <v>0.35397828590436797</v>
      </c>
      <c r="L6315">
        <v>606.18314858961605</v>
      </c>
      <c r="M6315">
        <v>12.086130709733901</v>
      </c>
      <c r="N6315">
        <v>54.558989193124603</v>
      </c>
      <c r="O6315">
        <v>48.841415011429703</v>
      </c>
      <c r="P6315">
        <v>-4.26032243109895E-2</v>
      </c>
      <c r="Q6315">
        <v>0.31150373536963799</v>
      </c>
      <c r="R6315">
        <v>0.991764255615598</v>
      </c>
      <c r="S6315" t="s">
        <v>12717</v>
      </c>
      <c r="T6315" t="s">
        <v>12802</v>
      </c>
      <c r="U6315" t="s">
        <v>12802</v>
      </c>
      <c r="V6315" t="s">
        <v>12802</v>
      </c>
      <c r="W6315" t="s">
        <v>19042</v>
      </c>
      <c r="X6315">
        <v>12</v>
      </c>
      <c r="Y6315" t="s">
        <v>25239</v>
      </c>
      <c r="Z6315" t="s">
        <v>31633</v>
      </c>
      <c r="AA6315">
        <v>0.63233467750855532</v>
      </c>
      <c r="AB6315" t="str">
        <f>HYPERLINK("Melting_Curves/meltCurve_Q9Y5K8_ATP6V1D.pdf", "Melting_Curves/meltCurve_Q9Y5K8_ATP6V1D.pdf")</f>
        <v>Melting_Curves/meltCurve_Q9Y5K8_ATP6V1D.pdf</v>
      </c>
    </row>
    <row r="6316" spans="1:28" x14ac:dyDescent="0.25">
      <c r="A6316" t="s">
        <v>6320</v>
      </c>
      <c r="B6316">
        <v>0.99542014353169495</v>
      </c>
      <c r="C6316">
        <v>0.98308215809880695</v>
      </c>
      <c r="D6316">
        <v>0.95703914868471596</v>
      </c>
      <c r="E6316">
        <v>0.85792053144217595</v>
      </c>
      <c r="F6316">
        <v>0.39615731319839098</v>
      </c>
      <c r="G6316">
        <v>0.103752724592156</v>
      </c>
      <c r="H6316">
        <v>6.3737241421775503E-2</v>
      </c>
      <c r="I6316">
        <v>4.1388485953081401E-2</v>
      </c>
      <c r="J6316">
        <v>3.8996406424064302E-2</v>
      </c>
      <c r="K6316">
        <v>4.3585247658376701E-2</v>
      </c>
      <c r="L6316">
        <v>1466.84689296542</v>
      </c>
      <c r="M6316">
        <v>29.758181682518199</v>
      </c>
      <c r="N6316">
        <v>49.431923669586901</v>
      </c>
      <c r="O6316">
        <v>49.071241961390797</v>
      </c>
      <c r="P6316">
        <v>-0.14549360994709101</v>
      </c>
      <c r="Q6316">
        <v>4.0330790584429899E-2</v>
      </c>
      <c r="R6316">
        <v>0.99918732522045794</v>
      </c>
      <c r="S6316" t="s">
        <v>12718</v>
      </c>
      <c r="T6316" t="s">
        <v>12802</v>
      </c>
      <c r="U6316" t="s">
        <v>12802</v>
      </c>
      <c r="V6316" t="s">
        <v>12802</v>
      </c>
      <c r="W6316" t="s">
        <v>19043</v>
      </c>
      <c r="X6316">
        <v>25</v>
      </c>
      <c r="Y6316" t="s">
        <v>25240</v>
      </c>
      <c r="Z6316" t="s">
        <v>31634</v>
      </c>
      <c r="AA6316">
        <v>0.43945898768819419</v>
      </c>
      <c r="AB6316" t="str">
        <f>HYPERLINK("Melting_Curves/meltCurve_Q9Y5L0_TNPO3.pdf", "Melting_Curves/meltCurve_Q9Y5L0_TNPO3.pdf")</f>
        <v>Melting_Curves/meltCurve_Q9Y5L0_TNPO3.pdf</v>
      </c>
    </row>
    <row r="6317" spans="1:28" x14ac:dyDescent="0.25">
      <c r="A6317" t="s">
        <v>6321</v>
      </c>
      <c r="B6317">
        <v>0.99542014353169495</v>
      </c>
      <c r="C6317">
        <v>0.98723800262267902</v>
      </c>
      <c r="D6317">
        <v>0.97505459969255004</v>
      </c>
      <c r="E6317">
        <v>0.911415167145876</v>
      </c>
      <c r="F6317">
        <v>0.70349093447901001</v>
      </c>
      <c r="G6317">
        <v>0.52516857986361698</v>
      </c>
      <c r="H6317">
        <v>0.33330348894099898</v>
      </c>
      <c r="I6317">
        <v>0.28108998846662903</v>
      </c>
      <c r="J6317">
        <v>0.37066117949713301</v>
      </c>
      <c r="K6317">
        <v>0.40451796911943999</v>
      </c>
      <c r="L6317">
        <v>1128.20883196204</v>
      </c>
      <c r="M6317">
        <v>22.228541669140501</v>
      </c>
      <c r="N6317">
        <v>53.460133861567599</v>
      </c>
      <c r="O6317">
        <v>50.349540787238801</v>
      </c>
      <c r="P6317">
        <v>-7.3106858434473398E-2</v>
      </c>
      <c r="Q6317">
        <v>0.33764113131137602</v>
      </c>
      <c r="R6317">
        <v>0.98162622156778301</v>
      </c>
      <c r="S6317" t="s">
        <v>12719</v>
      </c>
      <c r="T6317" t="s">
        <v>12802</v>
      </c>
      <c r="U6317" t="s">
        <v>12802</v>
      </c>
      <c r="V6317" t="s">
        <v>12802</v>
      </c>
      <c r="W6317" t="s">
        <v>19044</v>
      </c>
      <c r="X6317">
        <v>6</v>
      </c>
      <c r="Y6317" t="s">
        <v>25241</v>
      </c>
      <c r="Z6317" t="s">
        <v>31635</v>
      </c>
      <c r="AA6317">
        <v>0.64856421732317326</v>
      </c>
      <c r="AB6317" t="str">
        <f>HYPERLINK("Melting_Curves/meltCurve_Q9Y5L4_TIMM13.pdf", "Melting_Curves/meltCurve_Q9Y5L4_TIMM13.pdf")</f>
        <v>Melting_Curves/meltCurve_Q9Y5L4_TIMM13.pdf</v>
      </c>
    </row>
    <row r="6318" spans="1:28" x14ac:dyDescent="0.25">
      <c r="A6318" t="s">
        <v>6322</v>
      </c>
      <c r="B6318">
        <v>0.99542014353169495</v>
      </c>
      <c r="C6318">
        <v>0.99007702289690702</v>
      </c>
      <c r="D6318">
        <v>1.0432763799498099</v>
      </c>
      <c r="E6318">
        <v>0.91922771497517997</v>
      </c>
      <c r="F6318">
        <v>0.55752230589123797</v>
      </c>
      <c r="G6318">
        <v>0.13458300663092801</v>
      </c>
      <c r="H6318">
        <v>8.3980505669065106E-2</v>
      </c>
      <c r="I6318">
        <v>5.7979995005783297E-2</v>
      </c>
      <c r="J6318">
        <v>5.8090784379476901E-2</v>
      </c>
      <c r="K6318">
        <v>5.7552835001356703E-2</v>
      </c>
      <c r="L6318">
        <v>1711.62295823104</v>
      </c>
      <c r="M6318">
        <v>34.015131091537903</v>
      </c>
      <c r="N6318">
        <v>50.499752747316698</v>
      </c>
      <c r="O6318">
        <v>50.146492833756902</v>
      </c>
      <c r="P6318">
        <v>-0.159882896421848</v>
      </c>
      <c r="Q6318">
        <v>5.71801930987232E-2</v>
      </c>
      <c r="R6318">
        <v>0.99822851259155998</v>
      </c>
      <c r="S6318" t="s">
        <v>12720</v>
      </c>
      <c r="T6318" t="s">
        <v>12802</v>
      </c>
      <c r="U6318" t="s">
        <v>12802</v>
      </c>
      <c r="V6318" t="s">
        <v>12802</v>
      </c>
      <c r="W6318" t="s">
        <v>19045</v>
      </c>
      <c r="X6318">
        <v>18</v>
      </c>
      <c r="Y6318" t="s">
        <v>25242</v>
      </c>
      <c r="Z6318" t="s">
        <v>31636</v>
      </c>
      <c r="AA6318">
        <v>0.48030817288104227</v>
      </c>
      <c r="AB6318" t="str">
        <f>HYPERLINK("Melting_Curves/meltCurve_Q9Y5M8_SRPRB.pdf", "Melting_Curves/meltCurve_Q9Y5M8_SRPRB.pdf")</f>
        <v>Melting_Curves/meltCurve_Q9Y5M8_SRPRB.pdf</v>
      </c>
    </row>
    <row r="6319" spans="1:28" x14ac:dyDescent="0.25">
      <c r="A6319" t="s">
        <v>6323</v>
      </c>
      <c r="B6319">
        <v>0.99542014353169495</v>
      </c>
      <c r="C6319">
        <v>1.1138371694189499</v>
      </c>
      <c r="D6319">
        <v>1.03859352154517</v>
      </c>
      <c r="E6319">
        <v>1.03146016040976</v>
      </c>
      <c r="F6319">
        <v>0.80427524005430995</v>
      </c>
      <c r="G6319">
        <v>0.66237045384683502</v>
      </c>
      <c r="H6319">
        <v>0.32817399024132998</v>
      </c>
      <c r="I6319">
        <v>0.18264463345903301</v>
      </c>
      <c r="J6319">
        <v>0.13642582272352599</v>
      </c>
      <c r="K6319">
        <v>7.8517174859314295E-2</v>
      </c>
      <c r="L6319">
        <v>1049.90215989328</v>
      </c>
      <c r="M6319">
        <v>19.109210474201198</v>
      </c>
      <c r="N6319">
        <v>55.317336945422099</v>
      </c>
      <c r="O6319">
        <v>54.351127361640501</v>
      </c>
      <c r="P6319">
        <v>-8.2558727033830395E-2</v>
      </c>
      <c r="Q6319">
        <v>6.0770192379150698E-2</v>
      </c>
      <c r="R6319">
        <v>0.98400544271553603</v>
      </c>
      <c r="S6319" t="s">
        <v>12721</v>
      </c>
      <c r="T6319" t="s">
        <v>12802</v>
      </c>
      <c r="U6319" t="s">
        <v>12802</v>
      </c>
      <c r="V6319" t="s">
        <v>12802</v>
      </c>
      <c r="W6319" t="s">
        <v>19046</v>
      </c>
      <c r="X6319">
        <v>4</v>
      </c>
      <c r="Y6319" t="s">
        <v>25243</v>
      </c>
      <c r="Z6319" t="s">
        <v>31637</v>
      </c>
      <c r="AA6319">
        <v>0.63372746154771031</v>
      </c>
      <c r="AB6319" t="str">
        <f>HYPERLINK("Melting_Curves/meltCurve_Q9Y5N5_N6AMT1.pdf", "Melting_Curves/meltCurve_Q9Y5N5_N6AMT1.pdf")</f>
        <v>Melting_Curves/meltCurve_Q9Y5N5_N6AMT1.pdf</v>
      </c>
    </row>
    <row r="6320" spans="1:28" x14ac:dyDescent="0.25">
      <c r="A6320" t="s">
        <v>6324</v>
      </c>
      <c r="B6320">
        <v>0.99542014353169495</v>
      </c>
      <c r="C6320">
        <v>1.0611622639468301</v>
      </c>
      <c r="D6320">
        <v>0.828241071850218</v>
      </c>
      <c r="E6320">
        <v>0.28783485426275901</v>
      </c>
      <c r="F6320">
        <v>0.129742900391979</v>
      </c>
      <c r="G6320">
        <v>6.6997753057448997E-2</v>
      </c>
      <c r="H6320">
        <v>4.15694957315755E-2</v>
      </c>
      <c r="I6320">
        <v>1.60459251593006E-2</v>
      </c>
      <c r="J6320">
        <v>4.4671462342495298E-2</v>
      </c>
      <c r="K6320">
        <v>2.57125627394332E-2</v>
      </c>
      <c r="L6320">
        <v>1427.6368618076001</v>
      </c>
      <c r="M6320">
        <v>31.647539876393601</v>
      </c>
      <c r="N6320">
        <v>45.2454356438083</v>
      </c>
      <c r="O6320">
        <v>44.931564518317998</v>
      </c>
      <c r="P6320">
        <v>-0.168159623582644</v>
      </c>
      <c r="Q6320">
        <v>4.5027551534463001E-2</v>
      </c>
      <c r="R6320">
        <v>0.99421254000216097</v>
      </c>
      <c r="S6320" t="s">
        <v>12722</v>
      </c>
      <c r="T6320" t="s">
        <v>12802</v>
      </c>
      <c r="U6320" t="s">
        <v>12802</v>
      </c>
      <c r="V6320" t="s">
        <v>12802</v>
      </c>
      <c r="W6320" t="s">
        <v>19047</v>
      </c>
      <c r="X6320">
        <v>2</v>
      </c>
      <c r="Y6320" t="s">
        <v>25244</v>
      </c>
      <c r="Z6320" t="s">
        <v>31638</v>
      </c>
      <c r="AA6320">
        <v>0.3080134840628927</v>
      </c>
      <c r="AB6320" t="str">
        <f>HYPERLINK("Melting_Curves/meltCurve_Q9Y5N6_ORC6.pdf", "Melting_Curves/meltCurve_Q9Y5N6_ORC6.pdf")</f>
        <v>Melting_Curves/meltCurve_Q9Y5N6_ORC6.pdf</v>
      </c>
    </row>
    <row r="6321" spans="1:28" x14ac:dyDescent="0.25">
      <c r="A6321" t="s">
        <v>6325</v>
      </c>
      <c r="B6321">
        <v>0.99542014353169495</v>
      </c>
      <c r="C6321">
        <v>0.92947727994219298</v>
      </c>
      <c r="D6321">
        <v>0.95168495557813204</v>
      </c>
      <c r="E6321">
        <v>0.781794073994312</v>
      </c>
      <c r="F6321">
        <v>0.22981726687269799</v>
      </c>
      <c r="G6321">
        <v>0.110948184496669</v>
      </c>
      <c r="H6321">
        <v>8.3658347444205403E-2</v>
      </c>
      <c r="I6321">
        <v>7.1626422403556503E-2</v>
      </c>
      <c r="J6321">
        <v>6.6839421678792699E-2</v>
      </c>
      <c r="K6321">
        <v>7.5355616392925998E-2</v>
      </c>
      <c r="L6321">
        <v>1733.52817625282</v>
      </c>
      <c r="M6321">
        <v>36.074535932943299</v>
      </c>
      <c r="N6321">
        <v>48.274554533585103</v>
      </c>
      <c r="O6321">
        <v>47.907120148441003</v>
      </c>
      <c r="P6321">
        <v>-0.17395450199352899</v>
      </c>
      <c r="Q6321">
        <v>7.5954008900238498E-2</v>
      </c>
      <c r="R6321">
        <v>0.99585732046351905</v>
      </c>
      <c r="S6321" t="s">
        <v>12723</v>
      </c>
      <c r="T6321" t="s">
        <v>12802</v>
      </c>
      <c r="U6321" t="s">
        <v>12802</v>
      </c>
      <c r="V6321" t="s">
        <v>12802</v>
      </c>
      <c r="W6321" t="s">
        <v>19048</v>
      </c>
      <c r="X6321">
        <v>13</v>
      </c>
      <c r="Y6321" t="s">
        <v>25245</v>
      </c>
      <c r="Z6321" t="s">
        <v>31639</v>
      </c>
      <c r="AA6321">
        <v>0.42021600869329229</v>
      </c>
      <c r="AB6321" t="str">
        <f>HYPERLINK("Melting_Curves/meltCurve_Q9Y5P4_2_COL4A3BP.pdf", "Melting_Curves/meltCurve_Q9Y5P4_2_COL4A3BP.pdf")</f>
        <v>Melting_Curves/meltCurve_Q9Y5P4_2_COL4A3BP.pdf</v>
      </c>
    </row>
    <row r="6322" spans="1:28" x14ac:dyDescent="0.25">
      <c r="A6322" t="s">
        <v>6326</v>
      </c>
      <c r="B6322">
        <v>0.99542014353169495</v>
      </c>
      <c r="C6322">
        <v>0.91585150737528298</v>
      </c>
      <c r="D6322">
        <v>0.96097063046141995</v>
      </c>
      <c r="E6322">
        <v>0.87705667920173103</v>
      </c>
      <c r="F6322">
        <v>0.73868456289435003</v>
      </c>
      <c r="G6322">
        <v>0.446982043973631</v>
      </c>
      <c r="H6322">
        <v>0.23387359743851299</v>
      </c>
      <c r="I6322">
        <v>0.13200797451080801</v>
      </c>
      <c r="J6322">
        <v>0.10307653650210299</v>
      </c>
      <c r="K6322">
        <v>9.9192081713457697E-2</v>
      </c>
      <c r="L6322">
        <v>873.01533503819803</v>
      </c>
      <c r="M6322">
        <v>16.5731570318523</v>
      </c>
      <c r="N6322">
        <v>53.0532670956662</v>
      </c>
      <c r="O6322">
        <v>51.927454310680403</v>
      </c>
      <c r="P6322">
        <v>-7.5364960678986001E-2</v>
      </c>
      <c r="Q6322">
        <v>5.5522548995186598E-2</v>
      </c>
      <c r="R6322">
        <v>0.99347434203266405</v>
      </c>
      <c r="S6322" t="s">
        <v>12724</v>
      </c>
      <c r="T6322" t="s">
        <v>12802</v>
      </c>
      <c r="U6322" t="s">
        <v>12802</v>
      </c>
      <c r="V6322" t="s">
        <v>12802</v>
      </c>
      <c r="W6322" t="s">
        <v>19049</v>
      </c>
      <c r="X6322">
        <v>8</v>
      </c>
      <c r="Y6322" t="s">
        <v>25246</v>
      </c>
      <c r="Z6322" t="s">
        <v>31640</v>
      </c>
      <c r="AA6322">
        <v>0.56452616806290645</v>
      </c>
      <c r="AB6322" t="str">
        <f>HYPERLINK("Melting_Curves/meltCurve_Q9Y5P6_GMPPB.pdf", "Melting_Curves/meltCurve_Q9Y5P6_GMPPB.pdf")</f>
        <v>Melting_Curves/meltCurve_Q9Y5P6_GMPPB.pdf</v>
      </c>
    </row>
    <row r="6323" spans="1:28" x14ac:dyDescent="0.25">
      <c r="A6323" t="s">
        <v>6327</v>
      </c>
      <c r="B6323">
        <v>0.99542014353169495</v>
      </c>
      <c r="C6323">
        <v>0.93283357312270698</v>
      </c>
      <c r="D6323">
        <v>0.70750896570856203</v>
      </c>
      <c r="E6323">
        <v>0.268380595066807</v>
      </c>
      <c r="F6323">
        <v>0.13608987305520301</v>
      </c>
      <c r="G6323">
        <v>8.0784350838340596E-2</v>
      </c>
      <c r="H6323">
        <v>5.44467086089531E-2</v>
      </c>
      <c r="I6323">
        <v>3.8854979992884703E-2</v>
      </c>
      <c r="J6323">
        <v>3.6796649531186797E-2</v>
      </c>
      <c r="K6323">
        <v>3.6107062644791903E-2</v>
      </c>
      <c r="L6323">
        <v>1028.89531140553</v>
      </c>
      <c r="M6323">
        <v>23.159509421781301</v>
      </c>
      <c r="N6323">
        <v>44.616771870836502</v>
      </c>
      <c r="O6323">
        <v>44.099239134437497</v>
      </c>
      <c r="P6323">
        <v>-0.12511978415545599</v>
      </c>
      <c r="Q6323">
        <v>4.7029225337599401E-2</v>
      </c>
      <c r="R6323">
        <v>0.99862678166096197</v>
      </c>
      <c r="S6323" t="s">
        <v>12725</v>
      </c>
      <c r="T6323" t="s">
        <v>12802</v>
      </c>
      <c r="U6323" t="s">
        <v>12802</v>
      </c>
      <c r="V6323" t="s">
        <v>12802</v>
      </c>
      <c r="W6323" t="s">
        <v>19050</v>
      </c>
      <c r="X6323">
        <v>15</v>
      </c>
      <c r="Y6323" t="s">
        <v>25247</v>
      </c>
      <c r="Z6323" t="s">
        <v>31641</v>
      </c>
      <c r="AA6323">
        <v>0.29214050094286909</v>
      </c>
      <c r="AB6323" t="str">
        <f>HYPERLINK("Melting_Curves/meltCurve_Q9Y5Q8_GTF3C5.pdf", "Melting_Curves/meltCurve_Q9Y5Q8_GTF3C5.pdf")</f>
        <v>Melting_Curves/meltCurve_Q9Y5Q8_GTF3C5.pdf</v>
      </c>
    </row>
    <row r="6324" spans="1:28" x14ac:dyDescent="0.25">
      <c r="A6324" t="s">
        <v>6328</v>
      </c>
      <c r="B6324">
        <v>0.99542014353169495</v>
      </c>
      <c r="C6324">
        <v>0.78138429245296404</v>
      </c>
      <c r="D6324">
        <v>0.63942242313303699</v>
      </c>
      <c r="E6324">
        <v>0.44349009083135699</v>
      </c>
      <c r="F6324">
        <v>0.31023526793324202</v>
      </c>
      <c r="G6324">
        <v>0.207320252621782</v>
      </c>
      <c r="H6324">
        <v>0.153676411467118</v>
      </c>
      <c r="I6324">
        <v>0.121957686953896</v>
      </c>
      <c r="J6324">
        <v>0.17681075615957501</v>
      </c>
      <c r="K6324">
        <v>0.250712820961139</v>
      </c>
      <c r="L6324">
        <v>597.72922767268403</v>
      </c>
      <c r="M6324">
        <v>13.6177558046529</v>
      </c>
      <c r="N6324">
        <v>45.186438629600097</v>
      </c>
      <c r="O6324">
        <v>42.9792891940061</v>
      </c>
      <c r="P6324">
        <v>-6.6438881534370997E-2</v>
      </c>
      <c r="Q6324">
        <v>0.16136710978379701</v>
      </c>
      <c r="R6324">
        <v>0.977533428338213</v>
      </c>
      <c r="S6324" t="s">
        <v>12726</v>
      </c>
      <c r="T6324" t="s">
        <v>12802</v>
      </c>
      <c r="U6324" t="s">
        <v>12802</v>
      </c>
      <c r="V6324" t="s">
        <v>12802</v>
      </c>
      <c r="W6324" t="s">
        <v>19051</v>
      </c>
      <c r="X6324">
        <v>5</v>
      </c>
      <c r="Y6324" t="s">
        <v>25248</v>
      </c>
      <c r="Z6324" t="s">
        <v>31642</v>
      </c>
      <c r="AA6324">
        <v>0.37959690010335351</v>
      </c>
      <c r="AB6324" t="str">
        <f>HYPERLINK("Melting_Curves/meltCurve_Q9Y5Q9_GTF3C3.pdf", "Melting_Curves/meltCurve_Q9Y5Q9_GTF3C3.pdf")</f>
        <v>Melting_Curves/meltCurve_Q9Y5Q9_GTF3C3.pdf</v>
      </c>
    </row>
    <row r="6325" spans="1:28" x14ac:dyDescent="0.25">
      <c r="A6325" t="s">
        <v>6329</v>
      </c>
      <c r="B6325">
        <v>0.99542014353169495</v>
      </c>
      <c r="C6325">
        <v>0.68591495838881</v>
      </c>
      <c r="D6325">
        <v>0.82784775147234602</v>
      </c>
      <c r="E6325">
        <v>0.66304049940392296</v>
      </c>
      <c r="F6325">
        <v>0.32810104927138101</v>
      </c>
      <c r="G6325">
        <v>0.22869305120901701</v>
      </c>
      <c r="H6325">
        <v>0.20995727844264001</v>
      </c>
      <c r="I6325">
        <v>0.234602203498012</v>
      </c>
      <c r="J6325">
        <v>0.222118197538277</v>
      </c>
      <c r="K6325">
        <v>0.32173572814883999</v>
      </c>
      <c r="L6325">
        <v>566.93014376671795</v>
      </c>
      <c r="M6325">
        <v>12.423130083915799</v>
      </c>
      <c r="N6325">
        <v>47.611776669254098</v>
      </c>
      <c r="O6325">
        <v>44.500965589484501</v>
      </c>
      <c r="P6325">
        <v>-5.5741380149547097E-2</v>
      </c>
      <c r="Q6325">
        <v>0.20148221891204299</v>
      </c>
      <c r="R6325">
        <v>0.88995121333256</v>
      </c>
      <c r="S6325" t="s">
        <v>12727</v>
      </c>
      <c r="T6325" t="s">
        <v>12802</v>
      </c>
      <c r="U6325" t="s">
        <v>12802</v>
      </c>
      <c r="V6325" t="s">
        <v>12802</v>
      </c>
      <c r="W6325" t="s">
        <v>19052</v>
      </c>
      <c r="X6325">
        <v>1</v>
      </c>
      <c r="Y6325" t="s">
        <v>25249</v>
      </c>
      <c r="Z6325" t="s">
        <v>31643</v>
      </c>
      <c r="AA6325">
        <v>0.45772845205072321</v>
      </c>
      <c r="AB6325" t="str">
        <f>HYPERLINK("Melting_Curves/meltCurve_Q9Y5R8_TRAPPC1.pdf", "Melting_Curves/meltCurve_Q9Y5R8_TRAPPC1.pdf")</f>
        <v>Melting_Curves/meltCurve_Q9Y5R8_TRAPPC1.pdf</v>
      </c>
    </row>
    <row r="6326" spans="1:28" x14ac:dyDescent="0.25">
      <c r="A6326" t="s">
        <v>6330</v>
      </c>
      <c r="B6326">
        <v>0.99542014353169495</v>
      </c>
      <c r="C6326">
        <v>0.81514806722400601</v>
      </c>
      <c r="D6326">
        <v>0.89670423678675704</v>
      </c>
      <c r="E6326">
        <v>0.63489821470979901</v>
      </c>
      <c r="F6326">
        <v>0.58175783113844004</v>
      </c>
      <c r="G6326">
        <v>0.25687937305266201</v>
      </c>
      <c r="H6326">
        <v>7.8756648256589595E-2</v>
      </c>
      <c r="I6326">
        <v>3.6549751683193001E-2</v>
      </c>
      <c r="J6326">
        <v>3.3967803617118097E-2</v>
      </c>
      <c r="K6326">
        <v>3.5670092706439102E-2</v>
      </c>
      <c r="L6326">
        <v>634.17664562629</v>
      </c>
      <c r="M6326">
        <v>12.7993459099898</v>
      </c>
      <c r="N6326">
        <v>49.547605093595898</v>
      </c>
      <c r="O6326">
        <v>48.3848384926577</v>
      </c>
      <c r="P6326">
        <v>-6.6145458686835898E-2</v>
      </c>
      <c r="Q6326">
        <v>0</v>
      </c>
      <c r="R6326">
        <v>0.96618058435689202</v>
      </c>
      <c r="S6326" t="s">
        <v>12728</v>
      </c>
      <c r="T6326" t="s">
        <v>12802</v>
      </c>
      <c r="U6326" t="s">
        <v>12802</v>
      </c>
      <c r="V6326" t="s">
        <v>12802</v>
      </c>
      <c r="W6326" t="s">
        <v>19053</v>
      </c>
      <c r="X6326">
        <v>12</v>
      </c>
      <c r="Y6326" t="s">
        <v>25250</v>
      </c>
      <c r="Z6326" t="s">
        <v>31644</v>
      </c>
      <c r="AA6326">
        <v>0.4447684032034</v>
      </c>
      <c r="AB6326" t="str">
        <f>HYPERLINK("Melting_Curves/meltCurve_Q9Y5S1_TRPV2.pdf", "Melting_Curves/meltCurve_Q9Y5S1_TRPV2.pdf")</f>
        <v>Melting_Curves/meltCurve_Q9Y5S1_TRPV2.pdf</v>
      </c>
    </row>
    <row r="6327" spans="1:28" x14ac:dyDescent="0.25">
      <c r="A6327" t="s">
        <v>6331</v>
      </c>
      <c r="B6327">
        <v>0.99542014353169495</v>
      </c>
      <c r="C6327">
        <v>0.91560487633125098</v>
      </c>
      <c r="D6327">
        <v>0.948169735359914</v>
      </c>
      <c r="E6327">
        <v>0.66576953282624896</v>
      </c>
      <c r="F6327">
        <v>0.37758557779881402</v>
      </c>
      <c r="G6327">
        <v>0.163267303183217</v>
      </c>
      <c r="H6327">
        <v>0.13064061286105799</v>
      </c>
      <c r="I6327">
        <v>0.133213016444477</v>
      </c>
      <c r="J6327">
        <v>0.13289565111196799</v>
      </c>
      <c r="K6327">
        <v>0.124574022950233</v>
      </c>
      <c r="L6327">
        <v>1009.5878529691601</v>
      </c>
      <c r="M6327">
        <v>21.1104138237726</v>
      </c>
      <c r="N6327">
        <v>48.433413863900398</v>
      </c>
      <c r="O6327">
        <v>47.401196693306701</v>
      </c>
      <c r="P6327">
        <v>-9.8358639988840604E-2</v>
      </c>
      <c r="Q6327">
        <v>0.116607159708935</v>
      </c>
      <c r="R6327">
        <v>0.99414570511404998</v>
      </c>
      <c r="S6327" t="s">
        <v>12729</v>
      </c>
      <c r="T6327" t="s">
        <v>12802</v>
      </c>
      <c r="U6327" t="s">
        <v>12802</v>
      </c>
      <c r="V6327" t="s">
        <v>12802</v>
      </c>
      <c r="W6327" t="s">
        <v>19054</v>
      </c>
      <c r="X6327">
        <v>9</v>
      </c>
      <c r="Y6327" t="s">
        <v>25251</v>
      </c>
      <c r="Z6327" t="s">
        <v>31645</v>
      </c>
      <c r="AA6327">
        <v>0.44579828058934928</v>
      </c>
      <c r="AB6327" t="str">
        <f>HYPERLINK("Melting_Curves/meltCurve_Q9Y5S2_CDC42BPB.pdf", "Melting_Curves/meltCurve_Q9Y5S2_CDC42BPB.pdf")</f>
        <v>Melting_Curves/meltCurve_Q9Y5S2_CDC42BPB.pdf</v>
      </c>
    </row>
    <row r="6328" spans="1:28" x14ac:dyDescent="0.25">
      <c r="A6328" t="s">
        <v>6332</v>
      </c>
      <c r="B6328">
        <v>0.99542014353169495</v>
      </c>
      <c r="C6328">
        <v>0.90223437831451503</v>
      </c>
      <c r="D6328">
        <v>0.88756910846105896</v>
      </c>
      <c r="E6328">
        <v>0.85440728551478595</v>
      </c>
      <c r="F6328">
        <v>0.62467834900138597</v>
      </c>
      <c r="G6328">
        <v>0.324928171732009</v>
      </c>
      <c r="H6328">
        <v>0.15885961282284</v>
      </c>
      <c r="I6328">
        <v>9.1395488029220803E-2</v>
      </c>
      <c r="J6328">
        <v>9.8870669777496797E-2</v>
      </c>
      <c r="K6328">
        <v>9.6798038615451401E-2</v>
      </c>
      <c r="L6328">
        <v>849.94290314994601</v>
      </c>
      <c r="M6328">
        <v>16.647617842792599</v>
      </c>
      <c r="N6328">
        <v>51.407697178791899</v>
      </c>
      <c r="O6328">
        <v>50.335300393119603</v>
      </c>
      <c r="P6328">
        <v>-7.8225885613162696E-2</v>
      </c>
      <c r="Q6328">
        <v>5.3976546531193097E-2</v>
      </c>
      <c r="R6328">
        <v>0.98774997334181502</v>
      </c>
      <c r="S6328" t="s">
        <v>12730</v>
      </c>
      <c r="T6328" t="s">
        <v>12802</v>
      </c>
      <c r="U6328" t="s">
        <v>12802</v>
      </c>
      <c r="V6328" t="s">
        <v>12802</v>
      </c>
      <c r="W6328" t="s">
        <v>19055</v>
      </c>
      <c r="X6328">
        <v>6</v>
      </c>
      <c r="Y6328" t="s">
        <v>25252</v>
      </c>
      <c r="Z6328" t="s">
        <v>31646</v>
      </c>
      <c r="AA6328">
        <v>0.51365328598979454</v>
      </c>
      <c r="AB6328" t="str">
        <f>HYPERLINK("Melting_Curves/meltCurve_Q9Y5S9_RBM8A.pdf", "Melting_Curves/meltCurve_Q9Y5S9_RBM8A.pdf")</f>
        <v>Melting_Curves/meltCurve_Q9Y5S9_RBM8A.pdf</v>
      </c>
    </row>
    <row r="6329" spans="1:28" x14ac:dyDescent="0.25">
      <c r="A6329" t="s">
        <v>6333</v>
      </c>
      <c r="B6329">
        <v>0.99542014353169495</v>
      </c>
      <c r="C6329">
        <v>1.08490985548042</v>
      </c>
      <c r="D6329">
        <v>1.00037245478209</v>
      </c>
      <c r="E6329">
        <v>0.82421229254886197</v>
      </c>
      <c r="F6329">
        <v>0.70343457534290199</v>
      </c>
      <c r="G6329">
        <v>0.48734257464179898</v>
      </c>
      <c r="H6329">
        <v>0.35568799814186802</v>
      </c>
      <c r="I6329">
        <v>0.329399200956698</v>
      </c>
      <c r="J6329">
        <v>0.39135126851371899</v>
      </c>
      <c r="K6329">
        <v>0.38054830913677701</v>
      </c>
      <c r="L6329">
        <v>987.83853883148095</v>
      </c>
      <c r="M6329">
        <v>19.724471856083099</v>
      </c>
      <c r="N6329">
        <v>53.313855979675502</v>
      </c>
      <c r="O6329">
        <v>49.575608805277902</v>
      </c>
      <c r="P6329">
        <v>-6.4778967412719296E-2</v>
      </c>
      <c r="Q6329">
        <v>0.34875883054927598</v>
      </c>
      <c r="R6329">
        <v>0.97804408742165005</v>
      </c>
      <c r="S6329" t="s">
        <v>12731</v>
      </c>
      <c r="T6329" t="s">
        <v>12802</v>
      </c>
      <c r="U6329" t="s">
        <v>12802</v>
      </c>
      <c r="V6329" t="s">
        <v>12802</v>
      </c>
      <c r="W6329" t="s">
        <v>19056</v>
      </c>
      <c r="X6329">
        <v>1</v>
      </c>
      <c r="Y6329" t="s">
        <v>25253</v>
      </c>
      <c r="Z6329" t="s">
        <v>31647</v>
      </c>
      <c r="AA6329">
        <v>0.64152398881456163</v>
      </c>
      <c r="AB6329" t="str">
        <f>HYPERLINK("Melting_Curves/meltCurve_Q9Y5T4_DNAJC15.pdf", "Melting_Curves/meltCurve_Q9Y5T4_DNAJC15.pdf")</f>
        <v>Melting_Curves/meltCurve_Q9Y5T4_DNAJC15.pdf</v>
      </c>
    </row>
    <row r="6330" spans="1:28" x14ac:dyDescent="0.25">
      <c r="A6330" t="s">
        <v>6334</v>
      </c>
      <c r="B6330">
        <v>0.99542014353169495</v>
      </c>
      <c r="C6330">
        <v>0.96801294272122096</v>
      </c>
      <c r="D6330">
        <v>0.84391288622198002</v>
      </c>
      <c r="E6330">
        <v>0.37788675546883399</v>
      </c>
      <c r="F6330">
        <v>0.14601893568521501</v>
      </c>
      <c r="G6330">
        <v>7.4414803835439997E-2</v>
      </c>
      <c r="H6330">
        <v>4.8677255217054398E-2</v>
      </c>
      <c r="I6330">
        <v>3.8102927622382599E-2</v>
      </c>
      <c r="J6330">
        <v>4.5290138946640801E-2</v>
      </c>
      <c r="K6330">
        <v>4.55205066677715E-2</v>
      </c>
      <c r="L6330">
        <v>1174.2188414841501</v>
      </c>
      <c r="M6330">
        <v>25.768495633474501</v>
      </c>
      <c r="N6330">
        <v>45.744464709040599</v>
      </c>
      <c r="O6330">
        <v>45.296211949283098</v>
      </c>
      <c r="P6330">
        <v>-0.13549495049038501</v>
      </c>
      <c r="Q6330">
        <v>4.73115986010922E-2</v>
      </c>
      <c r="R6330">
        <v>0.99939140542662297</v>
      </c>
      <c r="S6330" t="s">
        <v>12732</v>
      </c>
      <c r="T6330" t="s">
        <v>12802</v>
      </c>
      <c r="U6330" t="s">
        <v>12802</v>
      </c>
      <c r="V6330" t="s">
        <v>12802</v>
      </c>
      <c r="W6330" t="s">
        <v>19057</v>
      </c>
      <c r="X6330">
        <v>13</v>
      </c>
      <c r="Y6330" t="s">
        <v>25254</v>
      </c>
      <c r="Z6330" t="s">
        <v>31648</v>
      </c>
      <c r="AA6330">
        <v>0.32677869969741369</v>
      </c>
      <c r="AB6330" t="str">
        <f>HYPERLINK("Melting_Curves/meltCurve_Q9Y5T5_2_USP16.pdf", "Melting_Curves/meltCurve_Q9Y5T5_2_USP16.pdf")</f>
        <v>Melting_Curves/meltCurve_Q9Y5T5_2_USP16.pdf</v>
      </c>
    </row>
    <row r="6331" spans="1:28" x14ac:dyDescent="0.25">
      <c r="A6331" t="s">
        <v>6335</v>
      </c>
      <c r="B6331">
        <v>0.99542014353169495</v>
      </c>
      <c r="C6331">
        <v>0.95000925689057003</v>
      </c>
      <c r="D6331">
        <v>0.87436192424793102</v>
      </c>
      <c r="E6331">
        <v>0.69318909208268997</v>
      </c>
      <c r="F6331">
        <v>0.50583632795368505</v>
      </c>
      <c r="G6331">
        <v>0.36870129216511299</v>
      </c>
      <c r="H6331">
        <v>0.51358570968953798</v>
      </c>
      <c r="I6331">
        <v>0.483460778988961</v>
      </c>
      <c r="J6331">
        <v>0.66001675600528598</v>
      </c>
      <c r="K6331">
        <v>0.77649394016134099</v>
      </c>
      <c r="L6331">
        <v>1281.6819871768</v>
      </c>
      <c r="M6331">
        <v>28.746063324960701</v>
      </c>
      <c r="O6331">
        <v>44.372246681044899</v>
      </c>
      <c r="P6331">
        <v>-7.2405609780312005E-2</v>
      </c>
      <c r="Q6331">
        <v>0.55294403469868403</v>
      </c>
      <c r="R6331">
        <v>0.73370120317384702</v>
      </c>
      <c r="S6331" t="s">
        <v>12733</v>
      </c>
      <c r="T6331" t="s">
        <v>12802</v>
      </c>
      <c r="U6331" t="s">
        <v>12802</v>
      </c>
      <c r="V6331" t="s">
        <v>12802</v>
      </c>
      <c r="W6331" t="s">
        <v>19058</v>
      </c>
      <c r="X6331">
        <v>5</v>
      </c>
      <c r="Y6331" t="s">
        <v>25255</v>
      </c>
      <c r="Z6331" t="s">
        <v>31649</v>
      </c>
      <c r="AA6331">
        <v>0.6687236005237982</v>
      </c>
      <c r="AB6331" t="str">
        <f>HYPERLINK("Melting_Curves/meltCurve_Q9Y5U2_2_TSSC4.pdf", "Melting_Curves/meltCurve_Q9Y5U2_2_TSSC4.pdf")</f>
        <v>Melting_Curves/meltCurve_Q9Y5U2_2_TSSC4.pdf</v>
      </c>
    </row>
    <row r="6332" spans="1:28" x14ac:dyDescent="0.25">
      <c r="A6332" t="s">
        <v>6336</v>
      </c>
      <c r="B6332">
        <v>0.99542014353169495</v>
      </c>
      <c r="C6332">
        <v>0.90614210078702895</v>
      </c>
      <c r="D6332">
        <v>0.85199171676502705</v>
      </c>
      <c r="E6332">
        <v>0.750581664738739</v>
      </c>
      <c r="F6332">
        <v>0.71461835797624595</v>
      </c>
      <c r="G6332">
        <v>0.48666474285588501</v>
      </c>
      <c r="H6332">
        <v>0.52039298668784595</v>
      </c>
      <c r="I6332">
        <v>0.48764432116190098</v>
      </c>
      <c r="J6332">
        <v>0.68962638562635303</v>
      </c>
      <c r="K6332">
        <v>0.50934095698581205</v>
      </c>
      <c r="L6332">
        <v>603.64527537977699</v>
      </c>
      <c r="M6332">
        <v>13.187591188775</v>
      </c>
      <c r="O6332">
        <v>44.759607888919</v>
      </c>
      <c r="P6332">
        <v>-3.4733677154918499E-2</v>
      </c>
      <c r="Q6332">
        <v>0.52852484007685796</v>
      </c>
      <c r="R6332">
        <v>0.85605742478910196</v>
      </c>
      <c r="S6332" t="s">
        <v>12734</v>
      </c>
      <c r="T6332" t="s">
        <v>12802</v>
      </c>
      <c r="U6332" t="s">
        <v>12802</v>
      </c>
      <c r="V6332" t="s">
        <v>12802</v>
      </c>
      <c r="W6332" t="s">
        <v>19059</v>
      </c>
      <c r="X6332">
        <v>1</v>
      </c>
      <c r="Y6332" t="s">
        <v>25256</v>
      </c>
      <c r="Z6332" t="s">
        <v>31650</v>
      </c>
      <c r="AA6332">
        <v>0.68032960695037159</v>
      </c>
      <c r="AB6332" t="str">
        <f>HYPERLINK("Melting_Curves/meltCurve_Q9Y5U9_IER3IP1.pdf", "Melting_Curves/meltCurve_Q9Y5U9_IER3IP1.pdf")</f>
        <v>Melting_Curves/meltCurve_Q9Y5U9_IER3IP1.pdf</v>
      </c>
    </row>
    <row r="6333" spans="1:28" x14ac:dyDescent="0.25">
      <c r="A6333" t="s">
        <v>6337</v>
      </c>
      <c r="B6333">
        <v>0.99542014353169495</v>
      </c>
      <c r="C6333">
        <v>0.82830815618012699</v>
      </c>
      <c r="D6333">
        <v>0.75429960599523904</v>
      </c>
      <c r="E6333">
        <v>0.69893199629726699</v>
      </c>
      <c r="F6333">
        <v>0.225980149338669</v>
      </c>
      <c r="G6333">
        <v>0.12921426813549799</v>
      </c>
      <c r="H6333">
        <v>0.13086887975227199</v>
      </c>
      <c r="I6333">
        <v>0.142387149786213</v>
      </c>
      <c r="J6333">
        <v>0.45082720863957898</v>
      </c>
      <c r="K6333">
        <v>1.4751778592742</v>
      </c>
      <c r="L6333">
        <v>958.33002209429606</v>
      </c>
      <c r="M6333">
        <v>22.174286179527201</v>
      </c>
      <c r="N6333">
        <v>47.962297060346998</v>
      </c>
      <c r="O6333">
        <v>42.8711748606936</v>
      </c>
      <c r="P6333">
        <v>-7.1866831326304295E-2</v>
      </c>
      <c r="Q6333">
        <v>0.44423015500276303</v>
      </c>
      <c r="R6333">
        <v>0.20148432337080499</v>
      </c>
      <c r="S6333" t="s">
        <v>12735</v>
      </c>
      <c r="T6333" t="s">
        <v>12802</v>
      </c>
      <c r="U6333" t="s">
        <v>12802</v>
      </c>
      <c r="V6333" t="s">
        <v>12802</v>
      </c>
      <c r="W6333" t="s">
        <v>19060</v>
      </c>
      <c r="X6333">
        <v>5</v>
      </c>
      <c r="Y6333" t="s">
        <v>25257</v>
      </c>
      <c r="Z6333" t="s">
        <v>31651</v>
      </c>
      <c r="AA6333">
        <v>0.5654890839326131</v>
      </c>
      <c r="AB6333" t="str">
        <f>HYPERLINK("Melting_Curves/meltCurve_Q9Y5V0_ZNF706.pdf", "Melting_Curves/meltCurve_Q9Y5V0_ZNF706.pdf")</f>
        <v>Melting_Curves/meltCurve_Q9Y5V0_ZNF706.pdf</v>
      </c>
    </row>
    <row r="6334" spans="1:28" x14ac:dyDescent="0.25">
      <c r="A6334" t="s">
        <v>6338</v>
      </c>
      <c r="B6334">
        <v>0.99542014353169495</v>
      </c>
      <c r="C6334">
        <v>0.91229781780419394</v>
      </c>
      <c r="D6334">
        <v>0.88240872953807603</v>
      </c>
      <c r="E6334">
        <v>0.67944006312308103</v>
      </c>
      <c r="F6334">
        <v>0.27152583741618502</v>
      </c>
      <c r="G6334">
        <v>0.114040919690161</v>
      </c>
      <c r="H6334">
        <v>6.3224723925605797E-2</v>
      </c>
      <c r="I6334">
        <v>4.6226191787483502E-2</v>
      </c>
      <c r="J6334">
        <v>5.8139005351287999E-2</v>
      </c>
      <c r="K6334">
        <v>5.0274881964569397E-2</v>
      </c>
      <c r="L6334">
        <v>1002.64664119039</v>
      </c>
      <c r="M6334">
        <v>20.996544203733201</v>
      </c>
      <c r="N6334">
        <v>47.9427986392176</v>
      </c>
      <c r="O6334">
        <v>47.326104481222004</v>
      </c>
      <c r="P6334">
        <v>-0.10649229912854501</v>
      </c>
      <c r="Q6334">
        <v>3.9893446811499297E-2</v>
      </c>
      <c r="R6334">
        <v>0.99432250833855396</v>
      </c>
      <c r="S6334" t="s">
        <v>12736</v>
      </c>
      <c r="T6334" t="s">
        <v>12802</v>
      </c>
      <c r="U6334" t="s">
        <v>12802</v>
      </c>
      <c r="V6334" t="s">
        <v>12802</v>
      </c>
      <c r="W6334" t="s">
        <v>19061</v>
      </c>
      <c r="X6334">
        <v>9</v>
      </c>
      <c r="Y6334" t="s">
        <v>25258</v>
      </c>
      <c r="Z6334" t="s">
        <v>31652</v>
      </c>
      <c r="AA6334">
        <v>0.39550560183140349</v>
      </c>
      <c r="AB6334" t="str">
        <f>HYPERLINK("Melting_Curves/meltCurve_Q9Y5X1_SNX9.pdf", "Melting_Curves/meltCurve_Q9Y5X1_SNX9.pdf")</f>
        <v>Melting_Curves/meltCurve_Q9Y5X1_SNX9.pdf</v>
      </c>
    </row>
    <row r="6335" spans="1:28" x14ac:dyDescent="0.25">
      <c r="A6335" t="s">
        <v>6339</v>
      </c>
      <c r="B6335">
        <v>0.99542014353169495</v>
      </c>
      <c r="C6335">
        <v>1.05694970624434</v>
      </c>
      <c r="D6335">
        <v>1.03256992231857</v>
      </c>
      <c r="E6335">
        <v>1.1167633106550801</v>
      </c>
      <c r="F6335">
        <v>0.882784688634908</v>
      </c>
      <c r="G6335">
        <v>0.75726231562483004</v>
      </c>
      <c r="H6335">
        <v>0.54831786978047004</v>
      </c>
      <c r="I6335">
        <v>0.25694044666723398</v>
      </c>
      <c r="J6335">
        <v>0.43091410390533902</v>
      </c>
      <c r="K6335">
        <v>3.1256082409908098E-2</v>
      </c>
      <c r="L6335">
        <v>874.62888717364694</v>
      </c>
      <c r="M6335">
        <v>15.130746781185501</v>
      </c>
      <c r="N6335">
        <v>58.184419899333903</v>
      </c>
      <c r="O6335">
        <v>56.823240891102003</v>
      </c>
      <c r="P6335">
        <v>-6.3446229733076995E-2</v>
      </c>
      <c r="Q6335">
        <v>4.7008471516659399E-2</v>
      </c>
      <c r="R6335">
        <v>0.928190793427773</v>
      </c>
      <c r="S6335" t="s">
        <v>12737</v>
      </c>
      <c r="T6335" t="s">
        <v>12802</v>
      </c>
      <c r="U6335" t="s">
        <v>12802</v>
      </c>
      <c r="V6335" t="s">
        <v>12802</v>
      </c>
      <c r="W6335" t="s">
        <v>19062</v>
      </c>
      <c r="X6335">
        <v>8</v>
      </c>
      <c r="Y6335" t="s">
        <v>25259</v>
      </c>
      <c r="Z6335" t="s">
        <v>31653</v>
      </c>
      <c r="AA6335">
        <v>0.71279686684863364</v>
      </c>
      <c r="AB6335" t="str">
        <f>HYPERLINK("Melting_Curves/meltCurve_Q9Y5X2_SNX8.pdf", "Melting_Curves/meltCurve_Q9Y5X2_SNX8.pdf")</f>
        <v>Melting_Curves/meltCurve_Q9Y5X2_SNX8.pdf</v>
      </c>
    </row>
    <row r="6336" spans="1:28" x14ac:dyDescent="0.25">
      <c r="A6336" t="s">
        <v>6340</v>
      </c>
      <c r="B6336">
        <v>0.99542014353169495</v>
      </c>
      <c r="C6336">
        <v>1.03202595345616</v>
      </c>
      <c r="D6336">
        <v>0.95157386909261898</v>
      </c>
      <c r="E6336">
        <v>0.79088084329002195</v>
      </c>
      <c r="F6336">
        <v>0.34177974141546003</v>
      </c>
      <c r="G6336">
        <v>0.121233775169118</v>
      </c>
      <c r="H6336">
        <v>8.4251338768035297E-2</v>
      </c>
      <c r="I6336">
        <v>6.4957529504311703E-2</v>
      </c>
      <c r="J6336">
        <v>7.3981168914674003E-2</v>
      </c>
      <c r="K6336">
        <v>7.7699624325385699E-2</v>
      </c>
      <c r="L6336">
        <v>1364.20073592118</v>
      </c>
      <c r="M6336">
        <v>28.0627540767033</v>
      </c>
      <c r="N6336">
        <v>48.873700132522799</v>
      </c>
      <c r="O6336">
        <v>48.367669118579002</v>
      </c>
      <c r="P6336">
        <v>-0.134949664451848</v>
      </c>
      <c r="Q6336">
        <v>6.9636023346274195E-2</v>
      </c>
      <c r="R6336">
        <v>0.99880797819390199</v>
      </c>
      <c r="S6336" t="s">
        <v>12738</v>
      </c>
      <c r="T6336" t="s">
        <v>12802</v>
      </c>
      <c r="U6336" t="s">
        <v>12802</v>
      </c>
      <c r="V6336" t="s">
        <v>12802</v>
      </c>
      <c r="W6336" t="s">
        <v>19063</v>
      </c>
      <c r="X6336">
        <v>22</v>
      </c>
      <c r="Y6336" t="s">
        <v>25260</v>
      </c>
      <c r="Z6336" t="s">
        <v>31654</v>
      </c>
      <c r="AA6336">
        <v>0.43613060862129088</v>
      </c>
      <c r="AB6336" t="str">
        <f>HYPERLINK("Melting_Curves/meltCurve_Q9Y5X3_SNX5.pdf", "Melting_Curves/meltCurve_Q9Y5X3_SNX5.pdf")</f>
        <v>Melting_Curves/meltCurve_Q9Y5X3_SNX5.pdf</v>
      </c>
    </row>
    <row r="6337" spans="1:28" x14ac:dyDescent="0.25">
      <c r="A6337" t="s">
        <v>6341</v>
      </c>
      <c r="B6337">
        <v>0.99542014353169495</v>
      </c>
      <c r="C6337">
        <v>1.00085328382931</v>
      </c>
      <c r="D6337">
        <v>0.923783464223489</v>
      </c>
      <c r="E6337">
        <v>0.81087699112609701</v>
      </c>
      <c r="F6337">
        <v>0.71387910523401299</v>
      </c>
      <c r="G6337">
        <v>0.47332485099043897</v>
      </c>
      <c r="H6337">
        <v>0.37546006999064302</v>
      </c>
      <c r="I6337">
        <v>0.32247688763164101</v>
      </c>
      <c r="J6337">
        <v>0.25685192626320702</v>
      </c>
      <c r="K6337">
        <v>0.16159583605120101</v>
      </c>
      <c r="L6337">
        <v>561.94092535931702</v>
      </c>
      <c r="M6337">
        <v>10.6356687710483</v>
      </c>
      <c r="N6337">
        <v>54.159666147510002</v>
      </c>
      <c r="O6337">
        <v>51.070303870836902</v>
      </c>
      <c r="P6337">
        <v>-4.61209184474047E-2</v>
      </c>
      <c r="Q6337">
        <v>0.11448725698243201</v>
      </c>
      <c r="R6337">
        <v>0.99196385204575199</v>
      </c>
      <c r="S6337" t="s">
        <v>12739</v>
      </c>
      <c r="T6337" t="s">
        <v>12802</v>
      </c>
      <c r="U6337" t="s">
        <v>12802</v>
      </c>
      <c r="V6337" t="s">
        <v>12802</v>
      </c>
      <c r="W6337" t="s">
        <v>19064</v>
      </c>
      <c r="X6337">
        <v>6</v>
      </c>
      <c r="Y6337" t="s">
        <v>25261</v>
      </c>
      <c r="Z6337" t="s">
        <v>31655</v>
      </c>
      <c r="AA6337">
        <v>0.60205379533221637</v>
      </c>
      <c r="AB6337" t="str">
        <f>HYPERLINK("Melting_Curves/meltCurve_Q9Y5Y0_FLVCR1.pdf", "Melting_Curves/meltCurve_Q9Y5Y0_FLVCR1.pdf")</f>
        <v>Melting_Curves/meltCurve_Q9Y5Y0_FLVCR1.pdf</v>
      </c>
    </row>
    <row r="6338" spans="1:28" x14ac:dyDescent="0.25">
      <c r="A6338" t="s">
        <v>6342</v>
      </c>
      <c r="B6338">
        <v>0.99542014353169495</v>
      </c>
      <c r="C6338">
        <v>1.0626148601557599</v>
      </c>
      <c r="D6338">
        <v>0.92309878627187902</v>
      </c>
      <c r="E6338">
        <v>0.88769370360414901</v>
      </c>
      <c r="F6338">
        <v>0.59976616511454195</v>
      </c>
      <c r="G6338">
        <v>0.36567492606253599</v>
      </c>
      <c r="H6338">
        <v>0.153114289548717</v>
      </c>
      <c r="I6338">
        <v>8.6902108868252004E-2</v>
      </c>
      <c r="J6338">
        <v>8.9859272151772807E-2</v>
      </c>
      <c r="K6338">
        <v>9.3795178663269002E-2</v>
      </c>
      <c r="L6338">
        <v>943.20302275706899</v>
      </c>
      <c r="M6338">
        <v>18.416227194897299</v>
      </c>
      <c r="N6338">
        <v>51.586207508503101</v>
      </c>
      <c r="O6338">
        <v>50.623439770783698</v>
      </c>
      <c r="P6338">
        <v>-8.5319454072649001E-2</v>
      </c>
      <c r="Q6338">
        <v>6.1920880294371899E-2</v>
      </c>
      <c r="R6338">
        <v>0.99351442308460303</v>
      </c>
      <c r="S6338" t="s">
        <v>12740</v>
      </c>
      <c r="T6338" t="s">
        <v>12802</v>
      </c>
      <c r="U6338" t="s">
        <v>12802</v>
      </c>
      <c r="V6338" t="s">
        <v>12802</v>
      </c>
      <c r="W6338" t="s">
        <v>19065</v>
      </c>
      <c r="X6338">
        <v>5</v>
      </c>
      <c r="Y6338" t="s">
        <v>25262</v>
      </c>
      <c r="Z6338" t="s">
        <v>31656</v>
      </c>
      <c r="AA6338">
        <v>0.52042414981287</v>
      </c>
      <c r="AB6338" t="str">
        <f>HYPERLINK("Melting_Curves/meltCurve_Q9Y5Y2_NUBP2.pdf", "Melting_Curves/meltCurve_Q9Y5Y2_NUBP2.pdf")</f>
        <v>Melting_Curves/meltCurve_Q9Y5Y2_NUBP2.pdf</v>
      </c>
    </row>
    <row r="6339" spans="1:28" x14ac:dyDescent="0.25">
      <c r="A6339" t="s">
        <v>6343</v>
      </c>
      <c r="B6339">
        <v>0.99542014353169495</v>
      </c>
      <c r="C6339">
        <v>0.99580530866206296</v>
      </c>
      <c r="D6339">
        <v>0.95495645562610598</v>
      </c>
      <c r="E6339">
        <v>0.94453313182346699</v>
      </c>
      <c r="F6339">
        <v>0.66605442195851206</v>
      </c>
      <c r="G6339">
        <v>0.42662482017751902</v>
      </c>
      <c r="H6339">
        <v>0.15043977762062399</v>
      </c>
      <c r="I6339">
        <v>7.7910162112666506E-2</v>
      </c>
      <c r="J6339">
        <v>8.9160197972437502E-2</v>
      </c>
      <c r="K6339">
        <v>0.114585266903173</v>
      </c>
      <c r="L6339">
        <v>1069.1974892001499</v>
      </c>
      <c r="M6339">
        <v>20.563260610750401</v>
      </c>
      <c r="N6339">
        <v>52.367771832013403</v>
      </c>
      <c r="O6339">
        <v>51.511280976084898</v>
      </c>
      <c r="P6339">
        <v>-9.3016631362038596E-2</v>
      </c>
      <c r="Q6339">
        <v>6.7994906132514299E-2</v>
      </c>
      <c r="R6339">
        <v>0.99437763611628105</v>
      </c>
      <c r="S6339" t="s">
        <v>12741</v>
      </c>
      <c r="T6339" t="s">
        <v>12802</v>
      </c>
      <c r="U6339" t="s">
        <v>12802</v>
      </c>
      <c r="V6339" t="s">
        <v>12802</v>
      </c>
      <c r="W6339" t="s">
        <v>19066</v>
      </c>
      <c r="X6339">
        <v>14</v>
      </c>
      <c r="Y6339" t="s">
        <v>25263</v>
      </c>
      <c r="Z6339" t="s">
        <v>31657</v>
      </c>
      <c r="AA6339">
        <v>0.54537782422590841</v>
      </c>
      <c r="AB6339" t="str">
        <f>HYPERLINK("Melting_Curves/meltCurve_Q9Y5Z4_HEBP2.pdf", "Melting_Curves/meltCurve_Q9Y5Z4_HEBP2.pdf")</f>
        <v>Melting_Curves/meltCurve_Q9Y5Z4_HEBP2.pdf</v>
      </c>
    </row>
    <row r="6340" spans="1:28" x14ac:dyDescent="0.25">
      <c r="A6340" t="s">
        <v>6344</v>
      </c>
      <c r="B6340">
        <v>0.99542014353169495</v>
      </c>
      <c r="C6340">
        <v>1.0700638770398601</v>
      </c>
      <c r="D6340">
        <v>0.90589289622446001</v>
      </c>
      <c r="E6340">
        <v>0.77683258541997902</v>
      </c>
      <c r="F6340">
        <v>0.48606872444719801</v>
      </c>
      <c r="G6340">
        <v>0.30330614645243398</v>
      </c>
      <c r="H6340">
        <v>0.16507095392915799</v>
      </c>
      <c r="I6340">
        <v>0.106452735406298</v>
      </c>
      <c r="J6340">
        <v>0.129595344593292</v>
      </c>
      <c r="K6340">
        <v>0.116563651848803</v>
      </c>
      <c r="L6340">
        <v>854.89313661737503</v>
      </c>
      <c r="M6340">
        <v>17.2661554005049</v>
      </c>
      <c r="N6340">
        <v>50.150850946461297</v>
      </c>
      <c r="O6340">
        <v>48.862801860633503</v>
      </c>
      <c r="P6340">
        <v>-7.9631745182895702E-2</v>
      </c>
      <c r="Q6340">
        <v>9.8628722589274506E-2</v>
      </c>
      <c r="R6340">
        <v>0.99301167885258801</v>
      </c>
      <c r="S6340" t="s">
        <v>12742</v>
      </c>
      <c r="T6340" t="s">
        <v>12802</v>
      </c>
      <c r="U6340" t="s">
        <v>12802</v>
      </c>
      <c r="V6340" t="s">
        <v>12802</v>
      </c>
      <c r="W6340" t="s">
        <v>19067</v>
      </c>
      <c r="X6340">
        <v>2</v>
      </c>
      <c r="Y6340" t="s">
        <v>25264</v>
      </c>
      <c r="Z6340" t="s">
        <v>31658</v>
      </c>
      <c r="AA6340">
        <v>0.48988493740895489</v>
      </c>
      <c r="AB6340" t="str">
        <f>HYPERLINK("Melting_Curves/meltCurve_Q9Y605_MRFAP1.pdf", "Melting_Curves/meltCurve_Q9Y605_MRFAP1.pdf")</f>
        <v>Melting_Curves/meltCurve_Q9Y605_MRFAP1.pdf</v>
      </c>
    </row>
    <row r="6341" spans="1:28" x14ac:dyDescent="0.25">
      <c r="A6341" t="s">
        <v>6345</v>
      </c>
      <c r="B6341">
        <v>0.99542014353169495</v>
      </c>
      <c r="C6341">
        <v>1.06136144447353</v>
      </c>
      <c r="D6341">
        <v>1.0547064941097</v>
      </c>
      <c r="E6341">
        <v>0.88503316851380898</v>
      </c>
      <c r="F6341">
        <v>0.68041849889322903</v>
      </c>
      <c r="G6341">
        <v>0.35886386619845601</v>
      </c>
      <c r="H6341">
        <v>0.22012112365868</v>
      </c>
      <c r="I6341">
        <v>5.5306481091007803E-2</v>
      </c>
      <c r="J6341">
        <v>4.4922669544559098E-2</v>
      </c>
      <c r="K6341">
        <v>5.1705359939044598E-2</v>
      </c>
      <c r="L6341">
        <v>972.74674087252197</v>
      </c>
      <c r="M6341">
        <v>18.659867419443199</v>
      </c>
      <c r="N6341">
        <v>52.277644120952402</v>
      </c>
      <c r="O6341">
        <v>51.542762776138098</v>
      </c>
      <c r="P6341">
        <v>-8.8193689560161395E-2</v>
      </c>
      <c r="Q6341">
        <v>2.5598160504898299E-2</v>
      </c>
      <c r="R6341">
        <v>0.992289515665704</v>
      </c>
      <c r="S6341" t="s">
        <v>12743</v>
      </c>
      <c r="T6341" t="s">
        <v>12802</v>
      </c>
      <c r="U6341" t="s">
        <v>12802</v>
      </c>
      <c r="V6341" t="s">
        <v>12802</v>
      </c>
      <c r="W6341" t="s">
        <v>19068</v>
      </c>
      <c r="X6341">
        <v>12</v>
      </c>
      <c r="Y6341" t="s">
        <v>25265</v>
      </c>
      <c r="Z6341" t="s">
        <v>31659</v>
      </c>
      <c r="AA6341">
        <v>0.53096845663469827</v>
      </c>
      <c r="AB6341" t="str">
        <f>HYPERLINK("Melting_Curves/meltCurve_Q9Y608_LRRFIP2.pdf", "Melting_Curves/meltCurve_Q9Y608_LRRFIP2.pdf")</f>
        <v>Melting_Curves/meltCurve_Q9Y608_LRRFIP2.pdf</v>
      </c>
    </row>
    <row r="6342" spans="1:28" x14ac:dyDescent="0.25">
      <c r="A6342" t="s">
        <v>6346</v>
      </c>
      <c r="B6342">
        <v>0.99542014353169495</v>
      </c>
      <c r="C6342">
        <v>0.95792564967899396</v>
      </c>
      <c r="D6342">
        <v>0.94550362353763895</v>
      </c>
      <c r="E6342">
        <v>0.69310875396853899</v>
      </c>
      <c r="F6342">
        <v>0.59500263735465497</v>
      </c>
      <c r="G6342">
        <v>0.73566258213431901</v>
      </c>
      <c r="H6342">
        <v>0.63364646115302403</v>
      </c>
      <c r="I6342">
        <v>0.58507093029633805</v>
      </c>
      <c r="J6342">
        <v>0.896953642551508</v>
      </c>
      <c r="K6342">
        <v>1.2009353029144201</v>
      </c>
      <c r="L6342">
        <v>10801.992188082</v>
      </c>
      <c r="M6342">
        <v>250</v>
      </c>
      <c r="O6342">
        <v>43.205203985844797</v>
      </c>
      <c r="P6342">
        <v>-0.34296870968392201</v>
      </c>
      <c r="Q6342">
        <v>0.76291147268515802</v>
      </c>
      <c r="R6342">
        <v>0.227299098466963</v>
      </c>
      <c r="S6342" t="s">
        <v>12744</v>
      </c>
      <c r="T6342" t="s">
        <v>12802</v>
      </c>
      <c r="U6342" t="s">
        <v>12802</v>
      </c>
      <c r="V6342" t="s">
        <v>12802</v>
      </c>
      <c r="W6342" t="s">
        <v>19069</v>
      </c>
      <c r="X6342">
        <v>12</v>
      </c>
      <c r="Y6342" t="s">
        <v>25265</v>
      </c>
      <c r="Z6342" t="s">
        <v>31660</v>
      </c>
      <c r="AA6342">
        <v>0.81199072324876564</v>
      </c>
      <c r="AB6342" t="str">
        <f>HYPERLINK("Melting_Curves/meltCurve_Q9Y608_4_LRRFIP2.pdf", "Melting_Curves/meltCurve_Q9Y608_4_LRRFIP2.pdf")</f>
        <v>Melting_Curves/meltCurve_Q9Y608_4_LRRFIP2.pdf</v>
      </c>
    </row>
    <row r="6343" spans="1:28" x14ac:dyDescent="0.25">
      <c r="A6343" t="s">
        <v>6347</v>
      </c>
      <c r="B6343">
        <v>0.99542014353169495</v>
      </c>
      <c r="C6343">
        <v>0.93768481915148105</v>
      </c>
      <c r="D6343">
        <v>0.75461995831269002</v>
      </c>
      <c r="E6343">
        <v>0.30239787722792399</v>
      </c>
      <c r="F6343">
        <v>0.17827713971717901</v>
      </c>
      <c r="G6343">
        <v>9.8049728005994999E-2</v>
      </c>
      <c r="H6343">
        <v>5.9784009375104398E-2</v>
      </c>
      <c r="I6343">
        <v>4.2719918444277701E-2</v>
      </c>
      <c r="J6343">
        <v>4.4768689295828203E-2</v>
      </c>
      <c r="K6343">
        <v>5.2087936390823902E-2</v>
      </c>
      <c r="L6343">
        <v>1004.9812317570299</v>
      </c>
      <c r="M6343">
        <v>22.429419080004202</v>
      </c>
      <c r="N6343">
        <v>45.049697317306297</v>
      </c>
      <c r="O6343">
        <v>44.454779956984403</v>
      </c>
      <c r="P6343">
        <v>-0.118943328629227</v>
      </c>
      <c r="Q6343">
        <v>5.7043765027333403E-2</v>
      </c>
      <c r="R6343">
        <v>0.99683667431122402</v>
      </c>
      <c r="S6343" t="s">
        <v>12745</v>
      </c>
      <c r="T6343" t="s">
        <v>12802</v>
      </c>
      <c r="U6343" t="s">
        <v>12802</v>
      </c>
      <c r="V6343" t="s">
        <v>12802</v>
      </c>
      <c r="W6343" t="s">
        <v>19070</v>
      </c>
      <c r="X6343">
        <v>32</v>
      </c>
      <c r="Y6343" t="s">
        <v>25266</v>
      </c>
      <c r="Z6343" t="s">
        <v>31661</v>
      </c>
      <c r="AA6343">
        <v>0.31214670655710308</v>
      </c>
      <c r="AB6343" t="str">
        <f>HYPERLINK("Melting_Curves/meltCurve_Q9Y613_FHOD1.pdf", "Melting_Curves/meltCurve_Q9Y613_FHOD1.pdf")</f>
        <v>Melting_Curves/meltCurve_Q9Y613_FHOD1.pdf</v>
      </c>
    </row>
    <row r="6344" spans="1:28" x14ac:dyDescent="0.25">
      <c r="A6344" t="s">
        <v>6348</v>
      </c>
      <c r="B6344">
        <v>0.99542014353169495</v>
      </c>
      <c r="C6344">
        <v>1.00330554300079</v>
      </c>
      <c r="D6344">
        <v>0.95352669177424798</v>
      </c>
      <c r="E6344">
        <v>0.94928803252294602</v>
      </c>
      <c r="F6344">
        <v>0.73543542111962301</v>
      </c>
      <c r="G6344">
        <v>0.69193836925928698</v>
      </c>
      <c r="H6344">
        <v>0.39092476096984002</v>
      </c>
      <c r="I6344">
        <v>0.21568005757113001</v>
      </c>
      <c r="J6344">
        <v>0.11464385355747</v>
      </c>
      <c r="K6344">
        <v>6.1624535235665502E-2</v>
      </c>
      <c r="L6344">
        <v>781.18511256219494</v>
      </c>
      <c r="M6344">
        <v>14.048249852178801</v>
      </c>
      <c r="N6344">
        <v>55.607290978101801</v>
      </c>
      <c r="O6344">
        <v>54.516881226940903</v>
      </c>
      <c r="P6344">
        <v>-6.44299712834559E-2</v>
      </c>
      <c r="Q6344">
        <v>0</v>
      </c>
      <c r="R6344">
        <v>0.98856683543975599</v>
      </c>
      <c r="S6344" t="s">
        <v>12746</v>
      </c>
      <c r="T6344" t="s">
        <v>12802</v>
      </c>
      <c r="U6344" t="s">
        <v>12802</v>
      </c>
      <c r="V6344" t="s">
        <v>12802</v>
      </c>
      <c r="W6344" t="s">
        <v>19071</v>
      </c>
      <c r="X6344">
        <v>21</v>
      </c>
      <c r="Y6344" t="s">
        <v>25267</v>
      </c>
      <c r="Z6344" t="s">
        <v>31662</v>
      </c>
      <c r="AA6344">
        <v>0.63280547800579612</v>
      </c>
      <c r="AB6344" t="str">
        <f>HYPERLINK("Melting_Curves/meltCurve_Q9Y617_PSAT1.pdf", "Melting_Curves/meltCurve_Q9Y617_PSAT1.pdf")</f>
        <v>Melting_Curves/meltCurve_Q9Y617_PSAT1.pdf</v>
      </c>
    </row>
    <row r="6345" spans="1:28" x14ac:dyDescent="0.25">
      <c r="A6345" t="s">
        <v>6349</v>
      </c>
      <c r="B6345">
        <v>0.99542014353169495</v>
      </c>
      <c r="C6345">
        <v>1.10324454083281</v>
      </c>
      <c r="D6345">
        <v>1.1052894771415001</v>
      </c>
      <c r="E6345">
        <v>0.97041570252516196</v>
      </c>
      <c r="F6345">
        <v>0.82397815779619199</v>
      </c>
      <c r="G6345">
        <v>0.582291752495535</v>
      </c>
      <c r="H6345">
        <v>0.41709382879499501</v>
      </c>
      <c r="I6345">
        <v>0.38487705370259401</v>
      </c>
      <c r="J6345">
        <v>0.49447313009820199</v>
      </c>
      <c r="K6345">
        <v>0.58155682402600495</v>
      </c>
      <c r="L6345">
        <v>1790.2262105314101</v>
      </c>
      <c r="M6345">
        <v>34.912126919004997</v>
      </c>
      <c r="N6345">
        <v>55.824335623331002</v>
      </c>
      <c r="O6345">
        <v>51.110694158458998</v>
      </c>
      <c r="P6345">
        <v>-9.0356495341613094E-2</v>
      </c>
      <c r="Q6345">
        <v>0.47088107631334802</v>
      </c>
      <c r="R6345">
        <v>0.934794107501007</v>
      </c>
      <c r="S6345" t="s">
        <v>12747</v>
      </c>
      <c r="T6345" t="s">
        <v>12802</v>
      </c>
      <c r="U6345" t="s">
        <v>12802</v>
      </c>
      <c r="V6345" t="s">
        <v>12802</v>
      </c>
      <c r="W6345" t="s">
        <v>19072</v>
      </c>
      <c r="X6345">
        <v>1</v>
      </c>
      <c r="Y6345" t="s">
        <v>25268</v>
      </c>
      <c r="Z6345" t="s">
        <v>31663</v>
      </c>
      <c r="AA6345">
        <v>0.72516378565185069</v>
      </c>
      <c r="AB6345" t="str">
        <f>HYPERLINK("Melting_Curves/meltCurve_Q9Y619_SLC25A15.pdf", "Melting_Curves/meltCurve_Q9Y619_SLC25A15.pdf")</f>
        <v>Melting_Curves/meltCurve_Q9Y619_SLC25A15.pdf</v>
      </c>
    </row>
    <row r="6346" spans="1:28" x14ac:dyDescent="0.25">
      <c r="A6346" t="s">
        <v>6350</v>
      </c>
      <c r="B6346">
        <v>0.99542014353169495</v>
      </c>
      <c r="C6346">
        <v>0.91570961796597505</v>
      </c>
      <c r="D6346">
        <v>0.77378462225236799</v>
      </c>
      <c r="E6346">
        <v>0.326642808328371</v>
      </c>
      <c r="F6346">
        <v>0.231284491442762</v>
      </c>
      <c r="G6346">
        <v>0.112995720406947</v>
      </c>
      <c r="H6346">
        <v>8.1589389549537303E-2</v>
      </c>
      <c r="I6346">
        <v>5.6390732024898402E-2</v>
      </c>
      <c r="J6346">
        <v>5.3339567616624999E-2</v>
      </c>
      <c r="K6346">
        <v>4.4181555899033297E-2</v>
      </c>
      <c r="L6346">
        <v>881.39623672301605</v>
      </c>
      <c r="M6346">
        <v>19.557549230958099</v>
      </c>
      <c r="N6346">
        <v>45.372447672078202</v>
      </c>
      <c r="O6346">
        <v>44.603567113533799</v>
      </c>
      <c r="P6346">
        <v>-0.102856542007811</v>
      </c>
      <c r="Q6346">
        <v>6.17217969702595E-2</v>
      </c>
      <c r="R6346">
        <v>0.99301943632942702</v>
      </c>
      <c r="S6346" t="s">
        <v>12748</v>
      </c>
      <c r="T6346" t="s">
        <v>12802</v>
      </c>
      <c r="U6346" t="s">
        <v>12802</v>
      </c>
      <c r="V6346" t="s">
        <v>12802</v>
      </c>
      <c r="W6346" t="s">
        <v>19073</v>
      </c>
      <c r="X6346">
        <v>3</v>
      </c>
      <c r="Y6346" t="s">
        <v>25269</v>
      </c>
      <c r="Z6346" t="s">
        <v>31664</v>
      </c>
      <c r="AA6346">
        <v>0.32693238881982439</v>
      </c>
      <c r="AB6346" t="str">
        <f>HYPERLINK("Melting_Curves/meltCurve_Q9Y620_RAD54B.pdf", "Melting_Curves/meltCurve_Q9Y620_RAD54B.pdf")</f>
        <v>Melting_Curves/meltCurve_Q9Y620_RAD54B.pdf</v>
      </c>
    </row>
    <row r="6347" spans="1:28" x14ac:dyDescent="0.25">
      <c r="A6347" t="s">
        <v>6351</v>
      </c>
      <c r="B6347">
        <v>0.99542014353169495</v>
      </c>
      <c r="C6347">
        <v>0.99575011938528002</v>
      </c>
      <c r="D6347">
        <v>0.95832023883469697</v>
      </c>
      <c r="E6347">
        <v>0.77324822193229303</v>
      </c>
      <c r="F6347">
        <v>0.752770297784215</v>
      </c>
      <c r="G6347">
        <v>0.51188515508352805</v>
      </c>
      <c r="H6347">
        <v>0.44170170731624098</v>
      </c>
      <c r="I6347">
        <v>0.43136777625538503</v>
      </c>
      <c r="J6347">
        <v>0.57937776399347896</v>
      </c>
      <c r="K6347">
        <v>0.66466909556991405</v>
      </c>
      <c r="L6347">
        <v>957.05088141202998</v>
      </c>
      <c r="M6347">
        <v>20.0272695208246</v>
      </c>
      <c r="O6347">
        <v>47.318592189230102</v>
      </c>
      <c r="P6347">
        <v>-5.0391957291036002E-2</v>
      </c>
      <c r="Q6347">
        <v>0.52376953178436503</v>
      </c>
      <c r="R6347">
        <v>0.87063770791828599</v>
      </c>
      <c r="S6347" t="s">
        <v>12749</v>
      </c>
      <c r="T6347" t="s">
        <v>12802</v>
      </c>
      <c r="U6347" t="s">
        <v>12802</v>
      </c>
      <c r="V6347" t="s">
        <v>12802</v>
      </c>
      <c r="W6347" t="s">
        <v>19074</v>
      </c>
      <c r="X6347">
        <v>7</v>
      </c>
      <c r="Y6347" t="s">
        <v>25270</v>
      </c>
      <c r="Z6347" t="s">
        <v>31665</v>
      </c>
      <c r="AA6347">
        <v>0.70124817075040902</v>
      </c>
      <c r="AB6347" t="str">
        <f>HYPERLINK("Melting_Curves/meltCurve_Q9Y639_1_NPTN.pdf", "Melting_Curves/meltCurve_Q9Y639_1_NPTN.pdf")</f>
        <v>Melting_Curves/meltCurve_Q9Y639_1_NPTN.pdf</v>
      </c>
    </row>
    <row r="6348" spans="1:28" x14ac:dyDescent="0.25">
      <c r="A6348" t="s">
        <v>6352</v>
      </c>
      <c r="B6348">
        <v>0.99542014353169495</v>
      </c>
      <c r="C6348">
        <v>1.05133661230264</v>
      </c>
      <c r="D6348">
        <v>0.90019954342208697</v>
      </c>
      <c r="E6348">
        <v>0.71973628406738899</v>
      </c>
      <c r="F6348">
        <v>0.55082130535448803</v>
      </c>
      <c r="G6348">
        <v>0.37329930844898601</v>
      </c>
      <c r="H6348">
        <v>0.25160470129238499</v>
      </c>
      <c r="I6348">
        <v>0.16451636801564501</v>
      </c>
      <c r="J6348">
        <v>0.228255240785357</v>
      </c>
      <c r="K6348">
        <v>0.15290558025996601</v>
      </c>
      <c r="L6348">
        <v>697.50949554994997</v>
      </c>
      <c r="M6348">
        <v>14.0787295138533</v>
      </c>
      <c r="N6348">
        <v>50.809087053155203</v>
      </c>
      <c r="O6348">
        <v>48.576058829236203</v>
      </c>
      <c r="P6348">
        <v>-6.1749054295388302E-2</v>
      </c>
      <c r="Q6348">
        <v>0.14789543770573299</v>
      </c>
      <c r="R6348">
        <v>0.98946972832140301</v>
      </c>
      <c r="S6348" t="s">
        <v>12750</v>
      </c>
      <c r="T6348" t="s">
        <v>12802</v>
      </c>
      <c r="U6348" t="s">
        <v>12802</v>
      </c>
      <c r="V6348" t="s">
        <v>12802</v>
      </c>
      <c r="W6348" t="s">
        <v>19075</v>
      </c>
      <c r="X6348">
        <v>4</v>
      </c>
      <c r="Y6348" t="s">
        <v>25271</v>
      </c>
      <c r="Z6348" t="s">
        <v>31666</v>
      </c>
      <c r="AA6348">
        <v>0.52399780671865703</v>
      </c>
      <c r="AB6348" t="str">
        <f>HYPERLINK("Melting_Curves/meltCurve_Q9Y646_CPQ.pdf", "Melting_Curves/meltCurve_Q9Y646_CPQ.pdf")</f>
        <v>Melting_Curves/meltCurve_Q9Y646_CPQ.pdf</v>
      </c>
    </row>
    <row r="6349" spans="1:28" x14ac:dyDescent="0.25">
      <c r="A6349" t="s">
        <v>6353</v>
      </c>
      <c r="B6349">
        <v>0.99542014353169495</v>
      </c>
      <c r="C6349">
        <v>1.0268165146392201</v>
      </c>
      <c r="D6349">
        <v>0.95216037511106</v>
      </c>
      <c r="E6349">
        <v>0.78873229518157595</v>
      </c>
      <c r="F6349">
        <v>0.61293753755936697</v>
      </c>
      <c r="G6349">
        <v>0.41969078030013701</v>
      </c>
      <c r="H6349">
        <v>0.19100796252101901</v>
      </c>
      <c r="I6349">
        <v>0.100874923038757</v>
      </c>
      <c r="J6349">
        <v>6.2694225275820401E-2</v>
      </c>
      <c r="K6349">
        <v>9.1399592088134002E-2</v>
      </c>
      <c r="L6349">
        <v>713.72776923139304</v>
      </c>
      <c r="M6349">
        <v>13.793574511054301</v>
      </c>
      <c r="N6349">
        <v>51.856053819745703</v>
      </c>
      <c r="O6349">
        <v>50.692318194916098</v>
      </c>
      <c r="P6349">
        <v>-6.7032120173317306E-2</v>
      </c>
      <c r="Q6349">
        <v>1.4748136662484901E-2</v>
      </c>
      <c r="R6349">
        <v>0.99488786316477695</v>
      </c>
      <c r="S6349" t="s">
        <v>12751</v>
      </c>
      <c r="T6349" t="s">
        <v>12802</v>
      </c>
      <c r="U6349" t="s">
        <v>12802</v>
      </c>
      <c r="V6349" t="s">
        <v>12802</v>
      </c>
      <c r="W6349" t="s">
        <v>19076</v>
      </c>
      <c r="X6349">
        <v>2</v>
      </c>
      <c r="Y6349" t="s">
        <v>25272</v>
      </c>
      <c r="Z6349" t="s">
        <v>31667</v>
      </c>
      <c r="AA6349">
        <v>0.51998001283227269</v>
      </c>
      <c r="AB6349" t="str">
        <f>HYPERLINK("Melting_Curves/meltCurve_Q9Y657_SPIN1.pdf", "Melting_Curves/meltCurve_Q9Y657_SPIN1.pdf")</f>
        <v>Melting_Curves/meltCurve_Q9Y657_SPIN1.pdf</v>
      </c>
    </row>
    <row r="6350" spans="1:28" x14ac:dyDescent="0.25">
      <c r="A6350" t="s">
        <v>6354</v>
      </c>
      <c r="B6350">
        <v>0.99542014353169495</v>
      </c>
      <c r="C6350">
        <v>1.00190943152043</v>
      </c>
      <c r="D6350">
        <v>0.98953089408886996</v>
      </c>
      <c r="E6350">
        <v>1.0302398522720799</v>
      </c>
      <c r="F6350">
        <v>0.87162764974604101</v>
      </c>
      <c r="G6350">
        <v>0.53452594769310002</v>
      </c>
      <c r="H6350">
        <v>0.108566038121007</v>
      </c>
      <c r="I6350">
        <v>6.8906067784400504E-2</v>
      </c>
      <c r="J6350">
        <v>7.2684298655413995E-2</v>
      </c>
      <c r="K6350">
        <v>8.6728666816482905E-2</v>
      </c>
      <c r="L6350">
        <v>1832.91842390221</v>
      </c>
      <c r="M6350">
        <v>34.174125908625101</v>
      </c>
      <c r="N6350">
        <v>53.838422686563703</v>
      </c>
      <c r="O6350">
        <v>53.452040769132701</v>
      </c>
      <c r="P6350">
        <v>-0.150140795350894</v>
      </c>
      <c r="Q6350">
        <v>6.0657953554910299E-2</v>
      </c>
      <c r="R6350">
        <v>0.99617564223994903</v>
      </c>
      <c r="S6350" t="s">
        <v>12752</v>
      </c>
      <c r="T6350" t="s">
        <v>12802</v>
      </c>
      <c r="U6350" t="s">
        <v>12802</v>
      </c>
      <c r="V6350" t="s">
        <v>12802</v>
      </c>
      <c r="W6350" t="s">
        <v>19077</v>
      </c>
      <c r="X6350">
        <v>8</v>
      </c>
      <c r="Y6350" t="s">
        <v>25273</v>
      </c>
      <c r="Z6350" t="s">
        <v>31668</v>
      </c>
      <c r="AA6350">
        <v>0.58621068338589966</v>
      </c>
      <c r="AB6350" t="str">
        <f>HYPERLINK("Melting_Curves/meltCurve_Q9Y673_ALG5.pdf", "Melting_Curves/meltCurve_Q9Y673_ALG5.pdf")</f>
        <v>Melting_Curves/meltCurve_Q9Y673_ALG5.pdf</v>
      </c>
    </row>
    <row r="6351" spans="1:28" x14ac:dyDescent="0.25">
      <c r="A6351" t="s">
        <v>6355</v>
      </c>
      <c r="B6351">
        <v>0.99542014353169495</v>
      </c>
      <c r="C6351">
        <v>0.91556655200465897</v>
      </c>
      <c r="D6351">
        <v>0.93950230818469205</v>
      </c>
      <c r="E6351">
        <v>1.1254331515612499</v>
      </c>
      <c r="F6351">
        <v>0.67629524237955296</v>
      </c>
      <c r="G6351">
        <v>0.44705616709380602</v>
      </c>
      <c r="H6351">
        <v>0.26919686011054</v>
      </c>
      <c r="I6351">
        <v>0.171331722778997</v>
      </c>
      <c r="J6351">
        <v>0.18855687515661901</v>
      </c>
      <c r="K6351">
        <v>0.201093684376144</v>
      </c>
      <c r="L6351">
        <v>1366.2717798974199</v>
      </c>
      <c r="M6351">
        <v>26.398001334310599</v>
      </c>
      <c r="N6351">
        <v>52.719214317327001</v>
      </c>
      <c r="O6351">
        <v>51.462361590014403</v>
      </c>
      <c r="P6351">
        <v>-0.10371816198589399</v>
      </c>
      <c r="Q6351">
        <v>0.191223057770568</v>
      </c>
      <c r="R6351">
        <v>0.96361135570818801</v>
      </c>
      <c r="S6351" t="s">
        <v>12753</v>
      </c>
      <c r="T6351" t="s">
        <v>12802</v>
      </c>
      <c r="U6351" t="s">
        <v>12802</v>
      </c>
      <c r="V6351" t="s">
        <v>12802</v>
      </c>
      <c r="W6351" t="s">
        <v>19078</v>
      </c>
      <c r="X6351">
        <v>2</v>
      </c>
      <c r="Y6351" t="s">
        <v>25274</v>
      </c>
      <c r="Z6351" t="s">
        <v>31669</v>
      </c>
      <c r="AA6351">
        <v>0.59553231642050386</v>
      </c>
      <c r="AB6351" t="str">
        <f>HYPERLINK("Melting_Curves/meltCurve_Q9Y676_MRPS18B.pdf", "Melting_Curves/meltCurve_Q9Y676_MRPS18B.pdf")</f>
        <v>Melting_Curves/meltCurve_Q9Y676_MRPS18B.pdf</v>
      </c>
    </row>
    <row r="6352" spans="1:28" x14ac:dyDescent="0.25">
      <c r="A6352" t="s">
        <v>6356</v>
      </c>
      <c r="B6352">
        <v>0.99542014353169495</v>
      </c>
      <c r="C6352">
        <v>0.89634985238386999</v>
      </c>
      <c r="D6352">
        <v>0.92666550663834502</v>
      </c>
      <c r="E6352">
        <v>0.71924270282797798</v>
      </c>
      <c r="F6352">
        <v>0.52118327750581195</v>
      </c>
      <c r="G6352">
        <v>0.25588512468492502</v>
      </c>
      <c r="H6352">
        <v>8.1266191028476098E-2</v>
      </c>
      <c r="I6352">
        <v>4.8786474260092E-2</v>
      </c>
      <c r="J6352">
        <v>4.7638313373055498E-2</v>
      </c>
      <c r="K6352">
        <v>4.5162985740098201E-2</v>
      </c>
      <c r="L6352">
        <v>734.42783658572398</v>
      </c>
      <c r="M6352">
        <v>14.7129206526369</v>
      </c>
      <c r="N6352">
        <v>49.917211766635802</v>
      </c>
      <c r="O6352">
        <v>49.022256006668997</v>
      </c>
      <c r="P6352">
        <v>-7.5040023321598301E-2</v>
      </c>
      <c r="Q6352">
        <v>0</v>
      </c>
      <c r="R6352">
        <v>0.99199642140665101</v>
      </c>
      <c r="S6352" t="s">
        <v>12754</v>
      </c>
      <c r="T6352" t="s">
        <v>12802</v>
      </c>
      <c r="U6352" t="s">
        <v>12802</v>
      </c>
      <c r="V6352" t="s">
        <v>12802</v>
      </c>
      <c r="W6352" t="s">
        <v>19079</v>
      </c>
      <c r="X6352">
        <v>31</v>
      </c>
      <c r="Y6352" t="s">
        <v>25275</v>
      </c>
      <c r="Z6352" t="s">
        <v>31670</v>
      </c>
      <c r="AA6352">
        <v>0.45212570157007481</v>
      </c>
      <c r="AB6352" t="str">
        <f>HYPERLINK("Melting_Curves/meltCurve_Q9Y678_COPG1.pdf", "Melting_Curves/meltCurve_Q9Y678_COPG1.pdf")</f>
        <v>Melting_Curves/meltCurve_Q9Y678_COPG1.pdf</v>
      </c>
    </row>
    <row r="6353" spans="1:28" x14ac:dyDescent="0.25">
      <c r="A6353" t="s">
        <v>6357</v>
      </c>
      <c r="B6353">
        <v>0.99542014353169495</v>
      </c>
      <c r="C6353">
        <v>0.87993188500714503</v>
      </c>
      <c r="D6353">
        <v>0.81157202505131298</v>
      </c>
      <c r="E6353">
        <v>0.58601329210980702</v>
      </c>
      <c r="F6353">
        <v>0.22123800172588801</v>
      </c>
      <c r="G6353">
        <v>8.1001679351639599E-2</v>
      </c>
      <c r="H6353">
        <v>4.9626157027656499E-2</v>
      </c>
      <c r="I6353">
        <v>3.2706197139095103E-2</v>
      </c>
      <c r="J6353">
        <v>3.5295415676271799E-2</v>
      </c>
      <c r="K6353">
        <v>3.7205494146534401E-2</v>
      </c>
      <c r="L6353">
        <v>802.92271787149298</v>
      </c>
      <c r="M6353">
        <v>17.128956855290699</v>
      </c>
      <c r="N6353">
        <v>46.943950883076603</v>
      </c>
      <c r="O6353">
        <v>46.250249879462501</v>
      </c>
      <c r="P6353">
        <v>-9.14466335811598E-2</v>
      </c>
      <c r="Q6353">
        <v>1.23912766099159E-2</v>
      </c>
      <c r="R6353">
        <v>0.99235243194019596</v>
      </c>
      <c r="S6353" t="s">
        <v>12755</v>
      </c>
      <c r="T6353" t="s">
        <v>12802</v>
      </c>
      <c r="U6353" t="s">
        <v>12802</v>
      </c>
      <c r="V6353" t="s">
        <v>12802</v>
      </c>
      <c r="W6353" t="s">
        <v>19080</v>
      </c>
      <c r="X6353">
        <v>13</v>
      </c>
      <c r="Y6353" t="s">
        <v>25276</v>
      </c>
      <c r="Z6353" t="s">
        <v>31671</v>
      </c>
      <c r="AA6353">
        <v>0.35492343158623102</v>
      </c>
      <c r="AB6353" t="str">
        <f>HYPERLINK("Melting_Curves/meltCurve_Q9Y679_2_AUP1.pdf", "Melting_Curves/meltCurve_Q9Y679_2_AUP1.pdf")</f>
        <v>Melting_Curves/meltCurve_Q9Y679_2_AUP1.pdf</v>
      </c>
    </row>
    <row r="6354" spans="1:28" x14ac:dyDescent="0.25">
      <c r="A6354" t="s">
        <v>6358</v>
      </c>
      <c r="B6354">
        <v>0.99542014353169495</v>
      </c>
      <c r="C6354">
        <v>0.98112145827201902</v>
      </c>
      <c r="D6354">
        <v>0.92477930678889098</v>
      </c>
      <c r="E6354">
        <v>0.85529107474507604</v>
      </c>
      <c r="F6354">
        <v>0.69589792736338496</v>
      </c>
      <c r="G6354">
        <v>0.40731359339816903</v>
      </c>
      <c r="H6354">
        <v>0.171286165447291</v>
      </c>
      <c r="I6354">
        <v>0.12218299395594701</v>
      </c>
      <c r="J6354">
        <v>0.12138647164441101</v>
      </c>
      <c r="K6354">
        <v>9.7397936568710194E-2</v>
      </c>
      <c r="L6354">
        <v>888.06020208428004</v>
      </c>
      <c r="M6354">
        <v>17.114978826855101</v>
      </c>
      <c r="N6354">
        <v>52.316549208136003</v>
      </c>
      <c r="O6354">
        <v>51.1950564807726</v>
      </c>
      <c r="P6354">
        <v>-7.8114263824203806E-2</v>
      </c>
      <c r="Q6354">
        <v>6.5421386430296102E-2</v>
      </c>
      <c r="R6354">
        <v>0.99465604342193004</v>
      </c>
      <c r="S6354" t="s">
        <v>12756</v>
      </c>
      <c r="T6354" t="s">
        <v>12802</v>
      </c>
      <c r="U6354" t="s">
        <v>12802</v>
      </c>
      <c r="V6354" t="s">
        <v>12802</v>
      </c>
      <c r="W6354" t="s">
        <v>19081</v>
      </c>
      <c r="X6354">
        <v>5</v>
      </c>
      <c r="Y6354" t="s">
        <v>25277</v>
      </c>
      <c r="Z6354" t="s">
        <v>31672</v>
      </c>
      <c r="AA6354">
        <v>0.5444394953792282</v>
      </c>
      <c r="AB6354" t="str">
        <f>HYPERLINK("Melting_Curves/meltCurve_Q9Y680_3_FKBP7.pdf", "Melting_Curves/meltCurve_Q9Y680_3_FKBP7.pdf")</f>
        <v>Melting_Curves/meltCurve_Q9Y680_3_FKBP7.pdf</v>
      </c>
    </row>
    <row r="6355" spans="1:28" x14ac:dyDescent="0.25">
      <c r="A6355" t="s">
        <v>6359</v>
      </c>
      <c r="B6355">
        <v>0.99542014353169495</v>
      </c>
      <c r="C6355">
        <v>1.0530099104267301</v>
      </c>
      <c r="D6355">
        <v>0.93749632956136297</v>
      </c>
      <c r="E6355">
        <v>0.93527876966846801</v>
      </c>
      <c r="F6355">
        <v>0.763292951064379</v>
      </c>
      <c r="G6355">
        <v>0.75002115443134798</v>
      </c>
      <c r="H6355">
        <v>0.20265867178439501</v>
      </c>
      <c r="I6355">
        <v>6.16811182144213E-2</v>
      </c>
      <c r="J6355">
        <v>3.7376048621925E-2</v>
      </c>
      <c r="K6355">
        <v>4.65575358155286E-2</v>
      </c>
      <c r="L6355">
        <v>1304.5138731885399</v>
      </c>
      <c r="M6355">
        <v>23.7159332488099</v>
      </c>
      <c r="N6355">
        <v>55.005817355925402</v>
      </c>
      <c r="O6355">
        <v>54.619184203361002</v>
      </c>
      <c r="P6355">
        <v>-0.1085530976654</v>
      </c>
      <c r="Q6355">
        <v>0</v>
      </c>
      <c r="R6355">
        <v>0.97029290639405497</v>
      </c>
      <c r="S6355" t="s">
        <v>12757</v>
      </c>
      <c r="T6355" t="s">
        <v>12802</v>
      </c>
      <c r="U6355" t="s">
        <v>12802</v>
      </c>
      <c r="V6355" t="s">
        <v>12802</v>
      </c>
      <c r="W6355" t="s">
        <v>19082</v>
      </c>
      <c r="X6355">
        <v>3</v>
      </c>
      <c r="Y6355" t="s">
        <v>25278</v>
      </c>
      <c r="Z6355" t="s">
        <v>31673</v>
      </c>
      <c r="AA6355">
        <v>0.60936488819641677</v>
      </c>
      <c r="AB6355" t="str">
        <f>HYPERLINK("Melting_Curves/meltCurve_Q9Y689_2_ARL5A.pdf", "Melting_Curves/meltCurve_Q9Y689_2_ARL5A.pdf")</f>
        <v>Melting_Curves/meltCurve_Q9Y689_2_ARL5A.pdf</v>
      </c>
    </row>
    <row r="6356" spans="1:28" x14ac:dyDescent="0.25">
      <c r="A6356" t="s">
        <v>6360</v>
      </c>
      <c r="B6356">
        <v>0.99542014353169495</v>
      </c>
      <c r="C6356">
        <v>0.879021873111273</v>
      </c>
      <c r="D6356">
        <v>0.61203449193710302</v>
      </c>
      <c r="E6356">
        <v>0.40687829626605398</v>
      </c>
      <c r="F6356">
        <v>0.23759425211691301</v>
      </c>
      <c r="G6356">
        <v>0.15590179511548899</v>
      </c>
      <c r="H6356">
        <v>7.9267208857202703E-2</v>
      </c>
      <c r="I6356">
        <v>5.9437722104843403E-2</v>
      </c>
      <c r="J6356">
        <v>6.7164631017329599E-2</v>
      </c>
      <c r="K6356">
        <v>3.3748468238615E-2</v>
      </c>
      <c r="L6356">
        <v>614.100415455095</v>
      </c>
      <c r="M6356">
        <v>13.692220197647201</v>
      </c>
      <c r="N6356">
        <v>45.145369345947799</v>
      </c>
      <c r="O6356">
        <v>43.9260848790016</v>
      </c>
      <c r="P6356">
        <v>-7.4603014847415702E-2</v>
      </c>
      <c r="Q6356">
        <v>4.2800827311118103E-2</v>
      </c>
      <c r="R6356">
        <v>0.99451515936395696</v>
      </c>
      <c r="S6356" t="s">
        <v>12758</v>
      </c>
      <c r="T6356" t="s">
        <v>12802</v>
      </c>
      <c r="U6356" t="s">
        <v>12802</v>
      </c>
      <c r="V6356" t="s">
        <v>12802</v>
      </c>
      <c r="W6356" t="s">
        <v>19083</v>
      </c>
      <c r="X6356">
        <v>2</v>
      </c>
      <c r="Y6356" t="s">
        <v>25279</v>
      </c>
      <c r="Z6356" t="s">
        <v>31674</v>
      </c>
      <c r="AA6356">
        <v>0.32068737086766702</v>
      </c>
      <c r="AB6356" t="str">
        <f>HYPERLINK("Melting_Curves/meltCurve_Q9Y692_2_GMEB1.pdf", "Melting_Curves/meltCurve_Q9Y692_2_GMEB1.pdf")</f>
        <v>Melting_Curves/meltCurve_Q9Y692_2_GMEB1.pdf</v>
      </c>
    </row>
    <row r="6357" spans="1:28" x14ac:dyDescent="0.25">
      <c r="A6357" t="s">
        <v>6361</v>
      </c>
      <c r="B6357">
        <v>0.99542014353169495</v>
      </c>
      <c r="C6357">
        <v>1.0306173995043</v>
      </c>
      <c r="D6357">
        <v>1.0040715914841001</v>
      </c>
      <c r="E6357">
        <v>1.0183109206335199</v>
      </c>
      <c r="F6357">
        <v>0.75196277607909401</v>
      </c>
      <c r="G6357">
        <v>0.48940737562206599</v>
      </c>
      <c r="H6357">
        <v>0.14370299495631</v>
      </c>
      <c r="I6357">
        <v>8.8114249678061002E-2</v>
      </c>
      <c r="J6357">
        <v>9.6222928397917504E-2</v>
      </c>
      <c r="K6357">
        <v>8.8312401687774295E-2</v>
      </c>
      <c r="L6357">
        <v>1289.0208255428799</v>
      </c>
      <c r="M6357">
        <v>24.364113816749299</v>
      </c>
      <c r="N6357">
        <v>53.221120011340901</v>
      </c>
      <c r="O6357">
        <v>52.553983161555401</v>
      </c>
      <c r="P6357">
        <v>-0.10812949097150901</v>
      </c>
      <c r="Q6357">
        <v>6.7062233617192005E-2</v>
      </c>
      <c r="R6357">
        <v>0.99333737953711398</v>
      </c>
      <c r="S6357" t="s">
        <v>12759</v>
      </c>
      <c r="T6357" t="s">
        <v>12802</v>
      </c>
      <c r="U6357" t="s">
        <v>12802</v>
      </c>
      <c r="V6357" t="s">
        <v>12802</v>
      </c>
      <c r="W6357" t="s">
        <v>19084</v>
      </c>
      <c r="X6357">
        <v>14</v>
      </c>
      <c r="Y6357" t="s">
        <v>25280</v>
      </c>
      <c r="Z6357" t="s">
        <v>31675</v>
      </c>
      <c r="AA6357">
        <v>0.57034405548738798</v>
      </c>
      <c r="AB6357" t="str">
        <f>HYPERLINK("Melting_Curves/meltCurve_Q9Y696_CLIC4.pdf", "Melting_Curves/meltCurve_Q9Y696_CLIC4.pdf")</f>
        <v>Melting_Curves/meltCurve_Q9Y696_CLIC4.pdf</v>
      </c>
    </row>
    <row r="6358" spans="1:28" x14ac:dyDescent="0.25">
      <c r="A6358" t="s">
        <v>6362</v>
      </c>
      <c r="B6358">
        <v>0.99542014353169495</v>
      </c>
      <c r="C6358">
        <v>0.93740562672913796</v>
      </c>
      <c r="D6358">
        <v>0.96656764404495599</v>
      </c>
      <c r="E6358">
        <v>0.89388601614447205</v>
      </c>
      <c r="F6358">
        <v>0.80484354976719596</v>
      </c>
      <c r="G6358">
        <v>0.54416365795611898</v>
      </c>
      <c r="H6358">
        <v>0.174621282763046</v>
      </c>
      <c r="I6358">
        <v>9.4849001639412803E-2</v>
      </c>
      <c r="J6358">
        <v>0.101210379267515</v>
      </c>
      <c r="K6358">
        <v>0.125627283873606</v>
      </c>
      <c r="L6358">
        <v>1192.5615299968299</v>
      </c>
      <c r="M6358">
        <v>22.364468526070201</v>
      </c>
      <c r="N6358">
        <v>53.701272814638699</v>
      </c>
      <c r="O6358">
        <v>52.903081425110202</v>
      </c>
      <c r="P6358">
        <v>-9.8003642331612004E-2</v>
      </c>
      <c r="Q6358">
        <v>7.2710005962928898E-2</v>
      </c>
      <c r="R6358">
        <v>0.98700087246952295</v>
      </c>
      <c r="S6358" t="s">
        <v>12760</v>
      </c>
      <c r="T6358" t="s">
        <v>12802</v>
      </c>
      <c r="U6358" t="s">
        <v>12802</v>
      </c>
      <c r="V6358" t="s">
        <v>12802</v>
      </c>
      <c r="W6358" t="s">
        <v>19085</v>
      </c>
      <c r="X6358">
        <v>14</v>
      </c>
      <c r="Y6358" t="s">
        <v>25281</v>
      </c>
      <c r="Z6358" t="s">
        <v>31676</v>
      </c>
      <c r="AA6358">
        <v>0.5870702987067119</v>
      </c>
      <c r="AB6358" t="str">
        <f>HYPERLINK("Melting_Curves/meltCurve_Q9Y697_2_NFS1.pdf", "Melting_Curves/meltCurve_Q9Y697_2_NFS1.pdf")</f>
        <v>Melting_Curves/meltCurve_Q9Y697_2_NFS1.pdf</v>
      </c>
    </row>
    <row r="6359" spans="1:28" x14ac:dyDescent="0.25">
      <c r="A6359" t="s">
        <v>6363</v>
      </c>
      <c r="B6359">
        <v>0.99542014353169495</v>
      </c>
      <c r="C6359">
        <v>1.00398733093418</v>
      </c>
      <c r="D6359">
        <v>0.93132393149588499</v>
      </c>
      <c r="E6359">
        <v>0.73092061785347795</v>
      </c>
      <c r="F6359">
        <v>0.40434070417567802</v>
      </c>
      <c r="G6359">
        <v>0.23246225547812399</v>
      </c>
      <c r="H6359">
        <v>0.155472147640736</v>
      </c>
      <c r="I6359">
        <v>0.123087550099945</v>
      </c>
      <c r="J6359">
        <v>0.10216236005189901</v>
      </c>
      <c r="K6359">
        <v>0.12446523909726701</v>
      </c>
      <c r="L6359">
        <v>960.56360389865301</v>
      </c>
      <c r="M6359">
        <v>19.798434548840799</v>
      </c>
      <c r="N6359">
        <v>49.139559044259897</v>
      </c>
      <c r="O6359">
        <v>48.030307957104597</v>
      </c>
      <c r="P6359">
        <v>-9.1626499852291696E-2</v>
      </c>
      <c r="Q6359">
        <v>0.110899429716868</v>
      </c>
      <c r="R6359">
        <v>0.99937394209830499</v>
      </c>
      <c r="S6359" t="s">
        <v>12761</v>
      </c>
      <c r="T6359" t="s">
        <v>12802</v>
      </c>
      <c r="U6359" t="s">
        <v>12802</v>
      </c>
      <c r="V6359" t="s">
        <v>12802</v>
      </c>
      <c r="W6359" t="s">
        <v>19086</v>
      </c>
      <c r="X6359">
        <v>6</v>
      </c>
      <c r="Y6359" t="s">
        <v>25282</v>
      </c>
      <c r="Z6359" t="s">
        <v>31677</v>
      </c>
      <c r="AA6359">
        <v>0.464152442097236</v>
      </c>
      <c r="AB6359" t="str">
        <f>HYPERLINK("Melting_Curves/meltCurve_Q9Y6A4_C16orf80.pdf", "Melting_Curves/meltCurve_Q9Y6A4_C16orf80.pdf")</f>
        <v>Melting_Curves/meltCurve_Q9Y6A4_C16orf80.pdf</v>
      </c>
    </row>
    <row r="6360" spans="1:28" x14ac:dyDescent="0.25">
      <c r="A6360" t="s">
        <v>6364</v>
      </c>
      <c r="B6360">
        <v>0.99542014353169495</v>
      </c>
      <c r="C6360">
        <v>0.99077962187523105</v>
      </c>
      <c r="D6360">
        <v>0.99881299901846099</v>
      </c>
      <c r="E6360">
        <v>0.84275997644379497</v>
      </c>
      <c r="F6360">
        <v>0.55228749211194705</v>
      </c>
      <c r="G6360">
        <v>0.35074195929885699</v>
      </c>
      <c r="H6360">
        <v>0.26905391724684902</v>
      </c>
      <c r="I6360">
        <v>0.241130944169269</v>
      </c>
      <c r="J6360">
        <v>0.45781651164940501</v>
      </c>
      <c r="K6360">
        <v>0.66987906388063201</v>
      </c>
      <c r="L6360">
        <v>1650.18544625002</v>
      </c>
      <c r="M6360">
        <v>34.234031634151201</v>
      </c>
      <c r="N6360">
        <v>50.558032217217701</v>
      </c>
      <c r="O6360">
        <v>48.039480302823598</v>
      </c>
      <c r="P6360">
        <v>-0.107159991203441</v>
      </c>
      <c r="Q6360">
        <v>0.39850607909784802</v>
      </c>
      <c r="R6360">
        <v>0.85146044622703598</v>
      </c>
      <c r="S6360" t="s">
        <v>12762</v>
      </c>
      <c r="T6360" t="s">
        <v>12802</v>
      </c>
      <c r="U6360" t="s">
        <v>12802</v>
      </c>
      <c r="V6360" t="s">
        <v>12802</v>
      </c>
      <c r="W6360" t="s">
        <v>19087</v>
      </c>
      <c r="X6360">
        <v>38</v>
      </c>
      <c r="Y6360" t="s">
        <v>20044</v>
      </c>
      <c r="Z6360" t="s">
        <v>31678</v>
      </c>
      <c r="AA6360">
        <v>0.62586772339835728</v>
      </c>
      <c r="AB6360" t="str">
        <f>HYPERLINK("Melting_Curves/meltCurve_Q9Y6A5_TACC3.pdf", "Melting_Curves/meltCurve_Q9Y6A5_TACC3.pdf")</f>
        <v>Melting_Curves/meltCurve_Q9Y6A5_TACC3.pdf</v>
      </c>
    </row>
    <row r="6361" spans="1:28" x14ac:dyDescent="0.25">
      <c r="A6361" t="s">
        <v>6365</v>
      </c>
      <c r="B6361">
        <v>0.99542014353169495</v>
      </c>
      <c r="C6361">
        <v>0.92391903211660797</v>
      </c>
      <c r="D6361">
        <v>0.89029285891507004</v>
      </c>
      <c r="E6361">
        <v>0.89352994865195301</v>
      </c>
      <c r="F6361">
        <v>0.68127408059177896</v>
      </c>
      <c r="G6361">
        <v>0.61562185216889198</v>
      </c>
      <c r="H6361">
        <v>0.20909881263204699</v>
      </c>
      <c r="I6361">
        <v>7.0983043176777894E-2</v>
      </c>
      <c r="J6361">
        <v>4.8171290993735599E-2</v>
      </c>
      <c r="K6361">
        <v>4.2922041826903401E-2</v>
      </c>
      <c r="L6361">
        <v>838.63230417815396</v>
      </c>
      <c r="M6361">
        <v>15.654446445558699</v>
      </c>
      <c r="N6361">
        <v>53.571508108679602</v>
      </c>
      <c r="O6361">
        <v>52.720152959663302</v>
      </c>
      <c r="P6361">
        <v>-7.4240029007013694E-2</v>
      </c>
      <c r="Q6361">
        <v>0</v>
      </c>
      <c r="R6361">
        <v>0.97167046962146397</v>
      </c>
      <c r="S6361" t="s">
        <v>12763</v>
      </c>
      <c r="T6361" t="s">
        <v>12802</v>
      </c>
      <c r="U6361" t="s">
        <v>12802</v>
      </c>
      <c r="V6361" t="s">
        <v>12802</v>
      </c>
      <c r="W6361" t="s">
        <v>19088</v>
      </c>
      <c r="X6361">
        <v>10</v>
      </c>
      <c r="Y6361" t="s">
        <v>25283</v>
      </c>
      <c r="Z6361" t="s">
        <v>31679</v>
      </c>
      <c r="AA6361">
        <v>0.56871648884658232</v>
      </c>
      <c r="AB6361" t="str">
        <f>HYPERLINK("Melting_Curves/meltCurve_Q9Y6B6_SAR1B.pdf", "Melting_Curves/meltCurve_Q9Y6B6_SAR1B.pdf")</f>
        <v>Melting_Curves/meltCurve_Q9Y6B6_SAR1B.pdf</v>
      </c>
    </row>
    <row r="6362" spans="1:28" x14ac:dyDescent="0.25">
      <c r="A6362" t="s">
        <v>6366</v>
      </c>
      <c r="B6362">
        <v>0.99542014353169495</v>
      </c>
      <c r="C6362">
        <v>0.87827766522874295</v>
      </c>
      <c r="D6362">
        <v>0.71904845883085799</v>
      </c>
      <c r="E6362">
        <v>0.47403747143585301</v>
      </c>
      <c r="F6362">
        <v>0.23121803749740699</v>
      </c>
      <c r="G6362">
        <v>0.13780531427822701</v>
      </c>
      <c r="H6362">
        <v>0.107816670720839</v>
      </c>
      <c r="I6362">
        <v>4.71418612575309E-2</v>
      </c>
      <c r="J6362">
        <v>5.7015799777918798E-2</v>
      </c>
      <c r="K6362">
        <v>0</v>
      </c>
      <c r="L6362">
        <v>629.12968922612004</v>
      </c>
      <c r="M6362">
        <v>13.6980639092126</v>
      </c>
      <c r="N6362">
        <v>46.060558854495099</v>
      </c>
      <c r="O6362">
        <v>44.982676944544899</v>
      </c>
      <c r="P6362">
        <v>-7.4672966030444002E-2</v>
      </c>
      <c r="Q6362">
        <v>1.92752508341772E-2</v>
      </c>
      <c r="R6362">
        <v>0.99691634378276195</v>
      </c>
      <c r="S6362" t="s">
        <v>12764</v>
      </c>
      <c r="T6362" t="s">
        <v>12802</v>
      </c>
      <c r="U6362" t="s">
        <v>12802</v>
      </c>
      <c r="V6362" t="s">
        <v>12802</v>
      </c>
      <c r="W6362" t="s">
        <v>19089</v>
      </c>
      <c r="X6362">
        <v>2</v>
      </c>
      <c r="Y6362" t="s">
        <v>25284</v>
      </c>
      <c r="Z6362" t="s">
        <v>31680</v>
      </c>
      <c r="AA6362">
        <v>0.3380019486733678</v>
      </c>
      <c r="AB6362" t="str">
        <f>HYPERLINK("Melting_Curves/meltCurve_Q9Y6B7_AP4B1.pdf", "Melting_Curves/meltCurve_Q9Y6B7_AP4B1.pdf")</f>
        <v>Melting_Curves/meltCurve_Q9Y6B7_AP4B1.pdf</v>
      </c>
    </row>
    <row r="6363" spans="1:28" x14ac:dyDescent="0.25">
      <c r="A6363" t="s">
        <v>6367</v>
      </c>
      <c r="B6363">
        <v>0.99542014353169495</v>
      </c>
      <c r="C6363">
        <v>0.84104149472094902</v>
      </c>
      <c r="D6363">
        <v>0.97963710894146705</v>
      </c>
      <c r="E6363">
        <v>0.74464932960799002</v>
      </c>
      <c r="F6363">
        <v>0.69831927015623896</v>
      </c>
      <c r="G6363">
        <v>0.31748468437502497</v>
      </c>
      <c r="H6363">
        <v>0.174274811128592</v>
      </c>
      <c r="I6363">
        <v>9.0878832317724298E-2</v>
      </c>
      <c r="J6363">
        <v>9.56210524881205E-2</v>
      </c>
      <c r="K6363">
        <v>7.9936974275517297E-2</v>
      </c>
      <c r="L6363">
        <v>732.019417094966</v>
      </c>
      <c r="M6363">
        <v>14.237871489186601</v>
      </c>
      <c r="N6363">
        <v>51.566354071011403</v>
      </c>
      <c r="O6363">
        <v>50.431201960692697</v>
      </c>
      <c r="P6363">
        <v>-6.9131227627223693E-2</v>
      </c>
      <c r="Q6363">
        <v>2.0657264775354199E-2</v>
      </c>
      <c r="R6363">
        <v>0.96846340371683204</v>
      </c>
      <c r="S6363" t="s">
        <v>12765</v>
      </c>
      <c r="T6363" t="s">
        <v>12802</v>
      </c>
      <c r="U6363" t="s">
        <v>12802</v>
      </c>
      <c r="V6363" t="s">
        <v>12802</v>
      </c>
      <c r="W6363" t="s">
        <v>19090</v>
      </c>
      <c r="X6363">
        <v>11</v>
      </c>
      <c r="Y6363" t="s">
        <v>19699</v>
      </c>
      <c r="Z6363" t="s">
        <v>31681</v>
      </c>
      <c r="AA6363">
        <v>0.51178504752042364</v>
      </c>
      <c r="AB6363" t="str">
        <f>HYPERLINK("Melting_Curves/meltCurve_Q9Y6C9_MTCH2.pdf", "Melting_Curves/meltCurve_Q9Y6C9_MTCH2.pdf")</f>
        <v>Melting_Curves/meltCurve_Q9Y6C9_MTCH2.pdf</v>
      </c>
    </row>
    <row r="6364" spans="1:28" x14ac:dyDescent="0.25">
      <c r="A6364" t="s">
        <v>6368</v>
      </c>
      <c r="B6364">
        <v>0.99542014353169495</v>
      </c>
      <c r="C6364">
        <v>0.98554171579372696</v>
      </c>
      <c r="D6364">
        <v>0.86406339962711798</v>
      </c>
      <c r="E6364">
        <v>0.646007210915724</v>
      </c>
      <c r="F6364">
        <v>0.29459049214067601</v>
      </c>
      <c r="G6364">
        <v>0.16830687749478701</v>
      </c>
      <c r="H6364">
        <v>0.11147077843726801</v>
      </c>
      <c r="I6364">
        <v>0.103919705408165</v>
      </c>
      <c r="J6364">
        <v>0.12996397022335199</v>
      </c>
      <c r="K6364">
        <v>4.6395908509981099E-2</v>
      </c>
      <c r="L6364">
        <v>929.34515238854306</v>
      </c>
      <c r="M6364">
        <v>19.5989059108615</v>
      </c>
      <c r="N6364">
        <v>47.868446457954299</v>
      </c>
      <c r="O6364">
        <v>46.932810081906901</v>
      </c>
      <c r="P6364">
        <v>-9.5614531693225299E-2</v>
      </c>
      <c r="Q6364">
        <v>8.4172911240683601E-2</v>
      </c>
      <c r="R6364">
        <v>0.99619486536290602</v>
      </c>
      <c r="S6364" t="s">
        <v>12766</v>
      </c>
      <c r="T6364" t="s">
        <v>12802</v>
      </c>
      <c r="U6364" t="s">
        <v>12802</v>
      </c>
      <c r="V6364" t="s">
        <v>12802</v>
      </c>
      <c r="W6364" t="s">
        <v>19091</v>
      </c>
      <c r="X6364">
        <v>8</v>
      </c>
      <c r="Y6364" t="s">
        <v>25285</v>
      </c>
      <c r="Z6364" t="s">
        <v>31682</v>
      </c>
      <c r="AA6364">
        <v>0.41470012894533093</v>
      </c>
      <c r="AB6364" t="str">
        <f>HYPERLINK("Melting_Curves/meltCurve_Q9Y6D5_ARFGEF2.pdf", "Melting_Curves/meltCurve_Q9Y6D5_ARFGEF2.pdf")</f>
        <v>Melting_Curves/meltCurve_Q9Y6D5_ARFGEF2.pdf</v>
      </c>
    </row>
    <row r="6365" spans="1:28" x14ac:dyDescent="0.25">
      <c r="A6365" t="s">
        <v>6369</v>
      </c>
      <c r="B6365">
        <v>0.99542014353169495</v>
      </c>
      <c r="C6365">
        <v>0.89037998680526498</v>
      </c>
      <c r="D6365">
        <v>0.89600887511718696</v>
      </c>
      <c r="E6365">
        <v>0.63396127913803002</v>
      </c>
      <c r="F6365">
        <v>0.26887848022875499</v>
      </c>
      <c r="G6365">
        <v>9.6063802281986299E-2</v>
      </c>
      <c r="H6365">
        <v>4.5631305592523E-2</v>
      </c>
      <c r="I6365">
        <v>3.3199081871579002E-2</v>
      </c>
      <c r="J6365">
        <v>2.5713368004404501E-2</v>
      </c>
      <c r="K6365">
        <v>2.2444643970707799E-2</v>
      </c>
      <c r="L6365">
        <v>930.20271475722802</v>
      </c>
      <c r="M6365">
        <v>19.523957859280301</v>
      </c>
      <c r="N6365">
        <v>47.712709934535802</v>
      </c>
      <c r="O6365">
        <v>47.152780202653702</v>
      </c>
      <c r="P6365">
        <v>-0.102086516945703</v>
      </c>
      <c r="Q6365">
        <v>1.3828897061499101E-2</v>
      </c>
      <c r="R6365">
        <v>0.994471182736546</v>
      </c>
      <c r="S6365" t="s">
        <v>12767</v>
      </c>
      <c r="T6365" t="s">
        <v>12802</v>
      </c>
      <c r="U6365" t="s">
        <v>12802</v>
      </c>
      <c r="V6365" t="s">
        <v>12802</v>
      </c>
      <c r="W6365" t="s">
        <v>19092</v>
      </c>
      <c r="X6365">
        <v>9</v>
      </c>
      <c r="Y6365" t="s">
        <v>25286</v>
      </c>
      <c r="Z6365" t="s">
        <v>31683</v>
      </c>
      <c r="AA6365">
        <v>0.37727675665283222</v>
      </c>
      <c r="AB6365" t="str">
        <f>HYPERLINK("Melting_Curves/meltCurve_Q9Y6D6_ARFGEF1.pdf", "Melting_Curves/meltCurve_Q9Y6D6_ARFGEF1.pdf")</f>
        <v>Melting_Curves/meltCurve_Q9Y6D6_ARFGEF1.pdf</v>
      </c>
    </row>
    <row r="6366" spans="1:28" x14ac:dyDescent="0.25">
      <c r="A6366" t="s">
        <v>6370</v>
      </c>
      <c r="B6366">
        <v>0.99542014353169495</v>
      </c>
      <c r="C6366">
        <v>0.94767465606241597</v>
      </c>
      <c r="D6366">
        <v>0.85845463931672805</v>
      </c>
      <c r="E6366">
        <v>0.312243550782769</v>
      </c>
      <c r="F6366">
        <v>0.18308205312421</v>
      </c>
      <c r="G6366">
        <v>9.4499289632382993E-2</v>
      </c>
      <c r="H6366">
        <v>6.3417553342702299E-2</v>
      </c>
      <c r="I6366">
        <v>5.0488972011272101E-2</v>
      </c>
      <c r="J6366">
        <v>5.7999439329561898E-2</v>
      </c>
      <c r="K6366">
        <v>6.6109551928046698E-2</v>
      </c>
      <c r="L6366">
        <v>1328.81274931185</v>
      </c>
      <c r="M6366">
        <v>29.399637736716599</v>
      </c>
      <c r="N6366">
        <v>45.441252157812997</v>
      </c>
      <c r="O6366">
        <v>44.990700990653103</v>
      </c>
      <c r="P6366">
        <v>-0.15148368543746099</v>
      </c>
      <c r="Q6366">
        <v>7.2735672122162698E-2</v>
      </c>
      <c r="R6366">
        <v>0.99453657449196298</v>
      </c>
      <c r="S6366" t="s">
        <v>12768</v>
      </c>
      <c r="T6366" t="s">
        <v>12802</v>
      </c>
      <c r="U6366" t="s">
        <v>12802</v>
      </c>
      <c r="V6366" t="s">
        <v>12802</v>
      </c>
      <c r="W6366" t="s">
        <v>19093</v>
      </c>
      <c r="X6366">
        <v>20</v>
      </c>
      <c r="Y6366" t="s">
        <v>25287</v>
      </c>
      <c r="Z6366" t="s">
        <v>31684</v>
      </c>
      <c r="AA6366">
        <v>0.331576669287175</v>
      </c>
      <c r="AB6366" t="str">
        <f>HYPERLINK("Melting_Curves/meltCurve_Q9Y6D9_MAD1L1.pdf", "Melting_Curves/meltCurve_Q9Y6D9_MAD1L1.pdf")</f>
        <v>Melting_Curves/meltCurve_Q9Y6D9_MAD1L1.pdf</v>
      </c>
    </row>
    <row r="6367" spans="1:28" x14ac:dyDescent="0.25">
      <c r="A6367" t="s">
        <v>6371</v>
      </c>
      <c r="B6367">
        <v>0.99542014353169495</v>
      </c>
      <c r="C6367">
        <v>0.93609836041470695</v>
      </c>
      <c r="D6367">
        <v>0.96396097542738002</v>
      </c>
      <c r="E6367">
        <v>0.80729840255983298</v>
      </c>
      <c r="F6367">
        <v>0.435783676616322</v>
      </c>
      <c r="G6367">
        <v>0.211125051072936</v>
      </c>
      <c r="H6367">
        <v>0.117769372871478</v>
      </c>
      <c r="I6367">
        <v>7.08642370894077E-2</v>
      </c>
      <c r="J6367">
        <v>8.1172713411428302E-2</v>
      </c>
      <c r="K6367">
        <v>7.0704497807098296E-2</v>
      </c>
      <c r="L6367">
        <v>1064.7999991275401</v>
      </c>
      <c r="M6367">
        <v>21.585676228545601</v>
      </c>
      <c r="N6367">
        <v>49.671212231739197</v>
      </c>
      <c r="O6367">
        <v>48.911490955540799</v>
      </c>
      <c r="P6367">
        <v>-0.10270990760920699</v>
      </c>
      <c r="Q6367">
        <v>6.9091235002673099E-2</v>
      </c>
      <c r="R6367">
        <v>0.99732524188740301</v>
      </c>
      <c r="S6367" t="s">
        <v>12769</v>
      </c>
      <c r="T6367" t="s">
        <v>12802</v>
      </c>
      <c r="U6367" t="s">
        <v>12802</v>
      </c>
      <c r="V6367" t="s">
        <v>12802</v>
      </c>
      <c r="W6367" t="s">
        <v>19094</v>
      </c>
      <c r="X6367">
        <v>21</v>
      </c>
      <c r="Y6367" t="s">
        <v>25288</v>
      </c>
      <c r="Z6367" t="s">
        <v>31685</v>
      </c>
      <c r="AA6367">
        <v>0.46233519614980739</v>
      </c>
      <c r="AB6367" t="str">
        <f>HYPERLINK("Melting_Curves/meltCurve_Q9Y6G9_DYNC1LI1.pdf", "Melting_Curves/meltCurve_Q9Y6G9_DYNC1LI1.pdf")</f>
        <v>Melting_Curves/meltCurve_Q9Y6G9_DYNC1LI1.pdf</v>
      </c>
    </row>
    <row r="6368" spans="1:28" x14ac:dyDescent="0.25">
      <c r="A6368" t="s">
        <v>6372</v>
      </c>
      <c r="B6368">
        <v>0.99542014353169495</v>
      </c>
      <c r="C6368">
        <v>0.87884697546505297</v>
      </c>
      <c r="D6368">
        <v>0.86400287930073805</v>
      </c>
      <c r="E6368">
        <v>0.69844541010697203</v>
      </c>
      <c r="F6368">
        <v>0.59532895532817898</v>
      </c>
      <c r="G6368">
        <v>0.54696740091435503</v>
      </c>
      <c r="H6368">
        <v>0.53693256071487205</v>
      </c>
      <c r="I6368">
        <v>0.49035646936902599</v>
      </c>
      <c r="J6368">
        <v>0.75774425691710001</v>
      </c>
      <c r="K6368">
        <v>0.93907189494853305</v>
      </c>
      <c r="L6368">
        <v>943.86407647077601</v>
      </c>
      <c r="M6368">
        <v>22.024757346074001</v>
      </c>
      <c r="O6368">
        <v>42.506078141681201</v>
      </c>
      <c r="P6368">
        <v>-4.6044123445070799E-2</v>
      </c>
      <c r="Q6368">
        <v>0.64456139240314003</v>
      </c>
      <c r="R6368">
        <v>0.48462972222006201</v>
      </c>
      <c r="S6368" t="s">
        <v>12770</v>
      </c>
      <c r="T6368" t="s">
        <v>12802</v>
      </c>
      <c r="U6368" t="s">
        <v>12802</v>
      </c>
      <c r="V6368" t="s">
        <v>12802</v>
      </c>
      <c r="W6368" t="s">
        <v>19095</v>
      </c>
      <c r="X6368">
        <v>6</v>
      </c>
      <c r="Y6368" t="s">
        <v>25289</v>
      </c>
      <c r="Z6368" t="s">
        <v>31686</v>
      </c>
      <c r="AA6368">
        <v>0.71793441626470278</v>
      </c>
      <c r="AB6368" t="str">
        <f>HYPERLINK("Melting_Curves/meltCurve_Q9Y6H1_CHCHD2.pdf", "Melting_Curves/meltCurve_Q9Y6H1_CHCHD2.pdf")</f>
        <v>Melting_Curves/meltCurve_Q9Y6H1_CHCHD2.pdf</v>
      </c>
    </row>
    <row r="6369" spans="1:28" x14ac:dyDescent="0.25">
      <c r="A6369" t="s">
        <v>6373</v>
      </c>
      <c r="B6369">
        <v>0.99542014353169495</v>
      </c>
      <c r="C6369">
        <v>0.87677544177718603</v>
      </c>
      <c r="D6369">
        <v>0.822535869435573</v>
      </c>
      <c r="E6369">
        <v>0.56669333206203398</v>
      </c>
      <c r="F6369">
        <v>0.37501390805132601</v>
      </c>
      <c r="G6369">
        <v>0.278352749369492</v>
      </c>
      <c r="H6369">
        <v>0.14163481777777301</v>
      </c>
      <c r="I6369">
        <v>0.103830769248255</v>
      </c>
      <c r="J6369">
        <v>0.103067023201476</v>
      </c>
      <c r="K6369">
        <v>8.95361111086415E-2</v>
      </c>
      <c r="L6369">
        <v>568.15463215443197</v>
      </c>
      <c r="M6369">
        <v>11.9501811023013</v>
      </c>
      <c r="N6369">
        <v>48.011218973209701</v>
      </c>
      <c r="O6369">
        <v>46.270923355310003</v>
      </c>
      <c r="P6369">
        <v>-6.1034243682505297E-2</v>
      </c>
      <c r="Q6369">
        <v>5.4936947334800097E-2</v>
      </c>
      <c r="R6369">
        <v>0.99535109599446303</v>
      </c>
      <c r="S6369" t="s">
        <v>12771</v>
      </c>
      <c r="T6369" t="s">
        <v>12802</v>
      </c>
      <c r="U6369" t="s">
        <v>12802</v>
      </c>
      <c r="V6369" t="s">
        <v>12802</v>
      </c>
      <c r="W6369" t="s">
        <v>19096</v>
      </c>
      <c r="X6369">
        <v>3</v>
      </c>
      <c r="Y6369" t="s">
        <v>25290</v>
      </c>
      <c r="Z6369" t="s">
        <v>31687</v>
      </c>
      <c r="AA6369">
        <v>0.41752916312792071</v>
      </c>
      <c r="AB6369" t="str">
        <f>HYPERLINK("Melting_Curves/meltCurve_Q9Y6H3_XRCC6BP1.pdf", "Melting_Curves/meltCurve_Q9Y6H3_XRCC6BP1.pdf")</f>
        <v>Melting_Curves/meltCurve_Q9Y6H3_XRCC6BP1.pdf</v>
      </c>
    </row>
    <row r="6370" spans="1:28" x14ac:dyDescent="0.25">
      <c r="A6370" t="s">
        <v>6374</v>
      </c>
      <c r="B6370">
        <v>0.99542014353169495</v>
      </c>
      <c r="C6370">
        <v>0.99059721247173305</v>
      </c>
      <c r="D6370">
        <v>1.0256203174174701</v>
      </c>
      <c r="E6370">
        <v>0.847167624758973</v>
      </c>
      <c r="F6370">
        <v>0.43012746820888997</v>
      </c>
      <c r="G6370">
        <v>0.202326358436033</v>
      </c>
      <c r="H6370">
        <v>0.13202718223703</v>
      </c>
      <c r="I6370">
        <v>8.8309709210141196E-2</v>
      </c>
      <c r="J6370">
        <v>9.3573790825121295E-2</v>
      </c>
      <c r="K6370">
        <v>0.110532583621507</v>
      </c>
      <c r="L6370">
        <v>1360.0645016056901</v>
      </c>
      <c r="M6370">
        <v>27.600612145245599</v>
      </c>
      <c r="N6370">
        <v>49.691866587492697</v>
      </c>
      <c r="O6370">
        <v>49.0201033786987</v>
      </c>
      <c r="P6370">
        <v>-0.12626558997279999</v>
      </c>
      <c r="Q6370">
        <v>0.102991385198136</v>
      </c>
      <c r="R6370">
        <v>0.99817459681852505</v>
      </c>
      <c r="S6370" t="s">
        <v>12772</v>
      </c>
      <c r="T6370" t="s">
        <v>12802</v>
      </c>
      <c r="U6370" t="s">
        <v>12802</v>
      </c>
      <c r="V6370" t="s">
        <v>12802</v>
      </c>
      <c r="W6370" t="s">
        <v>19097</v>
      </c>
      <c r="X6370">
        <v>11</v>
      </c>
      <c r="Y6370" t="s">
        <v>25291</v>
      </c>
      <c r="Z6370" t="s">
        <v>31688</v>
      </c>
      <c r="AA6370">
        <v>0.4764775700344856</v>
      </c>
      <c r="AB6370" t="str">
        <f>HYPERLINK("Melting_Curves/meltCurve_Q9Y6I3_3_EPN1.pdf", "Melting_Curves/meltCurve_Q9Y6I3_3_EPN1.pdf")</f>
        <v>Melting_Curves/meltCurve_Q9Y6I3_3_EPN1.pdf</v>
      </c>
    </row>
    <row r="6371" spans="1:28" x14ac:dyDescent="0.25">
      <c r="A6371" t="s">
        <v>6375</v>
      </c>
      <c r="B6371">
        <v>0.99542014353169495</v>
      </c>
      <c r="C6371">
        <v>1.0211394107346401</v>
      </c>
      <c r="D6371">
        <v>0.95765369090589003</v>
      </c>
      <c r="E6371">
        <v>0.83817938029897399</v>
      </c>
      <c r="F6371">
        <v>0.50581581701451095</v>
      </c>
      <c r="G6371">
        <v>0.183639531053366</v>
      </c>
      <c r="H6371">
        <v>9.0751307873395498E-2</v>
      </c>
      <c r="I6371">
        <v>5.9163184181158297E-2</v>
      </c>
      <c r="J6371">
        <v>5.4170791866973197E-2</v>
      </c>
      <c r="K6371">
        <v>5.3785695267305103E-2</v>
      </c>
      <c r="L6371">
        <v>1148.52274570278</v>
      </c>
      <c r="M6371">
        <v>23.005861272757802</v>
      </c>
      <c r="N6371">
        <v>50.131709794656899</v>
      </c>
      <c r="O6371">
        <v>49.550437229008701</v>
      </c>
      <c r="P6371">
        <v>-0.110775458426773</v>
      </c>
      <c r="Q6371">
        <v>4.5657178550128602E-2</v>
      </c>
      <c r="R6371">
        <v>0.99914329955760695</v>
      </c>
      <c r="S6371" t="s">
        <v>12773</v>
      </c>
      <c r="T6371" t="s">
        <v>12802</v>
      </c>
      <c r="U6371" t="s">
        <v>12802</v>
      </c>
      <c r="V6371" t="s">
        <v>12802</v>
      </c>
      <c r="W6371" t="s">
        <v>19098</v>
      </c>
      <c r="X6371">
        <v>10</v>
      </c>
      <c r="Y6371" t="s">
        <v>25292</v>
      </c>
      <c r="Z6371" t="s">
        <v>31689</v>
      </c>
      <c r="AA6371">
        <v>0.46651229794367588</v>
      </c>
      <c r="AB6371" t="str">
        <f>HYPERLINK("Melting_Curves/meltCurve_Q9Y6I9_TEX264.pdf", "Melting_Curves/meltCurve_Q9Y6I9_TEX264.pdf")</f>
        <v>Melting_Curves/meltCurve_Q9Y6I9_TEX264.pdf</v>
      </c>
    </row>
    <row r="6372" spans="1:28" x14ac:dyDescent="0.25">
      <c r="A6372" t="s">
        <v>6376</v>
      </c>
      <c r="B6372">
        <v>0.99542014353169495</v>
      </c>
      <c r="C6372">
        <v>0.84834498494675803</v>
      </c>
      <c r="D6372">
        <v>0.79659816872084099</v>
      </c>
      <c r="E6372">
        <v>0.32436042912781499</v>
      </c>
      <c r="F6372">
        <v>0.15069057592010801</v>
      </c>
      <c r="G6372">
        <v>9.7344015212531401E-2</v>
      </c>
      <c r="H6372">
        <v>5.8206603728240498E-2</v>
      </c>
      <c r="I6372">
        <v>3.0264984562970401E-2</v>
      </c>
      <c r="J6372">
        <v>2.5245073374765298E-2</v>
      </c>
      <c r="K6372">
        <v>2.51853775406559E-2</v>
      </c>
      <c r="L6372">
        <v>896.99367674820905</v>
      </c>
      <c r="M6372">
        <v>19.899255491317401</v>
      </c>
      <c r="N6372">
        <v>45.232696084917201</v>
      </c>
      <c r="O6372">
        <v>44.628922744666198</v>
      </c>
      <c r="P6372">
        <v>-0.10777913986399699</v>
      </c>
      <c r="Q6372">
        <v>3.3148313344813399E-2</v>
      </c>
      <c r="R6372">
        <v>0.98976217130341704</v>
      </c>
      <c r="S6372" t="s">
        <v>12774</v>
      </c>
      <c r="T6372" t="s">
        <v>12802</v>
      </c>
      <c r="U6372" t="s">
        <v>12802</v>
      </c>
      <c r="V6372" t="s">
        <v>12802</v>
      </c>
      <c r="W6372" t="s">
        <v>19099</v>
      </c>
      <c r="X6372">
        <v>3</v>
      </c>
      <c r="Y6372" t="s">
        <v>25293</v>
      </c>
      <c r="Z6372" t="s">
        <v>31690</v>
      </c>
      <c r="AA6372">
        <v>0.30627947799286043</v>
      </c>
      <c r="AB6372" t="str">
        <f>HYPERLINK("Melting_Curves/meltCurve_Q9Y6J9_TAF6L.pdf", "Melting_Curves/meltCurve_Q9Y6J9_TAF6L.pdf")</f>
        <v>Melting_Curves/meltCurve_Q9Y6J9_TAF6L.pdf</v>
      </c>
    </row>
    <row r="6373" spans="1:28" x14ac:dyDescent="0.25">
      <c r="A6373" t="s">
        <v>6377</v>
      </c>
      <c r="B6373">
        <v>0.99542014353169495</v>
      </c>
      <c r="C6373">
        <v>0.79129278283086502</v>
      </c>
      <c r="D6373">
        <v>0.84784164194455203</v>
      </c>
      <c r="E6373">
        <v>0.69717417219091504</v>
      </c>
      <c r="F6373">
        <v>0.50044910387373998</v>
      </c>
      <c r="G6373">
        <v>0.24641105047841899</v>
      </c>
      <c r="H6373">
        <v>9.6612263817251506E-2</v>
      </c>
      <c r="I6373">
        <v>4.0654811740033402E-2</v>
      </c>
      <c r="J6373">
        <v>6.2128893918505901E-2</v>
      </c>
      <c r="K6373">
        <v>3.6573411785479099E-2</v>
      </c>
      <c r="L6373">
        <v>603.01487983593302</v>
      </c>
      <c r="M6373">
        <v>12.247641659123101</v>
      </c>
      <c r="N6373">
        <v>49.235170356176802</v>
      </c>
      <c r="O6373">
        <v>47.9778027270441</v>
      </c>
      <c r="P6373">
        <v>-6.3833526689790601E-2</v>
      </c>
      <c r="Q6373">
        <v>0</v>
      </c>
      <c r="R6373">
        <v>0.97383800386925801</v>
      </c>
      <c r="S6373" t="s">
        <v>12775</v>
      </c>
      <c r="T6373" t="s">
        <v>12802</v>
      </c>
      <c r="U6373" t="s">
        <v>12802</v>
      </c>
      <c r="V6373" t="s">
        <v>12802</v>
      </c>
      <c r="W6373" t="s">
        <v>19100</v>
      </c>
      <c r="X6373">
        <v>2</v>
      </c>
      <c r="Y6373" t="s">
        <v>25294</v>
      </c>
      <c r="Z6373" t="s">
        <v>31691</v>
      </c>
      <c r="AA6373">
        <v>0.43639977443662131</v>
      </c>
      <c r="AB6373" t="str">
        <f>HYPERLINK("Melting_Curves/meltCurve_Q9Y6K0_CEPT1.pdf", "Melting_Curves/meltCurve_Q9Y6K0_CEPT1.pdf")</f>
        <v>Melting_Curves/meltCurve_Q9Y6K0_CEPT1.pdf</v>
      </c>
    </row>
    <row r="6374" spans="1:28" x14ac:dyDescent="0.25">
      <c r="A6374" t="s">
        <v>6378</v>
      </c>
      <c r="B6374">
        <v>0.99542014353169495</v>
      </c>
      <c r="C6374">
        <v>0.94511844233831399</v>
      </c>
      <c r="D6374">
        <v>0.93060832553343997</v>
      </c>
      <c r="E6374">
        <v>0.64948505990085703</v>
      </c>
      <c r="F6374">
        <v>0.42153083430649302</v>
      </c>
      <c r="G6374">
        <v>0.352659065459968</v>
      </c>
      <c r="H6374">
        <v>0.28667951978710698</v>
      </c>
      <c r="I6374">
        <v>0.25455420591731998</v>
      </c>
      <c r="J6374">
        <v>0.41615726325541402</v>
      </c>
      <c r="K6374">
        <v>0.62367530664794302</v>
      </c>
      <c r="L6374">
        <v>1440.43040675663</v>
      </c>
      <c r="M6374">
        <v>31.258062677136898</v>
      </c>
      <c r="N6374">
        <v>48.3516934544893</v>
      </c>
      <c r="O6374">
        <v>45.894507301057601</v>
      </c>
      <c r="P6374">
        <v>-0.104762607632851</v>
      </c>
      <c r="Q6374">
        <v>0.38473453632975602</v>
      </c>
      <c r="R6374">
        <v>0.87783521192168701</v>
      </c>
      <c r="S6374" t="s">
        <v>12776</v>
      </c>
      <c r="T6374" t="s">
        <v>12802</v>
      </c>
      <c r="U6374" t="s">
        <v>12802</v>
      </c>
      <c r="V6374" t="s">
        <v>12802</v>
      </c>
      <c r="W6374" t="s">
        <v>19101</v>
      </c>
      <c r="X6374">
        <v>20</v>
      </c>
      <c r="Y6374" t="s">
        <v>19415</v>
      </c>
      <c r="Z6374" t="s">
        <v>31692</v>
      </c>
      <c r="AA6374">
        <v>0.57422677658745147</v>
      </c>
      <c r="AB6374" t="str">
        <f>HYPERLINK("Melting_Curves/meltCurve_Q9Y6K9_IKBKG.pdf", "Melting_Curves/meltCurve_Q9Y6K9_IKBKG.pdf")</f>
        <v>Melting_Curves/meltCurve_Q9Y6K9_IKBKG.pdf</v>
      </c>
    </row>
    <row r="6375" spans="1:28" x14ac:dyDescent="0.25">
      <c r="A6375" t="s">
        <v>6379</v>
      </c>
      <c r="B6375">
        <v>0.99542014353169495</v>
      </c>
      <c r="C6375">
        <v>0.94773949247186196</v>
      </c>
      <c r="D6375">
        <v>0.92274839826835098</v>
      </c>
      <c r="E6375">
        <v>0.69923084157835802</v>
      </c>
      <c r="F6375">
        <v>0.50805854350101798</v>
      </c>
      <c r="G6375">
        <v>0.19053952076707401</v>
      </c>
      <c r="H6375">
        <v>9.6066848413305497E-2</v>
      </c>
      <c r="I6375">
        <v>5.9081059668692003E-2</v>
      </c>
      <c r="J6375">
        <v>8.5926763504800593E-2</v>
      </c>
      <c r="K6375">
        <v>5.5011184605010199E-2</v>
      </c>
      <c r="L6375">
        <v>802.578815951004</v>
      </c>
      <c r="M6375">
        <v>16.271600005166199</v>
      </c>
      <c r="N6375">
        <v>49.522637653561802</v>
      </c>
      <c r="O6375">
        <v>48.596965227347603</v>
      </c>
      <c r="P6375">
        <v>-8.1067178872538906E-2</v>
      </c>
      <c r="Q6375">
        <v>3.16060679527915E-2</v>
      </c>
      <c r="R6375">
        <v>0.99374932449065601</v>
      </c>
      <c r="S6375" t="s">
        <v>12777</v>
      </c>
      <c r="T6375" t="s">
        <v>12802</v>
      </c>
      <c r="U6375" t="s">
        <v>12802</v>
      </c>
      <c r="V6375" t="s">
        <v>12802</v>
      </c>
      <c r="W6375" t="s">
        <v>19102</v>
      </c>
      <c r="X6375">
        <v>3</v>
      </c>
      <c r="Y6375" t="s">
        <v>25295</v>
      </c>
      <c r="Z6375" t="s">
        <v>31693</v>
      </c>
      <c r="AA6375">
        <v>0.4475911927672398</v>
      </c>
      <c r="AB6375" t="str">
        <f>HYPERLINK("Melting_Curves/meltCurve_Q9Y6M0_2_PRSS21.pdf", "Melting_Curves/meltCurve_Q9Y6M0_2_PRSS21.pdf")</f>
        <v>Melting_Curves/meltCurve_Q9Y6M0_2_PRSS21.pdf</v>
      </c>
    </row>
    <row r="6376" spans="1:28" x14ac:dyDescent="0.25">
      <c r="A6376" t="s">
        <v>6380</v>
      </c>
      <c r="B6376">
        <v>0.99542014353169495</v>
      </c>
      <c r="C6376">
        <v>0.90586806691117405</v>
      </c>
      <c r="D6376">
        <v>0.89323026576852005</v>
      </c>
      <c r="E6376">
        <v>0.81204782766380101</v>
      </c>
      <c r="F6376">
        <v>0.69134702866991604</v>
      </c>
      <c r="G6376">
        <v>0.52106642896395805</v>
      </c>
      <c r="H6376">
        <v>0.278360629422433</v>
      </c>
      <c r="I6376">
        <v>7.3408748996784706E-2</v>
      </c>
      <c r="J6376">
        <v>3.3719877459190001E-2</v>
      </c>
      <c r="K6376">
        <v>4.0712711304169001E-2</v>
      </c>
      <c r="L6376">
        <v>713.42520671508805</v>
      </c>
      <c r="M6376">
        <v>13.4652924406069</v>
      </c>
      <c r="N6376">
        <v>52.982525960381402</v>
      </c>
      <c r="O6376">
        <v>51.854880853575999</v>
      </c>
      <c r="P6376">
        <v>-6.49281233752321E-2</v>
      </c>
      <c r="Q6376">
        <v>0</v>
      </c>
      <c r="R6376">
        <v>0.979564993184872</v>
      </c>
      <c r="S6376" t="s">
        <v>12778</v>
      </c>
      <c r="T6376" t="s">
        <v>12802</v>
      </c>
      <c r="U6376" t="s">
        <v>12802</v>
      </c>
      <c r="V6376" t="s">
        <v>12802</v>
      </c>
      <c r="W6376" t="s">
        <v>19103</v>
      </c>
      <c r="X6376">
        <v>8</v>
      </c>
      <c r="Y6376" t="s">
        <v>25296</v>
      </c>
      <c r="Z6376" t="s">
        <v>31694</v>
      </c>
      <c r="AA6376">
        <v>0.55236845335920981</v>
      </c>
      <c r="AB6376" t="str">
        <f>HYPERLINK("Melting_Curves/meltCurve_Q9Y6M4_3_CSNK1G3.pdf", "Melting_Curves/meltCurve_Q9Y6M4_3_CSNK1G3.pdf")</f>
        <v>Melting_Curves/meltCurve_Q9Y6M4_3_CSNK1G3.pdf</v>
      </c>
    </row>
    <row r="6377" spans="1:28" x14ac:dyDescent="0.25">
      <c r="A6377" t="s">
        <v>6381</v>
      </c>
      <c r="B6377">
        <v>0.99542014353169495</v>
      </c>
      <c r="C6377">
        <v>0.95558475551706201</v>
      </c>
      <c r="D6377">
        <v>0.97872492619860396</v>
      </c>
      <c r="E6377">
        <v>0.87174144995842595</v>
      </c>
      <c r="F6377">
        <v>0.78747746081081804</v>
      </c>
      <c r="G6377">
        <v>0.53484103847348297</v>
      </c>
      <c r="H6377">
        <v>0.44179721253198501</v>
      </c>
      <c r="I6377">
        <v>0.33202462205250399</v>
      </c>
      <c r="J6377">
        <v>0.38547439739720801</v>
      </c>
      <c r="K6377">
        <v>0.39144825836506603</v>
      </c>
      <c r="L6377">
        <v>932.78078351731801</v>
      </c>
      <c r="M6377">
        <v>18.141833960936601</v>
      </c>
      <c r="N6377">
        <v>55.0901385309067</v>
      </c>
      <c r="O6377">
        <v>50.803504797529598</v>
      </c>
      <c r="P6377">
        <v>-5.7951676788031002E-2</v>
      </c>
      <c r="Q6377">
        <v>0.350890896384499</v>
      </c>
      <c r="R6377">
        <v>0.98567086207197996</v>
      </c>
      <c r="S6377" t="s">
        <v>12779</v>
      </c>
      <c r="T6377" t="s">
        <v>12802</v>
      </c>
      <c r="U6377" t="s">
        <v>12802</v>
      </c>
      <c r="V6377" t="s">
        <v>12802</v>
      </c>
      <c r="W6377" t="s">
        <v>19104</v>
      </c>
      <c r="X6377">
        <v>10</v>
      </c>
      <c r="Y6377" t="s">
        <v>25297</v>
      </c>
      <c r="Z6377" t="s">
        <v>31695</v>
      </c>
      <c r="AA6377">
        <v>0.67266784641119315</v>
      </c>
      <c r="AB6377" t="str">
        <f>HYPERLINK("Melting_Curves/meltCurve_Q9Y6M5_SLC30A1.pdf", "Melting_Curves/meltCurve_Q9Y6M5_SLC30A1.pdf")</f>
        <v>Melting_Curves/meltCurve_Q9Y6M5_SLC30A1.pdf</v>
      </c>
    </row>
    <row r="6378" spans="1:28" x14ac:dyDescent="0.25">
      <c r="A6378" t="s">
        <v>6382</v>
      </c>
      <c r="B6378">
        <v>0.99542014353169495</v>
      </c>
      <c r="C6378">
        <v>0.90525220769234005</v>
      </c>
      <c r="D6378">
        <v>0.87627072713634302</v>
      </c>
      <c r="E6378">
        <v>0.81098258142254698</v>
      </c>
      <c r="F6378">
        <v>0.336648549895883</v>
      </c>
      <c r="G6378">
        <v>0.20539742191145899</v>
      </c>
      <c r="H6378">
        <v>0.12912244516307</v>
      </c>
      <c r="I6378">
        <v>0.11235882143022</v>
      </c>
      <c r="J6378">
        <v>0.15512856678179601</v>
      </c>
      <c r="K6378">
        <v>0.13907770667065</v>
      </c>
      <c r="L6378">
        <v>1300.0938338364599</v>
      </c>
      <c r="M6378">
        <v>26.8876208725918</v>
      </c>
      <c r="N6378">
        <v>48.905703358245397</v>
      </c>
      <c r="O6378">
        <v>48.087785353350498</v>
      </c>
      <c r="P6378">
        <v>-0.121467087761818</v>
      </c>
      <c r="Q6378">
        <v>0.13104629819796901</v>
      </c>
      <c r="R6378">
        <v>0.98310573308912697</v>
      </c>
      <c r="S6378" t="s">
        <v>12780</v>
      </c>
      <c r="T6378" t="s">
        <v>12802</v>
      </c>
      <c r="U6378" t="s">
        <v>12802</v>
      </c>
      <c r="V6378" t="s">
        <v>12802</v>
      </c>
      <c r="W6378" t="s">
        <v>19105</v>
      </c>
      <c r="X6378">
        <v>2</v>
      </c>
      <c r="Y6378" t="s">
        <v>25298</v>
      </c>
      <c r="Z6378" t="s">
        <v>31696</v>
      </c>
      <c r="AA6378">
        <v>0.46632910930800742</v>
      </c>
      <c r="AB6378" t="str">
        <f>HYPERLINK("Melting_Curves/meltCurve_Q9Y6P5_3_SESN1.pdf", "Melting_Curves/meltCurve_Q9Y6P5_3_SESN1.pdf")</f>
        <v>Melting_Curves/meltCurve_Q9Y6P5_3_SESN1.pdf</v>
      </c>
    </row>
    <row r="6379" spans="1:28" x14ac:dyDescent="0.25">
      <c r="A6379" t="s">
        <v>6383</v>
      </c>
      <c r="B6379">
        <v>0.99542014353169495</v>
      </c>
      <c r="C6379">
        <v>0.97237834342418805</v>
      </c>
      <c r="D6379">
        <v>0.97392680824885502</v>
      </c>
      <c r="E6379">
        <v>0.68985968600860403</v>
      </c>
      <c r="F6379">
        <v>0.24537319531830401</v>
      </c>
      <c r="G6379">
        <v>0.115566629344914</v>
      </c>
      <c r="H6379">
        <v>7.9559301799658394E-2</v>
      </c>
      <c r="I6379">
        <v>4.4811631646754099E-2</v>
      </c>
      <c r="J6379">
        <v>4.7875725217146697E-2</v>
      </c>
      <c r="K6379">
        <v>4.4123109339850398E-2</v>
      </c>
      <c r="L6379">
        <v>1325.5264581614099</v>
      </c>
      <c r="M6379">
        <v>27.7250041627793</v>
      </c>
      <c r="N6379">
        <v>48.008431288263203</v>
      </c>
      <c r="O6379">
        <v>47.563131480157601</v>
      </c>
      <c r="P6379">
        <v>-0.13783159998273201</v>
      </c>
      <c r="Q6379">
        <v>5.4190387381066199E-2</v>
      </c>
      <c r="R6379">
        <v>0.99890806864649595</v>
      </c>
      <c r="S6379" t="s">
        <v>12781</v>
      </c>
      <c r="T6379" t="s">
        <v>12802</v>
      </c>
      <c r="U6379" t="s">
        <v>12802</v>
      </c>
      <c r="V6379" t="s">
        <v>12802</v>
      </c>
      <c r="W6379" t="s">
        <v>19106</v>
      </c>
      <c r="X6379">
        <v>8</v>
      </c>
      <c r="Y6379" t="s">
        <v>25299</v>
      </c>
      <c r="Z6379" t="s">
        <v>31697</v>
      </c>
      <c r="AA6379">
        <v>0.40152928674671362</v>
      </c>
      <c r="AB6379" t="str">
        <f>HYPERLINK("Melting_Curves/meltCurve_Q9Y6Q9_2_NCOA3.pdf", "Melting_Curves/meltCurve_Q9Y6Q9_2_NCOA3.pdf")</f>
        <v>Melting_Curves/meltCurve_Q9Y6Q9_2_NCOA3.pdf</v>
      </c>
    </row>
    <row r="6380" spans="1:28" x14ac:dyDescent="0.25">
      <c r="A6380" t="s">
        <v>6384</v>
      </c>
      <c r="B6380">
        <v>0.99542014353169495</v>
      </c>
      <c r="C6380">
        <v>0.94660682925758799</v>
      </c>
      <c r="D6380">
        <v>1.0130515055108</v>
      </c>
      <c r="E6380">
        <v>0.86451625495768902</v>
      </c>
      <c r="F6380">
        <v>0.62299916709029501</v>
      </c>
      <c r="G6380">
        <v>0.27057987034476599</v>
      </c>
      <c r="H6380">
        <v>0.14365019276201199</v>
      </c>
      <c r="I6380">
        <v>7.33144923609267E-2</v>
      </c>
      <c r="J6380">
        <v>7.9878079272581295E-2</v>
      </c>
      <c r="K6380">
        <v>9.5044652198207305E-2</v>
      </c>
      <c r="L6380">
        <v>1132.1504584505301</v>
      </c>
      <c r="M6380">
        <v>22.259005718794501</v>
      </c>
      <c r="N6380">
        <v>51.214083867233498</v>
      </c>
      <c r="O6380">
        <v>50.457397295866301</v>
      </c>
      <c r="P6380">
        <v>-0.102475907785481</v>
      </c>
      <c r="Q6380">
        <v>7.0837723350367698E-2</v>
      </c>
      <c r="R6380">
        <v>0.99637649204794199</v>
      </c>
      <c r="S6380" t="s">
        <v>12782</v>
      </c>
      <c r="T6380" t="s">
        <v>12802</v>
      </c>
      <c r="U6380" t="s">
        <v>12802</v>
      </c>
      <c r="V6380" t="s">
        <v>12802</v>
      </c>
      <c r="W6380" t="s">
        <v>19107</v>
      </c>
      <c r="X6380">
        <v>9</v>
      </c>
      <c r="Y6380" t="s">
        <v>25300</v>
      </c>
      <c r="Z6380" t="s">
        <v>31698</v>
      </c>
      <c r="AA6380">
        <v>0.51031206768660942</v>
      </c>
      <c r="AB6380" t="str">
        <f>HYPERLINK("Melting_Curves/meltCurve_Q9Y6R0_NUMBL.pdf", "Melting_Curves/meltCurve_Q9Y6R0_NUMBL.pdf")</f>
        <v>Melting_Curves/meltCurve_Q9Y6R0_NUMBL.pdf</v>
      </c>
    </row>
    <row r="6381" spans="1:28" x14ac:dyDescent="0.25">
      <c r="A6381" t="s">
        <v>6385</v>
      </c>
      <c r="B6381">
        <v>0.99542014353169495</v>
      </c>
      <c r="C6381">
        <v>1.04534239937879</v>
      </c>
      <c r="D6381">
        <v>0.86814228280024996</v>
      </c>
      <c r="E6381">
        <v>0.82865297687886896</v>
      </c>
      <c r="F6381">
        <v>0.58734128098181704</v>
      </c>
      <c r="G6381">
        <v>0.423375490790875</v>
      </c>
      <c r="H6381">
        <v>0.14536483143621401</v>
      </c>
      <c r="I6381">
        <v>7.1630194499099895E-2</v>
      </c>
      <c r="J6381">
        <v>8.2589631883248193E-2</v>
      </c>
      <c r="K6381">
        <v>5.3867185582076003E-2</v>
      </c>
      <c r="L6381">
        <v>718.63627744656606</v>
      </c>
      <c r="M6381">
        <v>13.918210170193399</v>
      </c>
      <c r="N6381">
        <v>51.632808326133301</v>
      </c>
      <c r="O6381">
        <v>50.601941260153197</v>
      </c>
      <c r="P6381">
        <v>-6.8772517677124195E-2</v>
      </c>
      <c r="Q6381">
        <v>0</v>
      </c>
      <c r="R6381">
        <v>0.98806280411679903</v>
      </c>
      <c r="S6381" t="s">
        <v>12783</v>
      </c>
      <c r="T6381" t="s">
        <v>12802</v>
      </c>
      <c r="U6381" t="s">
        <v>12802</v>
      </c>
      <c r="V6381" t="s">
        <v>12802</v>
      </c>
      <c r="W6381" t="s">
        <v>19108</v>
      </c>
      <c r="X6381">
        <v>11</v>
      </c>
      <c r="Y6381" t="s">
        <v>25301</v>
      </c>
      <c r="Z6381" t="s">
        <v>31699</v>
      </c>
      <c r="AA6381">
        <v>0.50905626085494571</v>
      </c>
      <c r="AB6381" t="str">
        <f>HYPERLINK("Melting_Curves/meltCurve_Q9Y6V7_DDX49.pdf", "Melting_Curves/meltCurve_Q9Y6V7_DDX49.pdf")</f>
        <v>Melting_Curves/meltCurve_Q9Y6V7_DDX49.pdf</v>
      </c>
    </row>
    <row r="6382" spans="1:28" x14ac:dyDescent="0.25">
      <c r="A6382" t="s">
        <v>6386</v>
      </c>
      <c r="B6382">
        <v>0.99542014353169495</v>
      </c>
      <c r="C6382">
        <v>0.99114825687237895</v>
      </c>
      <c r="D6382">
        <v>0.95347148780909996</v>
      </c>
      <c r="E6382">
        <v>0.71447147154331003</v>
      </c>
      <c r="F6382">
        <v>0.26375047568473198</v>
      </c>
      <c r="G6382">
        <v>0.131192447441251</v>
      </c>
      <c r="H6382">
        <v>0.104570009075518</v>
      </c>
      <c r="I6382">
        <v>6.4218499346561403E-2</v>
      </c>
      <c r="J6382">
        <v>0.121556669781116</v>
      </c>
      <c r="K6382">
        <v>7.6348453410020695E-2</v>
      </c>
      <c r="L6382">
        <v>1395.3482505665199</v>
      </c>
      <c r="M6382">
        <v>29.1911026308935</v>
      </c>
      <c r="N6382">
        <v>48.127954114807402</v>
      </c>
      <c r="O6382">
        <v>47.577822870989401</v>
      </c>
      <c r="P6382">
        <v>-0.13957092220658901</v>
      </c>
      <c r="Q6382">
        <v>9.0074520419821696E-2</v>
      </c>
      <c r="R6382">
        <v>0.99851388971973698</v>
      </c>
      <c r="S6382" t="s">
        <v>12784</v>
      </c>
      <c r="T6382" t="s">
        <v>12802</v>
      </c>
      <c r="U6382" t="s">
        <v>12802</v>
      </c>
      <c r="V6382" t="s">
        <v>12802</v>
      </c>
      <c r="W6382" t="s">
        <v>19109</v>
      </c>
      <c r="X6382">
        <v>17</v>
      </c>
      <c r="Y6382" t="s">
        <v>25302</v>
      </c>
      <c r="Z6382" t="s">
        <v>31700</v>
      </c>
      <c r="AA6382">
        <v>0.42333394564932492</v>
      </c>
      <c r="AB6382" t="str">
        <f>HYPERLINK("Melting_Curves/meltCurve_Q9Y6W3_CAPN7.pdf", "Melting_Curves/meltCurve_Q9Y6W3_CAPN7.pdf")</f>
        <v>Melting_Curves/meltCurve_Q9Y6W3_CAPN7.pdf</v>
      </c>
    </row>
    <row r="6383" spans="1:28" x14ac:dyDescent="0.25">
      <c r="A6383" t="s">
        <v>6387</v>
      </c>
      <c r="B6383">
        <v>0.99542014353169495</v>
      </c>
      <c r="C6383">
        <v>0.89391546190509097</v>
      </c>
      <c r="D6383">
        <v>0.91495674530329696</v>
      </c>
      <c r="E6383">
        <v>0.66537594017236401</v>
      </c>
      <c r="F6383">
        <v>0.47862547897052499</v>
      </c>
      <c r="G6383">
        <v>0.362772480258027</v>
      </c>
      <c r="H6383">
        <v>0.359948770279512</v>
      </c>
      <c r="I6383">
        <v>0.30908846347348901</v>
      </c>
      <c r="J6383">
        <v>0.366979950904261</v>
      </c>
      <c r="K6383">
        <v>0.34546871704149001</v>
      </c>
      <c r="L6383">
        <v>859.37222119034595</v>
      </c>
      <c r="M6383">
        <v>18.4326301532904</v>
      </c>
      <c r="N6383">
        <v>49.562818827665701</v>
      </c>
      <c r="O6383">
        <v>46.083970613317497</v>
      </c>
      <c r="P6383">
        <v>-6.6750275050656505E-2</v>
      </c>
      <c r="Q6383">
        <v>0.33249236870894799</v>
      </c>
      <c r="R6383">
        <v>0.98563287879011097</v>
      </c>
      <c r="S6383" t="s">
        <v>12785</v>
      </c>
      <c r="T6383" t="s">
        <v>12802</v>
      </c>
      <c r="U6383" t="s">
        <v>12802</v>
      </c>
      <c r="V6383" t="s">
        <v>12802</v>
      </c>
      <c r="W6383" t="s">
        <v>19110</v>
      </c>
      <c r="X6383">
        <v>8</v>
      </c>
      <c r="Y6383" t="s">
        <v>25303</v>
      </c>
      <c r="Z6383" t="s">
        <v>31701</v>
      </c>
      <c r="AA6383">
        <v>0.55684402823992429</v>
      </c>
      <c r="AB6383" t="str">
        <f>HYPERLINK("Melting_Curves/meltCurve_Q9Y6W5_WASF2.pdf", "Melting_Curves/meltCurve_Q9Y6W5_WASF2.pdf")</f>
        <v>Melting_Curves/meltCurve_Q9Y6W5_WASF2.pdf</v>
      </c>
    </row>
    <row r="6384" spans="1:28" x14ac:dyDescent="0.25">
      <c r="A6384" t="s">
        <v>6388</v>
      </c>
      <c r="B6384">
        <v>0.99542014353169495</v>
      </c>
      <c r="C6384">
        <v>0.95600806097346003</v>
      </c>
      <c r="D6384">
        <v>0.93873812131557499</v>
      </c>
      <c r="E6384">
        <v>0.57005029140764796</v>
      </c>
      <c r="F6384">
        <v>0.23843000098021699</v>
      </c>
      <c r="G6384">
        <v>0.13004753628311599</v>
      </c>
      <c r="H6384">
        <v>7.4968293901599703E-2</v>
      </c>
      <c r="I6384">
        <v>6.41863115447939E-2</v>
      </c>
      <c r="J6384">
        <v>5.4159943853026901E-2</v>
      </c>
      <c r="K6384">
        <v>5.9444656238811601E-2</v>
      </c>
      <c r="L6384">
        <v>1112.4830744665601</v>
      </c>
      <c r="M6384">
        <v>23.646189123027199</v>
      </c>
      <c r="N6384">
        <v>47.316030255915599</v>
      </c>
      <c r="O6384">
        <v>46.714426496762599</v>
      </c>
      <c r="P6384">
        <v>-0.11858958604589701</v>
      </c>
      <c r="Q6384">
        <v>6.28931103486607E-2</v>
      </c>
      <c r="R6384">
        <v>0.99826986481203805</v>
      </c>
      <c r="S6384" t="s">
        <v>12786</v>
      </c>
      <c r="T6384" t="s">
        <v>12802</v>
      </c>
      <c r="U6384" t="s">
        <v>12802</v>
      </c>
      <c r="V6384" t="s">
        <v>12802</v>
      </c>
      <c r="W6384" t="s">
        <v>19111</v>
      </c>
      <c r="X6384">
        <v>20</v>
      </c>
      <c r="Y6384" t="s">
        <v>25304</v>
      </c>
      <c r="Z6384" t="s">
        <v>31702</v>
      </c>
      <c r="AA6384">
        <v>0.38553718353893968</v>
      </c>
      <c r="AB6384" t="str">
        <f>HYPERLINK("Melting_Curves/meltCurve_Q9Y6X9_MORC2.pdf", "Melting_Curves/meltCurve_Q9Y6X9_MORC2.pdf")</f>
        <v>Melting_Curves/meltCurve_Q9Y6X9_MORC2.pdf</v>
      </c>
    </row>
    <row r="6385" spans="1:28" x14ac:dyDescent="0.25">
      <c r="A6385" t="s">
        <v>6389</v>
      </c>
      <c r="B6385">
        <v>0.99542014353169495</v>
      </c>
      <c r="C6385">
        <v>1.0075945285142101</v>
      </c>
      <c r="D6385">
        <v>0.92643769221249095</v>
      </c>
      <c r="E6385">
        <v>0.53851213680656396</v>
      </c>
      <c r="F6385">
        <v>0.194158142160025</v>
      </c>
      <c r="G6385">
        <v>9.1578813872432205E-2</v>
      </c>
      <c r="H6385">
        <v>3.9126556892072499E-2</v>
      </c>
      <c r="I6385">
        <v>2.9256223455600201E-2</v>
      </c>
      <c r="J6385">
        <v>2.3410924712350799E-2</v>
      </c>
      <c r="K6385">
        <v>2.2519184200918099E-2</v>
      </c>
      <c r="L6385">
        <v>1170.19878261177</v>
      </c>
      <c r="M6385">
        <v>24.9569322866659</v>
      </c>
      <c r="N6385">
        <v>47.008235976983499</v>
      </c>
      <c r="O6385">
        <v>46.590786905892102</v>
      </c>
      <c r="P6385">
        <v>-0.12980098825509201</v>
      </c>
      <c r="Q6385">
        <v>3.0738527895804901E-2</v>
      </c>
      <c r="R6385">
        <v>0.999012200170458</v>
      </c>
      <c r="S6385" t="s">
        <v>12787</v>
      </c>
      <c r="T6385" t="s">
        <v>12802</v>
      </c>
      <c r="U6385" t="s">
        <v>12802</v>
      </c>
      <c r="V6385" t="s">
        <v>12802</v>
      </c>
      <c r="W6385" t="s">
        <v>19112</v>
      </c>
      <c r="X6385">
        <v>6</v>
      </c>
      <c r="Y6385" t="s">
        <v>25305</v>
      </c>
      <c r="Z6385" t="s">
        <v>31703</v>
      </c>
      <c r="AA6385">
        <v>0.35838597521026749</v>
      </c>
      <c r="AB6385" t="str">
        <f>HYPERLINK("Melting_Curves/meltCurve_Q9Y6Y0_IVNS1ABP.pdf", "Melting_Curves/meltCurve_Q9Y6Y0_IVNS1ABP.pdf")</f>
        <v>Melting_Curves/meltCurve_Q9Y6Y0_IVNS1ABP.pdf</v>
      </c>
    </row>
    <row r="6386" spans="1:28" x14ac:dyDescent="0.25">
      <c r="A6386" t="s">
        <v>6390</v>
      </c>
      <c r="B6386">
        <v>0.99542014353169495</v>
      </c>
      <c r="C6386">
        <v>0.99827694394677602</v>
      </c>
      <c r="D6386">
        <v>1.17980590651629</v>
      </c>
      <c r="E6386">
        <v>0.73412266873351595</v>
      </c>
      <c r="F6386">
        <v>0.365865930604578</v>
      </c>
      <c r="G6386">
        <v>6.3912606330309096E-2</v>
      </c>
      <c r="H6386">
        <v>5.8692132058476502E-2</v>
      </c>
      <c r="I6386">
        <v>3.1581779432480202E-2</v>
      </c>
      <c r="J6386">
        <v>4.9781973847472398E-2</v>
      </c>
      <c r="K6386">
        <v>4.38521396133736E-2</v>
      </c>
      <c r="L6386">
        <v>1407.1026020905799</v>
      </c>
      <c r="M6386">
        <v>28.878569514090699</v>
      </c>
      <c r="N6386">
        <v>48.860548271709398</v>
      </c>
      <c r="O6386">
        <v>48.492967586468097</v>
      </c>
      <c r="P6386">
        <v>-0.14314225957655299</v>
      </c>
      <c r="Q6386">
        <v>3.8548171815294102E-2</v>
      </c>
      <c r="R6386">
        <v>0.97679540254273101</v>
      </c>
      <c r="S6386" t="s">
        <v>12788</v>
      </c>
      <c r="T6386" t="s">
        <v>12802</v>
      </c>
      <c r="U6386" t="s">
        <v>12802</v>
      </c>
      <c r="V6386" t="s">
        <v>12802</v>
      </c>
      <c r="W6386" t="s">
        <v>19113</v>
      </c>
      <c r="X6386">
        <v>2</v>
      </c>
      <c r="Y6386" t="s">
        <v>25306</v>
      </c>
      <c r="Z6386" t="s">
        <v>31704</v>
      </c>
      <c r="AA6386">
        <v>0.42053549780844318</v>
      </c>
      <c r="AB6386" t="str">
        <f>HYPERLINK("Melting_Curves/meltCurve_R4GMN1_MOSPD2.pdf", "Melting_Curves/meltCurve_R4GMN1_MOSPD2.pdf")</f>
        <v>Melting_Curves/meltCurve_R4GMN1_MOSPD2.pdf</v>
      </c>
    </row>
    <row r="6387" spans="1:28" x14ac:dyDescent="0.25">
      <c r="A6387" t="s">
        <v>6391</v>
      </c>
      <c r="B6387">
        <v>0.99542014353169495</v>
      </c>
      <c r="C6387">
        <v>0.93103900881482105</v>
      </c>
      <c r="D6387">
        <v>0.84514864440821502</v>
      </c>
      <c r="E6387">
        <v>0.687305958183133</v>
      </c>
      <c r="F6387">
        <v>0.45704173134486897</v>
      </c>
      <c r="G6387">
        <v>0.296471704872107</v>
      </c>
      <c r="H6387">
        <v>0.14231874624343699</v>
      </c>
      <c r="I6387">
        <v>4.3745287081148797E-2</v>
      </c>
      <c r="J6387">
        <v>3.8094468732885002E-2</v>
      </c>
      <c r="K6387">
        <v>3.9561049135081003E-2</v>
      </c>
      <c r="L6387">
        <v>616.29970263984399</v>
      </c>
      <c r="M6387">
        <v>12.4671789902848</v>
      </c>
      <c r="N6387">
        <v>49.433750816897003</v>
      </c>
      <c r="O6387">
        <v>48.213594070447698</v>
      </c>
      <c r="P6387">
        <v>-6.4658987444601995E-2</v>
      </c>
      <c r="Q6387">
        <v>0</v>
      </c>
      <c r="R6387">
        <v>0.99703346252717895</v>
      </c>
      <c r="S6387" t="s">
        <v>12789</v>
      </c>
      <c r="T6387" t="s">
        <v>12802</v>
      </c>
      <c r="U6387" t="s">
        <v>12802</v>
      </c>
      <c r="V6387" t="s">
        <v>12802</v>
      </c>
      <c r="W6387" t="s">
        <v>19114</v>
      </c>
      <c r="X6387">
        <v>9</v>
      </c>
      <c r="Y6387" t="s">
        <v>25307</v>
      </c>
      <c r="Z6387" t="s">
        <v>31705</v>
      </c>
      <c r="AA6387">
        <v>0.44206728396664607</v>
      </c>
      <c r="AB6387" t="str">
        <f>HYPERLINK("Melting_Curves/meltCurve_R4GMR5_PSMD8.pdf", "Melting_Curves/meltCurve_R4GMR5_PSMD8.pdf")</f>
        <v>Melting_Curves/meltCurve_R4GMR5_PSMD8.pdf</v>
      </c>
    </row>
    <row r="6388" spans="1:28" x14ac:dyDescent="0.25">
      <c r="A6388" t="s">
        <v>6392</v>
      </c>
      <c r="B6388">
        <v>0.99542014353169495</v>
      </c>
      <c r="C6388">
        <v>1.016571363598</v>
      </c>
      <c r="D6388">
        <v>0.95575208544052603</v>
      </c>
      <c r="E6388">
        <v>0.69055401610656397</v>
      </c>
      <c r="F6388">
        <v>0.34064257564456601</v>
      </c>
      <c r="G6388">
        <v>0.19567477635285099</v>
      </c>
      <c r="H6388">
        <v>9.1006788038278205E-2</v>
      </c>
      <c r="I6388">
        <v>6.7227200999683101E-2</v>
      </c>
      <c r="J6388">
        <v>6.7028010979937006E-2</v>
      </c>
      <c r="K6388">
        <v>8.9695335626670702E-2</v>
      </c>
      <c r="L6388">
        <v>1037.43273129166</v>
      </c>
      <c r="M6388">
        <v>21.523746767013598</v>
      </c>
      <c r="N6388">
        <v>48.556655460347599</v>
      </c>
      <c r="O6388">
        <v>47.789190349117597</v>
      </c>
      <c r="P6388">
        <v>-0.104355289664729</v>
      </c>
      <c r="Q6388">
        <v>7.3222375249580599E-2</v>
      </c>
      <c r="R6388">
        <v>0.99801678055966003</v>
      </c>
      <c r="S6388" t="s">
        <v>12790</v>
      </c>
      <c r="T6388" t="s">
        <v>12802</v>
      </c>
      <c r="U6388" t="s">
        <v>12802</v>
      </c>
      <c r="V6388" t="s">
        <v>12802</v>
      </c>
      <c r="W6388" t="s">
        <v>19115</v>
      </c>
      <c r="X6388">
        <v>9</v>
      </c>
      <c r="Y6388" t="s">
        <v>25308</v>
      </c>
      <c r="Z6388" t="s">
        <v>31706</v>
      </c>
      <c r="AA6388">
        <v>0.42980233903442738</v>
      </c>
      <c r="AB6388" t="str">
        <f>HYPERLINK("Melting_Curves/meltCurve_R4GMX3_BMI1.pdf", "Melting_Curves/meltCurve_R4GMX3_BMI1.pdf")</f>
        <v>Melting_Curves/meltCurve_R4GMX3_BMI1.pdf</v>
      </c>
    </row>
    <row r="6389" spans="1:28" x14ac:dyDescent="0.25">
      <c r="A6389" t="s">
        <v>6393</v>
      </c>
      <c r="B6389">
        <v>0.99542014353169495</v>
      </c>
      <c r="C6389">
        <v>0.78355524025154899</v>
      </c>
      <c r="D6389">
        <v>0.81085916180175999</v>
      </c>
      <c r="E6389">
        <v>0.49518224770939601</v>
      </c>
      <c r="F6389">
        <v>0.1622168219555</v>
      </c>
      <c r="G6389">
        <v>5.5451580234866002E-2</v>
      </c>
      <c r="H6389">
        <v>1.2416947337719799E-2</v>
      </c>
      <c r="I6389">
        <v>1.03892479388316E-2</v>
      </c>
      <c r="J6389">
        <v>1.9902424106101099E-2</v>
      </c>
      <c r="K6389">
        <v>2.5294146645584999E-2</v>
      </c>
      <c r="L6389">
        <v>765.53997168892101</v>
      </c>
      <c r="M6389">
        <v>16.6203215901539</v>
      </c>
      <c r="N6389">
        <v>46.060474999939203</v>
      </c>
      <c r="O6389">
        <v>45.409178236761399</v>
      </c>
      <c r="P6389">
        <v>-9.1509301028389903E-2</v>
      </c>
      <c r="Q6389">
        <v>0</v>
      </c>
      <c r="R6389">
        <v>0.97955510474055896</v>
      </c>
      <c r="S6389" t="s">
        <v>12791</v>
      </c>
      <c r="T6389" t="s">
        <v>12802</v>
      </c>
      <c r="U6389" t="s">
        <v>12802</v>
      </c>
      <c r="V6389" t="s">
        <v>12802</v>
      </c>
      <c r="W6389" t="s">
        <v>19116</v>
      </c>
      <c r="X6389">
        <v>3</v>
      </c>
      <c r="Y6389" t="s">
        <v>25309</v>
      </c>
      <c r="Z6389" t="s">
        <v>31707</v>
      </c>
      <c r="AA6389">
        <v>0.32092063898227863</v>
      </c>
      <c r="AB6389" t="str">
        <f>HYPERLINK("Melting_Curves/meltCurve_R4GMX8_RANBP10.pdf", "Melting_Curves/meltCurve_R4GMX8_RANBP10.pdf")</f>
        <v>Melting_Curves/meltCurve_R4GMX8_RANBP10.pdf</v>
      </c>
    </row>
    <row r="6390" spans="1:28" x14ac:dyDescent="0.25">
      <c r="A6390" t="s">
        <v>6394</v>
      </c>
      <c r="B6390">
        <v>0.99542014353169495</v>
      </c>
      <c r="C6390">
        <v>0.98492241443998696</v>
      </c>
      <c r="D6390">
        <v>0.87762745936690301</v>
      </c>
      <c r="E6390">
        <v>0.728315679559286</v>
      </c>
      <c r="F6390">
        <v>0.256805882978281</v>
      </c>
      <c r="G6390">
        <v>9.2011104987099898E-2</v>
      </c>
      <c r="H6390">
        <v>6.2592469494922101E-2</v>
      </c>
      <c r="I6390">
        <v>5.02529962936153E-2</v>
      </c>
      <c r="J6390">
        <v>8.9714171089473202E-2</v>
      </c>
      <c r="K6390">
        <v>0.105712913897251</v>
      </c>
      <c r="L6390">
        <v>1318.23801330745</v>
      </c>
      <c r="M6390">
        <v>27.551264647424698</v>
      </c>
      <c r="N6390">
        <v>48.103852257380602</v>
      </c>
      <c r="O6390">
        <v>47.596794870539803</v>
      </c>
      <c r="P6390">
        <v>-0.13480520963461501</v>
      </c>
      <c r="Q6390">
        <v>6.8465702000315695E-2</v>
      </c>
      <c r="R6390">
        <v>0.99310326307719199</v>
      </c>
      <c r="S6390" t="s">
        <v>12792</v>
      </c>
      <c r="T6390" t="s">
        <v>12802</v>
      </c>
      <c r="U6390" t="s">
        <v>12802</v>
      </c>
      <c r="V6390" t="s">
        <v>12802</v>
      </c>
      <c r="W6390" t="s">
        <v>19117</v>
      </c>
      <c r="X6390">
        <v>1</v>
      </c>
      <c r="Y6390" t="s">
        <v>25310</v>
      </c>
      <c r="Z6390" t="s">
        <v>31708</v>
      </c>
      <c r="AA6390">
        <v>0.41179519521699881</v>
      </c>
      <c r="AB6390" t="str">
        <f>HYPERLINK("Melting_Curves/meltCurve_R4GN33_MAPKAPK5.pdf", "Melting_Curves/meltCurve_R4GN33_MAPKAPK5.pdf")</f>
        <v>Melting_Curves/meltCurve_R4GN33_MAPKAPK5.pdf</v>
      </c>
    </row>
    <row r="6391" spans="1:28" x14ac:dyDescent="0.25">
      <c r="A6391" t="s">
        <v>6395</v>
      </c>
      <c r="B6391">
        <v>0.99542014353169495</v>
      </c>
      <c r="C6391">
        <v>0.93981530260845103</v>
      </c>
      <c r="D6391">
        <v>0.88318825048743299</v>
      </c>
      <c r="E6391">
        <v>0.79218007980309002</v>
      </c>
      <c r="F6391">
        <v>0.54048414689996505</v>
      </c>
      <c r="G6391">
        <v>0.233649782779251</v>
      </c>
      <c r="H6391">
        <v>6.5042852779908303E-2</v>
      </c>
      <c r="I6391">
        <v>4.6949362647234302E-2</v>
      </c>
      <c r="J6391">
        <v>4.5993236851171897E-2</v>
      </c>
      <c r="K6391">
        <v>4.5371706204277301E-2</v>
      </c>
      <c r="L6391">
        <v>842.46199420453104</v>
      </c>
      <c r="M6391">
        <v>16.782194539485399</v>
      </c>
      <c r="N6391">
        <v>50.224433525545102</v>
      </c>
      <c r="O6391">
        <v>49.503220992912297</v>
      </c>
      <c r="P6391">
        <v>-8.4410507752010699E-2</v>
      </c>
      <c r="Q6391">
        <v>4.10629547145992E-3</v>
      </c>
      <c r="R6391">
        <v>0.99292785073410905</v>
      </c>
      <c r="S6391" t="s">
        <v>12793</v>
      </c>
      <c r="T6391" t="s">
        <v>12802</v>
      </c>
      <c r="U6391" t="s">
        <v>12802</v>
      </c>
      <c r="V6391" t="s">
        <v>12802</v>
      </c>
      <c r="W6391" t="s">
        <v>19118</v>
      </c>
      <c r="X6391">
        <v>12</v>
      </c>
      <c r="Y6391" t="s">
        <v>25311</v>
      </c>
      <c r="Z6391" t="s">
        <v>31709</v>
      </c>
      <c r="AA6391">
        <v>0.45978882518967318</v>
      </c>
      <c r="AB6391" t="str">
        <f>HYPERLINK("Melting_Curves/meltCurve_R4GN55_YTHDF3.pdf", "Melting_Curves/meltCurve_R4GN55_YTHDF3.pdf")</f>
        <v>Melting_Curves/meltCurve_R4GN55_YTHDF3.pdf</v>
      </c>
    </row>
    <row r="6392" spans="1:28" x14ac:dyDescent="0.25">
      <c r="A6392" t="s">
        <v>6396</v>
      </c>
      <c r="B6392">
        <v>0.99542014353169495</v>
      </c>
      <c r="C6392">
        <v>1.09530780336544</v>
      </c>
      <c r="D6392">
        <v>0.96790578996244603</v>
      </c>
      <c r="E6392">
        <v>0.72338320456864802</v>
      </c>
      <c r="F6392">
        <v>0.63799786644510503</v>
      </c>
      <c r="G6392">
        <v>0.40090297776761302</v>
      </c>
      <c r="H6392">
        <v>0.25960161444649199</v>
      </c>
      <c r="I6392">
        <v>0.18449636313010501</v>
      </c>
      <c r="J6392">
        <v>0.28412844614888999</v>
      </c>
      <c r="K6392">
        <v>0.33637884170087201</v>
      </c>
      <c r="L6392">
        <v>866.97442979147695</v>
      </c>
      <c r="M6392">
        <v>17.558995643705899</v>
      </c>
      <c r="N6392">
        <v>51.3824614232147</v>
      </c>
      <c r="O6392">
        <v>48.747877535331703</v>
      </c>
      <c r="P6392">
        <v>-6.7702046363990701E-2</v>
      </c>
      <c r="Q6392">
        <v>0.24821389900763999</v>
      </c>
      <c r="R6392">
        <v>0.96153610947476498</v>
      </c>
      <c r="S6392" t="s">
        <v>12794</v>
      </c>
      <c r="T6392" t="s">
        <v>12802</v>
      </c>
      <c r="U6392" t="s">
        <v>12802</v>
      </c>
      <c r="V6392" t="s">
        <v>12802</v>
      </c>
      <c r="W6392" t="s">
        <v>19119</v>
      </c>
      <c r="X6392">
        <v>2</v>
      </c>
      <c r="Y6392" t="s">
        <v>25312</v>
      </c>
      <c r="Z6392" t="s">
        <v>31710</v>
      </c>
      <c r="AA6392">
        <v>0.57075570615036064</v>
      </c>
      <c r="AB6392" t="str">
        <f>HYPERLINK("Melting_Curves/meltCurve_R4GN98_S100A6.pdf", "Melting_Curves/meltCurve_R4GN98_S100A6.pdf")</f>
        <v>Melting_Curves/meltCurve_R4GN98_S100A6.pdf</v>
      </c>
    </row>
    <row r="6393" spans="1:28" x14ac:dyDescent="0.25">
      <c r="A6393" t="s">
        <v>6397</v>
      </c>
      <c r="B6393">
        <v>0.99542014353169495</v>
      </c>
      <c r="C6393">
        <v>1.0551745899539799</v>
      </c>
      <c r="D6393">
        <v>0.822486548138601</v>
      </c>
      <c r="E6393">
        <v>0.71497474289081198</v>
      </c>
      <c r="F6393">
        <v>0.48314568627898202</v>
      </c>
      <c r="G6393">
        <v>0.225777613148475</v>
      </c>
      <c r="H6393">
        <v>0.122404616037985</v>
      </c>
      <c r="I6393">
        <v>8.9286504717792398E-2</v>
      </c>
      <c r="J6393">
        <v>9.9293956080528697E-2</v>
      </c>
      <c r="K6393">
        <v>5.3503969416460601E-2</v>
      </c>
      <c r="L6393">
        <v>727.27330505351597</v>
      </c>
      <c r="M6393">
        <v>14.7867423221082</v>
      </c>
      <c r="N6393">
        <v>49.463600803564397</v>
      </c>
      <c r="O6393">
        <v>48.310865890934302</v>
      </c>
      <c r="P6393">
        <v>-7.34602289820597E-2</v>
      </c>
      <c r="Q6393">
        <v>4.00730744891604E-2</v>
      </c>
      <c r="R6393">
        <v>0.98881065207575103</v>
      </c>
      <c r="S6393" t="s">
        <v>12795</v>
      </c>
      <c r="T6393" t="s">
        <v>12802</v>
      </c>
      <c r="U6393" t="s">
        <v>12802</v>
      </c>
      <c r="V6393" t="s">
        <v>12802</v>
      </c>
      <c r="W6393" t="s">
        <v>19120</v>
      </c>
      <c r="X6393">
        <v>1</v>
      </c>
      <c r="Y6393" t="s">
        <v>25313</v>
      </c>
      <c r="Z6393" t="s">
        <v>31711</v>
      </c>
      <c r="AA6393">
        <v>0.45094562163773511</v>
      </c>
      <c r="AB6393" t="str">
        <f>HYPERLINK("Melting_Curves/meltCurve_R4GNB1_AASDH.pdf", "Melting_Curves/meltCurve_R4GNB1_AASDH.pdf")</f>
        <v>Melting_Curves/meltCurve_R4GNB1_AASDH.pdf</v>
      </c>
    </row>
    <row r="6394" spans="1:28" x14ac:dyDescent="0.25">
      <c r="A6394" t="s">
        <v>6398</v>
      </c>
      <c r="B6394">
        <v>0.99542014353169495</v>
      </c>
      <c r="C6394">
        <v>1.0134911491655001</v>
      </c>
      <c r="D6394">
        <v>0.95952061412493495</v>
      </c>
      <c r="E6394">
        <v>0.56313257703780994</v>
      </c>
      <c r="F6394">
        <v>0.22240879784245801</v>
      </c>
      <c r="G6394">
        <v>8.7429444325520703E-2</v>
      </c>
      <c r="H6394">
        <v>6.8683534159416901E-2</v>
      </c>
      <c r="I6394">
        <v>5.5908167837679698E-2</v>
      </c>
      <c r="J6394">
        <v>6.2052189404053E-2</v>
      </c>
      <c r="K6394">
        <v>5.9531295652265399E-2</v>
      </c>
      <c r="L6394">
        <v>1286.00388173386</v>
      </c>
      <c r="M6394">
        <v>27.374720771424599</v>
      </c>
      <c r="N6394">
        <v>47.205369559667098</v>
      </c>
      <c r="O6394">
        <v>46.729241012038699</v>
      </c>
      <c r="P6394">
        <v>-0.13740167450694299</v>
      </c>
      <c r="Q6394">
        <v>6.1818264108355503E-2</v>
      </c>
      <c r="R6394">
        <v>0.99865547790530396</v>
      </c>
      <c r="S6394" t="s">
        <v>12796</v>
      </c>
      <c r="T6394" t="s">
        <v>12802</v>
      </c>
      <c r="U6394" t="s">
        <v>12802</v>
      </c>
      <c r="V6394" t="s">
        <v>12802</v>
      </c>
      <c r="W6394" t="s">
        <v>19121</v>
      </c>
      <c r="X6394">
        <v>4</v>
      </c>
      <c r="Y6394" t="s">
        <v>25314</v>
      </c>
      <c r="Z6394" t="s">
        <v>31712</v>
      </c>
      <c r="AA6394">
        <v>0.38041013475228619</v>
      </c>
      <c r="AB6394" t="str">
        <f>HYPERLINK("Melting_Curves/meltCurve_R4GNB2_DENND4C.pdf", "Melting_Curves/meltCurve_R4GNB2_DENND4C.pdf")</f>
        <v>Melting_Curves/meltCurve_R4GNB2_DENND4C.pdf</v>
      </c>
    </row>
    <row r="6395" spans="1:28" x14ac:dyDescent="0.25">
      <c r="A6395" t="s">
        <v>6399</v>
      </c>
      <c r="B6395">
        <v>0.99542014353169495</v>
      </c>
      <c r="C6395">
        <v>1.05843591251777</v>
      </c>
      <c r="D6395">
        <v>0.98915270936864697</v>
      </c>
      <c r="E6395">
        <v>0.94477927410550699</v>
      </c>
      <c r="F6395">
        <v>0.51308251975535002</v>
      </c>
      <c r="G6395">
        <v>0.114774687964201</v>
      </c>
      <c r="H6395">
        <v>5.7806323023951903E-2</v>
      </c>
      <c r="I6395">
        <v>2.60087487768337E-2</v>
      </c>
      <c r="J6395">
        <v>0</v>
      </c>
      <c r="K6395">
        <v>5.3177511778297097E-2</v>
      </c>
      <c r="L6395">
        <v>1766.44187529952</v>
      </c>
      <c r="M6395">
        <v>35.189808041777901</v>
      </c>
      <c r="N6395">
        <v>50.287764299526799</v>
      </c>
      <c r="O6395">
        <v>50.036270814593301</v>
      </c>
      <c r="P6395">
        <v>-0.170443353430247</v>
      </c>
      <c r="Q6395">
        <v>3.0592153609544301E-2</v>
      </c>
      <c r="R6395">
        <v>0.99736005851334397</v>
      </c>
      <c r="S6395" t="s">
        <v>12797</v>
      </c>
      <c r="T6395" t="s">
        <v>12802</v>
      </c>
      <c r="U6395" t="s">
        <v>12802</v>
      </c>
      <c r="V6395" t="s">
        <v>12802</v>
      </c>
      <c r="W6395" t="s">
        <v>19122</v>
      </c>
      <c r="X6395">
        <v>4</v>
      </c>
      <c r="Y6395" t="s">
        <v>25315</v>
      </c>
      <c r="Z6395" t="s">
        <v>31713</v>
      </c>
      <c r="AA6395">
        <v>0.46139787424211492</v>
      </c>
      <c r="AB6395" t="str">
        <f>HYPERLINK("Melting_Curves/meltCurve_R4GND1_UBE2E3.pdf", "Melting_Curves/meltCurve_R4GND1_UBE2E3.pdf")</f>
        <v>Melting_Curves/meltCurve_R4GND1_UBE2E3.pdf</v>
      </c>
    </row>
    <row r="6396" spans="1:28" x14ac:dyDescent="0.25">
      <c r="A6396" t="s">
        <v>6400</v>
      </c>
      <c r="B6396">
        <v>0.99542014353169495</v>
      </c>
      <c r="C6396">
        <v>0.86014084550137404</v>
      </c>
      <c r="D6396">
        <v>0.66269233074742395</v>
      </c>
      <c r="E6396">
        <v>0.55489552222929694</v>
      </c>
      <c r="F6396">
        <v>0.20331318662663</v>
      </c>
      <c r="G6396">
        <v>9.9079998081460993E-2</v>
      </c>
      <c r="H6396">
        <v>7.9064857099505295E-2</v>
      </c>
      <c r="I6396">
        <v>5.1796985366282203E-2</v>
      </c>
      <c r="J6396">
        <v>5.1464442745937297E-2</v>
      </c>
      <c r="K6396">
        <v>0</v>
      </c>
      <c r="L6396">
        <v>598.77004693635695</v>
      </c>
      <c r="M6396">
        <v>13.0068672999363</v>
      </c>
      <c r="N6396">
        <v>46.034916227224102</v>
      </c>
      <c r="O6396">
        <v>44.987529266123403</v>
      </c>
      <c r="P6396">
        <v>-7.2293168614801506E-2</v>
      </c>
      <c r="Q6396">
        <v>0</v>
      </c>
      <c r="R6396">
        <v>0.98577110280102098</v>
      </c>
      <c r="S6396" t="s">
        <v>12798</v>
      </c>
      <c r="T6396" t="s">
        <v>12802</v>
      </c>
      <c r="U6396" t="s">
        <v>12802</v>
      </c>
      <c r="V6396" t="s">
        <v>12802</v>
      </c>
      <c r="W6396" t="s">
        <v>19123</v>
      </c>
      <c r="X6396">
        <v>1</v>
      </c>
      <c r="Y6396" t="s">
        <v>25316</v>
      </c>
      <c r="Z6396" t="s">
        <v>31714</v>
      </c>
      <c r="AA6396">
        <v>0.33110004608643367</v>
      </c>
      <c r="AB6396" t="str">
        <f>HYPERLINK("Melting_Curves/meltCurve_R4GNF5_TCP11L1.pdf", "Melting_Curves/meltCurve_R4GNF5_TCP11L1.pdf")</f>
        <v>Melting_Curves/meltCurve_R4GNF5_TCP11L1.pdf</v>
      </c>
    </row>
    <row r="6397" spans="1:28" x14ac:dyDescent="0.25">
      <c r="A6397" t="s">
        <v>6401</v>
      </c>
      <c r="B6397">
        <v>0.99542014353169495</v>
      </c>
      <c r="C6397">
        <v>1.22286090208234</v>
      </c>
      <c r="D6397">
        <v>1.2155805683457801</v>
      </c>
      <c r="E6397">
        <v>0.988965019481858</v>
      </c>
      <c r="F6397">
        <v>0.74039006612543901</v>
      </c>
      <c r="G6397">
        <v>0.32473972703371901</v>
      </c>
      <c r="H6397">
        <v>0.204403366997292</v>
      </c>
      <c r="I6397">
        <v>0.125877764070875</v>
      </c>
      <c r="J6397">
        <v>0.144773965206352</v>
      </c>
      <c r="K6397">
        <v>0.21858819825959699</v>
      </c>
      <c r="L6397">
        <v>1758.8866079172001</v>
      </c>
      <c r="M6397">
        <v>34.1991757200243</v>
      </c>
      <c r="N6397">
        <v>52.050008267424403</v>
      </c>
      <c r="O6397">
        <v>51.255773967021497</v>
      </c>
      <c r="P6397">
        <v>-0.138924452431201</v>
      </c>
      <c r="Q6397">
        <v>0.16715502733198501</v>
      </c>
      <c r="R6397">
        <v>0.94618799529379005</v>
      </c>
      <c r="S6397" t="s">
        <v>12799</v>
      </c>
      <c r="T6397" t="s">
        <v>12802</v>
      </c>
      <c r="U6397" t="s">
        <v>12802</v>
      </c>
      <c r="V6397" t="s">
        <v>12802</v>
      </c>
      <c r="W6397" t="s">
        <v>19124</v>
      </c>
      <c r="X6397">
        <v>1</v>
      </c>
      <c r="Y6397" t="s">
        <v>25317</v>
      </c>
      <c r="Z6397" t="s">
        <v>31715</v>
      </c>
      <c r="AA6397">
        <v>0.57180989321931885</v>
      </c>
      <c r="AB6397" t="str">
        <f>HYPERLINK("Melting_Curves/meltCurve_R4GNH2_FBXO2.pdf", "Melting_Curves/meltCurve_R4GNH2_FBXO2.pdf")</f>
        <v>Melting_Curves/meltCurve_R4GNH2_FBXO2.pdf</v>
      </c>
    </row>
    <row r="6398" spans="1:28" x14ac:dyDescent="0.25">
      <c r="A6398" t="s">
        <v>6402</v>
      </c>
      <c r="B6398">
        <v>0.99542014353169495</v>
      </c>
      <c r="C6398">
        <v>0.99157028417001802</v>
      </c>
      <c r="D6398">
        <v>1.0116725585577999</v>
      </c>
      <c r="E6398">
        <v>0.843107309831023</v>
      </c>
      <c r="F6398">
        <v>0.60613773669313398</v>
      </c>
      <c r="G6398">
        <v>0.33092136050299598</v>
      </c>
      <c r="H6398">
        <v>0.150037067202754</v>
      </c>
      <c r="I6398">
        <v>7.3321140625655895E-2</v>
      </c>
      <c r="J6398">
        <v>7.4091823406115101E-2</v>
      </c>
      <c r="K6398">
        <v>6.9551303481253199E-2</v>
      </c>
      <c r="L6398">
        <v>946.12270464200003</v>
      </c>
      <c r="M6398">
        <v>18.502651976628702</v>
      </c>
      <c r="N6398">
        <v>51.403982738752298</v>
      </c>
      <c r="O6398">
        <v>50.548361958866501</v>
      </c>
      <c r="P6398">
        <v>-8.7282917895606202E-2</v>
      </c>
      <c r="Q6398">
        <v>4.6231157742343702E-2</v>
      </c>
      <c r="R6398">
        <v>0.99823077993780496</v>
      </c>
      <c r="S6398" t="s">
        <v>12800</v>
      </c>
      <c r="T6398" t="s">
        <v>12802</v>
      </c>
      <c r="U6398" t="s">
        <v>12802</v>
      </c>
      <c r="V6398" t="s">
        <v>12802</v>
      </c>
      <c r="W6398" t="s">
        <v>19125</v>
      </c>
      <c r="X6398">
        <v>28</v>
      </c>
      <c r="Y6398" t="s">
        <v>25318</v>
      </c>
      <c r="Z6398" t="s">
        <v>31716</v>
      </c>
      <c r="AA6398">
        <v>0.50973268204489142</v>
      </c>
      <c r="AB6398" t="str">
        <f>HYPERLINK("Melting_Curves/meltCurve_R4GNH3_PSMC3.pdf", "Melting_Curves/meltCurve_R4GNH3_PSMC3.pdf")</f>
        <v>Melting_Curves/meltCurve_R4GNH3_PSMC3.pdf</v>
      </c>
    </row>
    <row r="6399" spans="1:28" x14ac:dyDescent="0.25">
      <c r="A6399" t="s">
        <v>6403</v>
      </c>
      <c r="B6399">
        <v>0.99542014353169495</v>
      </c>
      <c r="C6399">
        <v>0.90082432864113404</v>
      </c>
      <c r="D6399">
        <v>0.73555752298847399</v>
      </c>
      <c r="E6399">
        <v>0.47545485851457697</v>
      </c>
      <c r="F6399">
        <v>0.26600769786430301</v>
      </c>
      <c r="G6399">
        <v>0.13540945965801801</v>
      </c>
      <c r="H6399">
        <v>7.8858538433570796E-2</v>
      </c>
      <c r="I6399">
        <v>6.2753827566083595E-2</v>
      </c>
      <c r="J6399">
        <v>5.80342182459469E-2</v>
      </c>
      <c r="K6399">
        <v>4.7552956539484499E-2</v>
      </c>
      <c r="L6399">
        <v>666.24996353278095</v>
      </c>
      <c r="M6399">
        <v>14.483176646080301</v>
      </c>
      <c r="N6399">
        <v>46.2407943708141</v>
      </c>
      <c r="O6399">
        <v>45.1513288428742</v>
      </c>
      <c r="P6399">
        <v>-7.7307726999965201E-2</v>
      </c>
      <c r="Q6399">
        <v>3.6083808160810998E-2</v>
      </c>
      <c r="R6399">
        <v>0.99934251819208297</v>
      </c>
      <c r="S6399" t="s">
        <v>12801</v>
      </c>
      <c r="T6399" t="s">
        <v>12802</v>
      </c>
      <c r="U6399" t="s">
        <v>12802</v>
      </c>
      <c r="V6399" t="s">
        <v>12802</v>
      </c>
      <c r="W6399" t="s">
        <v>19126</v>
      </c>
      <c r="X6399">
        <v>1</v>
      </c>
      <c r="Y6399" t="s">
        <v>25319</v>
      </c>
      <c r="Z6399" t="s">
        <v>31717</v>
      </c>
      <c r="AA6399">
        <v>0.34905691029855579</v>
      </c>
      <c r="AB6399" t="str">
        <f>HYPERLINK("Melting_Curves/meltCurve_R4GNJ5_ACD.pdf", "Melting_Curves/meltCurve_R4GNJ5_ACD.pdf")</f>
        <v>Melting_Curves/meltCurve_R4GNJ5_ACD.pdf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Jarzab</cp:lastModifiedBy>
  <dcterms:created xsi:type="dcterms:W3CDTF">2017-09-14T13:07:54Z</dcterms:created>
  <dcterms:modified xsi:type="dcterms:W3CDTF">2018-08-20T14:44:36Z</dcterms:modified>
</cp:coreProperties>
</file>